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3160" windowHeight="7380" tabRatio="863" firstSheet="9" activeTab="16"/>
  </bookViews>
  <sheets>
    <sheet name="Control" sheetId="7" r:id="rId1"/>
    <sheet name="Inflation" sheetId="10" r:id="rId2"/>
    <sheet name="Mapping" sheetId="2" r:id="rId3"/>
    <sheet name="Input|Allowance" sheetId="19" r:id="rId4"/>
    <sheet name="Input|Historical Data" sheetId="3" r:id="rId5"/>
    <sheet name="Input|Forecast Data" sheetId="4" r:id="rId6"/>
    <sheet name="Input|Customer Contributions" sheetId="11" r:id="rId7"/>
    <sheet name="Input|Provisions" sheetId="14" r:id="rId8"/>
    <sheet name="Input|VBRC Calc" sheetId="8" r:id="rId9"/>
    <sheet name="Calc|Weightings" sheetId="1" r:id="rId10"/>
    <sheet name="Calc|Overheads" sheetId="22" r:id="rId11"/>
    <sheet name="Calc|Consolidated Capex" sheetId="5" r:id="rId12"/>
    <sheet name="Immediate deductions" sheetId="24" r:id="rId13"/>
    <sheet name="Output|Functional" sheetId="16" r:id="rId14"/>
    <sheet name="Comp" sheetId="28" r:id="rId15"/>
    <sheet name="Comp2" sheetId="29" r:id="rId16"/>
    <sheet name="AER output" sheetId="27" r:id="rId17"/>
    <sheet name="Output|PTRM" sheetId="18" r:id="rId18"/>
    <sheet name="Output|Functional - proposed" sheetId="25" r:id="rId19"/>
    <sheet name="Output|PTRM - proposed" sheetId="26" r:id="rId20"/>
  </sheets>
  <externalReferences>
    <externalReference r:id="rId21"/>
    <externalReference r:id="rId22"/>
    <externalReference r:id="rId23"/>
    <externalReference r:id="rId24"/>
  </externalReferences>
  <definedNames>
    <definedName name="_xlnm._FilterDatabase" localSheetId="11" hidden="1">'Calc|Consolidated Capex'!$E$7:$S$94</definedName>
    <definedName name="_xlnm._FilterDatabase" localSheetId="5" hidden="1">'Input|Forecast Data'!$E$7:$R$93</definedName>
    <definedName name="_xlnm._FilterDatabase" localSheetId="4" hidden="1">'Input|Historical Data'!$AU$8:$AY$1725</definedName>
    <definedName name="_ftn1" localSheetId="16">'AER output'!$C$56</definedName>
    <definedName name="_ftnref1" localSheetId="16">'AER output'!$C$50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21" i="16" l="1"/>
  <c r="N121" i="16"/>
  <c r="O121" i="16"/>
  <c r="P121" i="16"/>
  <c r="Q121" i="16"/>
  <c r="E50" i="27" l="1"/>
  <c r="F50" i="27"/>
  <c r="G50" i="27"/>
  <c r="H50" i="27"/>
  <c r="D50" i="27"/>
  <c r="I49" i="27"/>
  <c r="E49" i="27"/>
  <c r="F49" i="27"/>
  <c r="G49" i="27"/>
  <c r="H49" i="27"/>
  <c r="D49" i="27"/>
  <c r="I42" i="27"/>
  <c r="D37" i="27" s="1"/>
  <c r="E27" i="27" s="1"/>
  <c r="I50" i="27" l="1"/>
  <c r="D33" i="27"/>
  <c r="D32" i="27"/>
  <c r="H4" i="29"/>
  <c r="D30" i="27"/>
  <c r="D29" i="27"/>
  <c r="D27" i="27"/>
  <c r="D26" i="27"/>
  <c r="S5" i="29" l="1"/>
  <c r="R5" i="29"/>
  <c r="Q5" i="29"/>
  <c r="P5" i="29"/>
  <c r="O5" i="29"/>
  <c r="S4" i="29" l="1"/>
  <c r="R4" i="29"/>
  <c r="Q4" i="29"/>
  <c r="P4" i="29"/>
  <c r="O4" i="29"/>
  <c r="S3" i="29"/>
  <c r="R3" i="29"/>
  <c r="Q3" i="29"/>
  <c r="P3" i="29"/>
  <c r="O3" i="29"/>
  <c r="G13" i="29" l="1"/>
  <c r="F13" i="29"/>
  <c r="E13" i="29"/>
  <c r="D13" i="29"/>
  <c r="C13" i="29"/>
  <c r="G12" i="29"/>
  <c r="F12" i="29"/>
  <c r="E12" i="29"/>
  <c r="H12" i="29" s="1"/>
  <c r="D12" i="29"/>
  <c r="C12" i="29"/>
  <c r="C15" i="29" s="1"/>
  <c r="G10" i="29"/>
  <c r="F10" i="29"/>
  <c r="E10" i="29"/>
  <c r="D10" i="29"/>
  <c r="H10" i="29" s="1"/>
  <c r="C10" i="29"/>
  <c r="G9" i="29"/>
  <c r="F9" i="29"/>
  <c r="E9" i="29"/>
  <c r="D9" i="29"/>
  <c r="H9" i="29" s="1"/>
  <c r="C9" i="29"/>
  <c r="G8" i="29"/>
  <c r="F8" i="29"/>
  <c r="E8" i="29"/>
  <c r="D8" i="29"/>
  <c r="C8" i="29"/>
  <c r="G6" i="29"/>
  <c r="F6" i="29"/>
  <c r="E6" i="29"/>
  <c r="D6" i="29"/>
  <c r="C6" i="29"/>
  <c r="G7" i="29"/>
  <c r="F7" i="29"/>
  <c r="E7" i="29"/>
  <c r="D7" i="29"/>
  <c r="D15" i="29" s="1"/>
  <c r="C7" i="29"/>
  <c r="G4" i="29"/>
  <c r="F4" i="29"/>
  <c r="E4" i="29"/>
  <c r="D4" i="29"/>
  <c r="C4" i="29"/>
  <c r="S8" i="29"/>
  <c r="G5" i="29" s="1"/>
  <c r="R8" i="29"/>
  <c r="F5" i="29" s="1"/>
  <c r="Q8" i="29"/>
  <c r="E5" i="29" s="1"/>
  <c r="P8" i="29"/>
  <c r="O8" i="29"/>
  <c r="C5" i="29" s="1"/>
  <c r="T7" i="29"/>
  <c r="T6" i="29"/>
  <c r="T5" i="29"/>
  <c r="T4" i="29"/>
  <c r="T3" i="29"/>
  <c r="E24" i="27" s="1"/>
  <c r="H13" i="29"/>
  <c r="H7" i="29"/>
  <c r="G15" i="29"/>
  <c r="F15" i="29"/>
  <c r="I15" i="28"/>
  <c r="L91" i="26"/>
  <c r="K91" i="26"/>
  <c r="J91" i="26"/>
  <c r="I91" i="26"/>
  <c r="H91" i="26"/>
  <c r="G91" i="26"/>
  <c r="G12" i="28"/>
  <c r="F12" i="28"/>
  <c r="E12" i="28"/>
  <c r="D12" i="28"/>
  <c r="C12" i="28"/>
  <c r="G11" i="28"/>
  <c r="F11" i="28"/>
  <c r="F16" i="28" s="1"/>
  <c r="E11" i="28"/>
  <c r="E16" i="28" s="1"/>
  <c r="D11" i="28"/>
  <c r="C11" i="28"/>
  <c r="G10" i="28"/>
  <c r="F10" i="28"/>
  <c r="E10" i="28"/>
  <c r="D10" i="28"/>
  <c r="C10" i="28"/>
  <c r="G9" i="28"/>
  <c r="F9" i="28"/>
  <c r="E9" i="28"/>
  <c r="D9" i="28"/>
  <c r="G8" i="28"/>
  <c r="F8" i="28"/>
  <c r="E8" i="28"/>
  <c r="D8" i="28"/>
  <c r="C9" i="28"/>
  <c r="C8" i="28"/>
  <c r="G7" i="28"/>
  <c r="F7" i="28"/>
  <c r="E7" i="28"/>
  <c r="D7" i="28"/>
  <c r="C7" i="28"/>
  <c r="G6" i="28"/>
  <c r="G16" i="28" s="1"/>
  <c r="F6" i="28"/>
  <c r="E6" i="28"/>
  <c r="D6" i="28"/>
  <c r="C6" i="28"/>
  <c r="C16" i="28" s="1"/>
  <c r="G5" i="28"/>
  <c r="F5" i="28"/>
  <c r="E5" i="28"/>
  <c r="D5" i="28"/>
  <c r="C5" i="28"/>
  <c r="H8" i="28"/>
  <c r="G11" i="29" l="1"/>
  <c r="G14" i="29" s="1"/>
  <c r="E28" i="27"/>
  <c r="T8" i="29"/>
  <c r="D5" i="29"/>
  <c r="H5" i="29" s="1"/>
  <c r="D25" i="27" s="1"/>
  <c r="H8" i="29"/>
  <c r="D28" i="27" s="1"/>
  <c r="E15" i="29"/>
  <c r="H15" i="29" s="1"/>
  <c r="H6" i="29"/>
  <c r="D24" i="27" s="1"/>
  <c r="D31" i="27" s="1"/>
  <c r="D34" i="27" s="1"/>
  <c r="F11" i="29"/>
  <c r="F14" i="29" s="1"/>
  <c r="E11" i="29"/>
  <c r="E14" i="29" s="1"/>
  <c r="C11" i="29"/>
  <c r="H12" i="28"/>
  <c r="D16" i="28"/>
  <c r="H11" i="28"/>
  <c r="H10" i="28"/>
  <c r="H9" i="28"/>
  <c r="D13" i="28"/>
  <c r="D15" i="28" s="1"/>
  <c r="E13" i="28"/>
  <c r="E15" i="28" s="1"/>
  <c r="H6" i="28"/>
  <c r="H5" i="28"/>
  <c r="H7" i="28"/>
  <c r="G13" i="28"/>
  <c r="G15" i="28" s="1"/>
  <c r="C13" i="28"/>
  <c r="F13" i="28"/>
  <c r="F15" i="28" s="1"/>
  <c r="H16" i="28"/>
  <c r="C14" i="29" l="1"/>
  <c r="E25" i="27"/>
  <c r="D11" i="29"/>
  <c r="D14" i="29" s="1"/>
  <c r="H13" i="28"/>
  <c r="C15" i="28"/>
  <c r="H15" i="28" s="1"/>
  <c r="E33" i="27"/>
  <c r="E32" i="27"/>
  <c r="E30" i="27"/>
  <c r="E26" i="27"/>
  <c r="E29" i="27"/>
  <c r="R121" i="25"/>
  <c r="R110" i="25"/>
  <c r="R111" i="25"/>
  <c r="R112" i="25"/>
  <c r="R113" i="25"/>
  <c r="R114" i="25"/>
  <c r="R115" i="25"/>
  <c r="R116" i="25"/>
  <c r="R117" i="25"/>
  <c r="R118" i="25"/>
  <c r="R119" i="25"/>
  <c r="R120" i="25"/>
  <c r="R109" i="25"/>
  <c r="R94" i="25"/>
  <c r="R95" i="25"/>
  <c r="R96" i="25"/>
  <c r="R97" i="25"/>
  <c r="R98" i="25"/>
  <c r="R99" i="25"/>
  <c r="R100" i="25"/>
  <c r="R101" i="25"/>
  <c r="R102" i="25"/>
  <c r="R103" i="25"/>
  <c r="R104" i="25"/>
  <c r="R93" i="25"/>
  <c r="R61" i="25"/>
  <c r="R62" i="25"/>
  <c r="R63" i="25"/>
  <c r="R64" i="25"/>
  <c r="R65" i="25"/>
  <c r="R66" i="25"/>
  <c r="R67" i="25"/>
  <c r="R68" i="25"/>
  <c r="R69" i="25"/>
  <c r="R70" i="25"/>
  <c r="R60" i="25"/>
  <c r="R56" i="25"/>
  <c r="R38" i="25"/>
  <c r="R55" i="25"/>
  <c r="R44" i="25"/>
  <c r="R45" i="25"/>
  <c r="R46" i="25"/>
  <c r="R47" i="25"/>
  <c r="R48" i="25"/>
  <c r="R43" i="25"/>
  <c r="R28" i="25"/>
  <c r="R29" i="25"/>
  <c r="R30" i="25"/>
  <c r="R31" i="25"/>
  <c r="R32" i="25"/>
  <c r="R27" i="25"/>
  <c r="C29" i="27"/>
  <c r="C28" i="27"/>
  <c r="C27" i="27"/>
  <c r="C26" i="27"/>
  <c r="C24" i="27"/>
  <c r="E18" i="27"/>
  <c r="F18" i="27"/>
  <c r="G18" i="27"/>
  <c r="H18" i="27"/>
  <c r="D18" i="27"/>
  <c r="C9" i="27"/>
  <c r="C10" i="27"/>
  <c r="C11" i="27"/>
  <c r="C12" i="27"/>
  <c r="C13" i="27"/>
  <c r="C14" i="27"/>
  <c r="C8" i="27"/>
  <c r="E31" i="27" l="1"/>
  <c r="E34" i="27" s="1"/>
  <c r="H14" i="29"/>
  <c r="I14" i="29" s="1"/>
  <c r="H11" i="29"/>
  <c r="I11" i="29" s="1"/>
  <c r="I18" i="27"/>
  <c r="F33" i="27" s="1"/>
  <c r="P41" i="22"/>
  <c r="Q41" i="22" s="1"/>
  <c r="R41" i="22" s="1"/>
  <c r="S41" i="22" s="1"/>
  <c r="O41" i="22"/>
  <c r="N20" i="22"/>
  <c r="M20" i="22"/>
  <c r="L11" i="22"/>
  <c r="L12" i="22"/>
  <c r="M17" i="22"/>
  <c r="N17" i="22" s="1"/>
  <c r="O17" i="22" s="1"/>
  <c r="P17" i="22" s="1"/>
  <c r="Q17" i="22" s="1"/>
  <c r="R17" i="22" s="1"/>
  <c r="S17" i="22" s="1"/>
  <c r="H33" i="27" l="1"/>
  <c r="G33" i="27"/>
  <c r="H119" i="24"/>
  <c r="T41" i="11" l="1"/>
  <c r="R41" i="11"/>
  <c r="P80" i="4"/>
  <c r="R80" i="5" s="1"/>
  <c r="M80" i="4"/>
  <c r="O80" i="5" s="1"/>
  <c r="Q79" i="4"/>
  <c r="S79" i="5" s="1"/>
  <c r="N79" i="4"/>
  <c r="P79" i="5" s="1"/>
  <c r="M79" i="4"/>
  <c r="O79" i="5" s="1"/>
  <c r="O78" i="4"/>
  <c r="Q78" i="5" s="1"/>
  <c r="N78" i="4"/>
  <c r="P78" i="5" s="1"/>
  <c r="P77" i="4"/>
  <c r="R77" i="5" s="1"/>
  <c r="O77" i="4"/>
  <c r="Q77" i="5" s="1"/>
  <c r="P76" i="4"/>
  <c r="R76" i="5" s="1"/>
  <c r="M76" i="4"/>
  <c r="O76" i="5" s="1"/>
  <c r="Q75" i="4"/>
  <c r="S75" i="5" s="1"/>
  <c r="N75" i="4"/>
  <c r="P75" i="5" s="1"/>
  <c r="M75" i="4"/>
  <c r="O75" i="5" s="1"/>
  <c r="O74" i="4"/>
  <c r="Q74" i="5" s="1"/>
  <c r="N74" i="4"/>
  <c r="P74" i="5" s="1"/>
  <c r="P73" i="4"/>
  <c r="R73" i="5" s="1"/>
  <c r="O73" i="4"/>
  <c r="Q73" i="5" s="1"/>
  <c r="P72" i="4"/>
  <c r="R72" i="5" s="1"/>
  <c r="M72" i="4"/>
  <c r="O72" i="5" s="1"/>
  <c r="Q71" i="4"/>
  <c r="S71" i="5" s="1"/>
  <c r="S9" i="8" s="1"/>
  <c r="N71" i="4"/>
  <c r="P71" i="5" s="1"/>
  <c r="P9" i="8" s="1"/>
  <c r="P15" i="8" s="1"/>
  <c r="M71" i="4"/>
  <c r="O71" i="5" s="1"/>
  <c r="O9" i="8" s="1"/>
  <c r="O21" i="8" s="1"/>
  <c r="O70" i="4"/>
  <c r="Q70" i="5" s="1"/>
  <c r="N70" i="4"/>
  <c r="P70" i="5" s="1"/>
  <c r="P69" i="4"/>
  <c r="R69" i="5" s="1"/>
  <c r="O69" i="4"/>
  <c r="Q69" i="5" s="1"/>
  <c r="Q68" i="4"/>
  <c r="S68" i="5" s="1"/>
  <c r="P68" i="4"/>
  <c r="R68" i="5" s="1"/>
  <c r="M68" i="4"/>
  <c r="O68" i="5" s="1"/>
  <c r="Q67" i="4"/>
  <c r="S67" i="5" s="1"/>
  <c r="N67" i="4"/>
  <c r="P67" i="5" s="1"/>
  <c r="M67" i="4"/>
  <c r="O67" i="5" s="1"/>
  <c r="O66" i="4"/>
  <c r="Q66" i="5" s="1"/>
  <c r="N66" i="4"/>
  <c r="P66" i="5" s="1"/>
  <c r="P64" i="4"/>
  <c r="R64" i="5" s="1"/>
  <c r="O64" i="4"/>
  <c r="Q64" i="5" s="1"/>
  <c r="Q63" i="4"/>
  <c r="S63" i="5" s="1"/>
  <c r="P63" i="4"/>
  <c r="R63" i="5" s="1"/>
  <c r="M63" i="4"/>
  <c r="O63" i="5" s="1"/>
  <c r="Q62" i="4"/>
  <c r="S62" i="5" s="1"/>
  <c r="N62" i="4"/>
  <c r="P62" i="5" s="1"/>
  <c r="M62" i="4"/>
  <c r="O62" i="5" s="1"/>
  <c r="O61" i="4"/>
  <c r="Q61" i="5" s="1"/>
  <c r="O60" i="4"/>
  <c r="Q60" i="5" s="1"/>
  <c r="Q59" i="4"/>
  <c r="S59" i="5" s="1"/>
  <c r="P59" i="4"/>
  <c r="R59" i="5" s="1"/>
  <c r="M59" i="4"/>
  <c r="O59" i="5" s="1"/>
  <c r="Q58" i="4"/>
  <c r="S58" i="5" s="1"/>
  <c r="N58" i="4"/>
  <c r="P58" i="5" s="1"/>
  <c r="M58" i="4"/>
  <c r="O58" i="5" s="1"/>
  <c r="O57" i="4"/>
  <c r="Q57" i="5" s="1"/>
  <c r="N57" i="4"/>
  <c r="P57" i="5" s="1"/>
  <c r="P56" i="4"/>
  <c r="R56" i="5" s="1"/>
  <c r="O56" i="4"/>
  <c r="Q56" i="5" s="1"/>
  <c r="Q55" i="4"/>
  <c r="S55" i="5" s="1"/>
  <c r="P55" i="4"/>
  <c r="R55" i="5" s="1"/>
  <c r="M55" i="4"/>
  <c r="O55" i="5" s="1"/>
  <c r="Q54" i="4"/>
  <c r="S54" i="5" s="1"/>
  <c r="N54" i="4"/>
  <c r="P54" i="5" s="1"/>
  <c r="M54" i="4"/>
  <c r="O54" i="5" s="1"/>
  <c r="O53" i="4"/>
  <c r="Q53" i="5" s="1"/>
  <c r="N53" i="4"/>
  <c r="P53" i="5" s="1"/>
  <c r="O52" i="4"/>
  <c r="Q52" i="5" s="1"/>
  <c r="Q51" i="4"/>
  <c r="S51" i="5" s="1"/>
  <c r="P51" i="4"/>
  <c r="R51" i="5" s="1"/>
  <c r="M51" i="4"/>
  <c r="O51" i="5" s="1"/>
  <c r="Q50" i="4"/>
  <c r="S50" i="5" s="1"/>
  <c r="N50" i="4"/>
  <c r="P50" i="5" s="1"/>
  <c r="M50" i="4"/>
  <c r="O50" i="5" s="1"/>
  <c r="O49" i="4"/>
  <c r="Q49" i="5" s="1"/>
  <c r="N49" i="4"/>
  <c r="P49" i="5" s="1"/>
  <c r="P48" i="4"/>
  <c r="R48" i="5" s="1"/>
  <c r="O48" i="4"/>
  <c r="Q48" i="5" s="1"/>
  <c r="Q47" i="4"/>
  <c r="S47" i="5" s="1"/>
  <c r="P47" i="4"/>
  <c r="R47" i="5" s="1"/>
  <c r="Q46" i="4"/>
  <c r="S46" i="5" s="1"/>
  <c r="N46" i="4"/>
  <c r="P46" i="5" s="1"/>
  <c r="M46" i="4"/>
  <c r="O46" i="5" s="1"/>
  <c r="O45" i="4"/>
  <c r="Q45" i="5" s="1"/>
  <c r="N45" i="4"/>
  <c r="P45" i="5" s="1"/>
  <c r="P44" i="4"/>
  <c r="R44" i="5" s="1"/>
  <c r="O44" i="4"/>
  <c r="Q44" i="5" s="1"/>
  <c r="Q43" i="4"/>
  <c r="S43" i="5" s="1"/>
  <c r="P43" i="4"/>
  <c r="R43" i="5" s="1"/>
  <c r="M43" i="4"/>
  <c r="O43" i="5" s="1"/>
  <c r="Q42" i="4"/>
  <c r="S42" i="5" s="1"/>
  <c r="M42" i="4"/>
  <c r="O42" i="5" s="1"/>
  <c r="O41" i="4"/>
  <c r="Q41" i="5" s="1"/>
  <c r="N41" i="4"/>
  <c r="P41" i="5" s="1"/>
  <c r="P40" i="4"/>
  <c r="R40" i="5" s="1"/>
  <c r="O40" i="4"/>
  <c r="Q40" i="5" s="1"/>
  <c r="Q39" i="4"/>
  <c r="S39" i="5" s="1"/>
  <c r="P39" i="4"/>
  <c r="R39" i="5" s="1"/>
  <c r="M39" i="4"/>
  <c r="O39" i="5" s="1"/>
  <c r="Q38" i="4"/>
  <c r="S38" i="5" s="1"/>
  <c r="N38" i="4"/>
  <c r="P38" i="5" s="1"/>
  <c r="M38" i="4"/>
  <c r="O38" i="5" s="1"/>
  <c r="O37" i="4"/>
  <c r="Q37" i="5" s="1"/>
  <c r="N37" i="4"/>
  <c r="P37" i="5" s="1"/>
  <c r="P36" i="4"/>
  <c r="R36" i="5" s="1"/>
  <c r="O36" i="4"/>
  <c r="Q36" i="5" s="1"/>
  <c r="Q35" i="4"/>
  <c r="S35" i="5" s="1"/>
  <c r="P35" i="4"/>
  <c r="R35" i="5" s="1"/>
  <c r="Q34" i="4"/>
  <c r="S34" i="5" s="1"/>
  <c r="N34" i="4"/>
  <c r="P34" i="5" s="1"/>
  <c r="M34" i="4"/>
  <c r="O34" i="5" s="1"/>
  <c r="O33" i="4"/>
  <c r="Q33" i="5" s="1"/>
  <c r="N33" i="4"/>
  <c r="P33" i="5" s="1"/>
  <c r="P32" i="4"/>
  <c r="R32" i="5" s="1"/>
  <c r="O32" i="4"/>
  <c r="Q32" i="5" s="1"/>
  <c r="Q31" i="4"/>
  <c r="S31" i="5" s="1"/>
  <c r="P31" i="4"/>
  <c r="R31" i="5" s="1"/>
  <c r="M31" i="4"/>
  <c r="O31" i="5" s="1"/>
  <c r="Q30" i="4"/>
  <c r="S30" i="5" s="1"/>
  <c r="N30" i="4"/>
  <c r="P30" i="5" s="1"/>
  <c r="M30" i="4"/>
  <c r="O30" i="5" s="1"/>
  <c r="O29" i="4"/>
  <c r="Q29" i="5" s="1"/>
  <c r="N29" i="4"/>
  <c r="P29" i="5" s="1"/>
  <c r="P28" i="4"/>
  <c r="R28" i="5" s="1"/>
  <c r="O28" i="4"/>
  <c r="Q28" i="5" s="1"/>
  <c r="Q27" i="4"/>
  <c r="S27" i="5" s="1"/>
  <c r="Q26" i="4"/>
  <c r="S26" i="5" s="1"/>
  <c r="N26" i="4"/>
  <c r="P26" i="5" s="1"/>
  <c r="M26" i="4"/>
  <c r="O26" i="5" s="1"/>
  <c r="O25" i="4"/>
  <c r="Q25" i="5" s="1"/>
  <c r="P20" i="4"/>
  <c r="R20" i="5" s="1"/>
  <c r="O20" i="4"/>
  <c r="Q20" i="5" s="1"/>
  <c r="Q19" i="4"/>
  <c r="S19" i="5" s="1"/>
  <c r="P19" i="4"/>
  <c r="R19" i="5" s="1"/>
  <c r="M19" i="4"/>
  <c r="O19" i="5" s="1"/>
  <c r="Q10" i="4"/>
  <c r="S10" i="5" s="1"/>
  <c r="N10" i="4"/>
  <c r="P10" i="5" s="1"/>
  <c r="M10" i="4"/>
  <c r="O10" i="5" s="1"/>
  <c r="R134" i="16"/>
  <c r="R135" i="16"/>
  <c r="R126" i="25"/>
  <c r="R127" i="25"/>
  <c r="R128" i="25"/>
  <c r="R129" i="25"/>
  <c r="R130" i="25"/>
  <c r="R131" i="25"/>
  <c r="R132" i="25"/>
  <c r="R133" i="25"/>
  <c r="R134" i="25"/>
  <c r="R135" i="25"/>
  <c r="R136" i="25"/>
  <c r="R125" i="25"/>
  <c r="K110" i="26"/>
  <c r="J110" i="26"/>
  <c r="I110" i="26"/>
  <c r="H110" i="26"/>
  <c r="G110" i="26"/>
  <c r="H69" i="26"/>
  <c r="K69" i="26"/>
  <c r="J69" i="26"/>
  <c r="I69" i="26"/>
  <c r="G69" i="26"/>
  <c r="K48" i="26"/>
  <c r="G48" i="26"/>
  <c r="J48" i="26"/>
  <c r="I48" i="26"/>
  <c r="H48" i="26"/>
  <c r="K27" i="26"/>
  <c r="G27" i="26"/>
  <c r="A2" i="26"/>
  <c r="A1" i="26"/>
  <c r="O22" i="25"/>
  <c r="K22" i="25"/>
  <c r="K23" i="25"/>
  <c r="G22" i="25"/>
  <c r="G23" i="25"/>
  <c r="A2" i="25"/>
  <c r="A1" i="25"/>
  <c r="I104" i="25"/>
  <c r="G88" i="25"/>
  <c r="G89" i="25"/>
  <c r="K88" i="25"/>
  <c r="K89" i="25"/>
  <c r="O88" i="25"/>
  <c r="J88" i="25"/>
  <c r="J89" i="25"/>
  <c r="N88" i="25"/>
  <c r="J89" i="26"/>
  <c r="H27" i="26"/>
  <c r="J29" i="26"/>
  <c r="I27" i="26"/>
  <c r="G29" i="26"/>
  <c r="K29" i="26"/>
  <c r="H89" i="26"/>
  <c r="J27" i="26"/>
  <c r="H29" i="26"/>
  <c r="I89" i="26"/>
  <c r="I29" i="26"/>
  <c r="H22" i="25"/>
  <c r="H23" i="25"/>
  <c r="L22" i="25"/>
  <c r="L23" i="25"/>
  <c r="P22" i="25"/>
  <c r="J104" i="25"/>
  <c r="I38" i="25"/>
  <c r="I39" i="25"/>
  <c r="Q38" i="25"/>
  <c r="H88" i="25"/>
  <c r="L88" i="25"/>
  <c r="P88" i="25"/>
  <c r="I22" i="25"/>
  <c r="I23" i="25"/>
  <c r="M22" i="25"/>
  <c r="Q22" i="25"/>
  <c r="G104" i="25"/>
  <c r="G38" i="25"/>
  <c r="G39" i="25"/>
  <c r="K38" i="25"/>
  <c r="K39" i="25"/>
  <c r="O38" i="25"/>
  <c r="J38" i="25"/>
  <c r="J39" i="25"/>
  <c r="H55" i="25"/>
  <c r="I88" i="25"/>
  <c r="I89" i="25"/>
  <c r="M88" i="25"/>
  <c r="Q88" i="25"/>
  <c r="N38" i="25"/>
  <c r="J22" i="25"/>
  <c r="J23" i="25"/>
  <c r="N22" i="25"/>
  <c r="H38" i="25"/>
  <c r="H39" i="25"/>
  <c r="H104" i="25"/>
  <c r="L38" i="25"/>
  <c r="L39" i="25"/>
  <c r="P38" i="25"/>
  <c r="M38" i="25"/>
  <c r="I55" i="25"/>
  <c r="J120" i="25"/>
  <c r="J55" i="25"/>
  <c r="G55" i="25"/>
  <c r="S43" i="22"/>
  <c r="S44" i="22" s="1"/>
  <c r="R43" i="22"/>
  <c r="R44" i="22"/>
  <c r="P43" i="22"/>
  <c r="O43" i="22"/>
  <c r="R45" i="22"/>
  <c r="Q45" i="22"/>
  <c r="P45" i="22"/>
  <c r="G44" i="22"/>
  <c r="K105" i="18"/>
  <c r="J105" i="18"/>
  <c r="I105" i="18"/>
  <c r="H105" i="18"/>
  <c r="G105" i="18"/>
  <c r="K104" i="18"/>
  <c r="J104" i="18"/>
  <c r="I104" i="18"/>
  <c r="H104" i="18"/>
  <c r="G104" i="18"/>
  <c r="K103" i="18"/>
  <c r="J103" i="18"/>
  <c r="I103" i="18"/>
  <c r="H103" i="18"/>
  <c r="G103" i="18"/>
  <c r="K102" i="18"/>
  <c r="J102" i="18"/>
  <c r="I102" i="18"/>
  <c r="H102" i="18"/>
  <c r="G102" i="18"/>
  <c r="K101" i="18"/>
  <c r="J101" i="18"/>
  <c r="I101" i="18"/>
  <c r="H101" i="18"/>
  <c r="G101" i="18"/>
  <c r="K100" i="18"/>
  <c r="J100" i="18"/>
  <c r="I100" i="18"/>
  <c r="H100" i="18"/>
  <c r="G100" i="18"/>
  <c r="K99" i="18"/>
  <c r="J99" i="18"/>
  <c r="I99" i="18"/>
  <c r="H99" i="18"/>
  <c r="G99" i="18"/>
  <c r="I70" i="25"/>
  <c r="J136" i="25"/>
  <c r="H89" i="25"/>
  <c r="K89" i="26"/>
  <c r="G89" i="26"/>
  <c r="G70" i="25"/>
  <c r="G71" i="25"/>
  <c r="I120" i="25"/>
  <c r="I136" i="25"/>
  <c r="J70" i="25"/>
  <c r="J71" i="25"/>
  <c r="G136" i="25"/>
  <c r="L104" i="25"/>
  <c r="H120" i="25"/>
  <c r="H136" i="25"/>
  <c r="O55" i="25"/>
  <c r="O70" i="25"/>
  <c r="N104" i="25"/>
  <c r="P55" i="25"/>
  <c r="J56" i="25"/>
  <c r="I71" i="25"/>
  <c r="I56" i="25"/>
  <c r="K104" i="25"/>
  <c r="M104" i="25"/>
  <c r="L89" i="25"/>
  <c r="N55" i="25"/>
  <c r="N70" i="25"/>
  <c r="Q104" i="25"/>
  <c r="P70" i="25"/>
  <c r="J137" i="25"/>
  <c r="P104" i="25"/>
  <c r="H56" i="25"/>
  <c r="O104" i="25"/>
  <c r="M70" i="25"/>
  <c r="M55" i="25"/>
  <c r="Q70" i="25"/>
  <c r="Q55" i="25"/>
  <c r="L55" i="25"/>
  <c r="G56" i="25"/>
  <c r="G120" i="25"/>
  <c r="H70" i="25"/>
  <c r="H71" i="25"/>
  <c r="K55" i="25"/>
  <c r="K70" i="25"/>
  <c r="L70" i="25"/>
  <c r="P44" i="22"/>
  <c r="Q43" i="22"/>
  <c r="Q44" i="22"/>
  <c r="O44" i="22"/>
  <c r="O45" i="22" s="1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83" i="5"/>
  <c r="L56" i="25" s="1"/>
  <c r="L71" i="25"/>
  <c r="P71" i="25"/>
  <c r="O71" i="25"/>
  <c r="L120" i="25"/>
  <c r="L136" i="25"/>
  <c r="I137" i="25"/>
  <c r="G137" i="25"/>
  <c r="Q71" i="25"/>
  <c r="O136" i="25"/>
  <c r="O120" i="25"/>
  <c r="N71" i="25"/>
  <c r="K136" i="25"/>
  <c r="K120" i="25"/>
  <c r="N136" i="25"/>
  <c r="N120" i="25"/>
  <c r="P120" i="25"/>
  <c r="P136" i="25"/>
  <c r="Q120" i="25"/>
  <c r="Q136" i="25"/>
  <c r="H137" i="25"/>
  <c r="K71" i="2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71" i="25"/>
  <c r="M120" i="25"/>
  <c r="M136" i="25"/>
  <c r="J113" i="24"/>
  <c r="J119" i="24"/>
  <c r="I113" i="24"/>
  <c r="I119" i="24"/>
  <c r="H113" i="24"/>
  <c r="J104" i="24"/>
  <c r="J108" i="24"/>
  <c r="J109" i="24"/>
  <c r="I104" i="24"/>
  <c r="I108" i="24"/>
  <c r="I109" i="24"/>
  <c r="H104" i="24"/>
  <c r="H108" i="24"/>
  <c r="H109" i="24"/>
  <c r="J100" i="24"/>
  <c r="J101" i="24"/>
  <c r="I100" i="24"/>
  <c r="I101" i="24"/>
  <c r="H100" i="24"/>
  <c r="H96" i="24"/>
  <c r="H97" i="24"/>
  <c r="J96" i="24"/>
  <c r="J97" i="24"/>
  <c r="I96" i="24"/>
  <c r="I97" i="24"/>
  <c r="J14" i="24"/>
  <c r="I13" i="24"/>
  <c r="H12" i="24"/>
  <c r="J90" i="24"/>
  <c r="J91" i="24" s="1"/>
  <c r="I90" i="24"/>
  <c r="I91" i="24" s="1"/>
  <c r="H90" i="24"/>
  <c r="H91" i="24"/>
  <c r="I14" i="24"/>
  <c r="J68" i="24"/>
  <c r="J69" i="24" s="1"/>
  <c r="I68" i="24"/>
  <c r="I69" i="24" s="1"/>
  <c r="H68" i="24"/>
  <c r="H69" i="24" s="1"/>
  <c r="J47" i="24"/>
  <c r="J48" i="24" s="1"/>
  <c r="I47" i="24"/>
  <c r="I48" i="24" s="1"/>
  <c r="H47" i="24"/>
  <c r="H48" i="24" s="1"/>
  <c r="Q21" i="24"/>
  <c r="P21" i="24"/>
  <c r="O21" i="24"/>
  <c r="N21" i="24"/>
  <c r="M21" i="24"/>
  <c r="J21" i="24"/>
  <c r="I21" i="24"/>
  <c r="H21" i="24"/>
  <c r="Q20" i="24"/>
  <c r="P20" i="24"/>
  <c r="O20" i="24"/>
  <c r="N20" i="24"/>
  <c r="M20" i="24"/>
  <c r="J20" i="24"/>
  <c r="I20" i="24"/>
  <c r="H20" i="24"/>
  <c r="Q19" i="24"/>
  <c r="P19" i="24"/>
  <c r="O19" i="24"/>
  <c r="N19" i="24"/>
  <c r="M19" i="24"/>
  <c r="J19" i="24"/>
  <c r="I19" i="24"/>
  <c r="H19" i="24"/>
  <c r="Q18" i="24"/>
  <c r="P18" i="24"/>
  <c r="O18" i="24"/>
  <c r="N18" i="24"/>
  <c r="M18" i="24"/>
  <c r="J18" i="24"/>
  <c r="I18" i="24"/>
  <c r="H18" i="24"/>
  <c r="Q17" i="24"/>
  <c r="P17" i="24"/>
  <c r="O17" i="24"/>
  <c r="N17" i="24"/>
  <c r="M17" i="24"/>
  <c r="J17" i="24"/>
  <c r="I17" i="24"/>
  <c r="H17" i="24"/>
  <c r="Q16" i="24"/>
  <c r="P16" i="24"/>
  <c r="O16" i="24"/>
  <c r="N16" i="24"/>
  <c r="M16" i="24"/>
  <c r="J16" i="24"/>
  <c r="I16" i="24"/>
  <c r="H16" i="24"/>
  <c r="Q15" i="24"/>
  <c r="P15" i="24"/>
  <c r="O15" i="24"/>
  <c r="N15" i="24"/>
  <c r="M15" i="24"/>
  <c r="J15" i="24"/>
  <c r="I15" i="24"/>
  <c r="H15" i="24"/>
  <c r="H14" i="24"/>
  <c r="J13" i="24"/>
  <c r="H13" i="24"/>
  <c r="J12" i="24"/>
  <c r="I12" i="24"/>
  <c r="J11" i="24"/>
  <c r="I11" i="24"/>
  <c r="H11" i="24"/>
  <c r="I10" i="24"/>
  <c r="H10" i="24"/>
  <c r="H26" i="24" s="1"/>
  <c r="H27" i="24" s="1"/>
  <c r="A2" i="24"/>
  <c r="A1" i="24"/>
  <c r="K137" i="25"/>
  <c r="M27" i="22"/>
  <c r="M25" i="8"/>
  <c r="M31" i="8" s="1"/>
  <c r="O137" i="25"/>
  <c r="P137" i="25"/>
  <c r="L137" i="25"/>
  <c r="N25" i="8"/>
  <c r="N31" i="8"/>
  <c r="N137" i="25"/>
  <c r="M137" i="25"/>
  <c r="Q137" i="25"/>
  <c r="H105" i="24"/>
  <c r="I105" i="24"/>
  <c r="H101" i="24"/>
  <c r="J105" i="24"/>
  <c r="AP101" i="1"/>
  <c r="AO101" i="1"/>
  <c r="AN101" i="1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Q65" i="4"/>
  <c r="S65" i="5" s="1"/>
  <c r="P65" i="4"/>
  <c r="R65" i="5" s="1"/>
  <c r="O65" i="4"/>
  <c r="Q65" i="5" s="1"/>
  <c r="N65" i="4"/>
  <c r="P65" i="5" s="1"/>
  <c r="M65" i="4"/>
  <c r="O65" i="5" s="1"/>
  <c r="N72" i="4"/>
  <c r="P72" i="5" s="1"/>
  <c r="O72" i="4"/>
  <c r="Q72" i="5" s="1"/>
  <c r="Q72" i="4"/>
  <c r="S72" i="5" s="1"/>
  <c r="Q32" i="4"/>
  <c r="S32" i="5" s="1"/>
  <c r="N39" i="4"/>
  <c r="P39" i="5" s="1"/>
  <c r="M44" i="4"/>
  <c r="O44" i="5" s="1"/>
  <c r="O50" i="4"/>
  <c r="Q50" i="5" s="1"/>
  <c r="M52" i="4"/>
  <c r="O52" i="5" s="1"/>
  <c r="N55" i="4"/>
  <c r="P55" i="5" s="1"/>
  <c r="Q56" i="4"/>
  <c r="S56" i="5" s="1"/>
  <c r="P61" i="4"/>
  <c r="R61" i="5" s="1"/>
  <c r="N63" i="4"/>
  <c r="P63" i="5" s="1"/>
  <c r="Q64" i="4"/>
  <c r="S64" i="5" s="1"/>
  <c r="M69" i="4"/>
  <c r="O69" i="5" s="1"/>
  <c r="P70" i="4"/>
  <c r="R70" i="5" s="1"/>
  <c r="Q73" i="4"/>
  <c r="S73" i="5" s="1"/>
  <c r="O75" i="4"/>
  <c r="Q75" i="5" s="1"/>
  <c r="M77" i="4"/>
  <c r="O77" i="5" s="1"/>
  <c r="P78" i="4"/>
  <c r="R78" i="5" s="1"/>
  <c r="N80" i="4"/>
  <c r="P80" i="5" s="1"/>
  <c r="O10" i="4"/>
  <c r="Q10" i="5" s="1"/>
  <c r="M28" i="4"/>
  <c r="O28" i="5" s="1"/>
  <c r="O34" i="4"/>
  <c r="Q34" i="5" s="1"/>
  <c r="Q40" i="4"/>
  <c r="S40" i="5" s="1"/>
  <c r="Q48" i="4"/>
  <c r="S48" i="5" s="1"/>
  <c r="O58" i="4"/>
  <c r="Q58" i="5" s="1"/>
  <c r="N31" i="4"/>
  <c r="P31" i="5" s="1"/>
  <c r="P37" i="4"/>
  <c r="R37" i="5" s="1"/>
  <c r="P45" i="4"/>
  <c r="R45" i="5" s="1"/>
  <c r="M60" i="4"/>
  <c r="O60" i="5" s="1"/>
  <c r="P29" i="4"/>
  <c r="R29" i="5" s="1"/>
  <c r="M36" i="4"/>
  <c r="O36" i="5" s="1"/>
  <c r="O42" i="4"/>
  <c r="Q42" i="5" s="1"/>
  <c r="N47" i="4"/>
  <c r="P47" i="5" s="1"/>
  <c r="P53" i="4"/>
  <c r="R53" i="5" s="1"/>
  <c r="N19" i="4"/>
  <c r="P19" i="5" s="1"/>
  <c r="Q20" i="4"/>
  <c r="S20" i="5" s="1"/>
  <c r="P25" i="4"/>
  <c r="R25" i="5" s="1"/>
  <c r="N27" i="4"/>
  <c r="P27" i="5" s="1"/>
  <c r="Q28" i="4"/>
  <c r="S28" i="5" s="1"/>
  <c r="O30" i="4"/>
  <c r="Q30" i="5" s="1"/>
  <c r="M32" i="4"/>
  <c r="O32" i="5" s="1"/>
  <c r="P33" i="4"/>
  <c r="R33" i="5" s="1"/>
  <c r="N35" i="4"/>
  <c r="P35" i="5" s="1"/>
  <c r="Q36" i="4"/>
  <c r="S36" i="5" s="1"/>
  <c r="O38" i="4"/>
  <c r="Q38" i="5" s="1"/>
  <c r="M40" i="4"/>
  <c r="O40" i="5" s="1"/>
  <c r="P41" i="4"/>
  <c r="R41" i="5" s="1"/>
  <c r="N43" i="4"/>
  <c r="P43" i="5" s="1"/>
  <c r="Q44" i="4"/>
  <c r="S44" i="5" s="1"/>
  <c r="O46" i="4"/>
  <c r="Q46" i="5" s="1"/>
  <c r="M48" i="4"/>
  <c r="O48" i="5" s="1"/>
  <c r="P49" i="4"/>
  <c r="R49" i="5" s="1"/>
  <c r="N51" i="4"/>
  <c r="P51" i="5" s="1"/>
  <c r="Q52" i="4"/>
  <c r="S52" i="5" s="1"/>
  <c r="O54" i="4"/>
  <c r="Q54" i="5" s="1"/>
  <c r="M56" i="4"/>
  <c r="O56" i="5" s="1"/>
  <c r="P57" i="4"/>
  <c r="R57" i="5" s="1"/>
  <c r="N59" i="4"/>
  <c r="P59" i="5" s="1"/>
  <c r="Q60" i="4"/>
  <c r="S60" i="5" s="1"/>
  <c r="O62" i="4"/>
  <c r="Q62" i="5" s="1"/>
  <c r="M64" i="4"/>
  <c r="O64" i="5" s="1"/>
  <c r="P66" i="4"/>
  <c r="R66" i="5" s="1"/>
  <c r="N68" i="4"/>
  <c r="P68" i="5" s="1"/>
  <c r="Q69" i="4"/>
  <c r="S69" i="5" s="1"/>
  <c r="O71" i="4"/>
  <c r="Q71" i="5" s="1"/>
  <c r="Q9" i="8" s="1"/>
  <c r="Q15" i="8" s="1"/>
  <c r="M73" i="4"/>
  <c r="O73" i="5" s="1"/>
  <c r="P74" i="4"/>
  <c r="R74" i="5" s="1"/>
  <c r="N76" i="4"/>
  <c r="P76" i="5" s="1"/>
  <c r="Q77" i="4"/>
  <c r="S77" i="5" s="1"/>
  <c r="O79" i="4"/>
  <c r="Q79" i="5" s="1"/>
  <c r="N42" i="4"/>
  <c r="P42" i="5" s="1"/>
  <c r="M47" i="4"/>
  <c r="O47" i="5" s="1"/>
  <c r="N20" i="4"/>
  <c r="P20" i="5" s="1"/>
  <c r="P26" i="4"/>
  <c r="R26" i="5" s="1"/>
  <c r="O31" i="4"/>
  <c r="Q31" i="5" s="1"/>
  <c r="N36" i="4"/>
  <c r="P36" i="5" s="1"/>
  <c r="M41" i="4"/>
  <c r="O41" i="5" s="1"/>
  <c r="Q45" i="4"/>
  <c r="S45" i="5" s="1"/>
  <c r="Q53" i="4"/>
  <c r="S53" i="5" s="1"/>
  <c r="P58" i="4"/>
  <c r="R58" i="5" s="1"/>
  <c r="N60" i="4"/>
  <c r="P60" i="5" s="1"/>
  <c r="Q61" i="4"/>
  <c r="S61" i="5" s="1"/>
  <c r="N69" i="4"/>
  <c r="P69" i="5" s="1"/>
  <c r="Q70" i="4"/>
  <c r="S70" i="5" s="1"/>
  <c r="M74" i="4"/>
  <c r="O74" i="5" s="1"/>
  <c r="P75" i="4"/>
  <c r="R75" i="5" s="1"/>
  <c r="N77" i="4"/>
  <c r="P77" i="5" s="1"/>
  <c r="Q78" i="4"/>
  <c r="S78" i="5" s="1"/>
  <c r="O80" i="4"/>
  <c r="Q80" i="5" s="1"/>
  <c r="N28" i="4"/>
  <c r="P28" i="5" s="1"/>
  <c r="M33" i="4"/>
  <c r="O33" i="5" s="1"/>
  <c r="Q37" i="4"/>
  <c r="S37" i="5" s="1"/>
  <c r="N44" i="4"/>
  <c r="P44" i="5" s="1"/>
  <c r="M49" i="4"/>
  <c r="O49" i="5" s="1"/>
  <c r="N52" i="4"/>
  <c r="P52" i="5" s="1"/>
  <c r="M57" i="4"/>
  <c r="O57" i="5" s="1"/>
  <c r="O63" i="4"/>
  <c r="Q63" i="5" s="1"/>
  <c r="N25" i="4"/>
  <c r="P25" i="5" s="1"/>
  <c r="P10" i="4"/>
  <c r="R10" i="5" s="1"/>
  <c r="M25" i="4"/>
  <c r="O25" i="5" s="1"/>
  <c r="Q29" i="4"/>
  <c r="S29" i="5" s="1"/>
  <c r="P34" i="4"/>
  <c r="R34" i="5" s="1"/>
  <c r="O39" i="4"/>
  <c r="Q39" i="5" s="1"/>
  <c r="P42" i="4"/>
  <c r="R42" i="5" s="1"/>
  <c r="O47" i="4"/>
  <c r="Q47" i="5" s="1"/>
  <c r="P50" i="4"/>
  <c r="R50" i="5" s="1"/>
  <c r="O55" i="4"/>
  <c r="Q55" i="5" s="1"/>
  <c r="M66" i="4"/>
  <c r="O66" i="5" s="1"/>
  <c r="M27" i="4"/>
  <c r="O27" i="5" s="1"/>
  <c r="M35" i="4"/>
  <c r="O35" i="5" s="1"/>
  <c r="P52" i="4"/>
  <c r="R52" i="5" s="1"/>
  <c r="P60" i="4"/>
  <c r="R60" i="5" s="1"/>
  <c r="Q80" i="4"/>
  <c r="S80" i="5" s="1"/>
  <c r="Q76" i="4"/>
  <c r="S76" i="5" s="1"/>
  <c r="O19" i="4"/>
  <c r="Q19" i="5" s="1"/>
  <c r="Q25" i="4"/>
  <c r="S25" i="5" s="1"/>
  <c r="O27" i="4"/>
  <c r="Q27" i="5" s="1"/>
  <c r="M29" i="4"/>
  <c r="O29" i="5" s="1"/>
  <c r="P30" i="4"/>
  <c r="R30" i="5" s="1"/>
  <c r="N32" i="4"/>
  <c r="P32" i="5" s="1"/>
  <c r="Q33" i="4"/>
  <c r="S33" i="5" s="1"/>
  <c r="O35" i="4"/>
  <c r="Q35" i="5" s="1"/>
  <c r="M37" i="4"/>
  <c r="O37" i="5" s="1"/>
  <c r="P38" i="4"/>
  <c r="R38" i="5" s="1"/>
  <c r="N40" i="4"/>
  <c r="P40" i="5" s="1"/>
  <c r="Q41" i="4"/>
  <c r="S41" i="5" s="1"/>
  <c r="O43" i="4"/>
  <c r="Q43" i="5" s="1"/>
  <c r="M45" i="4"/>
  <c r="O45" i="5" s="1"/>
  <c r="P46" i="4"/>
  <c r="R46" i="5" s="1"/>
  <c r="N48" i="4"/>
  <c r="P48" i="5" s="1"/>
  <c r="Q49" i="4"/>
  <c r="S49" i="5" s="1"/>
  <c r="O51" i="4"/>
  <c r="Q51" i="5" s="1"/>
  <c r="M53" i="4"/>
  <c r="O53" i="5" s="1"/>
  <c r="P54" i="4"/>
  <c r="R54" i="5" s="1"/>
  <c r="N56" i="4"/>
  <c r="P56" i="5" s="1"/>
  <c r="Q57" i="4"/>
  <c r="S57" i="5" s="1"/>
  <c r="O59" i="4"/>
  <c r="Q59" i="5" s="1"/>
  <c r="M61" i="4"/>
  <c r="O61" i="5" s="1"/>
  <c r="P62" i="4"/>
  <c r="R62" i="5" s="1"/>
  <c r="N64" i="4"/>
  <c r="P64" i="5" s="1"/>
  <c r="Q66" i="4"/>
  <c r="S66" i="5" s="1"/>
  <c r="O68" i="4"/>
  <c r="Q68" i="5" s="1"/>
  <c r="M70" i="4"/>
  <c r="O70" i="5" s="1"/>
  <c r="P71" i="4"/>
  <c r="R71" i="5" s="1"/>
  <c r="R9" i="8" s="1"/>
  <c r="N73" i="4"/>
  <c r="P73" i="5" s="1"/>
  <c r="Q74" i="4"/>
  <c r="S74" i="5" s="1"/>
  <c r="O76" i="4"/>
  <c r="Q76" i="5" s="1"/>
  <c r="M78" i="4"/>
  <c r="O78" i="5" s="1"/>
  <c r="P79" i="4"/>
  <c r="R79" i="5" s="1"/>
  <c r="P27" i="4"/>
  <c r="R27" i="5" s="1"/>
  <c r="N61" i="4"/>
  <c r="P61" i="5" s="1"/>
  <c r="M20" i="4"/>
  <c r="O20" i="5" s="1"/>
  <c r="O26" i="4"/>
  <c r="Q26" i="5" s="1"/>
  <c r="V33" i="10"/>
  <c r="U33" i="10"/>
  <c r="T33" i="10"/>
  <c r="T50" i="10" s="1"/>
  <c r="S33" i="10"/>
  <c r="S48" i="10" s="1"/>
  <c r="R33" i="10"/>
  <c r="R65" i="10" s="1"/>
  <c r="I92" i="10"/>
  <c r="H92" i="10"/>
  <c r="G92" i="10"/>
  <c r="I91" i="10"/>
  <c r="H91" i="10"/>
  <c r="G91" i="10"/>
  <c r="I90" i="10"/>
  <c r="I58" i="10" s="1"/>
  <c r="H90" i="10"/>
  <c r="G90" i="10"/>
  <c r="I89" i="10"/>
  <c r="H89" i="10"/>
  <c r="G89" i="10"/>
  <c r="I88" i="10"/>
  <c r="H88" i="10"/>
  <c r="G88" i="10"/>
  <c r="I87" i="10"/>
  <c r="H87" i="10"/>
  <c r="G87" i="10"/>
  <c r="I86" i="10"/>
  <c r="H86" i="10"/>
  <c r="G86" i="10"/>
  <c r="I85" i="10"/>
  <c r="H85" i="10"/>
  <c r="G85" i="10"/>
  <c r="I82" i="10"/>
  <c r="H82" i="10"/>
  <c r="G82" i="10"/>
  <c r="I81" i="10"/>
  <c r="H81" i="10"/>
  <c r="G81" i="10"/>
  <c r="I80" i="10"/>
  <c r="H80" i="10"/>
  <c r="G80" i="10"/>
  <c r="I79" i="10"/>
  <c r="H79" i="10"/>
  <c r="G79" i="10"/>
  <c r="I76" i="10"/>
  <c r="H76" i="10"/>
  <c r="G76" i="10"/>
  <c r="I75" i="10"/>
  <c r="H75" i="10"/>
  <c r="G75" i="10"/>
  <c r="I74" i="10"/>
  <c r="H74" i="10"/>
  <c r="G74" i="10"/>
  <c r="I73" i="10"/>
  <c r="H73" i="10"/>
  <c r="G73" i="10"/>
  <c r="I72" i="10"/>
  <c r="H72" i="10"/>
  <c r="G72" i="10"/>
  <c r="O81" i="5"/>
  <c r="O170" i="5" s="1"/>
  <c r="P81" i="5"/>
  <c r="P170" i="5" s="1"/>
  <c r="Q81" i="5"/>
  <c r="Q170" i="5" s="1"/>
  <c r="R81" i="5"/>
  <c r="G9" i="5"/>
  <c r="G10" i="5"/>
  <c r="G11" i="5"/>
  <c r="G12" i="5"/>
  <c r="G13" i="5"/>
  <c r="G14" i="5"/>
  <c r="G15" i="5"/>
  <c r="G16" i="5"/>
  <c r="G17" i="5"/>
  <c r="G18" i="5"/>
  <c r="G19" i="5"/>
  <c r="G20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O82" i="5"/>
  <c r="O83" i="5"/>
  <c r="O84" i="5"/>
  <c r="O173" i="5"/>
  <c r="O85" i="5"/>
  <c r="O174" i="5" s="1"/>
  <c r="O86" i="5"/>
  <c r="O175" i="5" s="1"/>
  <c r="O88" i="5"/>
  <c r="O89" i="5"/>
  <c r="O178" i="5" s="1"/>
  <c r="O90" i="5"/>
  <c r="O91" i="5"/>
  <c r="O92" i="5"/>
  <c r="O181" i="5" s="1"/>
  <c r="O93" i="5"/>
  <c r="O182" i="5" s="1"/>
  <c r="H9" i="5"/>
  <c r="H10" i="5"/>
  <c r="H11" i="5"/>
  <c r="H12" i="5"/>
  <c r="H13" i="5"/>
  <c r="H14" i="5"/>
  <c r="H15" i="5"/>
  <c r="H16" i="5"/>
  <c r="H17" i="5"/>
  <c r="H18" i="5"/>
  <c r="H19" i="5"/>
  <c r="H2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P72" i="11"/>
  <c r="P73" i="11"/>
  <c r="P76" i="11"/>
  <c r="AQ127" i="1"/>
  <c r="R64" i="10"/>
  <c r="R66" i="10"/>
  <c r="S66" i="10"/>
  <c r="AQ128" i="1"/>
  <c r="P82" i="5"/>
  <c r="P171" i="5"/>
  <c r="P83" i="5"/>
  <c r="P172" i="5" s="1"/>
  <c r="P84" i="5"/>
  <c r="P85" i="5"/>
  <c r="P174" i="5"/>
  <c r="P86" i="5"/>
  <c r="P175" i="5" s="1"/>
  <c r="P88" i="5"/>
  <c r="P89" i="5"/>
  <c r="P178" i="5" s="1"/>
  <c r="P90" i="5"/>
  <c r="P179" i="5" s="1"/>
  <c r="P91" i="5"/>
  <c r="P92" i="5"/>
  <c r="P93" i="5"/>
  <c r="Q72" i="11"/>
  <c r="Q73" i="11"/>
  <c r="Q76" i="11"/>
  <c r="Q82" i="5"/>
  <c r="Q83" i="5"/>
  <c r="Q172" i="5" s="1"/>
  <c r="Q84" i="5"/>
  <c r="Q85" i="5"/>
  <c r="Q174" i="5"/>
  <c r="Q86" i="5"/>
  <c r="Q175" i="5" s="1"/>
  <c r="Q88" i="5"/>
  <c r="Q89" i="5"/>
  <c r="Q178" i="5"/>
  <c r="Q90" i="5"/>
  <c r="Q91" i="5"/>
  <c r="Q92" i="5"/>
  <c r="Q181" i="5"/>
  <c r="Q93" i="5"/>
  <c r="R72" i="11"/>
  <c r="R73" i="11"/>
  <c r="R76" i="11"/>
  <c r="R82" i="5"/>
  <c r="R83" i="5"/>
  <c r="R172" i="5" s="1"/>
  <c r="R84" i="5"/>
  <c r="R85" i="5"/>
  <c r="R174" i="5" s="1"/>
  <c r="R86" i="5"/>
  <c r="R175" i="5"/>
  <c r="R88" i="5"/>
  <c r="R177" i="5" s="1"/>
  <c r="R89" i="5"/>
  <c r="R178" i="5" s="1"/>
  <c r="R90" i="5"/>
  <c r="R179" i="5" s="1"/>
  <c r="R91" i="5"/>
  <c r="R180" i="5" s="1"/>
  <c r="R92" i="5"/>
  <c r="R93" i="5"/>
  <c r="S72" i="11"/>
  <c r="S73" i="11"/>
  <c r="S76" i="11"/>
  <c r="T72" i="11"/>
  <c r="T73" i="11"/>
  <c r="T76" i="11"/>
  <c r="S82" i="5"/>
  <c r="S83" i="5"/>
  <c r="S172" i="5" s="1"/>
  <c r="S84" i="5"/>
  <c r="S173" i="5"/>
  <c r="S85" i="5"/>
  <c r="S86" i="5"/>
  <c r="S88" i="5"/>
  <c r="S177" i="5" s="1"/>
  <c r="S89" i="5"/>
  <c r="S178" i="5" s="1"/>
  <c r="S90" i="5"/>
  <c r="S179" i="5"/>
  <c r="S91" i="5"/>
  <c r="S92" i="5"/>
  <c r="S181" i="5" s="1"/>
  <c r="S93" i="5"/>
  <c r="S182" i="5"/>
  <c r="N93" i="5"/>
  <c r="M93" i="5"/>
  <c r="N92" i="5"/>
  <c r="M92" i="5"/>
  <c r="N91" i="5"/>
  <c r="M91" i="5"/>
  <c r="N90" i="5"/>
  <c r="M90" i="5"/>
  <c r="N89" i="5"/>
  <c r="M89" i="5"/>
  <c r="N88" i="5"/>
  <c r="M88" i="5"/>
  <c r="N87" i="5"/>
  <c r="M87" i="5"/>
  <c r="N86" i="5"/>
  <c r="M86" i="5"/>
  <c r="N85" i="5"/>
  <c r="M85" i="5"/>
  <c r="N84" i="5"/>
  <c r="M84" i="5"/>
  <c r="N83" i="5"/>
  <c r="M83" i="5"/>
  <c r="N82" i="5"/>
  <c r="M82" i="5"/>
  <c r="N81" i="5"/>
  <c r="M81" i="5"/>
  <c r="N80" i="5"/>
  <c r="M80" i="5"/>
  <c r="N79" i="5"/>
  <c r="M79" i="5"/>
  <c r="N78" i="5"/>
  <c r="M78" i="5"/>
  <c r="N77" i="5"/>
  <c r="M77" i="5"/>
  <c r="N76" i="5"/>
  <c r="M76" i="5"/>
  <c r="N75" i="5"/>
  <c r="M75" i="5"/>
  <c r="N74" i="5"/>
  <c r="M74" i="5"/>
  <c r="N73" i="5"/>
  <c r="M73" i="5"/>
  <c r="N72" i="5"/>
  <c r="M72" i="5"/>
  <c r="N71" i="5"/>
  <c r="N9" i="8"/>
  <c r="N15" i="8"/>
  <c r="M71" i="5"/>
  <c r="M9" i="8"/>
  <c r="M15" i="8"/>
  <c r="N70" i="5"/>
  <c r="M70" i="5"/>
  <c r="N69" i="5"/>
  <c r="M69" i="5"/>
  <c r="N68" i="5"/>
  <c r="M68" i="5"/>
  <c r="N67" i="5"/>
  <c r="M67" i="5"/>
  <c r="N66" i="5"/>
  <c r="M66" i="5"/>
  <c r="N65" i="5"/>
  <c r="M65" i="5"/>
  <c r="N64" i="5"/>
  <c r="M64" i="5"/>
  <c r="N63" i="5"/>
  <c r="M63" i="5"/>
  <c r="N62" i="5"/>
  <c r="M62" i="5"/>
  <c r="N61" i="5"/>
  <c r="M61" i="5"/>
  <c r="N60" i="5"/>
  <c r="M60" i="5"/>
  <c r="N59" i="5"/>
  <c r="M59" i="5"/>
  <c r="N58" i="5"/>
  <c r="M58" i="5"/>
  <c r="N57" i="5"/>
  <c r="M57" i="5"/>
  <c r="N56" i="5"/>
  <c r="M56" i="5"/>
  <c r="N55" i="5"/>
  <c r="M55" i="5"/>
  <c r="N54" i="5"/>
  <c r="M54" i="5"/>
  <c r="N53" i="5"/>
  <c r="M53" i="5"/>
  <c r="N52" i="5"/>
  <c r="M52" i="5"/>
  <c r="N51" i="5"/>
  <c r="M51" i="5"/>
  <c r="N50" i="5"/>
  <c r="M50" i="5"/>
  <c r="N49" i="5"/>
  <c r="M49" i="5"/>
  <c r="N48" i="5"/>
  <c r="M48" i="5"/>
  <c r="N47" i="5"/>
  <c r="M47" i="5"/>
  <c r="N46" i="5"/>
  <c r="M46" i="5"/>
  <c r="N45" i="5"/>
  <c r="M45" i="5"/>
  <c r="N44" i="5"/>
  <c r="M44" i="5"/>
  <c r="N43" i="5"/>
  <c r="M43" i="5"/>
  <c r="N42" i="5"/>
  <c r="M42" i="5"/>
  <c r="N41" i="5"/>
  <c r="M41" i="5"/>
  <c r="N40" i="5"/>
  <c r="M40" i="5"/>
  <c r="N39" i="5"/>
  <c r="M39" i="5"/>
  <c r="N38" i="5"/>
  <c r="M38" i="5"/>
  <c r="N37" i="5"/>
  <c r="M37" i="5"/>
  <c r="N36" i="5"/>
  <c r="M36" i="5"/>
  <c r="N35" i="5"/>
  <c r="M35" i="5"/>
  <c r="N34" i="5"/>
  <c r="M34" i="5"/>
  <c r="N33" i="5"/>
  <c r="M33" i="5"/>
  <c r="N32" i="5"/>
  <c r="M32" i="5"/>
  <c r="N31" i="5"/>
  <c r="M31" i="5"/>
  <c r="N30" i="5"/>
  <c r="M30" i="5"/>
  <c r="N29" i="5"/>
  <c r="M29" i="5"/>
  <c r="N28" i="5"/>
  <c r="M28" i="5"/>
  <c r="N27" i="5"/>
  <c r="M27" i="5"/>
  <c r="N26" i="5"/>
  <c r="M26" i="5"/>
  <c r="N25" i="5"/>
  <c r="M25" i="5"/>
  <c r="N24" i="5"/>
  <c r="M24" i="5"/>
  <c r="N23" i="5"/>
  <c r="M23" i="5"/>
  <c r="N22" i="5"/>
  <c r="M22" i="5"/>
  <c r="N21" i="5"/>
  <c r="M21" i="5"/>
  <c r="N20" i="5"/>
  <c r="M20" i="5"/>
  <c r="N19" i="5"/>
  <c r="M19" i="5"/>
  <c r="N18" i="5"/>
  <c r="M18" i="5"/>
  <c r="N17" i="5"/>
  <c r="M17" i="5"/>
  <c r="N16" i="5"/>
  <c r="M16" i="5"/>
  <c r="N15" i="5"/>
  <c r="M15" i="5"/>
  <c r="N14" i="5"/>
  <c r="M14" i="5"/>
  <c r="N13" i="5"/>
  <c r="M13" i="5"/>
  <c r="N12" i="5"/>
  <c r="M12" i="5"/>
  <c r="N11" i="5"/>
  <c r="M11" i="5"/>
  <c r="N10" i="5"/>
  <c r="M10" i="5"/>
  <c r="N9" i="5"/>
  <c r="M9" i="5"/>
  <c r="P85" i="10"/>
  <c r="P86" i="10"/>
  <c r="P87" i="10"/>
  <c r="P88" i="10"/>
  <c r="P91" i="10"/>
  <c r="P92" i="10"/>
  <c r="Q85" i="10"/>
  <c r="Q86" i="10"/>
  <c r="Q87" i="10"/>
  <c r="Q88" i="10"/>
  <c r="Q91" i="10"/>
  <c r="L84" i="16"/>
  <c r="Q92" i="10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Y1676" i="3"/>
  <c r="Y1677" i="3"/>
  <c r="Y1678" i="3"/>
  <c r="Y1679" i="3"/>
  <c r="Y1680" i="3"/>
  <c r="Y1681" i="3"/>
  <c r="Y1682" i="3"/>
  <c r="Y1683" i="3"/>
  <c r="Y1684" i="3"/>
  <c r="Y1685" i="3"/>
  <c r="Y1686" i="3"/>
  <c r="Y1687" i="3"/>
  <c r="Y1688" i="3"/>
  <c r="Y1689" i="3"/>
  <c r="Y1690" i="3"/>
  <c r="Y1691" i="3"/>
  <c r="Y1692" i="3"/>
  <c r="Y1693" i="3"/>
  <c r="Y1694" i="3"/>
  <c r="Y1695" i="3"/>
  <c r="Y1696" i="3"/>
  <c r="Y1697" i="3"/>
  <c r="Y1698" i="3"/>
  <c r="Y1699" i="3"/>
  <c r="Y1700" i="3"/>
  <c r="Y1701" i="3"/>
  <c r="Y1702" i="3"/>
  <c r="Y1703" i="3"/>
  <c r="Y1704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K913" i="3"/>
  <c r="AK914" i="3"/>
  <c r="AK915" i="3"/>
  <c r="AK916" i="3"/>
  <c r="AK917" i="3"/>
  <c r="AK918" i="3"/>
  <c r="AK919" i="3"/>
  <c r="AK920" i="3"/>
  <c r="AK921" i="3"/>
  <c r="AK922" i="3"/>
  <c r="AK923" i="3"/>
  <c r="AK924" i="3"/>
  <c r="AK925" i="3"/>
  <c r="AK926" i="3"/>
  <c r="AK927" i="3"/>
  <c r="AK928" i="3"/>
  <c r="AK929" i="3"/>
  <c r="AK930" i="3"/>
  <c r="AK931" i="3"/>
  <c r="AK932" i="3"/>
  <c r="AK933" i="3"/>
  <c r="AK934" i="3"/>
  <c r="AK935" i="3"/>
  <c r="AK936" i="3"/>
  <c r="AK937" i="3"/>
  <c r="AK938" i="3"/>
  <c r="AK939" i="3"/>
  <c r="AK940" i="3"/>
  <c r="AK941" i="3"/>
  <c r="AK942" i="3"/>
  <c r="AK943" i="3"/>
  <c r="AK944" i="3"/>
  <c r="AK945" i="3"/>
  <c r="AK946" i="3"/>
  <c r="AK947" i="3"/>
  <c r="AK948" i="3"/>
  <c r="AK949" i="3"/>
  <c r="AK950" i="3"/>
  <c r="AK951" i="3"/>
  <c r="AK952" i="3"/>
  <c r="AK953" i="3"/>
  <c r="AK954" i="3"/>
  <c r="AK955" i="3"/>
  <c r="AK956" i="3"/>
  <c r="AK957" i="3"/>
  <c r="AK958" i="3"/>
  <c r="AK959" i="3"/>
  <c r="AK960" i="3"/>
  <c r="AK961" i="3"/>
  <c r="AK962" i="3"/>
  <c r="AK963" i="3"/>
  <c r="AK964" i="3"/>
  <c r="AK965" i="3"/>
  <c r="AK966" i="3"/>
  <c r="AK967" i="3"/>
  <c r="AK968" i="3"/>
  <c r="AK969" i="3"/>
  <c r="AK970" i="3"/>
  <c r="AK971" i="3"/>
  <c r="AK972" i="3"/>
  <c r="AK973" i="3"/>
  <c r="AK974" i="3"/>
  <c r="AK975" i="3"/>
  <c r="AK976" i="3"/>
  <c r="AK977" i="3"/>
  <c r="AK978" i="3"/>
  <c r="AK979" i="3"/>
  <c r="AK980" i="3"/>
  <c r="AK981" i="3"/>
  <c r="AK982" i="3"/>
  <c r="AK983" i="3"/>
  <c r="AK984" i="3"/>
  <c r="AK985" i="3"/>
  <c r="AK986" i="3"/>
  <c r="AK987" i="3"/>
  <c r="AK988" i="3"/>
  <c r="AK989" i="3"/>
  <c r="AK990" i="3"/>
  <c r="AK991" i="3"/>
  <c r="AK992" i="3"/>
  <c r="AK993" i="3"/>
  <c r="AK994" i="3"/>
  <c r="AK995" i="3"/>
  <c r="AK996" i="3"/>
  <c r="AK997" i="3"/>
  <c r="AK998" i="3"/>
  <c r="AK999" i="3"/>
  <c r="AK1000" i="3"/>
  <c r="AK1001" i="3"/>
  <c r="AK1002" i="3"/>
  <c r="AK1003" i="3"/>
  <c r="AK1004" i="3"/>
  <c r="AK1005" i="3"/>
  <c r="AK1006" i="3"/>
  <c r="AK1007" i="3"/>
  <c r="AK1008" i="3"/>
  <c r="AK1009" i="3"/>
  <c r="AK1010" i="3"/>
  <c r="AK1011" i="3"/>
  <c r="AK1012" i="3"/>
  <c r="AK1013" i="3"/>
  <c r="AK1014" i="3"/>
  <c r="AK1015" i="3"/>
  <c r="AK1016" i="3"/>
  <c r="AK1017" i="3"/>
  <c r="AK1018" i="3"/>
  <c r="AK1019" i="3"/>
  <c r="AK1020" i="3"/>
  <c r="AK1021" i="3"/>
  <c r="AK1022" i="3"/>
  <c r="AK1023" i="3"/>
  <c r="AK1024" i="3"/>
  <c r="AK1025" i="3"/>
  <c r="AK1026" i="3"/>
  <c r="AK1027" i="3"/>
  <c r="AK1028" i="3"/>
  <c r="AK1029" i="3"/>
  <c r="AK1030" i="3"/>
  <c r="AK1031" i="3"/>
  <c r="AK1032" i="3"/>
  <c r="AK1033" i="3"/>
  <c r="AK1034" i="3"/>
  <c r="AK1035" i="3"/>
  <c r="AK1036" i="3"/>
  <c r="AK1037" i="3"/>
  <c r="AK1038" i="3"/>
  <c r="AK1039" i="3"/>
  <c r="AK1040" i="3"/>
  <c r="AK1041" i="3"/>
  <c r="AK1042" i="3"/>
  <c r="AK1043" i="3"/>
  <c r="AK1044" i="3"/>
  <c r="AK1045" i="3"/>
  <c r="AK1046" i="3"/>
  <c r="AK1047" i="3"/>
  <c r="AK1048" i="3"/>
  <c r="AK1049" i="3"/>
  <c r="AK1050" i="3"/>
  <c r="AK1051" i="3"/>
  <c r="AK1052" i="3"/>
  <c r="AK1053" i="3"/>
  <c r="AK1054" i="3"/>
  <c r="AK1055" i="3"/>
  <c r="AK1056" i="3"/>
  <c r="AK1057" i="3"/>
  <c r="AK1058" i="3"/>
  <c r="AK1059" i="3"/>
  <c r="AK1060" i="3"/>
  <c r="AK1061" i="3"/>
  <c r="AK1062" i="3"/>
  <c r="AK1063" i="3"/>
  <c r="AK1064" i="3"/>
  <c r="AK1065" i="3"/>
  <c r="AK1066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K1133" i="3"/>
  <c r="AK1134" i="3"/>
  <c r="AK1135" i="3"/>
  <c r="AK1136" i="3"/>
  <c r="AK1137" i="3"/>
  <c r="AK1138" i="3"/>
  <c r="AK1139" i="3"/>
  <c r="AK1140" i="3"/>
  <c r="AK1141" i="3"/>
  <c r="AK1142" i="3"/>
  <c r="AK1143" i="3"/>
  <c r="AK1144" i="3"/>
  <c r="AK1145" i="3"/>
  <c r="AK1146" i="3"/>
  <c r="AK1147" i="3"/>
  <c r="AK1148" i="3"/>
  <c r="AK1149" i="3"/>
  <c r="AK1150" i="3"/>
  <c r="AK1151" i="3"/>
  <c r="AK1152" i="3"/>
  <c r="AK1153" i="3"/>
  <c r="AK1154" i="3"/>
  <c r="AK1155" i="3"/>
  <c r="AK1156" i="3"/>
  <c r="AK1157" i="3"/>
  <c r="AK1158" i="3"/>
  <c r="AK1159" i="3"/>
  <c r="AK1160" i="3"/>
  <c r="AK1161" i="3"/>
  <c r="AK1162" i="3"/>
  <c r="AK1163" i="3"/>
  <c r="AK1164" i="3"/>
  <c r="AK1165" i="3"/>
  <c r="AK1166" i="3"/>
  <c r="AK1167" i="3"/>
  <c r="AK1168" i="3"/>
  <c r="AK1169" i="3"/>
  <c r="AK1170" i="3"/>
  <c r="AK1171" i="3"/>
  <c r="AK1172" i="3"/>
  <c r="AK1173" i="3"/>
  <c r="AK1174" i="3"/>
  <c r="AK1175" i="3"/>
  <c r="AK1176" i="3"/>
  <c r="AK1177" i="3"/>
  <c r="AK1178" i="3"/>
  <c r="AK1179" i="3"/>
  <c r="AK1180" i="3"/>
  <c r="AK1181" i="3"/>
  <c r="AK1182" i="3"/>
  <c r="AK1183" i="3"/>
  <c r="AK1184" i="3"/>
  <c r="AK1185" i="3"/>
  <c r="AK1186" i="3"/>
  <c r="AK1187" i="3"/>
  <c r="AK1188" i="3"/>
  <c r="AK1189" i="3"/>
  <c r="AK1190" i="3"/>
  <c r="AK1191" i="3"/>
  <c r="AK1192" i="3"/>
  <c r="AK1193" i="3"/>
  <c r="AK1194" i="3"/>
  <c r="AK1195" i="3"/>
  <c r="AK1196" i="3"/>
  <c r="AK1197" i="3"/>
  <c r="AK1198" i="3"/>
  <c r="AK1199" i="3"/>
  <c r="AK1200" i="3"/>
  <c r="AK1201" i="3"/>
  <c r="AK1202" i="3"/>
  <c r="AK1203" i="3"/>
  <c r="AK1204" i="3"/>
  <c r="AK1205" i="3"/>
  <c r="AK1206" i="3"/>
  <c r="AK1207" i="3"/>
  <c r="AK1208" i="3"/>
  <c r="AK1209" i="3"/>
  <c r="AK1210" i="3"/>
  <c r="AK1211" i="3"/>
  <c r="AK1212" i="3"/>
  <c r="AK1213" i="3"/>
  <c r="AK1214" i="3"/>
  <c r="AK1215" i="3"/>
  <c r="AK1216" i="3"/>
  <c r="AK1217" i="3"/>
  <c r="AK1218" i="3"/>
  <c r="AK1219" i="3"/>
  <c r="AK1220" i="3"/>
  <c r="AK1221" i="3"/>
  <c r="AK1222" i="3"/>
  <c r="AK1223" i="3"/>
  <c r="AK1224" i="3"/>
  <c r="AK1225" i="3"/>
  <c r="AK1226" i="3"/>
  <c r="AK1227" i="3"/>
  <c r="AK1228" i="3"/>
  <c r="AK1229" i="3"/>
  <c r="AK1230" i="3"/>
  <c r="AK1231" i="3"/>
  <c r="AK1232" i="3"/>
  <c r="AK1233" i="3"/>
  <c r="AK1234" i="3"/>
  <c r="AK1235" i="3"/>
  <c r="AK1236" i="3"/>
  <c r="AK1237" i="3"/>
  <c r="AK1238" i="3"/>
  <c r="AK1239" i="3"/>
  <c r="AK1240" i="3"/>
  <c r="AK1241" i="3"/>
  <c r="AK1242" i="3"/>
  <c r="AK1243" i="3"/>
  <c r="AK1244" i="3"/>
  <c r="AK1245" i="3"/>
  <c r="AK1246" i="3"/>
  <c r="AK1247" i="3"/>
  <c r="AK1248" i="3"/>
  <c r="AK1249" i="3"/>
  <c r="AK1250" i="3"/>
  <c r="AK1251" i="3"/>
  <c r="AK1252" i="3"/>
  <c r="AK1253" i="3"/>
  <c r="AK1254" i="3"/>
  <c r="AK1255" i="3"/>
  <c r="AK1256" i="3"/>
  <c r="AK1257" i="3"/>
  <c r="AK1258" i="3"/>
  <c r="AK1259" i="3"/>
  <c r="AK1260" i="3"/>
  <c r="AK1261" i="3"/>
  <c r="AK1262" i="3"/>
  <c r="AK1263" i="3"/>
  <c r="AK1264" i="3"/>
  <c r="AK1265" i="3"/>
  <c r="AK1266" i="3"/>
  <c r="AK1267" i="3"/>
  <c r="AK1268" i="3"/>
  <c r="AK1269" i="3"/>
  <c r="AK1270" i="3"/>
  <c r="AK1271" i="3"/>
  <c r="AK1272" i="3"/>
  <c r="AK1273" i="3"/>
  <c r="AK1274" i="3"/>
  <c r="AK1275" i="3"/>
  <c r="AK1276" i="3"/>
  <c r="AK1277" i="3"/>
  <c r="AK1278" i="3"/>
  <c r="AK1279" i="3"/>
  <c r="AK1280" i="3"/>
  <c r="AK1281" i="3"/>
  <c r="AK1282" i="3"/>
  <c r="AK1283" i="3"/>
  <c r="AK1284" i="3"/>
  <c r="AK1285" i="3"/>
  <c r="AK1286" i="3"/>
  <c r="AK1287" i="3"/>
  <c r="AK1288" i="3"/>
  <c r="AK1289" i="3"/>
  <c r="AK1290" i="3"/>
  <c r="AK1291" i="3"/>
  <c r="AK1292" i="3"/>
  <c r="AK1293" i="3"/>
  <c r="AK1294" i="3"/>
  <c r="AK1295" i="3"/>
  <c r="AK1296" i="3"/>
  <c r="AK1297" i="3"/>
  <c r="AK1298" i="3"/>
  <c r="AK1299" i="3"/>
  <c r="AK1300" i="3"/>
  <c r="AK1301" i="3"/>
  <c r="AK1302" i="3"/>
  <c r="AK1303" i="3"/>
  <c r="AK1304" i="3"/>
  <c r="AK1305" i="3"/>
  <c r="AK1306" i="3"/>
  <c r="AK1307" i="3"/>
  <c r="AK1308" i="3"/>
  <c r="AK1309" i="3"/>
  <c r="AK1310" i="3"/>
  <c r="AK1311" i="3"/>
  <c r="AK1312" i="3"/>
  <c r="AK1313" i="3"/>
  <c r="AK1314" i="3"/>
  <c r="AK1315" i="3"/>
  <c r="AK1316" i="3"/>
  <c r="AK1317" i="3"/>
  <c r="AK1318" i="3"/>
  <c r="AK1319" i="3"/>
  <c r="AK1320" i="3"/>
  <c r="AK1321" i="3"/>
  <c r="AK1322" i="3"/>
  <c r="AK1323" i="3"/>
  <c r="AK1324" i="3"/>
  <c r="AK1325" i="3"/>
  <c r="AK1326" i="3"/>
  <c r="AK1327" i="3"/>
  <c r="AK1328" i="3"/>
  <c r="AK1329" i="3"/>
  <c r="AK1330" i="3"/>
  <c r="AK1331" i="3"/>
  <c r="AK1332" i="3"/>
  <c r="AK1333" i="3"/>
  <c r="AK1334" i="3"/>
  <c r="AK1335" i="3"/>
  <c r="AK1336" i="3"/>
  <c r="AK1337" i="3"/>
  <c r="AK1338" i="3"/>
  <c r="AK1339" i="3"/>
  <c r="AK1340" i="3"/>
  <c r="AK1341" i="3"/>
  <c r="AK1342" i="3"/>
  <c r="AK1343" i="3"/>
  <c r="AK1344" i="3"/>
  <c r="AK1345" i="3"/>
  <c r="AK1346" i="3"/>
  <c r="AK1347" i="3"/>
  <c r="AK1348" i="3"/>
  <c r="AK1349" i="3"/>
  <c r="AK1350" i="3"/>
  <c r="AK1351" i="3"/>
  <c r="AK1352" i="3"/>
  <c r="AK1353" i="3"/>
  <c r="AK1354" i="3"/>
  <c r="AK1355" i="3"/>
  <c r="AK1356" i="3"/>
  <c r="AK1357" i="3"/>
  <c r="AK1358" i="3"/>
  <c r="AK1359" i="3"/>
  <c r="AK1360" i="3"/>
  <c r="AK1361" i="3"/>
  <c r="AK1362" i="3"/>
  <c r="AK1363" i="3"/>
  <c r="AK1364" i="3"/>
  <c r="AK1365" i="3"/>
  <c r="AK1366" i="3"/>
  <c r="AK1367" i="3"/>
  <c r="AK1368" i="3"/>
  <c r="AK1369" i="3"/>
  <c r="AK1370" i="3"/>
  <c r="AK1371" i="3"/>
  <c r="AK1372" i="3"/>
  <c r="AK1373" i="3"/>
  <c r="AK1374" i="3"/>
  <c r="AK1375" i="3"/>
  <c r="AK1376" i="3"/>
  <c r="AK1377" i="3"/>
  <c r="AK1378" i="3"/>
  <c r="AK1379" i="3"/>
  <c r="AK1380" i="3"/>
  <c r="AK1381" i="3"/>
  <c r="AK1382" i="3"/>
  <c r="AK1383" i="3"/>
  <c r="AK1384" i="3"/>
  <c r="AK1385" i="3"/>
  <c r="AK1386" i="3"/>
  <c r="AK1387" i="3"/>
  <c r="AK1388" i="3"/>
  <c r="AK1389" i="3"/>
  <c r="AK1390" i="3"/>
  <c r="AK1391" i="3"/>
  <c r="AK1392" i="3"/>
  <c r="AK1393" i="3"/>
  <c r="AK1394" i="3"/>
  <c r="AK1395" i="3"/>
  <c r="AK1396" i="3"/>
  <c r="AK1397" i="3"/>
  <c r="AK1398" i="3"/>
  <c r="AK1399" i="3"/>
  <c r="AK1400" i="3"/>
  <c r="AK1401" i="3"/>
  <c r="AK1402" i="3"/>
  <c r="AK1403" i="3"/>
  <c r="AK1404" i="3"/>
  <c r="AK1405" i="3"/>
  <c r="AK1406" i="3"/>
  <c r="AK1407" i="3"/>
  <c r="AK1408" i="3"/>
  <c r="AK1409" i="3"/>
  <c r="AK1410" i="3"/>
  <c r="AK1411" i="3"/>
  <c r="AK1412" i="3"/>
  <c r="AK1413" i="3"/>
  <c r="AK1414" i="3"/>
  <c r="AK1415" i="3"/>
  <c r="AK1416" i="3"/>
  <c r="AK1417" i="3"/>
  <c r="AK1418" i="3"/>
  <c r="AK1419" i="3"/>
  <c r="AK1420" i="3"/>
  <c r="AK1421" i="3"/>
  <c r="AK1422" i="3"/>
  <c r="AK1423" i="3"/>
  <c r="AK1424" i="3"/>
  <c r="AK1425" i="3"/>
  <c r="AK1426" i="3"/>
  <c r="AK1427" i="3"/>
  <c r="AK1428" i="3"/>
  <c r="AK1429" i="3"/>
  <c r="AK1430" i="3"/>
  <c r="AK1431" i="3"/>
  <c r="AK1432" i="3"/>
  <c r="AK1433" i="3"/>
  <c r="AK1434" i="3"/>
  <c r="AK1435" i="3"/>
  <c r="AK1436" i="3"/>
  <c r="AK1437" i="3"/>
  <c r="AK1438" i="3"/>
  <c r="AK1439" i="3"/>
  <c r="AK1440" i="3"/>
  <c r="AK1441" i="3"/>
  <c r="AK1442" i="3"/>
  <c r="AK1443" i="3"/>
  <c r="AK1444" i="3"/>
  <c r="AK1445" i="3"/>
  <c r="AK1446" i="3"/>
  <c r="AK1447" i="3"/>
  <c r="AK1448" i="3"/>
  <c r="AK1449" i="3"/>
  <c r="AK1450" i="3"/>
  <c r="AK1451" i="3"/>
  <c r="AK1452" i="3"/>
  <c r="AK1453" i="3"/>
  <c r="AK1454" i="3"/>
  <c r="AK1455" i="3"/>
  <c r="AK1456" i="3"/>
  <c r="AK1457" i="3"/>
  <c r="AK1458" i="3"/>
  <c r="AK1459" i="3"/>
  <c r="AK1460" i="3"/>
  <c r="AK1461" i="3"/>
  <c r="AK1462" i="3"/>
  <c r="AK1463" i="3"/>
  <c r="AK1464" i="3"/>
  <c r="AK1465" i="3"/>
  <c r="AK1466" i="3"/>
  <c r="AK1467" i="3"/>
  <c r="AK1468" i="3"/>
  <c r="AK1469" i="3"/>
  <c r="AK1470" i="3"/>
  <c r="AK1471" i="3"/>
  <c r="AK1472" i="3"/>
  <c r="AK1473" i="3"/>
  <c r="AK1474" i="3"/>
  <c r="AK1475" i="3"/>
  <c r="AK1476" i="3"/>
  <c r="AK1477" i="3"/>
  <c r="AK1478" i="3"/>
  <c r="AK1479" i="3"/>
  <c r="AK1480" i="3"/>
  <c r="AK1481" i="3"/>
  <c r="AK1482" i="3"/>
  <c r="AK1483" i="3"/>
  <c r="AK1484" i="3"/>
  <c r="AK1485" i="3"/>
  <c r="AK1486" i="3"/>
  <c r="AK1487" i="3"/>
  <c r="AK1488" i="3"/>
  <c r="AK1489" i="3"/>
  <c r="AK1490" i="3"/>
  <c r="AK1491" i="3"/>
  <c r="AK1492" i="3"/>
  <c r="AK1493" i="3"/>
  <c r="AK1494" i="3"/>
  <c r="AK1495" i="3"/>
  <c r="AK1496" i="3"/>
  <c r="AK1497" i="3"/>
  <c r="AK1498" i="3"/>
  <c r="AK1499" i="3"/>
  <c r="AK1500" i="3"/>
  <c r="AK1501" i="3"/>
  <c r="AK1502" i="3"/>
  <c r="AK1503" i="3"/>
  <c r="AK1504" i="3"/>
  <c r="AK1505" i="3"/>
  <c r="AK1506" i="3"/>
  <c r="AK1507" i="3"/>
  <c r="AK1508" i="3"/>
  <c r="AK1509" i="3"/>
  <c r="AK1510" i="3"/>
  <c r="AK1511" i="3"/>
  <c r="AK1512" i="3"/>
  <c r="AK1513" i="3"/>
  <c r="AK1514" i="3"/>
  <c r="AK1515" i="3"/>
  <c r="AK1516" i="3"/>
  <c r="AK1517" i="3"/>
  <c r="AK1518" i="3"/>
  <c r="AK1519" i="3"/>
  <c r="AK1520" i="3"/>
  <c r="AK1521" i="3"/>
  <c r="AK1522" i="3"/>
  <c r="AK1523" i="3"/>
  <c r="AK1524" i="3"/>
  <c r="AK1525" i="3"/>
  <c r="AK1526" i="3"/>
  <c r="AK1527" i="3"/>
  <c r="AK1528" i="3"/>
  <c r="AK1529" i="3"/>
  <c r="AK1530" i="3"/>
  <c r="AK1531" i="3"/>
  <c r="AK1532" i="3"/>
  <c r="AK1533" i="3"/>
  <c r="AK1534" i="3"/>
  <c r="AK1535" i="3"/>
  <c r="AK1536" i="3"/>
  <c r="AK1537" i="3"/>
  <c r="AK1538" i="3"/>
  <c r="AK1539" i="3"/>
  <c r="AK1540" i="3"/>
  <c r="AK1541" i="3"/>
  <c r="AK1542" i="3"/>
  <c r="AK1543" i="3"/>
  <c r="AK1544" i="3"/>
  <c r="AK1545" i="3"/>
  <c r="AK1546" i="3"/>
  <c r="AK1547" i="3"/>
  <c r="AK1548" i="3"/>
  <c r="AK1549" i="3"/>
  <c r="AK1550" i="3"/>
  <c r="AK1551" i="3"/>
  <c r="AK1552" i="3"/>
  <c r="AK1553" i="3"/>
  <c r="AK1554" i="3"/>
  <c r="AK1555" i="3"/>
  <c r="AK1556" i="3"/>
  <c r="AK1557" i="3"/>
  <c r="AK1558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K1571" i="3"/>
  <c r="AK1572" i="3"/>
  <c r="AK1573" i="3"/>
  <c r="AK1574" i="3"/>
  <c r="AK1575" i="3"/>
  <c r="AK1576" i="3"/>
  <c r="AK1577" i="3"/>
  <c r="AK1578" i="3"/>
  <c r="AK1579" i="3"/>
  <c r="AK1580" i="3"/>
  <c r="AK1581" i="3"/>
  <c r="AK1582" i="3"/>
  <c r="AK1583" i="3"/>
  <c r="AK1584" i="3"/>
  <c r="AK1585" i="3"/>
  <c r="AK1586" i="3"/>
  <c r="AK1587" i="3"/>
  <c r="AK1588" i="3"/>
  <c r="AK1589" i="3"/>
  <c r="AK1590" i="3"/>
  <c r="AK1591" i="3"/>
  <c r="AK1592" i="3"/>
  <c r="AK1593" i="3"/>
  <c r="AK1594" i="3"/>
  <c r="AK1595" i="3"/>
  <c r="AK1596" i="3"/>
  <c r="AK1597" i="3"/>
  <c r="AK1598" i="3"/>
  <c r="AK1599" i="3"/>
  <c r="AK1600" i="3"/>
  <c r="AK1601" i="3"/>
  <c r="AK1602" i="3"/>
  <c r="AK1603" i="3"/>
  <c r="AK1604" i="3"/>
  <c r="AK1605" i="3"/>
  <c r="AK1606" i="3"/>
  <c r="AK1607" i="3"/>
  <c r="AK1608" i="3"/>
  <c r="AK1609" i="3"/>
  <c r="AK1610" i="3"/>
  <c r="AK1611" i="3"/>
  <c r="AK1612" i="3"/>
  <c r="AK1613" i="3"/>
  <c r="AK1614" i="3"/>
  <c r="AK1615" i="3"/>
  <c r="AK1616" i="3"/>
  <c r="AK1617" i="3"/>
  <c r="AK1618" i="3"/>
  <c r="AK1619" i="3"/>
  <c r="AK1620" i="3"/>
  <c r="AK1621" i="3"/>
  <c r="AK1622" i="3"/>
  <c r="AK1623" i="3"/>
  <c r="AK1624" i="3"/>
  <c r="AK1625" i="3"/>
  <c r="AK1626" i="3"/>
  <c r="AK1627" i="3"/>
  <c r="AK1628" i="3"/>
  <c r="AK1629" i="3"/>
  <c r="AK1630" i="3"/>
  <c r="AK1631" i="3"/>
  <c r="AK1632" i="3"/>
  <c r="AK1633" i="3"/>
  <c r="AK1634" i="3"/>
  <c r="AK1635" i="3"/>
  <c r="AK1636" i="3"/>
  <c r="AK1637" i="3"/>
  <c r="AK1638" i="3"/>
  <c r="AK1639" i="3"/>
  <c r="AK1640" i="3"/>
  <c r="AK1641" i="3"/>
  <c r="AK1642" i="3"/>
  <c r="AK1643" i="3"/>
  <c r="AK1644" i="3"/>
  <c r="AK1645" i="3"/>
  <c r="AK1646" i="3"/>
  <c r="AK1647" i="3"/>
  <c r="AK1648" i="3"/>
  <c r="AK1649" i="3"/>
  <c r="AK1650" i="3"/>
  <c r="AK1651" i="3"/>
  <c r="AK1652" i="3"/>
  <c r="AK1653" i="3"/>
  <c r="AK1654" i="3"/>
  <c r="AK1655" i="3"/>
  <c r="AK1656" i="3"/>
  <c r="AK1657" i="3"/>
  <c r="AK1658" i="3"/>
  <c r="AK1659" i="3"/>
  <c r="AK1660" i="3"/>
  <c r="AK1661" i="3"/>
  <c r="AK1662" i="3"/>
  <c r="AK1663" i="3"/>
  <c r="AK1664" i="3"/>
  <c r="AK1665" i="3"/>
  <c r="AK1666" i="3"/>
  <c r="AK1667" i="3"/>
  <c r="AK1668" i="3"/>
  <c r="AK1669" i="3"/>
  <c r="AK1670" i="3"/>
  <c r="AK1671" i="3"/>
  <c r="AK1672" i="3"/>
  <c r="AK1673" i="3"/>
  <c r="AK1674" i="3"/>
  <c r="AK1675" i="3"/>
  <c r="AK1676" i="3"/>
  <c r="AK1677" i="3"/>
  <c r="AK1678" i="3"/>
  <c r="AK1679" i="3"/>
  <c r="AK1680" i="3"/>
  <c r="AK1681" i="3"/>
  <c r="AK1682" i="3"/>
  <c r="AK1683" i="3"/>
  <c r="AK1684" i="3"/>
  <c r="AK1685" i="3"/>
  <c r="AK1686" i="3"/>
  <c r="AK1687" i="3"/>
  <c r="AK1688" i="3"/>
  <c r="AK1689" i="3"/>
  <c r="AK1690" i="3"/>
  <c r="AK1691" i="3"/>
  <c r="AK1692" i="3"/>
  <c r="AK1693" i="3"/>
  <c r="AK1694" i="3"/>
  <c r="AK1695" i="3"/>
  <c r="AK1696" i="3"/>
  <c r="AK1697" i="3"/>
  <c r="AK1698" i="3"/>
  <c r="AK1699" i="3"/>
  <c r="AK1700" i="3"/>
  <c r="AK1701" i="3"/>
  <c r="AK1702" i="3"/>
  <c r="AK1703" i="3"/>
  <c r="AK1704" i="3"/>
  <c r="AK1705" i="3"/>
  <c r="AK1706" i="3"/>
  <c r="AK1707" i="3"/>
  <c r="AK1708" i="3"/>
  <c r="AK1709" i="3"/>
  <c r="AK1710" i="3"/>
  <c r="AK1711" i="3"/>
  <c r="AK1712" i="3"/>
  <c r="AK1713" i="3"/>
  <c r="AK1714" i="3"/>
  <c r="AK1715" i="3"/>
  <c r="AK1716" i="3"/>
  <c r="AK1717" i="3"/>
  <c r="AK1718" i="3"/>
  <c r="AK1719" i="3"/>
  <c r="AK1720" i="3"/>
  <c r="AK1721" i="3"/>
  <c r="AK1722" i="3"/>
  <c r="AK1723" i="3"/>
  <c r="AK1724" i="3"/>
  <c r="AK1725" i="3"/>
  <c r="AK1726" i="3"/>
  <c r="AK1727" i="3"/>
  <c r="AK1728" i="3"/>
  <c r="AK1729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K1743" i="3"/>
  <c r="AK1744" i="3"/>
  <c r="AK1745" i="3"/>
  <c r="AK1746" i="3"/>
  <c r="AK1747" i="3"/>
  <c r="AK1748" i="3"/>
  <c r="AK1749" i="3"/>
  <c r="AK1750" i="3"/>
  <c r="AK1751" i="3"/>
  <c r="AK1752" i="3"/>
  <c r="AK1753" i="3"/>
  <c r="AK1754" i="3"/>
  <c r="AK1755" i="3"/>
  <c r="AK1756" i="3"/>
  <c r="AK1757" i="3"/>
  <c r="AK1758" i="3"/>
  <c r="AK1759" i="3"/>
  <c r="AK1760" i="3"/>
  <c r="AK1761" i="3"/>
  <c r="AK1762" i="3"/>
  <c r="AK1763" i="3"/>
  <c r="AK1764" i="3"/>
  <c r="AK1765" i="3"/>
  <c r="AK1766" i="3"/>
  <c r="AK1767" i="3"/>
  <c r="AK1768" i="3"/>
  <c r="AK1769" i="3"/>
  <c r="AK1770" i="3"/>
  <c r="AK1771" i="3"/>
  <c r="AK1772" i="3"/>
  <c r="AK1773" i="3"/>
  <c r="AK1774" i="3"/>
  <c r="AK1775" i="3"/>
  <c r="AK1776" i="3"/>
  <c r="AK1777" i="3"/>
  <c r="AK1778" i="3"/>
  <c r="AK1779" i="3"/>
  <c r="AK1780" i="3"/>
  <c r="AK1781" i="3"/>
  <c r="AK1782" i="3"/>
  <c r="AK1783" i="3"/>
  <c r="AK1784" i="3"/>
  <c r="AK1785" i="3"/>
  <c r="AK1786" i="3"/>
  <c r="AK1787" i="3"/>
  <c r="AK1788" i="3"/>
  <c r="AK1789" i="3"/>
  <c r="AK1790" i="3"/>
  <c r="AK1791" i="3"/>
  <c r="AK1792" i="3"/>
  <c r="AK1793" i="3"/>
  <c r="AK1794" i="3"/>
  <c r="AK1795" i="3"/>
  <c r="AK1796" i="3"/>
  <c r="AK1797" i="3"/>
  <c r="AK1798" i="3"/>
  <c r="AK1799" i="3"/>
  <c r="AK1800" i="3"/>
  <c r="AK1801" i="3"/>
  <c r="AK1802" i="3"/>
  <c r="AK1803" i="3"/>
  <c r="AK1804" i="3"/>
  <c r="AK1805" i="3"/>
  <c r="AK1806" i="3"/>
  <c r="AK1807" i="3"/>
  <c r="AK1808" i="3"/>
  <c r="AK1809" i="3"/>
  <c r="AK1810" i="3"/>
  <c r="AK1811" i="3"/>
  <c r="AK1812" i="3"/>
  <c r="AK1813" i="3"/>
  <c r="AK1814" i="3"/>
  <c r="AK1815" i="3"/>
  <c r="AK1816" i="3"/>
  <c r="AK1817" i="3"/>
  <c r="AK1818" i="3"/>
  <c r="AK1819" i="3"/>
  <c r="AK1820" i="3"/>
  <c r="AK1821" i="3"/>
  <c r="AK1822" i="3"/>
  <c r="AK1823" i="3"/>
  <c r="AK1824" i="3"/>
  <c r="AK1825" i="3"/>
  <c r="AK1826" i="3"/>
  <c r="AK1827" i="3"/>
  <c r="AK1828" i="3"/>
  <c r="AK1829" i="3"/>
  <c r="AK1830" i="3"/>
  <c r="AK1831" i="3"/>
  <c r="AK1832" i="3"/>
  <c r="AK1833" i="3"/>
  <c r="AK1834" i="3"/>
  <c r="AK1835" i="3"/>
  <c r="AK1836" i="3"/>
  <c r="AK1837" i="3"/>
  <c r="AK1838" i="3"/>
  <c r="AK1839" i="3"/>
  <c r="AK1840" i="3"/>
  <c r="AK1841" i="3"/>
  <c r="AK1842" i="3"/>
  <c r="AK1843" i="3"/>
  <c r="AK1844" i="3"/>
  <c r="AK1845" i="3"/>
  <c r="AK1846" i="3"/>
  <c r="AK1847" i="3"/>
  <c r="AK184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Y553" i="3"/>
  <c r="AY554" i="3"/>
  <c r="AY555" i="3"/>
  <c r="AY556" i="3"/>
  <c r="AY557" i="3"/>
  <c r="AY558" i="3"/>
  <c r="AY559" i="3"/>
  <c r="AY560" i="3"/>
  <c r="AY561" i="3"/>
  <c r="AY562" i="3"/>
  <c r="AY563" i="3"/>
  <c r="AY564" i="3"/>
  <c r="AY565" i="3"/>
  <c r="AY566" i="3"/>
  <c r="AY567" i="3"/>
  <c r="AY568" i="3"/>
  <c r="AY569" i="3"/>
  <c r="AY570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586" i="3"/>
  <c r="AY587" i="3"/>
  <c r="AY588" i="3"/>
  <c r="AY589" i="3"/>
  <c r="AY590" i="3"/>
  <c r="AY591" i="3"/>
  <c r="AY592" i="3"/>
  <c r="AY593" i="3"/>
  <c r="AY594" i="3"/>
  <c r="AY595" i="3"/>
  <c r="AY596" i="3"/>
  <c r="AY597" i="3"/>
  <c r="AY598" i="3"/>
  <c r="AY599" i="3"/>
  <c r="AY600" i="3"/>
  <c r="AY601" i="3"/>
  <c r="AY602" i="3"/>
  <c r="AY603" i="3"/>
  <c r="AY604" i="3"/>
  <c r="AY605" i="3"/>
  <c r="AY606" i="3"/>
  <c r="AY607" i="3"/>
  <c r="AY608" i="3"/>
  <c r="AY609" i="3"/>
  <c r="AY610" i="3"/>
  <c r="AY611" i="3"/>
  <c r="AY612" i="3"/>
  <c r="AY613" i="3"/>
  <c r="AY614" i="3"/>
  <c r="AY615" i="3"/>
  <c r="AY616" i="3"/>
  <c r="AY617" i="3"/>
  <c r="AY618" i="3"/>
  <c r="AY619" i="3"/>
  <c r="AY620" i="3"/>
  <c r="AY621" i="3"/>
  <c r="AY622" i="3"/>
  <c r="AY623" i="3"/>
  <c r="AY624" i="3"/>
  <c r="AY625" i="3"/>
  <c r="AY626" i="3"/>
  <c r="AY627" i="3"/>
  <c r="AY628" i="3"/>
  <c r="AY629" i="3"/>
  <c r="AY630" i="3"/>
  <c r="AY631" i="3"/>
  <c r="AY632" i="3"/>
  <c r="AY633" i="3"/>
  <c r="AY634" i="3"/>
  <c r="AY635" i="3"/>
  <c r="AY636" i="3"/>
  <c r="AY637" i="3"/>
  <c r="AY638" i="3"/>
  <c r="AY639" i="3"/>
  <c r="AY640" i="3"/>
  <c r="AY641" i="3"/>
  <c r="AY642" i="3"/>
  <c r="AY643" i="3"/>
  <c r="AY644" i="3"/>
  <c r="AY645" i="3"/>
  <c r="AY646" i="3"/>
  <c r="AY647" i="3"/>
  <c r="AY648" i="3"/>
  <c r="AY649" i="3"/>
  <c r="AY650" i="3"/>
  <c r="AY651" i="3"/>
  <c r="AY652" i="3"/>
  <c r="AY653" i="3"/>
  <c r="AY654" i="3"/>
  <c r="AY655" i="3"/>
  <c r="AY656" i="3"/>
  <c r="AY657" i="3"/>
  <c r="AY658" i="3"/>
  <c r="AY659" i="3"/>
  <c r="AY660" i="3"/>
  <c r="AY661" i="3"/>
  <c r="AY662" i="3"/>
  <c r="AY663" i="3"/>
  <c r="AY664" i="3"/>
  <c r="AY665" i="3"/>
  <c r="AY666" i="3"/>
  <c r="AY667" i="3"/>
  <c r="AY668" i="3"/>
  <c r="AY669" i="3"/>
  <c r="AY670" i="3"/>
  <c r="AY671" i="3"/>
  <c r="AY672" i="3"/>
  <c r="AY673" i="3"/>
  <c r="AY674" i="3"/>
  <c r="AY675" i="3"/>
  <c r="AY676" i="3"/>
  <c r="AY677" i="3"/>
  <c r="AY678" i="3"/>
  <c r="AY679" i="3"/>
  <c r="AY680" i="3"/>
  <c r="AY681" i="3"/>
  <c r="AY682" i="3"/>
  <c r="AY683" i="3"/>
  <c r="AY684" i="3"/>
  <c r="AY685" i="3"/>
  <c r="AY686" i="3"/>
  <c r="AY687" i="3"/>
  <c r="AY688" i="3"/>
  <c r="AY689" i="3"/>
  <c r="AY690" i="3"/>
  <c r="AY691" i="3"/>
  <c r="AY692" i="3"/>
  <c r="AY693" i="3"/>
  <c r="AY694" i="3"/>
  <c r="AY695" i="3"/>
  <c r="AY696" i="3"/>
  <c r="AY697" i="3"/>
  <c r="AY698" i="3"/>
  <c r="AY699" i="3"/>
  <c r="AY700" i="3"/>
  <c r="AY701" i="3"/>
  <c r="AY702" i="3"/>
  <c r="AY703" i="3"/>
  <c r="AY704" i="3"/>
  <c r="AY705" i="3"/>
  <c r="AY706" i="3"/>
  <c r="AY707" i="3"/>
  <c r="AY708" i="3"/>
  <c r="AY709" i="3"/>
  <c r="AY710" i="3"/>
  <c r="AY711" i="3"/>
  <c r="AY712" i="3"/>
  <c r="AY713" i="3"/>
  <c r="AY714" i="3"/>
  <c r="AY715" i="3"/>
  <c r="AY716" i="3"/>
  <c r="AY717" i="3"/>
  <c r="AY718" i="3"/>
  <c r="AY719" i="3"/>
  <c r="AY720" i="3"/>
  <c r="AY721" i="3"/>
  <c r="AY722" i="3"/>
  <c r="AY723" i="3"/>
  <c r="AY724" i="3"/>
  <c r="AY725" i="3"/>
  <c r="AY726" i="3"/>
  <c r="AY727" i="3"/>
  <c r="AY728" i="3"/>
  <c r="AY729" i="3"/>
  <c r="AY730" i="3"/>
  <c r="AY731" i="3"/>
  <c r="AY732" i="3"/>
  <c r="AY733" i="3"/>
  <c r="AY734" i="3"/>
  <c r="AY735" i="3"/>
  <c r="AY736" i="3"/>
  <c r="AY737" i="3"/>
  <c r="AY738" i="3"/>
  <c r="AY739" i="3"/>
  <c r="AY740" i="3"/>
  <c r="AY741" i="3"/>
  <c r="AY742" i="3"/>
  <c r="AY743" i="3"/>
  <c r="AY744" i="3"/>
  <c r="AY745" i="3"/>
  <c r="AY746" i="3"/>
  <c r="AY747" i="3"/>
  <c r="AY748" i="3"/>
  <c r="AY749" i="3"/>
  <c r="AY750" i="3"/>
  <c r="AY751" i="3"/>
  <c r="AY752" i="3"/>
  <c r="AY753" i="3"/>
  <c r="AY754" i="3"/>
  <c r="AY755" i="3"/>
  <c r="AY756" i="3"/>
  <c r="AY757" i="3"/>
  <c r="AY758" i="3"/>
  <c r="AY759" i="3"/>
  <c r="AY760" i="3"/>
  <c r="AY761" i="3"/>
  <c r="AY762" i="3"/>
  <c r="AY763" i="3"/>
  <c r="AY764" i="3"/>
  <c r="AY765" i="3"/>
  <c r="AY766" i="3"/>
  <c r="AY767" i="3"/>
  <c r="AY768" i="3"/>
  <c r="AY769" i="3"/>
  <c r="AY770" i="3"/>
  <c r="AY771" i="3"/>
  <c r="AY772" i="3"/>
  <c r="AY773" i="3"/>
  <c r="AY774" i="3"/>
  <c r="AY775" i="3"/>
  <c r="AY776" i="3"/>
  <c r="AY777" i="3"/>
  <c r="AY778" i="3"/>
  <c r="AY779" i="3"/>
  <c r="AY780" i="3"/>
  <c r="AY781" i="3"/>
  <c r="AY782" i="3"/>
  <c r="AY783" i="3"/>
  <c r="AY784" i="3"/>
  <c r="AY785" i="3"/>
  <c r="AY786" i="3"/>
  <c r="AY787" i="3"/>
  <c r="AY788" i="3"/>
  <c r="AY789" i="3"/>
  <c r="AY790" i="3"/>
  <c r="AY791" i="3"/>
  <c r="AY792" i="3"/>
  <c r="AY793" i="3"/>
  <c r="AY794" i="3"/>
  <c r="AY795" i="3"/>
  <c r="AY796" i="3"/>
  <c r="AY797" i="3"/>
  <c r="AY798" i="3"/>
  <c r="AY799" i="3"/>
  <c r="AY800" i="3"/>
  <c r="AY801" i="3"/>
  <c r="AY802" i="3"/>
  <c r="AY803" i="3"/>
  <c r="AY804" i="3"/>
  <c r="AY805" i="3"/>
  <c r="AY806" i="3"/>
  <c r="AY807" i="3"/>
  <c r="AY808" i="3"/>
  <c r="AY809" i="3"/>
  <c r="AY810" i="3"/>
  <c r="AY811" i="3"/>
  <c r="AY812" i="3"/>
  <c r="AY813" i="3"/>
  <c r="AY814" i="3"/>
  <c r="AY815" i="3"/>
  <c r="AY816" i="3"/>
  <c r="AY817" i="3"/>
  <c r="AY818" i="3"/>
  <c r="AY819" i="3"/>
  <c r="AY820" i="3"/>
  <c r="AY821" i="3"/>
  <c r="AY822" i="3"/>
  <c r="AY823" i="3"/>
  <c r="AY824" i="3"/>
  <c r="AY825" i="3"/>
  <c r="AY826" i="3"/>
  <c r="AY827" i="3"/>
  <c r="AY828" i="3"/>
  <c r="AY829" i="3"/>
  <c r="AY830" i="3"/>
  <c r="AY831" i="3"/>
  <c r="AY832" i="3"/>
  <c r="AY833" i="3"/>
  <c r="AY834" i="3"/>
  <c r="AY835" i="3"/>
  <c r="AY836" i="3"/>
  <c r="AY837" i="3"/>
  <c r="AY838" i="3"/>
  <c r="AY839" i="3"/>
  <c r="AY840" i="3"/>
  <c r="AY841" i="3"/>
  <c r="AY842" i="3"/>
  <c r="AY843" i="3"/>
  <c r="AY844" i="3"/>
  <c r="AY845" i="3"/>
  <c r="AY846" i="3"/>
  <c r="AY847" i="3"/>
  <c r="AY848" i="3"/>
  <c r="AY849" i="3"/>
  <c r="AY850" i="3"/>
  <c r="AY851" i="3"/>
  <c r="AY852" i="3"/>
  <c r="AY853" i="3"/>
  <c r="AY854" i="3"/>
  <c r="AY855" i="3"/>
  <c r="AY856" i="3"/>
  <c r="AY857" i="3"/>
  <c r="AY858" i="3"/>
  <c r="AY859" i="3"/>
  <c r="AY860" i="3"/>
  <c r="AY861" i="3"/>
  <c r="AY862" i="3"/>
  <c r="AY863" i="3"/>
  <c r="AY864" i="3"/>
  <c r="AY865" i="3"/>
  <c r="AY866" i="3"/>
  <c r="AY867" i="3"/>
  <c r="AY868" i="3"/>
  <c r="AY869" i="3"/>
  <c r="AY870" i="3"/>
  <c r="AY871" i="3"/>
  <c r="AY872" i="3"/>
  <c r="AY873" i="3"/>
  <c r="AY874" i="3"/>
  <c r="AY875" i="3"/>
  <c r="AY876" i="3"/>
  <c r="AY877" i="3"/>
  <c r="AY878" i="3"/>
  <c r="AY879" i="3"/>
  <c r="AY880" i="3"/>
  <c r="AY881" i="3"/>
  <c r="AY882" i="3"/>
  <c r="AY883" i="3"/>
  <c r="AY884" i="3"/>
  <c r="AY885" i="3"/>
  <c r="AY886" i="3"/>
  <c r="AY887" i="3"/>
  <c r="AY888" i="3"/>
  <c r="AY889" i="3"/>
  <c r="AY890" i="3"/>
  <c r="AY891" i="3"/>
  <c r="AY892" i="3"/>
  <c r="AY893" i="3"/>
  <c r="AY894" i="3"/>
  <c r="AY895" i="3"/>
  <c r="AY896" i="3"/>
  <c r="AY897" i="3"/>
  <c r="AY898" i="3"/>
  <c r="AY899" i="3"/>
  <c r="AY900" i="3"/>
  <c r="AY901" i="3"/>
  <c r="AY902" i="3"/>
  <c r="AY903" i="3"/>
  <c r="AY904" i="3"/>
  <c r="AY905" i="3"/>
  <c r="AY906" i="3"/>
  <c r="AY907" i="3"/>
  <c r="AY908" i="3"/>
  <c r="AY909" i="3"/>
  <c r="AY910" i="3"/>
  <c r="AY911" i="3"/>
  <c r="AY912" i="3"/>
  <c r="AY913" i="3"/>
  <c r="AY914" i="3"/>
  <c r="AY915" i="3"/>
  <c r="AY916" i="3"/>
  <c r="AY917" i="3"/>
  <c r="AY918" i="3"/>
  <c r="AY919" i="3"/>
  <c r="AY920" i="3"/>
  <c r="AY921" i="3"/>
  <c r="AY922" i="3"/>
  <c r="AY923" i="3"/>
  <c r="AY924" i="3"/>
  <c r="AY925" i="3"/>
  <c r="AY926" i="3"/>
  <c r="AY927" i="3"/>
  <c r="AY928" i="3"/>
  <c r="AY929" i="3"/>
  <c r="AY930" i="3"/>
  <c r="AY931" i="3"/>
  <c r="AY932" i="3"/>
  <c r="AY933" i="3"/>
  <c r="AY934" i="3"/>
  <c r="AY935" i="3"/>
  <c r="AY936" i="3"/>
  <c r="AY937" i="3"/>
  <c r="AY938" i="3"/>
  <c r="AY939" i="3"/>
  <c r="AY940" i="3"/>
  <c r="AY941" i="3"/>
  <c r="AY942" i="3"/>
  <c r="AY943" i="3"/>
  <c r="AY944" i="3"/>
  <c r="AY945" i="3"/>
  <c r="AY946" i="3"/>
  <c r="AY947" i="3"/>
  <c r="AY948" i="3"/>
  <c r="AY949" i="3"/>
  <c r="AY950" i="3"/>
  <c r="AY951" i="3"/>
  <c r="AY952" i="3"/>
  <c r="AY953" i="3"/>
  <c r="AY954" i="3"/>
  <c r="AY955" i="3"/>
  <c r="AY956" i="3"/>
  <c r="AY957" i="3"/>
  <c r="AY958" i="3"/>
  <c r="AY959" i="3"/>
  <c r="AY960" i="3"/>
  <c r="AY961" i="3"/>
  <c r="AY962" i="3"/>
  <c r="AY963" i="3"/>
  <c r="AY964" i="3"/>
  <c r="AY965" i="3"/>
  <c r="AY966" i="3"/>
  <c r="AY967" i="3"/>
  <c r="AY968" i="3"/>
  <c r="AY969" i="3"/>
  <c r="AY970" i="3"/>
  <c r="AY971" i="3"/>
  <c r="AY972" i="3"/>
  <c r="AY973" i="3"/>
  <c r="AY974" i="3"/>
  <c r="AY975" i="3"/>
  <c r="AY976" i="3"/>
  <c r="AY977" i="3"/>
  <c r="AY978" i="3"/>
  <c r="AY979" i="3"/>
  <c r="AY980" i="3"/>
  <c r="AY981" i="3"/>
  <c r="AY982" i="3"/>
  <c r="AY983" i="3"/>
  <c r="AY984" i="3"/>
  <c r="AY985" i="3"/>
  <c r="AY986" i="3"/>
  <c r="AY987" i="3"/>
  <c r="AY988" i="3"/>
  <c r="AY989" i="3"/>
  <c r="AY990" i="3"/>
  <c r="AY991" i="3"/>
  <c r="AY992" i="3"/>
  <c r="AY993" i="3"/>
  <c r="AY994" i="3"/>
  <c r="AY995" i="3"/>
  <c r="AY996" i="3"/>
  <c r="AY997" i="3"/>
  <c r="AY998" i="3"/>
  <c r="AY999" i="3"/>
  <c r="AY1000" i="3"/>
  <c r="AY1001" i="3"/>
  <c r="AY1002" i="3"/>
  <c r="AY1003" i="3"/>
  <c r="AY1004" i="3"/>
  <c r="AY1005" i="3"/>
  <c r="AY1006" i="3"/>
  <c r="AY1007" i="3"/>
  <c r="AY1008" i="3"/>
  <c r="AY1009" i="3"/>
  <c r="AY1010" i="3"/>
  <c r="AY1011" i="3"/>
  <c r="AY1012" i="3"/>
  <c r="AY1013" i="3"/>
  <c r="AY1014" i="3"/>
  <c r="AY1015" i="3"/>
  <c r="AY1016" i="3"/>
  <c r="AY1017" i="3"/>
  <c r="AY1018" i="3"/>
  <c r="AY1019" i="3"/>
  <c r="AY1020" i="3"/>
  <c r="AY1021" i="3"/>
  <c r="AY1022" i="3"/>
  <c r="AY1023" i="3"/>
  <c r="AY1024" i="3"/>
  <c r="AY1025" i="3"/>
  <c r="AY1026" i="3"/>
  <c r="AY1027" i="3"/>
  <c r="AY1028" i="3"/>
  <c r="AY1029" i="3"/>
  <c r="AY1030" i="3"/>
  <c r="AY1031" i="3"/>
  <c r="AY1032" i="3"/>
  <c r="AY1033" i="3"/>
  <c r="AY1034" i="3"/>
  <c r="AY1035" i="3"/>
  <c r="AY1036" i="3"/>
  <c r="AY1037" i="3"/>
  <c r="AY1038" i="3"/>
  <c r="AY1039" i="3"/>
  <c r="AY1040" i="3"/>
  <c r="AY1041" i="3"/>
  <c r="AY1042" i="3"/>
  <c r="AY1043" i="3"/>
  <c r="AY1044" i="3"/>
  <c r="AY1045" i="3"/>
  <c r="AY1046" i="3"/>
  <c r="AY1047" i="3"/>
  <c r="AY1048" i="3"/>
  <c r="AY1052" i="3"/>
  <c r="AY1053" i="3"/>
  <c r="AY1054" i="3"/>
  <c r="AY1055" i="3"/>
  <c r="AY1056" i="3"/>
  <c r="AY1057" i="3"/>
  <c r="AY1058" i="3"/>
  <c r="AY1059" i="3"/>
  <c r="AY1060" i="3"/>
  <c r="AY1061" i="3"/>
  <c r="AY1062" i="3"/>
  <c r="AY1063" i="3"/>
  <c r="AY1064" i="3"/>
  <c r="AY1065" i="3"/>
  <c r="AY1066" i="3"/>
  <c r="AY1067" i="3"/>
  <c r="AY1068" i="3"/>
  <c r="AY1069" i="3"/>
  <c r="AY1070" i="3"/>
  <c r="AY1071" i="3"/>
  <c r="AY1072" i="3"/>
  <c r="AY1073" i="3"/>
  <c r="AY1074" i="3"/>
  <c r="AY1075" i="3"/>
  <c r="AY1076" i="3"/>
  <c r="AY1077" i="3"/>
  <c r="AY1078" i="3"/>
  <c r="AY1079" i="3"/>
  <c r="AY1080" i="3"/>
  <c r="AY1081" i="3"/>
  <c r="AY1082" i="3"/>
  <c r="AY1083" i="3"/>
  <c r="AY1084" i="3"/>
  <c r="AY1085" i="3"/>
  <c r="AY1086" i="3"/>
  <c r="AY1087" i="3"/>
  <c r="AY1088" i="3"/>
  <c r="AY1089" i="3"/>
  <c r="AY1090" i="3"/>
  <c r="AY1091" i="3"/>
  <c r="AY1092" i="3"/>
  <c r="AY1093" i="3"/>
  <c r="AY1094" i="3"/>
  <c r="AY1095" i="3"/>
  <c r="AY1096" i="3"/>
  <c r="AY1097" i="3"/>
  <c r="AY1098" i="3"/>
  <c r="AY1099" i="3"/>
  <c r="AY1100" i="3"/>
  <c r="AY1101" i="3"/>
  <c r="AY1102" i="3"/>
  <c r="AY1103" i="3"/>
  <c r="AY1104" i="3"/>
  <c r="AY1105" i="3"/>
  <c r="AY1106" i="3"/>
  <c r="AY1107" i="3"/>
  <c r="AY1108" i="3"/>
  <c r="AY1109" i="3"/>
  <c r="AY1110" i="3"/>
  <c r="AY1111" i="3"/>
  <c r="AY1112" i="3"/>
  <c r="AY1113" i="3"/>
  <c r="AY1114" i="3"/>
  <c r="AY1115" i="3"/>
  <c r="AY1116" i="3"/>
  <c r="AY1117" i="3"/>
  <c r="AY1118" i="3"/>
  <c r="AY1119" i="3"/>
  <c r="AY1120" i="3"/>
  <c r="AY1121" i="3"/>
  <c r="AY1122" i="3"/>
  <c r="AY1123" i="3"/>
  <c r="AY1124" i="3"/>
  <c r="AY1125" i="3"/>
  <c r="AY1126" i="3"/>
  <c r="AY1127" i="3"/>
  <c r="AY1128" i="3"/>
  <c r="AY1129" i="3"/>
  <c r="AY1130" i="3"/>
  <c r="AY1131" i="3"/>
  <c r="AY1132" i="3"/>
  <c r="AY1133" i="3"/>
  <c r="AY1134" i="3"/>
  <c r="AY1135" i="3"/>
  <c r="AY1136" i="3"/>
  <c r="AY1137" i="3"/>
  <c r="AY1138" i="3"/>
  <c r="AY1139" i="3"/>
  <c r="AY1140" i="3"/>
  <c r="AY1141" i="3"/>
  <c r="AY1142" i="3"/>
  <c r="AY1143" i="3"/>
  <c r="AY1144" i="3"/>
  <c r="AY1145" i="3"/>
  <c r="AY1146" i="3"/>
  <c r="AY1147" i="3"/>
  <c r="AY1148" i="3"/>
  <c r="AY1149" i="3"/>
  <c r="AY1150" i="3"/>
  <c r="AY1151" i="3"/>
  <c r="AY1152" i="3"/>
  <c r="AY1153" i="3"/>
  <c r="AY1154" i="3"/>
  <c r="AY1155" i="3"/>
  <c r="AY1156" i="3"/>
  <c r="AY1157" i="3"/>
  <c r="AY1158" i="3"/>
  <c r="AY1159" i="3"/>
  <c r="AY1160" i="3"/>
  <c r="AY1161" i="3"/>
  <c r="AY1162" i="3"/>
  <c r="AY1163" i="3"/>
  <c r="AY1164" i="3"/>
  <c r="AY1165" i="3"/>
  <c r="AY1166" i="3"/>
  <c r="AY1167" i="3"/>
  <c r="AY1168" i="3"/>
  <c r="AY1169" i="3"/>
  <c r="AY1170" i="3"/>
  <c r="AY1171" i="3"/>
  <c r="AY1172" i="3"/>
  <c r="AY1173" i="3"/>
  <c r="AY1174" i="3"/>
  <c r="AY1175" i="3"/>
  <c r="AY1176" i="3"/>
  <c r="AY1177" i="3"/>
  <c r="AY1178" i="3"/>
  <c r="AY1179" i="3"/>
  <c r="AY1180" i="3"/>
  <c r="AY1181" i="3"/>
  <c r="AY1182" i="3"/>
  <c r="AY1183" i="3"/>
  <c r="AY1184" i="3"/>
  <c r="AY1185" i="3"/>
  <c r="AY1186" i="3"/>
  <c r="AY1187" i="3"/>
  <c r="AY1188" i="3"/>
  <c r="AY1189" i="3"/>
  <c r="AY1190" i="3"/>
  <c r="AY1191" i="3"/>
  <c r="AY1192" i="3"/>
  <c r="AY1193" i="3"/>
  <c r="AY1194" i="3"/>
  <c r="AY1195" i="3"/>
  <c r="AY1196" i="3"/>
  <c r="AY1197" i="3"/>
  <c r="AY1198" i="3"/>
  <c r="AY1199" i="3"/>
  <c r="AY1200" i="3"/>
  <c r="AY1201" i="3"/>
  <c r="AY1202" i="3"/>
  <c r="AY1203" i="3"/>
  <c r="AY1204" i="3"/>
  <c r="AY1205" i="3"/>
  <c r="AY1206" i="3"/>
  <c r="AY1207" i="3"/>
  <c r="AY1208" i="3"/>
  <c r="AY1209" i="3"/>
  <c r="AY1210" i="3"/>
  <c r="AY1211" i="3"/>
  <c r="AY1212" i="3"/>
  <c r="AY1213" i="3"/>
  <c r="AY1214" i="3"/>
  <c r="AY1215" i="3"/>
  <c r="AY1216" i="3"/>
  <c r="AY1217" i="3"/>
  <c r="AY1218" i="3"/>
  <c r="AY1219" i="3"/>
  <c r="AY1220" i="3"/>
  <c r="AY1221" i="3"/>
  <c r="AY1222" i="3"/>
  <c r="AY1223" i="3"/>
  <c r="AY1224" i="3"/>
  <c r="AY1225" i="3"/>
  <c r="AY1226" i="3"/>
  <c r="AY1227" i="3"/>
  <c r="AY1228" i="3"/>
  <c r="AY1229" i="3"/>
  <c r="AY1230" i="3"/>
  <c r="AY1231" i="3"/>
  <c r="AY1232" i="3"/>
  <c r="AY1233" i="3"/>
  <c r="AY1234" i="3"/>
  <c r="AY1235" i="3"/>
  <c r="AY1236" i="3"/>
  <c r="AY1237" i="3"/>
  <c r="AY1238" i="3"/>
  <c r="AY1239" i="3"/>
  <c r="AY1240" i="3"/>
  <c r="AY1241" i="3"/>
  <c r="AY1242" i="3"/>
  <c r="AY1243" i="3"/>
  <c r="AY1244" i="3"/>
  <c r="AY1245" i="3"/>
  <c r="AY1246" i="3"/>
  <c r="AY1247" i="3"/>
  <c r="AY1248" i="3"/>
  <c r="AY1249" i="3"/>
  <c r="AY1250" i="3"/>
  <c r="AY1251" i="3"/>
  <c r="AY1252" i="3"/>
  <c r="AY1253" i="3"/>
  <c r="AY1254" i="3"/>
  <c r="AY1255" i="3"/>
  <c r="AY1256" i="3"/>
  <c r="AY1257" i="3"/>
  <c r="AY1258" i="3"/>
  <c r="AY1259" i="3"/>
  <c r="AY1260" i="3"/>
  <c r="AY1261" i="3"/>
  <c r="AY1262" i="3"/>
  <c r="AY1263" i="3"/>
  <c r="AY1264" i="3"/>
  <c r="AY1265" i="3"/>
  <c r="AY1266" i="3"/>
  <c r="AY1267" i="3"/>
  <c r="AY1268" i="3"/>
  <c r="AY1269" i="3"/>
  <c r="AY1270" i="3"/>
  <c r="AY1271" i="3"/>
  <c r="AY1272" i="3"/>
  <c r="AY1273" i="3"/>
  <c r="AY1274" i="3"/>
  <c r="AY1275" i="3"/>
  <c r="AY1276" i="3"/>
  <c r="AY1277" i="3"/>
  <c r="AY1278" i="3"/>
  <c r="AY1279" i="3"/>
  <c r="AY1280" i="3"/>
  <c r="AY1281" i="3"/>
  <c r="AY1282" i="3"/>
  <c r="AY1283" i="3"/>
  <c r="AY1284" i="3"/>
  <c r="AY1285" i="3"/>
  <c r="AY1286" i="3"/>
  <c r="AY1287" i="3"/>
  <c r="AY1288" i="3"/>
  <c r="AY1289" i="3"/>
  <c r="AY1290" i="3"/>
  <c r="AY1291" i="3"/>
  <c r="AY1292" i="3"/>
  <c r="AY1293" i="3"/>
  <c r="AY1294" i="3"/>
  <c r="AY1295" i="3"/>
  <c r="AY1296" i="3"/>
  <c r="AY1297" i="3"/>
  <c r="AY1298" i="3"/>
  <c r="AY1299" i="3"/>
  <c r="AY1300" i="3"/>
  <c r="AY1301" i="3"/>
  <c r="AY1302" i="3"/>
  <c r="AY1303" i="3"/>
  <c r="AY1304" i="3"/>
  <c r="AY1305" i="3"/>
  <c r="AY1306" i="3"/>
  <c r="AY1307" i="3"/>
  <c r="AY1308" i="3"/>
  <c r="AY1309" i="3"/>
  <c r="AY1310" i="3"/>
  <c r="AY1311" i="3"/>
  <c r="AY1312" i="3"/>
  <c r="AY1313" i="3"/>
  <c r="AY1314" i="3"/>
  <c r="AY1315" i="3"/>
  <c r="AY1316" i="3"/>
  <c r="AY1317" i="3"/>
  <c r="AY1318" i="3"/>
  <c r="AY1319" i="3"/>
  <c r="AY1320" i="3"/>
  <c r="AY1321" i="3"/>
  <c r="AY1322" i="3"/>
  <c r="AY1323" i="3"/>
  <c r="AY1324" i="3"/>
  <c r="AY1325" i="3"/>
  <c r="AY1326" i="3"/>
  <c r="AY1327" i="3"/>
  <c r="AY1328" i="3"/>
  <c r="AY1329" i="3"/>
  <c r="AY1330" i="3"/>
  <c r="AY1331" i="3"/>
  <c r="AY1332" i="3"/>
  <c r="AY1333" i="3"/>
  <c r="AY1334" i="3"/>
  <c r="AY1335" i="3"/>
  <c r="AY1336" i="3"/>
  <c r="AY1337" i="3"/>
  <c r="AY1338" i="3"/>
  <c r="AY1339" i="3"/>
  <c r="AY1340" i="3"/>
  <c r="AY1341" i="3"/>
  <c r="AY1342" i="3"/>
  <c r="AY1343" i="3"/>
  <c r="AY1344" i="3"/>
  <c r="AY1345" i="3"/>
  <c r="AY1346" i="3"/>
  <c r="AY1347" i="3"/>
  <c r="AY1348" i="3"/>
  <c r="AY1349" i="3"/>
  <c r="AY1350" i="3"/>
  <c r="AY1351" i="3"/>
  <c r="AY1352" i="3"/>
  <c r="AY1353" i="3"/>
  <c r="AY1354" i="3"/>
  <c r="AY1355" i="3"/>
  <c r="AY1356" i="3"/>
  <c r="AY1357" i="3"/>
  <c r="AY1358" i="3"/>
  <c r="AY1359" i="3"/>
  <c r="AY1360" i="3"/>
  <c r="AY1361" i="3"/>
  <c r="AY1362" i="3"/>
  <c r="AY1363" i="3"/>
  <c r="AY1364" i="3"/>
  <c r="AY1365" i="3"/>
  <c r="AY1366" i="3"/>
  <c r="AY1367" i="3"/>
  <c r="AY1368" i="3"/>
  <c r="AY1369" i="3"/>
  <c r="AY1370" i="3"/>
  <c r="AY1371" i="3"/>
  <c r="AY1372" i="3"/>
  <c r="AY1373" i="3"/>
  <c r="AY1374" i="3"/>
  <c r="AY1375" i="3"/>
  <c r="AY1376" i="3"/>
  <c r="AY1377" i="3"/>
  <c r="AY1378" i="3"/>
  <c r="AY1379" i="3"/>
  <c r="AY1380" i="3"/>
  <c r="AY1381" i="3"/>
  <c r="AY1382" i="3"/>
  <c r="AY1383" i="3"/>
  <c r="AY1384" i="3"/>
  <c r="AY1385" i="3"/>
  <c r="AY1386" i="3"/>
  <c r="AY1387" i="3"/>
  <c r="AY1388" i="3"/>
  <c r="AY1389" i="3"/>
  <c r="AY1390" i="3"/>
  <c r="AY1391" i="3"/>
  <c r="AY1392" i="3"/>
  <c r="AY1393" i="3"/>
  <c r="AY1394" i="3"/>
  <c r="AY1395" i="3"/>
  <c r="AY1396" i="3"/>
  <c r="AY1397" i="3"/>
  <c r="AY1398" i="3"/>
  <c r="AY1399" i="3"/>
  <c r="AY1400" i="3"/>
  <c r="AY1401" i="3"/>
  <c r="AY1402" i="3"/>
  <c r="AY1403" i="3"/>
  <c r="AY1404" i="3"/>
  <c r="AY1405" i="3"/>
  <c r="AY1406" i="3"/>
  <c r="AY1407" i="3"/>
  <c r="AY1408" i="3"/>
  <c r="AY1409" i="3"/>
  <c r="AY1410" i="3"/>
  <c r="AY1411" i="3"/>
  <c r="AY1412" i="3"/>
  <c r="AY1413" i="3"/>
  <c r="AY1414" i="3"/>
  <c r="AY1415" i="3"/>
  <c r="AY1416" i="3"/>
  <c r="AY1417" i="3"/>
  <c r="AY1418" i="3"/>
  <c r="AY1419" i="3"/>
  <c r="AY1420" i="3"/>
  <c r="AY1421" i="3"/>
  <c r="AY1422" i="3"/>
  <c r="AY1423" i="3"/>
  <c r="AY1424" i="3"/>
  <c r="AY1425" i="3"/>
  <c r="AY1426" i="3"/>
  <c r="AY1427" i="3"/>
  <c r="AY1428" i="3"/>
  <c r="AY1429" i="3"/>
  <c r="AY1430" i="3"/>
  <c r="AY1431" i="3"/>
  <c r="AY1432" i="3"/>
  <c r="AY1433" i="3"/>
  <c r="AY1434" i="3"/>
  <c r="AY1435" i="3"/>
  <c r="AY1436" i="3"/>
  <c r="AY1437" i="3"/>
  <c r="AY1438" i="3"/>
  <c r="AY1439" i="3"/>
  <c r="AY1440" i="3"/>
  <c r="AY1441" i="3"/>
  <c r="AY1442" i="3"/>
  <c r="AY1443" i="3"/>
  <c r="AY1444" i="3"/>
  <c r="AY1445" i="3"/>
  <c r="AY1446" i="3"/>
  <c r="AY1447" i="3"/>
  <c r="AY1448" i="3"/>
  <c r="AY1449" i="3"/>
  <c r="AY1450" i="3"/>
  <c r="AY1451" i="3"/>
  <c r="AY1452" i="3"/>
  <c r="AY1453" i="3"/>
  <c r="AY1454" i="3"/>
  <c r="AY1455" i="3"/>
  <c r="AY1456" i="3"/>
  <c r="AY1457" i="3"/>
  <c r="AY1458" i="3"/>
  <c r="AY1459" i="3"/>
  <c r="AY1460" i="3"/>
  <c r="AY1461" i="3"/>
  <c r="AY1462" i="3"/>
  <c r="AY1463" i="3"/>
  <c r="AY1464" i="3"/>
  <c r="AY1465" i="3"/>
  <c r="AY1466" i="3"/>
  <c r="AY1467" i="3"/>
  <c r="AY1468" i="3"/>
  <c r="AY1469" i="3"/>
  <c r="AY1470" i="3"/>
  <c r="AY1471" i="3"/>
  <c r="AY1472" i="3"/>
  <c r="AY1473" i="3"/>
  <c r="AY1474" i="3"/>
  <c r="AY1475" i="3"/>
  <c r="AY1476" i="3"/>
  <c r="AY1477" i="3"/>
  <c r="AY1478" i="3"/>
  <c r="AY1479" i="3"/>
  <c r="AY1480" i="3"/>
  <c r="AY1481" i="3"/>
  <c r="AY1482" i="3"/>
  <c r="AY1483" i="3"/>
  <c r="AY1484" i="3"/>
  <c r="AY1485" i="3"/>
  <c r="AY1486" i="3"/>
  <c r="AY1487" i="3"/>
  <c r="AY1488" i="3"/>
  <c r="AY1489" i="3"/>
  <c r="AY1490" i="3"/>
  <c r="AY1491" i="3"/>
  <c r="AY1492" i="3"/>
  <c r="AY1493" i="3"/>
  <c r="AY1494" i="3"/>
  <c r="AY1495" i="3"/>
  <c r="AY1496" i="3"/>
  <c r="AY1497" i="3"/>
  <c r="AY1498" i="3"/>
  <c r="AY1499" i="3"/>
  <c r="AY1500" i="3"/>
  <c r="AY1501" i="3"/>
  <c r="AY1502" i="3"/>
  <c r="AY1503" i="3"/>
  <c r="AY1504" i="3"/>
  <c r="AY1505" i="3"/>
  <c r="AY1506" i="3"/>
  <c r="AY1507" i="3"/>
  <c r="AY1508" i="3"/>
  <c r="AY1509" i="3"/>
  <c r="AY1510" i="3"/>
  <c r="AY1511" i="3"/>
  <c r="AY1512" i="3"/>
  <c r="AY1513" i="3"/>
  <c r="AY1514" i="3"/>
  <c r="AY1515" i="3"/>
  <c r="AY1516" i="3"/>
  <c r="AY1517" i="3"/>
  <c r="AY1518" i="3"/>
  <c r="AY1519" i="3"/>
  <c r="AY1520" i="3"/>
  <c r="AY1521" i="3"/>
  <c r="AY1522" i="3"/>
  <c r="AY1523" i="3"/>
  <c r="AY1524" i="3"/>
  <c r="AY1525" i="3"/>
  <c r="AY1526" i="3"/>
  <c r="AY1527" i="3"/>
  <c r="AY1528" i="3"/>
  <c r="AY1529" i="3"/>
  <c r="AY1530" i="3"/>
  <c r="AY1531" i="3"/>
  <c r="AY1532" i="3"/>
  <c r="AY1533" i="3"/>
  <c r="AY1534" i="3"/>
  <c r="AY1535" i="3"/>
  <c r="AY1536" i="3"/>
  <c r="AY1537" i="3"/>
  <c r="AY1538" i="3"/>
  <c r="AY1539" i="3"/>
  <c r="AY1540" i="3"/>
  <c r="AY1541" i="3"/>
  <c r="AY1542" i="3"/>
  <c r="AY1543" i="3"/>
  <c r="AY1544" i="3"/>
  <c r="AY1545" i="3"/>
  <c r="AY1546" i="3"/>
  <c r="AY1547" i="3"/>
  <c r="AY1548" i="3"/>
  <c r="AY1549" i="3"/>
  <c r="AY1550" i="3"/>
  <c r="AY1551" i="3"/>
  <c r="AY1552" i="3"/>
  <c r="AY1553" i="3"/>
  <c r="AY1554" i="3"/>
  <c r="AY1555" i="3"/>
  <c r="AY1556" i="3"/>
  <c r="AY1557" i="3"/>
  <c r="AY1558" i="3"/>
  <c r="AY1559" i="3"/>
  <c r="AY1560" i="3"/>
  <c r="AY1561" i="3"/>
  <c r="AY1562" i="3"/>
  <c r="AY1563" i="3"/>
  <c r="AY1564" i="3"/>
  <c r="AY1565" i="3"/>
  <c r="AY1566" i="3"/>
  <c r="AY1567" i="3"/>
  <c r="AY1568" i="3"/>
  <c r="AY1569" i="3"/>
  <c r="AY1570" i="3"/>
  <c r="AY1571" i="3"/>
  <c r="AY1572" i="3"/>
  <c r="AY1573" i="3"/>
  <c r="AY1574" i="3"/>
  <c r="AY1575" i="3"/>
  <c r="AY1576" i="3"/>
  <c r="AY1577" i="3"/>
  <c r="AY1578" i="3"/>
  <c r="AY1579" i="3"/>
  <c r="AY1580" i="3"/>
  <c r="AY1581" i="3"/>
  <c r="AY1582" i="3"/>
  <c r="AY1583" i="3"/>
  <c r="AY1584" i="3"/>
  <c r="AY1585" i="3"/>
  <c r="AY1586" i="3"/>
  <c r="AY1587" i="3"/>
  <c r="AY1588" i="3"/>
  <c r="AY1589" i="3"/>
  <c r="AY1590" i="3"/>
  <c r="AY1591" i="3"/>
  <c r="AY1592" i="3"/>
  <c r="AY1593" i="3"/>
  <c r="AY1594" i="3"/>
  <c r="AY1595" i="3"/>
  <c r="AY1596" i="3"/>
  <c r="AY1597" i="3"/>
  <c r="AY1598" i="3"/>
  <c r="AY1599" i="3"/>
  <c r="AY1600" i="3"/>
  <c r="AY1601" i="3"/>
  <c r="AY1602" i="3"/>
  <c r="AY1603" i="3"/>
  <c r="AY1604" i="3"/>
  <c r="AY1605" i="3"/>
  <c r="AY1606" i="3"/>
  <c r="AY1607" i="3"/>
  <c r="AY1608" i="3"/>
  <c r="AY1609" i="3"/>
  <c r="AY1610" i="3"/>
  <c r="AY1611" i="3"/>
  <c r="AY1612" i="3"/>
  <c r="AY1613" i="3"/>
  <c r="AY1614" i="3"/>
  <c r="AY1615" i="3"/>
  <c r="AY1616" i="3"/>
  <c r="AY1617" i="3"/>
  <c r="AY1618" i="3"/>
  <c r="AY1619" i="3"/>
  <c r="AY1620" i="3"/>
  <c r="AY1621" i="3"/>
  <c r="AY1622" i="3"/>
  <c r="AY1623" i="3"/>
  <c r="AY1624" i="3"/>
  <c r="AY1625" i="3"/>
  <c r="AY1626" i="3"/>
  <c r="AY1627" i="3"/>
  <c r="AY1628" i="3"/>
  <c r="AY1629" i="3"/>
  <c r="AY1630" i="3"/>
  <c r="AY1631" i="3"/>
  <c r="AY1632" i="3"/>
  <c r="AY1633" i="3"/>
  <c r="AY1634" i="3"/>
  <c r="AY1635" i="3"/>
  <c r="AY1636" i="3"/>
  <c r="AY1637" i="3"/>
  <c r="AY1638" i="3"/>
  <c r="AY1639" i="3"/>
  <c r="AY1640" i="3"/>
  <c r="AY1641" i="3"/>
  <c r="AY1642" i="3"/>
  <c r="AY1643" i="3"/>
  <c r="AY1644" i="3"/>
  <c r="AY1645" i="3"/>
  <c r="AY1646" i="3"/>
  <c r="AY1647" i="3"/>
  <c r="AY1648" i="3"/>
  <c r="AY1649" i="3"/>
  <c r="AY1650" i="3"/>
  <c r="AY1651" i="3"/>
  <c r="AY1652" i="3"/>
  <c r="AY1653" i="3"/>
  <c r="AY1654" i="3"/>
  <c r="AY1655" i="3"/>
  <c r="AY1656" i="3"/>
  <c r="AY1657" i="3"/>
  <c r="AY1658" i="3"/>
  <c r="AY1659" i="3"/>
  <c r="AY1660" i="3"/>
  <c r="AY1661" i="3"/>
  <c r="AY1662" i="3"/>
  <c r="AY1663" i="3"/>
  <c r="AY1664" i="3"/>
  <c r="AY1665" i="3"/>
  <c r="AY1666" i="3"/>
  <c r="AY1667" i="3"/>
  <c r="AY1668" i="3"/>
  <c r="AY1669" i="3"/>
  <c r="AY1670" i="3"/>
  <c r="AY1671" i="3"/>
  <c r="AY1672" i="3"/>
  <c r="AY1673" i="3"/>
  <c r="AY1674" i="3"/>
  <c r="AY1675" i="3"/>
  <c r="AY1676" i="3"/>
  <c r="AY1677" i="3"/>
  <c r="AY1678" i="3"/>
  <c r="AY1679" i="3"/>
  <c r="AY1680" i="3"/>
  <c r="AY1681" i="3"/>
  <c r="AY1682" i="3"/>
  <c r="AY1683" i="3"/>
  <c r="AY1684" i="3"/>
  <c r="AY1685" i="3"/>
  <c r="AY1686" i="3"/>
  <c r="AY1687" i="3"/>
  <c r="AY1688" i="3"/>
  <c r="AY1689" i="3"/>
  <c r="AY1690" i="3"/>
  <c r="AY1691" i="3"/>
  <c r="AY1692" i="3"/>
  <c r="AY1693" i="3"/>
  <c r="AY1694" i="3"/>
  <c r="AY1695" i="3"/>
  <c r="AY1696" i="3"/>
  <c r="AY1697" i="3"/>
  <c r="AY1698" i="3"/>
  <c r="AY1699" i="3"/>
  <c r="AY1700" i="3"/>
  <c r="AY1701" i="3"/>
  <c r="AY1702" i="3"/>
  <c r="AY1703" i="3"/>
  <c r="AY1704" i="3"/>
  <c r="AY1705" i="3"/>
  <c r="AY1706" i="3"/>
  <c r="AY1707" i="3"/>
  <c r="AY1708" i="3"/>
  <c r="AY1709" i="3"/>
  <c r="AY1710" i="3"/>
  <c r="AY1711" i="3"/>
  <c r="AY1712" i="3"/>
  <c r="AY1713" i="3"/>
  <c r="AY1714" i="3"/>
  <c r="AY1715" i="3"/>
  <c r="AY1716" i="3"/>
  <c r="AY1717" i="3"/>
  <c r="AY1718" i="3"/>
  <c r="AY1719" i="3"/>
  <c r="AY1720" i="3"/>
  <c r="AY1721" i="3"/>
  <c r="AY1722" i="3"/>
  <c r="AY1723" i="3"/>
  <c r="AY1724" i="3"/>
  <c r="AY1725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636" i="3"/>
  <c r="AW637" i="3"/>
  <c r="AW638" i="3"/>
  <c r="AW639" i="3"/>
  <c r="AW640" i="3"/>
  <c r="AW641" i="3"/>
  <c r="AW642" i="3"/>
  <c r="AW643" i="3"/>
  <c r="AW644" i="3"/>
  <c r="AW645" i="3"/>
  <c r="AW646" i="3"/>
  <c r="AW647" i="3"/>
  <c r="AW648" i="3"/>
  <c r="AW649" i="3"/>
  <c r="AW650" i="3"/>
  <c r="AW651" i="3"/>
  <c r="AW652" i="3"/>
  <c r="AW653" i="3"/>
  <c r="AW654" i="3"/>
  <c r="AW655" i="3"/>
  <c r="AW656" i="3"/>
  <c r="AW657" i="3"/>
  <c r="AW658" i="3"/>
  <c r="AW659" i="3"/>
  <c r="AW660" i="3"/>
  <c r="AW661" i="3"/>
  <c r="AW662" i="3"/>
  <c r="AW663" i="3"/>
  <c r="AW664" i="3"/>
  <c r="AW665" i="3"/>
  <c r="AW666" i="3"/>
  <c r="AW667" i="3"/>
  <c r="AW668" i="3"/>
  <c r="AW669" i="3"/>
  <c r="AW670" i="3"/>
  <c r="AW671" i="3"/>
  <c r="AW672" i="3"/>
  <c r="AW673" i="3"/>
  <c r="AW674" i="3"/>
  <c r="AW675" i="3"/>
  <c r="AW676" i="3"/>
  <c r="AW677" i="3"/>
  <c r="AW678" i="3"/>
  <c r="AW679" i="3"/>
  <c r="AW680" i="3"/>
  <c r="AW681" i="3"/>
  <c r="AW682" i="3"/>
  <c r="AW683" i="3"/>
  <c r="AW684" i="3"/>
  <c r="AW685" i="3"/>
  <c r="AW686" i="3"/>
  <c r="AW687" i="3"/>
  <c r="AW688" i="3"/>
  <c r="AW689" i="3"/>
  <c r="AW690" i="3"/>
  <c r="AW691" i="3"/>
  <c r="AW692" i="3"/>
  <c r="AW693" i="3"/>
  <c r="AW694" i="3"/>
  <c r="AW695" i="3"/>
  <c r="AW696" i="3"/>
  <c r="AW697" i="3"/>
  <c r="AW698" i="3"/>
  <c r="AW699" i="3"/>
  <c r="AW700" i="3"/>
  <c r="AW701" i="3"/>
  <c r="AW702" i="3"/>
  <c r="AW703" i="3"/>
  <c r="AW704" i="3"/>
  <c r="AW705" i="3"/>
  <c r="AW706" i="3"/>
  <c r="AW707" i="3"/>
  <c r="AW708" i="3"/>
  <c r="AW709" i="3"/>
  <c r="AW710" i="3"/>
  <c r="AW711" i="3"/>
  <c r="AW712" i="3"/>
  <c r="AW713" i="3"/>
  <c r="AW714" i="3"/>
  <c r="AW715" i="3"/>
  <c r="AW716" i="3"/>
  <c r="AW717" i="3"/>
  <c r="AW718" i="3"/>
  <c r="AW719" i="3"/>
  <c r="AW720" i="3"/>
  <c r="AW721" i="3"/>
  <c r="AW722" i="3"/>
  <c r="AW723" i="3"/>
  <c r="AW724" i="3"/>
  <c r="AW725" i="3"/>
  <c r="AW726" i="3"/>
  <c r="AW727" i="3"/>
  <c r="AW728" i="3"/>
  <c r="AW729" i="3"/>
  <c r="AW730" i="3"/>
  <c r="AW731" i="3"/>
  <c r="AW732" i="3"/>
  <c r="AW733" i="3"/>
  <c r="AW734" i="3"/>
  <c r="AW735" i="3"/>
  <c r="AW736" i="3"/>
  <c r="AW737" i="3"/>
  <c r="AW738" i="3"/>
  <c r="AW739" i="3"/>
  <c r="AW740" i="3"/>
  <c r="AW741" i="3"/>
  <c r="AW742" i="3"/>
  <c r="AW743" i="3"/>
  <c r="AW744" i="3"/>
  <c r="AW745" i="3"/>
  <c r="AW746" i="3"/>
  <c r="AW747" i="3"/>
  <c r="AW748" i="3"/>
  <c r="AW749" i="3"/>
  <c r="AW750" i="3"/>
  <c r="AW751" i="3"/>
  <c r="AW752" i="3"/>
  <c r="AW753" i="3"/>
  <c r="AW754" i="3"/>
  <c r="AW755" i="3"/>
  <c r="AW756" i="3"/>
  <c r="AW757" i="3"/>
  <c r="AW758" i="3"/>
  <c r="AW759" i="3"/>
  <c r="AW760" i="3"/>
  <c r="AW761" i="3"/>
  <c r="AW762" i="3"/>
  <c r="AW763" i="3"/>
  <c r="AW764" i="3"/>
  <c r="AW765" i="3"/>
  <c r="AW766" i="3"/>
  <c r="AW767" i="3"/>
  <c r="AW768" i="3"/>
  <c r="AW769" i="3"/>
  <c r="AW770" i="3"/>
  <c r="AW771" i="3"/>
  <c r="AW772" i="3"/>
  <c r="AW773" i="3"/>
  <c r="AW774" i="3"/>
  <c r="AW775" i="3"/>
  <c r="AW776" i="3"/>
  <c r="AW777" i="3"/>
  <c r="AW778" i="3"/>
  <c r="AW779" i="3"/>
  <c r="AW780" i="3"/>
  <c r="AW781" i="3"/>
  <c r="AW782" i="3"/>
  <c r="AW783" i="3"/>
  <c r="AW784" i="3"/>
  <c r="AW785" i="3"/>
  <c r="AW786" i="3"/>
  <c r="AW787" i="3"/>
  <c r="AW788" i="3"/>
  <c r="AW789" i="3"/>
  <c r="AW790" i="3"/>
  <c r="AW791" i="3"/>
  <c r="AW792" i="3"/>
  <c r="AW793" i="3"/>
  <c r="AW794" i="3"/>
  <c r="AW795" i="3"/>
  <c r="AW796" i="3"/>
  <c r="AW797" i="3"/>
  <c r="AW798" i="3"/>
  <c r="AW799" i="3"/>
  <c r="AW800" i="3"/>
  <c r="AW801" i="3"/>
  <c r="AW802" i="3"/>
  <c r="AW803" i="3"/>
  <c r="AW804" i="3"/>
  <c r="AW805" i="3"/>
  <c r="AW806" i="3"/>
  <c r="AW807" i="3"/>
  <c r="AW808" i="3"/>
  <c r="AW809" i="3"/>
  <c r="AW810" i="3"/>
  <c r="AW811" i="3"/>
  <c r="AW812" i="3"/>
  <c r="AW813" i="3"/>
  <c r="AW814" i="3"/>
  <c r="AW815" i="3"/>
  <c r="AW816" i="3"/>
  <c r="AW817" i="3"/>
  <c r="AW818" i="3"/>
  <c r="AW819" i="3"/>
  <c r="AW820" i="3"/>
  <c r="AW821" i="3"/>
  <c r="AW822" i="3"/>
  <c r="AW823" i="3"/>
  <c r="AW824" i="3"/>
  <c r="AW825" i="3"/>
  <c r="AW826" i="3"/>
  <c r="AW827" i="3"/>
  <c r="AW828" i="3"/>
  <c r="AW829" i="3"/>
  <c r="AW830" i="3"/>
  <c r="AW831" i="3"/>
  <c r="AW832" i="3"/>
  <c r="AW833" i="3"/>
  <c r="AW834" i="3"/>
  <c r="AW835" i="3"/>
  <c r="AW836" i="3"/>
  <c r="AW837" i="3"/>
  <c r="AW838" i="3"/>
  <c r="AW839" i="3"/>
  <c r="AW840" i="3"/>
  <c r="AW841" i="3"/>
  <c r="AW842" i="3"/>
  <c r="AW843" i="3"/>
  <c r="AW844" i="3"/>
  <c r="AW845" i="3"/>
  <c r="AW846" i="3"/>
  <c r="AW847" i="3"/>
  <c r="AW848" i="3"/>
  <c r="AW849" i="3"/>
  <c r="AW850" i="3"/>
  <c r="AW851" i="3"/>
  <c r="AW852" i="3"/>
  <c r="AW853" i="3"/>
  <c r="AW854" i="3"/>
  <c r="AW855" i="3"/>
  <c r="AW856" i="3"/>
  <c r="AW857" i="3"/>
  <c r="AW858" i="3"/>
  <c r="AW859" i="3"/>
  <c r="AW860" i="3"/>
  <c r="AW861" i="3"/>
  <c r="AW862" i="3"/>
  <c r="AW863" i="3"/>
  <c r="AW864" i="3"/>
  <c r="AW865" i="3"/>
  <c r="AW866" i="3"/>
  <c r="AW867" i="3"/>
  <c r="AW868" i="3"/>
  <c r="AW869" i="3"/>
  <c r="AW870" i="3"/>
  <c r="AW871" i="3"/>
  <c r="AW872" i="3"/>
  <c r="AW873" i="3"/>
  <c r="AW874" i="3"/>
  <c r="AW875" i="3"/>
  <c r="AW876" i="3"/>
  <c r="AW877" i="3"/>
  <c r="AW878" i="3"/>
  <c r="AW879" i="3"/>
  <c r="AW880" i="3"/>
  <c r="AW881" i="3"/>
  <c r="AW882" i="3"/>
  <c r="AW883" i="3"/>
  <c r="AW884" i="3"/>
  <c r="AW885" i="3"/>
  <c r="AW886" i="3"/>
  <c r="AW887" i="3"/>
  <c r="AW888" i="3"/>
  <c r="AW889" i="3"/>
  <c r="AW890" i="3"/>
  <c r="AW891" i="3"/>
  <c r="AW892" i="3"/>
  <c r="AW893" i="3"/>
  <c r="AW894" i="3"/>
  <c r="AW895" i="3"/>
  <c r="AW896" i="3"/>
  <c r="AW897" i="3"/>
  <c r="AW898" i="3"/>
  <c r="AW899" i="3"/>
  <c r="AW900" i="3"/>
  <c r="AW901" i="3"/>
  <c r="AW902" i="3"/>
  <c r="AW903" i="3"/>
  <c r="AW904" i="3"/>
  <c r="AW905" i="3"/>
  <c r="AW906" i="3"/>
  <c r="AW907" i="3"/>
  <c r="AW908" i="3"/>
  <c r="AW909" i="3"/>
  <c r="AW910" i="3"/>
  <c r="AW911" i="3"/>
  <c r="AW912" i="3"/>
  <c r="AW913" i="3"/>
  <c r="AW914" i="3"/>
  <c r="AW915" i="3"/>
  <c r="AW916" i="3"/>
  <c r="AW917" i="3"/>
  <c r="AW918" i="3"/>
  <c r="AW919" i="3"/>
  <c r="AW920" i="3"/>
  <c r="AW921" i="3"/>
  <c r="AW922" i="3"/>
  <c r="AW923" i="3"/>
  <c r="AW924" i="3"/>
  <c r="AW925" i="3"/>
  <c r="AW926" i="3"/>
  <c r="AW927" i="3"/>
  <c r="AW928" i="3"/>
  <c r="AW929" i="3"/>
  <c r="AW930" i="3"/>
  <c r="AW931" i="3"/>
  <c r="AW932" i="3"/>
  <c r="AW933" i="3"/>
  <c r="AW934" i="3"/>
  <c r="AW935" i="3"/>
  <c r="AW936" i="3"/>
  <c r="AW937" i="3"/>
  <c r="AW938" i="3"/>
  <c r="AW939" i="3"/>
  <c r="AW940" i="3"/>
  <c r="AW941" i="3"/>
  <c r="AW942" i="3"/>
  <c r="AW943" i="3"/>
  <c r="AW944" i="3"/>
  <c r="AW945" i="3"/>
  <c r="AW946" i="3"/>
  <c r="AW947" i="3"/>
  <c r="AW948" i="3"/>
  <c r="AW949" i="3"/>
  <c r="AW950" i="3"/>
  <c r="AW951" i="3"/>
  <c r="AW952" i="3"/>
  <c r="AW953" i="3"/>
  <c r="AW954" i="3"/>
  <c r="AW955" i="3"/>
  <c r="AW956" i="3"/>
  <c r="AW957" i="3"/>
  <c r="AW958" i="3"/>
  <c r="AW959" i="3"/>
  <c r="AW960" i="3"/>
  <c r="AW961" i="3"/>
  <c r="AW962" i="3"/>
  <c r="AW963" i="3"/>
  <c r="AW964" i="3"/>
  <c r="AW965" i="3"/>
  <c r="AW966" i="3"/>
  <c r="AW967" i="3"/>
  <c r="AW968" i="3"/>
  <c r="AW969" i="3"/>
  <c r="AW970" i="3"/>
  <c r="AW971" i="3"/>
  <c r="AW972" i="3"/>
  <c r="AW973" i="3"/>
  <c r="AW974" i="3"/>
  <c r="AW975" i="3"/>
  <c r="AW976" i="3"/>
  <c r="AW977" i="3"/>
  <c r="AW978" i="3"/>
  <c r="AW979" i="3"/>
  <c r="AW980" i="3"/>
  <c r="AW981" i="3"/>
  <c r="AW982" i="3"/>
  <c r="AW983" i="3"/>
  <c r="AW984" i="3"/>
  <c r="AW985" i="3"/>
  <c r="AW986" i="3"/>
  <c r="AW987" i="3"/>
  <c r="AW988" i="3"/>
  <c r="AW989" i="3"/>
  <c r="AW990" i="3"/>
  <c r="AW991" i="3"/>
  <c r="AW992" i="3"/>
  <c r="AW993" i="3"/>
  <c r="AW994" i="3"/>
  <c r="AW995" i="3"/>
  <c r="AW996" i="3"/>
  <c r="AW997" i="3"/>
  <c r="AW998" i="3"/>
  <c r="AW999" i="3"/>
  <c r="AW1000" i="3"/>
  <c r="AW1001" i="3"/>
  <c r="AW1002" i="3"/>
  <c r="AW1003" i="3"/>
  <c r="AW1004" i="3"/>
  <c r="AW1005" i="3"/>
  <c r="AW1006" i="3"/>
  <c r="AW1007" i="3"/>
  <c r="AW1008" i="3"/>
  <c r="AW1009" i="3"/>
  <c r="AW1010" i="3"/>
  <c r="AW1011" i="3"/>
  <c r="AW1012" i="3"/>
  <c r="AW1013" i="3"/>
  <c r="AW1014" i="3"/>
  <c r="AW1015" i="3"/>
  <c r="AW1016" i="3"/>
  <c r="AW1017" i="3"/>
  <c r="AW1018" i="3"/>
  <c r="AW1019" i="3"/>
  <c r="AW1020" i="3"/>
  <c r="AW1021" i="3"/>
  <c r="AW1022" i="3"/>
  <c r="AW1023" i="3"/>
  <c r="AW1024" i="3"/>
  <c r="AW1025" i="3"/>
  <c r="AW1026" i="3"/>
  <c r="AW1027" i="3"/>
  <c r="AW1028" i="3"/>
  <c r="AW1029" i="3"/>
  <c r="AW1030" i="3"/>
  <c r="AW1031" i="3"/>
  <c r="AW1032" i="3"/>
  <c r="AW1033" i="3"/>
  <c r="AW1034" i="3"/>
  <c r="AW1035" i="3"/>
  <c r="AW1036" i="3"/>
  <c r="AW1037" i="3"/>
  <c r="AW1038" i="3"/>
  <c r="AW1039" i="3"/>
  <c r="AW1040" i="3"/>
  <c r="AW1041" i="3"/>
  <c r="AW1042" i="3"/>
  <c r="AW1043" i="3"/>
  <c r="AW1044" i="3"/>
  <c r="AW1045" i="3"/>
  <c r="AW1046" i="3"/>
  <c r="AW1047" i="3"/>
  <c r="AW1048" i="3"/>
  <c r="AW1049" i="3"/>
  <c r="AW1050" i="3"/>
  <c r="AW1051" i="3"/>
  <c r="AW1052" i="3"/>
  <c r="AW1053" i="3"/>
  <c r="AW1054" i="3"/>
  <c r="AW1055" i="3"/>
  <c r="AW1056" i="3"/>
  <c r="AW1057" i="3"/>
  <c r="AW1058" i="3"/>
  <c r="AW1059" i="3"/>
  <c r="AW1060" i="3"/>
  <c r="AW1061" i="3"/>
  <c r="AW1062" i="3"/>
  <c r="AW1063" i="3"/>
  <c r="AW1064" i="3"/>
  <c r="AW1065" i="3"/>
  <c r="AW1066" i="3"/>
  <c r="AW1067" i="3"/>
  <c r="AW1068" i="3"/>
  <c r="AW1069" i="3"/>
  <c r="AW1070" i="3"/>
  <c r="AW1071" i="3"/>
  <c r="AW1072" i="3"/>
  <c r="AW1073" i="3"/>
  <c r="AW1074" i="3"/>
  <c r="AW1075" i="3"/>
  <c r="AW1076" i="3"/>
  <c r="AW1077" i="3"/>
  <c r="AW1078" i="3"/>
  <c r="AW1079" i="3"/>
  <c r="AW1080" i="3"/>
  <c r="AW1081" i="3"/>
  <c r="AW1082" i="3"/>
  <c r="AW1083" i="3"/>
  <c r="AW1084" i="3"/>
  <c r="AW1085" i="3"/>
  <c r="AW1086" i="3"/>
  <c r="AW1087" i="3"/>
  <c r="AW1088" i="3"/>
  <c r="AW1089" i="3"/>
  <c r="AW1090" i="3"/>
  <c r="AW1091" i="3"/>
  <c r="AW1092" i="3"/>
  <c r="AW1093" i="3"/>
  <c r="AW1094" i="3"/>
  <c r="AW1095" i="3"/>
  <c r="AW1096" i="3"/>
  <c r="AW1097" i="3"/>
  <c r="AW1098" i="3"/>
  <c r="AW1099" i="3"/>
  <c r="AW1100" i="3"/>
  <c r="AW1101" i="3"/>
  <c r="AW1102" i="3"/>
  <c r="AW1103" i="3"/>
  <c r="AW1104" i="3"/>
  <c r="AW1105" i="3"/>
  <c r="AW1106" i="3"/>
  <c r="AW1107" i="3"/>
  <c r="AW1108" i="3"/>
  <c r="AW1109" i="3"/>
  <c r="AW1110" i="3"/>
  <c r="AW1111" i="3"/>
  <c r="AW1112" i="3"/>
  <c r="AW1113" i="3"/>
  <c r="AW1114" i="3"/>
  <c r="AW1115" i="3"/>
  <c r="AW1116" i="3"/>
  <c r="AW1117" i="3"/>
  <c r="AW1118" i="3"/>
  <c r="AW1119" i="3"/>
  <c r="AW1120" i="3"/>
  <c r="AW1121" i="3"/>
  <c r="AW1122" i="3"/>
  <c r="AW1123" i="3"/>
  <c r="AW1124" i="3"/>
  <c r="AW1125" i="3"/>
  <c r="AW1126" i="3"/>
  <c r="AW1127" i="3"/>
  <c r="AW1128" i="3"/>
  <c r="AW1129" i="3"/>
  <c r="AW1130" i="3"/>
  <c r="AW1131" i="3"/>
  <c r="AW1132" i="3"/>
  <c r="AW1133" i="3"/>
  <c r="AW1134" i="3"/>
  <c r="AW1135" i="3"/>
  <c r="AW1136" i="3"/>
  <c r="AW1137" i="3"/>
  <c r="AW1138" i="3"/>
  <c r="AW1139" i="3"/>
  <c r="AW1140" i="3"/>
  <c r="AW1141" i="3"/>
  <c r="AW1142" i="3"/>
  <c r="AW1143" i="3"/>
  <c r="AW1144" i="3"/>
  <c r="AW1145" i="3"/>
  <c r="AW1146" i="3"/>
  <c r="AW1147" i="3"/>
  <c r="AW1148" i="3"/>
  <c r="AW1149" i="3"/>
  <c r="AW1150" i="3"/>
  <c r="AW1151" i="3"/>
  <c r="AW1152" i="3"/>
  <c r="AW1153" i="3"/>
  <c r="AW1154" i="3"/>
  <c r="AW1155" i="3"/>
  <c r="AW1156" i="3"/>
  <c r="AW1157" i="3"/>
  <c r="AW1158" i="3"/>
  <c r="AW1159" i="3"/>
  <c r="AW1160" i="3"/>
  <c r="AW1161" i="3"/>
  <c r="AW1162" i="3"/>
  <c r="AW1163" i="3"/>
  <c r="AW1164" i="3"/>
  <c r="AW1165" i="3"/>
  <c r="AW1166" i="3"/>
  <c r="AW1167" i="3"/>
  <c r="AW1168" i="3"/>
  <c r="AW1169" i="3"/>
  <c r="AW1170" i="3"/>
  <c r="AW1171" i="3"/>
  <c r="AW1172" i="3"/>
  <c r="AW1173" i="3"/>
  <c r="AW1174" i="3"/>
  <c r="AW1175" i="3"/>
  <c r="AW1176" i="3"/>
  <c r="AW1177" i="3"/>
  <c r="AW1178" i="3"/>
  <c r="AW1179" i="3"/>
  <c r="AW1180" i="3"/>
  <c r="AW1181" i="3"/>
  <c r="AW1182" i="3"/>
  <c r="AW1183" i="3"/>
  <c r="AW1184" i="3"/>
  <c r="AW1185" i="3"/>
  <c r="AW1186" i="3"/>
  <c r="AW1187" i="3"/>
  <c r="AW1188" i="3"/>
  <c r="AW1189" i="3"/>
  <c r="AW1190" i="3"/>
  <c r="AW1191" i="3"/>
  <c r="AW1192" i="3"/>
  <c r="AW1193" i="3"/>
  <c r="AW1194" i="3"/>
  <c r="AW1195" i="3"/>
  <c r="AW1196" i="3"/>
  <c r="AW1197" i="3"/>
  <c r="AW1198" i="3"/>
  <c r="AW1199" i="3"/>
  <c r="AW1200" i="3"/>
  <c r="AW1201" i="3"/>
  <c r="AW1202" i="3"/>
  <c r="AW1203" i="3"/>
  <c r="AW1204" i="3"/>
  <c r="AW1205" i="3"/>
  <c r="AW1206" i="3"/>
  <c r="AW1207" i="3"/>
  <c r="AW1208" i="3"/>
  <c r="AW1209" i="3"/>
  <c r="AW1210" i="3"/>
  <c r="AW1211" i="3"/>
  <c r="AW1212" i="3"/>
  <c r="AW1213" i="3"/>
  <c r="AW1214" i="3"/>
  <c r="AW1215" i="3"/>
  <c r="AW1216" i="3"/>
  <c r="AW1217" i="3"/>
  <c r="AW1218" i="3"/>
  <c r="AW1219" i="3"/>
  <c r="AW1220" i="3"/>
  <c r="AW1221" i="3"/>
  <c r="AW1222" i="3"/>
  <c r="AW1223" i="3"/>
  <c r="AW1224" i="3"/>
  <c r="AW1225" i="3"/>
  <c r="AW1226" i="3"/>
  <c r="AW1227" i="3"/>
  <c r="AW1228" i="3"/>
  <c r="AW1229" i="3"/>
  <c r="AW1230" i="3"/>
  <c r="AW1231" i="3"/>
  <c r="AW1232" i="3"/>
  <c r="AW1233" i="3"/>
  <c r="AW1234" i="3"/>
  <c r="AW1235" i="3"/>
  <c r="AW1236" i="3"/>
  <c r="AW1237" i="3"/>
  <c r="AW1238" i="3"/>
  <c r="AW1239" i="3"/>
  <c r="AW1240" i="3"/>
  <c r="AW1241" i="3"/>
  <c r="AW1242" i="3"/>
  <c r="AW1243" i="3"/>
  <c r="AW1244" i="3"/>
  <c r="AW1245" i="3"/>
  <c r="AW1246" i="3"/>
  <c r="AW1247" i="3"/>
  <c r="AW1248" i="3"/>
  <c r="AW1249" i="3"/>
  <c r="AW1250" i="3"/>
  <c r="AW1251" i="3"/>
  <c r="AW1252" i="3"/>
  <c r="AW1253" i="3"/>
  <c r="AW1254" i="3"/>
  <c r="AW1255" i="3"/>
  <c r="AW1256" i="3"/>
  <c r="AW1257" i="3"/>
  <c r="AW1258" i="3"/>
  <c r="AW1259" i="3"/>
  <c r="AW1260" i="3"/>
  <c r="AW1261" i="3"/>
  <c r="AW1262" i="3"/>
  <c r="AW1263" i="3"/>
  <c r="AW1264" i="3"/>
  <c r="AW1265" i="3"/>
  <c r="AW1266" i="3"/>
  <c r="AW1267" i="3"/>
  <c r="AW1268" i="3"/>
  <c r="AW1269" i="3"/>
  <c r="AW1270" i="3"/>
  <c r="AW1271" i="3"/>
  <c r="AW1272" i="3"/>
  <c r="AW1273" i="3"/>
  <c r="AW1274" i="3"/>
  <c r="AW1275" i="3"/>
  <c r="AW1276" i="3"/>
  <c r="AW1277" i="3"/>
  <c r="AW1278" i="3"/>
  <c r="AW1279" i="3"/>
  <c r="AW1280" i="3"/>
  <c r="AW1281" i="3"/>
  <c r="AW1282" i="3"/>
  <c r="AW1283" i="3"/>
  <c r="AW1284" i="3"/>
  <c r="AW1285" i="3"/>
  <c r="AW1286" i="3"/>
  <c r="AW1287" i="3"/>
  <c r="AW1288" i="3"/>
  <c r="AW1289" i="3"/>
  <c r="AW1290" i="3"/>
  <c r="AW1291" i="3"/>
  <c r="AW1292" i="3"/>
  <c r="AW1293" i="3"/>
  <c r="AW1294" i="3"/>
  <c r="AW1295" i="3"/>
  <c r="AW1296" i="3"/>
  <c r="AW1297" i="3"/>
  <c r="AW1298" i="3"/>
  <c r="AW1299" i="3"/>
  <c r="AW1300" i="3"/>
  <c r="AW1301" i="3"/>
  <c r="AW1302" i="3"/>
  <c r="AW1303" i="3"/>
  <c r="AW1304" i="3"/>
  <c r="AW1305" i="3"/>
  <c r="AW1306" i="3"/>
  <c r="AW1307" i="3"/>
  <c r="AW1308" i="3"/>
  <c r="AW1309" i="3"/>
  <c r="AW1310" i="3"/>
  <c r="AW1311" i="3"/>
  <c r="AW1312" i="3"/>
  <c r="AW1313" i="3"/>
  <c r="AW1314" i="3"/>
  <c r="AW1315" i="3"/>
  <c r="AW1316" i="3"/>
  <c r="AW1317" i="3"/>
  <c r="AW1318" i="3"/>
  <c r="AW1319" i="3"/>
  <c r="AW1320" i="3"/>
  <c r="AW1321" i="3"/>
  <c r="AW1322" i="3"/>
  <c r="AW1323" i="3"/>
  <c r="AW1324" i="3"/>
  <c r="AW1325" i="3"/>
  <c r="AW1326" i="3"/>
  <c r="AW1327" i="3"/>
  <c r="AW1328" i="3"/>
  <c r="AW1329" i="3"/>
  <c r="AW1330" i="3"/>
  <c r="AW1331" i="3"/>
  <c r="AW1332" i="3"/>
  <c r="AW1333" i="3"/>
  <c r="AW1334" i="3"/>
  <c r="AW1335" i="3"/>
  <c r="AW1336" i="3"/>
  <c r="AW1337" i="3"/>
  <c r="AW1338" i="3"/>
  <c r="AW1339" i="3"/>
  <c r="AW1340" i="3"/>
  <c r="AW1341" i="3"/>
  <c r="AW1342" i="3"/>
  <c r="AW1343" i="3"/>
  <c r="AW1344" i="3"/>
  <c r="AW1345" i="3"/>
  <c r="AW1346" i="3"/>
  <c r="AW1347" i="3"/>
  <c r="AW1348" i="3"/>
  <c r="AW1349" i="3"/>
  <c r="AW1350" i="3"/>
  <c r="AW1351" i="3"/>
  <c r="AW1352" i="3"/>
  <c r="AW1353" i="3"/>
  <c r="AW1354" i="3"/>
  <c r="AW1355" i="3"/>
  <c r="AW1356" i="3"/>
  <c r="AW1357" i="3"/>
  <c r="AW1358" i="3"/>
  <c r="AW1359" i="3"/>
  <c r="AW1360" i="3"/>
  <c r="AW1361" i="3"/>
  <c r="AW1362" i="3"/>
  <c r="AW1363" i="3"/>
  <c r="AW1364" i="3"/>
  <c r="AW1365" i="3"/>
  <c r="AW1366" i="3"/>
  <c r="AW1367" i="3"/>
  <c r="AW1368" i="3"/>
  <c r="AW1369" i="3"/>
  <c r="AW1370" i="3"/>
  <c r="AW1371" i="3"/>
  <c r="AW1372" i="3"/>
  <c r="AW1373" i="3"/>
  <c r="AW1374" i="3"/>
  <c r="AW1375" i="3"/>
  <c r="AW1376" i="3"/>
  <c r="AW1377" i="3"/>
  <c r="AW1378" i="3"/>
  <c r="AW1379" i="3"/>
  <c r="AW1380" i="3"/>
  <c r="AW1381" i="3"/>
  <c r="AW1382" i="3"/>
  <c r="AW1383" i="3"/>
  <c r="AW1384" i="3"/>
  <c r="AW1385" i="3"/>
  <c r="AW1386" i="3"/>
  <c r="AW1387" i="3"/>
  <c r="AW1388" i="3"/>
  <c r="AW1389" i="3"/>
  <c r="AW1390" i="3"/>
  <c r="AW1391" i="3"/>
  <c r="AW1392" i="3"/>
  <c r="AW1393" i="3"/>
  <c r="AW1394" i="3"/>
  <c r="AW1395" i="3"/>
  <c r="AW1396" i="3"/>
  <c r="AW1397" i="3"/>
  <c r="AW1398" i="3"/>
  <c r="AW1399" i="3"/>
  <c r="AW1400" i="3"/>
  <c r="AW1401" i="3"/>
  <c r="AW1402" i="3"/>
  <c r="AW1403" i="3"/>
  <c r="AW1404" i="3"/>
  <c r="AW1405" i="3"/>
  <c r="AW1406" i="3"/>
  <c r="AW1407" i="3"/>
  <c r="AW1408" i="3"/>
  <c r="AW1409" i="3"/>
  <c r="AW1410" i="3"/>
  <c r="AW1411" i="3"/>
  <c r="AW1412" i="3"/>
  <c r="AW1413" i="3"/>
  <c r="AW1414" i="3"/>
  <c r="AW1415" i="3"/>
  <c r="AW1416" i="3"/>
  <c r="AW1417" i="3"/>
  <c r="AW1418" i="3"/>
  <c r="AW1419" i="3"/>
  <c r="AW1420" i="3"/>
  <c r="AW1421" i="3"/>
  <c r="AW1422" i="3"/>
  <c r="AW1423" i="3"/>
  <c r="AW1424" i="3"/>
  <c r="AW1425" i="3"/>
  <c r="AW1426" i="3"/>
  <c r="AW1427" i="3"/>
  <c r="AW1428" i="3"/>
  <c r="AW1429" i="3"/>
  <c r="AW1430" i="3"/>
  <c r="AW1431" i="3"/>
  <c r="AW1432" i="3"/>
  <c r="AW1433" i="3"/>
  <c r="AW1434" i="3"/>
  <c r="AW1435" i="3"/>
  <c r="AW1436" i="3"/>
  <c r="AW1437" i="3"/>
  <c r="AW1438" i="3"/>
  <c r="AW1439" i="3"/>
  <c r="AW1440" i="3"/>
  <c r="AW1441" i="3"/>
  <c r="AW1442" i="3"/>
  <c r="AW1443" i="3"/>
  <c r="AW1444" i="3"/>
  <c r="AW1445" i="3"/>
  <c r="AW1446" i="3"/>
  <c r="AW1447" i="3"/>
  <c r="AW1448" i="3"/>
  <c r="AW1449" i="3"/>
  <c r="AW1450" i="3"/>
  <c r="AW1451" i="3"/>
  <c r="AW1452" i="3"/>
  <c r="AW1453" i="3"/>
  <c r="AW1454" i="3"/>
  <c r="AW1455" i="3"/>
  <c r="AW1456" i="3"/>
  <c r="AW1457" i="3"/>
  <c r="AW1458" i="3"/>
  <c r="AW1459" i="3"/>
  <c r="AW1460" i="3"/>
  <c r="AW1461" i="3"/>
  <c r="AW1462" i="3"/>
  <c r="AW1463" i="3"/>
  <c r="AW1464" i="3"/>
  <c r="AW1465" i="3"/>
  <c r="AW1466" i="3"/>
  <c r="AW1467" i="3"/>
  <c r="AW1468" i="3"/>
  <c r="AW1469" i="3"/>
  <c r="AW1470" i="3"/>
  <c r="AW1471" i="3"/>
  <c r="AW1472" i="3"/>
  <c r="AW1473" i="3"/>
  <c r="AW1474" i="3"/>
  <c r="AW1475" i="3"/>
  <c r="AW1476" i="3"/>
  <c r="AW1477" i="3"/>
  <c r="AW1478" i="3"/>
  <c r="AW1479" i="3"/>
  <c r="AW1480" i="3"/>
  <c r="AW1481" i="3"/>
  <c r="AW1482" i="3"/>
  <c r="AW1483" i="3"/>
  <c r="AW1484" i="3"/>
  <c r="AW1485" i="3"/>
  <c r="AW1486" i="3"/>
  <c r="AW1487" i="3"/>
  <c r="AW1488" i="3"/>
  <c r="AW1489" i="3"/>
  <c r="AW1490" i="3"/>
  <c r="AW1491" i="3"/>
  <c r="AW1492" i="3"/>
  <c r="AW1493" i="3"/>
  <c r="AW1494" i="3"/>
  <c r="AW1495" i="3"/>
  <c r="AW1496" i="3"/>
  <c r="AW1497" i="3"/>
  <c r="AW1498" i="3"/>
  <c r="AW1499" i="3"/>
  <c r="AW1500" i="3"/>
  <c r="AW1501" i="3"/>
  <c r="AW1502" i="3"/>
  <c r="AW1503" i="3"/>
  <c r="AW1504" i="3"/>
  <c r="AW1505" i="3"/>
  <c r="AW1506" i="3"/>
  <c r="AW1507" i="3"/>
  <c r="AW1508" i="3"/>
  <c r="AW1509" i="3"/>
  <c r="AW1510" i="3"/>
  <c r="AW1511" i="3"/>
  <c r="AW1512" i="3"/>
  <c r="AW1513" i="3"/>
  <c r="AW1514" i="3"/>
  <c r="AW1515" i="3"/>
  <c r="AW1516" i="3"/>
  <c r="AW1517" i="3"/>
  <c r="AW1518" i="3"/>
  <c r="AW1519" i="3"/>
  <c r="AW1520" i="3"/>
  <c r="AW1521" i="3"/>
  <c r="AW1522" i="3"/>
  <c r="AW1523" i="3"/>
  <c r="AW1524" i="3"/>
  <c r="AW1525" i="3"/>
  <c r="AW1526" i="3"/>
  <c r="AW1527" i="3"/>
  <c r="AW1528" i="3"/>
  <c r="AW1529" i="3"/>
  <c r="AW1530" i="3"/>
  <c r="AW1531" i="3"/>
  <c r="AW1532" i="3"/>
  <c r="AW1533" i="3"/>
  <c r="AW1534" i="3"/>
  <c r="AW1535" i="3"/>
  <c r="AW1536" i="3"/>
  <c r="AW1537" i="3"/>
  <c r="AW1538" i="3"/>
  <c r="AW1539" i="3"/>
  <c r="AW1540" i="3"/>
  <c r="AW1541" i="3"/>
  <c r="AW1542" i="3"/>
  <c r="AW1543" i="3"/>
  <c r="AW1544" i="3"/>
  <c r="AW1545" i="3"/>
  <c r="AW1546" i="3"/>
  <c r="AW1547" i="3"/>
  <c r="AW1548" i="3"/>
  <c r="AW1549" i="3"/>
  <c r="AW1550" i="3"/>
  <c r="AW1551" i="3"/>
  <c r="AW1552" i="3"/>
  <c r="AW1553" i="3"/>
  <c r="AW1554" i="3"/>
  <c r="AW1555" i="3"/>
  <c r="AW1556" i="3"/>
  <c r="AW1557" i="3"/>
  <c r="AW1558" i="3"/>
  <c r="AW1559" i="3"/>
  <c r="AW1560" i="3"/>
  <c r="AW1561" i="3"/>
  <c r="AW1562" i="3"/>
  <c r="AW1563" i="3"/>
  <c r="AW1564" i="3"/>
  <c r="AW1565" i="3"/>
  <c r="AW1566" i="3"/>
  <c r="AW1567" i="3"/>
  <c r="AW1568" i="3"/>
  <c r="AW1569" i="3"/>
  <c r="AW1570" i="3"/>
  <c r="AW1571" i="3"/>
  <c r="AW1572" i="3"/>
  <c r="AW1573" i="3"/>
  <c r="AW1574" i="3"/>
  <c r="AW1575" i="3"/>
  <c r="AW1576" i="3"/>
  <c r="AW1577" i="3"/>
  <c r="AW1578" i="3"/>
  <c r="AW1579" i="3"/>
  <c r="AW1580" i="3"/>
  <c r="AW1581" i="3"/>
  <c r="AW1582" i="3"/>
  <c r="AW1583" i="3"/>
  <c r="AW1584" i="3"/>
  <c r="AW1585" i="3"/>
  <c r="AW1586" i="3"/>
  <c r="AW1587" i="3"/>
  <c r="AW1588" i="3"/>
  <c r="AW1589" i="3"/>
  <c r="AW1590" i="3"/>
  <c r="AW1591" i="3"/>
  <c r="AW1592" i="3"/>
  <c r="AW1593" i="3"/>
  <c r="AW1594" i="3"/>
  <c r="AW1595" i="3"/>
  <c r="AW1596" i="3"/>
  <c r="AW1597" i="3"/>
  <c r="AW1598" i="3"/>
  <c r="AW1599" i="3"/>
  <c r="AW1600" i="3"/>
  <c r="AW1601" i="3"/>
  <c r="AW1602" i="3"/>
  <c r="AW1603" i="3"/>
  <c r="AW1604" i="3"/>
  <c r="AW1605" i="3"/>
  <c r="AW1606" i="3"/>
  <c r="AW1607" i="3"/>
  <c r="AW1608" i="3"/>
  <c r="AW1609" i="3"/>
  <c r="AW1610" i="3"/>
  <c r="AW1611" i="3"/>
  <c r="AW1612" i="3"/>
  <c r="AW1613" i="3"/>
  <c r="AW1614" i="3"/>
  <c r="AW1615" i="3"/>
  <c r="AW1616" i="3"/>
  <c r="AW1617" i="3"/>
  <c r="AW1618" i="3"/>
  <c r="AW1619" i="3"/>
  <c r="AW1620" i="3"/>
  <c r="AW1621" i="3"/>
  <c r="AW1622" i="3"/>
  <c r="AW1623" i="3"/>
  <c r="AW1624" i="3"/>
  <c r="AW1625" i="3"/>
  <c r="AW1626" i="3"/>
  <c r="AW1627" i="3"/>
  <c r="AW1628" i="3"/>
  <c r="AW1629" i="3"/>
  <c r="AW1630" i="3"/>
  <c r="AW1631" i="3"/>
  <c r="AW1632" i="3"/>
  <c r="AW1633" i="3"/>
  <c r="AW1634" i="3"/>
  <c r="AW1635" i="3"/>
  <c r="AW1636" i="3"/>
  <c r="AW1637" i="3"/>
  <c r="AW1638" i="3"/>
  <c r="AW1639" i="3"/>
  <c r="AW1640" i="3"/>
  <c r="AW1641" i="3"/>
  <c r="AW1642" i="3"/>
  <c r="AW1643" i="3"/>
  <c r="AW1644" i="3"/>
  <c r="AW1645" i="3"/>
  <c r="AW1646" i="3"/>
  <c r="AW1647" i="3"/>
  <c r="AW1648" i="3"/>
  <c r="AW1649" i="3"/>
  <c r="AW1650" i="3"/>
  <c r="AW1651" i="3"/>
  <c r="AW1652" i="3"/>
  <c r="AW1653" i="3"/>
  <c r="AW1654" i="3"/>
  <c r="AW1655" i="3"/>
  <c r="AW1656" i="3"/>
  <c r="AW1657" i="3"/>
  <c r="AW1658" i="3"/>
  <c r="AW1659" i="3"/>
  <c r="AW1660" i="3"/>
  <c r="AW1661" i="3"/>
  <c r="AW1662" i="3"/>
  <c r="AW1663" i="3"/>
  <c r="AW1664" i="3"/>
  <c r="AW1665" i="3"/>
  <c r="AW1666" i="3"/>
  <c r="AW1667" i="3"/>
  <c r="AW1668" i="3"/>
  <c r="AW1669" i="3"/>
  <c r="AW1670" i="3"/>
  <c r="AW1671" i="3"/>
  <c r="AW1672" i="3"/>
  <c r="AW1673" i="3"/>
  <c r="AW1674" i="3"/>
  <c r="AW1675" i="3"/>
  <c r="AW1676" i="3"/>
  <c r="AW1677" i="3"/>
  <c r="AW1678" i="3"/>
  <c r="AW1679" i="3"/>
  <c r="AW1680" i="3"/>
  <c r="AW1681" i="3"/>
  <c r="AW1682" i="3"/>
  <c r="AW1683" i="3"/>
  <c r="AW1684" i="3"/>
  <c r="AW1685" i="3"/>
  <c r="AW1686" i="3"/>
  <c r="AW1687" i="3"/>
  <c r="AW1688" i="3"/>
  <c r="AW1689" i="3"/>
  <c r="AW1690" i="3"/>
  <c r="AW1691" i="3"/>
  <c r="AW1692" i="3"/>
  <c r="AW1693" i="3"/>
  <c r="AW1694" i="3"/>
  <c r="AW1695" i="3"/>
  <c r="AW1696" i="3"/>
  <c r="AW1697" i="3"/>
  <c r="AW1698" i="3"/>
  <c r="AW1699" i="3"/>
  <c r="AW1700" i="3"/>
  <c r="AW1701" i="3"/>
  <c r="AW1702" i="3"/>
  <c r="AW1703" i="3"/>
  <c r="AW1704" i="3"/>
  <c r="AW1705" i="3"/>
  <c r="AW1706" i="3"/>
  <c r="AW1707" i="3"/>
  <c r="AW1708" i="3"/>
  <c r="AW1709" i="3"/>
  <c r="AW1710" i="3"/>
  <c r="AW1711" i="3"/>
  <c r="AW1712" i="3"/>
  <c r="AW1713" i="3"/>
  <c r="AW1714" i="3"/>
  <c r="AW1715" i="3"/>
  <c r="AW1716" i="3"/>
  <c r="AW1717" i="3"/>
  <c r="AW1718" i="3"/>
  <c r="AW1719" i="3"/>
  <c r="AW1720" i="3"/>
  <c r="AW1721" i="3"/>
  <c r="AW1722" i="3"/>
  <c r="AW1723" i="3"/>
  <c r="AW1724" i="3"/>
  <c r="AW1725" i="3"/>
  <c r="AS10" i="3"/>
  <c r="AD71" i="1"/>
  <c r="N66" i="11"/>
  <c r="K69" i="18"/>
  <c r="G27" i="28" s="1"/>
  <c r="G29" i="29" s="1"/>
  <c r="J69" i="18"/>
  <c r="F27" i="28" s="1"/>
  <c r="F29" i="29" s="1"/>
  <c r="I69" i="18"/>
  <c r="E27" i="28" s="1"/>
  <c r="E29" i="29" s="1"/>
  <c r="H69" i="18"/>
  <c r="D27" i="28" s="1"/>
  <c r="D29" i="29" s="1"/>
  <c r="Q22" i="10"/>
  <c r="O19" i="10"/>
  <c r="L15" i="10"/>
  <c r="M15" i="10"/>
  <c r="J85" i="16"/>
  <c r="J84" i="16"/>
  <c r="J83" i="16"/>
  <c r="J82" i="16"/>
  <c r="J81" i="16"/>
  <c r="J80" i="16"/>
  <c r="J79" i="16"/>
  <c r="J77" i="16"/>
  <c r="AU1063" i="3"/>
  <c r="AV1063" i="3"/>
  <c r="AX1063" i="3"/>
  <c r="AU1064" i="3"/>
  <c r="AV1064" i="3"/>
  <c r="AX1064" i="3"/>
  <c r="AU1065" i="3"/>
  <c r="AV1065" i="3"/>
  <c r="AX1065" i="3"/>
  <c r="AU1066" i="3"/>
  <c r="AV1066" i="3"/>
  <c r="AX1066" i="3"/>
  <c r="AU876" i="3"/>
  <c r="AV876" i="3"/>
  <c r="AX876" i="3"/>
  <c r="AU877" i="3"/>
  <c r="AV877" i="3"/>
  <c r="AX877" i="3"/>
  <c r="AU878" i="3"/>
  <c r="AV878" i="3"/>
  <c r="AX878" i="3"/>
  <c r="AU879" i="3"/>
  <c r="AV879" i="3"/>
  <c r="AX879" i="3"/>
  <c r="AU727" i="3"/>
  <c r="AV727" i="3"/>
  <c r="AX727" i="3"/>
  <c r="AV724" i="3"/>
  <c r="AX724" i="3"/>
  <c r="AU724" i="3"/>
  <c r="AV723" i="3"/>
  <c r="AX723" i="3"/>
  <c r="AU723" i="3"/>
  <c r="AV722" i="3"/>
  <c r="AX722" i="3"/>
  <c r="AU722" i="3"/>
  <c r="AV1725" i="3"/>
  <c r="AX1725" i="3"/>
  <c r="AU1725" i="3"/>
  <c r="AV1724" i="3"/>
  <c r="AX1724" i="3"/>
  <c r="AU1724" i="3"/>
  <c r="AV1723" i="3"/>
  <c r="AX1723" i="3"/>
  <c r="AU1723" i="3"/>
  <c r="AV1722" i="3"/>
  <c r="AX1722" i="3"/>
  <c r="AU1722" i="3"/>
  <c r="AV1721" i="3"/>
  <c r="AX1721" i="3"/>
  <c r="AU1721" i="3"/>
  <c r="AV1720" i="3"/>
  <c r="AX1720" i="3"/>
  <c r="AU1720" i="3"/>
  <c r="AV1719" i="3"/>
  <c r="AX1719" i="3"/>
  <c r="AU1719" i="3"/>
  <c r="AV1718" i="3"/>
  <c r="AX1718" i="3"/>
  <c r="AU1718" i="3"/>
  <c r="AV1717" i="3"/>
  <c r="AX1717" i="3"/>
  <c r="AU1717" i="3"/>
  <c r="AV1716" i="3"/>
  <c r="AX1716" i="3"/>
  <c r="AU1716" i="3"/>
  <c r="AV1715" i="3"/>
  <c r="AX1715" i="3"/>
  <c r="AU1715" i="3"/>
  <c r="AV1714" i="3"/>
  <c r="AX1714" i="3"/>
  <c r="AU1714" i="3"/>
  <c r="AV1713" i="3"/>
  <c r="AX1713" i="3"/>
  <c r="AU1713" i="3"/>
  <c r="AV1712" i="3"/>
  <c r="AX1712" i="3"/>
  <c r="AU1712" i="3"/>
  <c r="AV1711" i="3"/>
  <c r="AX1711" i="3"/>
  <c r="AU1711" i="3"/>
  <c r="AV1710" i="3"/>
  <c r="AX1710" i="3"/>
  <c r="AU1710" i="3"/>
  <c r="AV1709" i="3"/>
  <c r="AX1709" i="3"/>
  <c r="AU1709" i="3"/>
  <c r="AV1708" i="3"/>
  <c r="AX1708" i="3"/>
  <c r="AU1708" i="3"/>
  <c r="AV1707" i="3"/>
  <c r="AX1707" i="3"/>
  <c r="AU1707" i="3"/>
  <c r="AV1706" i="3"/>
  <c r="AX1706" i="3"/>
  <c r="AU1706" i="3"/>
  <c r="AV1705" i="3"/>
  <c r="AX1705" i="3"/>
  <c r="AU1705" i="3"/>
  <c r="AV1704" i="3"/>
  <c r="AX1704" i="3"/>
  <c r="AU1704" i="3"/>
  <c r="AV1703" i="3"/>
  <c r="AX1703" i="3"/>
  <c r="AU1703" i="3"/>
  <c r="AV1702" i="3"/>
  <c r="AX1702" i="3"/>
  <c r="AU1702" i="3"/>
  <c r="AV1701" i="3"/>
  <c r="AX1701" i="3"/>
  <c r="AU1701" i="3"/>
  <c r="AV1700" i="3"/>
  <c r="AX1700" i="3"/>
  <c r="AU1700" i="3"/>
  <c r="AV1699" i="3"/>
  <c r="AX1699" i="3"/>
  <c r="AU1699" i="3"/>
  <c r="AV1698" i="3"/>
  <c r="AX1698" i="3"/>
  <c r="AU1698" i="3"/>
  <c r="AV1697" i="3"/>
  <c r="AX1697" i="3"/>
  <c r="AU1697" i="3"/>
  <c r="AV1696" i="3"/>
  <c r="AX1696" i="3"/>
  <c r="AU1696" i="3"/>
  <c r="AV1695" i="3"/>
  <c r="AX1695" i="3"/>
  <c r="AU1695" i="3"/>
  <c r="AV1694" i="3"/>
  <c r="AX1694" i="3"/>
  <c r="AU1694" i="3"/>
  <c r="AV1693" i="3"/>
  <c r="AX1693" i="3"/>
  <c r="AU1693" i="3"/>
  <c r="AV1692" i="3"/>
  <c r="AX1692" i="3"/>
  <c r="AU1692" i="3"/>
  <c r="AV1691" i="3"/>
  <c r="AX1691" i="3"/>
  <c r="AU1691" i="3"/>
  <c r="AV1690" i="3"/>
  <c r="AX1690" i="3"/>
  <c r="AU1690" i="3"/>
  <c r="AV1689" i="3"/>
  <c r="AX1689" i="3"/>
  <c r="AU1689" i="3"/>
  <c r="AV1688" i="3"/>
  <c r="AX1688" i="3"/>
  <c r="AU1688" i="3"/>
  <c r="AV1687" i="3"/>
  <c r="AX1687" i="3"/>
  <c r="AU1687" i="3"/>
  <c r="AV1686" i="3"/>
  <c r="AX1686" i="3"/>
  <c r="AU1686" i="3"/>
  <c r="AV1685" i="3"/>
  <c r="AX1685" i="3"/>
  <c r="AU1685" i="3"/>
  <c r="AV1684" i="3"/>
  <c r="AX1684" i="3"/>
  <c r="AU1684" i="3"/>
  <c r="AV1683" i="3"/>
  <c r="AX1683" i="3"/>
  <c r="AU1683" i="3"/>
  <c r="AV1682" i="3"/>
  <c r="AX1682" i="3"/>
  <c r="AU1682" i="3"/>
  <c r="AV1681" i="3"/>
  <c r="AX1681" i="3"/>
  <c r="AU1681" i="3"/>
  <c r="AV1680" i="3"/>
  <c r="AX1680" i="3"/>
  <c r="AU1680" i="3"/>
  <c r="AV1679" i="3"/>
  <c r="AX1679" i="3"/>
  <c r="AU1679" i="3"/>
  <c r="AV1678" i="3"/>
  <c r="AX1678" i="3"/>
  <c r="AU1678" i="3"/>
  <c r="AV1677" i="3"/>
  <c r="AX1677" i="3"/>
  <c r="AU1677" i="3"/>
  <c r="AV1676" i="3"/>
  <c r="AX1676" i="3"/>
  <c r="AU1676" i="3"/>
  <c r="AV1675" i="3"/>
  <c r="AX1675" i="3"/>
  <c r="AU1675" i="3"/>
  <c r="AV1674" i="3"/>
  <c r="AX1674" i="3"/>
  <c r="AU1674" i="3"/>
  <c r="AV1673" i="3"/>
  <c r="AX1673" i="3"/>
  <c r="AU1673" i="3"/>
  <c r="AV1672" i="3"/>
  <c r="AX1672" i="3"/>
  <c r="AU1672" i="3"/>
  <c r="AV1671" i="3"/>
  <c r="AX1671" i="3"/>
  <c r="AU1671" i="3"/>
  <c r="AV1670" i="3"/>
  <c r="AX1670" i="3"/>
  <c r="AU1670" i="3"/>
  <c r="AV1669" i="3"/>
  <c r="AX1669" i="3"/>
  <c r="AU1669" i="3"/>
  <c r="AV1668" i="3"/>
  <c r="AX1668" i="3"/>
  <c r="AU1668" i="3"/>
  <c r="AV1667" i="3"/>
  <c r="AX1667" i="3"/>
  <c r="AU1667" i="3"/>
  <c r="AV1666" i="3"/>
  <c r="AX1666" i="3"/>
  <c r="AU1666" i="3"/>
  <c r="AV1665" i="3"/>
  <c r="AX1665" i="3"/>
  <c r="AU1665" i="3"/>
  <c r="AV1664" i="3"/>
  <c r="AX1664" i="3"/>
  <c r="AU1664" i="3"/>
  <c r="AV1663" i="3"/>
  <c r="AX1663" i="3"/>
  <c r="AU1663" i="3"/>
  <c r="AV1662" i="3"/>
  <c r="AX1662" i="3"/>
  <c r="AU1662" i="3"/>
  <c r="AV1661" i="3"/>
  <c r="AX1661" i="3"/>
  <c r="AU1661" i="3"/>
  <c r="AV1660" i="3"/>
  <c r="AX1660" i="3"/>
  <c r="AU1660" i="3"/>
  <c r="AV1659" i="3"/>
  <c r="AX1659" i="3"/>
  <c r="AU1659" i="3"/>
  <c r="AV1658" i="3"/>
  <c r="AX1658" i="3"/>
  <c r="AU1658" i="3"/>
  <c r="AV1657" i="3"/>
  <c r="AX1657" i="3"/>
  <c r="AU1657" i="3"/>
  <c r="AV1656" i="3"/>
  <c r="AX1656" i="3"/>
  <c r="AU1656" i="3"/>
  <c r="AV1655" i="3"/>
  <c r="AX1655" i="3"/>
  <c r="AU1655" i="3"/>
  <c r="AV1654" i="3"/>
  <c r="AX1654" i="3"/>
  <c r="AU1654" i="3"/>
  <c r="AV1653" i="3"/>
  <c r="AX1653" i="3"/>
  <c r="AU1653" i="3"/>
  <c r="AV1652" i="3"/>
  <c r="AX1652" i="3"/>
  <c r="AU1652" i="3"/>
  <c r="AV1651" i="3"/>
  <c r="AX1651" i="3"/>
  <c r="AU1651" i="3"/>
  <c r="AV1650" i="3"/>
  <c r="AX1650" i="3"/>
  <c r="AU1650" i="3"/>
  <c r="AV1649" i="3"/>
  <c r="AX1649" i="3"/>
  <c r="AU1649" i="3"/>
  <c r="AV1648" i="3"/>
  <c r="AX1648" i="3"/>
  <c r="AU1648" i="3"/>
  <c r="AV1647" i="3"/>
  <c r="AX1647" i="3"/>
  <c r="AU1647" i="3"/>
  <c r="AV1646" i="3"/>
  <c r="AX1646" i="3"/>
  <c r="AU1646" i="3"/>
  <c r="AV1645" i="3"/>
  <c r="AX1645" i="3"/>
  <c r="AU1645" i="3"/>
  <c r="AV1644" i="3"/>
  <c r="AX1644" i="3"/>
  <c r="AU1644" i="3"/>
  <c r="AV1643" i="3"/>
  <c r="AX1643" i="3"/>
  <c r="AU1643" i="3"/>
  <c r="AV1642" i="3"/>
  <c r="AX1642" i="3"/>
  <c r="AU1642" i="3"/>
  <c r="AV1641" i="3"/>
  <c r="AX1641" i="3"/>
  <c r="AU1641" i="3"/>
  <c r="AV1640" i="3"/>
  <c r="AX1640" i="3"/>
  <c r="AU1640" i="3"/>
  <c r="AV1639" i="3"/>
  <c r="AX1639" i="3"/>
  <c r="AU1639" i="3"/>
  <c r="AV1638" i="3"/>
  <c r="AX1638" i="3"/>
  <c r="AU1638" i="3"/>
  <c r="AV1637" i="3"/>
  <c r="AX1637" i="3"/>
  <c r="AU1637" i="3"/>
  <c r="AV1636" i="3"/>
  <c r="AX1636" i="3"/>
  <c r="AU1636" i="3"/>
  <c r="AV1635" i="3"/>
  <c r="AX1635" i="3"/>
  <c r="AU1635" i="3"/>
  <c r="AV1634" i="3"/>
  <c r="AX1634" i="3"/>
  <c r="AU1634" i="3"/>
  <c r="AV1633" i="3"/>
  <c r="AX1633" i="3"/>
  <c r="AU1633" i="3"/>
  <c r="AV1632" i="3"/>
  <c r="AX1632" i="3"/>
  <c r="AU1632" i="3"/>
  <c r="AV1631" i="3"/>
  <c r="AX1631" i="3"/>
  <c r="AU1631" i="3"/>
  <c r="AV1630" i="3"/>
  <c r="AX1630" i="3"/>
  <c r="AU1630" i="3"/>
  <c r="AV1629" i="3"/>
  <c r="AX1629" i="3"/>
  <c r="AU1629" i="3"/>
  <c r="AV1628" i="3"/>
  <c r="AX1628" i="3"/>
  <c r="AU1628" i="3"/>
  <c r="AV1627" i="3"/>
  <c r="AX1627" i="3"/>
  <c r="AU1627" i="3"/>
  <c r="AV1626" i="3"/>
  <c r="AX1626" i="3"/>
  <c r="AU1626" i="3"/>
  <c r="AV1625" i="3"/>
  <c r="AX1625" i="3"/>
  <c r="AU1625" i="3"/>
  <c r="AV1624" i="3"/>
  <c r="AX1624" i="3"/>
  <c r="AU1624" i="3"/>
  <c r="AV1623" i="3"/>
  <c r="AX1623" i="3"/>
  <c r="AU1623" i="3"/>
  <c r="AV1622" i="3"/>
  <c r="AX1622" i="3"/>
  <c r="AU1622" i="3"/>
  <c r="AV1621" i="3"/>
  <c r="AX1621" i="3"/>
  <c r="AU1621" i="3"/>
  <c r="AV1620" i="3"/>
  <c r="AX1620" i="3"/>
  <c r="AU1620" i="3"/>
  <c r="AV1619" i="3"/>
  <c r="AX1619" i="3"/>
  <c r="AU1619" i="3"/>
  <c r="AV1618" i="3"/>
  <c r="AX1618" i="3"/>
  <c r="AU1618" i="3"/>
  <c r="AV1617" i="3"/>
  <c r="AX1617" i="3"/>
  <c r="AU1617" i="3"/>
  <c r="AV1616" i="3"/>
  <c r="AX1616" i="3"/>
  <c r="AU1616" i="3"/>
  <c r="AV1615" i="3"/>
  <c r="AX1615" i="3"/>
  <c r="AU1615" i="3"/>
  <c r="AV1614" i="3"/>
  <c r="AX1614" i="3"/>
  <c r="AU1614" i="3"/>
  <c r="AV1613" i="3"/>
  <c r="AX1613" i="3"/>
  <c r="AU1613" i="3"/>
  <c r="AV1612" i="3"/>
  <c r="AX1612" i="3"/>
  <c r="AU1612" i="3"/>
  <c r="AV1611" i="3"/>
  <c r="AX1611" i="3"/>
  <c r="AU1611" i="3"/>
  <c r="AV1610" i="3"/>
  <c r="AX1610" i="3"/>
  <c r="AU1610" i="3"/>
  <c r="AV1609" i="3"/>
  <c r="AX1609" i="3"/>
  <c r="AU1609" i="3"/>
  <c r="AV1608" i="3"/>
  <c r="AX1608" i="3"/>
  <c r="AU1608" i="3"/>
  <c r="AV1607" i="3"/>
  <c r="AX1607" i="3"/>
  <c r="AU1607" i="3"/>
  <c r="AV1606" i="3"/>
  <c r="AX1606" i="3"/>
  <c r="AU1606" i="3"/>
  <c r="AV1605" i="3"/>
  <c r="AX1605" i="3"/>
  <c r="AU1605" i="3"/>
  <c r="AV1604" i="3"/>
  <c r="AX1604" i="3"/>
  <c r="AU1604" i="3"/>
  <c r="AV1603" i="3"/>
  <c r="AX1603" i="3"/>
  <c r="AU1603" i="3"/>
  <c r="AV1602" i="3"/>
  <c r="AX1602" i="3"/>
  <c r="AU1602" i="3"/>
  <c r="AV1601" i="3"/>
  <c r="AX1601" i="3"/>
  <c r="AU1601" i="3"/>
  <c r="AV1600" i="3"/>
  <c r="AX1600" i="3"/>
  <c r="AU1600" i="3"/>
  <c r="AV1599" i="3"/>
  <c r="AX1599" i="3"/>
  <c r="AU1599" i="3"/>
  <c r="AV1598" i="3"/>
  <c r="AX1598" i="3"/>
  <c r="AU1598" i="3"/>
  <c r="AV1597" i="3"/>
  <c r="AX1597" i="3"/>
  <c r="AU1597" i="3"/>
  <c r="AV1596" i="3"/>
  <c r="AX1596" i="3"/>
  <c r="AU1596" i="3"/>
  <c r="AV1595" i="3"/>
  <c r="AX1595" i="3"/>
  <c r="AU1595" i="3"/>
  <c r="AV1594" i="3"/>
  <c r="AX1594" i="3"/>
  <c r="AU1594" i="3"/>
  <c r="AV1593" i="3"/>
  <c r="AX1593" i="3"/>
  <c r="AU1593" i="3"/>
  <c r="AV1592" i="3"/>
  <c r="AX1592" i="3"/>
  <c r="AU1592" i="3"/>
  <c r="AV1591" i="3"/>
  <c r="AX1591" i="3"/>
  <c r="AU1591" i="3"/>
  <c r="AV1590" i="3"/>
  <c r="AX1590" i="3"/>
  <c r="AU1590" i="3"/>
  <c r="AV1589" i="3"/>
  <c r="AX1589" i="3"/>
  <c r="AU1589" i="3"/>
  <c r="AV1588" i="3"/>
  <c r="AX1588" i="3"/>
  <c r="AU1588" i="3"/>
  <c r="AV1587" i="3"/>
  <c r="AX1587" i="3"/>
  <c r="AU1587" i="3"/>
  <c r="AV1586" i="3"/>
  <c r="AX1586" i="3"/>
  <c r="AU1586" i="3"/>
  <c r="AV1585" i="3"/>
  <c r="AX1585" i="3"/>
  <c r="AU1585" i="3"/>
  <c r="AV1584" i="3"/>
  <c r="AX1584" i="3"/>
  <c r="AU1584" i="3"/>
  <c r="AV1583" i="3"/>
  <c r="AX1583" i="3"/>
  <c r="AU1583" i="3"/>
  <c r="AV1582" i="3"/>
  <c r="AX1582" i="3"/>
  <c r="AU1582" i="3"/>
  <c r="AV1581" i="3"/>
  <c r="AX1581" i="3"/>
  <c r="AU1581" i="3"/>
  <c r="AV1580" i="3"/>
  <c r="AX1580" i="3"/>
  <c r="AU1580" i="3"/>
  <c r="AV1579" i="3"/>
  <c r="AX1579" i="3"/>
  <c r="AU1579" i="3"/>
  <c r="AV1578" i="3"/>
  <c r="AX1578" i="3"/>
  <c r="AU1578" i="3"/>
  <c r="AV1577" i="3"/>
  <c r="AX1577" i="3"/>
  <c r="AU1577" i="3"/>
  <c r="AV1576" i="3"/>
  <c r="AX1576" i="3"/>
  <c r="AU1576" i="3"/>
  <c r="AV1575" i="3"/>
  <c r="AX1575" i="3"/>
  <c r="AU1575" i="3"/>
  <c r="AV1574" i="3"/>
  <c r="AX1574" i="3"/>
  <c r="AU1574" i="3"/>
  <c r="AV1573" i="3"/>
  <c r="AX1573" i="3"/>
  <c r="AU1573" i="3"/>
  <c r="AV1572" i="3"/>
  <c r="AX1572" i="3"/>
  <c r="AU1572" i="3"/>
  <c r="AV1571" i="3"/>
  <c r="AX1571" i="3"/>
  <c r="AU1571" i="3"/>
  <c r="AV1570" i="3"/>
  <c r="AX1570" i="3"/>
  <c r="AU1570" i="3"/>
  <c r="AV1569" i="3"/>
  <c r="AX1569" i="3"/>
  <c r="AU1569" i="3"/>
  <c r="AV1568" i="3"/>
  <c r="AX1568" i="3"/>
  <c r="AU1568" i="3"/>
  <c r="AV1567" i="3"/>
  <c r="AX1567" i="3"/>
  <c r="AU1567" i="3"/>
  <c r="AV1566" i="3"/>
  <c r="AX1566" i="3"/>
  <c r="AU1566" i="3"/>
  <c r="AV1565" i="3"/>
  <c r="AX1565" i="3"/>
  <c r="AU1565" i="3"/>
  <c r="AV1564" i="3"/>
  <c r="AX1564" i="3"/>
  <c r="AU1564" i="3"/>
  <c r="AV1563" i="3"/>
  <c r="AX1563" i="3"/>
  <c r="AU1563" i="3"/>
  <c r="AV1562" i="3"/>
  <c r="AX1562" i="3"/>
  <c r="AU1562" i="3"/>
  <c r="AV1561" i="3"/>
  <c r="AX1561" i="3"/>
  <c r="AU1561" i="3"/>
  <c r="AV1560" i="3"/>
  <c r="AX1560" i="3"/>
  <c r="AU1560" i="3"/>
  <c r="AV1559" i="3"/>
  <c r="AX1559" i="3"/>
  <c r="AU1559" i="3"/>
  <c r="AV1558" i="3"/>
  <c r="AX1558" i="3"/>
  <c r="AU1558" i="3"/>
  <c r="AV1557" i="3"/>
  <c r="AX1557" i="3"/>
  <c r="AU1557" i="3"/>
  <c r="AV1556" i="3"/>
  <c r="AX1556" i="3"/>
  <c r="AU1556" i="3"/>
  <c r="AV1555" i="3"/>
  <c r="AX1555" i="3"/>
  <c r="AU1555" i="3"/>
  <c r="AV1554" i="3"/>
  <c r="AX1554" i="3"/>
  <c r="AU1554" i="3"/>
  <c r="AV1553" i="3"/>
  <c r="AX1553" i="3"/>
  <c r="AU1553" i="3"/>
  <c r="AV1552" i="3"/>
  <c r="AX1552" i="3"/>
  <c r="AU1552" i="3"/>
  <c r="AV1551" i="3"/>
  <c r="AX1551" i="3"/>
  <c r="AU1551" i="3"/>
  <c r="AV1550" i="3"/>
  <c r="AX1550" i="3"/>
  <c r="AU1550" i="3"/>
  <c r="AV1549" i="3"/>
  <c r="AX1549" i="3"/>
  <c r="AU1549" i="3"/>
  <c r="AV1548" i="3"/>
  <c r="AX1548" i="3"/>
  <c r="AU1548" i="3"/>
  <c r="AV1547" i="3"/>
  <c r="AX1547" i="3"/>
  <c r="AU1547" i="3"/>
  <c r="AV1546" i="3"/>
  <c r="AX1546" i="3"/>
  <c r="AU1546" i="3"/>
  <c r="AV1545" i="3"/>
  <c r="AX1545" i="3"/>
  <c r="AU1545" i="3"/>
  <c r="AV1544" i="3"/>
  <c r="AX1544" i="3"/>
  <c r="AU1544" i="3"/>
  <c r="AV1543" i="3"/>
  <c r="AX1543" i="3"/>
  <c r="AU1543" i="3"/>
  <c r="AV1542" i="3"/>
  <c r="AX1542" i="3"/>
  <c r="AU1542" i="3"/>
  <c r="AV1541" i="3"/>
  <c r="AX1541" i="3"/>
  <c r="AU1541" i="3"/>
  <c r="AV1540" i="3"/>
  <c r="AX1540" i="3"/>
  <c r="AU1540" i="3"/>
  <c r="AV1539" i="3"/>
  <c r="AX1539" i="3"/>
  <c r="AU1539" i="3"/>
  <c r="AV1538" i="3"/>
  <c r="AX1538" i="3"/>
  <c r="AU1538" i="3"/>
  <c r="AV1537" i="3"/>
  <c r="AX1537" i="3"/>
  <c r="AU1537" i="3"/>
  <c r="AV1536" i="3"/>
  <c r="AX1536" i="3"/>
  <c r="AU1536" i="3"/>
  <c r="AV1535" i="3"/>
  <c r="AX1535" i="3"/>
  <c r="AU1535" i="3"/>
  <c r="AV1534" i="3"/>
  <c r="AX1534" i="3"/>
  <c r="AU1534" i="3"/>
  <c r="AV1533" i="3"/>
  <c r="AX1533" i="3"/>
  <c r="AU1533" i="3"/>
  <c r="AV1532" i="3"/>
  <c r="AX1532" i="3"/>
  <c r="AU1532" i="3"/>
  <c r="AV1531" i="3"/>
  <c r="AX1531" i="3"/>
  <c r="AU1531" i="3"/>
  <c r="AV1530" i="3"/>
  <c r="AX1530" i="3"/>
  <c r="AU1530" i="3"/>
  <c r="AV1529" i="3"/>
  <c r="AX1529" i="3"/>
  <c r="AU1529" i="3"/>
  <c r="AV1528" i="3"/>
  <c r="AX1528" i="3"/>
  <c r="AU1528" i="3"/>
  <c r="AV1527" i="3"/>
  <c r="AX1527" i="3"/>
  <c r="AU1527" i="3"/>
  <c r="AV1526" i="3"/>
  <c r="AX1526" i="3"/>
  <c r="AU1526" i="3"/>
  <c r="AV1525" i="3"/>
  <c r="AX1525" i="3"/>
  <c r="AU1525" i="3"/>
  <c r="AV1524" i="3"/>
  <c r="AX1524" i="3"/>
  <c r="AU1524" i="3"/>
  <c r="AV1523" i="3"/>
  <c r="AX1523" i="3"/>
  <c r="AU1523" i="3"/>
  <c r="AV1522" i="3"/>
  <c r="AX1522" i="3"/>
  <c r="AU1522" i="3"/>
  <c r="AV1521" i="3"/>
  <c r="AX1521" i="3"/>
  <c r="AU1521" i="3"/>
  <c r="AV1520" i="3"/>
  <c r="AX1520" i="3"/>
  <c r="AU1520" i="3"/>
  <c r="AV1519" i="3"/>
  <c r="AX1519" i="3"/>
  <c r="AU1519" i="3"/>
  <c r="AV1518" i="3"/>
  <c r="AX1518" i="3"/>
  <c r="AU1518" i="3"/>
  <c r="AV1517" i="3"/>
  <c r="AX1517" i="3"/>
  <c r="AU1517" i="3"/>
  <c r="AV1516" i="3"/>
  <c r="AX1516" i="3"/>
  <c r="AU1516" i="3"/>
  <c r="AV1515" i="3"/>
  <c r="AX1515" i="3"/>
  <c r="AU1515" i="3"/>
  <c r="AV1514" i="3"/>
  <c r="AX1514" i="3"/>
  <c r="AU1514" i="3"/>
  <c r="AV1513" i="3"/>
  <c r="AX1513" i="3"/>
  <c r="AU1513" i="3"/>
  <c r="AV1512" i="3"/>
  <c r="AX1512" i="3"/>
  <c r="AU1512" i="3"/>
  <c r="AV1511" i="3"/>
  <c r="AX1511" i="3"/>
  <c r="AU1511" i="3"/>
  <c r="AV1510" i="3"/>
  <c r="AX1510" i="3"/>
  <c r="AU1510" i="3"/>
  <c r="AV1509" i="3"/>
  <c r="AX1509" i="3"/>
  <c r="AU1509" i="3"/>
  <c r="AV1508" i="3"/>
  <c r="AX1508" i="3"/>
  <c r="AU1508" i="3"/>
  <c r="AV1507" i="3"/>
  <c r="AX1507" i="3"/>
  <c r="AU1507" i="3"/>
  <c r="AV1506" i="3"/>
  <c r="AX1506" i="3"/>
  <c r="AU1506" i="3"/>
  <c r="AV1505" i="3"/>
  <c r="AX1505" i="3"/>
  <c r="AU1505" i="3"/>
  <c r="AV1504" i="3"/>
  <c r="AX1504" i="3"/>
  <c r="AU1504" i="3"/>
  <c r="AV1503" i="3"/>
  <c r="AX1503" i="3"/>
  <c r="AU1503" i="3"/>
  <c r="AV1502" i="3"/>
  <c r="AX1502" i="3"/>
  <c r="AU1502" i="3"/>
  <c r="AV1501" i="3"/>
  <c r="AX1501" i="3"/>
  <c r="AU1501" i="3"/>
  <c r="AV1500" i="3"/>
  <c r="AX1500" i="3"/>
  <c r="AU1500" i="3"/>
  <c r="AV1499" i="3"/>
  <c r="AX1499" i="3"/>
  <c r="AU1499" i="3"/>
  <c r="AV1498" i="3"/>
  <c r="AX1498" i="3"/>
  <c r="AU1498" i="3"/>
  <c r="AV1497" i="3"/>
  <c r="AX1497" i="3"/>
  <c r="AU1497" i="3"/>
  <c r="AV1496" i="3"/>
  <c r="AX1496" i="3"/>
  <c r="AU1496" i="3"/>
  <c r="AV1495" i="3"/>
  <c r="AX1495" i="3"/>
  <c r="AU1495" i="3"/>
  <c r="AV1494" i="3"/>
  <c r="AX1494" i="3"/>
  <c r="AU1494" i="3"/>
  <c r="AV1493" i="3"/>
  <c r="AX1493" i="3"/>
  <c r="AU1493" i="3"/>
  <c r="AV1492" i="3"/>
  <c r="AX1492" i="3"/>
  <c r="AU1492" i="3"/>
  <c r="AV1491" i="3"/>
  <c r="AX1491" i="3"/>
  <c r="AU1491" i="3"/>
  <c r="AV1490" i="3"/>
  <c r="AX1490" i="3"/>
  <c r="AU1490" i="3"/>
  <c r="AV1489" i="3"/>
  <c r="AX1489" i="3"/>
  <c r="AU1489" i="3"/>
  <c r="AV1488" i="3"/>
  <c r="AX1488" i="3"/>
  <c r="AU1488" i="3"/>
  <c r="AV1487" i="3"/>
  <c r="AX1487" i="3"/>
  <c r="AU1487" i="3"/>
  <c r="AV1486" i="3"/>
  <c r="AX1486" i="3"/>
  <c r="AU1486" i="3"/>
  <c r="AV1485" i="3"/>
  <c r="AX1485" i="3"/>
  <c r="AU1485" i="3"/>
  <c r="AV1484" i="3"/>
  <c r="AX1484" i="3"/>
  <c r="AU1484" i="3"/>
  <c r="AV1483" i="3"/>
  <c r="AX1483" i="3"/>
  <c r="AU1483" i="3"/>
  <c r="AV1482" i="3"/>
  <c r="AX1482" i="3"/>
  <c r="AU1482" i="3"/>
  <c r="AV1481" i="3"/>
  <c r="AX1481" i="3"/>
  <c r="AU1481" i="3"/>
  <c r="AV1480" i="3"/>
  <c r="AX1480" i="3"/>
  <c r="AU1480" i="3"/>
  <c r="AV1479" i="3"/>
  <c r="AX1479" i="3"/>
  <c r="AU1479" i="3"/>
  <c r="AV1478" i="3"/>
  <c r="AX1478" i="3"/>
  <c r="AU1478" i="3"/>
  <c r="AV1477" i="3"/>
  <c r="AX1477" i="3"/>
  <c r="AU1477" i="3"/>
  <c r="AV1476" i="3"/>
  <c r="AX1476" i="3"/>
  <c r="AU1476" i="3"/>
  <c r="AV1475" i="3"/>
  <c r="AX1475" i="3"/>
  <c r="AU1475" i="3"/>
  <c r="AV1474" i="3"/>
  <c r="AX1474" i="3"/>
  <c r="AU1474" i="3"/>
  <c r="AV1473" i="3"/>
  <c r="AX1473" i="3"/>
  <c r="AU1473" i="3"/>
  <c r="AV1472" i="3"/>
  <c r="AX1472" i="3"/>
  <c r="AU1472" i="3"/>
  <c r="AV1471" i="3"/>
  <c r="AX1471" i="3"/>
  <c r="AU1471" i="3"/>
  <c r="AV1470" i="3"/>
  <c r="AX1470" i="3"/>
  <c r="AU1470" i="3"/>
  <c r="AV1469" i="3"/>
  <c r="AX1469" i="3"/>
  <c r="AU1469" i="3"/>
  <c r="AV1468" i="3"/>
  <c r="AX1468" i="3"/>
  <c r="AU1468" i="3"/>
  <c r="AV1467" i="3"/>
  <c r="AX1467" i="3"/>
  <c r="AU1467" i="3"/>
  <c r="AV1466" i="3"/>
  <c r="AX1466" i="3"/>
  <c r="AU1466" i="3"/>
  <c r="AV1465" i="3"/>
  <c r="AX1465" i="3"/>
  <c r="AU1465" i="3"/>
  <c r="AV1464" i="3"/>
  <c r="AX1464" i="3"/>
  <c r="AU1464" i="3"/>
  <c r="AV1463" i="3"/>
  <c r="AX1463" i="3"/>
  <c r="AU1463" i="3"/>
  <c r="AV1462" i="3"/>
  <c r="AX1462" i="3"/>
  <c r="AU1462" i="3"/>
  <c r="AV1461" i="3"/>
  <c r="AX1461" i="3"/>
  <c r="AU1461" i="3"/>
  <c r="AV1460" i="3"/>
  <c r="AX1460" i="3"/>
  <c r="AU1460" i="3"/>
  <c r="AV1459" i="3"/>
  <c r="AX1459" i="3"/>
  <c r="AU1459" i="3"/>
  <c r="AV1458" i="3"/>
  <c r="AX1458" i="3"/>
  <c r="AU1458" i="3"/>
  <c r="AV1457" i="3"/>
  <c r="AX1457" i="3"/>
  <c r="AU1457" i="3"/>
  <c r="AV1456" i="3"/>
  <c r="AX1456" i="3"/>
  <c r="AU1456" i="3"/>
  <c r="AV1455" i="3"/>
  <c r="AX1455" i="3"/>
  <c r="AU1455" i="3"/>
  <c r="AV1454" i="3"/>
  <c r="AX1454" i="3"/>
  <c r="AU1454" i="3"/>
  <c r="AV1453" i="3"/>
  <c r="AX1453" i="3"/>
  <c r="AU1453" i="3"/>
  <c r="AV1452" i="3"/>
  <c r="AX1452" i="3"/>
  <c r="AU1452" i="3"/>
  <c r="AV1451" i="3"/>
  <c r="AX1451" i="3"/>
  <c r="AU1451" i="3"/>
  <c r="AV1450" i="3"/>
  <c r="AX1450" i="3"/>
  <c r="AU1450" i="3"/>
  <c r="AV1449" i="3"/>
  <c r="AX1449" i="3"/>
  <c r="AU1449" i="3"/>
  <c r="AV1448" i="3"/>
  <c r="AX1448" i="3"/>
  <c r="AU1448" i="3"/>
  <c r="AV1447" i="3"/>
  <c r="AX1447" i="3"/>
  <c r="AU1447" i="3"/>
  <c r="AV1446" i="3"/>
  <c r="AX1446" i="3"/>
  <c r="AU1446" i="3"/>
  <c r="AV1445" i="3"/>
  <c r="AX1445" i="3"/>
  <c r="AU1445" i="3"/>
  <c r="AV1444" i="3"/>
  <c r="AX1444" i="3"/>
  <c r="AU1444" i="3"/>
  <c r="AV1443" i="3"/>
  <c r="AX1443" i="3"/>
  <c r="AU1443" i="3"/>
  <c r="AV1442" i="3"/>
  <c r="AX1442" i="3"/>
  <c r="AU1442" i="3"/>
  <c r="AV1441" i="3"/>
  <c r="AX1441" i="3"/>
  <c r="AU1441" i="3"/>
  <c r="AV1440" i="3"/>
  <c r="AX1440" i="3"/>
  <c r="AU1440" i="3"/>
  <c r="AV1439" i="3"/>
  <c r="AX1439" i="3"/>
  <c r="AU1439" i="3"/>
  <c r="AV1438" i="3"/>
  <c r="AX1438" i="3"/>
  <c r="AU1438" i="3"/>
  <c r="AV1437" i="3"/>
  <c r="AX1437" i="3"/>
  <c r="AU1437" i="3"/>
  <c r="AV1436" i="3"/>
  <c r="AX1436" i="3"/>
  <c r="AU1436" i="3"/>
  <c r="AV1435" i="3"/>
  <c r="AX1435" i="3"/>
  <c r="AU1435" i="3"/>
  <c r="AV1434" i="3"/>
  <c r="AX1434" i="3"/>
  <c r="AU1434" i="3"/>
  <c r="AV1433" i="3"/>
  <c r="AX1433" i="3"/>
  <c r="AU1433" i="3"/>
  <c r="AV1432" i="3"/>
  <c r="AX1432" i="3"/>
  <c r="AU1432" i="3"/>
  <c r="AV1431" i="3"/>
  <c r="AX1431" i="3"/>
  <c r="AU1431" i="3"/>
  <c r="AV1430" i="3"/>
  <c r="AX1430" i="3"/>
  <c r="AU1430" i="3"/>
  <c r="AV1429" i="3"/>
  <c r="AX1429" i="3"/>
  <c r="AU1429" i="3"/>
  <c r="AV1428" i="3"/>
  <c r="AX1428" i="3"/>
  <c r="AU1428" i="3"/>
  <c r="AV1427" i="3"/>
  <c r="AX1427" i="3"/>
  <c r="AU1427" i="3"/>
  <c r="AV1426" i="3"/>
  <c r="AX1426" i="3"/>
  <c r="AU1426" i="3"/>
  <c r="AV1425" i="3"/>
  <c r="AX1425" i="3"/>
  <c r="AU1425" i="3"/>
  <c r="AV1424" i="3"/>
  <c r="AX1424" i="3"/>
  <c r="AU1424" i="3"/>
  <c r="AV1423" i="3"/>
  <c r="AX1423" i="3"/>
  <c r="AU1423" i="3"/>
  <c r="AV1422" i="3"/>
  <c r="AX1422" i="3"/>
  <c r="AU1422" i="3"/>
  <c r="AV1421" i="3"/>
  <c r="AX1421" i="3"/>
  <c r="AU1421" i="3"/>
  <c r="AV1420" i="3"/>
  <c r="AX1420" i="3"/>
  <c r="AU1420" i="3"/>
  <c r="AV1419" i="3"/>
  <c r="AX1419" i="3"/>
  <c r="AU1419" i="3"/>
  <c r="AV1418" i="3"/>
  <c r="AX1418" i="3"/>
  <c r="AU1418" i="3"/>
  <c r="AV1417" i="3"/>
  <c r="AX1417" i="3"/>
  <c r="AU1417" i="3"/>
  <c r="AV1416" i="3"/>
  <c r="AX1416" i="3"/>
  <c r="AU1416" i="3"/>
  <c r="AV1415" i="3"/>
  <c r="AX1415" i="3"/>
  <c r="AU1415" i="3"/>
  <c r="AV1414" i="3"/>
  <c r="AX1414" i="3"/>
  <c r="AU1414" i="3"/>
  <c r="AV1413" i="3"/>
  <c r="AX1413" i="3"/>
  <c r="AU1413" i="3"/>
  <c r="AV1412" i="3"/>
  <c r="AX1412" i="3"/>
  <c r="AU1412" i="3"/>
  <c r="AV1411" i="3"/>
  <c r="AX1411" i="3"/>
  <c r="AU1411" i="3"/>
  <c r="AV1410" i="3"/>
  <c r="AX1410" i="3"/>
  <c r="AU1410" i="3"/>
  <c r="AV1409" i="3"/>
  <c r="AX1409" i="3"/>
  <c r="AU1409" i="3"/>
  <c r="AV1408" i="3"/>
  <c r="AX1408" i="3"/>
  <c r="AU1408" i="3"/>
  <c r="AV1407" i="3"/>
  <c r="AX1407" i="3"/>
  <c r="AU1407" i="3"/>
  <c r="AV1406" i="3"/>
  <c r="AX1406" i="3"/>
  <c r="AU1406" i="3"/>
  <c r="AV1405" i="3"/>
  <c r="AX1405" i="3"/>
  <c r="AU1405" i="3"/>
  <c r="AV1404" i="3"/>
  <c r="AX1404" i="3"/>
  <c r="AU1404" i="3"/>
  <c r="AV1403" i="3"/>
  <c r="AX1403" i="3"/>
  <c r="AU1403" i="3"/>
  <c r="AV1402" i="3"/>
  <c r="AX1402" i="3"/>
  <c r="AU1402" i="3"/>
  <c r="AV1401" i="3"/>
  <c r="AX1401" i="3"/>
  <c r="AU1401" i="3"/>
  <c r="AV1400" i="3"/>
  <c r="AX1400" i="3"/>
  <c r="AU1400" i="3"/>
  <c r="AV1399" i="3"/>
  <c r="AX1399" i="3"/>
  <c r="AU1399" i="3"/>
  <c r="AV1398" i="3"/>
  <c r="AX1398" i="3"/>
  <c r="AU1398" i="3"/>
  <c r="AV1397" i="3"/>
  <c r="AX1397" i="3"/>
  <c r="AU1397" i="3"/>
  <c r="AV1396" i="3"/>
  <c r="AX1396" i="3"/>
  <c r="AU1396" i="3"/>
  <c r="AV1395" i="3"/>
  <c r="AX1395" i="3"/>
  <c r="AU1395" i="3"/>
  <c r="AV1394" i="3"/>
  <c r="AX1394" i="3"/>
  <c r="AU1394" i="3"/>
  <c r="AV1393" i="3"/>
  <c r="AX1393" i="3"/>
  <c r="AU1393" i="3"/>
  <c r="AV1392" i="3"/>
  <c r="AX1392" i="3"/>
  <c r="AU1392" i="3"/>
  <c r="AV1391" i="3"/>
  <c r="AX1391" i="3"/>
  <c r="AU1391" i="3"/>
  <c r="AV1390" i="3"/>
  <c r="AX1390" i="3"/>
  <c r="AU1390" i="3"/>
  <c r="AV1389" i="3"/>
  <c r="AX1389" i="3"/>
  <c r="AU1389" i="3"/>
  <c r="AV1388" i="3"/>
  <c r="AX1388" i="3"/>
  <c r="AU1388" i="3"/>
  <c r="AV1387" i="3"/>
  <c r="AX1387" i="3"/>
  <c r="AU1387" i="3"/>
  <c r="AV1386" i="3"/>
  <c r="AX1386" i="3"/>
  <c r="AU1386" i="3"/>
  <c r="AV1385" i="3"/>
  <c r="AX1385" i="3"/>
  <c r="AU1385" i="3"/>
  <c r="AV1384" i="3"/>
  <c r="AX1384" i="3"/>
  <c r="AU1384" i="3"/>
  <c r="AV1383" i="3"/>
  <c r="AX1383" i="3"/>
  <c r="AU1383" i="3"/>
  <c r="AV1382" i="3"/>
  <c r="AX1382" i="3"/>
  <c r="AU1382" i="3"/>
  <c r="AV1381" i="3"/>
  <c r="AX1381" i="3"/>
  <c r="AU1381" i="3"/>
  <c r="AV1380" i="3"/>
  <c r="AX1380" i="3"/>
  <c r="AU1380" i="3"/>
  <c r="AV1379" i="3"/>
  <c r="AX1379" i="3"/>
  <c r="AU1379" i="3"/>
  <c r="AV1378" i="3"/>
  <c r="AX1378" i="3"/>
  <c r="AU1378" i="3"/>
  <c r="AV1377" i="3"/>
  <c r="AX1377" i="3"/>
  <c r="AU1377" i="3"/>
  <c r="AV1376" i="3"/>
  <c r="AX1376" i="3"/>
  <c r="AU1376" i="3"/>
  <c r="AV1375" i="3"/>
  <c r="AX1375" i="3"/>
  <c r="AU1375" i="3"/>
  <c r="AV1374" i="3"/>
  <c r="AX1374" i="3"/>
  <c r="AU1374" i="3"/>
  <c r="AV1373" i="3"/>
  <c r="AX1373" i="3"/>
  <c r="AU1373" i="3"/>
  <c r="AV1372" i="3"/>
  <c r="AX1372" i="3"/>
  <c r="AU1372" i="3"/>
  <c r="AV1371" i="3"/>
  <c r="AX1371" i="3"/>
  <c r="AU1371" i="3"/>
  <c r="AV1370" i="3"/>
  <c r="AX1370" i="3"/>
  <c r="AU1370" i="3"/>
  <c r="AV1369" i="3"/>
  <c r="AX1369" i="3"/>
  <c r="AU1369" i="3"/>
  <c r="AV1368" i="3"/>
  <c r="AX1368" i="3"/>
  <c r="AU1368" i="3"/>
  <c r="AV1367" i="3"/>
  <c r="AX1367" i="3"/>
  <c r="AU1367" i="3"/>
  <c r="AV1366" i="3"/>
  <c r="AX1366" i="3"/>
  <c r="AU1366" i="3"/>
  <c r="AV1365" i="3"/>
  <c r="AX1365" i="3"/>
  <c r="AU1365" i="3"/>
  <c r="AV1364" i="3"/>
  <c r="AX1364" i="3"/>
  <c r="AU1364" i="3"/>
  <c r="AV1363" i="3"/>
  <c r="AX1363" i="3"/>
  <c r="AU1363" i="3"/>
  <c r="AV1362" i="3"/>
  <c r="AX1362" i="3"/>
  <c r="AU1362" i="3"/>
  <c r="AV1361" i="3"/>
  <c r="AX1361" i="3"/>
  <c r="AU1361" i="3"/>
  <c r="AV1360" i="3"/>
  <c r="AX1360" i="3"/>
  <c r="AU1360" i="3"/>
  <c r="AV1359" i="3"/>
  <c r="AX1359" i="3"/>
  <c r="AU1359" i="3"/>
  <c r="AV1358" i="3"/>
  <c r="AX1358" i="3"/>
  <c r="AU1358" i="3"/>
  <c r="AV1357" i="3"/>
  <c r="AX1357" i="3"/>
  <c r="AU1357" i="3"/>
  <c r="AV1356" i="3"/>
  <c r="AX1356" i="3"/>
  <c r="AU1356" i="3"/>
  <c r="AV1355" i="3"/>
  <c r="AX1355" i="3"/>
  <c r="AU1355" i="3"/>
  <c r="AV1354" i="3"/>
  <c r="AX1354" i="3"/>
  <c r="AU1354" i="3"/>
  <c r="AV1353" i="3"/>
  <c r="AX1353" i="3"/>
  <c r="AU1353" i="3"/>
  <c r="AV1352" i="3"/>
  <c r="AX1352" i="3"/>
  <c r="AU1352" i="3"/>
  <c r="AV1351" i="3"/>
  <c r="AX1351" i="3"/>
  <c r="AU1351" i="3"/>
  <c r="AV1350" i="3"/>
  <c r="AX1350" i="3"/>
  <c r="AU1350" i="3"/>
  <c r="AV1349" i="3"/>
  <c r="AX1349" i="3"/>
  <c r="AU1349" i="3"/>
  <c r="AV1348" i="3"/>
  <c r="AX1348" i="3"/>
  <c r="AU1348" i="3"/>
  <c r="AV1347" i="3"/>
  <c r="AX1347" i="3"/>
  <c r="AU1347" i="3"/>
  <c r="AV1346" i="3"/>
  <c r="AX1346" i="3"/>
  <c r="AU1346" i="3"/>
  <c r="AV1345" i="3"/>
  <c r="AX1345" i="3"/>
  <c r="AU1345" i="3"/>
  <c r="AV1344" i="3"/>
  <c r="AX1344" i="3"/>
  <c r="AU1344" i="3"/>
  <c r="AV1343" i="3"/>
  <c r="AX1343" i="3"/>
  <c r="AU1343" i="3"/>
  <c r="AV1342" i="3"/>
  <c r="AX1342" i="3"/>
  <c r="AU1342" i="3"/>
  <c r="AV1341" i="3"/>
  <c r="AX1341" i="3"/>
  <c r="AU1341" i="3"/>
  <c r="AV1340" i="3"/>
  <c r="AX1340" i="3"/>
  <c r="AU1340" i="3"/>
  <c r="AV1339" i="3"/>
  <c r="AX1339" i="3"/>
  <c r="AU1339" i="3"/>
  <c r="AV1338" i="3"/>
  <c r="AX1338" i="3"/>
  <c r="AU1338" i="3"/>
  <c r="AV1337" i="3"/>
  <c r="AX1337" i="3"/>
  <c r="AU1337" i="3"/>
  <c r="AV1336" i="3"/>
  <c r="AX1336" i="3"/>
  <c r="AU1336" i="3"/>
  <c r="AV1335" i="3"/>
  <c r="AX1335" i="3"/>
  <c r="AU1335" i="3"/>
  <c r="AV1334" i="3"/>
  <c r="AX1334" i="3"/>
  <c r="AU1334" i="3"/>
  <c r="AV1333" i="3"/>
  <c r="AX1333" i="3"/>
  <c r="AU1333" i="3"/>
  <c r="AV1332" i="3"/>
  <c r="AX1332" i="3"/>
  <c r="AU1332" i="3"/>
  <c r="AV1331" i="3"/>
  <c r="AX1331" i="3"/>
  <c r="AU1331" i="3"/>
  <c r="AV1330" i="3"/>
  <c r="AX1330" i="3"/>
  <c r="AU1330" i="3"/>
  <c r="AV1329" i="3"/>
  <c r="AX1329" i="3"/>
  <c r="AU1329" i="3"/>
  <c r="AV1328" i="3"/>
  <c r="AX1328" i="3"/>
  <c r="AU1328" i="3"/>
  <c r="AV1327" i="3"/>
  <c r="AX1327" i="3"/>
  <c r="AU1327" i="3"/>
  <c r="AV1326" i="3"/>
  <c r="AX1326" i="3"/>
  <c r="AU1326" i="3"/>
  <c r="AV1325" i="3"/>
  <c r="AX1325" i="3"/>
  <c r="AU1325" i="3"/>
  <c r="AV1324" i="3"/>
  <c r="AX1324" i="3"/>
  <c r="AU1324" i="3"/>
  <c r="AV1323" i="3"/>
  <c r="AX1323" i="3"/>
  <c r="AU1323" i="3"/>
  <c r="AV1322" i="3"/>
  <c r="AX1322" i="3"/>
  <c r="AU1322" i="3"/>
  <c r="AV1321" i="3"/>
  <c r="AX1321" i="3"/>
  <c r="AU1321" i="3"/>
  <c r="AV1320" i="3"/>
  <c r="AX1320" i="3"/>
  <c r="AU1320" i="3"/>
  <c r="AV1319" i="3"/>
  <c r="AX1319" i="3"/>
  <c r="AU1319" i="3"/>
  <c r="AV1318" i="3"/>
  <c r="AX1318" i="3"/>
  <c r="AU1318" i="3"/>
  <c r="AV1317" i="3"/>
  <c r="AX1317" i="3"/>
  <c r="AU1317" i="3"/>
  <c r="AV1316" i="3"/>
  <c r="AX1316" i="3"/>
  <c r="AU1316" i="3"/>
  <c r="AV1315" i="3"/>
  <c r="AX1315" i="3"/>
  <c r="AU1315" i="3"/>
  <c r="AV1314" i="3"/>
  <c r="AX1314" i="3"/>
  <c r="AU1314" i="3"/>
  <c r="AV1313" i="3"/>
  <c r="AX1313" i="3"/>
  <c r="AU1313" i="3"/>
  <c r="AV1312" i="3"/>
  <c r="AX1312" i="3"/>
  <c r="AU1312" i="3"/>
  <c r="AV1311" i="3"/>
  <c r="AX1311" i="3"/>
  <c r="AU1311" i="3"/>
  <c r="AV1310" i="3"/>
  <c r="AX1310" i="3"/>
  <c r="AU1310" i="3"/>
  <c r="AV1309" i="3"/>
  <c r="AX1309" i="3"/>
  <c r="AU1309" i="3"/>
  <c r="AV1308" i="3"/>
  <c r="AX1308" i="3"/>
  <c r="AU1308" i="3"/>
  <c r="AV1307" i="3"/>
  <c r="AX1307" i="3"/>
  <c r="AU1307" i="3"/>
  <c r="AV1306" i="3"/>
  <c r="AX1306" i="3"/>
  <c r="AU1306" i="3"/>
  <c r="AV1305" i="3"/>
  <c r="AX1305" i="3"/>
  <c r="AU1305" i="3"/>
  <c r="AV1304" i="3"/>
  <c r="AX1304" i="3"/>
  <c r="AU1304" i="3"/>
  <c r="AV1303" i="3"/>
  <c r="AX1303" i="3"/>
  <c r="AU1303" i="3"/>
  <c r="AV1302" i="3"/>
  <c r="AX1302" i="3"/>
  <c r="AU1302" i="3"/>
  <c r="AV1301" i="3"/>
  <c r="AX1301" i="3"/>
  <c r="AU1301" i="3"/>
  <c r="AV1300" i="3"/>
  <c r="AX1300" i="3"/>
  <c r="AU1300" i="3"/>
  <c r="AV1299" i="3"/>
  <c r="AX1299" i="3"/>
  <c r="AU1299" i="3"/>
  <c r="AV1298" i="3"/>
  <c r="AX1298" i="3"/>
  <c r="AU1298" i="3"/>
  <c r="AV1297" i="3"/>
  <c r="AX1297" i="3"/>
  <c r="AU1297" i="3"/>
  <c r="AV1296" i="3"/>
  <c r="AX1296" i="3"/>
  <c r="AU1296" i="3"/>
  <c r="AV1295" i="3"/>
  <c r="AX1295" i="3"/>
  <c r="AU1295" i="3"/>
  <c r="AV1294" i="3"/>
  <c r="AX1294" i="3"/>
  <c r="AU1294" i="3"/>
  <c r="AV1293" i="3"/>
  <c r="AX1293" i="3"/>
  <c r="AU1293" i="3"/>
  <c r="AV1292" i="3"/>
  <c r="AX1292" i="3"/>
  <c r="AU1292" i="3"/>
  <c r="AV1291" i="3"/>
  <c r="AX1291" i="3"/>
  <c r="AU1291" i="3"/>
  <c r="AV1290" i="3"/>
  <c r="AX1290" i="3"/>
  <c r="AU1290" i="3"/>
  <c r="AV1289" i="3"/>
  <c r="AX1289" i="3"/>
  <c r="AU1289" i="3"/>
  <c r="AV1288" i="3"/>
  <c r="AX1288" i="3"/>
  <c r="AU1288" i="3"/>
  <c r="AV1287" i="3"/>
  <c r="AX1287" i="3"/>
  <c r="AU1287" i="3"/>
  <c r="AV1286" i="3"/>
  <c r="AX1286" i="3"/>
  <c r="AU1286" i="3"/>
  <c r="AV1285" i="3"/>
  <c r="AX1285" i="3"/>
  <c r="AU1285" i="3"/>
  <c r="AV1284" i="3"/>
  <c r="AX1284" i="3"/>
  <c r="AU1284" i="3"/>
  <c r="AV1283" i="3"/>
  <c r="AX1283" i="3"/>
  <c r="AU1283" i="3"/>
  <c r="AV1282" i="3"/>
  <c r="AX1282" i="3"/>
  <c r="AU1282" i="3"/>
  <c r="AV1281" i="3"/>
  <c r="AX1281" i="3"/>
  <c r="AU1281" i="3"/>
  <c r="AV1280" i="3"/>
  <c r="AX1280" i="3"/>
  <c r="AU1280" i="3"/>
  <c r="AV1279" i="3"/>
  <c r="AX1279" i="3"/>
  <c r="AU1279" i="3"/>
  <c r="AV1278" i="3"/>
  <c r="AX1278" i="3"/>
  <c r="AU1278" i="3"/>
  <c r="AV1277" i="3"/>
  <c r="AX1277" i="3"/>
  <c r="AU1277" i="3"/>
  <c r="AV1276" i="3"/>
  <c r="AX1276" i="3"/>
  <c r="AU1276" i="3"/>
  <c r="AV1275" i="3"/>
  <c r="AX1275" i="3"/>
  <c r="AU1275" i="3"/>
  <c r="AV1274" i="3"/>
  <c r="AX1274" i="3"/>
  <c r="AU1274" i="3"/>
  <c r="AV1273" i="3"/>
  <c r="AX1273" i="3"/>
  <c r="AU1273" i="3"/>
  <c r="AV1272" i="3"/>
  <c r="AX1272" i="3"/>
  <c r="AU1272" i="3"/>
  <c r="AV1271" i="3"/>
  <c r="AX1271" i="3"/>
  <c r="AU1271" i="3"/>
  <c r="AV1270" i="3"/>
  <c r="AX1270" i="3"/>
  <c r="AU1270" i="3"/>
  <c r="AV1269" i="3"/>
  <c r="AX1269" i="3"/>
  <c r="AU1269" i="3"/>
  <c r="AV1268" i="3"/>
  <c r="AX1268" i="3"/>
  <c r="AU1268" i="3"/>
  <c r="AV1267" i="3"/>
  <c r="AX1267" i="3"/>
  <c r="AU1267" i="3"/>
  <c r="AV1266" i="3"/>
  <c r="AX1266" i="3"/>
  <c r="AU1266" i="3"/>
  <c r="AV1265" i="3"/>
  <c r="AX1265" i="3"/>
  <c r="AU1265" i="3"/>
  <c r="AV1264" i="3"/>
  <c r="AX1264" i="3"/>
  <c r="AU1264" i="3"/>
  <c r="AV1263" i="3"/>
  <c r="AX1263" i="3"/>
  <c r="AU1263" i="3"/>
  <c r="AV1262" i="3"/>
  <c r="AX1262" i="3"/>
  <c r="AU1262" i="3"/>
  <c r="AV1261" i="3"/>
  <c r="AX1261" i="3"/>
  <c r="AU1261" i="3"/>
  <c r="AV1260" i="3"/>
  <c r="AX1260" i="3"/>
  <c r="AU1260" i="3"/>
  <c r="AV1259" i="3"/>
  <c r="AX1259" i="3"/>
  <c r="AU1259" i="3"/>
  <c r="AV1258" i="3"/>
  <c r="AX1258" i="3"/>
  <c r="AU1258" i="3"/>
  <c r="AV1257" i="3"/>
  <c r="AX1257" i="3"/>
  <c r="AU1257" i="3"/>
  <c r="AV1256" i="3"/>
  <c r="AX1256" i="3"/>
  <c r="AU1256" i="3"/>
  <c r="AV1255" i="3"/>
  <c r="AX1255" i="3"/>
  <c r="AU1255" i="3"/>
  <c r="AV1254" i="3"/>
  <c r="AX1254" i="3"/>
  <c r="AU1254" i="3"/>
  <c r="AV1253" i="3"/>
  <c r="AX1253" i="3"/>
  <c r="AU1253" i="3"/>
  <c r="AV1252" i="3"/>
  <c r="AX1252" i="3"/>
  <c r="AU1252" i="3"/>
  <c r="AV1251" i="3"/>
  <c r="AX1251" i="3"/>
  <c r="AU1251" i="3"/>
  <c r="AV1250" i="3"/>
  <c r="AX1250" i="3"/>
  <c r="AU1250" i="3"/>
  <c r="AV1249" i="3"/>
  <c r="AX1249" i="3"/>
  <c r="AU1249" i="3"/>
  <c r="AV1248" i="3"/>
  <c r="AX1248" i="3"/>
  <c r="AU1248" i="3"/>
  <c r="AV1247" i="3"/>
  <c r="AX1247" i="3"/>
  <c r="AU1247" i="3"/>
  <c r="AV1246" i="3"/>
  <c r="AX1246" i="3"/>
  <c r="AU1246" i="3"/>
  <c r="AV1245" i="3"/>
  <c r="AX1245" i="3"/>
  <c r="AU1245" i="3"/>
  <c r="AV1244" i="3"/>
  <c r="AX1244" i="3"/>
  <c r="AU1244" i="3"/>
  <c r="AV1243" i="3"/>
  <c r="AX1243" i="3"/>
  <c r="AU1243" i="3"/>
  <c r="AV1242" i="3"/>
  <c r="AX1242" i="3"/>
  <c r="AU1242" i="3"/>
  <c r="AV1241" i="3"/>
  <c r="AX1241" i="3"/>
  <c r="AU1241" i="3"/>
  <c r="AV1240" i="3"/>
  <c r="AX1240" i="3"/>
  <c r="AU1240" i="3"/>
  <c r="AV1239" i="3"/>
  <c r="AX1239" i="3"/>
  <c r="AU1239" i="3"/>
  <c r="AV1238" i="3"/>
  <c r="AX1238" i="3"/>
  <c r="AU1238" i="3"/>
  <c r="AV1237" i="3"/>
  <c r="AX1237" i="3"/>
  <c r="AU1237" i="3"/>
  <c r="AV1236" i="3"/>
  <c r="AX1236" i="3"/>
  <c r="AU1236" i="3"/>
  <c r="AV1235" i="3"/>
  <c r="AX1235" i="3"/>
  <c r="AU1235" i="3"/>
  <c r="AV1234" i="3"/>
  <c r="AX1234" i="3"/>
  <c r="AU1234" i="3"/>
  <c r="AV1233" i="3"/>
  <c r="AX1233" i="3"/>
  <c r="AU1233" i="3"/>
  <c r="AV1232" i="3"/>
  <c r="AX1232" i="3"/>
  <c r="AU1232" i="3"/>
  <c r="AV1231" i="3"/>
  <c r="AX1231" i="3"/>
  <c r="AU1231" i="3"/>
  <c r="AV1230" i="3"/>
  <c r="AX1230" i="3"/>
  <c r="AU1230" i="3"/>
  <c r="AV1229" i="3"/>
  <c r="AX1229" i="3"/>
  <c r="AU1229" i="3"/>
  <c r="AV1228" i="3"/>
  <c r="AX1228" i="3"/>
  <c r="AU1228" i="3"/>
  <c r="AV1227" i="3"/>
  <c r="AX1227" i="3"/>
  <c r="AU1227" i="3"/>
  <c r="AV1226" i="3"/>
  <c r="AX1226" i="3"/>
  <c r="AU1226" i="3"/>
  <c r="AV1225" i="3"/>
  <c r="AX1225" i="3"/>
  <c r="AU1225" i="3"/>
  <c r="AV1224" i="3"/>
  <c r="AX1224" i="3"/>
  <c r="AU1224" i="3"/>
  <c r="AV1223" i="3"/>
  <c r="AX1223" i="3"/>
  <c r="AU1223" i="3"/>
  <c r="AV1222" i="3"/>
  <c r="AX1222" i="3"/>
  <c r="AU1222" i="3"/>
  <c r="AV1221" i="3"/>
  <c r="AX1221" i="3"/>
  <c r="AU1221" i="3"/>
  <c r="AV1220" i="3"/>
  <c r="AX1220" i="3"/>
  <c r="AU1220" i="3"/>
  <c r="AV1219" i="3"/>
  <c r="AX1219" i="3"/>
  <c r="AU1219" i="3"/>
  <c r="AV1218" i="3"/>
  <c r="AX1218" i="3"/>
  <c r="AU1218" i="3"/>
  <c r="AV1217" i="3"/>
  <c r="AX1217" i="3"/>
  <c r="AU1217" i="3"/>
  <c r="AV1216" i="3"/>
  <c r="AX1216" i="3"/>
  <c r="AU1216" i="3"/>
  <c r="AV1215" i="3"/>
  <c r="AX1215" i="3"/>
  <c r="AU1215" i="3"/>
  <c r="AV1214" i="3"/>
  <c r="AX1214" i="3"/>
  <c r="AU1214" i="3"/>
  <c r="AV1213" i="3"/>
  <c r="AX1213" i="3"/>
  <c r="AU1213" i="3"/>
  <c r="AV1212" i="3"/>
  <c r="AX1212" i="3"/>
  <c r="AU1212" i="3"/>
  <c r="AV1211" i="3"/>
  <c r="AX1211" i="3"/>
  <c r="AU1211" i="3"/>
  <c r="AV1210" i="3"/>
  <c r="AX1210" i="3"/>
  <c r="AU1210" i="3"/>
  <c r="AV1209" i="3"/>
  <c r="AX1209" i="3"/>
  <c r="AU1209" i="3"/>
  <c r="AV1208" i="3"/>
  <c r="AX1208" i="3"/>
  <c r="AU1208" i="3"/>
  <c r="AV1207" i="3"/>
  <c r="AX1207" i="3"/>
  <c r="AU1207" i="3"/>
  <c r="AV1206" i="3"/>
  <c r="AX1206" i="3"/>
  <c r="AU1206" i="3"/>
  <c r="AV1205" i="3"/>
  <c r="AX1205" i="3"/>
  <c r="AU1205" i="3"/>
  <c r="AV1204" i="3"/>
  <c r="AX1204" i="3"/>
  <c r="AU1204" i="3"/>
  <c r="AV1203" i="3"/>
  <c r="AX1203" i="3"/>
  <c r="AU1203" i="3"/>
  <c r="AV1202" i="3"/>
  <c r="AX1202" i="3"/>
  <c r="AU1202" i="3"/>
  <c r="AV1201" i="3"/>
  <c r="AX1201" i="3"/>
  <c r="AU1201" i="3"/>
  <c r="AV1200" i="3"/>
  <c r="AX1200" i="3"/>
  <c r="AU1200" i="3"/>
  <c r="AV1199" i="3"/>
  <c r="AX1199" i="3"/>
  <c r="AU1199" i="3"/>
  <c r="AV1198" i="3"/>
  <c r="AX1198" i="3"/>
  <c r="AU1198" i="3"/>
  <c r="AV1197" i="3"/>
  <c r="AX1197" i="3"/>
  <c r="AU1197" i="3"/>
  <c r="AV1196" i="3"/>
  <c r="AX1196" i="3"/>
  <c r="AU1196" i="3"/>
  <c r="AV1195" i="3"/>
  <c r="AX1195" i="3"/>
  <c r="AU1195" i="3"/>
  <c r="AV1194" i="3"/>
  <c r="AX1194" i="3"/>
  <c r="AU1194" i="3"/>
  <c r="AV1193" i="3"/>
  <c r="AX1193" i="3"/>
  <c r="AU1193" i="3"/>
  <c r="AV1192" i="3"/>
  <c r="AX1192" i="3"/>
  <c r="AU1192" i="3"/>
  <c r="AV1191" i="3"/>
  <c r="AX1191" i="3"/>
  <c r="AU1191" i="3"/>
  <c r="AV1190" i="3"/>
  <c r="AX1190" i="3"/>
  <c r="AU1190" i="3"/>
  <c r="AV1189" i="3"/>
  <c r="AX1189" i="3"/>
  <c r="AU1189" i="3"/>
  <c r="AV1188" i="3"/>
  <c r="AX1188" i="3"/>
  <c r="AU1188" i="3"/>
  <c r="AV1187" i="3"/>
  <c r="AX1187" i="3"/>
  <c r="AU1187" i="3"/>
  <c r="AV1186" i="3"/>
  <c r="AX1186" i="3"/>
  <c r="AU1186" i="3"/>
  <c r="AV1185" i="3"/>
  <c r="AX1185" i="3"/>
  <c r="AU1185" i="3"/>
  <c r="AV1184" i="3"/>
  <c r="AX1184" i="3"/>
  <c r="AU1184" i="3"/>
  <c r="AV1183" i="3"/>
  <c r="AX1183" i="3"/>
  <c r="AU1183" i="3"/>
  <c r="AV1182" i="3"/>
  <c r="AX1182" i="3"/>
  <c r="AU1182" i="3"/>
  <c r="AV1181" i="3"/>
  <c r="AX1181" i="3"/>
  <c r="AU1181" i="3"/>
  <c r="AV1180" i="3"/>
  <c r="AX1180" i="3"/>
  <c r="AU1180" i="3"/>
  <c r="AV1179" i="3"/>
  <c r="AX1179" i="3"/>
  <c r="AU1179" i="3"/>
  <c r="AV1178" i="3"/>
  <c r="AX1178" i="3"/>
  <c r="AU1178" i="3"/>
  <c r="AV1177" i="3"/>
  <c r="AX1177" i="3"/>
  <c r="AU1177" i="3"/>
  <c r="AV1176" i="3"/>
  <c r="AX1176" i="3"/>
  <c r="AU1176" i="3"/>
  <c r="AV1175" i="3"/>
  <c r="AX1175" i="3"/>
  <c r="AU1175" i="3"/>
  <c r="AV1174" i="3"/>
  <c r="AX1174" i="3"/>
  <c r="AU1174" i="3"/>
  <c r="AV1173" i="3"/>
  <c r="AX1173" i="3"/>
  <c r="AU1173" i="3"/>
  <c r="AV1172" i="3"/>
  <c r="AX1172" i="3"/>
  <c r="AU1172" i="3"/>
  <c r="AV1171" i="3"/>
  <c r="AX1171" i="3"/>
  <c r="AU1171" i="3"/>
  <c r="AV1170" i="3"/>
  <c r="AX1170" i="3"/>
  <c r="AU1170" i="3"/>
  <c r="AV1169" i="3"/>
  <c r="AX1169" i="3"/>
  <c r="AU1169" i="3"/>
  <c r="AV1168" i="3"/>
  <c r="AX1168" i="3"/>
  <c r="AU1168" i="3"/>
  <c r="AV1167" i="3"/>
  <c r="AX1167" i="3"/>
  <c r="AU1167" i="3"/>
  <c r="AV1166" i="3"/>
  <c r="AX1166" i="3"/>
  <c r="AU1166" i="3"/>
  <c r="AV1165" i="3"/>
  <c r="AX1165" i="3"/>
  <c r="AU1165" i="3"/>
  <c r="AV1164" i="3"/>
  <c r="AX1164" i="3"/>
  <c r="AU1164" i="3"/>
  <c r="AV1163" i="3"/>
  <c r="AX1163" i="3"/>
  <c r="AU1163" i="3"/>
  <c r="AV1162" i="3"/>
  <c r="AX1162" i="3"/>
  <c r="AU1162" i="3"/>
  <c r="AV1161" i="3"/>
  <c r="AX1161" i="3"/>
  <c r="AU1161" i="3"/>
  <c r="AV1160" i="3"/>
  <c r="AX1160" i="3"/>
  <c r="AU1160" i="3"/>
  <c r="AV1159" i="3"/>
  <c r="AX1159" i="3"/>
  <c r="AU1159" i="3"/>
  <c r="AV1158" i="3"/>
  <c r="AX1158" i="3"/>
  <c r="AU1158" i="3"/>
  <c r="AV1157" i="3"/>
  <c r="AX1157" i="3"/>
  <c r="AU1157" i="3"/>
  <c r="AV1156" i="3"/>
  <c r="AX1156" i="3"/>
  <c r="AU1156" i="3"/>
  <c r="AV1155" i="3"/>
  <c r="AX1155" i="3"/>
  <c r="AU1155" i="3"/>
  <c r="AV1154" i="3"/>
  <c r="AX1154" i="3"/>
  <c r="AU1154" i="3"/>
  <c r="AV1153" i="3"/>
  <c r="AX1153" i="3"/>
  <c r="AU1153" i="3"/>
  <c r="AV1152" i="3"/>
  <c r="AX1152" i="3"/>
  <c r="AU1152" i="3"/>
  <c r="AV1151" i="3"/>
  <c r="AX1151" i="3"/>
  <c r="AU1151" i="3"/>
  <c r="AV1150" i="3"/>
  <c r="AX1150" i="3"/>
  <c r="AU1150" i="3"/>
  <c r="AV1149" i="3"/>
  <c r="AX1149" i="3"/>
  <c r="AU1149" i="3"/>
  <c r="AV1148" i="3"/>
  <c r="AX1148" i="3"/>
  <c r="AU1148" i="3"/>
  <c r="AV1147" i="3"/>
  <c r="AX1147" i="3"/>
  <c r="AU1147" i="3"/>
  <c r="AV1146" i="3"/>
  <c r="AX1146" i="3"/>
  <c r="AU1146" i="3"/>
  <c r="AV1145" i="3"/>
  <c r="AX1145" i="3"/>
  <c r="AU1145" i="3"/>
  <c r="AV1144" i="3"/>
  <c r="AX1144" i="3"/>
  <c r="AU1144" i="3"/>
  <c r="AV1143" i="3"/>
  <c r="AX1143" i="3"/>
  <c r="AU1143" i="3"/>
  <c r="AV1142" i="3"/>
  <c r="AX1142" i="3"/>
  <c r="AU1142" i="3"/>
  <c r="AV1141" i="3"/>
  <c r="AX1141" i="3"/>
  <c r="AU1141" i="3"/>
  <c r="AV1140" i="3"/>
  <c r="AX1140" i="3"/>
  <c r="AU1140" i="3"/>
  <c r="AV1139" i="3"/>
  <c r="AX1139" i="3"/>
  <c r="AU1139" i="3"/>
  <c r="AV1138" i="3"/>
  <c r="AX1138" i="3"/>
  <c r="AU1138" i="3"/>
  <c r="AV1137" i="3"/>
  <c r="AX1137" i="3"/>
  <c r="AU1137" i="3"/>
  <c r="AV1136" i="3"/>
  <c r="AX1136" i="3"/>
  <c r="AU1136" i="3"/>
  <c r="AV1135" i="3"/>
  <c r="AX1135" i="3"/>
  <c r="AU1135" i="3"/>
  <c r="AV1134" i="3"/>
  <c r="AX1134" i="3"/>
  <c r="AU1134" i="3"/>
  <c r="AV1133" i="3"/>
  <c r="AX1133" i="3"/>
  <c r="AU1133" i="3"/>
  <c r="AV1132" i="3"/>
  <c r="AX1132" i="3"/>
  <c r="AU1132" i="3"/>
  <c r="AV1131" i="3"/>
  <c r="AX1131" i="3"/>
  <c r="AU1131" i="3"/>
  <c r="AV1130" i="3"/>
  <c r="AX1130" i="3"/>
  <c r="AU1130" i="3"/>
  <c r="AV1129" i="3"/>
  <c r="AX1129" i="3"/>
  <c r="AU1129" i="3"/>
  <c r="AV1128" i="3"/>
  <c r="AX1128" i="3"/>
  <c r="AU1128" i="3"/>
  <c r="AV1127" i="3"/>
  <c r="AX1127" i="3"/>
  <c r="AU1127" i="3"/>
  <c r="AV1126" i="3"/>
  <c r="AX1126" i="3"/>
  <c r="AU1126" i="3"/>
  <c r="AV1125" i="3"/>
  <c r="AX1125" i="3"/>
  <c r="AU1125" i="3"/>
  <c r="AV1124" i="3"/>
  <c r="AX1124" i="3"/>
  <c r="AU1124" i="3"/>
  <c r="AV1123" i="3"/>
  <c r="AX1123" i="3"/>
  <c r="AU1123" i="3"/>
  <c r="AV1122" i="3"/>
  <c r="AX1122" i="3"/>
  <c r="AU1122" i="3"/>
  <c r="AV1121" i="3"/>
  <c r="AX1121" i="3"/>
  <c r="AU1121" i="3"/>
  <c r="AV1120" i="3"/>
  <c r="AX1120" i="3"/>
  <c r="AU1120" i="3"/>
  <c r="AV1119" i="3"/>
  <c r="AX1119" i="3"/>
  <c r="AU1119" i="3"/>
  <c r="AV1118" i="3"/>
  <c r="AX1118" i="3"/>
  <c r="AU1118" i="3"/>
  <c r="AV1117" i="3"/>
  <c r="AX1117" i="3"/>
  <c r="AU1117" i="3"/>
  <c r="AV1116" i="3"/>
  <c r="AX1116" i="3"/>
  <c r="AU1116" i="3"/>
  <c r="AV1115" i="3"/>
  <c r="AX1115" i="3"/>
  <c r="AU1115" i="3"/>
  <c r="AV1114" i="3"/>
  <c r="AX1114" i="3"/>
  <c r="AU1114" i="3"/>
  <c r="AV1113" i="3"/>
  <c r="AX1113" i="3"/>
  <c r="AU1113" i="3"/>
  <c r="AV1112" i="3"/>
  <c r="AX1112" i="3"/>
  <c r="AU1112" i="3"/>
  <c r="AV1111" i="3"/>
  <c r="AX1111" i="3"/>
  <c r="AU1111" i="3"/>
  <c r="AV1110" i="3"/>
  <c r="AX1110" i="3"/>
  <c r="AU1110" i="3"/>
  <c r="AV1109" i="3"/>
  <c r="AX1109" i="3"/>
  <c r="AU1109" i="3"/>
  <c r="AV1108" i="3"/>
  <c r="AX1108" i="3"/>
  <c r="AU1108" i="3"/>
  <c r="AV1107" i="3"/>
  <c r="AX1107" i="3"/>
  <c r="AU1107" i="3"/>
  <c r="AV1106" i="3"/>
  <c r="AX1106" i="3"/>
  <c r="AU1106" i="3"/>
  <c r="AV1105" i="3"/>
  <c r="AX1105" i="3"/>
  <c r="AU1105" i="3"/>
  <c r="AV1104" i="3"/>
  <c r="AX1104" i="3"/>
  <c r="AU1104" i="3"/>
  <c r="AV1103" i="3"/>
  <c r="AX1103" i="3"/>
  <c r="AU1103" i="3"/>
  <c r="AV1102" i="3"/>
  <c r="AX1102" i="3"/>
  <c r="AU1102" i="3"/>
  <c r="AV1101" i="3"/>
  <c r="AX1101" i="3"/>
  <c r="AU1101" i="3"/>
  <c r="AV1100" i="3"/>
  <c r="AX1100" i="3"/>
  <c r="AU1100" i="3"/>
  <c r="AV1099" i="3"/>
  <c r="AX1099" i="3"/>
  <c r="AU1099" i="3"/>
  <c r="AV1098" i="3"/>
  <c r="AX1098" i="3"/>
  <c r="AU1098" i="3"/>
  <c r="AV1097" i="3"/>
  <c r="AX1097" i="3"/>
  <c r="AU1097" i="3"/>
  <c r="AV1096" i="3"/>
  <c r="AX1096" i="3"/>
  <c r="AU1096" i="3"/>
  <c r="AV1095" i="3"/>
  <c r="AX1095" i="3"/>
  <c r="AU1095" i="3"/>
  <c r="AV1094" i="3"/>
  <c r="AX1094" i="3"/>
  <c r="AU1094" i="3"/>
  <c r="AV1093" i="3"/>
  <c r="AX1093" i="3"/>
  <c r="AU1093" i="3"/>
  <c r="AV1092" i="3"/>
  <c r="AX1092" i="3"/>
  <c r="AU1092" i="3"/>
  <c r="AV1091" i="3"/>
  <c r="AX1091" i="3"/>
  <c r="AU1091" i="3"/>
  <c r="AV1090" i="3"/>
  <c r="AX1090" i="3"/>
  <c r="AU1090" i="3"/>
  <c r="AV1089" i="3"/>
  <c r="AX1089" i="3"/>
  <c r="AU1089" i="3"/>
  <c r="AV1088" i="3"/>
  <c r="AX1088" i="3"/>
  <c r="AU1088" i="3"/>
  <c r="AV1087" i="3"/>
  <c r="AX1087" i="3"/>
  <c r="AU1087" i="3"/>
  <c r="AV1086" i="3"/>
  <c r="AX1086" i="3"/>
  <c r="AU1086" i="3"/>
  <c r="AV1085" i="3"/>
  <c r="AX1085" i="3"/>
  <c r="AU1085" i="3"/>
  <c r="AV1084" i="3"/>
  <c r="AX1084" i="3"/>
  <c r="AU1084" i="3"/>
  <c r="AV1083" i="3"/>
  <c r="AX1083" i="3"/>
  <c r="AU1083" i="3"/>
  <c r="AV1082" i="3"/>
  <c r="AX1082" i="3"/>
  <c r="AU1082" i="3"/>
  <c r="AV1081" i="3"/>
  <c r="AX1081" i="3"/>
  <c r="AU1081" i="3"/>
  <c r="AV1080" i="3"/>
  <c r="AX1080" i="3"/>
  <c r="AU1080" i="3"/>
  <c r="AV1079" i="3"/>
  <c r="AX1079" i="3"/>
  <c r="AU1079" i="3"/>
  <c r="AV1078" i="3"/>
  <c r="AX1078" i="3"/>
  <c r="AU1078" i="3"/>
  <c r="AV1077" i="3"/>
  <c r="AX1077" i="3"/>
  <c r="AU1077" i="3"/>
  <c r="AV1076" i="3"/>
  <c r="AX1076" i="3"/>
  <c r="AU1076" i="3"/>
  <c r="AV1075" i="3"/>
  <c r="AX1075" i="3"/>
  <c r="AU1075" i="3"/>
  <c r="AV1074" i="3"/>
  <c r="AX1074" i="3"/>
  <c r="AU1074" i="3"/>
  <c r="AV1073" i="3"/>
  <c r="AX1073" i="3"/>
  <c r="AU1073" i="3"/>
  <c r="AV1072" i="3"/>
  <c r="AX1072" i="3"/>
  <c r="AU1072" i="3"/>
  <c r="AV1071" i="3"/>
  <c r="AX1071" i="3"/>
  <c r="AU1071" i="3"/>
  <c r="AV1070" i="3"/>
  <c r="AX1070" i="3"/>
  <c r="AU1070" i="3"/>
  <c r="AV1069" i="3"/>
  <c r="AX1069" i="3"/>
  <c r="AU1069" i="3"/>
  <c r="AV1068" i="3"/>
  <c r="AX1068" i="3"/>
  <c r="AU1068" i="3"/>
  <c r="AV1067" i="3"/>
  <c r="AX1067" i="3"/>
  <c r="AU1067" i="3"/>
  <c r="AV1062" i="3"/>
  <c r="AX1062" i="3"/>
  <c r="AU1062" i="3"/>
  <c r="AV1061" i="3"/>
  <c r="AX1061" i="3"/>
  <c r="AU1061" i="3"/>
  <c r="AV1060" i="3"/>
  <c r="AX1060" i="3"/>
  <c r="AU1060" i="3"/>
  <c r="AV1059" i="3"/>
  <c r="AX1059" i="3"/>
  <c r="AU1059" i="3"/>
  <c r="AV1058" i="3"/>
  <c r="AX1058" i="3"/>
  <c r="AU1058" i="3"/>
  <c r="AV1057" i="3"/>
  <c r="AX1057" i="3"/>
  <c r="AU1057" i="3"/>
  <c r="AV1056" i="3"/>
  <c r="AX1056" i="3"/>
  <c r="AU1056" i="3"/>
  <c r="AV1055" i="3"/>
  <c r="AX1055" i="3"/>
  <c r="AU1055" i="3"/>
  <c r="AV1054" i="3"/>
  <c r="AX1054" i="3"/>
  <c r="AU1054" i="3"/>
  <c r="AV1053" i="3"/>
  <c r="AX1053" i="3"/>
  <c r="AU1053" i="3"/>
  <c r="AV1052" i="3"/>
  <c r="AX1052" i="3"/>
  <c r="AU1052" i="3"/>
  <c r="AV1051" i="3"/>
  <c r="AX1051" i="3"/>
  <c r="AU1051" i="3"/>
  <c r="AV1050" i="3"/>
  <c r="AX1050" i="3"/>
  <c r="AU1050" i="3"/>
  <c r="AV1049" i="3"/>
  <c r="AX1049" i="3"/>
  <c r="AU1049" i="3"/>
  <c r="AV1048" i="3"/>
  <c r="AX1048" i="3"/>
  <c r="AU1048" i="3"/>
  <c r="AV1047" i="3"/>
  <c r="AX1047" i="3"/>
  <c r="AU1047" i="3"/>
  <c r="AV1046" i="3"/>
  <c r="AX1046" i="3"/>
  <c r="AU1046" i="3"/>
  <c r="AV1045" i="3"/>
  <c r="AX1045" i="3"/>
  <c r="AU1045" i="3"/>
  <c r="AV1044" i="3"/>
  <c r="AX1044" i="3"/>
  <c r="AU1044" i="3"/>
  <c r="AV1043" i="3"/>
  <c r="AX1043" i="3"/>
  <c r="AU1043" i="3"/>
  <c r="AV1042" i="3"/>
  <c r="AX1042" i="3"/>
  <c r="AU1042" i="3"/>
  <c r="AV1041" i="3"/>
  <c r="AX1041" i="3"/>
  <c r="AU1041" i="3"/>
  <c r="AV1040" i="3"/>
  <c r="AX1040" i="3"/>
  <c r="AU1040" i="3"/>
  <c r="AV1039" i="3"/>
  <c r="AX1039" i="3"/>
  <c r="AU1039" i="3"/>
  <c r="AV1038" i="3"/>
  <c r="AX1038" i="3"/>
  <c r="AU1038" i="3"/>
  <c r="AV1037" i="3"/>
  <c r="AX1037" i="3"/>
  <c r="AU1037" i="3"/>
  <c r="AV1036" i="3"/>
  <c r="AX1036" i="3"/>
  <c r="AU1036" i="3"/>
  <c r="AV1035" i="3"/>
  <c r="AX1035" i="3"/>
  <c r="AU1035" i="3"/>
  <c r="AV1034" i="3"/>
  <c r="AX1034" i="3"/>
  <c r="AU1034" i="3"/>
  <c r="AV1033" i="3"/>
  <c r="AX1033" i="3"/>
  <c r="AU1033" i="3"/>
  <c r="AV1032" i="3"/>
  <c r="AX1032" i="3"/>
  <c r="AU1032" i="3"/>
  <c r="AV1031" i="3"/>
  <c r="AX1031" i="3"/>
  <c r="AU1031" i="3"/>
  <c r="AV1030" i="3"/>
  <c r="AX1030" i="3"/>
  <c r="AU1030" i="3"/>
  <c r="AV1029" i="3"/>
  <c r="AX1029" i="3"/>
  <c r="AU1029" i="3"/>
  <c r="AV1028" i="3"/>
  <c r="AX1028" i="3"/>
  <c r="AU1028" i="3"/>
  <c r="AV1027" i="3"/>
  <c r="AX1027" i="3"/>
  <c r="AU1027" i="3"/>
  <c r="AV1026" i="3"/>
  <c r="AX1026" i="3"/>
  <c r="AU1026" i="3"/>
  <c r="AV1025" i="3"/>
  <c r="AX1025" i="3"/>
  <c r="AU1025" i="3"/>
  <c r="AV1024" i="3"/>
  <c r="AX1024" i="3"/>
  <c r="AU1024" i="3"/>
  <c r="AV1023" i="3"/>
  <c r="AX1023" i="3"/>
  <c r="AU1023" i="3"/>
  <c r="AV1022" i="3"/>
  <c r="AX1022" i="3"/>
  <c r="AU1022" i="3"/>
  <c r="AV1021" i="3"/>
  <c r="AX1021" i="3"/>
  <c r="AU1021" i="3"/>
  <c r="AV1020" i="3"/>
  <c r="AX1020" i="3"/>
  <c r="AU1020" i="3"/>
  <c r="AV1019" i="3"/>
  <c r="AX1019" i="3"/>
  <c r="AU1019" i="3"/>
  <c r="AV1018" i="3"/>
  <c r="AX1018" i="3"/>
  <c r="AU1018" i="3"/>
  <c r="AV1017" i="3"/>
  <c r="AX1017" i="3"/>
  <c r="AU1017" i="3"/>
  <c r="AV1016" i="3"/>
  <c r="AX1016" i="3"/>
  <c r="AU1016" i="3"/>
  <c r="AV1015" i="3"/>
  <c r="AX1015" i="3"/>
  <c r="AU1015" i="3"/>
  <c r="AV1014" i="3"/>
  <c r="AX1014" i="3"/>
  <c r="AU1014" i="3"/>
  <c r="AV1013" i="3"/>
  <c r="AX1013" i="3"/>
  <c r="AU1013" i="3"/>
  <c r="AV1012" i="3"/>
  <c r="AX1012" i="3"/>
  <c r="AU1012" i="3"/>
  <c r="AV1011" i="3"/>
  <c r="AX1011" i="3"/>
  <c r="AU1011" i="3"/>
  <c r="AV1010" i="3"/>
  <c r="AX1010" i="3"/>
  <c r="AU1010" i="3"/>
  <c r="AV1009" i="3"/>
  <c r="AX1009" i="3"/>
  <c r="AU1009" i="3"/>
  <c r="AV1008" i="3"/>
  <c r="AX1008" i="3"/>
  <c r="AU1008" i="3"/>
  <c r="AV1007" i="3"/>
  <c r="AX1007" i="3"/>
  <c r="AU1007" i="3"/>
  <c r="AV1006" i="3"/>
  <c r="AX1006" i="3"/>
  <c r="AU1006" i="3"/>
  <c r="AV1005" i="3"/>
  <c r="AX1005" i="3"/>
  <c r="AU1005" i="3"/>
  <c r="AV1004" i="3"/>
  <c r="AX1004" i="3"/>
  <c r="AU1004" i="3"/>
  <c r="AV1003" i="3"/>
  <c r="AX1003" i="3"/>
  <c r="AU1003" i="3"/>
  <c r="AV1002" i="3"/>
  <c r="AX1002" i="3"/>
  <c r="AU1002" i="3"/>
  <c r="AV1001" i="3"/>
  <c r="AX1001" i="3"/>
  <c r="AU1001" i="3"/>
  <c r="AV1000" i="3"/>
  <c r="AX1000" i="3"/>
  <c r="AU1000" i="3"/>
  <c r="AV999" i="3"/>
  <c r="AX999" i="3"/>
  <c r="AU999" i="3"/>
  <c r="AV998" i="3"/>
  <c r="AX998" i="3"/>
  <c r="AU998" i="3"/>
  <c r="AV997" i="3"/>
  <c r="AX997" i="3"/>
  <c r="AU997" i="3"/>
  <c r="AV996" i="3"/>
  <c r="AX996" i="3"/>
  <c r="AU996" i="3"/>
  <c r="AV995" i="3"/>
  <c r="AX995" i="3"/>
  <c r="AU995" i="3"/>
  <c r="AV994" i="3"/>
  <c r="AX994" i="3"/>
  <c r="AU994" i="3"/>
  <c r="AV993" i="3"/>
  <c r="AX993" i="3"/>
  <c r="AU993" i="3"/>
  <c r="AV992" i="3"/>
  <c r="AX992" i="3"/>
  <c r="AU992" i="3"/>
  <c r="AV991" i="3"/>
  <c r="AX991" i="3"/>
  <c r="AU991" i="3"/>
  <c r="AV990" i="3"/>
  <c r="AX990" i="3"/>
  <c r="AU990" i="3"/>
  <c r="AV989" i="3"/>
  <c r="AX989" i="3"/>
  <c r="AU989" i="3"/>
  <c r="AV988" i="3"/>
  <c r="AX988" i="3"/>
  <c r="AU988" i="3"/>
  <c r="AV987" i="3"/>
  <c r="AX987" i="3"/>
  <c r="AU987" i="3"/>
  <c r="AV986" i="3"/>
  <c r="AX986" i="3"/>
  <c r="AU986" i="3"/>
  <c r="AV985" i="3"/>
  <c r="AX985" i="3"/>
  <c r="AU985" i="3"/>
  <c r="AV984" i="3"/>
  <c r="AX984" i="3"/>
  <c r="AU984" i="3"/>
  <c r="AV983" i="3"/>
  <c r="AX983" i="3"/>
  <c r="AU983" i="3"/>
  <c r="AV982" i="3"/>
  <c r="AX982" i="3"/>
  <c r="AU982" i="3"/>
  <c r="AV981" i="3"/>
  <c r="AX981" i="3"/>
  <c r="AU981" i="3"/>
  <c r="AV980" i="3"/>
  <c r="AX980" i="3"/>
  <c r="AU980" i="3"/>
  <c r="AV979" i="3"/>
  <c r="AX979" i="3"/>
  <c r="AU979" i="3"/>
  <c r="AV978" i="3"/>
  <c r="AX978" i="3"/>
  <c r="AU978" i="3"/>
  <c r="AV977" i="3"/>
  <c r="AX977" i="3"/>
  <c r="AU977" i="3"/>
  <c r="AV976" i="3"/>
  <c r="AX976" i="3"/>
  <c r="AU976" i="3"/>
  <c r="AV975" i="3"/>
  <c r="AX975" i="3"/>
  <c r="AU975" i="3"/>
  <c r="AV974" i="3"/>
  <c r="AX974" i="3"/>
  <c r="AU974" i="3"/>
  <c r="AV973" i="3"/>
  <c r="AX973" i="3"/>
  <c r="AU973" i="3"/>
  <c r="AV972" i="3"/>
  <c r="AX972" i="3"/>
  <c r="AU972" i="3"/>
  <c r="AV971" i="3"/>
  <c r="AX971" i="3"/>
  <c r="AU971" i="3"/>
  <c r="AV970" i="3"/>
  <c r="AX970" i="3"/>
  <c r="AU970" i="3"/>
  <c r="AV969" i="3"/>
  <c r="AX969" i="3"/>
  <c r="AU969" i="3"/>
  <c r="AV968" i="3"/>
  <c r="AX968" i="3"/>
  <c r="AU968" i="3"/>
  <c r="AV967" i="3"/>
  <c r="AX967" i="3"/>
  <c r="AU967" i="3"/>
  <c r="AV966" i="3"/>
  <c r="AX966" i="3"/>
  <c r="AU966" i="3"/>
  <c r="AV965" i="3"/>
  <c r="AX965" i="3"/>
  <c r="AU965" i="3"/>
  <c r="AV964" i="3"/>
  <c r="AX964" i="3"/>
  <c r="AU964" i="3"/>
  <c r="AV963" i="3"/>
  <c r="AX963" i="3"/>
  <c r="AU963" i="3"/>
  <c r="AV962" i="3"/>
  <c r="AX962" i="3"/>
  <c r="AU962" i="3"/>
  <c r="AV961" i="3"/>
  <c r="AX961" i="3"/>
  <c r="AU961" i="3"/>
  <c r="AV960" i="3"/>
  <c r="AX960" i="3"/>
  <c r="AU960" i="3"/>
  <c r="AV959" i="3"/>
  <c r="AX959" i="3"/>
  <c r="AU959" i="3"/>
  <c r="AV958" i="3"/>
  <c r="AX958" i="3"/>
  <c r="AU958" i="3"/>
  <c r="AV957" i="3"/>
  <c r="AX957" i="3"/>
  <c r="AU957" i="3"/>
  <c r="AV956" i="3"/>
  <c r="AX956" i="3"/>
  <c r="AU956" i="3"/>
  <c r="AV955" i="3"/>
  <c r="AX955" i="3"/>
  <c r="AU955" i="3"/>
  <c r="AV954" i="3"/>
  <c r="AX954" i="3"/>
  <c r="AU954" i="3"/>
  <c r="AV953" i="3"/>
  <c r="AX953" i="3"/>
  <c r="AU953" i="3"/>
  <c r="AV952" i="3"/>
  <c r="AX952" i="3"/>
  <c r="AU952" i="3"/>
  <c r="AV951" i="3"/>
  <c r="AX951" i="3"/>
  <c r="AU951" i="3"/>
  <c r="AV950" i="3"/>
  <c r="AX950" i="3"/>
  <c r="AU950" i="3"/>
  <c r="AV949" i="3"/>
  <c r="AX949" i="3"/>
  <c r="AU949" i="3"/>
  <c r="AV948" i="3"/>
  <c r="AX948" i="3"/>
  <c r="AU948" i="3"/>
  <c r="AV947" i="3"/>
  <c r="AX947" i="3"/>
  <c r="AU947" i="3"/>
  <c r="AV946" i="3"/>
  <c r="AX946" i="3"/>
  <c r="AU946" i="3"/>
  <c r="AV945" i="3"/>
  <c r="AX945" i="3"/>
  <c r="AU945" i="3"/>
  <c r="AV944" i="3"/>
  <c r="AX944" i="3"/>
  <c r="AU944" i="3"/>
  <c r="AV943" i="3"/>
  <c r="AX943" i="3"/>
  <c r="AU943" i="3"/>
  <c r="AV942" i="3"/>
  <c r="AX942" i="3"/>
  <c r="AU942" i="3"/>
  <c r="AV941" i="3"/>
  <c r="AX941" i="3"/>
  <c r="AU941" i="3"/>
  <c r="AV940" i="3"/>
  <c r="AX940" i="3"/>
  <c r="AU940" i="3"/>
  <c r="AV939" i="3"/>
  <c r="AX939" i="3"/>
  <c r="AU939" i="3"/>
  <c r="AV938" i="3"/>
  <c r="AX938" i="3"/>
  <c r="AU938" i="3"/>
  <c r="AV937" i="3"/>
  <c r="AX937" i="3"/>
  <c r="AU937" i="3"/>
  <c r="AV936" i="3"/>
  <c r="AX936" i="3"/>
  <c r="AU936" i="3"/>
  <c r="AV935" i="3"/>
  <c r="AX935" i="3"/>
  <c r="AU935" i="3"/>
  <c r="AV934" i="3"/>
  <c r="AX934" i="3"/>
  <c r="AU934" i="3"/>
  <c r="AV933" i="3"/>
  <c r="AX933" i="3"/>
  <c r="AU933" i="3"/>
  <c r="AV932" i="3"/>
  <c r="AX932" i="3"/>
  <c r="AU932" i="3"/>
  <c r="AV931" i="3"/>
  <c r="AX931" i="3"/>
  <c r="AU931" i="3"/>
  <c r="AV930" i="3"/>
  <c r="AX930" i="3"/>
  <c r="AU930" i="3"/>
  <c r="AV929" i="3"/>
  <c r="AX929" i="3"/>
  <c r="AU929" i="3"/>
  <c r="AV928" i="3"/>
  <c r="AX928" i="3"/>
  <c r="AU928" i="3"/>
  <c r="AV927" i="3"/>
  <c r="AX927" i="3"/>
  <c r="AU927" i="3"/>
  <c r="AV926" i="3"/>
  <c r="AX926" i="3"/>
  <c r="AU926" i="3"/>
  <c r="AV925" i="3"/>
  <c r="AX925" i="3"/>
  <c r="AU925" i="3"/>
  <c r="AV924" i="3"/>
  <c r="AX924" i="3"/>
  <c r="AU924" i="3"/>
  <c r="AV923" i="3"/>
  <c r="AX923" i="3"/>
  <c r="AU923" i="3"/>
  <c r="AV922" i="3"/>
  <c r="AX922" i="3"/>
  <c r="AU922" i="3"/>
  <c r="AV921" i="3"/>
  <c r="AX921" i="3"/>
  <c r="AU921" i="3"/>
  <c r="AV920" i="3"/>
  <c r="AX920" i="3"/>
  <c r="AU920" i="3"/>
  <c r="AV919" i="3"/>
  <c r="AX919" i="3"/>
  <c r="AU919" i="3"/>
  <c r="AV918" i="3"/>
  <c r="AX918" i="3"/>
  <c r="AU918" i="3"/>
  <c r="AV917" i="3"/>
  <c r="AX917" i="3"/>
  <c r="AU917" i="3"/>
  <c r="AV916" i="3"/>
  <c r="AX916" i="3"/>
  <c r="AU916" i="3"/>
  <c r="AV915" i="3"/>
  <c r="AX915" i="3"/>
  <c r="AU915" i="3"/>
  <c r="AV914" i="3"/>
  <c r="AX914" i="3"/>
  <c r="AU914" i="3"/>
  <c r="AV913" i="3"/>
  <c r="AX913" i="3"/>
  <c r="AU913" i="3"/>
  <c r="AV912" i="3"/>
  <c r="AX912" i="3"/>
  <c r="AU912" i="3"/>
  <c r="AV911" i="3"/>
  <c r="AX911" i="3"/>
  <c r="AU911" i="3"/>
  <c r="AV910" i="3"/>
  <c r="AX910" i="3"/>
  <c r="AU910" i="3"/>
  <c r="AV909" i="3"/>
  <c r="AX909" i="3"/>
  <c r="AU909" i="3"/>
  <c r="AV908" i="3"/>
  <c r="AX908" i="3"/>
  <c r="AU908" i="3"/>
  <c r="AV907" i="3"/>
  <c r="AX907" i="3"/>
  <c r="AU907" i="3"/>
  <c r="AV906" i="3"/>
  <c r="AX906" i="3"/>
  <c r="AU906" i="3"/>
  <c r="AV905" i="3"/>
  <c r="AX905" i="3"/>
  <c r="AU905" i="3"/>
  <c r="AV904" i="3"/>
  <c r="AX904" i="3"/>
  <c r="AU904" i="3"/>
  <c r="AV903" i="3"/>
  <c r="AX903" i="3"/>
  <c r="AU903" i="3"/>
  <c r="AV902" i="3"/>
  <c r="AX902" i="3"/>
  <c r="AU902" i="3"/>
  <c r="AV901" i="3"/>
  <c r="AX901" i="3"/>
  <c r="AU901" i="3"/>
  <c r="AV900" i="3"/>
  <c r="AX900" i="3"/>
  <c r="AU900" i="3"/>
  <c r="AV899" i="3"/>
  <c r="AX899" i="3"/>
  <c r="AU899" i="3"/>
  <c r="AV898" i="3"/>
  <c r="AX898" i="3"/>
  <c r="AU898" i="3"/>
  <c r="AV897" i="3"/>
  <c r="AX897" i="3"/>
  <c r="AU897" i="3"/>
  <c r="AV896" i="3"/>
  <c r="AX896" i="3"/>
  <c r="AU896" i="3"/>
  <c r="AV895" i="3"/>
  <c r="AX895" i="3"/>
  <c r="AU895" i="3"/>
  <c r="AV894" i="3"/>
  <c r="AX894" i="3"/>
  <c r="AU894" i="3"/>
  <c r="AV893" i="3"/>
  <c r="AX893" i="3"/>
  <c r="AU893" i="3"/>
  <c r="AV892" i="3"/>
  <c r="AX892" i="3"/>
  <c r="AU892" i="3"/>
  <c r="AV891" i="3"/>
  <c r="AX891" i="3"/>
  <c r="AU891" i="3"/>
  <c r="AV890" i="3"/>
  <c r="AX890" i="3"/>
  <c r="AU890" i="3"/>
  <c r="AV889" i="3"/>
  <c r="AX889" i="3"/>
  <c r="AU889" i="3"/>
  <c r="AV888" i="3"/>
  <c r="AX888" i="3"/>
  <c r="AU888" i="3"/>
  <c r="AV887" i="3"/>
  <c r="AX887" i="3"/>
  <c r="AU887" i="3"/>
  <c r="AV886" i="3"/>
  <c r="AX886" i="3"/>
  <c r="AU886" i="3"/>
  <c r="AV885" i="3"/>
  <c r="AX885" i="3"/>
  <c r="AU885" i="3"/>
  <c r="AV884" i="3"/>
  <c r="AX884" i="3"/>
  <c r="AU884" i="3"/>
  <c r="AV883" i="3"/>
  <c r="AX883" i="3"/>
  <c r="AU883" i="3"/>
  <c r="AV882" i="3"/>
  <c r="AX882" i="3"/>
  <c r="AU882" i="3"/>
  <c r="AV881" i="3"/>
  <c r="AX881" i="3"/>
  <c r="AU881" i="3"/>
  <c r="AV880" i="3"/>
  <c r="AX880" i="3"/>
  <c r="AU880" i="3"/>
  <c r="AV875" i="3"/>
  <c r="AX875" i="3"/>
  <c r="AU875" i="3"/>
  <c r="AV874" i="3"/>
  <c r="AX874" i="3"/>
  <c r="AU874" i="3"/>
  <c r="AV873" i="3"/>
  <c r="AX873" i="3"/>
  <c r="AU873" i="3"/>
  <c r="AV872" i="3"/>
  <c r="AX872" i="3"/>
  <c r="AU872" i="3"/>
  <c r="AV871" i="3"/>
  <c r="AX871" i="3"/>
  <c r="AU871" i="3"/>
  <c r="AV870" i="3"/>
  <c r="AX870" i="3"/>
  <c r="AU870" i="3"/>
  <c r="AV869" i="3"/>
  <c r="AX869" i="3"/>
  <c r="AU869" i="3"/>
  <c r="AV868" i="3"/>
  <c r="AX868" i="3"/>
  <c r="AU868" i="3"/>
  <c r="AV867" i="3"/>
  <c r="AX867" i="3"/>
  <c r="AU867" i="3"/>
  <c r="AV866" i="3"/>
  <c r="AX866" i="3"/>
  <c r="AU866" i="3"/>
  <c r="AV865" i="3"/>
  <c r="AX865" i="3"/>
  <c r="AU865" i="3"/>
  <c r="AV864" i="3"/>
  <c r="AX864" i="3"/>
  <c r="AU864" i="3"/>
  <c r="AV863" i="3"/>
  <c r="AX863" i="3"/>
  <c r="AU863" i="3"/>
  <c r="AV862" i="3"/>
  <c r="AX862" i="3"/>
  <c r="AU862" i="3"/>
  <c r="AV861" i="3"/>
  <c r="AX861" i="3"/>
  <c r="AU861" i="3"/>
  <c r="AV860" i="3"/>
  <c r="AX860" i="3"/>
  <c r="AU860" i="3"/>
  <c r="AV859" i="3"/>
  <c r="AX859" i="3"/>
  <c r="AU859" i="3"/>
  <c r="AV858" i="3"/>
  <c r="AX858" i="3"/>
  <c r="AU858" i="3"/>
  <c r="AV857" i="3"/>
  <c r="AX857" i="3"/>
  <c r="AU857" i="3"/>
  <c r="AV856" i="3"/>
  <c r="AX856" i="3"/>
  <c r="AU856" i="3"/>
  <c r="AV855" i="3"/>
  <c r="AX855" i="3"/>
  <c r="AU855" i="3"/>
  <c r="AV854" i="3"/>
  <c r="AX854" i="3"/>
  <c r="AU854" i="3"/>
  <c r="AV853" i="3"/>
  <c r="AX853" i="3"/>
  <c r="AU853" i="3"/>
  <c r="AV852" i="3"/>
  <c r="AX852" i="3"/>
  <c r="AU852" i="3"/>
  <c r="AV851" i="3"/>
  <c r="AX851" i="3"/>
  <c r="AU851" i="3"/>
  <c r="AV850" i="3"/>
  <c r="AX850" i="3"/>
  <c r="AU850" i="3"/>
  <c r="AV849" i="3"/>
  <c r="AX849" i="3"/>
  <c r="AU849" i="3"/>
  <c r="AV848" i="3"/>
  <c r="AX848" i="3"/>
  <c r="AU848" i="3"/>
  <c r="AV847" i="3"/>
  <c r="AX847" i="3"/>
  <c r="AU847" i="3"/>
  <c r="AV846" i="3"/>
  <c r="AX846" i="3"/>
  <c r="AU846" i="3"/>
  <c r="AV845" i="3"/>
  <c r="AX845" i="3"/>
  <c r="AU845" i="3"/>
  <c r="AV844" i="3"/>
  <c r="AX844" i="3"/>
  <c r="AU844" i="3"/>
  <c r="AV843" i="3"/>
  <c r="AX843" i="3"/>
  <c r="AU843" i="3"/>
  <c r="AV842" i="3"/>
  <c r="AX842" i="3"/>
  <c r="AU842" i="3"/>
  <c r="AV841" i="3"/>
  <c r="AX841" i="3"/>
  <c r="AU841" i="3"/>
  <c r="AV840" i="3"/>
  <c r="AX840" i="3"/>
  <c r="AU840" i="3"/>
  <c r="AV839" i="3"/>
  <c r="AX839" i="3"/>
  <c r="AU839" i="3"/>
  <c r="AV838" i="3"/>
  <c r="AX838" i="3"/>
  <c r="AU838" i="3"/>
  <c r="AV837" i="3"/>
  <c r="AX837" i="3"/>
  <c r="AU837" i="3"/>
  <c r="AV836" i="3"/>
  <c r="AX836" i="3"/>
  <c r="AU836" i="3"/>
  <c r="AV835" i="3"/>
  <c r="AX835" i="3"/>
  <c r="AU835" i="3"/>
  <c r="AV834" i="3"/>
  <c r="AX834" i="3"/>
  <c r="AU834" i="3"/>
  <c r="AV833" i="3"/>
  <c r="AX833" i="3"/>
  <c r="AU833" i="3"/>
  <c r="AV832" i="3"/>
  <c r="AX832" i="3"/>
  <c r="AU832" i="3"/>
  <c r="AV831" i="3"/>
  <c r="AX831" i="3"/>
  <c r="AU831" i="3"/>
  <c r="AV830" i="3"/>
  <c r="AX830" i="3"/>
  <c r="AU830" i="3"/>
  <c r="AV829" i="3"/>
  <c r="AX829" i="3"/>
  <c r="AU829" i="3"/>
  <c r="AV828" i="3"/>
  <c r="AX828" i="3"/>
  <c r="AU828" i="3"/>
  <c r="AV827" i="3"/>
  <c r="AX827" i="3"/>
  <c r="AU827" i="3"/>
  <c r="AV826" i="3"/>
  <c r="AX826" i="3"/>
  <c r="AU826" i="3"/>
  <c r="AV825" i="3"/>
  <c r="AX825" i="3"/>
  <c r="AU825" i="3"/>
  <c r="AV824" i="3"/>
  <c r="AX824" i="3"/>
  <c r="AU824" i="3"/>
  <c r="AV823" i="3"/>
  <c r="AX823" i="3"/>
  <c r="AU823" i="3"/>
  <c r="AV822" i="3"/>
  <c r="AX822" i="3"/>
  <c r="AU822" i="3"/>
  <c r="AV821" i="3"/>
  <c r="AX821" i="3"/>
  <c r="AU821" i="3"/>
  <c r="AV820" i="3"/>
  <c r="AX820" i="3"/>
  <c r="AU820" i="3"/>
  <c r="AV819" i="3"/>
  <c r="AX819" i="3"/>
  <c r="AU819" i="3"/>
  <c r="AV818" i="3"/>
  <c r="AX818" i="3"/>
  <c r="AU818" i="3"/>
  <c r="AV817" i="3"/>
  <c r="AX817" i="3"/>
  <c r="AU817" i="3"/>
  <c r="AV816" i="3"/>
  <c r="AX816" i="3"/>
  <c r="AU816" i="3"/>
  <c r="AV815" i="3"/>
  <c r="AX815" i="3"/>
  <c r="AU815" i="3"/>
  <c r="AV814" i="3"/>
  <c r="AX814" i="3"/>
  <c r="AU814" i="3"/>
  <c r="AV813" i="3"/>
  <c r="AX813" i="3"/>
  <c r="AU813" i="3"/>
  <c r="AV812" i="3"/>
  <c r="AX812" i="3"/>
  <c r="AU812" i="3"/>
  <c r="AV811" i="3"/>
  <c r="AX811" i="3"/>
  <c r="AU811" i="3"/>
  <c r="AV810" i="3"/>
  <c r="AX810" i="3"/>
  <c r="AU810" i="3"/>
  <c r="AV809" i="3"/>
  <c r="AX809" i="3"/>
  <c r="AU809" i="3"/>
  <c r="AV808" i="3"/>
  <c r="AX808" i="3"/>
  <c r="AU808" i="3"/>
  <c r="AV807" i="3"/>
  <c r="AX807" i="3"/>
  <c r="AU807" i="3"/>
  <c r="AV806" i="3"/>
  <c r="AX806" i="3"/>
  <c r="AU806" i="3"/>
  <c r="AV805" i="3"/>
  <c r="AX805" i="3"/>
  <c r="AU805" i="3"/>
  <c r="AV804" i="3"/>
  <c r="AX804" i="3"/>
  <c r="AU804" i="3"/>
  <c r="AV803" i="3"/>
  <c r="AX803" i="3"/>
  <c r="AU803" i="3"/>
  <c r="AV802" i="3"/>
  <c r="AX802" i="3"/>
  <c r="AU802" i="3"/>
  <c r="AV801" i="3"/>
  <c r="AX801" i="3"/>
  <c r="AU801" i="3"/>
  <c r="AV800" i="3"/>
  <c r="AX800" i="3"/>
  <c r="AU800" i="3"/>
  <c r="AV799" i="3"/>
  <c r="AX799" i="3"/>
  <c r="AU799" i="3"/>
  <c r="AV798" i="3"/>
  <c r="AX798" i="3"/>
  <c r="AU798" i="3"/>
  <c r="AV797" i="3"/>
  <c r="AX797" i="3"/>
  <c r="AU797" i="3"/>
  <c r="AV796" i="3"/>
  <c r="AX796" i="3"/>
  <c r="AU796" i="3"/>
  <c r="AV795" i="3"/>
  <c r="AX795" i="3"/>
  <c r="AU795" i="3"/>
  <c r="AV794" i="3"/>
  <c r="AX794" i="3"/>
  <c r="AU794" i="3"/>
  <c r="AV793" i="3"/>
  <c r="AX793" i="3"/>
  <c r="AU793" i="3"/>
  <c r="AV792" i="3"/>
  <c r="AX792" i="3"/>
  <c r="AU792" i="3"/>
  <c r="AV791" i="3"/>
  <c r="AX791" i="3"/>
  <c r="AU791" i="3"/>
  <c r="AV790" i="3"/>
  <c r="AX790" i="3"/>
  <c r="AU790" i="3"/>
  <c r="AV789" i="3"/>
  <c r="AX789" i="3"/>
  <c r="AU789" i="3"/>
  <c r="AV788" i="3"/>
  <c r="AX788" i="3"/>
  <c r="AU788" i="3"/>
  <c r="AV787" i="3"/>
  <c r="AX787" i="3"/>
  <c r="AU787" i="3"/>
  <c r="AV786" i="3"/>
  <c r="AX786" i="3"/>
  <c r="AU786" i="3"/>
  <c r="AV785" i="3"/>
  <c r="AX785" i="3"/>
  <c r="AU785" i="3"/>
  <c r="AV784" i="3"/>
  <c r="AX784" i="3"/>
  <c r="AU784" i="3"/>
  <c r="AV783" i="3"/>
  <c r="AX783" i="3"/>
  <c r="AU783" i="3"/>
  <c r="AV782" i="3"/>
  <c r="AX782" i="3"/>
  <c r="AU782" i="3"/>
  <c r="AV781" i="3"/>
  <c r="AX781" i="3"/>
  <c r="AU781" i="3"/>
  <c r="AV780" i="3"/>
  <c r="AX780" i="3"/>
  <c r="AU780" i="3"/>
  <c r="AV779" i="3"/>
  <c r="AX779" i="3"/>
  <c r="AU779" i="3"/>
  <c r="AV778" i="3"/>
  <c r="AX778" i="3"/>
  <c r="AU778" i="3"/>
  <c r="AV777" i="3"/>
  <c r="AX777" i="3"/>
  <c r="AU777" i="3"/>
  <c r="AV776" i="3"/>
  <c r="AX776" i="3"/>
  <c r="AU776" i="3"/>
  <c r="AV775" i="3"/>
  <c r="AX775" i="3"/>
  <c r="AU775" i="3"/>
  <c r="AV774" i="3"/>
  <c r="AX774" i="3"/>
  <c r="AU774" i="3"/>
  <c r="AV773" i="3"/>
  <c r="AX773" i="3"/>
  <c r="AU773" i="3"/>
  <c r="AV772" i="3"/>
  <c r="AX772" i="3"/>
  <c r="AU772" i="3"/>
  <c r="AV771" i="3"/>
  <c r="AX771" i="3"/>
  <c r="AU771" i="3"/>
  <c r="AV770" i="3"/>
  <c r="AX770" i="3"/>
  <c r="AU770" i="3"/>
  <c r="AV769" i="3"/>
  <c r="AX769" i="3"/>
  <c r="AU769" i="3"/>
  <c r="AV768" i="3"/>
  <c r="AX768" i="3"/>
  <c r="AU768" i="3"/>
  <c r="AV767" i="3"/>
  <c r="AX767" i="3"/>
  <c r="AU767" i="3"/>
  <c r="AV766" i="3"/>
  <c r="AX766" i="3"/>
  <c r="AU766" i="3"/>
  <c r="AV765" i="3"/>
  <c r="AX765" i="3"/>
  <c r="AU765" i="3"/>
  <c r="AV764" i="3"/>
  <c r="AX764" i="3"/>
  <c r="AU764" i="3"/>
  <c r="AV763" i="3"/>
  <c r="AX763" i="3"/>
  <c r="AU763" i="3"/>
  <c r="AV762" i="3"/>
  <c r="AX762" i="3"/>
  <c r="AU762" i="3"/>
  <c r="AV761" i="3"/>
  <c r="AX761" i="3"/>
  <c r="AU761" i="3"/>
  <c r="AV760" i="3"/>
  <c r="AX760" i="3"/>
  <c r="AU760" i="3"/>
  <c r="AV759" i="3"/>
  <c r="AX759" i="3"/>
  <c r="AU759" i="3"/>
  <c r="AV758" i="3"/>
  <c r="AX758" i="3"/>
  <c r="AU758" i="3"/>
  <c r="AV757" i="3"/>
  <c r="AX757" i="3"/>
  <c r="AU757" i="3"/>
  <c r="AV756" i="3"/>
  <c r="AX756" i="3"/>
  <c r="AU756" i="3"/>
  <c r="AV755" i="3"/>
  <c r="AX755" i="3"/>
  <c r="AU755" i="3"/>
  <c r="AV754" i="3"/>
  <c r="AX754" i="3"/>
  <c r="AU754" i="3"/>
  <c r="AV753" i="3"/>
  <c r="AX753" i="3"/>
  <c r="AU753" i="3"/>
  <c r="AV752" i="3"/>
  <c r="AX752" i="3"/>
  <c r="AU752" i="3"/>
  <c r="AV751" i="3"/>
  <c r="AX751" i="3"/>
  <c r="AU751" i="3"/>
  <c r="AV750" i="3"/>
  <c r="AX750" i="3"/>
  <c r="AU750" i="3"/>
  <c r="AV749" i="3"/>
  <c r="AX749" i="3"/>
  <c r="AU749" i="3"/>
  <c r="AV748" i="3"/>
  <c r="AX748" i="3"/>
  <c r="AU748" i="3"/>
  <c r="AV747" i="3"/>
  <c r="AX747" i="3"/>
  <c r="AU747" i="3"/>
  <c r="AV746" i="3"/>
  <c r="AX746" i="3"/>
  <c r="AU746" i="3"/>
  <c r="AV745" i="3"/>
  <c r="AX745" i="3"/>
  <c r="AU745" i="3"/>
  <c r="AV744" i="3"/>
  <c r="AX744" i="3"/>
  <c r="AU744" i="3"/>
  <c r="AV743" i="3"/>
  <c r="AX743" i="3"/>
  <c r="AU743" i="3"/>
  <c r="AV742" i="3"/>
  <c r="AX742" i="3"/>
  <c r="AU742" i="3"/>
  <c r="AV741" i="3"/>
  <c r="AX741" i="3"/>
  <c r="AU741" i="3"/>
  <c r="AV740" i="3"/>
  <c r="AX740" i="3"/>
  <c r="AU740" i="3"/>
  <c r="AV739" i="3"/>
  <c r="AX739" i="3"/>
  <c r="AU739" i="3"/>
  <c r="AV738" i="3"/>
  <c r="AX738" i="3"/>
  <c r="AU738" i="3"/>
  <c r="AV737" i="3"/>
  <c r="AX737" i="3"/>
  <c r="AU737" i="3"/>
  <c r="AV736" i="3"/>
  <c r="AX736" i="3"/>
  <c r="AU736" i="3"/>
  <c r="AV735" i="3"/>
  <c r="AX735" i="3"/>
  <c r="AU735" i="3"/>
  <c r="AV734" i="3"/>
  <c r="AX734" i="3"/>
  <c r="AU734" i="3"/>
  <c r="AV733" i="3"/>
  <c r="AX733" i="3"/>
  <c r="AU733" i="3"/>
  <c r="AV732" i="3"/>
  <c r="AX732" i="3"/>
  <c r="AU732" i="3"/>
  <c r="AV731" i="3"/>
  <c r="AX731" i="3"/>
  <c r="AU731" i="3"/>
  <c r="AV730" i="3"/>
  <c r="AX730" i="3"/>
  <c r="AU730" i="3"/>
  <c r="AV729" i="3"/>
  <c r="AX729" i="3"/>
  <c r="AU729" i="3"/>
  <c r="AV728" i="3"/>
  <c r="AX728" i="3"/>
  <c r="AU728" i="3"/>
  <c r="AV726" i="3"/>
  <c r="AX726" i="3"/>
  <c r="AU726" i="3"/>
  <c r="AV725" i="3"/>
  <c r="AX725" i="3"/>
  <c r="AU725" i="3"/>
  <c r="AV721" i="3"/>
  <c r="AX721" i="3"/>
  <c r="AU721" i="3"/>
  <c r="AV720" i="3"/>
  <c r="AX720" i="3"/>
  <c r="AU720" i="3"/>
  <c r="AV719" i="3"/>
  <c r="AX719" i="3"/>
  <c r="AU719" i="3"/>
  <c r="AV718" i="3"/>
  <c r="AX718" i="3"/>
  <c r="AU718" i="3"/>
  <c r="AV717" i="3"/>
  <c r="AX717" i="3"/>
  <c r="AU717" i="3"/>
  <c r="AV716" i="3"/>
  <c r="AX716" i="3"/>
  <c r="AU716" i="3"/>
  <c r="AV715" i="3"/>
  <c r="AX715" i="3"/>
  <c r="AU715" i="3"/>
  <c r="AV714" i="3"/>
  <c r="AX714" i="3"/>
  <c r="AU714" i="3"/>
  <c r="AV713" i="3"/>
  <c r="AX713" i="3"/>
  <c r="AU713" i="3"/>
  <c r="AV712" i="3"/>
  <c r="AX712" i="3"/>
  <c r="AU712" i="3"/>
  <c r="AV711" i="3"/>
  <c r="AX711" i="3"/>
  <c r="AU711" i="3"/>
  <c r="AV710" i="3"/>
  <c r="AX710" i="3"/>
  <c r="AU710" i="3"/>
  <c r="AV709" i="3"/>
  <c r="AX709" i="3"/>
  <c r="AU709" i="3"/>
  <c r="AV708" i="3"/>
  <c r="AX708" i="3"/>
  <c r="AU708" i="3"/>
  <c r="AV707" i="3"/>
  <c r="AX707" i="3"/>
  <c r="AU707" i="3"/>
  <c r="AV706" i="3"/>
  <c r="AX706" i="3"/>
  <c r="AU706" i="3"/>
  <c r="AV705" i="3"/>
  <c r="AX705" i="3"/>
  <c r="AU705" i="3"/>
  <c r="AV704" i="3"/>
  <c r="AX704" i="3"/>
  <c r="AU704" i="3"/>
  <c r="AV703" i="3"/>
  <c r="AX703" i="3"/>
  <c r="AU703" i="3"/>
  <c r="AV702" i="3"/>
  <c r="AX702" i="3"/>
  <c r="AU702" i="3"/>
  <c r="AV701" i="3"/>
  <c r="AX701" i="3"/>
  <c r="AU701" i="3"/>
  <c r="AV700" i="3"/>
  <c r="AX700" i="3"/>
  <c r="AU700" i="3"/>
  <c r="AV699" i="3"/>
  <c r="AX699" i="3"/>
  <c r="AU699" i="3"/>
  <c r="AV698" i="3"/>
  <c r="AX698" i="3"/>
  <c r="AU698" i="3"/>
  <c r="AV697" i="3"/>
  <c r="AX697" i="3"/>
  <c r="AU697" i="3"/>
  <c r="AV696" i="3"/>
  <c r="AX696" i="3"/>
  <c r="AU696" i="3"/>
  <c r="AV695" i="3"/>
  <c r="AX695" i="3"/>
  <c r="AU695" i="3"/>
  <c r="AV694" i="3"/>
  <c r="AX694" i="3"/>
  <c r="AU694" i="3"/>
  <c r="AV693" i="3"/>
  <c r="AX693" i="3"/>
  <c r="AU693" i="3"/>
  <c r="AV692" i="3"/>
  <c r="AX692" i="3"/>
  <c r="AU692" i="3"/>
  <c r="AV691" i="3"/>
  <c r="AX691" i="3"/>
  <c r="AU691" i="3"/>
  <c r="AV690" i="3"/>
  <c r="AX690" i="3"/>
  <c r="AU690" i="3"/>
  <c r="AV689" i="3"/>
  <c r="AX689" i="3"/>
  <c r="AU689" i="3"/>
  <c r="AV688" i="3"/>
  <c r="AX688" i="3"/>
  <c r="AU688" i="3"/>
  <c r="AV687" i="3"/>
  <c r="AX687" i="3"/>
  <c r="AU687" i="3"/>
  <c r="AV686" i="3"/>
  <c r="AX686" i="3"/>
  <c r="AU686" i="3"/>
  <c r="AV685" i="3"/>
  <c r="AX685" i="3"/>
  <c r="AU685" i="3"/>
  <c r="AV684" i="3"/>
  <c r="AX684" i="3"/>
  <c r="AU684" i="3"/>
  <c r="AV683" i="3"/>
  <c r="AX683" i="3"/>
  <c r="AU683" i="3"/>
  <c r="AV682" i="3"/>
  <c r="AX682" i="3"/>
  <c r="AU682" i="3"/>
  <c r="AV681" i="3"/>
  <c r="AX681" i="3"/>
  <c r="AU681" i="3"/>
  <c r="AV680" i="3"/>
  <c r="AX680" i="3"/>
  <c r="AU680" i="3"/>
  <c r="AV679" i="3"/>
  <c r="AX679" i="3"/>
  <c r="AU679" i="3"/>
  <c r="AV678" i="3"/>
  <c r="AX678" i="3"/>
  <c r="AU678" i="3"/>
  <c r="AV677" i="3"/>
  <c r="AX677" i="3"/>
  <c r="AU677" i="3"/>
  <c r="AV676" i="3"/>
  <c r="AX676" i="3"/>
  <c r="AU676" i="3"/>
  <c r="AV675" i="3"/>
  <c r="AX675" i="3"/>
  <c r="AU675" i="3"/>
  <c r="AV674" i="3"/>
  <c r="AX674" i="3"/>
  <c r="AU674" i="3"/>
  <c r="AV673" i="3"/>
  <c r="AX673" i="3"/>
  <c r="AU673" i="3"/>
  <c r="AV672" i="3"/>
  <c r="AX672" i="3"/>
  <c r="AU672" i="3"/>
  <c r="AV671" i="3"/>
  <c r="AX671" i="3"/>
  <c r="AU671" i="3"/>
  <c r="AV670" i="3"/>
  <c r="AX670" i="3"/>
  <c r="AU670" i="3"/>
  <c r="AV669" i="3"/>
  <c r="AX669" i="3"/>
  <c r="AU669" i="3"/>
  <c r="AV668" i="3"/>
  <c r="AX668" i="3"/>
  <c r="AU668" i="3"/>
  <c r="AV667" i="3"/>
  <c r="AX667" i="3"/>
  <c r="AU667" i="3"/>
  <c r="AV666" i="3"/>
  <c r="AX666" i="3"/>
  <c r="AU666" i="3"/>
  <c r="AV665" i="3"/>
  <c r="AX665" i="3"/>
  <c r="AU665" i="3"/>
  <c r="AV664" i="3"/>
  <c r="AX664" i="3"/>
  <c r="AU664" i="3"/>
  <c r="AV663" i="3"/>
  <c r="AX663" i="3"/>
  <c r="AU663" i="3"/>
  <c r="AV662" i="3"/>
  <c r="AX662" i="3"/>
  <c r="AU662" i="3"/>
  <c r="AV661" i="3"/>
  <c r="AX661" i="3"/>
  <c r="AU661" i="3"/>
  <c r="AV660" i="3"/>
  <c r="AX660" i="3"/>
  <c r="AU660" i="3"/>
  <c r="AV659" i="3"/>
  <c r="AX659" i="3"/>
  <c r="AU659" i="3"/>
  <c r="AV658" i="3"/>
  <c r="AX658" i="3"/>
  <c r="AU658" i="3"/>
  <c r="AV657" i="3"/>
  <c r="AX657" i="3"/>
  <c r="AU657" i="3"/>
  <c r="AV656" i="3"/>
  <c r="AX656" i="3"/>
  <c r="AU656" i="3"/>
  <c r="AV655" i="3"/>
  <c r="AX655" i="3"/>
  <c r="AU655" i="3"/>
  <c r="AV654" i="3"/>
  <c r="AX654" i="3"/>
  <c r="AU654" i="3"/>
  <c r="AV653" i="3"/>
  <c r="AX653" i="3"/>
  <c r="AU653" i="3"/>
  <c r="AV652" i="3"/>
  <c r="AX652" i="3"/>
  <c r="AU652" i="3"/>
  <c r="AV651" i="3"/>
  <c r="AX651" i="3"/>
  <c r="AU651" i="3"/>
  <c r="AV650" i="3"/>
  <c r="AX650" i="3"/>
  <c r="AU650" i="3"/>
  <c r="AV649" i="3"/>
  <c r="AX649" i="3"/>
  <c r="AU649" i="3"/>
  <c r="AV648" i="3"/>
  <c r="AX648" i="3"/>
  <c r="AU648" i="3"/>
  <c r="AV647" i="3"/>
  <c r="AX647" i="3"/>
  <c r="AU647" i="3"/>
  <c r="AV646" i="3"/>
  <c r="AX646" i="3"/>
  <c r="AU646" i="3"/>
  <c r="AV645" i="3"/>
  <c r="AX645" i="3"/>
  <c r="AU645" i="3"/>
  <c r="AV644" i="3"/>
  <c r="AX644" i="3"/>
  <c r="AU644" i="3"/>
  <c r="AV643" i="3"/>
  <c r="AX643" i="3"/>
  <c r="AU643" i="3"/>
  <c r="AV642" i="3"/>
  <c r="AX642" i="3"/>
  <c r="AU642" i="3"/>
  <c r="AV641" i="3"/>
  <c r="AX641" i="3"/>
  <c r="AU641" i="3"/>
  <c r="AV640" i="3"/>
  <c r="AX640" i="3"/>
  <c r="AU640" i="3"/>
  <c r="AV639" i="3"/>
  <c r="AX639" i="3"/>
  <c r="AU639" i="3"/>
  <c r="AV638" i="3"/>
  <c r="AX638" i="3"/>
  <c r="AU638" i="3"/>
  <c r="AV637" i="3"/>
  <c r="AX637" i="3"/>
  <c r="AU637" i="3"/>
  <c r="AV636" i="3"/>
  <c r="AX636" i="3"/>
  <c r="AU636" i="3"/>
  <c r="AV635" i="3"/>
  <c r="AX635" i="3"/>
  <c r="AU635" i="3"/>
  <c r="AV634" i="3"/>
  <c r="AX634" i="3"/>
  <c r="AU634" i="3"/>
  <c r="AV633" i="3"/>
  <c r="AX633" i="3"/>
  <c r="AU633" i="3"/>
  <c r="AV632" i="3"/>
  <c r="AX632" i="3"/>
  <c r="AU632" i="3"/>
  <c r="AV631" i="3"/>
  <c r="AX631" i="3"/>
  <c r="AU631" i="3"/>
  <c r="AV630" i="3"/>
  <c r="AX630" i="3"/>
  <c r="AU630" i="3"/>
  <c r="AV629" i="3"/>
  <c r="AX629" i="3"/>
  <c r="AU629" i="3"/>
  <c r="AV628" i="3"/>
  <c r="AX628" i="3"/>
  <c r="AU628" i="3"/>
  <c r="AV627" i="3"/>
  <c r="AX627" i="3"/>
  <c r="AU627" i="3"/>
  <c r="AV626" i="3"/>
  <c r="AX626" i="3"/>
  <c r="AU626" i="3"/>
  <c r="AV625" i="3"/>
  <c r="AX625" i="3"/>
  <c r="AU625" i="3"/>
  <c r="AV624" i="3"/>
  <c r="AX624" i="3"/>
  <c r="AU624" i="3"/>
  <c r="AV623" i="3"/>
  <c r="AX623" i="3"/>
  <c r="AU623" i="3"/>
  <c r="AV622" i="3"/>
  <c r="AX622" i="3"/>
  <c r="AU622" i="3"/>
  <c r="AV621" i="3"/>
  <c r="AX621" i="3"/>
  <c r="AU621" i="3"/>
  <c r="AV620" i="3"/>
  <c r="AX620" i="3"/>
  <c r="AU620" i="3"/>
  <c r="AV619" i="3"/>
  <c r="AX619" i="3"/>
  <c r="AU619" i="3"/>
  <c r="AV618" i="3"/>
  <c r="AX618" i="3"/>
  <c r="AU618" i="3"/>
  <c r="AV617" i="3"/>
  <c r="AX617" i="3"/>
  <c r="AU617" i="3"/>
  <c r="AV616" i="3"/>
  <c r="AX616" i="3"/>
  <c r="AU616" i="3"/>
  <c r="AV615" i="3"/>
  <c r="AX615" i="3"/>
  <c r="AU615" i="3"/>
  <c r="AV614" i="3"/>
  <c r="AX614" i="3"/>
  <c r="AU614" i="3"/>
  <c r="AV613" i="3"/>
  <c r="AX613" i="3"/>
  <c r="AU613" i="3"/>
  <c r="AV612" i="3"/>
  <c r="AX612" i="3"/>
  <c r="AU612" i="3"/>
  <c r="AV611" i="3"/>
  <c r="AX611" i="3"/>
  <c r="AU611" i="3"/>
  <c r="AV610" i="3"/>
  <c r="AX610" i="3"/>
  <c r="AU610" i="3"/>
  <c r="AV609" i="3"/>
  <c r="AX609" i="3"/>
  <c r="AU609" i="3"/>
  <c r="AV608" i="3"/>
  <c r="AX608" i="3"/>
  <c r="AU608" i="3"/>
  <c r="AV607" i="3"/>
  <c r="AX607" i="3"/>
  <c r="AU607" i="3"/>
  <c r="AV606" i="3"/>
  <c r="AX606" i="3"/>
  <c r="AU606" i="3"/>
  <c r="AV605" i="3"/>
  <c r="AX605" i="3"/>
  <c r="AU605" i="3"/>
  <c r="AV604" i="3"/>
  <c r="AX604" i="3"/>
  <c r="AU604" i="3"/>
  <c r="AV603" i="3"/>
  <c r="AX603" i="3"/>
  <c r="AU603" i="3"/>
  <c r="AV602" i="3"/>
  <c r="AX602" i="3"/>
  <c r="AU602" i="3"/>
  <c r="AV601" i="3"/>
  <c r="AX601" i="3"/>
  <c r="AU601" i="3"/>
  <c r="AV600" i="3"/>
  <c r="AX600" i="3"/>
  <c r="AU600" i="3"/>
  <c r="AV599" i="3"/>
  <c r="AX599" i="3"/>
  <c r="AU599" i="3"/>
  <c r="AV598" i="3"/>
  <c r="AX598" i="3"/>
  <c r="AU598" i="3"/>
  <c r="AV597" i="3"/>
  <c r="AX597" i="3"/>
  <c r="AU597" i="3"/>
  <c r="AV596" i="3"/>
  <c r="AX596" i="3"/>
  <c r="AU596" i="3"/>
  <c r="AV595" i="3"/>
  <c r="AX595" i="3"/>
  <c r="AU595" i="3"/>
  <c r="AV594" i="3"/>
  <c r="AX594" i="3"/>
  <c r="AU594" i="3"/>
  <c r="AV593" i="3"/>
  <c r="AX593" i="3"/>
  <c r="AU593" i="3"/>
  <c r="AV592" i="3"/>
  <c r="AX592" i="3"/>
  <c r="AU592" i="3"/>
  <c r="AV591" i="3"/>
  <c r="AX591" i="3"/>
  <c r="AU591" i="3"/>
  <c r="AV590" i="3"/>
  <c r="AX590" i="3"/>
  <c r="AU590" i="3"/>
  <c r="AV589" i="3"/>
  <c r="AX589" i="3"/>
  <c r="AU589" i="3"/>
  <c r="AV588" i="3"/>
  <c r="AX588" i="3"/>
  <c r="AU588" i="3"/>
  <c r="AV587" i="3"/>
  <c r="AX587" i="3"/>
  <c r="AU587" i="3"/>
  <c r="AV586" i="3"/>
  <c r="AX586" i="3"/>
  <c r="AU586" i="3"/>
  <c r="AV585" i="3"/>
  <c r="AX585" i="3"/>
  <c r="AU585" i="3"/>
  <c r="AV584" i="3"/>
  <c r="AX584" i="3"/>
  <c r="AU584" i="3"/>
  <c r="AV583" i="3"/>
  <c r="AX583" i="3"/>
  <c r="AU583" i="3"/>
  <c r="AV582" i="3"/>
  <c r="AX582" i="3"/>
  <c r="AU582" i="3"/>
  <c r="AV581" i="3"/>
  <c r="AX581" i="3"/>
  <c r="AU581" i="3"/>
  <c r="AV580" i="3"/>
  <c r="AX580" i="3"/>
  <c r="AU580" i="3"/>
  <c r="AV579" i="3"/>
  <c r="AX579" i="3"/>
  <c r="AU579" i="3"/>
  <c r="AV578" i="3"/>
  <c r="AX578" i="3"/>
  <c r="AU578" i="3"/>
  <c r="AV577" i="3"/>
  <c r="AX577" i="3"/>
  <c r="AU577" i="3"/>
  <c r="AV576" i="3"/>
  <c r="AX576" i="3"/>
  <c r="AU576" i="3"/>
  <c r="AV575" i="3"/>
  <c r="AX575" i="3"/>
  <c r="AU575" i="3"/>
  <c r="AV574" i="3"/>
  <c r="AX574" i="3"/>
  <c r="AU574" i="3"/>
  <c r="AV573" i="3"/>
  <c r="AX573" i="3"/>
  <c r="AU573" i="3"/>
  <c r="AV572" i="3"/>
  <c r="AX572" i="3"/>
  <c r="AU572" i="3"/>
  <c r="AV571" i="3"/>
  <c r="AX571" i="3"/>
  <c r="AU571" i="3"/>
  <c r="AV570" i="3"/>
  <c r="AX570" i="3"/>
  <c r="AU570" i="3"/>
  <c r="AV569" i="3"/>
  <c r="AX569" i="3"/>
  <c r="AU569" i="3"/>
  <c r="AV568" i="3"/>
  <c r="AX568" i="3"/>
  <c r="AU568" i="3"/>
  <c r="AV567" i="3"/>
  <c r="AX567" i="3"/>
  <c r="AU567" i="3"/>
  <c r="AV566" i="3"/>
  <c r="AX566" i="3"/>
  <c r="AU566" i="3"/>
  <c r="AV565" i="3"/>
  <c r="AX565" i="3"/>
  <c r="AU565" i="3"/>
  <c r="AV564" i="3"/>
  <c r="AX564" i="3"/>
  <c r="AU564" i="3"/>
  <c r="AV563" i="3"/>
  <c r="AX563" i="3"/>
  <c r="AU563" i="3"/>
  <c r="AV562" i="3"/>
  <c r="AX562" i="3"/>
  <c r="AU562" i="3"/>
  <c r="AV561" i="3"/>
  <c r="AX561" i="3"/>
  <c r="AU561" i="3"/>
  <c r="AV560" i="3"/>
  <c r="AX560" i="3"/>
  <c r="AU560" i="3"/>
  <c r="AV559" i="3"/>
  <c r="AX559" i="3"/>
  <c r="AU559" i="3"/>
  <c r="AV558" i="3"/>
  <c r="AX558" i="3"/>
  <c r="AU558" i="3"/>
  <c r="AV557" i="3"/>
  <c r="AX557" i="3"/>
  <c r="AU557" i="3"/>
  <c r="AV556" i="3"/>
  <c r="AX556" i="3"/>
  <c r="AU556" i="3"/>
  <c r="AV555" i="3"/>
  <c r="AX555" i="3"/>
  <c r="AU555" i="3"/>
  <c r="AV554" i="3"/>
  <c r="AX554" i="3"/>
  <c r="AU554" i="3"/>
  <c r="AV553" i="3"/>
  <c r="AX553" i="3"/>
  <c r="AU553" i="3"/>
  <c r="AV552" i="3"/>
  <c r="AX552" i="3"/>
  <c r="AU552" i="3"/>
  <c r="AV551" i="3"/>
  <c r="AX551" i="3"/>
  <c r="AU551" i="3"/>
  <c r="AV550" i="3"/>
  <c r="AX550" i="3"/>
  <c r="AU550" i="3"/>
  <c r="AV549" i="3"/>
  <c r="AX549" i="3"/>
  <c r="AU549" i="3"/>
  <c r="AV548" i="3"/>
  <c r="AX548" i="3"/>
  <c r="AU548" i="3"/>
  <c r="AV547" i="3"/>
  <c r="AX547" i="3"/>
  <c r="AU547" i="3"/>
  <c r="AV546" i="3"/>
  <c r="AX546" i="3"/>
  <c r="AU546" i="3"/>
  <c r="AV545" i="3"/>
  <c r="AX545" i="3"/>
  <c r="AU545" i="3"/>
  <c r="AV544" i="3"/>
  <c r="AX544" i="3"/>
  <c r="AU544" i="3"/>
  <c r="AV543" i="3"/>
  <c r="AX543" i="3"/>
  <c r="AU543" i="3"/>
  <c r="AV542" i="3"/>
  <c r="AX542" i="3"/>
  <c r="AU542" i="3"/>
  <c r="AV541" i="3"/>
  <c r="AX541" i="3"/>
  <c r="AU541" i="3"/>
  <c r="AV540" i="3"/>
  <c r="AX540" i="3"/>
  <c r="AU540" i="3"/>
  <c r="AV539" i="3"/>
  <c r="AX539" i="3"/>
  <c r="AU539" i="3"/>
  <c r="AV538" i="3"/>
  <c r="AX538" i="3"/>
  <c r="AU538" i="3"/>
  <c r="AV537" i="3"/>
  <c r="AX537" i="3"/>
  <c r="AU537" i="3"/>
  <c r="AV536" i="3"/>
  <c r="AX536" i="3"/>
  <c r="AU536" i="3"/>
  <c r="AV535" i="3"/>
  <c r="AX535" i="3"/>
  <c r="AU535" i="3"/>
  <c r="AV534" i="3"/>
  <c r="AX534" i="3"/>
  <c r="AU534" i="3"/>
  <c r="AV533" i="3"/>
  <c r="AX533" i="3"/>
  <c r="AU533" i="3"/>
  <c r="AV532" i="3"/>
  <c r="AX532" i="3"/>
  <c r="AU532" i="3"/>
  <c r="AV531" i="3"/>
  <c r="AX531" i="3"/>
  <c r="AU531" i="3"/>
  <c r="AV530" i="3"/>
  <c r="AX530" i="3"/>
  <c r="AU530" i="3"/>
  <c r="AV529" i="3"/>
  <c r="AX529" i="3"/>
  <c r="AU529" i="3"/>
  <c r="AV528" i="3"/>
  <c r="AX528" i="3"/>
  <c r="AU528" i="3"/>
  <c r="AV527" i="3"/>
  <c r="AX527" i="3"/>
  <c r="AU527" i="3"/>
  <c r="AV526" i="3"/>
  <c r="AX526" i="3"/>
  <c r="AU526" i="3"/>
  <c r="AV525" i="3"/>
  <c r="AX525" i="3"/>
  <c r="AU525" i="3"/>
  <c r="AV524" i="3"/>
  <c r="AX524" i="3"/>
  <c r="AU524" i="3"/>
  <c r="AV523" i="3"/>
  <c r="AX523" i="3"/>
  <c r="AU523" i="3"/>
  <c r="AV522" i="3"/>
  <c r="AX522" i="3"/>
  <c r="AU522" i="3"/>
  <c r="AV521" i="3"/>
  <c r="AX521" i="3"/>
  <c r="AU521" i="3"/>
  <c r="AV520" i="3"/>
  <c r="AX520" i="3"/>
  <c r="AU520" i="3"/>
  <c r="AV519" i="3"/>
  <c r="AX519" i="3"/>
  <c r="AU519" i="3"/>
  <c r="AV518" i="3"/>
  <c r="AX518" i="3"/>
  <c r="AU518" i="3"/>
  <c r="AV517" i="3"/>
  <c r="AX517" i="3"/>
  <c r="AU517" i="3"/>
  <c r="AV516" i="3"/>
  <c r="AX516" i="3"/>
  <c r="AU516" i="3"/>
  <c r="AV515" i="3"/>
  <c r="AX515" i="3"/>
  <c r="AU515" i="3"/>
  <c r="AV514" i="3"/>
  <c r="AX514" i="3"/>
  <c r="AU514" i="3"/>
  <c r="AV513" i="3"/>
  <c r="AX513" i="3"/>
  <c r="AU513" i="3"/>
  <c r="AV512" i="3"/>
  <c r="AX512" i="3"/>
  <c r="AU512" i="3"/>
  <c r="AV511" i="3"/>
  <c r="AX511" i="3"/>
  <c r="AU511" i="3"/>
  <c r="AV510" i="3"/>
  <c r="AX510" i="3"/>
  <c r="AU510" i="3"/>
  <c r="AV509" i="3"/>
  <c r="AX509" i="3"/>
  <c r="AU509" i="3"/>
  <c r="AV508" i="3"/>
  <c r="AX508" i="3"/>
  <c r="AU508" i="3"/>
  <c r="AV507" i="3"/>
  <c r="AX507" i="3"/>
  <c r="AU507" i="3"/>
  <c r="AV506" i="3"/>
  <c r="AX506" i="3"/>
  <c r="AU506" i="3"/>
  <c r="AV505" i="3"/>
  <c r="AX505" i="3"/>
  <c r="AU505" i="3"/>
  <c r="AV504" i="3"/>
  <c r="AX504" i="3"/>
  <c r="AU504" i="3"/>
  <c r="AV503" i="3"/>
  <c r="AX503" i="3"/>
  <c r="AU503" i="3"/>
  <c r="AV502" i="3"/>
  <c r="AX502" i="3"/>
  <c r="AU502" i="3"/>
  <c r="AV501" i="3"/>
  <c r="AX501" i="3"/>
  <c r="AU501" i="3"/>
  <c r="AV500" i="3"/>
  <c r="AX500" i="3"/>
  <c r="AU500" i="3"/>
  <c r="AV499" i="3"/>
  <c r="AX499" i="3"/>
  <c r="AU499" i="3"/>
  <c r="AV498" i="3"/>
  <c r="AX498" i="3"/>
  <c r="AU498" i="3"/>
  <c r="AV497" i="3"/>
  <c r="AX497" i="3"/>
  <c r="AU497" i="3"/>
  <c r="AV496" i="3"/>
  <c r="AX496" i="3"/>
  <c r="AU496" i="3"/>
  <c r="AV495" i="3"/>
  <c r="AX495" i="3"/>
  <c r="AU495" i="3"/>
  <c r="AV494" i="3"/>
  <c r="AX494" i="3"/>
  <c r="AU494" i="3"/>
  <c r="AV493" i="3"/>
  <c r="AX493" i="3"/>
  <c r="AU493" i="3"/>
  <c r="AV492" i="3"/>
  <c r="AX492" i="3"/>
  <c r="AU492" i="3"/>
  <c r="AV491" i="3"/>
  <c r="AX491" i="3"/>
  <c r="AU491" i="3"/>
  <c r="AV490" i="3"/>
  <c r="AX490" i="3"/>
  <c r="AU490" i="3"/>
  <c r="AV489" i="3"/>
  <c r="AX489" i="3"/>
  <c r="AU489" i="3"/>
  <c r="AV488" i="3"/>
  <c r="AX488" i="3"/>
  <c r="AU488" i="3"/>
  <c r="AV487" i="3"/>
  <c r="AX487" i="3"/>
  <c r="AU487" i="3"/>
  <c r="AV486" i="3"/>
  <c r="AX486" i="3"/>
  <c r="AU486" i="3"/>
  <c r="AV485" i="3"/>
  <c r="AX485" i="3"/>
  <c r="AU485" i="3"/>
  <c r="AV484" i="3"/>
  <c r="AX484" i="3"/>
  <c r="AU484" i="3"/>
  <c r="AV483" i="3"/>
  <c r="AX483" i="3"/>
  <c r="AU483" i="3"/>
  <c r="AV482" i="3"/>
  <c r="AX482" i="3"/>
  <c r="AU482" i="3"/>
  <c r="AV481" i="3"/>
  <c r="AX481" i="3"/>
  <c r="AU481" i="3"/>
  <c r="AV480" i="3"/>
  <c r="AX480" i="3"/>
  <c r="AU480" i="3"/>
  <c r="AV479" i="3"/>
  <c r="AX479" i="3"/>
  <c r="AU479" i="3"/>
  <c r="AV478" i="3"/>
  <c r="AX478" i="3"/>
  <c r="AU478" i="3"/>
  <c r="AV477" i="3"/>
  <c r="AX477" i="3"/>
  <c r="AU477" i="3"/>
  <c r="AV476" i="3"/>
  <c r="AX476" i="3"/>
  <c r="AU476" i="3"/>
  <c r="AV475" i="3"/>
  <c r="AX475" i="3"/>
  <c r="AU475" i="3"/>
  <c r="AV474" i="3"/>
  <c r="AX474" i="3"/>
  <c r="AU474" i="3"/>
  <c r="AV473" i="3"/>
  <c r="AX473" i="3"/>
  <c r="AU473" i="3"/>
  <c r="AV472" i="3"/>
  <c r="AX472" i="3"/>
  <c r="AU472" i="3"/>
  <c r="AV471" i="3"/>
  <c r="AX471" i="3"/>
  <c r="AU471" i="3"/>
  <c r="AV470" i="3"/>
  <c r="AX470" i="3"/>
  <c r="AU470" i="3"/>
  <c r="AV469" i="3"/>
  <c r="AX469" i="3"/>
  <c r="AU469" i="3"/>
  <c r="AV468" i="3"/>
  <c r="AX468" i="3"/>
  <c r="AU468" i="3"/>
  <c r="AV467" i="3"/>
  <c r="AX467" i="3"/>
  <c r="AU467" i="3"/>
  <c r="AV466" i="3"/>
  <c r="AX466" i="3"/>
  <c r="AU466" i="3"/>
  <c r="AV465" i="3"/>
  <c r="AX465" i="3"/>
  <c r="AU465" i="3"/>
  <c r="AV464" i="3"/>
  <c r="AX464" i="3"/>
  <c r="AU464" i="3"/>
  <c r="AV463" i="3"/>
  <c r="AX463" i="3"/>
  <c r="AU463" i="3"/>
  <c r="AV462" i="3"/>
  <c r="AX462" i="3"/>
  <c r="AU462" i="3"/>
  <c r="AV461" i="3"/>
  <c r="AX461" i="3"/>
  <c r="AU461" i="3"/>
  <c r="AV460" i="3"/>
  <c r="AX460" i="3"/>
  <c r="AU460" i="3"/>
  <c r="AV459" i="3"/>
  <c r="AX459" i="3"/>
  <c r="AU459" i="3"/>
  <c r="AV458" i="3"/>
  <c r="AX458" i="3"/>
  <c r="AU458" i="3"/>
  <c r="AV457" i="3"/>
  <c r="AX457" i="3"/>
  <c r="AU457" i="3"/>
  <c r="AV456" i="3"/>
  <c r="AX456" i="3"/>
  <c r="AU456" i="3"/>
  <c r="AV455" i="3"/>
  <c r="AX455" i="3"/>
  <c r="AU455" i="3"/>
  <c r="AV454" i="3"/>
  <c r="AX454" i="3"/>
  <c r="AU454" i="3"/>
  <c r="AV453" i="3"/>
  <c r="AX453" i="3"/>
  <c r="AU453" i="3"/>
  <c r="AV452" i="3"/>
  <c r="AX452" i="3"/>
  <c r="AU452" i="3"/>
  <c r="AV451" i="3"/>
  <c r="AX451" i="3"/>
  <c r="AU451" i="3"/>
  <c r="AV450" i="3"/>
  <c r="AX450" i="3"/>
  <c r="AU450" i="3"/>
  <c r="AV449" i="3"/>
  <c r="AX449" i="3"/>
  <c r="AU449" i="3"/>
  <c r="AV448" i="3"/>
  <c r="AX448" i="3"/>
  <c r="AU448" i="3"/>
  <c r="AV447" i="3"/>
  <c r="AX447" i="3"/>
  <c r="AU447" i="3"/>
  <c r="AV446" i="3"/>
  <c r="AX446" i="3"/>
  <c r="AU446" i="3"/>
  <c r="AV445" i="3"/>
  <c r="AX445" i="3"/>
  <c r="AU445" i="3"/>
  <c r="AV444" i="3"/>
  <c r="AX444" i="3"/>
  <c r="AU444" i="3"/>
  <c r="AV443" i="3"/>
  <c r="AX443" i="3"/>
  <c r="AU443" i="3"/>
  <c r="AV442" i="3"/>
  <c r="AX442" i="3"/>
  <c r="AU442" i="3"/>
  <c r="AV441" i="3"/>
  <c r="AX441" i="3"/>
  <c r="AU441" i="3"/>
  <c r="AV440" i="3"/>
  <c r="AX440" i="3"/>
  <c r="AU440" i="3"/>
  <c r="AV439" i="3"/>
  <c r="AX439" i="3"/>
  <c r="AU439" i="3"/>
  <c r="AV438" i="3"/>
  <c r="AX438" i="3"/>
  <c r="AU438" i="3"/>
  <c r="AV437" i="3"/>
  <c r="AX437" i="3"/>
  <c r="AU437" i="3"/>
  <c r="AV436" i="3"/>
  <c r="AX436" i="3"/>
  <c r="AU436" i="3"/>
  <c r="AV435" i="3"/>
  <c r="AX435" i="3"/>
  <c r="AU435" i="3"/>
  <c r="AV434" i="3"/>
  <c r="AX434" i="3"/>
  <c r="AU434" i="3"/>
  <c r="AV433" i="3"/>
  <c r="AX433" i="3"/>
  <c r="AU433" i="3"/>
  <c r="AV432" i="3"/>
  <c r="AX432" i="3"/>
  <c r="AU432" i="3"/>
  <c r="AV431" i="3"/>
  <c r="AX431" i="3"/>
  <c r="AU431" i="3"/>
  <c r="AV430" i="3"/>
  <c r="AX430" i="3"/>
  <c r="AU430" i="3"/>
  <c r="AV429" i="3"/>
  <c r="AX429" i="3"/>
  <c r="AU429" i="3"/>
  <c r="AV428" i="3"/>
  <c r="AX428" i="3"/>
  <c r="AU428" i="3"/>
  <c r="AV427" i="3"/>
  <c r="AX427" i="3"/>
  <c r="AU427" i="3"/>
  <c r="AV426" i="3"/>
  <c r="AX426" i="3"/>
  <c r="AU426" i="3"/>
  <c r="AV425" i="3"/>
  <c r="AX425" i="3"/>
  <c r="AU425" i="3"/>
  <c r="AV424" i="3"/>
  <c r="AX424" i="3"/>
  <c r="AU424" i="3"/>
  <c r="AV423" i="3"/>
  <c r="AX423" i="3"/>
  <c r="AU423" i="3"/>
  <c r="AV422" i="3"/>
  <c r="AX422" i="3"/>
  <c r="AU422" i="3"/>
  <c r="AV421" i="3"/>
  <c r="AX421" i="3"/>
  <c r="AU421" i="3"/>
  <c r="AV420" i="3"/>
  <c r="AX420" i="3"/>
  <c r="AU420" i="3"/>
  <c r="AV419" i="3"/>
  <c r="AX419" i="3"/>
  <c r="AU419" i="3"/>
  <c r="AV418" i="3"/>
  <c r="AX418" i="3"/>
  <c r="AU418" i="3"/>
  <c r="AV417" i="3"/>
  <c r="AX417" i="3"/>
  <c r="AU417" i="3"/>
  <c r="AV416" i="3"/>
  <c r="AX416" i="3"/>
  <c r="AU416" i="3"/>
  <c r="AV415" i="3"/>
  <c r="AX415" i="3"/>
  <c r="AU415" i="3"/>
  <c r="AV414" i="3"/>
  <c r="AX414" i="3"/>
  <c r="AU414" i="3"/>
  <c r="AV413" i="3"/>
  <c r="AX413" i="3"/>
  <c r="AU413" i="3"/>
  <c r="AV412" i="3"/>
  <c r="AX412" i="3"/>
  <c r="AU412" i="3"/>
  <c r="AV411" i="3"/>
  <c r="AX411" i="3"/>
  <c r="AU411" i="3"/>
  <c r="AV410" i="3"/>
  <c r="AX410" i="3"/>
  <c r="AU410" i="3"/>
  <c r="AV409" i="3"/>
  <c r="AX409" i="3"/>
  <c r="AU409" i="3"/>
  <c r="AV408" i="3"/>
  <c r="AX408" i="3"/>
  <c r="AU408" i="3"/>
  <c r="AV407" i="3"/>
  <c r="AX407" i="3"/>
  <c r="AU407" i="3"/>
  <c r="AV406" i="3"/>
  <c r="AX406" i="3"/>
  <c r="AU406" i="3"/>
  <c r="AV405" i="3"/>
  <c r="AX405" i="3"/>
  <c r="AU405" i="3"/>
  <c r="AV404" i="3"/>
  <c r="AX404" i="3"/>
  <c r="AU404" i="3"/>
  <c r="AV403" i="3"/>
  <c r="AX403" i="3"/>
  <c r="AU403" i="3"/>
  <c r="AV402" i="3"/>
  <c r="AX402" i="3"/>
  <c r="AU402" i="3"/>
  <c r="AV401" i="3"/>
  <c r="AX401" i="3"/>
  <c r="AU401" i="3"/>
  <c r="AV400" i="3"/>
  <c r="AX400" i="3"/>
  <c r="AU400" i="3"/>
  <c r="AV399" i="3"/>
  <c r="AX399" i="3"/>
  <c r="AU399" i="3"/>
  <c r="AV398" i="3"/>
  <c r="AX398" i="3"/>
  <c r="AU398" i="3"/>
  <c r="AV397" i="3"/>
  <c r="AX397" i="3"/>
  <c r="AU397" i="3"/>
  <c r="AV396" i="3"/>
  <c r="AX396" i="3"/>
  <c r="AU396" i="3"/>
  <c r="AV395" i="3"/>
  <c r="AX395" i="3"/>
  <c r="AU395" i="3"/>
  <c r="AV394" i="3"/>
  <c r="AX394" i="3"/>
  <c r="AU394" i="3"/>
  <c r="AV393" i="3"/>
  <c r="AX393" i="3"/>
  <c r="AU393" i="3"/>
  <c r="AV392" i="3"/>
  <c r="AX392" i="3"/>
  <c r="AU392" i="3"/>
  <c r="AV391" i="3"/>
  <c r="AX391" i="3"/>
  <c r="AU391" i="3"/>
  <c r="AV390" i="3"/>
  <c r="AX390" i="3"/>
  <c r="AU390" i="3"/>
  <c r="AV389" i="3"/>
  <c r="AX389" i="3"/>
  <c r="AU389" i="3"/>
  <c r="AV388" i="3"/>
  <c r="AX388" i="3"/>
  <c r="AU388" i="3"/>
  <c r="AV387" i="3"/>
  <c r="AX387" i="3"/>
  <c r="AU387" i="3"/>
  <c r="AV386" i="3"/>
  <c r="AX386" i="3"/>
  <c r="AU386" i="3"/>
  <c r="AV385" i="3"/>
  <c r="AX385" i="3"/>
  <c r="AU385" i="3"/>
  <c r="AV384" i="3"/>
  <c r="AX384" i="3"/>
  <c r="AU384" i="3"/>
  <c r="AV383" i="3"/>
  <c r="AX383" i="3"/>
  <c r="AU383" i="3"/>
  <c r="AV382" i="3"/>
  <c r="AX382" i="3"/>
  <c r="AU382" i="3"/>
  <c r="AV381" i="3"/>
  <c r="AX381" i="3"/>
  <c r="AU381" i="3"/>
  <c r="AV380" i="3"/>
  <c r="AX380" i="3"/>
  <c r="AU380" i="3"/>
  <c r="AV379" i="3"/>
  <c r="AX379" i="3"/>
  <c r="AU379" i="3"/>
  <c r="AV378" i="3"/>
  <c r="AX378" i="3"/>
  <c r="AU378" i="3"/>
  <c r="AV377" i="3"/>
  <c r="AX377" i="3"/>
  <c r="AU377" i="3"/>
  <c r="AV376" i="3"/>
  <c r="AX376" i="3"/>
  <c r="AU376" i="3"/>
  <c r="AV375" i="3"/>
  <c r="AX375" i="3"/>
  <c r="AU375" i="3"/>
  <c r="AV374" i="3"/>
  <c r="AX374" i="3"/>
  <c r="AU374" i="3"/>
  <c r="AV373" i="3"/>
  <c r="AX373" i="3"/>
  <c r="AU373" i="3"/>
  <c r="AV372" i="3"/>
  <c r="AX372" i="3"/>
  <c r="AU372" i="3"/>
  <c r="AV371" i="3"/>
  <c r="AX371" i="3"/>
  <c r="AU371" i="3"/>
  <c r="AV370" i="3"/>
  <c r="AX370" i="3"/>
  <c r="AU370" i="3"/>
  <c r="AV369" i="3"/>
  <c r="AX369" i="3"/>
  <c r="AU369" i="3"/>
  <c r="AV368" i="3"/>
  <c r="AX368" i="3"/>
  <c r="AU368" i="3"/>
  <c r="AV367" i="3"/>
  <c r="AX367" i="3"/>
  <c r="AU367" i="3"/>
  <c r="AV366" i="3"/>
  <c r="AX366" i="3"/>
  <c r="AU366" i="3"/>
  <c r="AV365" i="3"/>
  <c r="AX365" i="3"/>
  <c r="AU365" i="3"/>
  <c r="AV364" i="3"/>
  <c r="AX364" i="3"/>
  <c r="AU364" i="3"/>
  <c r="AV363" i="3"/>
  <c r="AX363" i="3"/>
  <c r="AU363" i="3"/>
  <c r="AV362" i="3"/>
  <c r="AX362" i="3"/>
  <c r="AU362" i="3"/>
  <c r="AV361" i="3"/>
  <c r="AX361" i="3"/>
  <c r="AU361" i="3"/>
  <c r="AV360" i="3"/>
  <c r="AX360" i="3"/>
  <c r="AU360" i="3"/>
  <c r="AV359" i="3"/>
  <c r="AX359" i="3"/>
  <c r="AU359" i="3"/>
  <c r="AV358" i="3"/>
  <c r="AX358" i="3"/>
  <c r="AU358" i="3"/>
  <c r="AV357" i="3"/>
  <c r="AX357" i="3"/>
  <c r="AU357" i="3"/>
  <c r="AV356" i="3"/>
  <c r="AX356" i="3"/>
  <c r="AU356" i="3"/>
  <c r="AV355" i="3"/>
  <c r="AX355" i="3"/>
  <c r="AU355" i="3"/>
  <c r="AV354" i="3"/>
  <c r="AX354" i="3"/>
  <c r="AU354" i="3"/>
  <c r="AV353" i="3"/>
  <c r="AX353" i="3"/>
  <c r="AU353" i="3"/>
  <c r="AV352" i="3"/>
  <c r="AX352" i="3"/>
  <c r="AU352" i="3"/>
  <c r="AV351" i="3"/>
  <c r="AX351" i="3"/>
  <c r="AU351" i="3"/>
  <c r="AV350" i="3"/>
  <c r="AX350" i="3"/>
  <c r="AU350" i="3"/>
  <c r="AV349" i="3"/>
  <c r="AX349" i="3"/>
  <c r="AU349" i="3"/>
  <c r="AV348" i="3"/>
  <c r="AX348" i="3"/>
  <c r="AU348" i="3"/>
  <c r="AV347" i="3"/>
  <c r="AX347" i="3"/>
  <c r="AU347" i="3"/>
  <c r="AV346" i="3"/>
  <c r="AX346" i="3"/>
  <c r="AU346" i="3"/>
  <c r="AV345" i="3"/>
  <c r="AX345" i="3"/>
  <c r="AU345" i="3"/>
  <c r="AV344" i="3"/>
  <c r="AX344" i="3"/>
  <c r="AU344" i="3"/>
  <c r="AV343" i="3"/>
  <c r="AX343" i="3"/>
  <c r="AU343" i="3"/>
  <c r="AV342" i="3"/>
  <c r="AX342" i="3"/>
  <c r="AU342" i="3"/>
  <c r="AV341" i="3"/>
  <c r="AX341" i="3"/>
  <c r="AU341" i="3"/>
  <c r="AV340" i="3"/>
  <c r="AX340" i="3"/>
  <c r="AU340" i="3"/>
  <c r="AV339" i="3"/>
  <c r="AX339" i="3"/>
  <c r="AU339" i="3"/>
  <c r="AV338" i="3"/>
  <c r="AX338" i="3"/>
  <c r="AU338" i="3"/>
  <c r="AV337" i="3"/>
  <c r="AX337" i="3"/>
  <c r="AU337" i="3"/>
  <c r="AV336" i="3"/>
  <c r="AX336" i="3"/>
  <c r="AU336" i="3"/>
  <c r="AV335" i="3"/>
  <c r="AX335" i="3"/>
  <c r="AU335" i="3"/>
  <c r="AV334" i="3"/>
  <c r="AX334" i="3"/>
  <c r="AU334" i="3"/>
  <c r="AV333" i="3"/>
  <c r="AX333" i="3"/>
  <c r="AU333" i="3"/>
  <c r="AV332" i="3"/>
  <c r="AX332" i="3"/>
  <c r="AU332" i="3"/>
  <c r="AV331" i="3"/>
  <c r="AX331" i="3"/>
  <c r="AU331" i="3"/>
  <c r="AV330" i="3"/>
  <c r="AX330" i="3"/>
  <c r="AU330" i="3"/>
  <c r="AV329" i="3"/>
  <c r="AX329" i="3"/>
  <c r="AU329" i="3"/>
  <c r="AV328" i="3"/>
  <c r="AX328" i="3"/>
  <c r="AU328" i="3"/>
  <c r="AV327" i="3"/>
  <c r="AX327" i="3"/>
  <c r="AU327" i="3"/>
  <c r="AV326" i="3"/>
  <c r="AX326" i="3"/>
  <c r="AU326" i="3"/>
  <c r="AV325" i="3"/>
  <c r="AX325" i="3"/>
  <c r="AU325" i="3"/>
  <c r="AV324" i="3"/>
  <c r="AX324" i="3"/>
  <c r="AU324" i="3"/>
  <c r="AV323" i="3"/>
  <c r="AX323" i="3"/>
  <c r="AU323" i="3"/>
  <c r="AV322" i="3"/>
  <c r="AX322" i="3"/>
  <c r="AU322" i="3"/>
  <c r="AV321" i="3"/>
  <c r="AX321" i="3"/>
  <c r="AU321" i="3"/>
  <c r="AV320" i="3"/>
  <c r="AX320" i="3"/>
  <c r="AU320" i="3"/>
  <c r="AV319" i="3"/>
  <c r="AX319" i="3"/>
  <c r="AU319" i="3"/>
  <c r="AV318" i="3"/>
  <c r="AX318" i="3"/>
  <c r="AU318" i="3"/>
  <c r="AV317" i="3"/>
  <c r="AX317" i="3"/>
  <c r="AU317" i="3"/>
  <c r="AV316" i="3"/>
  <c r="AX316" i="3"/>
  <c r="AU316" i="3"/>
  <c r="AV315" i="3"/>
  <c r="AX315" i="3"/>
  <c r="AU315" i="3"/>
  <c r="AV314" i="3"/>
  <c r="AX314" i="3"/>
  <c r="AU314" i="3"/>
  <c r="AV313" i="3"/>
  <c r="AX313" i="3"/>
  <c r="AU313" i="3"/>
  <c r="AV312" i="3"/>
  <c r="AX312" i="3"/>
  <c r="AU312" i="3"/>
  <c r="AV311" i="3"/>
  <c r="AX311" i="3"/>
  <c r="AU311" i="3"/>
  <c r="AV310" i="3"/>
  <c r="AX310" i="3"/>
  <c r="AU310" i="3"/>
  <c r="AV309" i="3"/>
  <c r="AX309" i="3"/>
  <c r="AU309" i="3"/>
  <c r="AV308" i="3"/>
  <c r="AX308" i="3"/>
  <c r="AU308" i="3"/>
  <c r="AV307" i="3"/>
  <c r="AX307" i="3"/>
  <c r="AU307" i="3"/>
  <c r="AV306" i="3"/>
  <c r="AX306" i="3"/>
  <c r="AU306" i="3"/>
  <c r="AV305" i="3"/>
  <c r="AX305" i="3"/>
  <c r="AU305" i="3"/>
  <c r="AV304" i="3"/>
  <c r="AX304" i="3"/>
  <c r="AU304" i="3"/>
  <c r="AV303" i="3"/>
  <c r="AX303" i="3"/>
  <c r="AU303" i="3"/>
  <c r="AV302" i="3"/>
  <c r="AX302" i="3"/>
  <c r="AU302" i="3"/>
  <c r="AV301" i="3"/>
  <c r="AX301" i="3"/>
  <c r="AU301" i="3"/>
  <c r="AV300" i="3"/>
  <c r="AX300" i="3"/>
  <c r="AU300" i="3"/>
  <c r="AV299" i="3"/>
  <c r="AX299" i="3"/>
  <c r="AU299" i="3"/>
  <c r="AV298" i="3"/>
  <c r="AX298" i="3"/>
  <c r="AU298" i="3"/>
  <c r="AV297" i="3"/>
  <c r="AX297" i="3"/>
  <c r="AU297" i="3"/>
  <c r="AV296" i="3"/>
  <c r="AX296" i="3"/>
  <c r="AU296" i="3"/>
  <c r="AV295" i="3"/>
  <c r="AX295" i="3"/>
  <c r="AU295" i="3"/>
  <c r="AV294" i="3"/>
  <c r="AX294" i="3"/>
  <c r="AU294" i="3"/>
  <c r="AV293" i="3"/>
  <c r="AX293" i="3"/>
  <c r="AU293" i="3"/>
  <c r="AV292" i="3"/>
  <c r="AX292" i="3"/>
  <c r="AU292" i="3"/>
  <c r="AV291" i="3"/>
  <c r="AX291" i="3"/>
  <c r="AU291" i="3"/>
  <c r="AV290" i="3"/>
  <c r="AX290" i="3"/>
  <c r="AU290" i="3"/>
  <c r="AV289" i="3"/>
  <c r="AX289" i="3"/>
  <c r="AU289" i="3"/>
  <c r="AV288" i="3"/>
  <c r="AX288" i="3"/>
  <c r="AU288" i="3"/>
  <c r="AV287" i="3"/>
  <c r="AX287" i="3"/>
  <c r="AU287" i="3"/>
  <c r="AV286" i="3"/>
  <c r="AX286" i="3"/>
  <c r="AU286" i="3"/>
  <c r="AV285" i="3"/>
  <c r="AX285" i="3"/>
  <c r="AU285" i="3"/>
  <c r="AV284" i="3"/>
  <c r="AX284" i="3"/>
  <c r="AU284" i="3"/>
  <c r="AV283" i="3"/>
  <c r="AX283" i="3"/>
  <c r="AU283" i="3"/>
  <c r="AV282" i="3"/>
  <c r="AX282" i="3"/>
  <c r="AU282" i="3"/>
  <c r="AV281" i="3"/>
  <c r="AX281" i="3"/>
  <c r="AU281" i="3"/>
  <c r="AV280" i="3"/>
  <c r="AX280" i="3"/>
  <c r="AU280" i="3"/>
  <c r="AV279" i="3"/>
  <c r="AX279" i="3"/>
  <c r="AU279" i="3"/>
  <c r="AV278" i="3"/>
  <c r="AX278" i="3"/>
  <c r="AU278" i="3"/>
  <c r="AV277" i="3"/>
  <c r="AX277" i="3"/>
  <c r="AU277" i="3"/>
  <c r="AV276" i="3"/>
  <c r="AX276" i="3"/>
  <c r="AU276" i="3"/>
  <c r="AV275" i="3"/>
  <c r="AX275" i="3"/>
  <c r="AU275" i="3"/>
  <c r="AV274" i="3"/>
  <c r="AX274" i="3"/>
  <c r="AU274" i="3"/>
  <c r="AV273" i="3"/>
  <c r="AX273" i="3"/>
  <c r="AU273" i="3"/>
  <c r="AV272" i="3"/>
  <c r="AX272" i="3"/>
  <c r="AU272" i="3"/>
  <c r="AV271" i="3"/>
  <c r="AX271" i="3"/>
  <c r="AU271" i="3"/>
  <c r="AV270" i="3"/>
  <c r="AX270" i="3"/>
  <c r="AU270" i="3"/>
  <c r="AV269" i="3"/>
  <c r="AX269" i="3"/>
  <c r="AU269" i="3"/>
  <c r="AV268" i="3"/>
  <c r="AX268" i="3"/>
  <c r="AU268" i="3"/>
  <c r="AV267" i="3"/>
  <c r="AX267" i="3"/>
  <c r="AU267" i="3"/>
  <c r="AV266" i="3"/>
  <c r="AX266" i="3"/>
  <c r="AU266" i="3"/>
  <c r="AV265" i="3"/>
  <c r="AX265" i="3"/>
  <c r="AU265" i="3"/>
  <c r="AV264" i="3"/>
  <c r="AX264" i="3"/>
  <c r="AU264" i="3"/>
  <c r="AV263" i="3"/>
  <c r="AX263" i="3"/>
  <c r="AU263" i="3"/>
  <c r="AV262" i="3"/>
  <c r="AX262" i="3"/>
  <c r="AU262" i="3"/>
  <c r="AV261" i="3"/>
  <c r="AX261" i="3"/>
  <c r="AU261" i="3"/>
  <c r="AV260" i="3"/>
  <c r="AX260" i="3"/>
  <c r="AU260" i="3"/>
  <c r="AV259" i="3"/>
  <c r="AX259" i="3"/>
  <c r="AU259" i="3"/>
  <c r="AV258" i="3"/>
  <c r="AX258" i="3"/>
  <c r="AU258" i="3"/>
  <c r="AV257" i="3"/>
  <c r="AX257" i="3"/>
  <c r="AU257" i="3"/>
  <c r="AV256" i="3"/>
  <c r="AX256" i="3"/>
  <c r="AU256" i="3"/>
  <c r="AV255" i="3"/>
  <c r="AX255" i="3"/>
  <c r="AU255" i="3"/>
  <c r="AV254" i="3"/>
  <c r="AX254" i="3"/>
  <c r="AU254" i="3"/>
  <c r="AV253" i="3"/>
  <c r="AX253" i="3"/>
  <c r="AU253" i="3"/>
  <c r="AV252" i="3"/>
  <c r="AX252" i="3"/>
  <c r="AU252" i="3"/>
  <c r="AV251" i="3"/>
  <c r="AX251" i="3"/>
  <c r="AU251" i="3"/>
  <c r="AV250" i="3"/>
  <c r="AX250" i="3"/>
  <c r="AU250" i="3"/>
  <c r="AV249" i="3"/>
  <c r="AX249" i="3"/>
  <c r="AU249" i="3"/>
  <c r="AV248" i="3"/>
  <c r="AX248" i="3"/>
  <c r="AU248" i="3"/>
  <c r="AV247" i="3"/>
  <c r="AX247" i="3"/>
  <c r="AU247" i="3"/>
  <c r="AV246" i="3"/>
  <c r="AX246" i="3"/>
  <c r="AU246" i="3"/>
  <c r="AV245" i="3"/>
  <c r="AX245" i="3"/>
  <c r="AU245" i="3"/>
  <c r="AV244" i="3"/>
  <c r="AX244" i="3"/>
  <c r="AU244" i="3"/>
  <c r="AV243" i="3"/>
  <c r="AX243" i="3"/>
  <c r="AU243" i="3"/>
  <c r="AV242" i="3"/>
  <c r="AX242" i="3"/>
  <c r="AU242" i="3"/>
  <c r="AV241" i="3"/>
  <c r="AX241" i="3"/>
  <c r="AU241" i="3"/>
  <c r="AV240" i="3"/>
  <c r="AX240" i="3"/>
  <c r="AU240" i="3"/>
  <c r="AV239" i="3"/>
  <c r="AX239" i="3"/>
  <c r="AU239" i="3"/>
  <c r="AV238" i="3"/>
  <c r="AX238" i="3"/>
  <c r="AU238" i="3"/>
  <c r="AV237" i="3"/>
  <c r="AX237" i="3"/>
  <c r="AU237" i="3"/>
  <c r="AV236" i="3"/>
  <c r="AX236" i="3"/>
  <c r="AU236" i="3"/>
  <c r="AV235" i="3"/>
  <c r="AX235" i="3"/>
  <c r="AU235" i="3"/>
  <c r="AV234" i="3"/>
  <c r="AX234" i="3"/>
  <c r="AU234" i="3"/>
  <c r="AV233" i="3"/>
  <c r="AX233" i="3"/>
  <c r="AU233" i="3"/>
  <c r="AV232" i="3"/>
  <c r="AX232" i="3"/>
  <c r="AU232" i="3"/>
  <c r="AV231" i="3"/>
  <c r="AX231" i="3"/>
  <c r="AU231" i="3"/>
  <c r="AV230" i="3"/>
  <c r="AX230" i="3"/>
  <c r="AU230" i="3"/>
  <c r="AV229" i="3"/>
  <c r="AX229" i="3"/>
  <c r="AU229" i="3"/>
  <c r="AV228" i="3"/>
  <c r="AX228" i="3"/>
  <c r="AU228" i="3"/>
  <c r="AV227" i="3"/>
  <c r="AX227" i="3"/>
  <c r="AU227" i="3"/>
  <c r="AV226" i="3"/>
  <c r="AX226" i="3"/>
  <c r="AU226" i="3"/>
  <c r="AV225" i="3"/>
  <c r="AX225" i="3"/>
  <c r="AU225" i="3"/>
  <c r="AV224" i="3"/>
  <c r="AX224" i="3"/>
  <c r="AU224" i="3"/>
  <c r="AV223" i="3"/>
  <c r="AX223" i="3"/>
  <c r="AU223" i="3"/>
  <c r="AV222" i="3"/>
  <c r="AX222" i="3"/>
  <c r="AU222" i="3"/>
  <c r="AV221" i="3"/>
  <c r="AX221" i="3"/>
  <c r="AU221" i="3"/>
  <c r="AV220" i="3"/>
  <c r="AX220" i="3"/>
  <c r="AU220" i="3"/>
  <c r="AV219" i="3"/>
  <c r="AX219" i="3"/>
  <c r="AU219" i="3"/>
  <c r="AV218" i="3"/>
  <c r="AX218" i="3"/>
  <c r="AU218" i="3"/>
  <c r="AV217" i="3"/>
  <c r="AX217" i="3"/>
  <c r="AU217" i="3"/>
  <c r="AV216" i="3"/>
  <c r="AX216" i="3"/>
  <c r="AU216" i="3"/>
  <c r="AV215" i="3"/>
  <c r="AX215" i="3"/>
  <c r="AU215" i="3"/>
  <c r="AV214" i="3"/>
  <c r="AX214" i="3"/>
  <c r="AU214" i="3"/>
  <c r="AV213" i="3"/>
  <c r="AX213" i="3"/>
  <c r="AU213" i="3"/>
  <c r="AV212" i="3"/>
  <c r="AX212" i="3"/>
  <c r="AU212" i="3"/>
  <c r="AV211" i="3"/>
  <c r="AX211" i="3"/>
  <c r="AU211" i="3"/>
  <c r="AV210" i="3"/>
  <c r="AX210" i="3"/>
  <c r="AU210" i="3"/>
  <c r="AV209" i="3"/>
  <c r="AX209" i="3"/>
  <c r="AU209" i="3"/>
  <c r="AV208" i="3"/>
  <c r="AX208" i="3"/>
  <c r="AU208" i="3"/>
  <c r="AV207" i="3"/>
  <c r="AX207" i="3"/>
  <c r="AU207" i="3"/>
  <c r="AV206" i="3"/>
  <c r="AX206" i="3"/>
  <c r="AU206" i="3"/>
  <c r="AV205" i="3"/>
  <c r="AX205" i="3"/>
  <c r="AU205" i="3"/>
  <c r="AV204" i="3"/>
  <c r="AX204" i="3"/>
  <c r="AU204" i="3"/>
  <c r="AV203" i="3"/>
  <c r="AX203" i="3"/>
  <c r="AU203" i="3"/>
  <c r="AV202" i="3"/>
  <c r="AX202" i="3"/>
  <c r="AU202" i="3"/>
  <c r="AV201" i="3"/>
  <c r="AX201" i="3"/>
  <c r="AU201" i="3"/>
  <c r="AV200" i="3"/>
  <c r="AX200" i="3"/>
  <c r="AU200" i="3"/>
  <c r="AV199" i="3"/>
  <c r="AX199" i="3"/>
  <c r="AU199" i="3"/>
  <c r="AV198" i="3"/>
  <c r="AX198" i="3"/>
  <c r="AU198" i="3"/>
  <c r="AV197" i="3"/>
  <c r="AX197" i="3"/>
  <c r="AU197" i="3"/>
  <c r="AV196" i="3"/>
  <c r="AX196" i="3"/>
  <c r="AU196" i="3"/>
  <c r="AV195" i="3"/>
  <c r="AX195" i="3"/>
  <c r="AU195" i="3"/>
  <c r="AV194" i="3"/>
  <c r="AX194" i="3"/>
  <c r="AU194" i="3"/>
  <c r="AV193" i="3"/>
  <c r="AX193" i="3"/>
  <c r="AU193" i="3"/>
  <c r="AV192" i="3"/>
  <c r="AX192" i="3"/>
  <c r="AU192" i="3"/>
  <c r="AV191" i="3"/>
  <c r="AX191" i="3"/>
  <c r="AU191" i="3"/>
  <c r="AV190" i="3"/>
  <c r="AX190" i="3"/>
  <c r="AU190" i="3"/>
  <c r="AV189" i="3"/>
  <c r="AX189" i="3"/>
  <c r="AU189" i="3"/>
  <c r="AV188" i="3"/>
  <c r="AX188" i="3"/>
  <c r="AU188" i="3"/>
  <c r="AV187" i="3"/>
  <c r="AX187" i="3"/>
  <c r="AU187" i="3"/>
  <c r="AV186" i="3"/>
  <c r="AX186" i="3"/>
  <c r="AU186" i="3"/>
  <c r="AV185" i="3"/>
  <c r="AX185" i="3"/>
  <c r="AU185" i="3"/>
  <c r="AV184" i="3"/>
  <c r="AX184" i="3"/>
  <c r="AU184" i="3"/>
  <c r="AV183" i="3"/>
  <c r="AX183" i="3"/>
  <c r="AU183" i="3"/>
  <c r="AV182" i="3"/>
  <c r="AX182" i="3"/>
  <c r="AU182" i="3"/>
  <c r="AV181" i="3"/>
  <c r="AX181" i="3"/>
  <c r="AU181" i="3"/>
  <c r="AV180" i="3"/>
  <c r="AX180" i="3"/>
  <c r="AU180" i="3"/>
  <c r="AV179" i="3"/>
  <c r="AX179" i="3"/>
  <c r="AU179" i="3"/>
  <c r="AV178" i="3"/>
  <c r="AX178" i="3"/>
  <c r="AU178" i="3"/>
  <c r="AV177" i="3"/>
  <c r="AX177" i="3"/>
  <c r="AU177" i="3"/>
  <c r="AV176" i="3"/>
  <c r="AX176" i="3"/>
  <c r="AU176" i="3"/>
  <c r="AV175" i="3"/>
  <c r="AX175" i="3"/>
  <c r="AU175" i="3"/>
  <c r="AV174" i="3"/>
  <c r="AX174" i="3"/>
  <c r="AU174" i="3"/>
  <c r="AV173" i="3"/>
  <c r="AX173" i="3"/>
  <c r="AU173" i="3"/>
  <c r="AV172" i="3"/>
  <c r="AX172" i="3"/>
  <c r="AU172" i="3"/>
  <c r="AV171" i="3"/>
  <c r="AX171" i="3"/>
  <c r="AU171" i="3"/>
  <c r="AV170" i="3"/>
  <c r="AX170" i="3"/>
  <c r="AU170" i="3"/>
  <c r="AV169" i="3"/>
  <c r="AX169" i="3"/>
  <c r="AU169" i="3"/>
  <c r="AV168" i="3"/>
  <c r="AX168" i="3"/>
  <c r="AU168" i="3"/>
  <c r="AV167" i="3"/>
  <c r="AX167" i="3"/>
  <c r="AU167" i="3"/>
  <c r="AV166" i="3"/>
  <c r="AX166" i="3"/>
  <c r="AU166" i="3"/>
  <c r="AV165" i="3"/>
  <c r="AX165" i="3"/>
  <c r="AU165" i="3"/>
  <c r="AV164" i="3"/>
  <c r="AX164" i="3"/>
  <c r="AU164" i="3"/>
  <c r="AV163" i="3"/>
  <c r="AX163" i="3"/>
  <c r="AU163" i="3"/>
  <c r="AV162" i="3"/>
  <c r="AX162" i="3"/>
  <c r="AU162" i="3"/>
  <c r="AV161" i="3"/>
  <c r="AX161" i="3"/>
  <c r="AU161" i="3"/>
  <c r="AV160" i="3"/>
  <c r="AX160" i="3"/>
  <c r="AU160" i="3"/>
  <c r="AV159" i="3"/>
  <c r="AX159" i="3"/>
  <c r="AU159" i="3"/>
  <c r="AV158" i="3"/>
  <c r="AX158" i="3"/>
  <c r="AU158" i="3"/>
  <c r="AV157" i="3"/>
  <c r="AX157" i="3"/>
  <c r="AU157" i="3"/>
  <c r="AV156" i="3"/>
  <c r="AX156" i="3"/>
  <c r="AU156" i="3"/>
  <c r="AV155" i="3"/>
  <c r="AX155" i="3"/>
  <c r="AU155" i="3"/>
  <c r="AV154" i="3"/>
  <c r="AX154" i="3"/>
  <c r="AU154" i="3"/>
  <c r="AV153" i="3"/>
  <c r="AX153" i="3"/>
  <c r="AU153" i="3"/>
  <c r="AV152" i="3"/>
  <c r="AX152" i="3"/>
  <c r="AU152" i="3"/>
  <c r="AV151" i="3"/>
  <c r="AX151" i="3"/>
  <c r="AU151" i="3"/>
  <c r="AV150" i="3"/>
  <c r="AX150" i="3"/>
  <c r="AU150" i="3"/>
  <c r="AV149" i="3"/>
  <c r="AX149" i="3"/>
  <c r="AU149" i="3"/>
  <c r="AV148" i="3"/>
  <c r="AX148" i="3"/>
  <c r="AU148" i="3"/>
  <c r="AV147" i="3"/>
  <c r="AX147" i="3"/>
  <c r="AU147" i="3"/>
  <c r="AV146" i="3"/>
  <c r="AX146" i="3"/>
  <c r="AU146" i="3"/>
  <c r="AV145" i="3"/>
  <c r="AX145" i="3"/>
  <c r="AU145" i="3"/>
  <c r="AV144" i="3"/>
  <c r="AX144" i="3"/>
  <c r="AU144" i="3"/>
  <c r="AV143" i="3"/>
  <c r="AX143" i="3"/>
  <c r="AU143" i="3"/>
  <c r="AV142" i="3"/>
  <c r="AX142" i="3"/>
  <c r="AU142" i="3"/>
  <c r="AV141" i="3"/>
  <c r="AX141" i="3"/>
  <c r="AU141" i="3"/>
  <c r="AV140" i="3"/>
  <c r="AX140" i="3"/>
  <c r="AU140" i="3"/>
  <c r="AV139" i="3"/>
  <c r="AX139" i="3"/>
  <c r="AU139" i="3"/>
  <c r="AV138" i="3"/>
  <c r="AX138" i="3"/>
  <c r="AU138" i="3"/>
  <c r="AV137" i="3"/>
  <c r="AX137" i="3"/>
  <c r="AU137" i="3"/>
  <c r="AV136" i="3"/>
  <c r="AX136" i="3"/>
  <c r="AU136" i="3"/>
  <c r="AV135" i="3"/>
  <c r="AX135" i="3"/>
  <c r="AU135" i="3"/>
  <c r="AV134" i="3"/>
  <c r="AX134" i="3"/>
  <c r="AU134" i="3"/>
  <c r="AV133" i="3"/>
  <c r="AX133" i="3"/>
  <c r="AU133" i="3"/>
  <c r="AV132" i="3"/>
  <c r="AX132" i="3"/>
  <c r="AU132" i="3"/>
  <c r="AV131" i="3"/>
  <c r="AX131" i="3"/>
  <c r="AU131" i="3"/>
  <c r="AV130" i="3"/>
  <c r="AX130" i="3"/>
  <c r="AU130" i="3"/>
  <c r="AV129" i="3"/>
  <c r="AX129" i="3"/>
  <c r="AU129" i="3"/>
  <c r="AV128" i="3"/>
  <c r="AX128" i="3"/>
  <c r="AU128" i="3"/>
  <c r="AV127" i="3"/>
  <c r="AX127" i="3"/>
  <c r="AU127" i="3"/>
  <c r="AV126" i="3"/>
  <c r="AX126" i="3"/>
  <c r="AU126" i="3"/>
  <c r="AV125" i="3"/>
  <c r="AX125" i="3"/>
  <c r="AU125" i="3"/>
  <c r="AV124" i="3"/>
  <c r="AX124" i="3"/>
  <c r="AU124" i="3"/>
  <c r="AV123" i="3"/>
  <c r="AX123" i="3"/>
  <c r="AU123" i="3"/>
  <c r="AV122" i="3"/>
  <c r="AX122" i="3"/>
  <c r="AU122" i="3"/>
  <c r="AV121" i="3"/>
  <c r="AX121" i="3"/>
  <c r="AU121" i="3"/>
  <c r="AV120" i="3"/>
  <c r="AX120" i="3"/>
  <c r="AU120" i="3"/>
  <c r="AV119" i="3"/>
  <c r="AX119" i="3"/>
  <c r="AU119" i="3"/>
  <c r="AV118" i="3"/>
  <c r="AX118" i="3"/>
  <c r="AU118" i="3"/>
  <c r="AV117" i="3"/>
  <c r="AX117" i="3"/>
  <c r="AU117" i="3"/>
  <c r="AV116" i="3"/>
  <c r="AX116" i="3"/>
  <c r="AU116" i="3"/>
  <c r="AV115" i="3"/>
  <c r="AX115" i="3"/>
  <c r="AU115" i="3"/>
  <c r="AV114" i="3"/>
  <c r="AX114" i="3"/>
  <c r="AU114" i="3"/>
  <c r="AV113" i="3"/>
  <c r="AX113" i="3"/>
  <c r="AU113" i="3"/>
  <c r="AV112" i="3"/>
  <c r="AX112" i="3"/>
  <c r="AU112" i="3"/>
  <c r="AV111" i="3"/>
  <c r="AX111" i="3"/>
  <c r="AU111" i="3"/>
  <c r="AV110" i="3"/>
  <c r="AX110" i="3"/>
  <c r="AU110" i="3"/>
  <c r="AV109" i="3"/>
  <c r="AX109" i="3"/>
  <c r="AU109" i="3"/>
  <c r="AV108" i="3"/>
  <c r="AX108" i="3"/>
  <c r="AU108" i="3"/>
  <c r="AV107" i="3"/>
  <c r="AX107" i="3"/>
  <c r="AU107" i="3"/>
  <c r="AV106" i="3"/>
  <c r="AX106" i="3"/>
  <c r="AU106" i="3"/>
  <c r="AV105" i="3"/>
  <c r="AX105" i="3"/>
  <c r="AU105" i="3"/>
  <c r="AV104" i="3"/>
  <c r="AX104" i="3"/>
  <c r="AU104" i="3"/>
  <c r="AV103" i="3"/>
  <c r="AX103" i="3"/>
  <c r="AU103" i="3"/>
  <c r="AV102" i="3"/>
  <c r="AX102" i="3"/>
  <c r="AU102" i="3"/>
  <c r="AV101" i="3"/>
  <c r="AX101" i="3"/>
  <c r="AU101" i="3"/>
  <c r="AV100" i="3"/>
  <c r="AX100" i="3"/>
  <c r="AU100" i="3"/>
  <c r="AV99" i="3"/>
  <c r="AX99" i="3"/>
  <c r="AU99" i="3"/>
  <c r="AV98" i="3"/>
  <c r="AX98" i="3"/>
  <c r="AU98" i="3"/>
  <c r="AV97" i="3"/>
  <c r="AX97" i="3"/>
  <c r="AU97" i="3"/>
  <c r="AV96" i="3"/>
  <c r="AX96" i="3"/>
  <c r="AU96" i="3"/>
  <c r="AV95" i="3"/>
  <c r="AX95" i="3"/>
  <c r="AU95" i="3"/>
  <c r="AV94" i="3"/>
  <c r="AX94" i="3"/>
  <c r="AU94" i="3"/>
  <c r="AV93" i="3"/>
  <c r="AX93" i="3"/>
  <c r="AU93" i="3"/>
  <c r="AV92" i="3"/>
  <c r="AX92" i="3"/>
  <c r="AU92" i="3"/>
  <c r="AV91" i="3"/>
  <c r="AX91" i="3"/>
  <c r="AU91" i="3"/>
  <c r="AV90" i="3"/>
  <c r="AX90" i="3"/>
  <c r="AU90" i="3"/>
  <c r="AV89" i="3"/>
  <c r="AX89" i="3"/>
  <c r="AU89" i="3"/>
  <c r="AV88" i="3"/>
  <c r="AX88" i="3"/>
  <c r="AU88" i="3"/>
  <c r="AV87" i="3"/>
  <c r="AX87" i="3"/>
  <c r="AU87" i="3"/>
  <c r="AV86" i="3"/>
  <c r="AX86" i="3"/>
  <c r="AU86" i="3"/>
  <c r="AV85" i="3"/>
  <c r="AX85" i="3"/>
  <c r="AU85" i="3"/>
  <c r="AV84" i="3"/>
  <c r="AX84" i="3"/>
  <c r="AU84" i="3"/>
  <c r="AV83" i="3"/>
  <c r="AX83" i="3"/>
  <c r="AU83" i="3"/>
  <c r="AV82" i="3"/>
  <c r="AX82" i="3"/>
  <c r="AU82" i="3"/>
  <c r="AV81" i="3"/>
  <c r="AX81" i="3"/>
  <c r="AU81" i="3"/>
  <c r="AV80" i="3"/>
  <c r="AX80" i="3"/>
  <c r="AU80" i="3"/>
  <c r="AV79" i="3"/>
  <c r="AX79" i="3"/>
  <c r="AU79" i="3"/>
  <c r="AV78" i="3"/>
  <c r="AX78" i="3"/>
  <c r="AU78" i="3"/>
  <c r="AV77" i="3"/>
  <c r="AX77" i="3"/>
  <c r="AU77" i="3"/>
  <c r="AV76" i="3"/>
  <c r="AX76" i="3"/>
  <c r="AU76" i="3"/>
  <c r="AV75" i="3"/>
  <c r="AX75" i="3"/>
  <c r="AU75" i="3"/>
  <c r="AV74" i="3"/>
  <c r="AX74" i="3"/>
  <c r="AU74" i="3"/>
  <c r="AV73" i="3"/>
  <c r="AX73" i="3"/>
  <c r="AU73" i="3"/>
  <c r="AV72" i="3"/>
  <c r="AX72" i="3"/>
  <c r="AU72" i="3"/>
  <c r="AV71" i="3"/>
  <c r="AX71" i="3"/>
  <c r="AU71" i="3"/>
  <c r="AV70" i="3"/>
  <c r="AX70" i="3"/>
  <c r="AU70" i="3"/>
  <c r="AV69" i="3"/>
  <c r="AX69" i="3"/>
  <c r="AU69" i="3"/>
  <c r="AV68" i="3"/>
  <c r="AX68" i="3"/>
  <c r="AU68" i="3"/>
  <c r="AV67" i="3"/>
  <c r="AX67" i="3"/>
  <c r="AU67" i="3"/>
  <c r="AV66" i="3"/>
  <c r="AX66" i="3"/>
  <c r="AU66" i="3"/>
  <c r="AV65" i="3"/>
  <c r="AX65" i="3"/>
  <c r="AU65" i="3"/>
  <c r="AV64" i="3"/>
  <c r="AX64" i="3"/>
  <c r="AU64" i="3"/>
  <c r="AV63" i="3"/>
  <c r="AX63" i="3"/>
  <c r="AU63" i="3"/>
  <c r="AV62" i="3"/>
  <c r="AX62" i="3"/>
  <c r="AU62" i="3"/>
  <c r="AV61" i="3"/>
  <c r="AX61" i="3"/>
  <c r="AU61" i="3"/>
  <c r="AV60" i="3"/>
  <c r="AX60" i="3"/>
  <c r="AU60" i="3"/>
  <c r="AV59" i="3"/>
  <c r="AX59" i="3"/>
  <c r="AU59" i="3"/>
  <c r="AV58" i="3"/>
  <c r="AX58" i="3"/>
  <c r="AU58" i="3"/>
  <c r="AV57" i="3"/>
  <c r="AX57" i="3"/>
  <c r="AU57" i="3"/>
  <c r="AV56" i="3"/>
  <c r="AX56" i="3"/>
  <c r="AU56" i="3"/>
  <c r="AV55" i="3"/>
  <c r="AX55" i="3"/>
  <c r="AU55" i="3"/>
  <c r="AV54" i="3"/>
  <c r="AX54" i="3"/>
  <c r="AU54" i="3"/>
  <c r="AV53" i="3"/>
  <c r="AX53" i="3"/>
  <c r="AU53" i="3"/>
  <c r="AV52" i="3"/>
  <c r="AX52" i="3"/>
  <c r="AU52" i="3"/>
  <c r="AV51" i="3"/>
  <c r="AX51" i="3"/>
  <c r="AU51" i="3"/>
  <c r="AV50" i="3"/>
  <c r="AX50" i="3"/>
  <c r="AU50" i="3"/>
  <c r="AV49" i="3"/>
  <c r="AX49" i="3"/>
  <c r="AU49" i="3"/>
  <c r="AV48" i="3"/>
  <c r="AX48" i="3"/>
  <c r="AU48" i="3"/>
  <c r="AV47" i="3"/>
  <c r="AX47" i="3"/>
  <c r="AU47" i="3"/>
  <c r="AV46" i="3"/>
  <c r="AX46" i="3"/>
  <c r="AU46" i="3"/>
  <c r="AV45" i="3"/>
  <c r="AX45" i="3"/>
  <c r="AU45" i="3"/>
  <c r="AV44" i="3"/>
  <c r="AX44" i="3"/>
  <c r="AU44" i="3"/>
  <c r="AV43" i="3"/>
  <c r="AX43" i="3"/>
  <c r="AU43" i="3"/>
  <c r="AV42" i="3"/>
  <c r="AX42" i="3"/>
  <c r="AU42" i="3"/>
  <c r="AV41" i="3"/>
  <c r="AX41" i="3"/>
  <c r="AU41" i="3"/>
  <c r="AV40" i="3"/>
  <c r="AX40" i="3"/>
  <c r="AU40" i="3"/>
  <c r="AV39" i="3"/>
  <c r="AX39" i="3"/>
  <c r="AU39" i="3"/>
  <c r="AV38" i="3"/>
  <c r="AX38" i="3"/>
  <c r="AU38" i="3"/>
  <c r="AV37" i="3"/>
  <c r="AX37" i="3"/>
  <c r="AU37" i="3"/>
  <c r="AV36" i="3"/>
  <c r="AX36" i="3"/>
  <c r="AU36" i="3"/>
  <c r="AV35" i="3"/>
  <c r="AX35" i="3"/>
  <c r="AU35" i="3"/>
  <c r="AV34" i="3"/>
  <c r="AX34" i="3"/>
  <c r="AU34" i="3"/>
  <c r="AV33" i="3"/>
  <c r="AX33" i="3"/>
  <c r="AU33" i="3"/>
  <c r="AV32" i="3"/>
  <c r="AX32" i="3"/>
  <c r="AU32" i="3"/>
  <c r="AV31" i="3"/>
  <c r="AX31" i="3"/>
  <c r="AU31" i="3"/>
  <c r="AV30" i="3"/>
  <c r="AX30" i="3"/>
  <c r="AU30" i="3"/>
  <c r="AV29" i="3"/>
  <c r="AX29" i="3"/>
  <c r="AU29" i="3"/>
  <c r="AV28" i="3"/>
  <c r="AX28" i="3"/>
  <c r="AU28" i="3"/>
  <c r="AV27" i="3"/>
  <c r="AX27" i="3"/>
  <c r="AU27" i="3"/>
  <c r="AV26" i="3"/>
  <c r="AX26" i="3"/>
  <c r="AU26" i="3"/>
  <c r="AV25" i="3"/>
  <c r="AX25" i="3"/>
  <c r="AU25" i="3"/>
  <c r="AV24" i="3"/>
  <c r="AX24" i="3"/>
  <c r="AU24" i="3"/>
  <c r="AV23" i="3"/>
  <c r="AX23" i="3"/>
  <c r="AU23" i="3"/>
  <c r="AV22" i="3"/>
  <c r="AX22" i="3"/>
  <c r="AU22" i="3"/>
  <c r="AV21" i="3"/>
  <c r="AX21" i="3"/>
  <c r="AU21" i="3"/>
  <c r="AV20" i="3"/>
  <c r="AX20" i="3"/>
  <c r="AU20" i="3"/>
  <c r="AV19" i="3"/>
  <c r="AX19" i="3"/>
  <c r="AU19" i="3"/>
  <c r="AV18" i="3"/>
  <c r="AX18" i="3"/>
  <c r="AU18" i="3"/>
  <c r="AV17" i="3"/>
  <c r="AX17" i="3"/>
  <c r="AU17" i="3"/>
  <c r="AV16" i="3"/>
  <c r="AX16" i="3"/>
  <c r="AU16" i="3"/>
  <c r="AV15" i="3"/>
  <c r="AX15" i="3"/>
  <c r="AU15" i="3"/>
  <c r="AV14" i="3"/>
  <c r="AX14" i="3"/>
  <c r="AU14" i="3"/>
  <c r="AV13" i="3"/>
  <c r="AX13" i="3"/>
  <c r="AU13" i="3"/>
  <c r="AV12" i="3"/>
  <c r="AX12" i="3"/>
  <c r="AU12" i="3"/>
  <c r="AV11" i="3"/>
  <c r="AX11" i="3"/>
  <c r="AU11" i="3"/>
  <c r="AV10" i="3"/>
  <c r="AX10" i="3"/>
  <c r="AU10" i="3"/>
  <c r="AV9" i="3"/>
  <c r="AX9" i="3"/>
  <c r="AU9" i="3"/>
  <c r="L180" i="5"/>
  <c r="L176" i="5"/>
  <c r="L172" i="5"/>
  <c r="L168" i="5"/>
  <c r="L164" i="5"/>
  <c r="L160" i="5"/>
  <c r="L25" i="8"/>
  <c r="L156" i="5"/>
  <c r="L151" i="5"/>
  <c r="L147" i="5"/>
  <c r="L143" i="5"/>
  <c r="L139" i="5"/>
  <c r="L135" i="5"/>
  <c r="L131" i="5"/>
  <c r="L127" i="5"/>
  <c r="L123" i="5"/>
  <c r="L119" i="5"/>
  <c r="L115" i="5"/>
  <c r="L111" i="5"/>
  <c r="L107" i="5"/>
  <c r="L103" i="5"/>
  <c r="L99" i="5"/>
  <c r="L132" i="5"/>
  <c r="L120" i="5"/>
  <c r="L112" i="5"/>
  <c r="L100" i="5"/>
  <c r="L179" i="5"/>
  <c r="L175" i="5"/>
  <c r="L171" i="5"/>
  <c r="L167" i="5"/>
  <c r="L163" i="5"/>
  <c r="L159" i="5"/>
  <c r="L155" i="5"/>
  <c r="L150" i="5"/>
  <c r="L146" i="5"/>
  <c r="L142" i="5"/>
  <c r="L138" i="5"/>
  <c r="L134" i="5"/>
  <c r="L130" i="5"/>
  <c r="L126" i="5"/>
  <c r="L122" i="5"/>
  <c r="L118" i="5"/>
  <c r="L114" i="5"/>
  <c r="L110" i="5"/>
  <c r="L106" i="5"/>
  <c r="L102" i="5"/>
  <c r="L98" i="5"/>
  <c r="L117" i="5"/>
  <c r="L113" i="5"/>
  <c r="L105" i="5"/>
  <c r="L181" i="5"/>
  <c r="L177" i="5"/>
  <c r="L169" i="5"/>
  <c r="L161" i="5"/>
  <c r="L157" i="5"/>
  <c r="L148" i="5"/>
  <c r="L140" i="5"/>
  <c r="L128" i="5"/>
  <c r="L116" i="5"/>
  <c r="L104" i="5"/>
  <c r="L182" i="5"/>
  <c r="L178" i="5"/>
  <c r="L174" i="5"/>
  <c r="L170" i="5"/>
  <c r="L166" i="5"/>
  <c r="L162" i="5"/>
  <c r="L158" i="5"/>
  <c r="L153" i="5"/>
  <c r="L149" i="5"/>
  <c r="L145" i="5"/>
  <c r="L141" i="5"/>
  <c r="L137" i="5"/>
  <c r="L133" i="5"/>
  <c r="L129" i="5"/>
  <c r="L125" i="5"/>
  <c r="L121" i="5"/>
  <c r="L109" i="5"/>
  <c r="L101" i="5"/>
  <c r="L173" i="5"/>
  <c r="L165" i="5"/>
  <c r="L152" i="5"/>
  <c r="L144" i="5"/>
  <c r="L136" i="5"/>
  <c r="L124" i="5"/>
  <c r="L108" i="5"/>
  <c r="AH93" i="1"/>
  <c r="AD93" i="1"/>
  <c r="J93" i="4"/>
  <c r="L93" i="5"/>
  <c r="AH89" i="1"/>
  <c r="AD89" i="1"/>
  <c r="J89" i="4"/>
  <c r="L89" i="5"/>
  <c r="AH85" i="1"/>
  <c r="AD85" i="1"/>
  <c r="J85" i="4"/>
  <c r="L85" i="5"/>
  <c r="AH81" i="1"/>
  <c r="AD81" i="1"/>
  <c r="J81" i="4"/>
  <c r="L81" i="5"/>
  <c r="AH77" i="1"/>
  <c r="AD77" i="1"/>
  <c r="J77" i="4"/>
  <c r="L77" i="5"/>
  <c r="AH73" i="1"/>
  <c r="AD73" i="1"/>
  <c r="J73" i="4"/>
  <c r="L73" i="5"/>
  <c r="AH69" i="1"/>
  <c r="AD69" i="1"/>
  <c r="J69" i="4"/>
  <c r="L69" i="5"/>
  <c r="AH65" i="1"/>
  <c r="AD65" i="1"/>
  <c r="J65" i="4"/>
  <c r="L65" i="5"/>
  <c r="L154" i="5"/>
  <c r="L183" i="5"/>
  <c r="AH61" i="1"/>
  <c r="AD61" i="1"/>
  <c r="J61" i="4"/>
  <c r="L61" i="5"/>
  <c r="AH57" i="1"/>
  <c r="AD57" i="1"/>
  <c r="J57" i="4"/>
  <c r="L57" i="5"/>
  <c r="AH53" i="1"/>
  <c r="AD53" i="1"/>
  <c r="J53" i="4"/>
  <c r="L53" i="5"/>
  <c r="AH49" i="1"/>
  <c r="AD49" i="1"/>
  <c r="J49" i="4"/>
  <c r="L49" i="5"/>
  <c r="AH45" i="1"/>
  <c r="AD45" i="1"/>
  <c r="J45" i="4"/>
  <c r="L45" i="5"/>
  <c r="AH41" i="1"/>
  <c r="AD41" i="1"/>
  <c r="J41" i="4"/>
  <c r="L41" i="5"/>
  <c r="AH37" i="1"/>
  <c r="AD37" i="1"/>
  <c r="J37" i="4"/>
  <c r="L37" i="5"/>
  <c r="AH33" i="1"/>
  <c r="AD33" i="1"/>
  <c r="J33" i="4"/>
  <c r="L33" i="5"/>
  <c r="AH29" i="1"/>
  <c r="AD29" i="1"/>
  <c r="J29" i="4"/>
  <c r="L29" i="5"/>
  <c r="AH92" i="1"/>
  <c r="AD92" i="1"/>
  <c r="J92" i="4"/>
  <c r="L92" i="5"/>
  <c r="AH88" i="1"/>
  <c r="AD88" i="1"/>
  <c r="J88" i="4"/>
  <c r="L88" i="5"/>
  <c r="AH84" i="1"/>
  <c r="AD84" i="1"/>
  <c r="J84" i="4"/>
  <c r="L84" i="5"/>
  <c r="AH80" i="1"/>
  <c r="AD80" i="1"/>
  <c r="J80" i="4"/>
  <c r="L80" i="5"/>
  <c r="AH76" i="1"/>
  <c r="AD76" i="1"/>
  <c r="J76" i="4"/>
  <c r="L76" i="5"/>
  <c r="AH72" i="1"/>
  <c r="AD72" i="1"/>
  <c r="J72" i="4"/>
  <c r="L72" i="5"/>
  <c r="AH68" i="1"/>
  <c r="AD68" i="1"/>
  <c r="J68" i="4"/>
  <c r="L68" i="5"/>
  <c r="AH64" i="1"/>
  <c r="AD64" i="1"/>
  <c r="J64" i="4"/>
  <c r="L64" i="5"/>
  <c r="AH60" i="1"/>
  <c r="AD60" i="1"/>
  <c r="J60" i="4"/>
  <c r="L60" i="5"/>
  <c r="AH56" i="1"/>
  <c r="AD56" i="1"/>
  <c r="J56" i="4"/>
  <c r="L56" i="5"/>
  <c r="AH52" i="1"/>
  <c r="AD52" i="1"/>
  <c r="J52" i="4"/>
  <c r="L52" i="5"/>
  <c r="AH48" i="1"/>
  <c r="AD48" i="1"/>
  <c r="J48" i="4"/>
  <c r="L48" i="5"/>
  <c r="AH44" i="1"/>
  <c r="AD44" i="1"/>
  <c r="J44" i="4"/>
  <c r="L44" i="5"/>
  <c r="AH40" i="1"/>
  <c r="AD40" i="1"/>
  <c r="J40" i="4"/>
  <c r="L40" i="5"/>
  <c r="AH36" i="1"/>
  <c r="AD36" i="1"/>
  <c r="J36" i="4"/>
  <c r="L36" i="5"/>
  <c r="AH32" i="1"/>
  <c r="AD32" i="1"/>
  <c r="J32" i="4"/>
  <c r="L32" i="5"/>
  <c r="AH91" i="1"/>
  <c r="AD91" i="1"/>
  <c r="J91" i="4"/>
  <c r="L91" i="5"/>
  <c r="AH87" i="1"/>
  <c r="AD87" i="1"/>
  <c r="J87" i="4"/>
  <c r="L87" i="5"/>
  <c r="AH83" i="1"/>
  <c r="AD83" i="1"/>
  <c r="J83" i="4"/>
  <c r="L83" i="5"/>
  <c r="AH90" i="1"/>
  <c r="AD90" i="1"/>
  <c r="J90" i="4"/>
  <c r="L90" i="5"/>
  <c r="AH86" i="1"/>
  <c r="AD86" i="1"/>
  <c r="J86" i="4"/>
  <c r="L86" i="5"/>
  <c r="AH82" i="1"/>
  <c r="AD82" i="1"/>
  <c r="J82" i="4"/>
  <c r="L82" i="5"/>
  <c r="AH78" i="1"/>
  <c r="AD78" i="1"/>
  <c r="J78" i="4"/>
  <c r="L78" i="5"/>
  <c r="AH74" i="1"/>
  <c r="AD74" i="1"/>
  <c r="J74" i="4"/>
  <c r="L74" i="5"/>
  <c r="AH70" i="1"/>
  <c r="AD70" i="1"/>
  <c r="J70" i="4"/>
  <c r="L70" i="5"/>
  <c r="AH66" i="1"/>
  <c r="AD66" i="1"/>
  <c r="J66" i="4"/>
  <c r="L66" i="5"/>
  <c r="AH62" i="1"/>
  <c r="AD62" i="1"/>
  <c r="J62" i="4"/>
  <c r="L62" i="5"/>
  <c r="AH58" i="1"/>
  <c r="AD58" i="1"/>
  <c r="J58" i="4"/>
  <c r="L58" i="5"/>
  <c r="AH54" i="1"/>
  <c r="AD54" i="1"/>
  <c r="J54" i="4"/>
  <c r="L54" i="5"/>
  <c r="AH50" i="1"/>
  <c r="AD50" i="1"/>
  <c r="J50" i="4"/>
  <c r="L50" i="5"/>
  <c r="AH46" i="1"/>
  <c r="AD46" i="1"/>
  <c r="J46" i="4"/>
  <c r="L46" i="5"/>
  <c r="AH42" i="1"/>
  <c r="AD42" i="1"/>
  <c r="J42" i="4"/>
  <c r="L42" i="5"/>
  <c r="AH38" i="1"/>
  <c r="AD38" i="1"/>
  <c r="J38" i="4"/>
  <c r="L38" i="5"/>
  <c r="AH34" i="1"/>
  <c r="AD34" i="1"/>
  <c r="J34" i="4"/>
  <c r="L34" i="5"/>
  <c r="AD79" i="1"/>
  <c r="J79" i="4"/>
  <c r="L79" i="5"/>
  <c r="AH75" i="1"/>
  <c r="AD63" i="1"/>
  <c r="J63" i="4"/>
  <c r="L63" i="5"/>
  <c r="AH59" i="1"/>
  <c r="AD47" i="1"/>
  <c r="J47" i="4"/>
  <c r="L47" i="5"/>
  <c r="AH43" i="1"/>
  <c r="AD31" i="1"/>
  <c r="J31" i="4"/>
  <c r="L31" i="5"/>
  <c r="AD30" i="1"/>
  <c r="J30" i="4"/>
  <c r="L30" i="5"/>
  <c r="AH28" i="1"/>
  <c r="AH27" i="1"/>
  <c r="AH26" i="1"/>
  <c r="AH25" i="1"/>
  <c r="AD25" i="1"/>
  <c r="J25" i="4"/>
  <c r="L25" i="5"/>
  <c r="AH21" i="1"/>
  <c r="AD21" i="1"/>
  <c r="J21" i="4"/>
  <c r="L21" i="5"/>
  <c r="AH17" i="1"/>
  <c r="AD17" i="1"/>
  <c r="J17" i="4"/>
  <c r="L17" i="5"/>
  <c r="AH13" i="1"/>
  <c r="AD13" i="1"/>
  <c r="J13" i="4"/>
  <c r="L13" i="5"/>
  <c r="AD9" i="1"/>
  <c r="J9" i="4"/>
  <c r="L9" i="5"/>
  <c r="AD16" i="1"/>
  <c r="J16" i="4"/>
  <c r="L16" i="5"/>
  <c r="AD12" i="1"/>
  <c r="J12" i="4"/>
  <c r="L12" i="5"/>
  <c r="AH47" i="1"/>
  <c r="AD28" i="1"/>
  <c r="J28" i="4"/>
  <c r="L28" i="5"/>
  <c r="AD26" i="1"/>
  <c r="J26" i="4"/>
  <c r="L26" i="5"/>
  <c r="AD22" i="1"/>
  <c r="J22" i="4"/>
  <c r="L22" i="5"/>
  <c r="AD18" i="1"/>
  <c r="J18" i="4"/>
  <c r="L18" i="5"/>
  <c r="AH14" i="1"/>
  <c r="AD10" i="1"/>
  <c r="J10" i="4"/>
  <c r="L10" i="5"/>
  <c r="AD75" i="1"/>
  <c r="J75" i="4"/>
  <c r="L75" i="5"/>
  <c r="AD59" i="1"/>
  <c r="J59" i="4"/>
  <c r="L59" i="5"/>
  <c r="AH55" i="1"/>
  <c r="AD43" i="1"/>
  <c r="J43" i="4"/>
  <c r="L43" i="5"/>
  <c r="AH39" i="1"/>
  <c r="AH30" i="1"/>
  <c r="AG29" i="1"/>
  <c r="AH24" i="1"/>
  <c r="AD24" i="1"/>
  <c r="J24" i="4"/>
  <c r="L24" i="5"/>
  <c r="AH20" i="1"/>
  <c r="AD20" i="1"/>
  <c r="J20" i="4"/>
  <c r="L20" i="5"/>
  <c r="AE19" i="1"/>
  <c r="AH16" i="1"/>
  <c r="AE15" i="1"/>
  <c r="AH12" i="1"/>
  <c r="AH11" i="1"/>
  <c r="AE9" i="1"/>
  <c r="AH63" i="1"/>
  <c r="AD51" i="1"/>
  <c r="J51" i="4"/>
  <c r="L51" i="5"/>
  <c r="AH31" i="1"/>
  <c r="AD27" i="1"/>
  <c r="J27" i="4"/>
  <c r="L27" i="5"/>
  <c r="AE21" i="1"/>
  <c r="AH18" i="1"/>
  <c r="AH10" i="1"/>
  <c r="AL10" i="1"/>
  <c r="J71" i="4"/>
  <c r="L71" i="5"/>
  <c r="L9" i="8"/>
  <c r="L21" i="8"/>
  <c r="AH67" i="1"/>
  <c r="AG64" i="1"/>
  <c r="AD55" i="1"/>
  <c r="J55" i="4"/>
  <c r="L55" i="5"/>
  <c r="AH51" i="1"/>
  <c r="AF45" i="1"/>
  <c r="AD39" i="1"/>
  <c r="J39" i="4"/>
  <c r="L39" i="5"/>
  <c r="AH35" i="1"/>
  <c r="AF29" i="1"/>
  <c r="AF25" i="1"/>
  <c r="AG24" i="1"/>
  <c r="AH23" i="1"/>
  <c r="AD23" i="1"/>
  <c r="J23" i="4"/>
  <c r="L23" i="5"/>
  <c r="AG20" i="1"/>
  <c r="AH19" i="1"/>
  <c r="AL19" i="1"/>
  <c r="AD19" i="1"/>
  <c r="J19" i="4"/>
  <c r="L19" i="5"/>
  <c r="AF17" i="1"/>
  <c r="AG16" i="1"/>
  <c r="AH15" i="1"/>
  <c r="AD15" i="1"/>
  <c r="J15" i="4"/>
  <c r="L15" i="5"/>
  <c r="AE14" i="1"/>
  <c r="AD11" i="1"/>
  <c r="AH79" i="1"/>
  <c r="AL79" i="1"/>
  <c r="AD67" i="1"/>
  <c r="J67" i="4"/>
  <c r="L67" i="5"/>
  <c r="AG44" i="1"/>
  <c r="AD35" i="1"/>
  <c r="J35" i="4"/>
  <c r="L35" i="5"/>
  <c r="AE29" i="1"/>
  <c r="AI29" i="1"/>
  <c r="AH22" i="1"/>
  <c r="AL22" i="1"/>
  <c r="AE17" i="1"/>
  <c r="AD14" i="1"/>
  <c r="J14" i="4"/>
  <c r="L14" i="5"/>
  <c r="AG11" i="1"/>
  <c r="AH9" i="1"/>
  <c r="AL47" i="1"/>
  <c r="AL12" i="1"/>
  <c r="AL18" i="1"/>
  <c r="AL31" i="1"/>
  <c r="AL51" i="1"/>
  <c r="AL63" i="1"/>
  <c r="AL24" i="1"/>
  <c r="AL91" i="1"/>
  <c r="AJ29" i="1"/>
  <c r="AL21" i="1"/>
  <c r="AL38" i="1"/>
  <c r="AL54" i="1"/>
  <c r="AL70" i="1"/>
  <c r="AL86" i="1"/>
  <c r="AL44" i="1"/>
  <c r="AL60" i="1"/>
  <c r="AL76" i="1"/>
  <c r="AL92" i="1"/>
  <c r="AL37" i="1"/>
  <c r="AL85" i="1"/>
  <c r="AL41" i="1"/>
  <c r="AL16" i="1"/>
  <c r="AL30" i="1"/>
  <c r="AL93" i="1"/>
  <c r="AL9" i="1"/>
  <c r="AL15" i="1"/>
  <c r="AL20" i="1"/>
  <c r="AL17" i="1"/>
  <c r="AL27" i="1"/>
  <c r="AL59" i="1"/>
  <c r="AL34" i="1"/>
  <c r="AL50" i="1"/>
  <c r="AL66" i="1"/>
  <c r="AL82" i="1"/>
  <c r="AL87" i="1"/>
  <c r="AL40" i="1"/>
  <c r="AL56" i="1"/>
  <c r="AL72" i="1"/>
  <c r="AL88" i="1"/>
  <c r="AL33" i="1"/>
  <c r="AL49" i="1"/>
  <c r="AL65" i="1"/>
  <c r="AL81" i="1"/>
  <c r="AL67" i="1"/>
  <c r="AL28" i="1"/>
  <c r="AL75" i="1"/>
  <c r="AL53" i="1"/>
  <c r="AL69" i="1"/>
  <c r="AL23" i="1"/>
  <c r="AL39" i="1"/>
  <c r="AL14" i="1"/>
  <c r="AL25" i="1"/>
  <c r="AL42" i="1"/>
  <c r="AL58" i="1"/>
  <c r="AL74" i="1"/>
  <c r="AL90" i="1"/>
  <c r="AL32" i="1"/>
  <c r="AL48" i="1"/>
  <c r="AL64" i="1"/>
  <c r="AL80" i="1"/>
  <c r="AL57" i="1"/>
  <c r="AL73" i="1"/>
  <c r="AL89" i="1"/>
  <c r="AL55" i="1"/>
  <c r="AL13" i="1"/>
  <c r="AL26" i="1"/>
  <c r="AL43" i="1"/>
  <c r="AL46" i="1"/>
  <c r="AL62" i="1"/>
  <c r="AL78" i="1"/>
  <c r="AL83" i="1"/>
  <c r="AL36" i="1"/>
  <c r="AL52" i="1"/>
  <c r="AL68" i="1"/>
  <c r="AL84" i="1"/>
  <c r="AL29" i="1"/>
  <c r="AL45" i="1"/>
  <c r="AL61" i="1"/>
  <c r="AL77" i="1"/>
  <c r="AL128" i="1"/>
  <c r="AL127" i="1"/>
  <c r="A2" i="18"/>
  <c r="A1" i="18"/>
  <c r="I85" i="16"/>
  <c r="H85" i="16"/>
  <c r="G85" i="16"/>
  <c r="I84" i="16"/>
  <c r="H84" i="16"/>
  <c r="G84" i="16"/>
  <c r="I83" i="16"/>
  <c r="H83" i="16"/>
  <c r="G83" i="16"/>
  <c r="I82" i="16"/>
  <c r="H82" i="16"/>
  <c r="G82" i="16"/>
  <c r="I81" i="16"/>
  <c r="H81" i="16"/>
  <c r="G81" i="16"/>
  <c r="I80" i="16"/>
  <c r="H80" i="16"/>
  <c r="G80" i="16"/>
  <c r="I79" i="16"/>
  <c r="H79" i="16"/>
  <c r="G79" i="16"/>
  <c r="I77" i="16"/>
  <c r="H77" i="16"/>
  <c r="G77" i="16"/>
  <c r="A2" i="16"/>
  <c r="A1" i="16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1" i="5"/>
  <c r="G171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2" i="5"/>
  <c r="G112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H98" i="5"/>
  <c r="G98" i="5"/>
  <c r="R182" i="5"/>
  <c r="Q182" i="5"/>
  <c r="P182" i="5"/>
  <c r="R181" i="5"/>
  <c r="P181" i="5"/>
  <c r="S180" i="5"/>
  <c r="Q180" i="5"/>
  <c r="P180" i="5"/>
  <c r="O180" i="5"/>
  <c r="Q179" i="5"/>
  <c r="O179" i="5"/>
  <c r="Q177" i="5"/>
  <c r="P177" i="5"/>
  <c r="O177" i="5"/>
  <c r="S175" i="5"/>
  <c r="S174" i="5"/>
  <c r="R173" i="5"/>
  <c r="Q173" i="5"/>
  <c r="P173" i="5"/>
  <c r="O172" i="5"/>
  <c r="S171" i="5"/>
  <c r="R171" i="5"/>
  <c r="Q171" i="5"/>
  <c r="O171" i="5"/>
  <c r="A2" i="5"/>
  <c r="A1" i="5"/>
  <c r="A2" i="22"/>
  <c r="A1" i="22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A2" i="1"/>
  <c r="A1" i="1"/>
  <c r="A2" i="8"/>
  <c r="A1" i="8"/>
  <c r="A2" i="14"/>
  <c r="A1" i="14"/>
  <c r="M76" i="11"/>
  <c r="M75" i="11"/>
  <c r="M74" i="11"/>
  <c r="K74" i="11"/>
  <c r="O73" i="11"/>
  <c r="N73" i="11"/>
  <c r="M73" i="11"/>
  <c r="L73" i="11"/>
  <c r="K73" i="11"/>
  <c r="J73" i="11"/>
  <c r="O72" i="11"/>
  <c r="N72" i="11"/>
  <c r="M72" i="11"/>
  <c r="L72" i="11"/>
  <c r="K72" i="11"/>
  <c r="J72" i="11"/>
  <c r="M71" i="11"/>
  <c r="M70" i="11"/>
  <c r="M69" i="11"/>
  <c r="M68" i="11"/>
  <c r="M67" i="11"/>
  <c r="M66" i="11"/>
  <c r="M65" i="11"/>
  <c r="M64" i="11"/>
  <c r="M63" i="11"/>
  <c r="M59" i="11"/>
  <c r="M41" i="11"/>
  <c r="K41" i="11"/>
  <c r="J41" i="11"/>
  <c r="P23" i="11"/>
  <c r="M23" i="11"/>
  <c r="K76" i="11"/>
  <c r="J76" i="11"/>
  <c r="K75" i="11"/>
  <c r="L74" i="11"/>
  <c r="K70" i="11"/>
  <c r="J70" i="11"/>
  <c r="K69" i="11"/>
  <c r="K68" i="11"/>
  <c r="J66" i="11"/>
  <c r="A2" i="11"/>
  <c r="A1" i="11"/>
  <c r="A2" i="4"/>
  <c r="A1" i="4"/>
  <c r="M2284" i="3"/>
  <c r="L2284" i="3"/>
  <c r="N2284" i="3"/>
  <c r="K2284" i="3"/>
  <c r="M2283" i="3"/>
  <c r="L2283" i="3"/>
  <c r="N2283" i="3"/>
  <c r="K2283" i="3"/>
  <c r="M2282" i="3"/>
  <c r="L2282" i="3"/>
  <c r="N2282" i="3"/>
  <c r="K2282" i="3"/>
  <c r="M2281" i="3"/>
  <c r="L2281" i="3"/>
  <c r="N2281" i="3"/>
  <c r="K2281" i="3"/>
  <c r="M2280" i="3"/>
  <c r="L2280" i="3"/>
  <c r="N2280" i="3"/>
  <c r="K2280" i="3"/>
  <c r="O2279" i="3"/>
  <c r="M2279" i="3"/>
  <c r="L2279" i="3"/>
  <c r="N2279" i="3"/>
  <c r="K2279" i="3"/>
  <c r="O2278" i="3"/>
  <c r="M2278" i="3"/>
  <c r="L2278" i="3"/>
  <c r="N2278" i="3"/>
  <c r="K2278" i="3"/>
  <c r="O2277" i="3"/>
  <c r="M2277" i="3"/>
  <c r="L2277" i="3"/>
  <c r="N2277" i="3"/>
  <c r="K2277" i="3"/>
  <c r="O2276" i="3"/>
  <c r="M2276" i="3"/>
  <c r="L2276" i="3"/>
  <c r="N2276" i="3"/>
  <c r="K2276" i="3"/>
  <c r="O2275" i="3"/>
  <c r="M2275" i="3"/>
  <c r="L2275" i="3"/>
  <c r="N2275" i="3"/>
  <c r="K2275" i="3"/>
  <c r="O2274" i="3"/>
  <c r="M2274" i="3"/>
  <c r="L2274" i="3"/>
  <c r="N2274" i="3"/>
  <c r="K2274" i="3"/>
  <c r="O2273" i="3"/>
  <c r="M2273" i="3"/>
  <c r="L2273" i="3"/>
  <c r="N2273" i="3"/>
  <c r="K2273" i="3"/>
  <c r="O2272" i="3"/>
  <c r="M2272" i="3"/>
  <c r="L2272" i="3"/>
  <c r="N2272" i="3"/>
  <c r="K2272" i="3"/>
  <c r="O2271" i="3"/>
  <c r="M2271" i="3"/>
  <c r="L2271" i="3"/>
  <c r="N2271" i="3"/>
  <c r="K2271" i="3"/>
  <c r="O2270" i="3"/>
  <c r="M2270" i="3"/>
  <c r="L2270" i="3"/>
  <c r="N2270" i="3"/>
  <c r="K2270" i="3"/>
  <c r="O2269" i="3"/>
  <c r="M2269" i="3"/>
  <c r="L2269" i="3"/>
  <c r="N2269" i="3"/>
  <c r="K2269" i="3"/>
  <c r="O2268" i="3"/>
  <c r="M2268" i="3"/>
  <c r="L2268" i="3"/>
  <c r="N2268" i="3"/>
  <c r="K2268" i="3"/>
  <c r="O2267" i="3"/>
  <c r="M2267" i="3"/>
  <c r="L2267" i="3"/>
  <c r="N2267" i="3"/>
  <c r="K2267" i="3"/>
  <c r="O2266" i="3"/>
  <c r="M2266" i="3"/>
  <c r="L2266" i="3"/>
  <c r="N2266" i="3"/>
  <c r="K2266" i="3"/>
  <c r="O2265" i="3"/>
  <c r="M2265" i="3"/>
  <c r="L2265" i="3"/>
  <c r="N2265" i="3"/>
  <c r="K2265" i="3"/>
  <c r="O2264" i="3"/>
  <c r="M2264" i="3"/>
  <c r="L2264" i="3"/>
  <c r="N2264" i="3"/>
  <c r="K2264" i="3"/>
  <c r="O2263" i="3"/>
  <c r="M2263" i="3"/>
  <c r="L2263" i="3"/>
  <c r="N2263" i="3"/>
  <c r="K2263" i="3"/>
  <c r="O2262" i="3"/>
  <c r="M2262" i="3"/>
  <c r="L2262" i="3"/>
  <c r="N2262" i="3"/>
  <c r="K2262" i="3"/>
  <c r="O2261" i="3"/>
  <c r="M2261" i="3"/>
  <c r="L2261" i="3"/>
  <c r="N2261" i="3"/>
  <c r="K2261" i="3"/>
  <c r="O2260" i="3"/>
  <c r="M2260" i="3"/>
  <c r="L2260" i="3"/>
  <c r="N2260" i="3"/>
  <c r="K2260" i="3"/>
  <c r="O2259" i="3"/>
  <c r="M2259" i="3"/>
  <c r="L2259" i="3"/>
  <c r="N2259" i="3"/>
  <c r="K2259" i="3"/>
  <c r="O2258" i="3"/>
  <c r="M2258" i="3"/>
  <c r="L2258" i="3"/>
  <c r="N2258" i="3"/>
  <c r="K2258" i="3"/>
  <c r="O2257" i="3"/>
  <c r="M2257" i="3"/>
  <c r="L2257" i="3"/>
  <c r="N2257" i="3"/>
  <c r="K2257" i="3"/>
  <c r="O2256" i="3"/>
  <c r="M2256" i="3"/>
  <c r="L2256" i="3"/>
  <c r="N2256" i="3"/>
  <c r="K2256" i="3"/>
  <c r="O2255" i="3"/>
  <c r="M2255" i="3"/>
  <c r="L2255" i="3"/>
  <c r="N2255" i="3"/>
  <c r="K2255" i="3"/>
  <c r="O2254" i="3"/>
  <c r="M2254" i="3"/>
  <c r="L2254" i="3"/>
  <c r="N2254" i="3"/>
  <c r="K2254" i="3"/>
  <c r="O2253" i="3"/>
  <c r="M2253" i="3"/>
  <c r="L2253" i="3"/>
  <c r="N2253" i="3"/>
  <c r="K2253" i="3"/>
  <c r="O2252" i="3"/>
  <c r="M2252" i="3"/>
  <c r="L2252" i="3"/>
  <c r="N2252" i="3"/>
  <c r="K2252" i="3"/>
  <c r="O2251" i="3"/>
  <c r="M2251" i="3"/>
  <c r="L2251" i="3"/>
  <c r="N2251" i="3"/>
  <c r="K2251" i="3"/>
  <c r="O2250" i="3"/>
  <c r="M2250" i="3"/>
  <c r="L2250" i="3"/>
  <c r="N2250" i="3"/>
  <c r="K2250" i="3"/>
  <c r="O2249" i="3"/>
  <c r="M2249" i="3"/>
  <c r="L2249" i="3"/>
  <c r="N2249" i="3"/>
  <c r="K2249" i="3"/>
  <c r="O2248" i="3"/>
  <c r="M2248" i="3"/>
  <c r="L2248" i="3"/>
  <c r="N2248" i="3"/>
  <c r="K2248" i="3"/>
  <c r="O2247" i="3"/>
  <c r="M2247" i="3"/>
  <c r="L2247" i="3"/>
  <c r="N2247" i="3"/>
  <c r="K2247" i="3"/>
  <c r="O2246" i="3"/>
  <c r="M2246" i="3"/>
  <c r="L2246" i="3"/>
  <c r="N2246" i="3"/>
  <c r="K2246" i="3"/>
  <c r="O2245" i="3"/>
  <c r="M2245" i="3"/>
  <c r="L2245" i="3"/>
  <c r="N2245" i="3"/>
  <c r="K2245" i="3"/>
  <c r="O2244" i="3"/>
  <c r="M2244" i="3"/>
  <c r="L2244" i="3"/>
  <c r="N2244" i="3"/>
  <c r="K2244" i="3"/>
  <c r="O2243" i="3"/>
  <c r="M2243" i="3"/>
  <c r="L2243" i="3"/>
  <c r="N2243" i="3"/>
  <c r="K2243" i="3"/>
  <c r="O2242" i="3"/>
  <c r="M2242" i="3"/>
  <c r="L2242" i="3"/>
  <c r="N2242" i="3"/>
  <c r="K2242" i="3"/>
  <c r="O2241" i="3"/>
  <c r="M2241" i="3"/>
  <c r="L2241" i="3"/>
  <c r="N2241" i="3"/>
  <c r="K2241" i="3"/>
  <c r="O2240" i="3"/>
  <c r="M2240" i="3"/>
  <c r="L2240" i="3"/>
  <c r="N2240" i="3"/>
  <c r="K2240" i="3"/>
  <c r="O2239" i="3"/>
  <c r="M2239" i="3"/>
  <c r="L2239" i="3"/>
  <c r="N2239" i="3"/>
  <c r="K2239" i="3"/>
  <c r="O2238" i="3"/>
  <c r="M2238" i="3"/>
  <c r="L2238" i="3"/>
  <c r="N2238" i="3"/>
  <c r="K2238" i="3"/>
  <c r="O2237" i="3"/>
  <c r="M2237" i="3"/>
  <c r="L2237" i="3"/>
  <c r="N2237" i="3"/>
  <c r="K2237" i="3"/>
  <c r="O2236" i="3"/>
  <c r="M2236" i="3"/>
  <c r="L2236" i="3"/>
  <c r="N2236" i="3"/>
  <c r="K2236" i="3"/>
  <c r="O2235" i="3"/>
  <c r="M2235" i="3"/>
  <c r="L2235" i="3"/>
  <c r="N2235" i="3"/>
  <c r="K2235" i="3"/>
  <c r="O2234" i="3"/>
  <c r="M2234" i="3"/>
  <c r="L2234" i="3"/>
  <c r="N2234" i="3"/>
  <c r="K2234" i="3"/>
  <c r="O2233" i="3"/>
  <c r="M2233" i="3"/>
  <c r="L2233" i="3"/>
  <c r="N2233" i="3"/>
  <c r="K2233" i="3"/>
  <c r="O2232" i="3"/>
  <c r="M2232" i="3"/>
  <c r="L2232" i="3"/>
  <c r="N2232" i="3"/>
  <c r="K2232" i="3"/>
  <c r="O2231" i="3"/>
  <c r="M2231" i="3"/>
  <c r="L2231" i="3"/>
  <c r="N2231" i="3"/>
  <c r="K2231" i="3"/>
  <c r="O2230" i="3"/>
  <c r="M2230" i="3"/>
  <c r="L2230" i="3"/>
  <c r="N2230" i="3"/>
  <c r="K2230" i="3"/>
  <c r="O2229" i="3"/>
  <c r="M2229" i="3"/>
  <c r="L2229" i="3"/>
  <c r="N2229" i="3"/>
  <c r="K2229" i="3"/>
  <c r="O2228" i="3"/>
  <c r="M2228" i="3"/>
  <c r="L2228" i="3"/>
  <c r="N2228" i="3"/>
  <c r="K2228" i="3"/>
  <c r="O2227" i="3"/>
  <c r="M2227" i="3"/>
  <c r="L2227" i="3"/>
  <c r="N2227" i="3"/>
  <c r="K2227" i="3"/>
  <c r="O2226" i="3"/>
  <c r="M2226" i="3"/>
  <c r="L2226" i="3"/>
  <c r="N2226" i="3"/>
  <c r="K2226" i="3"/>
  <c r="O2225" i="3"/>
  <c r="M2225" i="3"/>
  <c r="L2225" i="3"/>
  <c r="N2225" i="3"/>
  <c r="K2225" i="3"/>
  <c r="O2224" i="3"/>
  <c r="M2224" i="3"/>
  <c r="L2224" i="3"/>
  <c r="N2224" i="3"/>
  <c r="K2224" i="3"/>
  <c r="O2223" i="3"/>
  <c r="M2223" i="3"/>
  <c r="L2223" i="3"/>
  <c r="N2223" i="3"/>
  <c r="K2223" i="3"/>
  <c r="O2222" i="3"/>
  <c r="M2222" i="3"/>
  <c r="L2222" i="3"/>
  <c r="N2222" i="3"/>
  <c r="K2222" i="3"/>
  <c r="O2221" i="3"/>
  <c r="M2221" i="3"/>
  <c r="L2221" i="3"/>
  <c r="N2221" i="3"/>
  <c r="K2221" i="3"/>
  <c r="O2220" i="3"/>
  <c r="M2220" i="3"/>
  <c r="L2220" i="3"/>
  <c r="N2220" i="3"/>
  <c r="K2220" i="3"/>
  <c r="O2219" i="3"/>
  <c r="M2219" i="3"/>
  <c r="L2219" i="3"/>
  <c r="N2219" i="3"/>
  <c r="K2219" i="3"/>
  <c r="O2218" i="3"/>
  <c r="M2218" i="3"/>
  <c r="L2218" i="3"/>
  <c r="N2218" i="3"/>
  <c r="K2218" i="3"/>
  <c r="O2217" i="3"/>
  <c r="M2217" i="3"/>
  <c r="L2217" i="3"/>
  <c r="N2217" i="3"/>
  <c r="K2217" i="3"/>
  <c r="O2216" i="3"/>
  <c r="M2216" i="3"/>
  <c r="L2216" i="3"/>
  <c r="N2216" i="3"/>
  <c r="K2216" i="3"/>
  <c r="O2215" i="3"/>
  <c r="M2215" i="3"/>
  <c r="L2215" i="3"/>
  <c r="N2215" i="3"/>
  <c r="K2215" i="3"/>
  <c r="O2214" i="3"/>
  <c r="M2214" i="3"/>
  <c r="L2214" i="3"/>
  <c r="N2214" i="3"/>
  <c r="K2214" i="3"/>
  <c r="O2213" i="3"/>
  <c r="M2213" i="3"/>
  <c r="L2213" i="3"/>
  <c r="N2213" i="3"/>
  <c r="K2213" i="3"/>
  <c r="O2212" i="3"/>
  <c r="M2212" i="3"/>
  <c r="L2212" i="3"/>
  <c r="N2212" i="3"/>
  <c r="K2212" i="3"/>
  <c r="O2211" i="3"/>
  <c r="M2211" i="3"/>
  <c r="L2211" i="3"/>
  <c r="N2211" i="3"/>
  <c r="K2211" i="3"/>
  <c r="O2210" i="3"/>
  <c r="M2210" i="3"/>
  <c r="L2210" i="3"/>
  <c r="N2210" i="3"/>
  <c r="K2210" i="3"/>
  <c r="O2209" i="3"/>
  <c r="M2209" i="3"/>
  <c r="L2209" i="3"/>
  <c r="N2209" i="3"/>
  <c r="K2209" i="3"/>
  <c r="O2208" i="3"/>
  <c r="M2208" i="3"/>
  <c r="L2208" i="3"/>
  <c r="N2208" i="3"/>
  <c r="K2208" i="3"/>
  <c r="O2207" i="3"/>
  <c r="M2207" i="3"/>
  <c r="L2207" i="3"/>
  <c r="N2207" i="3"/>
  <c r="K2207" i="3"/>
  <c r="O2206" i="3"/>
  <c r="M2206" i="3"/>
  <c r="L2206" i="3"/>
  <c r="N2206" i="3"/>
  <c r="K2206" i="3"/>
  <c r="O2205" i="3"/>
  <c r="M2205" i="3"/>
  <c r="L2205" i="3"/>
  <c r="N2205" i="3"/>
  <c r="K2205" i="3"/>
  <c r="O2204" i="3"/>
  <c r="M2204" i="3"/>
  <c r="L2204" i="3"/>
  <c r="N2204" i="3"/>
  <c r="K2204" i="3"/>
  <c r="O2203" i="3"/>
  <c r="M2203" i="3"/>
  <c r="L2203" i="3"/>
  <c r="N2203" i="3"/>
  <c r="K2203" i="3"/>
  <c r="O2202" i="3"/>
  <c r="M2202" i="3"/>
  <c r="L2202" i="3"/>
  <c r="N2202" i="3"/>
  <c r="K2202" i="3"/>
  <c r="O2201" i="3"/>
  <c r="M2201" i="3"/>
  <c r="L2201" i="3"/>
  <c r="N2201" i="3"/>
  <c r="K2201" i="3"/>
  <c r="O2200" i="3"/>
  <c r="M2200" i="3"/>
  <c r="L2200" i="3"/>
  <c r="N2200" i="3"/>
  <c r="K2200" i="3"/>
  <c r="O2199" i="3"/>
  <c r="M2199" i="3"/>
  <c r="L2199" i="3"/>
  <c r="N2199" i="3"/>
  <c r="K2199" i="3"/>
  <c r="O2198" i="3"/>
  <c r="M2198" i="3"/>
  <c r="L2198" i="3"/>
  <c r="N2198" i="3"/>
  <c r="K2198" i="3"/>
  <c r="O2197" i="3"/>
  <c r="M2197" i="3"/>
  <c r="L2197" i="3"/>
  <c r="N2197" i="3"/>
  <c r="K2197" i="3"/>
  <c r="O2196" i="3"/>
  <c r="M2196" i="3"/>
  <c r="L2196" i="3"/>
  <c r="N2196" i="3"/>
  <c r="K2196" i="3"/>
  <c r="O2195" i="3"/>
  <c r="M2195" i="3"/>
  <c r="L2195" i="3"/>
  <c r="N2195" i="3"/>
  <c r="K2195" i="3"/>
  <c r="O2194" i="3"/>
  <c r="M2194" i="3"/>
  <c r="L2194" i="3"/>
  <c r="N2194" i="3"/>
  <c r="K2194" i="3"/>
  <c r="O2193" i="3"/>
  <c r="M2193" i="3"/>
  <c r="L2193" i="3"/>
  <c r="N2193" i="3"/>
  <c r="K2193" i="3"/>
  <c r="O2192" i="3"/>
  <c r="M2192" i="3"/>
  <c r="L2192" i="3"/>
  <c r="N2192" i="3"/>
  <c r="K2192" i="3"/>
  <c r="O2191" i="3"/>
  <c r="M2191" i="3"/>
  <c r="L2191" i="3"/>
  <c r="N2191" i="3"/>
  <c r="K2191" i="3"/>
  <c r="O2190" i="3"/>
  <c r="M2190" i="3"/>
  <c r="L2190" i="3"/>
  <c r="N2190" i="3"/>
  <c r="K2190" i="3"/>
  <c r="O2189" i="3"/>
  <c r="M2189" i="3"/>
  <c r="L2189" i="3"/>
  <c r="N2189" i="3"/>
  <c r="K2189" i="3"/>
  <c r="O2188" i="3"/>
  <c r="M2188" i="3"/>
  <c r="L2188" i="3"/>
  <c r="N2188" i="3"/>
  <c r="K2188" i="3"/>
  <c r="O2187" i="3"/>
  <c r="M2187" i="3"/>
  <c r="L2187" i="3"/>
  <c r="N2187" i="3"/>
  <c r="K2187" i="3"/>
  <c r="O2186" i="3"/>
  <c r="M2186" i="3"/>
  <c r="L2186" i="3"/>
  <c r="N2186" i="3"/>
  <c r="K2186" i="3"/>
  <c r="O2185" i="3"/>
  <c r="M2185" i="3"/>
  <c r="L2185" i="3"/>
  <c r="N2185" i="3"/>
  <c r="K2185" i="3"/>
  <c r="O2184" i="3"/>
  <c r="M2184" i="3"/>
  <c r="L2184" i="3"/>
  <c r="N2184" i="3"/>
  <c r="K2184" i="3"/>
  <c r="O2183" i="3"/>
  <c r="M2183" i="3"/>
  <c r="L2183" i="3"/>
  <c r="N2183" i="3"/>
  <c r="K2183" i="3"/>
  <c r="O2182" i="3"/>
  <c r="M2182" i="3"/>
  <c r="L2182" i="3"/>
  <c r="N2182" i="3"/>
  <c r="K2182" i="3"/>
  <c r="O2181" i="3"/>
  <c r="M2181" i="3"/>
  <c r="L2181" i="3"/>
  <c r="N2181" i="3"/>
  <c r="K2181" i="3"/>
  <c r="O2180" i="3"/>
  <c r="M2180" i="3"/>
  <c r="L2180" i="3"/>
  <c r="N2180" i="3"/>
  <c r="K2180" i="3"/>
  <c r="O2179" i="3"/>
  <c r="M2179" i="3"/>
  <c r="L2179" i="3"/>
  <c r="N2179" i="3"/>
  <c r="K2179" i="3"/>
  <c r="O2178" i="3"/>
  <c r="M2178" i="3"/>
  <c r="L2178" i="3"/>
  <c r="N2178" i="3"/>
  <c r="K2178" i="3"/>
  <c r="O2177" i="3"/>
  <c r="M2177" i="3"/>
  <c r="L2177" i="3"/>
  <c r="N2177" i="3"/>
  <c r="K2177" i="3"/>
  <c r="O2176" i="3"/>
  <c r="M2176" i="3"/>
  <c r="L2176" i="3"/>
  <c r="N2176" i="3"/>
  <c r="K2176" i="3"/>
  <c r="O2175" i="3"/>
  <c r="M2175" i="3"/>
  <c r="L2175" i="3"/>
  <c r="N2175" i="3"/>
  <c r="K2175" i="3"/>
  <c r="O2174" i="3"/>
  <c r="M2174" i="3"/>
  <c r="L2174" i="3"/>
  <c r="N2174" i="3"/>
  <c r="K2174" i="3"/>
  <c r="O2173" i="3"/>
  <c r="M2173" i="3"/>
  <c r="L2173" i="3"/>
  <c r="N2173" i="3"/>
  <c r="K2173" i="3"/>
  <c r="O2172" i="3"/>
  <c r="M2172" i="3"/>
  <c r="L2172" i="3"/>
  <c r="N2172" i="3"/>
  <c r="K2172" i="3"/>
  <c r="O2171" i="3"/>
  <c r="M2171" i="3"/>
  <c r="L2171" i="3"/>
  <c r="N2171" i="3"/>
  <c r="K2171" i="3"/>
  <c r="O2170" i="3"/>
  <c r="M2170" i="3"/>
  <c r="L2170" i="3"/>
  <c r="N2170" i="3"/>
  <c r="K2170" i="3"/>
  <c r="O2169" i="3"/>
  <c r="M2169" i="3"/>
  <c r="L2169" i="3"/>
  <c r="N2169" i="3"/>
  <c r="K2169" i="3"/>
  <c r="O2168" i="3"/>
  <c r="M2168" i="3"/>
  <c r="L2168" i="3"/>
  <c r="N2168" i="3"/>
  <c r="K2168" i="3"/>
  <c r="O2167" i="3"/>
  <c r="M2167" i="3"/>
  <c r="L2167" i="3"/>
  <c r="N2167" i="3"/>
  <c r="K2167" i="3"/>
  <c r="O2166" i="3"/>
  <c r="M2166" i="3"/>
  <c r="L2166" i="3"/>
  <c r="N2166" i="3"/>
  <c r="K2166" i="3"/>
  <c r="O2165" i="3"/>
  <c r="M2165" i="3"/>
  <c r="L2165" i="3"/>
  <c r="N2165" i="3"/>
  <c r="K2165" i="3"/>
  <c r="O2164" i="3"/>
  <c r="M2164" i="3"/>
  <c r="L2164" i="3"/>
  <c r="N2164" i="3"/>
  <c r="K2164" i="3"/>
  <c r="O2163" i="3"/>
  <c r="M2163" i="3"/>
  <c r="L2163" i="3"/>
  <c r="N2163" i="3"/>
  <c r="K2163" i="3"/>
  <c r="O2162" i="3"/>
  <c r="M2162" i="3"/>
  <c r="L2162" i="3"/>
  <c r="N2162" i="3"/>
  <c r="K2162" i="3"/>
  <c r="O2161" i="3"/>
  <c r="M2161" i="3"/>
  <c r="L2161" i="3"/>
  <c r="N2161" i="3"/>
  <c r="K2161" i="3"/>
  <c r="O2160" i="3"/>
  <c r="M2160" i="3"/>
  <c r="L2160" i="3"/>
  <c r="N2160" i="3"/>
  <c r="K2160" i="3"/>
  <c r="O2159" i="3"/>
  <c r="M2159" i="3"/>
  <c r="L2159" i="3"/>
  <c r="N2159" i="3"/>
  <c r="K2159" i="3"/>
  <c r="O2158" i="3"/>
  <c r="M2158" i="3"/>
  <c r="L2158" i="3"/>
  <c r="N2158" i="3"/>
  <c r="K2158" i="3"/>
  <c r="O2157" i="3"/>
  <c r="M2157" i="3"/>
  <c r="L2157" i="3"/>
  <c r="N2157" i="3"/>
  <c r="K2157" i="3"/>
  <c r="O2156" i="3"/>
  <c r="M2156" i="3"/>
  <c r="L2156" i="3"/>
  <c r="N2156" i="3"/>
  <c r="K2156" i="3"/>
  <c r="O2155" i="3"/>
  <c r="M2155" i="3"/>
  <c r="L2155" i="3"/>
  <c r="N2155" i="3"/>
  <c r="K2155" i="3"/>
  <c r="O2154" i="3"/>
  <c r="M2154" i="3"/>
  <c r="L2154" i="3"/>
  <c r="N2154" i="3"/>
  <c r="K2154" i="3"/>
  <c r="O2153" i="3"/>
  <c r="M2153" i="3"/>
  <c r="L2153" i="3"/>
  <c r="N2153" i="3"/>
  <c r="K2153" i="3"/>
  <c r="O2152" i="3"/>
  <c r="M2152" i="3"/>
  <c r="L2152" i="3"/>
  <c r="N2152" i="3"/>
  <c r="K2152" i="3"/>
  <c r="O2151" i="3"/>
  <c r="M2151" i="3"/>
  <c r="L2151" i="3"/>
  <c r="N2151" i="3"/>
  <c r="K2151" i="3"/>
  <c r="O2150" i="3"/>
  <c r="M2150" i="3"/>
  <c r="L2150" i="3"/>
  <c r="N2150" i="3"/>
  <c r="K2150" i="3"/>
  <c r="O2149" i="3"/>
  <c r="M2149" i="3"/>
  <c r="L2149" i="3"/>
  <c r="N2149" i="3"/>
  <c r="K2149" i="3"/>
  <c r="O2148" i="3"/>
  <c r="M2148" i="3"/>
  <c r="L2148" i="3"/>
  <c r="N2148" i="3"/>
  <c r="K2148" i="3"/>
  <c r="O2147" i="3"/>
  <c r="M2147" i="3"/>
  <c r="L2147" i="3"/>
  <c r="N2147" i="3"/>
  <c r="K2147" i="3"/>
  <c r="O2146" i="3"/>
  <c r="M2146" i="3"/>
  <c r="L2146" i="3"/>
  <c r="N2146" i="3"/>
  <c r="K2146" i="3"/>
  <c r="O2145" i="3"/>
  <c r="M2145" i="3"/>
  <c r="L2145" i="3"/>
  <c r="N2145" i="3"/>
  <c r="K2145" i="3"/>
  <c r="O2144" i="3"/>
  <c r="M2144" i="3"/>
  <c r="L2144" i="3"/>
  <c r="N2144" i="3"/>
  <c r="K2144" i="3"/>
  <c r="O2143" i="3"/>
  <c r="M2143" i="3"/>
  <c r="L2143" i="3"/>
  <c r="N2143" i="3"/>
  <c r="K2143" i="3"/>
  <c r="O2142" i="3"/>
  <c r="M2142" i="3"/>
  <c r="L2142" i="3"/>
  <c r="N2142" i="3"/>
  <c r="K2142" i="3"/>
  <c r="O2141" i="3"/>
  <c r="M2141" i="3"/>
  <c r="L2141" i="3"/>
  <c r="N2141" i="3"/>
  <c r="K2141" i="3"/>
  <c r="O2140" i="3"/>
  <c r="M2140" i="3"/>
  <c r="L2140" i="3"/>
  <c r="N2140" i="3"/>
  <c r="K2140" i="3"/>
  <c r="O2139" i="3"/>
  <c r="M2139" i="3"/>
  <c r="L2139" i="3"/>
  <c r="N2139" i="3"/>
  <c r="K2139" i="3"/>
  <c r="O2138" i="3"/>
  <c r="M2138" i="3"/>
  <c r="L2138" i="3"/>
  <c r="N2138" i="3"/>
  <c r="K2138" i="3"/>
  <c r="O2137" i="3"/>
  <c r="M2137" i="3"/>
  <c r="L2137" i="3"/>
  <c r="N2137" i="3"/>
  <c r="K2137" i="3"/>
  <c r="O2136" i="3"/>
  <c r="M2136" i="3"/>
  <c r="L2136" i="3"/>
  <c r="N2136" i="3"/>
  <c r="K2136" i="3"/>
  <c r="O2135" i="3"/>
  <c r="M2135" i="3"/>
  <c r="L2135" i="3"/>
  <c r="N2135" i="3"/>
  <c r="K2135" i="3"/>
  <c r="O2134" i="3"/>
  <c r="M2134" i="3"/>
  <c r="L2134" i="3"/>
  <c r="N2134" i="3"/>
  <c r="K2134" i="3"/>
  <c r="O2133" i="3"/>
  <c r="M2133" i="3"/>
  <c r="L2133" i="3"/>
  <c r="N2133" i="3"/>
  <c r="K2133" i="3"/>
  <c r="O2132" i="3"/>
  <c r="M2132" i="3"/>
  <c r="L2132" i="3"/>
  <c r="N2132" i="3"/>
  <c r="K2132" i="3"/>
  <c r="O2131" i="3"/>
  <c r="M2131" i="3"/>
  <c r="L2131" i="3"/>
  <c r="N2131" i="3"/>
  <c r="K2131" i="3"/>
  <c r="O2130" i="3"/>
  <c r="M2130" i="3"/>
  <c r="L2130" i="3"/>
  <c r="N2130" i="3"/>
  <c r="K2130" i="3"/>
  <c r="O2129" i="3"/>
  <c r="M2129" i="3"/>
  <c r="L2129" i="3"/>
  <c r="N2129" i="3"/>
  <c r="K2129" i="3"/>
  <c r="O2128" i="3"/>
  <c r="M2128" i="3"/>
  <c r="L2128" i="3"/>
  <c r="N2128" i="3"/>
  <c r="K2128" i="3"/>
  <c r="O2127" i="3"/>
  <c r="M2127" i="3"/>
  <c r="L2127" i="3"/>
  <c r="N2127" i="3"/>
  <c r="K2127" i="3"/>
  <c r="O2126" i="3"/>
  <c r="M2126" i="3"/>
  <c r="L2126" i="3"/>
  <c r="N2126" i="3"/>
  <c r="K2126" i="3"/>
  <c r="O2125" i="3"/>
  <c r="M2125" i="3"/>
  <c r="L2125" i="3"/>
  <c r="N2125" i="3"/>
  <c r="K2125" i="3"/>
  <c r="O2124" i="3"/>
  <c r="M2124" i="3"/>
  <c r="L2124" i="3"/>
  <c r="N2124" i="3"/>
  <c r="K2124" i="3"/>
  <c r="O2123" i="3"/>
  <c r="M2123" i="3"/>
  <c r="L2123" i="3"/>
  <c r="N2123" i="3"/>
  <c r="K2123" i="3"/>
  <c r="O2122" i="3"/>
  <c r="M2122" i="3"/>
  <c r="L2122" i="3"/>
  <c r="N2122" i="3"/>
  <c r="K2122" i="3"/>
  <c r="O2121" i="3"/>
  <c r="M2121" i="3"/>
  <c r="L2121" i="3"/>
  <c r="N2121" i="3"/>
  <c r="K2121" i="3"/>
  <c r="O2120" i="3"/>
  <c r="M2120" i="3"/>
  <c r="L2120" i="3"/>
  <c r="N2120" i="3"/>
  <c r="K2120" i="3"/>
  <c r="O2119" i="3"/>
  <c r="M2119" i="3"/>
  <c r="L2119" i="3"/>
  <c r="N2119" i="3"/>
  <c r="K2119" i="3"/>
  <c r="O2118" i="3"/>
  <c r="M2118" i="3"/>
  <c r="L2118" i="3"/>
  <c r="N2118" i="3"/>
  <c r="K2118" i="3"/>
  <c r="O2117" i="3"/>
  <c r="M2117" i="3"/>
  <c r="L2117" i="3"/>
  <c r="N2117" i="3"/>
  <c r="K2117" i="3"/>
  <c r="O2116" i="3"/>
  <c r="M2116" i="3"/>
  <c r="L2116" i="3"/>
  <c r="N2116" i="3"/>
  <c r="K2116" i="3"/>
  <c r="O2115" i="3"/>
  <c r="M2115" i="3"/>
  <c r="L2115" i="3"/>
  <c r="N2115" i="3"/>
  <c r="K2115" i="3"/>
  <c r="O2114" i="3"/>
  <c r="M2114" i="3"/>
  <c r="L2114" i="3"/>
  <c r="N2114" i="3"/>
  <c r="K2114" i="3"/>
  <c r="O2113" i="3"/>
  <c r="M2113" i="3"/>
  <c r="L2113" i="3"/>
  <c r="N2113" i="3"/>
  <c r="K2113" i="3"/>
  <c r="O2112" i="3"/>
  <c r="M2112" i="3"/>
  <c r="L2112" i="3"/>
  <c r="N2112" i="3"/>
  <c r="K2112" i="3"/>
  <c r="O2111" i="3"/>
  <c r="M2111" i="3"/>
  <c r="L2111" i="3"/>
  <c r="N2111" i="3"/>
  <c r="K2111" i="3"/>
  <c r="O2110" i="3"/>
  <c r="M2110" i="3"/>
  <c r="L2110" i="3"/>
  <c r="N2110" i="3"/>
  <c r="K2110" i="3"/>
  <c r="O2109" i="3"/>
  <c r="M2109" i="3"/>
  <c r="L2109" i="3"/>
  <c r="N2109" i="3"/>
  <c r="K2109" i="3"/>
  <c r="O2108" i="3"/>
  <c r="M2108" i="3"/>
  <c r="L2108" i="3"/>
  <c r="N2108" i="3"/>
  <c r="K2108" i="3"/>
  <c r="O2107" i="3"/>
  <c r="M2107" i="3"/>
  <c r="L2107" i="3"/>
  <c r="N2107" i="3"/>
  <c r="K2107" i="3"/>
  <c r="O2106" i="3"/>
  <c r="M2106" i="3"/>
  <c r="L2106" i="3"/>
  <c r="N2106" i="3"/>
  <c r="K2106" i="3"/>
  <c r="O2105" i="3"/>
  <c r="M2105" i="3"/>
  <c r="L2105" i="3"/>
  <c r="N2105" i="3"/>
  <c r="K2105" i="3"/>
  <c r="O2104" i="3"/>
  <c r="M2104" i="3"/>
  <c r="L2104" i="3"/>
  <c r="N2104" i="3"/>
  <c r="K2104" i="3"/>
  <c r="O2103" i="3"/>
  <c r="M2103" i="3"/>
  <c r="L2103" i="3"/>
  <c r="N2103" i="3"/>
  <c r="K2103" i="3"/>
  <c r="O2102" i="3"/>
  <c r="M2102" i="3"/>
  <c r="L2102" i="3"/>
  <c r="N2102" i="3"/>
  <c r="K2102" i="3"/>
  <c r="O2101" i="3"/>
  <c r="M2101" i="3"/>
  <c r="L2101" i="3"/>
  <c r="N2101" i="3"/>
  <c r="K2101" i="3"/>
  <c r="O2100" i="3"/>
  <c r="M2100" i="3"/>
  <c r="L2100" i="3"/>
  <c r="N2100" i="3"/>
  <c r="K2100" i="3"/>
  <c r="O2099" i="3"/>
  <c r="M2099" i="3"/>
  <c r="L2099" i="3"/>
  <c r="N2099" i="3"/>
  <c r="K2099" i="3"/>
  <c r="O2098" i="3"/>
  <c r="M2098" i="3"/>
  <c r="L2098" i="3"/>
  <c r="N2098" i="3"/>
  <c r="K2098" i="3"/>
  <c r="O2097" i="3"/>
  <c r="M2097" i="3"/>
  <c r="L2097" i="3"/>
  <c r="N2097" i="3"/>
  <c r="K2097" i="3"/>
  <c r="O2096" i="3"/>
  <c r="M2096" i="3"/>
  <c r="L2096" i="3"/>
  <c r="N2096" i="3"/>
  <c r="K2096" i="3"/>
  <c r="O2095" i="3"/>
  <c r="M2095" i="3"/>
  <c r="L2095" i="3"/>
  <c r="N2095" i="3"/>
  <c r="K2095" i="3"/>
  <c r="O2094" i="3"/>
  <c r="M2094" i="3"/>
  <c r="L2094" i="3"/>
  <c r="N2094" i="3"/>
  <c r="K2094" i="3"/>
  <c r="O2093" i="3"/>
  <c r="M2093" i="3"/>
  <c r="L2093" i="3"/>
  <c r="N2093" i="3"/>
  <c r="K2093" i="3"/>
  <c r="O2092" i="3"/>
  <c r="M2092" i="3"/>
  <c r="L2092" i="3"/>
  <c r="N2092" i="3"/>
  <c r="K2092" i="3"/>
  <c r="O2091" i="3"/>
  <c r="M2091" i="3"/>
  <c r="L2091" i="3"/>
  <c r="N2091" i="3"/>
  <c r="K2091" i="3"/>
  <c r="O2090" i="3"/>
  <c r="M2090" i="3"/>
  <c r="L2090" i="3"/>
  <c r="N2090" i="3"/>
  <c r="K2090" i="3"/>
  <c r="O2089" i="3"/>
  <c r="M2089" i="3"/>
  <c r="L2089" i="3"/>
  <c r="N2089" i="3"/>
  <c r="K2089" i="3"/>
  <c r="O2088" i="3"/>
  <c r="M2088" i="3"/>
  <c r="L2088" i="3"/>
  <c r="N2088" i="3"/>
  <c r="K2088" i="3"/>
  <c r="O2087" i="3"/>
  <c r="M2087" i="3"/>
  <c r="L2087" i="3"/>
  <c r="N2087" i="3"/>
  <c r="K2087" i="3"/>
  <c r="O2086" i="3"/>
  <c r="M2086" i="3"/>
  <c r="L2086" i="3"/>
  <c r="N2086" i="3"/>
  <c r="K2086" i="3"/>
  <c r="O2085" i="3"/>
  <c r="M2085" i="3"/>
  <c r="L2085" i="3"/>
  <c r="N2085" i="3"/>
  <c r="K2085" i="3"/>
  <c r="O2084" i="3"/>
  <c r="M2084" i="3"/>
  <c r="L2084" i="3"/>
  <c r="N2084" i="3"/>
  <c r="K2084" i="3"/>
  <c r="O2083" i="3"/>
  <c r="M2083" i="3"/>
  <c r="L2083" i="3"/>
  <c r="N2083" i="3"/>
  <c r="K2083" i="3"/>
  <c r="O2082" i="3"/>
  <c r="M2082" i="3"/>
  <c r="L2082" i="3"/>
  <c r="N2082" i="3"/>
  <c r="K2082" i="3"/>
  <c r="O2081" i="3"/>
  <c r="M2081" i="3"/>
  <c r="L2081" i="3"/>
  <c r="N2081" i="3"/>
  <c r="K2081" i="3"/>
  <c r="O2080" i="3"/>
  <c r="M2080" i="3"/>
  <c r="L2080" i="3"/>
  <c r="N2080" i="3"/>
  <c r="K2080" i="3"/>
  <c r="O2079" i="3"/>
  <c r="M2079" i="3"/>
  <c r="L2079" i="3"/>
  <c r="N2079" i="3"/>
  <c r="K2079" i="3"/>
  <c r="O2078" i="3"/>
  <c r="M2078" i="3"/>
  <c r="L2078" i="3"/>
  <c r="N2078" i="3"/>
  <c r="K2078" i="3"/>
  <c r="O2077" i="3"/>
  <c r="M2077" i="3"/>
  <c r="L2077" i="3"/>
  <c r="N2077" i="3"/>
  <c r="K2077" i="3"/>
  <c r="O2076" i="3"/>
  <c r="M2076" i="3"/>
  <c r="L2076" i="3"/>
  <c r="N2076" i="3"/>
  <c r="K2076" i="3"/>
  <c r="O2075" i="3"/>
  <c r="M2075" i="3"/>
  <c r="L2075" i="3"/>
  <c r="N2075" i="3"/>
  <c r="K2075" i="3"/>
  <c r="O2074" i="3"/>
  <c r="M2074" i="3"/>
  <c r="L2074" i="3"/>
  <c r="N2074" i="3"/>
  <c r="K2074" i="3"/>
  <c r="O2073" i="3"/>
  <c r="M2073" i="3"/>
  <c r="L2073" i="3"/>
  <c r="N2073" i="3"/>
  <c r="K2073" i="3"/>
  <c r="O2072" i="3"/>
  <c r="M2072" i="3"/>
  <c r="L2072" i="3"/>
  <c r="N2072" i="3"/>
  <c r="K2072" i="3"/>
  <c r="O2071" i="3"/>
  <c r="M2071" i="3"/>
  <c r="L2071" i="3"/>
  <c r="N2071" i="3"/>
  <c r="K2071" i="3"/>
  <c r="O2070" i="3"/>
  <c r="M2070" i="3"/>
  <c r="L2070" i="3"/>
  <c r="N2070" i="3"/>
  <c r="K2070" i="3"/>
  <c r="O2069" i="3"/>
  <c r="M2069" i="3"/>
  <c r="L2069" i="3"/>
  <c r="N2069" i="3"/>
  <c r="K2069" i="3"/>
  <c r="O2068" i="3"/>
  <c r="M2068" i="3"/>
  <c r="L2068" i="3"/>
  <c r="N2068" i="3"/>
  <c r="K2068" i="3"/>
  <c r="O2067" i="3"/>
  <c r="M2067" i="3"/>
  <c r="L2067" i="3"/>
  <c r="N2067" i="3"/>
  <c r="K2067" i="3"/>
  <c r="O2066" i="3"/>
  <c r="M2066" i="3"/>
  <c r="L2066" i="3"/>
  <c r="N2066" i="3"/>
  <c r="K2066" i="3"/>
  <c r="O2065" i="3"/>
  <c r="M2065" i="3"/>
  <c r="L2065" i="3"/>
  <c r="N2065" i="3"/>
  <c r="K2065" i="3"/>
  <c r="O2064" i="3"/>
  <c r="M2064" i="3"/>
  <c r="L2064" i="3"/>
  <c r="N2064" i="3"/>
  <c r="K2064" i="3"/>
  <c r="O2063" i="3"/>
  <c r="M2063" i="3"/>
  <c r="L2063" i="3"/>
  <c r="N2063" i="3"/>
  <c r="K2063" i="3"/>
  <c r="O2062" i="3"/>
  <c r="M2062" i="3"/>
  <c r="L2062" i="3"/>
  <c r="N2062" i="3"/>
  <c r="K2062" i="3"/>
  <c r="O2061" i="3"/>
  <c r="M2061" i="3"/>
  <c r="L2061" i="3"/>
  <c r="N2061" i="3"/>
  <c r="K2061" i="3"/>
  <c r="O2060" i="3"/>
  <c r="M2060" i="3"/>
  <c r="L2060" i="3"/>
  <c r="N2060" i="3"/>
  <c r="K2060" i="3"/>
  <c r="O2059" i="3"/>
  <c r="M2059" i="3"/>
  <c r="L2059" i="3"/>
  <c r="N2059" i="3"/>
  <c r="K2059" i="3"/>
  <c r="O2058" i="3"/>
  <c r="M2058" i="3"/>
  <c r="L2058" i="3"/>
  <c r="N2058" i="3"/>
  <c r="K2058" i="3"/>
  <c r="O2057" i="3"/>
  <c r="M2057" i="3"/>
  <c r="L2057" i="3"/>
  <c r="N2057" i="3"/>
  <c r="K2057" i="3"/>
  <c r="O2056" i="3"/>
  <c r="M2056" i="3"/>
  <c r="L2056" i="3"/>
  <c r="N2056" i="3"/>
  <c r="K2056" i="3"/>
  <c r="O2055" i="3"/>
  <c r="M2055" i="3"/>
  <c r="L2055" i="3"/>
  <c r="N2055" i="3"/>
  <c r="K2055" i="3"/>
  <c r="O2054" i="3"/>
  <c r="M2054" i="3"/>
  <c r="L2054" i="3"/>
  <c r="N2054" i="3"/>
  <c r="K2054" i="3"/>
  <c r="O2053" i="3"/>
  <c r="M2053" i="3"/>
  <c r="L2053" i="3"/>
  <c r="N2053" i="3"/>
  <c r="K2053" i="3"/>
  <c r="O2052" i="3"/>
  <c r="M2052" i="3"/>
  <c r="L2052" i="3"/>
  <c r="N2052" i="3"/>
  <c r="K2052" i="3"/>
  <c r="O2051" i="3"/>
  <c r="M2051" i="3"/>
  <c r="L2051" i="3"/>
  <c r="N2051" i="3"/>
  <c r="K2051" i="3"/>
  <c r="O2050" i="3"/>
  <c r="M2050" i="3"/>
  <c r="L2050" i="3"/>
  <c r="N2050" i="3"/>
  <c r="K2050" i="3"/>
  <c r="O2049" i="3"/>
  <c r="M2049" i="3"/>
  <c r="L2049" i="3"/>
  <c r="N2049" i="3"/>
  <c r="K2049" i="3"/>
  <c r="O2048" i="3"/>
  <c r="M2048" i="3"/>
  <c r="L2048" i="3"/>
  <c r="N2048" i="3"/>
  <c r="K2048" i="3"/>
  <c r="O2047" i="3"/>
  <c r="M2047" i="3"/>
  <c r="L2047" i="3"/>
  <c r="N2047" i="3"/>
  <c r="K2047" i="3"/>
  <c r="O2046" i="3"/>
  <c r="M2046" i="3"/>
  <c r="L2046" i="3"/>
  <c r="N2046" i="3"/>
  <c r="K2046" i="3"/>
  <c r="O2045" i="3"/>
  <c r="M2045" i="3"/>
  <c r="L2045" i="3"/>
  <c r="N2045" i="3"/>
  <c r="K2045" i="3"/>
  <c r="O2044" i="3"/>
  <c r="M2044" i="3"/>
  <c r="L2044" i="3"/>
  <c r="N2044" i="3"/>
  <c r="K2044" i="3"/>
  <c r="O2043" i="3"/>
  <c r="M2043" i="3"/>
  <c r="L2043" i="3"/>
  <c r="N2043" i="3"/>
  <c r="K2043" i="3"/>
  <c r="O2042" i="3"/>
  <c r="M2042" i="3"/>
  <c r="L2042" i="3"/>
  <c r="N2042" i="3"/>
  <c r="K2042" i="3"/>
  <c r="O2041" i="3"/>
  <c r="M2041" i="3"/>
  <c r="L2041" i="3"/>
  <c r="N2041" i="3"/>
  <c r="K2041" i="3"/>
  <c r="O2040" i="3"/>
  <c r="M2040" i="3"/>
  <c r="L2040" i="3"/>
  <c r="N2040" i="3"/>
  <c r="K2040" i="3"/>
  <c r="O2039" i="3"/>
  <c r="M2039" i="3"/>
  <c r="L2039" i="3"/>
  <c r="N2039" i="3"/>
  <c r="K2039" i="3"/>
  <c r="O2038" i="3"/>
  <c r="M2038" i="3"/>
  <c r="L2038" i="3"/>
  <c r="N2038" i="3"/>
  <c r="K2038" i="3"/>
  <c r="O2037" i="3"/>
  <c r="M2037" i="3"/>
  <c r="L2037" i="3"/>
  <c r="N2037" i="3"/>
  <c r="K2037" i="3"/>
  <c r="O2036" i="3"/>
  <c r="M2036" i="3"/>
  <c r="L2036" i="3"/>
  <c r="N2036" i="3"/>
  <c r="K2036" i="3"/>
  <c r="O2035" i="3"/>
  <c r="M2035" i="3"/>
  <c r="L2035" i="3"/>
  <c r="N2035" i="3"/>
  <c r="K2035" i="3"/>
  <c r="O2034" i="3"/>
  <c r="M2034" i="3"/>
  <c r="L2034" i="3"/>
  <c r="N2034" i="3"/>
  <c r="K2034" i="3"/>
  <c r="O2033" i="3"/>
  <c r="M2033" i="3"/>
  <c r="L2033" i="3"/>
  <c r="N2033" i="3"/>
  <c r="K2033" i="3"/>
  <c r="O2032" i="3"/>
  <c r="M2032" i="3"/>
  <c r="L2032" i="3"/>
  <c r="N2032" i="3"/>
  <c r="K2032" i="3"/>
  <c r="O2031" i="3"/>
  <c r="M2031" i="3"/>
  <c r="L2031" i="3"/>
  <c r="N2031" i="3"/>
  <c r="K2031" i="3"/>
  <c r="O2030" i="3"/>
  <c r="M2030" i="3"/>
  <c r="L2030" i="3"/>
  <c r="N2030" i="3"/>
  <c r="K2030" i="3"/>
  <c r="O2029" i="3"/>
  <c r="M2029" i="3"/>
  <c r="L2029" i="3"/>
  <c r="N2029" i="3"/>
  <c r="K2029" i="3"/>
  <c r="O2028" i="3"/>
  <c r="M2028" i="3"/>
  <c r="L2028" i="3"/>
  <c r="N2028" i="3"/>
  <c r="K2028" i="3"/>
  <c r="O2027" i="3"/>
  <c r="M2027" i="3"/>
  <c r="L2027" i="3"/>
  <c r="N2027" i="3"/>
  <c r="K2027" i="3"/>
  <c r="O2026" i="3"/>
  <c r="M2026" i="3"/>
  <c r="L2026" i="3"/>
  <c r="N2026" i="3"/>
  <c r="K2026" i="3"/>
  <c r="O2025" i="3"/>
  <c r="M2025" i="3"/>
  <c r="L2025" i="3"/>
  <c r="N2025" i="3"/>
  <c r="K2025" i="3"/>
  <c r="O2024" i="3"/>
  <c r="M2024" i="3"/>
  <c r="L2024" i="3"/>
  <c r="N2024" i="3"/>
  <c r="K2024" i="3"/>
  <c r="O2023" i="3"/>
  <c r="M2023" i="3"/>
  <c r="L2023" i="3"/>
  <c r="N2023" i="3"/>
  <c r="K2023" i="3"/>
  <c r="O2022" i="3"/>
  <c r="M2022" i="3"/>
  <c r="L2022" i="3"/>
  <c r="N2022" i="3"/>
  <c r="K2022" i="3"/>
  <c r="O2021" i="3"/>
  <c r="M2021" i="3"/>
  <c r="L2021" i="3"/>
  <c r="N2021" i="3"/>
  <c r="K2021" i="3"/>
  <c r="O2020" i="3"/>
  <c r="M2020" i="3"/>
  <c r="L2020" i="3"/>
  <c r="N2020" i="3"/>
  <c r="K2020" i="3"/>
  <c r="O2019" i="3"/>
  <c r="M2019" i="3"/>
  <c r="L2019" i="3"/>
  <c r="N2019" i="3"/>
  <c r="K2019" i="3"/>
  <c r="O2018" i="3"/>
  <c r="M2018" i="3"/>
  <c r="L2018" i="3"/>
  <c r="N2018" i="3"/>
  <c r="K2018" i="3"/>
  <c r="O2017" i="3"/>
  <c r="M2017" i="3"/>
  <c r="L2017" i="3"/>
  <c r="N2017" i="3"/>
  <c r="K2017" i="3"/>
  <c r="O2016" i="3"/>
  <c r="M2016" i="3"/>
  <c r="L2016" i="3"/>
  <c r="N2016" i="3"/>
  <c r="K2016" i="3"/>
  <c r="O2015" i="3"/>
  <c r="M2015" i="3"/>
  <c r="L2015" i="3"/>
  <c r="N2015" i="3"/>
  <c r="K2015" i="3"/>
  <c r="O2014" i="3"/>
  <c r="M2014" i="3"/>
  <c r="L2014" i="3"/>
  <c r="N2014" i="3"/>
  <c r="K2014" i="3"/>
  <c r="O2013" i="3"/>
  <c r="M2013" i="3"/>
  <c r="L2013" i="3"/>
  <c r="N2013" i="3"/>
  <c r="K2013" i="3"/>
  <c r="O2012" i="3"/>
  <c r="M2012" i="3"/>
  <c r="L2012" i="3"/>
  <c r="N2012" i="3"/>
  <c r="K2012" i="3"/>
  <c r="O2011" i="3"/>
  <c r="M2011" i="3"/>
  <c r="L2011" i="3"/>
  <c r="N2011" i="3"/>
  <c r="K2011" i="3"/>
  <c r="O2010" i="3"/>
  <c r="M2010" i="3"/>
  <c r="L2010" i="3"/>
  <c r="N2010" i="3"/>
  <c r="K2010" i="3"/>
  <c r="O2009" i="3"/>
  <c r="M2009" i="3"/>
  <c r="L2009" i="3"/>
  <c r="N2009" i="3"/>
  <c r="K2009" i="3"/>
  <c r="O2008" i="3"/>
  <c r="M2008" i="3"/>
  <c r="L2008" i="3"/>
  <c r="N2008" i="3"/>
  <c r="K2008" i="3"/>
  <c r="O2007" i="3"/>
  <c r="M2007" i="3"/>
  <c r="L2007" i="3"/>
  <c r="N2007" i="3"/>
  <c r="K2007" i="3"/>
  <c r="O2006" i="3"/>
  <c r="M2006" i="3"/>
  <c r="L2006" i="3"/>
  <c r="N2006" i="3"/>
  <c r="K2006" i="3"/>
  <c r="O2005" i="3"/>
  <c r="M2005" i="3"/>
  <c r="L2005" i="3"/>
  <c r="N2005" i="3"/>
  <c r="K2005" i="3"/>
  <c r="O2004" i="3"/>
  <c r="M2004" i="3"/>
  <c r="L2004" i="3"/>
  <c r="N2004" i="3"/>
  <c r="K2004" i="3"/>
  <c r="O2003" i="3"/>
  <c r="M2003" i="3"/>
  <c r="L2003" i="3"/>
  <c r="N2003" i="3"/>
  <c r="K2003" i="3"/>
  <c r="O2002" i="3"/>
  <c r="M2002" i="3"/>
  <c r="L2002" i="3"/>
  <c r="N2002" i="3"/>
  <c r="K2002" i="3"/>
  <c r="O2001" i="3"/>
  <c r="M2001" i="3"/>
  <c r="L2001" i="3"/>
  <c r="N2001" i="3"/>
  <c r="K2001" i="3"/>
  <c r="O2000" i="3"/>
  <c r="M2000" i="3"/>
  <c r="L2000" i="3"/>
  <c r="N2000" i="3"/>
  <c r="K2000" i="3"/>
  <c r="O1999" i="3"/>
  <c r="M1999" i="3"/>
  <c r="L1999" i="3"/>
  <c r="N1999" i="3"/>
  <c r="K1999" i="3"/>
  <c r="O1998" i="3"/>
  <c r="M1998" i="3"/>
  <c r="L1998" i="3"/>
  <c r="N1998" i="3"/>
  <c r="K1998" i="3"/>
  <c r="O1997" i="3"/>
  <c r="M1997" i="3"/>
  <c r="L1997" i="3"/>
  <c r="N1997" i="3"/>
  <c r="K1997" i="3"/>
  <c r="O1996" i="3"/>
  <c r="M1996" i="3"/>
  <c r="L1996" i="3"/>
  <c r="N1996" i="3"/>
  <c r="K1996" i="3"/>
  <c r="O1995" i="3"/>
  <c r="M1995" i="3"/>
  <c r="L1995" i="3"/>
  <c r="N1995" i="3"/>
  <c r="K1995" i="3"/>
  <c r="O1994" i="3"/>
  <c r="M1994" i="3"/>
  <c r="L1994" i="3"/>
  <c r="N1994" i="3"/>
  <c r="K1994" i="3"/>
  <c r="O1993" i="3"/>
  <c r="M1993" i="3"/>
  <c r="L1993" i="3"/>
  <c r="N1993" i="3"/>
  <c r="K1993" i="3"/>
  <c r="O1992" i="3"/>
  <c r="M1992" i="3"/>
  <c r="L1992" i="3"/>
  <c r="N1992" i="3"/>
  <c r="K1992" i="3"/>
  <c r="O1991" i="3"/>
  <c r="M1991" i="3"/>
  <c r="L1991" i="3"/>
  <c r="N1991" i="3"/>
  <c r="K1991" i="3"/>
  <c r="O1990" i="3"/>
  <c r="M1990" i="3"/>
  <c r="L1990" i="3"/>
  <c r="N1990" i="3"/>
  <c r="K1990" i="3"/>
  <c r="O1989" i="3"/>
  <c r="M1989" i="3"/>
  <c r="L1989" i="3"/>
  <c r="N1989" i="3"/>
  <c r="K1989" i="3"/>
  <c r="O1988" i="3"/>
  <c r="M1988" i="3"/>
  <c r="L1988" i="3"/>
  <c r="N1988" i="3"/>
  <c r="K1988" i="3"/>
  <c r="O1987" i="3"/>
  <c r="M1987" i="3"/>
  <c r="L1987" i="3"/>
  <c r="N1987" i="3"/>
  <c r="K1987" i="3"/>
  <c r="O1986" i="3"/>
  <c r="M1986" i="3"/>
  <c r="L1986" i="3"/>
  <c r="N1986" i="3"/>
  <c r="K1986" i="3"/>
  <c r="O1985" i="3"/>
  <c r="M1985" i="3"/>
  <c r="L1985" i="3"/>
  <c r="N1985" i="3"/>
  <c r="K1985" i="3"/>
  <c r="O1984" i="3"/>
  <c r="M1984" i="3"/>
  <c r="L1984" i="3"/>
  <c r="N1984" i="3"/>
  <c r="K1984" i="3"/>
  <c r="O1983" i="3"/>
  <c r="M1983" i="3"/>
  <c r="L1983" i="3"/>
  <c r="N1983" i="3"/>
  <c r="K1983" i="3"/>
  <c r="O1982" i="3"/>
  <c r="M1982" i="3"/>
  <c r="L1982" i="3"/>
  <c r="N1982" i="3"/>
  <c r="K1982" i="3"/>
  <c r="O1981" i="3"/>
  <c r="M1981" i="3"/>
  <c r="L1981" i="3"/>
  <c r="N1981" i="3"/>
  <c r="K1981" i="3"/>
  <c r="O1980" i="3"/>
  <c r="M1980" i="3"/>
  <c r="L1980" i="3"/>
  <c r="N1980" i="3"/>
  <c r="K1980" i="3"/>
  <c r="O1979" i="3"/>
  <c r="M1979" i="3"/>
  <c r="L1979" i="3"/>
  <c r="N1979" i="3"/>
  <c r="K1979" i="3"/>
  <c r="O1978" i="3"/>
  <c r="M1978" i="3"/>
  <c r="L1978" i="3"/>
  <c r="N1978" i="3"/>
  <c r="K1978" i="3"/>
  <c r="O1977" i="3"/>
  <c r="M1977" i="3"/>
  <c r="L1977" i="3"/>
  <c r="N1977" i="3"/>
  <c r="K1977" i="3"/>
  <c r="O1976" i="3"/>
  <c r="M1976" i="3"/>
  <c r="L1976" i="3"/>
  <c r="N1976" i="3"/>
  <c r="K1976" i="3"/>
  <c r="O1975" i="3"/>
  <c r="M1975" i="3"/>
  <c r="L1975" i="3"/>
  <c r="N1975" i="3"/>
  <c r="K1975" i="3"/>
  <c r="O1974" i="3"/>
  <c r="M1974" i="3"/>
  <c r="L1974" i="3"/>
  <c r="N1974" i="3"/>
  <c r="K1974" i="3"/>
  <c r="O1973" i="3"/>
  <c r="M1973" i="3"/>
  <c r="L1973" i="3"/>
  <c r="N1973" i="3"/>
  <c r="K1973" i="3"/>
  <c r="O1972" i="3"/>
  <c r="M1972" i="3"/>
  <c r="L1972" i="3"/>
  <c r="N1972" i="3"/>
  <c r="K1972" i="3"/>
  <c r="O1971" i="3"/>
  <c r="M1971" i="3"/>
  <c r="L1971" i="3"/>
  <c r="N1971" i="3"/>
  <c r="K1971" i="3"/>
  <c r="O1970" i="3"/>
  <c r="M1970" i="3"/>
  <c r="L1970" i="3"/>
  <c r="N1970" i="3"/>
  <c r="K1970" i="3"/>
  <c r="O1969" i="3"/>
  <c r="M1969" i="3"/>
  <c r="L1969" i="3"/>
  <c r="N1969" i="3"/>
  <c r="K1969" i="3"/>
  <c r="O1968" i="3"/>
  <c r="M1968" i="3"/>
  <c r="L1968" i="3"/>
  <c r="N1968" i="3"/>
  <c r="K1968" i="3"/>
  <c r="O1967" i="3"/>
  <c r="M1967" i="3"/>
  <c r="L1967" i="3"/>
  <c r="N1967" i="3"/>
  <c r="K1967" i="3"/>
  <c r="O1966" i="3"/>
  <c r="M1966" i="3"/>
  <c r="L1966" i="3"/>
  <c r="N1966" i="3"/>
  <c r="K1966" i="3"/>
  <c r="O1965" i="3"/>
  <c r="M1965" i="3"/>
  <c r="L1965" i="3"/>
  <c r="N1965" i="3"/>
  <c r="K1965" i="3"/>
  <c r="O1964" i="3"/>
  <c r="M1964" i="3"/>
  <c r="L1964" i="3"/>
  <c r="N1964" i="3"/>
  <c r="K1964" i="3"/>
  <c r="O1963" i="3"/>
  <c r="M1963" i="3"/>
  <c r="L1963" i="3"/>
  <c r="N1963" i="3"/>
  <c r="K1963" i="3"/>
  <c r="O1962" i="3"/>
  <c r="M1962" i="3"/>
  <c r="L1962" i="3"/>
  <c r="N1962" i="3"/>
  <c r="K1962" i="3"/>
  <c r="O1961" i="3"/>
  <c r="M1961" i="3"/>
  <c r="L1961" i="3"/>
  <c r="N1961" i="3"/>
  <c r="K1961" i="3"/>
  <c r="O1960" i="3"/>
  <c r="M1960" i="3"/>
  <c r="L1960" i="3"/>
  <c r="N1960" i="3"/>
  <c r="K1960" i="3"/>
  <c r="O1959" i="3"/>
  <c r="M1959" i="3"/>
  <c r="L1959" i="3"/>
  <c r="N1959" i="3"/>
  <c r="K1959" i="3"/>
  <c r="O1958" i="3"/>
  <c r="M1958" i="3"/>
  <c r="L1958" i="3"/>
  <c r="N1958" i="3"/>
  <c r="K1958" i="3"/>
  <c r="O1957" i="3"/>
  <c r="M1957" i="3"/>
  <c r="L1957" i="3"/>
  <c r="N1957" i="3"/>
  <c r="K1957" i="3"/>
  <c r="O1956" i="3"/>
  <c r="M1956" i="3"/>
  <c r="L1956" i="3"/>
  <c r="N1956" i="3"/>
  <c r="K1956" i="3"/>
  <c r="O1955" i="3"/>
  <c r="M1955" i="3"/>
  <c r="L1955" i="3"/>
  <c r="N1955" i="3"/>
  <c r="K1955" i="3"/>
  <c r="O1954" i="3"/>
  <c r="M1954" i="3"/>
  <c r="L1954" i="3"/>
  <c r="N1954" i="3"/>
  <c r="K1954" i="3"/>
  <c r="O1953" i="3"/>
  <c r="M1953" i="3"/>
  <c r="L1953" i="3"/>
  <c r="N1953" i="3"/>
  <c r="K1953" i="3"/>
  <c r="O1952" i="3"/>
  <c r="M1952" i="3"/>
  <c r="L1952" i="3"/>
  <c r="N1952" i="3"/>
  <c r="K1952" i="3"/>
  <c r="O1951" i="3"/>
  <c r="M1951" i="3"/>
  <c r="L1951" i="3"/>
  <c r="N1951" i="3"/>
  <c r="K1951" i="3"/>
  <c r="O1950" i="3"/>
  <c r="M1950" i="3"/>
  <c r="L1950" i="3"/>
  <c r="N1950" i="3"/>
  <c r="K1950" i="3"/>
  <c r="O1949" i="3"/>
  <c r="M1949" i="3"/>
  <c r="L1949" i="3"/>
  <c r="N1949" i="3"/>
  <c r="K1949" i="3"/>
  <c r="O1948" i="3"/>
  <c r="M1948" i="3"/>
  <c r="L1948" i="3"/>
  <c r="N1948" i="3"/>
  <c r="K1948" i="3"/>
  <c r="O1947" i="3"/>
  <c r="M1947" i="3"/>
  <c r="L1947" i="3"/>
  <c r="N1947" i="3"/>
  <c r="K1947" i="3"/>
  <c r="O1946" i="3"/>
  <c r="M1946" i="3"/>
  <c r="L1946" i="3"/>
  <c r="N1946" i="3"/>
  <c r="K1946" i="3"/>
  <c r="O1945" i="3"/>
  <c r="M1945" i="3"/>
  <c r="L1945" i="3"/>
  <c r="N1945" i="3"/>
  <c r="K1945" i="3"/>
  <c r="O1944" i="3"/>
  <c r="M1944" i="3"/>
  <c r="L1944" i="3"/>
  <c r="N1944" i="3"/>
  <c r="K1944" i="3"/>
  <c r="O1943" i="3"/>
  <c r="M1943" i="3"/>
  <c r="L1943" i="3"/>
  <c r="N1943" i="3"/>
  <c r="K1943" i="3"/>
  <c r="O1942" i="3"/>
  <c r="M1942" i="3"/>
  <c r="L1942" i="3"/>
  <c r="N1942" i="3"/>
  <c r="K1942" i="3"/>
  <c r="O1941" i="3"/>
  <c r="M1941" i="3"/>
  <c r="L1941" i="3"/>
  <c r="N1941" i="3"/>
  <c r="K1941" i="3"/>
  <c r="O1940" i="3"/>
  <c r="M1940" i="3"/>
  <c r="L1940" i="3"/>
  <c r="N1940" i="3"/>
  <c r="K1940" i="3"/>
  <c r="O1939" i="3"/>
  <c r="M1939" i="3"/>
  <c r="L1939" i="3"/>
  <c r="N1939" i="3"/>
  <c r="K1939" i="3"/>
  <c r="O1938" i="3"/>
  <c r="M1938" i="3"/>
  <c r="L1938" i="3"/>
  <c r="N1938" i="3"/>
  <c r="K1938" i="3"/>
  <c r="O1937" i="3"/>
  <c r="M1937" i="3"/>
  <c r="L1937" i="3"/>
  <c r="N1937" i="3"/>
  <c r="K1937" i="3"/>
  <c r="O1936" i="3"/>
  <c r="M1936" i="3"/>
  <c r="L1936" i="3"/>
  <c r="N1936" i="3"/>
  <c r="K1936" i="3"/>
  <c r="O1935" i="3"/>
  <c r="M1935" i="3"/>
  <c r="L1935" i="3"/>
  <c r="N1935" i="3"/>
  <c r="K1935" i="3"/>
  <c r="O1934" i="3"/>
  <c r="M1934" i="3"/>
  <c r="L1934" i="3"/>
  <c r="N1934" i="3"/>
  <c r="K1934" i="3"/>
  <c r="O1933" i="3"/>
  <c r="M1933" i="3"/>
  <c r="L1933" i="3"/>
  <c r="N1933" i="3"/>
  <c r="K1933" i="3"/>
  <c r="O1932" i="3"/>
  <c r="M1932" i="3"/>
  <c r="L1932" i="3"/>
  <c r="N1932" i="3"/>
  <c r="K1932" i="3"/>
  <c r="O1931" i="3"/>
  <c r="M1931" i="3"/>
  <c r="L1931" i="3"/>
  <c r="N1931" i="3"/>
  <c r="K1931" i="3"/>
  <c r="O1930" i="3"/>
  <c r="M1930" i="3"/>
  <c r="L1930" i="3"/>
  <c r="N1930" i="3"/>
  <c r="K1930" i="3"/>
  <c r="O1929" i="3"/>
  <c r="M1929" i="3"/>
  <c r="L1929" i="3"/>
  <c r="N1929" i="3"/>
  <c r="K1929" i="3"/>
  <c r="O1928" i="3"/>
  <c r="M1928" i="3"/>
  <c r="L1928" i="3"/>
  <c r="N1928" i="3"/>
  <c r="K1928" i="3"/>
  <c r="O1927" i="3"/>
  <c r="M1927" i="3"/>
  <c r="L1927" i="3"/>
  <c r="N1927" i="3"/>
  <c r="K1927" i="3"/>
  <c r="O1926" i="3"/>
  <c r="M1926" i="3"/>
  <c r="L1926" i="3"/>
  <c r="N1926" i="3"/>
  <c r="K1926" i="3"/>
  <c r="O1925" i="3"/>
  <c r="M1925" i="3"/>
  <c r="L1925" i="3"/>
  <c r="N1925" i="3"/>
  <c r="K1925" i="3"/>
  <c r="O1924" i="3"/>
  <c r="M1924" i="3"/>
  <c r="L1924" i="3"/>
  <c r="N1924" i="3"/>
  <c r="K1924" i="3"/>
  <c r="O1923" i="3"/>
  <c r="M1923" i="3"/>
  <c r="L1923" i="3"/>
  <c r="N1923" i="3"/>
  <c r="K1923" i="3"/>
  <c r="O1922" i="3"/>
  <c r="M1922" i="3"/>
  <c r="L1922" i="3"/>
  <c r="N1922" i="3"/>
  <c r="K1922" i="3"/>
  <c r="O1921" i="3"/>
  <c r="M1921" i="3"/>
  <c r="L1921" i="3"/>
  <c r="N1921" i="3"/>
  <c r="K1921" i="3"/>
  <c r="O1920" i="3"/>
  <c r="M1920" i="3"/>
  <c r="L1920" i="3"/>
  <c r="N1920" i="3"/>
  <c r="K1920" i="3"/>
  <c r="O1919" i="3"/>
  <c r="M1919" i="3"/>
  <c r="L1919" i="3"/>
  <c r="N1919" i="3"/>
  <c r="K1919" i="3"/>
  <c r="O1918" i="3"/>
  <c r="M1918" i="3"/>
  <c r="L1918" i="3"/>
  <c r="N1918" i="3"/>
  <c r="K1918" i="3"/>
  <c r="O1917" i="3"/>
  <c r="M1917" i="3"/>
  <c r="L1917" i="3"/>
  <c r="N1917" i="3"/>
  <c r="K1917" i="3"/>
  <c r="O1916" i="3"/>
  <c r="M1916" i="3"/>
  <c r="L1916" i="3"/>
  <c r="N1916" i="3"/>
  <c r="K1916" i="3"/>
  <c r="O1915" i="3"/>
  <c r="M1915" i="3"/>
  <c r="L1915" i="3"/>
  <c r="N1915" i="3"/>
  <c r="K1915" i="3"/>
  <c r="O1914" i="3"/>
  <c r="M1914" i="3"/>
  <c r="L1914" i="3"/>
  <c r="N1914" i="3"/>
  <c r="K1914" i="3"/>
  <c r="O1913" i="3"/>
  <c r="M1913" i="3"/>
  <c r="L1913" i="3"/>
  <c r="N1913" i="3"/>
  <c r="K1913" i="3"/>
  <c r="O1912" i="3"/>
  <c r="M1912" i="3"/>
  <c r="L1912" i="3"/>
  <c r="N1912" i="3"/>
  <c r="K1912" i="3"/>
  <c r="O1911" i="3"/>
  <c r="M1911" i="3"/>
  <c r="L1911" i="3"/>
  <c r="N1911" i="3"/>
  <c r="K1911" i="3"/>
  <c r="O1910" i="3"/>
  <c r="M1910" i="3"/>
  <c r="L1910" i="3"/>
  <c r="N1910" i="3"/>
  <c r="K1910" i="3"/>
  <c r="O1909" i="3"/>
  <c r="M1909" i="3"/>
  <c r="L1909" i="3"/>
  <c r="N1909" i="3"/>
  <c r="K1909" i="3"/>
  <c r="O1908" i="3"/>
  <c r="M1908" i="3"/>
  <c r="L1908" i="3"/>
  <c r="N1908" i="3"/>
  <c r="K1908" i="3"/>
  <c r="O1907" i="3"/>
  <c r="M1907" i="3"/>
  <c r="L1907" i="3"/>
  <c r="N1907" i="3"/>
  <c r="K1907" i="3"/>
  <c r="O1906" i="3"/>
  <c r="M1906" i="3"/>
  <c r="L1906" i="3"/>
  <c r="N1906" i="3"/>
  <c r="K1906" i="3"/>
  <c r="O1905" i="3"/>
  <c r="M1905" i="3"/>
  <c r="L1905" i="3"/>
  <c r="N1905" i="3"/>
  <c r="K1905" i="3"/>
  <c r="O1904" i="3"/>
  <c r="M1904" i="3"/>
  <c r="L1904" i="3"/>
  <c r="N1904" i="3"/>
  <c r="K1904" i="3"/>
  <c r="O1903" i="3"/>
  <c r="M1903" i="3"/>
  <c r="L1903" i="3"/>
  <c r="N1903" i="3"/>
  <c r="K1903" i="3"/>
  <c r="O1902" i="3"/>
  <c r="M1902" i="3"/>
  <c r="L1902" i="3"/>
  <c r="N1902" i="3"/>
  <c r="K1902" i="3"/>
  <c r="O1901" i="3"/>
  <c r="M1901" i="3"/>
  <c r="L1901" i="3"/>
  <c r="N1901" i="3"/>
  <c r="K1901" i="3"/>
  <c r="O1900" i="3"/>
  <c r="M1900" i="3"/>
  <c r="L1900" i="3"/>
  <c r="N1900" i="3"/>
  <c r="K1900" i="3"/>
  <c r="O1899" i="3"/>
  <c r="M1899" i="3"/>
  <c r="L1899" i="3"/>
  <c r="N1899" i="3"/>
  <c r="K1899" i="3"/>
  <c r="O1898" i="3"/>
  <c r="M1898" i="3"/>
  <c r="L1898" i="3"/>
  <c r="N1898" i="3"/>
  <c r="K1898" i="3"/>
  <c r="O1897" i="3"/>
  <c r="M1897" i="3"/>
  <c r="L1897" i="3"/>
  <c r="N1897" i="3"/>
  <c r="K1897" i="3"/>
  <c r="O1896" i="3"/>
  <c r="M1896" i="3"/>
  <c r="L1896" i="3"/>
  <c r="N1896" i="3"/>
  <c r="K1896" i="3"/>
  <c r="O1895" i="3"/>
  <c r="M1895" i="3"/>
  <c r="L1895" i="3"/>
  <c r="N1895" i="3"/>
  <c r="K1895" i="3"/>
  <c r="O1894" i="3"/>
  <c r="M1894" i="3"/>
  <c r="L1894" i="3"/>
  <c r="N1894" i="3"/>
  <c r="K1894" i="3"/>
  <c r="O1893" i="3"/>
  <c r="M1893" i="3"/>
  <c r="L1893" i="3"/>
  <c r="N1893" i="3"/>
  <c r="K1893" i="3"/>
  <c r="O1892" i="3"/>
  <c r="M1892" i="3"/>
  <c r="L1892" i="3"/>
  <c r="N1892" i="3"/>
  <c r="K1892" i="3"/>
  <c r="O1891" i="3"/>
  <c r="M1891" i="3"/>
  <c r="L1891" i="3"/>
  <c r="N1891" i="3"/>
  <c r="K1891" i="3"/>
  <c r="O1890" i="3"/>
  <c r="M1890" i="3"/>
  <c r="L1890" i="3"/>
  <c r="N1890" i="3"/>
  <c r="K1890" i="3"/>
  <c r="O1889" i="3"/>
  <c r="M1889" i="3"/>
  <c r="L1889" i="3"/>
  <c r="N1889" i="3"/>
  <c r="K1889" i="3"/>
  <c r="O1888" i="3"/>
  <c r="M1888" i="3"/>
  <c r="L1888" i="3"/>
  <c r="N1888" i="3"/>
  <c r="K1888" i="3"/>
  <c r="O1887" i="3"/>
  <c r="M1887" i="3"/>
  <c r="L1887" i="3"/>
  <c r="N1887" i="3"/>
  <c r="K1887" i="3"/>
  <c r="O1886" i="3"/>
  <c r="M1886" i="3"/>
  <c r="L1886" i="3"/>
  <c r="N1886" i="3"/>
  <c r="K1886" i="3"/>
  <c r="O1885" i="3"/>
  <c r="M1885" i="3"/>
  <c r="L1885" i="3"/>
  <c r="N1885" i="3"/>
  <c r="K1885" i="3"/>
  <c r="O1884" i="3"/>
  <c r="M1884" i="3"/>
  <c r="L1884" i="3"/>
  <c r="N1884" i="3"/>
  <c r="K1884" i="3"/>
  <c r="O1883" i="3"/>
  <c r="M1883" i="3"/>
  <c r="L1883" i="3"/>
  <c r="N1883" i="3"/>
  <c r="K1883" i="3"/>
  <c r="O1882" i="3"/>
  <c r="M1882" i="3"/>
  <c r="L1882" i="3"/>
  <c r="N1882" i="3"/>
  <c r="K1882" i="3"/>
  <c r="O1881" i="3"/>
  <c r="M1881" i="3"/>
  <c r="L1881" i="3"/>
  <c r="N1881" i="3"/>
  <c r="K1881" i="3"/>
  <c r="O1880" i="3"/>
  <c r="M1880" i="3"/>
  <c r="L1880" i="3"/>
  <c r="N1880" i="3"/>
  <c r="K1880" i="3"/>
  <c r="O1879" i="3"/>
  <c r="M1879" i="3"/>
  <c r="L1879" i="3"/>
  <c r="N1879" i="3"/>
  <c r="K1879" i="3"/>
  <c r="O1878" i="3"/>
  <c r="M1878" i="3"/>
  <c r="L1878" i="3"/>
  <c r="N1878" i="3"/>
  <c r="K1878" i="3"/>
  <c r="O1877" i="3"/>
  <c r="M1877" i="3"/>
  <c r="L1877" i="3"/>
  <c r="N1877" i="3"/>
  <c r="K1877" i="3"/>
  <c r="O1876" i="3"/>
  <c r="M1876" i="3"/>
  <c r="L1876" i="3"/>
  <c r="N1876" i="3"/>
  <c r="K1876" i="3"/>
  <c r="O1875" i="3"/>
  <c r="M1875" i="3"/>
  <c r="L1875" i="3"/>
  <c r="N1875" i="3"/>
  <c r="K1875" i="3"/>
  <c r="O1874" i="3"/>
  <c r="M1874" i="3"/>
  <c r="L1874" i="3"/>
  <c r="N1874" i="3"/>
  <c r="K1874" i="3"/>
  <c r="O1873" i="3"/>
  <c r="M1873" i="3"/>
  <c r="L1873" i="3"/>
  <c r="N1873" i="3"/>
  <c r="K1873" i="3"/>
  <c r="O1872" i="3"/>
  <c r="M1872" i="3"/>
  <c r="L1872" i="3"/>
  <c r="N1872" i="3"/>
  <c r="K1872" i="3"/>
  <c r="O1871" i="3"/>
  <c r="M1871" i="3"/>
  <c r="L1871" i="3"/>
  <c r="N1871" i="3"/>
  <c r="K1871" i="3"/>
  <c r="O1870" i="3"/>
  <c r="M1870" i="3"/>
  <c r="L1870" i="3"/>
  <c r="N1870" i="3"/>
  <c r="K1870" i="3"/>
  <c r="O1869" i="3"/>
  <c r="M1869" i="3"/>
  <c r="L1869" i="3"/>
  <c r="N1869" i="3"/>
  <c r="K1869" i="3"/>
  <c r="O1868" i="3"/>
  <c r="M1868" i="3"/>
  <c r="L1868" i="3"/>
  <c r="N1868" i="3"/>
  <c r="K1868" i="3"/>
  <c r="O1867" i="3"/>
  <c r="M1867" i="3"/>
  <c r="L1867" i="3"/>
  <c r="N1867" i="3"/>
  <c r="K1867" i="3"/>
  <c r="O1866" i="3"/>
  <c r="M1866" i="3"/>
  <c r="L1866" i="3"/>
  <c r="N1866" i="3"/>
  <c r="K1866" i="3"/>
  <c r="O1865" i="3"/>
  <c r="M1865" i="3"/>
  <c r="L1865" i="3"/>
  <c r="N1865" i="3"/>
  <c r="K1865" i="3"/>
  <c r="O1864" i="3"/>
  <c r="M1864" i="3"/>
  <c r="L1864" i="3"/>
  <c r="N1864" i="3"/>
  <c r="K1864" i="3"/>
  <c r="O1863" i="3"/>
  <c r="M1863" i="3"/>
  <c r="L1863" i="3"/>
  <c r="N1863" i="3"/>
  <c r="K1863" i="3"/>
  <c r="O1862" i="3"/>
  <c r="M1862" i="3"/>
  <c r="L1862" i="3"/>
  <c r="N1862" i="3"/>
  <c r="K1862" i="3"/>
  <c r="O1861" i="3"/>
  <c r="M1861" i="3"/>
  <c r="L1861" i="3"/>
  <c r="N1861" i="3"/>
  <c r="K1861" i="3"/>
  <c r="O1860" i="3"/>
  <c r="M1860" i="3"/>
  <c r="L1860" i="3"/>
  <c r="N1860" i="3"/>
  <c r="K1860" i="3"/>
  <c r="O1859" i="3"/>
  <c r="M1859" i="3"/>
  <c r="L1859" i="3"/>
  <c r="N1859" i="3"/>
  <c r="K1859" i="3"/>
  <c r="O1858" i="3"/>
  <c r="M1858" i="3"/>
  <c r="L1858" i="3"/>
  <c r="N1858" i="3"/>
  <c r="K1858" i="3"/>
  <c r="O1857" i="3"/>
  <c r="M1857" i="3"/>
  <c r="L1857" i="3"/>
  <c r="N1857" i="3"/>
  <c r="K1857" i="3"/>
  <c r="O1856" i="3"/>
  <c r="M1856" i="3"/>
  <c r="L1856" i="3"/>
  <c r="N1856" i="3"/>
  <c r="K1856" i="3"/>
  <c r="O1855" i="3"/>
  <c r="M1855" i="3"/>
  <c r="L1855" i="3"/>
  <c r="N1855" i="3"/>
  <c r="K1855" i="3"/>
  <c r="O1854" i="3"/>
  <c r="M1854" i="3"/>
  <c r="L1854" i="3"/>
  <c r="N1854" i="3"/>
  <c r="K1854" i="3"/>
  <c r="O1853" i="3"/>
  <c r="M1853" i="3"/>
  <c r="L1853" i="3"/>
  <c r="N1853" i="3"/>
  <c r="K1853" i="3"/>
  <c r="O1852" i="3"/>
  <c r="M1852" i="3"/>
  <c r="L1852" i="3"/>
  <c r="N1852" i="3"/>
  <c r="K1852" i="3"/>
  <c r="O1851" i="3"/>
  <c r="M1851" i="3"/>
  <c r="L1851" i="3"/>
  <c r="N1851" i="3"/>
  <c r="K1851" i="3"/>
  <c r="O1850" i="3"/>
  <c r="M1850" i="3"/>
  <c r="L1850" i="3"/>
  <c r="N1850" i="3"/>
  <c r="K1850" i="3"/>
  <c r="O1849" i="3"/>
  <c r="M1849" i="3"/>
  <c r="L1849" i="3"/>
  <c r="N1849" i="3"/>
  <c r="K1849" i="3"/>
  <c r="AJ1848" i="3"/>
  <c r="AL1848" i="3"/>
  <c r="AI1848" i="3"/>
  <c r="O1848" i="3"/>
  <c r="M1848" i="3"/>
  <c r="L1848" i="3"/>
  <c r="N1848" i="3"/>
  <c r="K1848" i="3"/>
  <c r="AJ1847" i="3"/>
  <c r="AL1847" i="3"/>
  <c r="AI1847" i="3"/>
  <c r="O1847" i="3"/>
  <c r="M1847" i="3"/>
  <c r="L1847" i="3"/>
  <c r="N1847" i="3"/>
  <c r="K1847" i="3"/>
  <c r="AJ1846" i="3"/>
  <c r="AL1846" i="3"/>
  <c r="AI1846" i="3"/>
  <c r="O1846" i="3"/>
  <c r="M1846" i="3"/>
  <c r="L1846" i="3"/>
  <c r="N1846" i="3"/>
  <c r="K1846" i="3"/>
  <c r="AJ1845" i="3"/>
  <c r="AL1845" i="3"/>
  <c r="AI1845" i="3"/>
  <c r="O1845" i="3"/>
  <c r="M1845" i="3"/>
  <c r="L1845" i="3"/>
  <c r="N1845" i="3"/>
  <c r="K1845" i="3"/>
  <c r="AJ1844" i="3"/>
  <c r="AL1844" i="3"/>
  <c r="AI1844" i="3"/>
  <c r="O1844" i="3"/>
  <c r="M1844" i="3"/>
  <c r="L1844" i="3"/>
  <c r="N1844" i="3"/>
  <c r="K1844" i="3"/>
  <c r="AJ1843" i="3"/>
  <c r="AL1843" i="3"/>
  <c r="AI1843" i="3"/>
  <c r="O1843" i="3"/>
  <c r="M1843" i="3"/>
  <c r="L1843" i="3"/>
  <c r="N1843" i="3"/>
  <c r="K1843" i="3"/>
  <c r="AJ1842" i="3"/>
  <c r="AL1842" i="3"/>
  <c r="AI1842" i="3"/>
  <c r="O1842" i="3"/>
  <c r="M1842" i="3"/>
  <c r="L1842" i="3"/>
  <c r="N1842" i="3"/>
  <c r="K1842" i="3"/>
  <c r="AJ1841" i="3"/>
  <c r="AL1841" i="3"/>
  <c r="AI1841" i="3"/>
  <c r="O1841" i="3"/>
  <c r="M1841" i="3"/>
  <c r="L1841" i="3"/>
  <c r="N1841" i="3"/>
  <c r="K1841" i="3"/>
  <c r="AJ1840" i="3"/>
  <c r="AL1840" i="3"/>
  <c r="AI1840" i="3"/>
  <c r="O1840" i="3"/>
  <c r="M1840" i="3"/>
  <c r="L1840" i="3"/>
  <c r="N1840" i="3"/>
  <c r="K1840" i="3"/>
  <c r="AJ1839" i="3"/>
  <c r="AL1839" i="3"/>
  <c r="AI1839" i="3"/>
  <c r="O1839" i="3"/>
  <c r="M1839" i="3"/>
  <c r="L1839" i="3"/>
  <c r="N1839" i="3"/>
  <c r="K1839" i="3"/>
  <c r="AJ1838" i="3"/>
  <c r="AL1838" i="3"/>
  <c r="AI1838" i="3"/>
  <c r="O1838" i="3"/>
  <c r="M1838" i="3"/>
  <c r="L1838" i="3"/>
  <c r="N1838" i="3"/>
  <c r="K1838" i="3"/>
  <c r="AJ1837" i="3"/>
  <c r="AL1837" i="3"/>
  <c r="AI1837" i="3"/>
  <c r="O1837" i="3"/>
  <c r="M1837" i="3"/>
  <c r="L1837" i="3"/>
  <c r="N1837" i="3"/>
  <c r="K1837" i="3"/>
  <c r="AJ1836" i="3"/>
  <c r="AL1836" i="3"/>
  <c r="AI1836" i="3"/>
  <c r="O1836" i="3"/>
  <c r="M1836" i="3"/>
  <c r="L1836" i="3"/>
  <c r="N1836" i="3"/>
  <c r="K1836" i="3"/>
  <c r="AJ1835" i="3"/>
  <c r="AL1835" i="3"/>
  <c r="AI1835" i="3"/>
  <c r="O1835" i="3"/>
  <c r="M1835" i="3"/>
  <c r="L1835" i="3"/>
  <c r="N1835" i="3"/>
  <c r="K1835" i="3"/>
  <c r="AJ1834" i="3"/>
  <c r="AL1834" i="3"/>
  <c r="AI1834" i="3"/>
  <c r="O1834" i="3"/>
  <c r="M1834" i="3"/>
  <c r="L1834" i="3"/>
  <c r="N1834" i="3"/>
  <c r="K1834" i="3"/>
  <c r="AJ1833" i="3"/>
  <c r="AL1833" i="3"/>
  <c r="AI1833" i="3"/>
  <c r="O1833" i="3"/>
  <c r="M1833" i="3"/>
  <c r="L1833" i="3"/>
  <c r="N1833" i="3"/>
  <c r="K1833" i="3"/>
  <c r="AJ1832" i="3"/>
  <c r="AL1832" i="3"/>
  <c r="AI1832" i="3"/>
  <c r="O1832" i="3"/>
  <c r="M1832" i="3"/>
  <c r="L1832" i="3"/>
  <c r="N1832" i="3"/>
  <c r="K1832" i="3"/>
  <c r="AJ1831" i="3"/>
  <c r="AL1831" i="3"/>
  <c r="AI1831" i="3"/>
  <c r="O1831" i="3"/>
  <c r="M1831" i="3"/>
  <c r="L1831" i="3"/>
  <c r="N1831" i="3"/>
  <c r="K1831" i="3"/>
  <c r="AJ1830" i="3"/>
  <c r="AL1830" i="3"/>
  <c r="AI1830" i="3"/>
  <c r="O1830" i="3"/>
  <c r="M1830" i="3"/>
  <c r="L1830" i="3"/>
  <c r="N1830" i="3"/>
  <c r="K1830" i="3"/>
  <c r="AJ1829" i="3"/>
  <c r="AL1829" i="3"/>
  <c r="AI1829" i="3"/>
  <c r="O1829" i="3"/>
  <c r="M1829" i="3"/>
  <c r="L1829" i="3"/>
  <c r="N1829" i="3"/>
  <c r="K1829" i="3"/>
  <c r="AJ1828" i="3"/>
  <c r="AL1828" i="3"/>
  <c r="AI1828" i="3"/>
  <c r="O1828" i="3"/>
  <c r="M1828" i="3"/>
  <c r="L1828" i="3"/>
  <c r="N1828" i="3"/>
  <c r="K1828" i="3"/>
  <c r="AJ1827" i="3"/>
  <c r="AL1827" i="3"/>
  <c r="AI1827" i="3"/>
  <c r="O1827" i="3"/>
  <c r="M1827" i="3"/>
  <c r="L1827" i="3"/>
  <c r="N1827" i="3"/>
  <c r="K1827" i="3"/>
  <c r="AJ1826" i="3"/>
  <c r="AL1826" i="3"/>
  <c r="AI1826" i="3"/>
  <c r="O1826" i="3"/>
  <c r="M1826" i="3"/>
  <c r="L1826" i="3"/>
  <c r="N1826" i="3"/>
  <c r="K1826" i="3"/>
  <c r="AJ1825" i="3"/>
  <c r="AL1825" i="3"/>
  <c r="AI1825" i="3"/>
  <c r="O1825" i="3"/>
  <c r="M1825" i="3"/>
  <c r="L1825" i="3"/>
  <c r="N1825" i="3"/>
  <c r="K1825" i="3"/>
  <c r="AJ1824" i="3"/>
  <c r="AL1824" i="3"/>
  <c r="AI1824" i="3"/>
  <c r="O1824" i="3"/>
  <c r="M1824" i="3"/>
  <c r="L1824" i="3"/>
  <c r="N1824" i="3"/>
  <c r="K1824" i="3"/>
  <c r="AJ1823" i="3"/>
  <c r="AL1823" i="3"/>
  <c r="AI1823" i="3"/>
  <c r="O1823" i="3"/>
  <c r="M1823" i="3"/>
  <c r="L1823" i="3"/>
  <c r="N1823" i="3"/>
  <c r="K1823" i="3"/>
  <c r="AJ1822" i="3"/>
  <c r="AL1822" i="3"/>
  <c r="AI1822" i="3"/>
  <c r="O1822" i="3"/>
  <c r="M1822" i="3"/>
  <c r="L1822" i="3"/>
  <c r="N1822" i="3"/>
  <c r="K1822" i="3"/>
  <c r="AJ1821" i="3"/>
  <c r="AL1821" i="3"/>
  <c r="AI1821" i="3"/>
  <c r="O1821" i="3"/>
  <c r="M1821" i="3"/>
  <c r="L1821" i="3"/>
  <c r="N1821" i="3"/>
  <c r="K1821" i="3"/>
  <c r="AJ1820" i="3"/>
  <c r="AL1820" i="3"/>
  <c r="AI1820" i="3"/>
  <c r="O1820" i="3"/>
  <c r="M1820" i="3"/>
  <c r="L1820" i="3"/>
  <c r="N1820" i="3"/>
  <c r="K1820" i="3"/>
  <c r="AJ1819" i="3"/>
  <c r="AL1819" i="3"/>
  <c r="AI1819" i="3"/>
  <c r="O1819" i="3"/>
  <c r="M1819" i="3"/>
  <c r="L1819" i="3"/>
  <c r="N1819" i="3"/>
  <c r="K1819" i="3"/>
  <c r="AJ1818" i="3"/>
  <c r="AL1818" i="3"/>
  <c r="AI1818" i="3"/>
  <c r="O1818" i="3"/>
  <c r="M1818" i="3"/>
  <c r="L1818" i="3"/>
  <c r="N1818" i="3"/>
  <c r="K1818" i="3"/>
  <c r="AJ1817" i="3"/>
  <c r="AL1817" i="3"/>
  <c r="AI1817" i="3"/>
  <c r="O1817" i="3"/>
  <c r="M1817" i="3"/>
  <c r="L1817" i="3"/>
  <c r="N1817" i="3"/>
  <c r="K1817" i="3"/>
  <c r="AJ1816" i="3"/>
  <c r="AL1816" i="3"/>
  <c r="AI1816" i="3"/>
  <c r="O1816" i="3"/>
  <c r="M1816" i="3"/>
  <c r="L1816" i="3"/>
  <c r="N1816" i="3"/>
  <c r="K1816" i="3"/>
  <c r="AJ1815" i="3"/>
  <c r="AL1815" i="3"/>
  <c r="AI1815" i="3"/>
  <c r="O1815" i="3"/>
  <c r="M1815" i="3"/>
  <c r="L1815" i="3"/>
  <c r="N1815" i="3"/>
  <c r="K1815" i="3"/>
  <c r="AJ1814" i="3"/>
  <c r="AL1814" i="3"/>
  <c r="AI1814" i="3"/>
  <c r="O1814" i="3"/>
  <c r="M1814" i="3"/>
  <c r="L1814" i="3"/>
  <c r="N1814" i="3"/>
  <c r="K1814" i="3"/>
  <c r="AJ1813" i="3"/>
  <c r="AL1813" i="3"/>
  <c r="AI1813" i="3"/>
  <c r="O1813" i="3"/>
  <c r="M1813" i="3"/>
  <c r="L1813" i="3"/>
  <c r="N1813" i="3"/>
  <c r="K1813" i="3"/>
  <c r="AJ1812" i="3"/>
  <c r="AL1812" i="3"/>
  <c r="AI1812" i="3"/>
  <c r="O1812" i="3"/>
  <c r="M1812" i="3"/>
  <c r="L1812" i="3"/>
  <c r="N1812" i="3"/>
  <c r="K1812" i="3"/>
  <c r="AJ1811" i="3"/>
  <c r="AL1811" i="3"/>
  <c r="AI1811" i="3"/>
  <c r="O1811" i="3"/>
  <c r="M1811" i="3"/>
  <c r="L1811" i="3"/>
  <c r="N1811" i="3"/>
  <c r="K1811" i="3"/>
  <c r="AJ1810" i="3"/>
  <c r="AL1810" i="3"/>
  <c r="AI1810" i="3"/>
  <c r="O1810" i="3"/>
  <c r="M1810" i="3"/>
  <c r="L1810" i="3"/>
  <c r="N1810" i="3"/>
  <c r="K1810" i="3"/>
  <c r="AJ1809" i="3"/>
  <c r="AL1809" i="3"/>
  <c r="AI1809" i="3"/>
  <c r="O1809" i="3"/>
  <c r="M1809" i="3"/>
  <c r="L1809" i="3"/>
  <c r="N1809" i="3"/>
  <c r="K1809" i="3"/>
  <c r="AJ1808" i="3"/>
  <c r="AL1808" i="3"/>
  <c r="AI1808" i="3"/>
  <c r="O1808" i="3"/>
  <c r="M1808" i="3"/>
  <c r="L1808" i="3"/>
  <c r="N1808" i="3"/>
  <c r="K1808" i="3"/>
  <c r="AJ1807" i="3"/>
  <c r="AL1807" i="3"/>
  <c r="AI1807" i="3"/>
  <c r="O1807" i="3"/>
  <c r="M1807" i="3"/>
  <c r="L1807" i="3"/>
  <c r="N1807" i="3"/>
  <c r="K1807" i="3"/>
  <c r="AJ1806" i="3"/>
  <c r="AL1806" i="3"/>
  <c r="AI1806" i="3"/>
  <c r="O1806" i="3"/>
  <c r="M1806" i="3"/>
  <c r="L1806" i="3"/>
  <c r="N1806" i="3"/>
  <c r="K1806" i="3"/>
  <c r="AJ1805" i="3"/>
  <c r="AL1805" i="3"/>
  <c r="AI1805" i="3"/>
  <c r="O1805" i="3"/>
  <c r="M1805" i="3"/>
  <c r="L1805" i="3"/>
  <c r="N1805" i="3"/>
  <c r="K1805" i="3"/>
  <c r="AJ1804" i="3"/>
  <c r="AL1804" i="3"/>
  <c r="AI1804" i="3"/>
  <c r="O1804" i="3"/>
  <c r="M1804" i="3"/>
  <c r="L1804" i="3"/>
  <c r="N1804" i="3"/>
  <c r="K1804" i="3"/>
  <c r="AJ1803" i="3"/>
  <c r="AL1803" i="3"/>
  <c r="AI1803" i="3"/>
  <c r="O1803" i="3"/>
  <c r="M1803" i="3"/>
  <c r="L1803" i="3"/>
  <c r="N1803" i="3"/>
  <c r="K1803" i="3"/>
  <c r="AJ1802" i="3"/>
  <c r="AL1802" i="3"/>
  <c r="AI1802" i="3"/>
  <c r="O1802" i="3"/>
  <c r="M1802" i="3"/>
  <c r="L1802" i="3"/>
  <c r="N1802" i="3"/>
  <c r="K1802" i="3"/>
  <c r="AJ1801" i="3"/>
  <c r="AL1801" i="3"/>
  <c r="AI1801" i="3"/>
  <c r="O1801" i="3"/>
  <c r="M1801" i="3"/>
  <c r="L1801" i="3"/>
  <c r="N1801" i="3"/>
  <c r="K1801" i="3"/>
  <c r="AJ1800" i="3"/>
  <c r="AL1800" i="3"/>
  <c r="AI1800" i="3"/>
  <c r="O1800" i="3"/>
  <c r="M1800" i="3"/>
  <c r="L1800" i="3"/>
  <c r="N1800" i="3"/>
  <c r="K1800" i="3"/>
  <c r="AJ1799" i="3"/>
  <c r="AL1799" i="3"/>
  <c r="AI1799" i="3"/>
  <c r="O1799" i="3"/>
  <c r="M1799" i="3"/>
  <c r="L1799" i="3"/>
  <c r="N1799" i="3"/>
  <c r="K1799" i="3"/>
  <c r="AJ1798" i="3"/>
  <c r="AL1798" i="3"/>
  <c r="AI1798" i="3"/>
  <c r="O1798" i="3"/>
  <c r="M1798" i="3"/>
  <c r="L1798" i="3"/>
  <c r="N1798" i="3"/>
  <c r="K1798" i="3"/>
  <c r="AJ1797" i="3"/>
  <c r="AL1797" i="3"/>
  <c r="AI1797" i="3"/>
  <c r="O1797" i="3"/>
  <c r="M1797" i="3"/>
  <c r="L1797" i="3"/>
  <c r="N1797" i="3"/>
  <c r="K1797" i="3"/>
  <c r="AJ1796" i="3"/>
  <c r="AL1796" i="3"/>
  <c r="AI1796" i="3"/>
  <c r="O1796" i="3"/>
  <c r="M1796" i="3"/>
  <c r="L1796" i="3"/>
  <c r="N1796" i="3"/>
  <c r="K1796" i="3"/>
  <c r="AJ1795" i="3"/>
  <c r="AL1795" i="3"/>
  <c r="AI1795" i="3"/>
  <c r="O1795" i="3"/>
  <c r="M1795" i="3"/>
  <c r="L1795" i="3"/>
  <c r="N1795" i="3"/>
  <c r="K1795" i="3"/>
  <c r="AJ1794" i="3"/>
  <c r="AL1794" i="3"/>
  <c r="AI1794" i="3"/>
  <c r="O1794" i="3"/>
  <c r="M1794" i="3"/>
  <c r="L1794" i="3"/>
  <c r="N1794" i="3"/>
  <c r="K1794" i="3"/>
  <c r="AJ1793" i="3"/>
  <c r="AL1793" i="3"/>
  <c r="AI1793" i="3"/>
  <c r="O1793" i="3"/>
  <c r="M1793" i="3"/>
  <c r="L1793" i="3"/>
  <c r="N1793" i="3"/>
  <c r="K1793" i="3"/>
  <c r="AJ1792" i="3"/>
  <c r="AL1792" i="3"/>
  <c r="AI1792" i="3"/>
  <c r="O1792" i="3"/>
  <c r="M1792" i="3"/>
  <c r="L1792" i="3"/>
  <c r="N1792" i="3"/>
  <c r="K1792" i="3"/>
  <c r="AJ1791" i="3"/>
  <c r="AL1791" i="3"/>
  <c r="AI1791" i="3"/>
  <c r="O1791" i="3"/>
  <c r="M1791" i="3"/>
  <c r="L1791" i="3"/>
  <c r="N1791" i="3"/>
  <c r="K1791" i="3"/>
  <c r="AJ1790" i="3"/>
  <c r="AL1790" i="3"/>
  <c r="AI1790" i="3"/>
  <c r="O1790" i="3"/>
  <c r="M1790" i="3"/>
  <c r="L1790" i="3"/>
  <c r="N1790" i="3"/>
  <c r="K1790" i="3"/>
  <c r="AJ1789" i="3"/>
  <c r="AL1789" i="3"/>
  <c r="AI1789" i="3"/>
  <c r="O1789" i="3"/>
  <c r="M1789" i="3"/>
  <c r="L1789" i="3"/>
  <c r="N1789" i="3"/>
  <c r="K1789" i="3"/>
  <c r="AJ1788" i="3"/>
  <c r="AL1788" i="3"/>
  <c r="AI1788" i="3"/>
  <c r="O1788" i="3"/>
  <c r="M1788" i="3"/>
  <c r="L1788" i="3"/>
  <c r="N1788" i="3"/>
  <c r="K1788" i="3"/>
  <c r="AJ1787" i="3"/>
  <c r="AL1787" i="3"/>
  <c r="AI1787" i="3"/>
  <c r="O1787" i="3"/>
  <c r="M1787" i="3"/>
  <c r="L1787" i="3"/>
  <c r="N1787" i="3"/>
  <c r="K1787" i="3"/>
  <c r="AJ1786" i="3"/>
  <c r="AL1786" i="3"/>
  <c r="AI1786" i="3"/>
  <c r="O1786" i="3"/>
  <c r="M1786" i="3"/>
  <c r="L1786" i="3"/>
  <c r="N1786" i="3"/>
  <c r="K1786" i="3"/>
  <c r="AJ1785" i="3"/>
  <c r="AL1785" i="3"/>
  <c r="AI1785" i="3"/>
  <c r="O1785" i="3"/>
  <c r="M1785" i="3"/>
  <c r="L1785" i="3"/>
  <c r="N1785" i="3"/>
  <c r="K1785" i="3"/>
  <c r="AJ1784" i="3"/>
  <c r="AL1784" i="3"/>
  <c r="AI1784" i="3"/>
  <c r="O1784" i="3"/>
  <c r="M1784" i="3"/>
  <c r="L1784" i="3"/>
  <c r="N1784" i="3"/>
  <c r="K1784" i="3"/>
  <c r="AJ1783" i="3"/>
  <c r="AL1783" i="3"/>
  <c r="AI1783" i="3"/>
  <c r="O1783" i="3"/>
  <c r="M1783" i="3"/>
  <c r="L1783" i="3"/>
  <c r="N1783" i="3"/>
  <c r="K1783" i="3"/>
  <c r="AJ1782" i="3"/>
  <c r="AL1782" i="3"/>
  <c r="AI1782" i="3"/>
  <c r="O1782" i="3"/>
  <c r="M1782" i="3"/>
  <c r="L1782" i="3"/>
  <c r="N1782" i="3"/>
  <c r="K1782" i="3"/>
  <c r="AJ1781" i="3"/>
  <c r="AL1781" i="3"/>
  <c r="AI1781" i="3"/>
  <c r="O1781" i="3"/>
  <c r="M1781" i="3"/>
  <c r="L1781" i="3"/>
  <c r="N1781" i="3"/>
  <c r="K1781" i="3"/>
  <c r="AJ1780" i="3"/>
  <c r="AL1780" i="3"/>
  <c r="AI1780" i="3"/>
  <c r="O1780" i="3"/>
  <c r="M1780" i="3"/>
  <c r="L1780" i="3"/>
  <c r="N1780" i="3"/>
  <c r="K1780" i="3"/>
  <c r="AJ1779" i="3"/>
  <c r="AL1779" i="3"/>
  <c r="AI1779" i="3"/>
  <c r="O1779" i="3"/>
  <c r="M1779" i="3"/>
  <c r="L1779" i="3"/>
  <c r="N1779" i="3"/>
  <c r="K1779" i="3"/>
  <c r="AJ1778" i="3"/>
  <c r="AL1778" i="3"/>
  <c r="AI1778" i="3"/>
  <c r="O1778" i="3"/>
  <c r="M1778" i="3"/>
  <c r="L1778" i="3"/>
  <c r="N1778" i="3"/>
  <c r="K1778" i="3"/>
  <c r="AJ1777" i="3"/>
  <c r="AL1777" i="3"/>
  <c r="AI1777" i="3"/>
  <c r="O1777" i="3"/>
  <c r="M1777" i="3"/>
  <c r="L1777" i="3"/>
  <c r="N1777" i="3"/>
  <c r="K1777" i="3"/>
  <c r="AJ1776" i="3"/>
  <c r="AL1776" i="3"/>
  <c r="AI1776" i="3"/>
  <c r="O1776" i="3"/>
  <c r="M1776" i="3"/>
  <c r="L1776" i="3"/>
  <c r="N1776" i="3"/>
  <c r="K1776" i="3"/>
  <c r="AJ1775" i="3"/>
  <c r="AL1775" i="3"/>
  <c r="AI1775" i="3"/>
  <c r="O1775" i="3"/>
  <c r="M1775" i="3"/>
  <c r="L1775" i="3"/>
  <c r="N1775" i="3"/>
  <c r="K1775" i="3"/>
  <c r="AJ1774" i="3"/>
  <c r="AL1774" i="3"/>
  <c r="AI1774" i="3"/>
  <c r="O1774" i="3"/>
  <c r="M1774" i="3"/>
  <c r="L1774" i="3"/>
  <c r="N1774" i="3"/>
  <c r="K1774" i="3"/>
  <c r="AJ1773" i="3"/>
  <c r="AL1773" i="3"/>
  <c r="AI1773" i="3"/>
  <c r="O1773" i="3"/>
  <c r="M1773" i="3"/>
  <c r="L1773" i="3"/>
  <c r="N1773" i="3"/>
  <c r="K1773" i="3"/>
  <c r="AJ1772" i="3"/>
  <c r="AL1772" i="3"/>
  <c r="AI1772" i="3"/>
  <c r="O1772" i="3"/>
  <c r="M1772" i="3"/>
  <c r="L1772" i="3"/>
  <c r="N1772" i="3"/>
  <c r="K1772" i="3"/>
  <c r="AJ1771" i="3"/>
  <c r="AL1771" i="3"/>
  <c r="AI1771" i="3"/>
  <c r="O1771" i="3"/>
  <c r="M1771" i="3"/>
  <c r="L1771" i="3"/>
  <c r="N1771" i="3"/>
  <c r="K1771" i="3"/>
  <c r="AJ1770" i="3"/>
  <c r="AL1770" i="3"/>
  <c r="AI1770" i="3"/>
  <c r="O1770" i="3"/>
  <c r="M1770" i="3"/>
  <c r="L1770" i="3"/>
  <c r="N1770" i="3"/>
  <c r="K1770" i="3"/>
  <c r="AJ1769" i="3"/>
  <c r="AL1769" i="3"/>
  <c r="AI1769" i="3"/>
  <c r="O1769" i="3"/>
  <c r="M1769" i="3"/>
  <c r="L1769" i="3"/>
  <c r="N1769" i="3"/>
  <c r="K1769" i="3"/>
  <c r="AJ1768" i="3"/>
  <c r="AL1768" i="3"/>
  <c r="AI1768" i="3"/>
  <c r="O1768" i="3"/>
  <c r="M1768" i="3"/>
  <c r="L1768" i="3"/>
  <c r="N1768" i="3"/>
  <c r="K1768" i="3"/>
  <c r="AJ1767" i="3"/>
  <c r="AL1767" i="3"/>
  <c r="AI1767" i="3"/>
  <c r="O1767" i="3"/>
  <c r="M1767" i="3"/>
  <c r="L1767" i="3"/>
  <c r="N1767" i="3"/>
  <c r="K1767" i="3"/>
  <c r="AJ1766" i="3"/>
  <c r="AL1766" i="3"/>
  <c r="AI1766" i="3"/>
  <c r="O1766" i="3"/>
  <c r="M1766" i="3"/>
  <c r="L1766" i="3"/>
  <c r="N1766" i="3"/>
  <c r="K1766" i="3"/>
  <c r="AJ1765" i="3"/>
  <c r="AL1765" i="3"/>
  <c r="AI1765" i="3"/>
  <c r="O1765" i="3"/>
  <c r="M1765" i="3"/>
  <c r="L1765" i="3"/>
  <c r="N1765" i="3"/>
  <c r="K1765" i="3"/>
  <c r="AJ1764" i="3"/>
  <c r="AL1764" i="3"/>
  <c r="AI1764" i="3"/>
  <c r="O1764" i="3"/>
  <c r="M1764" i="3"/>
  <c r="L1764" i="3"/>
  <c r="N1764" i="3"/>
  <c r="K1764" i="3"/>
  <c r="AJ1763" i="3"/>
  <c r="AL1763" i="3"/>
  <c r="AI1763" i="3"/>
  <c r="O1763" i="3"/>
  <c r="M1763" i="3"/>
  <c r="L1763" i="3"/>
  <c r="N1763" i="3"/>
  <c r="K1763" i="3"/>
  <c r="AJ1762" i="3"/>
  <c r="AL1762" i="3"/>
  <c r="AI1762" i="3"/>
  <c r="O1762" i="3"/>
  <c r="M1762" i="3"/>
  <c r="L1762" i="3"/>
  <c r="N1762" i="3"/>
  <c r="K1762" i="3"/>
  <c r="AJ1761" i="3"/>
  <c r="AL1761" i="3"/>
  <c r="AI1761" i="3"/>
  <c r="O1761" i="3"/>
  <c r="M1761" i="3"/>
  <c r="L1761" i="3"/>
  <c r="N1761" i="3"/>
  <c r="K1761" i="3"/>
  <c r="AJ1760" i="3"/>
  <c r="AL1760" i="3"/>
  <c r="AI1760" i="3"/>
  <c r="O1760" i="3"/>
  <c r="M1760" i="3"/>
  <c r="L1760" i="3"/>
  <c r="N1760" i="3"/>
  <c r="K1760" i="3"/>
  <c r="AJ1759" i="3"/>
  <c r="AL1759" i="3"/>
  <c r="AI1759" i="3"/>
  <c r="O1759" i="3"/>
  <c r="M1759" i="3"/>
  <c r="L1759" i="3"/>
  <c r="N1759" i="3"/>
  <c r="K1759" i="3"/>
  <c r="AJ1758" i="3"/>
  <c r="AL1758" i="3"/>
  <c r="AI1758" i="3"/>
  <c r="O1758" i="3"/>
  <c r="M1758" i="3"/>
  <c r="L1758" i="3"/>
  <c r="N1758" i="3"/>
  <c r="K1758" i="3"/>
  <c r="AJ1757" i="3"/>
  <c r="AL1757" i="3"/>
  <c r="AI1757" i="3"/>
  <c r="O1757" i="3"/>
  <c r="M1757" i="3"/>
  <c r="L1757" i="3"/>
  <c r="N1757" i="3"/>
  <c r="K1757" i="3"/>
  <c r="AJ1756" i="3"/>
  <c r="AL1756" i="3"/>
  <c r="AI1756" i="3"/>
  <c r="O1756" i="3"/>
  <c r="M1756" i="3"/>
  <c r="L1756" i="3"/>
  <c r="N1756" i="3"/>
  <c r="K1756" i="3"/>
  <c r="AJ1755" i="3"/>
  <c r="AL1755" i="3"/>
  <c r="AI1755" i="3"/>
  <c r="O1755" i="3"/>
  <c r="M1755" i="3"/>
  <c r="L1755" i="3"/>
  <c r="N1755" i="3"/>
  <c r="K1755" i="3"/>
  <c r="AJ1754" i="3"/>
  <c r="AL1754" i="3"/>
  <c r="AI1754" i="3"/>
  <c r="O1754" i="3"/>
  <c r="M1754" i="3"/>
  <c r="L1754" i="3"/>
  <c r="N1754" i="3"/>
  <c r="K1754" i="3"/>
  <c r="AJ1753" i="3"/>
  <c r="AL1753" i="3"/>
  <c r="AI1753" i="3"/>
  <c r="O1753" i="3"/>
  <c r="M1753" i="3"/>
  <c r="L1753" i="3"/>
  <c r="N1753" i="3"/>
  <c r="K1753" i="3"/>
  <c r="AJ1752" i="3"/>
  <c r="AL1752" i="3"/>
  <c r="AI1752" i="3"/>
  <c r="O1752" i="3"/>
  <c r="M1752" i="3"/>
  <c r="L1752" i="3"/>
  <c r="N1752" i="3"/>
  <c r="K1752" i="3"/>
  <c r="AJ1751" i="3"/>
  <c r="AL1751" i="3"/>
  <c r="AI1751" i="3"/>
  <c r="O1751" i="3"/>
  <c r="M1751" i="3"/>
  <c r="L1751" i="3"/>
  <c r="N1751" i="3"/>
  <c r="K1751" i="3"/>
  <c r="AJ1750" i="3"/>
  <c r="AL1750" i="3"/>
  <c r="AI1750" i="3"/>
  <c r="O1750" i="3"/>
  <c r="M1750" i="3"/>
  <c r="L1750" i="3"/>
  <c r="N1750" i="3"/>
  <c r="K1750" i="3"/>
  <c r="AJ1749" i="3"/>
  <c r="AL1749" i="3"/>
  <c r="AI1749" i="3"/>
  <c r="O1749" i="3"/>
  <c r="M1749" i="3"/>
  <c r="L1749" i="3"/>
  <c r="N1749" i="3"/>
  <c r="K1749" i="3"/>
  <c r="AJ1748" i="3"/>
  <c r="AL1748" i="3"/>
  <c r="AI1748" i="3"/>
  <c r="O1748" i="3"/>
  <c r="M1748" i="3"/>
  <c r="L1748" i="3"/>
  <c r="N1748" i="3"/>
  <c r="K1748" i="3"/>
  <c r="AJ1747" i="3"/>
  <c r="AL1747" i="3"/>
  <c r="AI1747" i="3"/>
  <c r="O1747" i="3"/>
  <c r="M1747" i="3"/>
  <c r="L1747" i="3"/>
  <c r="N1747" i="3"/>
  <c r="K1747" i="3"/>
  <c r="AJ1746" i="3"/>
  <c r="AL1746" i="3"/>
  <c r="AI1746" i="3"/>
  <c r="O1746" i="3"/>
  <c r="M1746" i="3"/>
  <c r="L1746" i="3"/>
  <c r="N1746" i="3"/>
  <c r="K1746" i="3"/>
  <c r="AJ1745" i="3"/>
  <c r="AL1745" i="3"/>
  <c r="AI1745" i="3"/>
  <c r="O1745" i="3"/>
  <c r="M1745" i="3"/>
  <c r="L1745" i="3"/>
  <c r="N1745" i="3"/>
  <c r="K1745" i="3"/>
  <c r="AJ1744" i="3"/>
  <c r="AL1744" i="3"/>
  <c r="AI1744" i="3"/>
  <c r="O1744" i="3"/>
  <c r="M1744" i="3"/>
  <c r="L1744" i="3"/>
  <c r="N1744" i="3"/>
  <c r="K1744" i="3"/>
  <c r="AJ1743" i="3"/>
  <c r="AL1743" i="3"/>
  <c r="AI1743" i="3"/>
  <c r="O1743" i="3"/>
  <c r="M1743" i="3"/>
  <c r="L1743" i="3"/>
  <c r="N1743" i="3"/>
  <c r="K1743" i="3"/>
  <c r="AJ1742" i="3"/>
  <c r="AL1742" i="3"/>
  <c r="AI1742" i="3"/>
  <c r="O1742" i="3"/>
  <c r="M1742" i="3"/>
  <c r="L1742" i="3"/>
  <c r="N1742" i="3"/>
  <c r="K1742" i="3"/>
  <c r="AJ1741" i="3"/>
  <c r="AL1741" i="3"/>
  <c r="AI1741" i="3"/>
  <c r="O1741" i="3"/>
  <c r="M1741" i="3"/>
  <c r="L1741" i="3"/>
  <c r="N1741" i="3"/>
  <c r="K1741" i="3"/>
  <c r="AJ1740" i="3"/>
  <c r="AL1740" i="3"/>
  <c r="AI1740" i="3"/>
  <c r="O1740" i="3"/>
  <c r="M1740" i="3"/>
  <c r="L1740" i="3"/>
  <c r="N1740" i="3"/>
  <c r="K1740" i="3"/>
  <c r="AJ1739" i="3"/>
  <c r="AL1739" i="3"/>
  <c r="AI1739" i="3"/>
  <c r="O1739" i="3"/>
  <c r="M1739" i="3"/>
  <c r="L1739" i="3"/>
  <c r="N1739" i="3"/>
  <c r="K1739" i="3"/>
  <c r="AJ1738" i="3"/>
  <c r="AL1738" i="3"/>
  <c r="AI1738" i="3"/>
  <c r="O1738" i="3"/>
  <c r="M1738" i="3"/>
  <c r="L1738" i="3"/>
  <c r="N1738" i="3"/>
  <c r="K1738" i="3"/>
  <c r="AJ1737" i="3"/>
  <c r="AL1737" i="3"/>
  <c r="AI1737" i="3"/>
  <c r="O1737" i="3"/>
  <c r="M1737" i="3"/>
  <c r="L1737" i="3"/>
  <c r="N1737" i="3"/>
  <c r="K1737" i="3"/>
  <c r="AJ1736" i="3"/>
  <c r="AL1736" i="3"/>
  <c r="AI1736" i="3"/>
  <c r="O1736" i="3"/>
  <c r="M1736" i="3"/>
  <c r="L1736" i="3"/>
  <c r="N1736" i="3"/>
  <c r="K1736" i="3"/>
  <c r="AJ1735" i="3"/>
  <c r="AL1735" i="3"/>
  <c r="AI1735" i="3"/>
  <c r="O1735" i="3"/>
  <c r="M1735" i="3"/>
  <c r="L1735" i="3"/>
  <c r="N1735" i="3"/>
  <c r="K1735" i="3"/>
  <c r="AJ1734" i="3"/>
  <c r="AL1734" i="3"/>
  <c r="AI1734" i="3"/>
  <c r="O1734" i="3"/>
  <c r="M1734" i="3"/>
  <c r="L1734" i="3"/>
  <c r="N1734" i="3"/>
  <c r="K1734" i="3"/>
  <c r="AJ1733" i="3"/>
  <c r="AL1733" i="3"/>
  <c r="AI1733" i="3"/>
  <c r="O1733" i="3"/>
  <c r="M1733" i="3"/>
  <c r="L1733" i="3"/>
  <c r="N1733" i="3"/>
  <c r="K1733" i="3"/>
  <c r="AJ1732" i="3"/>
  <c r="AL1732" i="3"/>
  <c r="AI1732" i="3"/>
  <c r="O1732" i="3"/>
  <c r="M1732" i="3"/>
  <c r="L1732" i="3"/>
  <c r="N1732" i="3"/>
  <c r="K1732" i="3"/>
  <c r="AJ1731" i="3"/>
  <c r="AL1731" i="3"/>
  <c r="AI1731" i="3"/>
  <c r="O1731" i="3"/>
  <c r="M1731" i="3"/>
  <c r="L1731" i="3"/>
  <c r="N1731" i="3"/>
  <c r="K1731" i="3"/>
  <c r="AJ1730" i="3"/>
  <c r="AL1730" i="3"/>
  <c r="AI1730" i="3"/>
  <c r="O1730" i="3"/>
  <c r="M1730" i="3"/>
  <c r="L1730" i="3"/>
  <c r="N1730" i="3"/>
  <c r="K1730" i="3"/>
  <c r="AJ1729" i="3"/>
  <c r="AL1729" i="3"/>
  <c r="AI1729" i="3"/>
  <c r="O1729" i="3"/>
  <c r="M1729" i="3"/>
  <c r="L1729" i="3"/>
  <c r="N1729" i="3"/>
  <c r="K1729" i="3"/>
  <c r="AJ1728" i="3"/>
  <c r="AL1728" i="3"/>
  <c r="AI1728" i="3"/>
  <c r="O1728" i="3"/>
  <c r="M1728" i="3"/>
  <c r="L1728" i="3"/>
  <c r="N1728" i="3"/>
  <c r="K1728" i="3"/>
  <c r="AJ1727" i="3"/>
  <c r="AL1727" i="3"/>
  <c r="AI1727" i="3"/>
  <c r="O1727" i="3"/>
  <c r="M1727" i="3"/>
  <c r="L1727" i="3"/>
  <c r="N1727" i="3"/>
  <c r="K1727" i="3"/>
  <c r="AJ1726" i="3"/>
  <c r="AL1726" i="3"/>
  <c r="AI1726" i="3"/>
  <c r="O1726" i="3"/>
  <c r="M1726" i="3"/>
  <c r="L1726" i="3"/>
  <c r="N1726" i="3"/>
  <c r="K1726" i="3"/>
  <c r="AJ1725" i="3"/>
  <c r="AL1725" i="3"/>
  <c r="AI1725" i="3"/>
  <c r="O1725" i="3"/>
  <c r="M1725" i="3"/>
  <c r="L1725" i="3"/>
  <c r="N1725" i="3"/>
  <c r="K1725" i="3"/>
  <c r="AJ1724" i="3"/>
  <c r="AL1724" i="3"/>
  <c r="AI1724" i="3"/>
  <c r="O1724" i="3"/>
  <c r="M1724" i="3"/>
  <c r="L1724" i="3"/>
  <c r="N1724" i="3"/>
  <c r="K1724" i="3"/>
  <c r="AJ1723" i="3"/>
  <c r="AL1723" i="3"/>
  <c r="AI1723" i="3"/>
  <c r="O1723" i="3"/>
  <c r="M1723" i="3"/>
  <c r="L1723" i="3"/>
  <c r="N1723" i="3"/>
  <c r="K1723" i="3"/>
  <c r="AJ1722" i="3"/>
  <c r="AL1722" i="3"/>
  <c r="AI1722" i="3"/>
  <c r="O1722" i="3"/>
  <c r="M1722" i="3"/>
  <c r="L1722" i="3"/>
  <c r="N1722" i="3"/>
  <c r="K1722" i="3"/>
  <c r="AJ1721" i="3"/>
  <c r="AL1721" i="3"/>
  <c r="AI1721" i="3"/>
  <c r="O1721" i="3"/>
  <c r="M1721" i="3"/>
  <c r="L1721" i="3"/>
  <c r="N1721" i="3"/>
  <c r="K1721" i="3"/>
  <c r="AJ1720" i="3"/>
  <c r="AL1720" i="3"/>
  <c r="AI1720" i="3"/>
  <c r="O1720" i="3"/>
  <c r="M1720" i="3"/>
  <c r="L1720" i="3"/>
  <c r="N1720" i="3"/>
  <c r="K1720" i="3"/>
  <c r="AJ1719" i="3"/>
  <c r="AL1719" i="3"/>
  <c r="AI1719" i="3"/>
  <c r="O1719" i="3"/>
  <c r="M1719" i="3"/>
  <c r="L1719" i="3"/>
  <c r="N1719" i="3"/>
  <c r="K1719" i="3"/>
  <c r="AJ1718" i="3"/>
  <c r="AL1718" i="3"/>
  <c r="AI1718" i="3"/>
  <c r="O1718" i="3"/>
  <c r="M1718" i="3"/>
  <c r="L1718" i="3"/>
  <c r="N1718" i="3"/>
  <c r="K1718" i="3"/>
  <c r="AJ1717" i="3"/>
  <c r="AL1717" i="3"/>
  <c r="AI1717" i="3"/>
  <c r="O1717" i="3"/>
  <c r="M1717" i="3"/>
  <c r="L1717" i="3"/>
  <c r="N1717" i="3"/>
  <c r="K1717" i="3"/>
  <c r="AJ1716" i="3"/>
  <c r="AL1716" i="3"/>
  <c r="AI1716" i="3"/>
  <c r="O1716" i="3"/>
  <c r="M1716" i="3"/>
  <c r="L1716" i="3"/>
  <c r="N1716" i="3"/>
  <c r="K1716" i="3"/>
  <c r="AJ1715" i="3"/>
  <c r="AL1715" i="3"/>
  <c r="AI1715" i="3"/>
  <c r="O1715" i="3"/>
  <c r="M1715" i="3"/>
  <c r="L1715" i="3"/>
  <c r="N1715" i="3"/>
  <c r="K1715" i="3"/>
  <c r="AJ1714" i="3"/>
  <c r="AL1714" i="3"/>
  <c r="AI1714" i="3"/>
  <c r="O1714" i="3"/>
  <c r="M1714" i="3"/>
  <c r="L1714" i="3"/>
  <c r="N1714" i="3"/>
  <c r="K1714" i="3"/>
  <c r="AJ1713" i="3"/>
  <c r="AL1713" i="3"/>
  <c r="AI1713" i="3"/>
  <c r="O1713" i="3"/>
  <c r="M1713" i="3"/>
  <c r="L1713" i="3"/>
  <c r="N1713" i="3"/>
  <c r="K1713" i="3"/>
  <c r="AJ1712" i="3"/>
  <c r="AL1712" i="3"/>
  <c r="AI1712" i="3"/>
  <c r="O1712" i="3"/>
  <c r="M1712" i="3"/>
  <c r="L1712" i="3"/>
  <c r="N1712" i="3"/>
  <c r="K1712" i="3"/>
  <c r="AJ1711" i="3"/>
  <c r="AL1711" i="3"/>
  <c r="AI1711" i="3"/>
  <c r="O1711" i="3"/>
  <c r="M1711" i="3"/>
  <c r="L1711" i="3"/>
  <c r="N1711" i="3"/>
  <c r="K1711" i="3"/>
  <c r="AJ1710" i="3"/>
  <c r="AL1710" i="3"/>
  <c r="AI1710" i="3"/>
  <c r="O1710" i="3"/>
  <c r="M1710" i="3"/>
  <c r="L1710" i="3"/>
  <c r="N1710" i="3"/>
  <c r="K1710" i="3"/>
  <c r="AJ1709" i="3"/>
  <c r="AL1709" i="3"/>
  <c r="AI1709" i="3"/>
  <c r="O1709" i="3"/>
  <c r="M1709" i="3"/>
  <c r="L1709" i="3"/>
  <c r="N1709" i="3"/>
  <c r="K1709" i="3"/>
  <c r="AJ1708" i="3"/>
  <c r="AL1708" i="3"/>
  <c r="AI1708" i="3"/>
  <c r="O1708" i="3"/>
  <c r="M1708" i="3"/>
  <c r="L1708" i="3"/>
  <c r="N1708" i="3"/>
  <c r="K1708" i="3"/>
  <c r="AJ1707" i="3"/>
  <c r="AL1707" i="3"/>
  <c r="AI1707" i="3"/>
  <c r="O1707" i="3"/>
  <c r="M1707" i="3"/>
  <c r="L1707" i="3"/>
  <c r="N1707" i="3"/>
  <c r="K1707" i="3"/>
  <c r="AJ1706" i="3"/>
  <c r="AL1706" i="3"/>
  <c r="AI1706" i="3"/>
  <c r="O1706" i="3"/>
  <c r="M1706" i="3"/>
  <c r="L1706" i="3"/>
  <c r="N1706" i="3"/>
  <c r="K1706" i="3"/>
  <c r="AJ1705" i="3"/>
  <c r="AL1705" i="3"/>
  <c r="AI1705" i="3"/>
  <c r="O1705" i="3"/>
  <c r="M1705" i="3"/>
  <c r="L1705" i="3"/>
  <c r="N1705" i="3"/>
  <c r="K1705" i="3"/>
  <c r="AJ1704" i="3"/>
  <c r="AL1704" i="3"/>
  <c r="AI1704" i="3"/>
  <c r="X1704" i="3"/>
  <c r="Z1704" i="3"/>
  <c r="W1704" i="3"/>
  <c r="O1704" i="3"/>
  <c r="M1704" i="3"/>
  <c r="L1704" i="3"/>
  <c r="N1704" i="3"/>
  <c r="K1704" i="3"/>
  <c r="AJ1703" i="3"/>
  <c r="AL1703" i="3"/>
  <c r="AI1703" i="3"/>
  <c r="X1703" i="3"/>
  <c r="Z1703" i="3"/>
  <c r="W1703" i="3"/>
  <c r="O1703" i="3"/>
  <c r="M1703" i="3"/>
  <c r="L1703" i="3"/>
  <c r="N1703" i="3"/>
  <c r="K1703" i="3"/>
  <c r="AJ1702" i="3"/>
  <c r="AL1702" i="3"/>
  <c r="AI1702" i="3"/>
  <c r="X1702" i="3"/>
  <c r="Z1702" i="3"/>
  <c r="W1702" i="3"/>
  <c r="O1702" i="3"/>
  <c r="M1702" i="3"/>
  <c r="L1702" i="3"/>
  <c r="N1702" i="3"/>
  <c r="K1702" i="3"/>
  <c r="AJ1701" i="3"/>
  <c r="AL1701" i="3"/>
  <c r="AI1701" i="3"/>
  <c r="X1701" i="3"/>
  <c r="Z1701" i="3"/>
  <c r="W1701" i="3"/>
  <c r="O1701" i="3"/>
  <c r="M1701" i="3"/>
  <c r="L1701" i="3"/>
  <c r="N1701" i="3"/>
  <c r="K1701" i="3"/>
  <c r="AJ1700" i="3"/>
  <c r="AL1700" i="3"/>
  <c r="AI1700" i="3"/>
  <c r="X1700" i="3"/>
  <c r="Z1700" i="3"/>
  <c r="W1700" i="3"/>
  <c r="O1700" i="3"/>
  <c r="M1700" i="3"/>
  <c r="L1700" i="3"/>
  <c r="N1700" i="3"/>
  <c r="K1700" i="3"/>
  <c r="AJ1699" i="3"/>
  <c r="AL1699" i="3"/>
  <c r="AI1699" i="3"/>
  <c r="X1699" i="3"/>
  <c r="Z1699" i="3"/>
  <c r="W1699" i="3"/>
  <c r="O1699" i="3"/>
  <c r="M1699" i="3"/>
  <c r="L1699" i="3"/>
  <c r="N1699" i="3"/>
  <c r="K1699" i="3"/>
  <c r="AJ1698" i="3"/>
  <c r="AL1698" i="3"/>
  <c r="AI1698" i="3"/>
  <c r="X1698" i="3"/>
  <c r="Z1698" i="3"/>
  <c r="W1698" i="3"/>
  <c r="O1698" i="3"/>
  <c r="M1698" i="3"/>
  <c r="L1698" i="3"/>
  <c r="N1698" i="3"/>
  <c r="K1698" i="3"/>
  <c r="AJ1697" i="3"/>
  <c r="AL1697" i="3"/>
  <c r="AI1697" i="3"/>
  <c r="X1697" i="3"/>
  <c r="Z1697" i="3"/>
  <c r="W1697" i="3"/>
  <c r="O1697" i="3"/>
  <c r="M1697" i="3"/>
  <c r="L1697" i="3"/>
  <c r="N1697" i="3"/>
  <c r="K1697" i="3"/>
  <c r="AJ1696" i="3"/>
  <c r="AL1696" i="3"/>
  <c r="AI1696" i="3"/>
  <c r="X1696" i="3"/>
  <c r="Z1696" i="3"/>
  <c r="W1696" i="3"/>
  <c r="O1696" i="3"/>
  <c r="M1696" i="3"/>
  <c r="L1696" i="3"/>
  <c r="N1696" i="3"/>
  <c r="K1696" i="3"/>
  <c r="AJ1695" i="3"/>
  <c r="AL1695" i="3"/>
  <c r="AI1695" i="3"/>
  <c r="X1695" i="3"/>
  <c r="Z1695" i="3"/>
  <c r="W1695" i="3"/>
  <c r="O1695" i="3"/>
  <c r="M1695" i="3"/>
  <c r="L1695" i="3"/>
  <c r="N1695" i="3"/>
  <c r="K1695" i="3"/>
  <c r="AJ1694" i="3"/>
  <c r="AL1694" i="3"/>
  <c r="AI1694" i="3"/>
  <c r="X1694" i="3"/>
  <c r="Z1694" i="3"/>
  <c r="W1694" i="3"/>
  <c r="O1694" i="3"/>
  <c r="M1694" i="3"/>
  <c r="L1694" i="3"/>
  <c r="N1694" i="3"/>
  <c r="K1694" i="3"/>
  <c r="AJ1693" i="3"/>
  <c r="AL1693" i="3"/>
  <c r="AI1693" i="3"/>
  <c r="X1693" i="3"/>
  <c r="Z1693" i="3"/>
  <c r="W1693" i="3"/>
  <c r="O1693" i="3"/>
  <c r="M1693" i="3"/>
  <c r="L1693" i="3"/>
  <c r="N1693" i="3"/>
  <c r="K1693" i="3"/>
  <c r="AJ1692" i="3"/>
  <c r="AL1692" i="3"/>
  <c r="AI1692" i="3"/>
  <c r="X1692" i="3"/>
  <c r="Z1692" i="3"/>
  <c r="W1692" i="3"/>
  <c r="O1692" i="3"/>
  <c r="M1692" i="3"/>
  <c r="L1692" i="3"/>
  <c r="N1692" i="3"/>
  <c r="K1692" i="3"/>
  <c r="AJ1691" i="3"/>
  <c r="AL1691" i="3"/>
  <c r="AI1691" i="3"/>
  <c r="X1691" i="3"/>
  <c r="Z1691" i="3"/>
  <c r="W1691" i="3"/>
  <c r="O1691" i="3"/>
  <c r="M1691" i="3"/>
  <c r="L1691" i="3"/>
  <c r="N1691" i="3"/>
  <c r="K1691" i="3"/>
  <c r="AJ1690" i="3"/>
  <c r="AL1690" i="3"/>
  <c r="AI1690" i="3"/>
  <c r="X1690" i="3"/>
  <c r="Z1690" i="3"/>
  <c r="W1690" i="3"/>
  <c r="O1690" i="3"/>
  <c r="M1690" i="3"/>
  <c r="L1690" i="3"/>
  <c r="N1690" i="3"/>
  <c r="K1690" i="3"/>
  <c r="AJ1689" i="3"/>
  <c r="AL1689" i="3"/>
  <c r="AI1689" i="3"/>
  <c r="X1689" i="3"/>
  <c r="Z1689" i="3"/>
  <c r="W1689" i="3"/>
  <c r="O1689" i="3"/>
  <c r="M1689" i="3"/>
  <c r="L1689" i="3"/>
  <c r="N1689" i="3"/>
  <c r="K1689" i="3"/>
  <c r="AJ1688" i="3"/>
  <c r="AL1688" i="3"/>
  <c r="AI1688" i="3"/>
  <c r="X1688" i="3"/>
  <c r="Z1688" i="3"/>
  <c r="W1688" i="3"/>
  <c r="O1688" i="3"/>
  <c r="M1688" i="3"/>
  <c r="L1688" i="3"/>
  <c r="N1688" i="3"/>
  <c r="K1688" i="3"/>
  <c r="AJ1687" i="3"/>
  <c r="AL1687" i="3"/>
  <c r="AI1687" i="3"/>
  <c r="X1687" i="3"/>
  <c r="Z1687" i="3"/>
  <c r="W1687" i="3"/>
  <c r="O1687" i="3"/>
  <c r="M1687" i="3"/>
  <c r="L1687" i="3"/>
  <c r="N1687" i="3"/>
  <c r="K1687" i="3"/>
  <c r="AJ1686" i="3"/>
  <c r="AL1686" i="3"/>
  <c r="AI1686" i="3"/>
  <c r="X1686" i="3"/>
  <c r="Z1686" i="3"/>
  <c r="W1686" i="3"/>
  <c r="O1686" i="3"/>
  <c r="M1686" i="3"/>
  <c r="L1686" i="3"/>
  <c r="N1686" i="3"/>
  <c r="K1686" i="3"/>
  <c r="AJ1685" i="3"/>
  <c r="AL1685" i="3"/>
  <c r="AI1685" i="3"/>
  <c r="X1685" i="3"/>
  <c r="Z1685" i="3"/>
  <c r="W1685" i="3"/>
  <c r="O1685" i="3"/>
  <c r="M1685" i="3"/>
  <c r="L1685" i="3"/>
  <c r="N1685" i="3"/>
  <c r="K1685" i="3"/>
  <c r="AJ1684" i="3"/>
  <c r="AL1684" i="3"/>
  <c r="AI1684" i="3"/>
  <c r="X1684" i="3"/>
  <c r="Z1684" i="3"/>
  <c r="W1684" i="3"/>
  <c r="O1684" i="3"/>
  <c r="M1684" i="3"/>
  <c r="L1684" i="3"/>
  <c r="N1684" i="3"/>
  <c r="K1684" i="3"/>
  <c r="AJ1683" i="3"/>
  <c r="AL1683" i="3"/>
  <c r="AI1683" i="3"/>
  <c r="X1683" i="3"/>
  <c r="Z1683" i="3"/>
  <c r="W1683" i="3"/>
  <c r="O1683" i="3"/>
  <c r="M1683" i="3"/>
  <c r="L1683" i="3"/>
  <c r="N1683" i="3"/>
  <c r="K1683" i="3"/>
  <c r="AJ1682" i="3"/>
  <c r="AL1682" i="3"/>
  <c r="AI1682" i="3"/>
  <c r="X1682" i="3"/>
  <c r="Z1682" i="3"/>
  <c r="W1682" i="3"/>
  <c r="O1682" i="3"/>
  <c r="M1682" i="3"/>
  <c r="L1682" i="3"/>
  <c r="N1682" i="3"/>
  <c r="K1682" i="3"/>
  <c r="AJ1681" i="3"/>
  <c r="AL1681" i="3"/>
  <c r="AI1681" i="3"/>
  <c r="X1681" i="3"/>
  <c r="Z1681" i="3"/>
  <c r="W1681" i="3"/>
  <c r="O1681" i="3"/>
  <c r="M1681" i="3"/>
  <c r="L1681" i="3"/>
  <c r="N1681" i="3"/>
  <c r="K1681" i="3"/>
  <c r="AJ1680" i="3"/>
  <c r="AL1680" i="3"/>
  <c r="AI1680" i="3"/>
  <c r="X1680" i="3"/>
  <c r="Z1680" i="3"/>
  <c r="W1680" i="3"/>
  <c r="O1680" i="3"/>
  <c r="M1680" i="3"/>
  <c r="L1680" i="3"/>
  <c r="N1680" i="3"/>
  <c r="K1680" i="3"/>
  <c r="AJ1679" i="3"/>
  <c r="AL1679" i="3"/>
  <c r="AI1679" i="3"/>
  <c r="X1679" i="3"/>
  <c r="Z1679" i="3"/>
  <c r="W1679" i="3"/>
  <c r="O1679" i="3"/>
  <c r="M1679" i="3"/>
  <c r="L1679" i="3"/>
  <c r="N1679" i="3"/>
  <c r="K1679" i="3"/>
  <c r="AJ1678" i="3"/>
  <c r="AL1678" i="3"/>
  <c r="AI1678" i="3"/>
  <c r="X1678" i="3"/>
  <c r="Z1678" i="3"/>
  <c r="W1678" i="3"/>
  <c r="O1678" i="3"/>
  <c r="M1678" i="3"/>
  <c r="L1678" i="3"/>
  <c r="N1678" i="3"/>
  <c r="K1678" i="3"/>
  <c r="AJ1677" i="3"/>
  <c r="AL1677" i="3"/>
  <c r="AI1677" i="3"/>
  <c r="X1677" i="3"/>
  <c r="Z1677" i="3"/>
  <c r="W1677" i="3"/>
  <c r="O1677" i="3"/>
  <c r="M1677" i="3"/>
  <c r="L1677" i="3"/>
  <c r="N1677" i="3"/>
  <c r="K1677" i="3"/>
  <c r="AJ1676" i="3"/>
  <c r="AL1676" i="3"/>
  <c r="AI1676" i="3"/>
  <c r="X1676" i="3"/>
  <c r="Z1676" i="3"/>
  <c r="W1676" i="3"/>
  <c r="O1676" i="3"/>
  <c r="M1676" i="3"/>
  <c r="L1676" i="3"/>
  <c r="N1676" i="3"/>
  <c r="K1676" i="3"/>
  <c r="AJ1675" i="3"/>
  <c r="AL1675" i="3"/>
  <c r="AI1675" i="3"/>
  <c r="X1675" i="3"/>
  <c r="Z1675" i="3"/>
  <c r="W1675" i="3"/>
  <c r="O1675" i="3"/>
  <c r="M1675" i="3"/>
  <c r="L1675" i="3"/>
  <c r="N1675" i="3"/>
  <c r="K1675" i="3"/>
  <c r="AJ1674" i="3"/>
  <c r="AL1674" i="3"/>
  <c r="AI1674" i="3"/>
  <c r="X1674" i="3"/>
  <c r="Z1674" i="3"/>
  <c r="W1674" i="3"/>
  <c r="O1674" i="3"/>
  <c r="M1674" i="3"/>
  <c r="L1674" i="3"/>
  <c r="N1674" i="3"/>
  <c r="K1674" i="3"/>
  <c r="AJ1673" i="3"/>
  <c r="AL1673" i="3"/>
  <c r="AI1673" i="3"/>
  <c r="X1673" i="3"/>
  <c r="Z1673" i="3"/>
  <c r="W1673" i="3"/>
  <c r="O1673" i="3"/>
  <c r="M1673" i="3"/>
  <c r="L1673" i="3"/>
  <c r="N1673" i="3"/>
  <c r="K1673" i="3"/>
  <c r="AJ1672" i="3"/>
  <c r="AL1672" i="3"/>
  <c r="AI1672" i="3"/>
  <c r="X1672" i="3"/>
  <c r="Z1672" i="3"/>
  <c r="W1672" i="3"/>
  <c r="O1672" i="3"/>
  <c r="M1672" i="3"/>
  <c r="L1672" i="3"/>
  <c r="N1672" i="3"/>
  <c r="K1672" i="3"/>
  <c r="AJ1671" i="3"/>
  <c r="AL1671" i="3"/>
  <c r="AI1671" i="3"/>
  <c r="X1671" i="3"/>
  <c r="Z1671" i="3"/>
  <c r="W1671" i="3"/>
  <c r="O1671" i="3"/>
  <c r="M1671" i="3"/>
  <c r="L1671" i="3"/>
  <c r="N1671" i="3"/>
  <c r="K1671" i="3"/>
  <c r="AJ1670" i="3"/>
  <c r="AL1670" i="3"/>
  <c r="AI1670" i="3"/>
  <c r="X1670" i="3"/>
  <c r="Z1670" i="3"/>
  <c r="W1670" i="3"/>
  <c r="O1670" i="3"/>
  <c r="M1670" i="3"/>
  <c r="L1670" i="3"/>
  <c r="N1670" i="3"/>
  <c r="K1670" i="3"/>
  <c r="AJ1669" i="3"/>
  <c r="AL1669" i="3"/>
  <c r="AI1669" i="3"/>
  <c r="X1669" i="3"/>
  <c r="Z1669" i="3"/>
  <c r="W1669" i="3"/>
  <c r="O1669" i="3"/>
  <c r="M1669" i="3"/>
  <c r="L1669" i="3"/>
  <c r="N1669" i="3"/>
  <c r="K1669" i="3"/>
  <c r="AJ1668" i="3"/>
  <c r="AL1668" i="3"/>
  <c r="AI1668" i="3"/>
  <c r="X1668" i="3"/>
  <c r="Z1668" i="3"/>
  <c r="W1668" i="3"/>
  <c r="O1668" i="3"/>
  <c r="M1668" i="3"/>
  <c r="L1668" i="3"/>
  <c r="N1668" i="3"/>
  <c r="K1668" i="3"/>
  <c r="AJ1667" i="3"/>
  <c r="AL1667" i="3"/>
  <c r="AI1667" i="3"/>
  <c r="X1667" i="3"/>
  <c r="Z1667" i="3"/>
  <c r="W1667" i="3"/>
  <c r="O1667" i="3"/>
  <c r="M1667" i="3"/>
  <c r="L1667" i="3"/>
  <c r="N1667" i="3"/>
  <c r="K1667" i="3"/>
  <c r="AJ1666" i="3"/>
  <c r="AL1666" i="3"/>
  <c r="AI1666" i="3"/>
  <c r="X1666" i="3"/>
  <c r="Z1666" i="3"/>
  <c r="W1666" i="3"/>
  <c r="O1666" i="3"/>
  <c r="M1666" i="3"/>
  <c r="L1666" i="3"/>
  <c r="N1666" i="3"/>
  <c r="K1666" i="3"/>
  <c r="AJ1665" i="3"/>
  <c r="AL1665" i="3"/>
  <c r="AI1665" i="3"/>
  <c r="X1665" i="3"/>
  <c r="Z1665" i="3"/>
  <c r="W1665" i="3"/>
  <c r="O1665" i="3"/>
  <c r="M1665" i="3"/>
  <c r="L1665" i="3"/>
  <c r="N1665" i="3"/>
  <c r="K1665" i="3"/>
  <c r="AJ1664" i="3"/>
  <c r="AL1664" i="3"/>
  <c r="AI1664" i="3"/>
  <c r="X1664" i="3"/>
  <c r="Z1664" i="3"/>
  <c r="W1664" i="3"/>
  <c r="O1664" i="3"/>
  <c r="M1664" i="3"/>
  <c r="L1664" i="3"/>
  <c r="N1664" i="3"/>
  <c r="K1664" i="3"/>
  <c r="AJ1663" i="3"/>
  <c r="AL1663" i="3"/>
  <c r="AI1663" i="3"/>
  <c r="X1663" i="3"/>
  <c r="Z1663" i="3"/>
  <c r="W1663" i="3"/>
  <c r="O1663" i="3"/>
  <c r="M1663" i="3"/>
  <c r="L1663" i="3"/>
  <c r="N1663" i="3"/>
  <c r="K1663" i="3"/>
  <c r="AJ1662" i="3"/>
  <c r="AL1662" i="3"/>
  <c r="AI1662" i="3"/>
  <c r="X1662" i="3"/>
  <c r="Z1662" i="3"/>
  <c r="W1662" i="3"/>
  <c r="O1662" i="3"/>
  <c r="M1662" i="3"/>
  <c r="L1662" i="3"/>
  <c r="N1662" i="3"/>
  <c r="K1662" i="3"/>
  <c r="AJ1661" i="3"/>
  <c r="AL1661" i="3"/>
  <c r="AI1661" i="3"/>
  <c r="X1661" i="3"/>
  <c r="Z1661" i="3"/>
  <c r="W1661" i="3"/>
  <c r="O1661" i="3"/>
  <c r="M1661" i="3"/>
  <c r="L1661" i="3"/>
  <c r="N1661" i="3"/>
  <c r="K1661" i="3"/>
  <c r="AJ1660" i="3"/>
  <c r="AL1660" i="3"/>
  <c r="AI1660" i="3"/>
  <c r="X1660" i="3"/>
  <c r="Z1660" i="3"/>
  <c r="W1660" i="3"/>
  <c r="O1660" i="3"/>
  <c r="M1660" i="3"/>
  <c r="L1660" i="3"/>
  <c r="N1660" i="3"/>
  <c r="K1660" i="3"/>
  <c r="AJ1659" i="3"/>
  <c r="AL1659" i="3"/>
  <c r="AI1659" i="3"/>
  <c r="X1659" i="3"/>
  <c r="Z1659" i="3"/>
  <c r="W1659" i="3"/>
  <c r="O1659" i="3"/>
  <c r="M1659" i="3"/>
  <c r="L1659" i="3"/>
  <c r="N1659" i="3"/>
  <c r="K1659" i="3"/>
  <c r="AJ1658" i="3"/>
  <c r="AL1658" i="3"/>
  <c r="AI1658" i="3"/>
  <c r="X1658" i="3"/>
  <c r="Z1658" i="3"/>
  <c r="W1658" i="3"/>
  <c r="O1658" i="3"/>
  <c r="M1658" i="3"/>
  <c r="L1658" i="3"/>
  <c r="N1658" i="3"/>
  <c r="K1658" i="3"/>
  <c r="AJ1657" i="3"/>
  <c r="AL1657" i="3"/>
  <c r="AI1657" i="3"/>
  <c r="X1657" i="3"/>
  <c r="Z1657" i="3"/>
  <c r="W1657" i="3"/>
  <c r="O1657" i="3"/>
  <c r="M1657" i="3"/>
  <c r="L1657" i="3"/>
  <c r="N1657" i="3"/>
  <c r="K1657" i="3"/>
  <c r="AJ1656" i="3"/>
  <c r="AL1656" i="3"/>
  <c r="AI1656" i="3"/>
  <c r="X1656" i="3"/>
  <c r="Z1656" i="3"/>
  <c r="W1656" i="3"/>
  <c r="O1656" i="3"/>
  <c r="M1656" i="3"/>
  <c r="L1656" i="3"/>
  <c r="N1656" i="3"/>
  <c r="K1656" i="3"/>
  <c r="AJ1655" i="3"/>
  <c r="AL1655" i="3"/>
  <c r="AI1655" i="3"/>
  <c r="X1655" i="3"/>
  <c r="Z1655" i="3"/>
  <c r="W1655" i="3"/>
  <c r="O1655" i="3"/>
  <c r="M1655" i="3"/>
  <c r="L1655" i="3"/>
  <c r="N1655" i="3"/>
  <c r="K1655" i="3"/>
  <c r="AJ1654" i="3"/>
  <c r="AL1654" i="3"/>
  <c r="AI1654" i="3"/>
  <c r="X1654" i="3"/>
  <c r="Z1654" i="3"/>
  <c r="W1654" i="3"/>
  <c r="O1654" i="3"/>
  <c r="M1654" i="3"/>
  <c r="L1654" i="3"/>
  <c r="N1654" i="3"/>
  <c r="K1654" i="3"/>
  <c r="AJ1653" i="3"/>
  <c r="AL1653" i="3"/>
  <c r="AI1653" i="3"/>
  <c r="X1653" i="3"/>
  <c r="Z1653" i="3"/>
  <c r="W1653" i="3"/>
  <c r="O1653" i="3"/>
  <c r="M1653" i="3"/>
  <c r="L1653" i="3"/>
  <c r="N1653" i="3"/>
  <c r="K1653" i="3"/>
  <c r="AJ1652" i="3"/>
  <c r="AL1652" i="3"/>
  <c r="AI1652" i="3"/>
  <c r="X1652" i="3"/>
  <c r="Z1652" i="3"/>
  <c r="W1652" i="3"/>
  <c r="O1652" i="3"/>
  <c r="M1652" i="3"/>
  <c r="L1652" i="3"/>
  <c r="N1652" i="3"/>
  <c r="K1652" i="3"/>
  <c r="AJ1651" i="3"/>
  <c r="AL1651" i="3"/>
  <c r="AI1651" i="3"/>
  <c r="X1651" i="3"/>
  <c r="Z1651" i="3"/>
  <c r="W1651" i="3"/>
  <c r="O1651" i="3"/>
  <c r="M1651" i="3"/>
  <c r="L1651" i="3"/>
  <c r="N1651" i="3"/>
  <c r="K1651" i="3"/>
  <c r="AJ1650" i="3"/>
  <c r="AL1650" i="3"/>
  <c r="AI1650" i="3"/>
  <c r="X1650" i="3"/>
  <c r="Z1650" i="3"/>
  <c r="W1650" i="3"/>
  <c r="O1650" i="3"/>
  <c r="M1650" i="3"/>
  <c r="L1650" i="3"/>
  <c r="N1650" i="3"/>
  <c r="K1650" i="3"/>
  <c r="AJ1649" i="3"/>
  <c r="AL1649" i="3"/>
  <c r="AI1649" i="3"/>
  <c r="X1649" i="3"/>
  <c r="Z1649" i="3"/>
  <c r="W1649" i="3"/>
  <c r="O1649" i="3"/>
  <c r="M1649" i="3"/>
  <c r="L1649" i="3"/>
  <c r="N1649" i="3"/>
  <c r="K1649" i="3"/>
  <c r="AJ1648" i="3"/>
  <c r="AL1648" i="3"/>
  <c r="AI1648" i="3"/>
  <c r="X1648" i="3"/>
  <c r="Z1648" i="3"/>
  <c r="W1648" i="3"/>
  <c r="O1648" i="3"/>
  <c r="M1648" i="3"/>
  <c r="L1648" i="3"/>
  <c r="N1648" i="3"/>
  <c r="K1648" i="3"/>
  <c r="AJ1647" i="3"/>
  <c r="AL1647" i="3"/>
  <c r="AI1647" i="3"/>
  <c r="X1647" i="3"/>
  <c r="Z1647" i="3"/>
  <c r="W1647" i="3"/>
  <c r="O1647" i="3"/>
  <c r="M1647" i="3"/>
  <c r="L1647" i="3"/>
  <c r="N1647" i="3"/>
  <c r="K1647" i="3"/>
  <c r="AJ1646" i="3"/>
  <c r="AL1646" i="3"/>
  <c r="AI1646" i="3"/>
  <c r="X1646" i="3"/>
  <c r="Z1646" i="3"/>
  <c r="W1646" i="3"/>
  <c r="O1646" i="3"/>
  <c r="M1646" i="3"/>
  <c r="L1646" i="3"/>
  <c r="N1646" i="3"/>
  <c r="K1646" i="3"/>
  <c r="AJ1645" i="3"/>
  <c r="AL1645" i="3"/>
  <c r="AI1645" i="3"/>
  <c r="X1645" i="3"/>
  <c r="Z1645" i="3"/>
  <c r="W1645" i="3"/>
  <c r="O1645" i="3"/>
  <c r="M1645" i="3"/>
  <c r="L1645" i="3"/>
  <c r="N1645" i="3"/>
  <c r="K1645" i="3"/>
  <c r="AJ1644" i="3"/>
  <c r="AL1644" i="3"/>
  <c r="AI1644" i="3"/>
  <c r="X1644" i="3"/>
  <c r="Z1644" i="3"/>
  <c r="W1644" i="3"/>
  <c r="O1644" i="3"/>
  <c r="M1644" i="3"/>
  <c r="L1644" i="3"/>
  <c r="N1644" i="3"/>
  <c r="K1644" i="3"/>
  <c r="AJ1643" i="3"/>
  <c r="AL1643" i="3"/>
  <c r="AI1643" i="3"/>
  <c r="X1643" i="3"/>
  <c r="Z1643" i="3"/>
  <c r="W1643" i="3"/>
  <c r="O1643" i="3"/>
  <c r="M1643" i="3"/>
  <c r="L1643" i="3"/>
  <c r="N1643" i="3"/>
  <c r="K1643" i="3"/>
  <c r="AJ1642" i="3"/>
  <c r="AL1642" i="3"/>
  <c r="AI1642" i="3"/>
  <c r="X1642" i="3"/>
  <c r="Z1642" i="3"/>
  <c r="W1642" i="3"/>
  <c r="O1642" i="3"/>
  <c r="M1642" i="3"/>
  <c r="L1642" i="3"/>
  <c r="N1642" i="3"/>
  <c r="K1642" i="3"/>
  <c r="AJ1641" i="3"/>
  <c r="AL1641" i="3"/>
  <c r="AI1641" i="3"/>
  <c r="X1641" i="3"/>
  <c r="Z1641" i="3"/>
  <c r="W1641" i="3"/>
  <c r="O1641" i="3"/>
  <c r="M1641" i="3"/>
  <c r="L1641" i="3"/>
  <c r="N1641" i="3"/>
  <c r="K1641" i="3"/>
  <c r="AJ1640" i="3"/>
  <c r="AL1640" i="3"/>
  <c r="AI1640" i="3"/>
  <c r="X1640" i="3"/>
  <c r="Z1640" i="3"/>
  <c r="W1640" i="3"/>
  <c r="O1640" i="3"/>
  <c r="M1640" i="3"/>
  <c r="L1640" i="3"/>
  <c r="N1640" i="3"/>
  <c r="K1640" i="3"/>
  <c r="AJ1639" i="3"/>
  <c r="AL1639" i="3"/>
  <c r="AI1639" i="3"/>
  <c r="X1639" i="3"/>
  <c r="Z1639" i="3"/>
  <c r="W1639" i="3"/>
  <c r="O1639" i="3"/>
  <c r="M1639" i="3"/>
  <c r="L1639" i="3"/>
  <c r="N1639" i="3"/>
  <c r="K1639" i="3"/>
  <c r="AJ1638" i="3"/>
  <c r="AL1638" i="3"/>
  <c r="AI1638" i="3"/>
  <c r="X1638" i="3"/>
  <c r="Z1638" i="3"/>
  <c r="W1638" i="3"/>
  <c r="O1638" i="3"/>
  <c r="M1638" i="3"/>
  <c r="L1638" i="3"/>
  <c r="N1638" i="3"/>
  <c r="K1638" i="3"/>
  <c r="AJ1637" i="3"/>
  <c r="AL1637" i="3"/>
  <c r="AI1637" i="3"/>
  <c r="X1637" i="3"/>
  <c r="Z1637" i="3"/>
  <c r="W1637" i="3"/>
  <c r="O1637" i="3"/>
  <c r="M1637" i="3"/>
  <c r="L1637" i="3"/>
  <c r="N1637" i="3"/>
  <c r="K1637" i="3"/>
  <c r="AJ1636" i="3"/>
  <c r="AL1636" i="3"/>
  <c r="AI1636" i="3"/>
  <c r="X1636" i="3"/>
  <c r="Z1636" i="3"/>
  <c r="W1636" i="3"/>
  <c r="O1636" i="3"/>
  <c r="M1636" i="3"/>
  <c r="L1636" i="3"/>
  <c r="N1636" i="3"/>
  <c r="K1636" i="3"/>
  <c r="AJ1635" i="3"/>
  <c r="AL1635" i="3"/>
  <c r="AI1635" i="3"/>
  <c r="X1635" i="3"/>
  <c r="Z1635" i="3"/>
  <c r="W1635" i="3"/>
  <c r="O1635" i="3"/>
  <c r="M1635" i="3"/>
  <c r="L1635" i="3"/>
  <c r="N1635" i="3"/>
  <c r="K1635" i="3"/>
  <c r="AJ1634" i="3"/>
  <c r="AL1634" i="3"/>
  <c r="AI1634" i="3"/>
  <c r="X1634" i="3"/>
  <c r="Z1634" i="3"/>
  <c r="W1634" i="3"/>
  <c r="O1634" i="3"/>
  <c r="M1634" i="3"/>
  <c r="L1634" i="3"/>
  <c r="N1634" i="3"/>
  <c r="K1634" i="3"/>
  <c r="AJ1633" i="3"/>
  <c r="AL1633" i="3"/>
  <c r="AI1633" i="3"/>
  <c r="X1633" i="3"/>
  <c r="Z1633" i="3"/>
  <c r="W1633" i="3"/>
  <c r="O1633" i="3"/>
  <c r="M1633" i="3"/>
  <c r="L1633" i="3"/>
  <c r="N1633" i="3"/>
  <c r="K1633" i="3"/>
  <c r="AJ1632" i="3"/>
  <c r="AL1632" i="3"/>
  <c r="AI1632" i="3"/>
  <c r="X1632" i="3"/>
  <c r="Z1632" i="3"/>
  <c r="W1632" i="3"/>
  <c r="O1632" i="3"/>
  <c r="M1632" i="3"/>
  <c r="L1632" i="3"/>
  <c r="N1632" i="3"/>
  <c r="K1632" i="3"/>
  <c r="AJ1631" i="3"/>
  <c r="AL1631" i="3"/>
  <c r="AI1631" i="3"/>
  <c r="X1631" i="3"/>
  <c r="Z1631" i="3"/>
  <c r="W1631" i="3"/>
  <c r="O1631" i="3"/>
  <c r="M1631" i="3"/>
  <c r="L1631" i="3"/>
  <c r="N1631" i="3"/>
  <c r="K1631" i="3"/>
  <c r="AJ1630" i="3"/>
  <c r="AL1630" i="3"/>
  <c r="AI1630" i="3"/>
  <c r="X1630" i="3"/>
  <c r="Z1630" i="3"/>
  <c r="W1630" i="3"/>
  <c r="O1630" i="3"/>
  <c r="M1630" i="3"/>
  <c r="L1630" i="3"/>
  <c r="N1630" i="3"/>
  <c r="K1630" i="3"/>
  <c r="AJ1629" i="3"/>
  <c r="AL1629" i="3"/>
  <c r="AI1629" i="3"/>
  <c r="X1629" i="3"/>
  <c r="Z1629" i="3"/>
  <c r="W1629" i="3"/>
  <c r="O1629" i="3"/>
  <c r="M1629" i="3"/>
  <c r="L1629" i="3"/>
  <c r="N1629" i="3"/>
  <c r="K1629" i="3"/>
  <c r="AJ1628" i="3"/>
  <c r="AL1628" i="3"/>
  <c r="AI1628" i="3"/>
  <c r="X1628" i="3"/>
  <c r="Z1628" i="3"/>
  <c r="W1628" i="3"/>
  <c r="O1628" i="3"/>
  <c r="M1628" i="3"/>
  <c r="L1628" i="3"/>
  <c r="N1628" i="3"/>
  <c r="K1628" i="3"/>
  <c r="AJ1627" i="3"/>
  <c r="AL1627" i="3"/>
  <c r="AI1627" i="3"/>
  <c r="X1627" i="3"/>
  <c r="Z1627" i="3"/>
  <c r="W1627" i="3"/>
  <c r="O1627" i="3"/>
  <c r="M1627" i="3"/>
  <c r="L1627" i="3"/>
  <c r="N1627" i="3"/>
  <c r="K1627" i="3"/>
  <c r="AJ1626" i="3"/>
  <c r="AL1626" i="3"/>
  <c r="AI1626" i="3"/>
  <c r="X1626" i="3"/>
  <c r="Z1626" i="3"/>
  <c r="W1626" i="3"/>
  <c r="O1626" i="3"/>
  <c r="M1626" i="3"/>
  <c r="L1626" i="3"/>
  <c r="N1626" i="3"/>
  <c r="K1626" i="3"/>
  <c r="AJ1625" i="3"/>
  <c r="AL1625" i="3"/>
  <c r="AI1625" i="3"/>
  <c r="X1625" i="3"/>
  <c r="Z1625" i="3"/>
  <c r="W1625" i="3"/>
  <c r="O1625" i="3"/>
  <c r="M1625" i="3"/>
  <c r="L1625" i="3"/>
  <c r="N1625" i="3"/>
  <c r="K1625" i="3"/>
  <c r="AJ1624" i="3"/>
  <c r="AL1624" i="3"/>
  <c r="AI1624" i="3"/>
  <c r="X1624" i="3"/>
  <c r="Z1624" i="3"/>
  <c r="W1624" i="3"/>
  <c r="O1624" i="3"/>
  <c r="M1624" i="3"/>
  <c r="L1624" i="3"/>
  <c r="N1624" i="3"/>
  <c r="K1624" i="3"/>
  <c r="AJ1623" i="3"/>
  <c r="AL1623" i="3"/>
  <c r="AI1623" i="3"/>
  <c r="X1623" i="3"/>
  <c r="Z1623" i="3"/>
  <c r="W1623" i="3"/>
  <c r="O1623" i="3"/>
  <c r="M1623" i="3"/>
  <c r="L1623" i="3"/>
  <c r="N1623" i="3"/>
  <c r="K1623" i="3"/>
  <c r="AJ1622" i="3"/>
  <c r="AL1622" i="3"/>
  <c r="AI1622" i="3"/>
  <c r="X1622" i="3"/>
  <c r="Z1622" i="3"/>
  <c r="W1622" i="3"/>
  <c r="O1622" i="3"/>
  <c r="M1622" i="3"/>
  <c r="L1622" i="3"/>
  <c r="N1622" i="3"/>
  <c r="K1622" i="3"/>
  <c r="AJ1621" i="3"/>
  <c r="AL1621" i="3"/>
  <c r="AI1621" i="3"/>
  <c r="X1621" i="3"/>
  <c r="Z1621" i="3"/>
  <c r="W1621" i="3"/>
  <c r="O1621" i="3"/>
  <c r="M1621" i="3"/>
  <c r="L1621" i="3"/>
  <c r="N1621" i="3"/>
  <c r="K1621" i="3"/>
  <c r="AJ1620" i="3"/>
  <c r="AL1620" i="3"/>
  <c r="AI1620" i="3"/>
  <c r="X1620" i="3"/>
  <c r="Z1620" i="3"/>
  <c r="W1620" i="3"/>
  <c r="O1620" i="3"/>
  <c r="M1620" i="3"/>
  <c r="L1620" i="3"/>
  <c r="N1620" i="3"/>
  <c r="K1620" i="3"/>
  <c r="AJ1619" i="3"/>
  <c r="AL1619" i="3"/>
  <c r="AI1619" i="3"/>
  <c r="X1619" i="3"/>
  <c r="Z1619" i="3"/>
  <c r="W1619" i="3"/>
  <c r="O1619" i="3"/>
  <c r="M1619" i="3"/>
  <c r="L1619" i="3"/>
  <c r="N1619" i="3"/>
  <c r="K1619" i="3"/>
  <c r="AJ1618" i="3"/>
  <c r="AL1618" i="3"/>
  <c r="AI1618" i="3"/>
  <c r="X1618" i="3"/>
  <c r="Z1618" i="3"/>
  <c r="W1618" i="3"/>
  <c r="O1618" i="3"/>
  <c r="M1618" i="3"/>
  <c r="L1618" i="3"/>
  <c r="N1618" i="3"/>
  <c r="K1618" i="3"/>
  <c r="AJ1617" i="3"/>
  <c r="AL1617" i="3"/>
  <c r="AI1617" i="3"/>
  <c r="X1617" i="3"/>
  <c r="Z1617" i="3"/>
  <c r="W1617" i="3"/>
  <c r="O1617" i="3"/>
  <c r="M1617" i="3"/>
  <c r="L1617" i="3"/>
  <c r="N1617" i="3"/>
  <c r="K1617" i="3"/>
  <c r="AJ1616" i="3"/>
  <c r="AL1616" i="3"/>
  <c r="AI1616" i="3"/>
  <c r="X1616" i="3"/>
  <c r="Z1616" i="3"/>
  <c r="W1616" i="3"/>
  <c r="O1616" i="3"/>
  <c r="M1616" i="3"/>
  <c r="L1616" i="3"/>
  <c r="N1616" i="3"/>
  <c r="K1616" i="3"/>
  <c r="AJ1615" i="3"/>
  <c r="AL1615" i="3"/>
  <c r="AI1615" i="3"/>
  <c r="X1615" i="3"/>
  <c r="Z1615" i="3"/>
  <c r="W1615" i="3"/>
  <c r="O1615" i="3"/>
  <c r="M1615" i="3"/>
  <c r="L1615" i="3"/>
  <c r="N1615" i="3"/>
  <c r="K1615" i="3"/>
  <c r="AJ1614" i="3"/>
  <c r="AL1614" i="3"/>
  <c r="AI1614" i="3"/>
  <c r="X1614" i="3"/>
  <c r="Z1614" i="3"/>
  <c r="W1614" i="3"/>
  <c r="O1614" i="3"/>
  <c r="M1614" i="3"/>
  <c r="L1614" i="3"/>
  <c r="N1614" i="3"/>
  <c r="K1614" i="3"/>
  <c r="AJ1613" i="3"/>
  <c r="AL1613" i="3"/>
  <c r="AI1613" i="3"/>
  <c r="X1613" i="3"/>
  <c r="Z1613" i="3"/>
  <c r="W1613" i="3"/>
  <c r="O1613" i="3"/>
  <c r="M1613" i="3"/>
  <c r="L1613" i="3"/>
  <c r="N1613" i="3"/>
  <c r="K1613" i="3"/>
  <c r="AJ1612" i="3"/>
  <c r="AL1612" i="3"/>
  <c r="AI1612" i="3"/>
  <c r="X1612" i="3"/>
  <c r="Z1612" i="3"/>
  <c r="W1612" i="3"/>
  <c r="O1612" i="3"/>
  <c r="M1612" i="3"/>
  <c r="L1612" i="3"/>
  <c r="N1612" i="3"/>
  <c r="K1612" i="3"/>
  <c r="AJ1611" i="3"/>
  <c r="AL1611" i="3"/>
  <c r="AI1611" i="3"/>
  <c r="X1611" i="3"/>
  <c r="Z1611" i="3"/>
  <c r="W1611" i="3"/>
  <c r="O1611" i="3"/>
  <c r="M1611" i="3"/>
  <c r="L1611" i="3"/>
  <c r="N1611" i="3"/>
  <c r="K1611" i="3"/>
  <c r="AJ1610" i="3"/>
  <c r="AL1610" i="3"/>
  <c r="AI1610" i="3"/>
  <c r="X1610" i="3"/>
  <c r="Z1610" i="3"/>
  <c r="W1610" i="3"/>
  <c r="O1610" i="3"/>
  <c r="M1610" i="3"/>
  <c r="L1610" i="3"/>
  <c r="N1610" i="3"/>
  <c r="K1610" i="3"/>
  <c r="AJ1609" i="3"/>
  <c r="AL1609" i="3"/>
  <c r="AI1609" i="3"/>
  <c r="X1609" i="3"/>
  <c r="Z1609" i="3"/>
  <c r="W1609" i="3"/>
  <c r="O1609" i="3"/>
  <c r="M1609" i="3"/>
  <c r="L1609" i="3"/>
  <c r="N1609" i="3"/>
  <c r="K1609" i="3"/>
  <c r="AJ1608" i="3"/>
  <c r="AL1608" i="3"/>
  <c r="AI1608" i="3"/>
  <c r="X1608" i="3"/>
  <c r="Z1608" i="3"/>
  <c r="W1608" i="3"/>
  <c r="O1608" i="3"/>
  <c r="M1608" i="3"/>
  <c r="L1608" i="3"/>
  <c r="N1608" i="3"/>
  <c r="K1608" i="3"/>
  <c r="AJ1607" i="3"/>
  <c r="AL1607" i="3"/>
  <c r="AI1607" i="3"/>
  <c r="X1607" i="3"/>
  <c r="Z1607" i="3"/>
  <c r="W1607" i="3"/>
  <c r="O1607" i="3"/>
  <c r="M1607" i="3"/>
  <c r="L1607" i="3"/>
  <c r="N1607" i="3"/>
  <c r="K1607" i="3"/>
  <c r="AJ1606" i="3"/>
  <c r="AL1606" i="3"/>
  <c r="AI1606" i="3"/>
  <c r="X1606" i="3"/>
  <c r="Z1606" i="3"/>
  <c r="W1606" i="3"/>
  <c r="O1606" i="3"/>
  <c r="M1606" i="3"/>
  <c r="L1606" i="3"/>
  <c r="N1606" i="3"/>
  <c r="K1606" i="3"/>
  <c r="AJ1605" i="3"/>
  <c r="AL1605" i="3"/>
  <c r="AI1605" i="3"/>
  <c r="X1605" i="3"/>
  <c r="Z1605" i="3"/>
  <c r="W1605" i="3"/>
  <c r="O1605" i="3"/>
  <c r="M1605" i="3"/>
  <c r="L1605" i="3"/>
  <c r="N1605" i="3"/>
  <c r="K1605" i="3"/>
  <c r="AJ1604" i="3"/>
  <c r="AL1604" i="3"/>
  <c r="AI1604" i="3"/>
  <c r="X1604" i="3"/>
  <c r="Z1604" i="3"/>
  <c r="W1604" i="3"/>
  <c r="O1604" i="3"/>
  <c r="M1604" i="3"/>
  <c r="L1604" i="3"/>
  <c r="N1604" i="3"/>
  <c r="K1604" i="3"/>
  <c r="AJ1603" i="3"/>
  <c r="AL1603" i="3"/>
  <c r="AI1603" i="3"/>
  <c r="X1603" i="3"/>
  <c r="Z1603" i="3"/>
  <c r="W1603" i="3"/>
  <c r="O1603" i="3"/>
  <c r="M1603" i="3"/>
  <c r="L1603" i="3"/>
  <c r="N1603" i="3"/>
  <c r="K1603" i="3"/>
  <c r="AJ1602" i="3"/>
  <c r="AL1602" i="3"/>
  <c r="AI1602" i="3"/>
  <c r="X1602" i="3"/>
  <c r="Z1602" i="3"/>
  <c r="W1602" i="3"/>
  <c r="O1602" i="3"/>
  <c r="M1602" i="3"/>
  <c r="L1602" i="3"/>
  <c r="N1602" i="3"/>
  <c r="K1602" i="3"/>
  <c r="AJ1601" i="3"/>
  <c r="AL1601" i="3"/>
  <c r="AI1601" i="3"/>
  <c r="X1601" i="3"/>
  <c r="Z1601" i="3"/>
  <c r="W1601" i="3"/>
  <c r="O1601" i="3"/>
  <c r="M1601" i="3"/>
  <c r="L1601" i="3"/>
  <c r="N1601" i="3"/>
  <c r="K1601" i="3"/>
  <c r="AJ1600" i="3"/>
  <c r="AL1600" i="3"/>
  <c r="AI1600" i="3"/>
  <c r="X1600" i="3"/>
  <c r="Z1600" i="3"/>
  <c r="W1600" i="3"/>
  <c r="O1600" i="3"/>
  <c r="M1600" i="3"/>
  <c r="L1600" i="3"/>
  <c r="N1600" i="3"/>
  <c r="K1600" i="3"/>
  <c r="AJ1599" i="3"/>
  <c r="AL1599" i="3"/>
  <c r="AI1599" i="3"/>
  <c r="X1599" i="3"/>
  <c r="Z1599" i="3"/>
  <c r="W1599" i="3"/>
  <c r="O1599" i="3"/>
  <c r="M1599" i="3"/>
  <c r="L1599" i="3"/>
  <c r="N1599" i="3"/>
  <c r="K1599" i="3"/>
  <c r="AJ1598" i="3"/>
  <c r="AL1598" i="3"/>
  <c r="AI1598" i="3"/>
  <c r="X1598" i="3"/>
  <c r="Z1598" i="3"/>
  <c r="W1598" i="3"/>
  <c r="O1598" i="3"/>
  <c r="M1598" i="3"/>
  <c r="L1598" i="3"/>
  <c r="N1598" i="3"/>
  <c r="K1598" i="3"/>
  <c r="AJ1597" i="3"/>
  <c r="AL1597" i="3"/>
  <c r="AI1597" i="3"/>
  <c r="X1597" i="3"/>
  <c r="Z1597" i="3"/>
  <c r="W1597" i="3"/>
  <c r="O1597" i="3"/>
  <c r="M1597" i="3"/>
  <c r="L1597" i="3"/>
  <c r="N1597" i="3"/>
  <c r="K1597" i="3"/>
  <c r="AJ1596" i="3"/>
  <c r="AL1596" i="3"/>
  <c r="AI1596" i="3"/>
  <c r="X1596" i="3"/>
  <c r="Z1596" i="3"/>
  <c r="W1596" i="3"/>
  <c r="O1596" i="3"/>
  <c r="M1596" i="3"/>
  <c r="L1596" i="3"/>
  <c r="N1596" i="3"/>
  <c r="K1596" i="3"/>
  <c r="AJ1595" i="3"/>
  <c r="AL1595" i="3"/>
  <c r="AI1595" i="3"/>
  <c r="X1595" i="3"/>
  <c r="Z1595" i="3"/>
  <c r="W1595" i="3"/>
  <c r="O1595" i="3"/>
  <c r="M1595" i="3"/>
  <c r="L1595" i="3"/>
  <c r="N1595" i="3"/>
  <c r="K1595" i="3"/>
  <c r="AJ1594" i="3"/>
  <c r="AL1594" i="3"/>
  <c r="AI1594" i="3"/>
  <c r="X1594" i="3"/>
  <c r="Z1594" i="3"/>
  <c r="W1594" i="3"/>
  <c r="O1594" i="3"/>
  <c r="M1594" i="3"/>
  <c r="L1594" i="3"/>
  <c r="N1594" i="3"/>
  <c r="K1594" i="3"/>
  <c r="AJ1593" i="3"/>
  <c r="AL1593" i="3"/>
  <c r="AI1593" i="3"/>
  <c r="X1593" i="3"/>
  <c r="Z1593" i="3"/>
  <c r="W1593" i="3"/>
  <c r="O1593" i="3"/>
  <c r="M1593" i="3"/>
  <c r="L1593" i="3"/>
  <c r="N1593" i="3"/>
  <c r="K1593" i="3"/>
  <c r="AJ1592" i="3"/>
  <c r="AL1592" i="3"/>
  <c r="AI1592" i="3"/>
  <c r="X1592" i="3"/>
  <c r="Z1592" i="3"/>
  <c r="W1592" i="3"/>
  <c r="O1592" i="3"/>
  <c r="M1592" i="3"/>
  <c r="L1592" i="3"/>
  <c r="N1592" i="3"/>
  <c r="K1592" i="3"/>
  <c r="AJ1591" i="3"/>
  <c r="AL1591" i="3"/>
  <c r="AI1591" i="3"/>
  <c r="X1591" i="3"/>
  <c r="Z1591" i="3"/>
  <c r="W1591" i="3"/>
  <c r="O1591" i="3"/>
  <c r="M1591" i="3"/>
  <c r="L1591" i="3"/>
  <c r="N1591" i="3"/>
  <c r="K1591" i="3"/>
  <c r="AJ1590" i="3"/>
  <c r="AL1590" i="3"/>
  <c r="AI1590" i="3"/>
  <c r="X1590" i="3"/>
  <c r="Z1590" i="3"/>
  <c r="W1590" i="3"/>
  <c r="O1590" i="3"/>
  <c r="M1590" i="3"/>
  <c r="L1590" i="3"/>
  <c r="N1590" i="3"/>
  <c r="K1590" i="3"/>
  <c r="AJ1589" i="3"/>
  <c r="AL1589" i="3"/>
  <c r="AI1589" i="3"/>
  <c r="X1589" i="3"/>
  <c r="Z1589" i="3"/>
  <c r="W1589" i="3"/>
  <c r="O1589" i="3"/>
  <c r="M1589" i="3"/>
  <c r="L1589" i="3"/>
  <c r="N1589" i="3"/>
  <c r="K1589" i="3"/>
  <c r="AJ1588" i="3"/>
  <c r="AL1588" i="3"/>
  <c r="AI1588" i="3"/>
  <c r="X1588" i="3"/>
  <c r="Z1588" i="3"/>
  <c r="W1588" i="3"/>
  <c r="O1588" i="3"/>
  <c r="M1588" i="3"/>
  <c r="L1588" i="3"/>
  <c r="N1588" i="3"/>
  <c r="K1588" i="3"/>
  <c r="AJ1587" i="3"/>
  <c r="AL1587" i="3"/>
  <c r="AI1587" i="3"/>
  <c r="X1587" i="3"/>
  <c r="Z1587" i="3"/>
  <c r="W1587" i="3"/>
  <c r="O1587" i="3"/>
  <c r="M1587" i="3"/>
  <c r="L1587" i="3"/>
  <c r="N1587" i="3"/>
  <c r="K1587" i="3"/>
  <c r="AJ1586" i="3"/>
  <c r="AL1586" i="3"/>
  <c r="AI1586" i="3"/>
  <c r="X1586" i="3"/>
  <c r="Z1586" i="3"/>
  <c r="W1586" i="3"/>
  <c r="O1586" i="3"/>
  <c r="M1586" i="3"/>
  <c r="L1586" i="3"/>
  <c r="N1586" i="3"/>
  <c r="K1586" i="3"/>
  <c r="AJ1585" i="3"/>
  <c r="AL1585" i="3"/>
  <c r="AI1585" i="3"/>
  <c r="X1585" i="3"/>
  <c r="Z1585" i="3"/>
  <c r="W1585" i="3"/>
  <c r="O1585" i="3"/>
  <c r="M1585" i="3"/>
  <c r="L1585" i="3"/>
  <c r="N1585" i="3"/>
  <c r="K1585" i="3"/>
  <c r="AJ1584" i="3"/>
  <c r="AL1584" i="3"/>
  <c r="AI1584" i="3"/>
  <c r="X1584" i="3"/>
  <c r="Z1584" i="3"/>
  <c r="W1584" i="3"/>
  <c r="O1584" i="3"/>
  <c r="M1584" i="3"/>
  <c r="L1584" i="3"/>
  <c r="N1584" i="3"/>
  <c r="K1584" i="3"/>
  <c r="AJ1583" i="3"/>
  <c r="AL1583" i="3"/>
  <c r="AI1583" i="3"/>
  <c r="X1583" i="3"/>
  <c r="Z1583" i="3"/>
  <c r="W1583" i="3"/>
  <c r="O1583" i="3"/>
  <c r="M1583" i="3"/>
  <c r="L1583" i="3"/>
  <c r="N1583" i="3"/>
  <c r="K1583" i="3"/>
  <c r="AJ1582" i="3"/>
  <c r="AL1582" i="3"/>
  <c r="AI1582" i="3"/>
  <c r="X1582" i="3"/>
  <c r="Z1582" i="3"/>
  <c r="W1582" i="3"/>
  <c r="O1582" i="3"/>
  <c r="M1582" i="3"/>
  <c r="L1582" i="3"/>
  <c r="N1582" i="3"/>
  <c r="K1582" i="3"/>
  <c r="AJ1581" i="3"/>
  <c r="AL1581" i="3"/>
  <c r="AI1581" i="3"/>
  <c r="X1581" i="3"/>
  <c r="Z1581" i="3"/>
  <c r="W1581" i="3"/>
  <c r="O1581" i="3"/>
  <c r="M1581" i="3"/>
  <c r="L1581" i="3"/>
  <c r="N1581" i="3"/>
  <c r="K1581" i="3"/>
  <c r="AJ1580" i="3"/>
  <c r="AL1580" i="3"/>
  <c r="AI1580" i="3"/>
  <c r="X1580" i="3"/>
  <c r="Z1580" i="3"/>
  <c r="W1580" i="3"/>
  <c r="O1580" i="3"/>
  <c r="M1580" i="3"/>
  <c r="L1580" i="3"/>
  <c r="N1580" i="3"/>
  <c r="K1580" i="3"/>
  <c r="AJ1579" i="3"/>
  <c r="AL1579" i="3"/>
  <c r="AI1579" i="3"/>
  <c r="X1579" i="3"/>
  <c r="Z1579" i="3"/>
  <c r="W1579" i="3"/>
  <c r="O1579" i="3"/>
  <c r="M1579" i="3"/>
  <c r="L1579" i="3"/>
  <c r="N1579" i="3"/>
  <c r="K1579" i="3"/>
  <c r="AJ1578" i="3"/>
  <c r="AL1578" i="3"/>
  <c r="AI1578" i="3"/>
  <c r="X1578" i="3"/>
  <c r="Z1578" i="3"/>
  <c r="W1578" i="3"/>
  <c r="O1578" i="3"/>
  <c r="M1578" i="3"/>
  <c r="L1578" i="3"/>
  <c r="N1578" i="3"/>
  <c r="K1578" i="3"/>
  <c r="AJ1577" i="3"/>
  <c r="AL1577" i="3"/>
  <c r="AI1577" i="3"/>
  <c r="X1577" i="3"/>
  <c r="Z1577" i="3"/>
  <c r="W1577" i="3"/>
  <c r="O1577" i="3"/>
  <c r="M1577" i="3"/>
  <c r="L1577" i="3"/>
  <c r="N1577" i="3"/>
  <c r="K1577" i="3"/>
  <c r="AJ1576" i="3"/>
  <c r="AL1576" i="3"/>
  <c r="AI1576" i="3"/>
  <c r="X1576" i="3"/>
  <c r="Z1576" i="3"/>
  <c r="W1576" i="3"/>
  <c r="O1576" i="3"/>
  <c r="M1576" i="3"/>
  <c r="L1576" i="3"/>
  <c r="N1576" i="3"/>
  <c r="K1576" i="3"/>
  <c r="AJ1575" i="3"/>
  <c r="AL1575" i="3"/>
  <c r="AI1575" i="3"/>
  <c r="X1575" i="3"/>
  <c r="Z1575" i="3"/>
  <c r="W1575" i="3"/>
  <c r="O1575" i="3"/>
  <c r="M1575" i="3"/>
  <c r="L1575" i="3"/>
  <c r="N1575" i="3"/>
  <c r="K1575" i="3"/>
  <c r="AJ1574" i="3"/>
  <c r="AL1574" i="3"/>
  <c r="AI1574" i="3"/>
  <c r="X1574" i="3"/>
  <c r="Z1574" i="3"/>
  <c r="W1574" i="3"/>
  <c r="O1574" i="3"/>
  <c r="M1574" i="3"/>
  <c r="L1574" i="3"/>
  <c r="N1574" i="3"/>
  <c r="K1574" i="3"/>
  <c r="AJ1573" i="3"/>
  <c r="AL1573" i="3"/>
  <c r="AI1573" i="3"/>
  <c r="X1573" i="3"/>
  <c r="Z1573" i="3"/>
  <c r="W1573" i="3"/>
  <c r="O1573" i="3"/>
  <c r="M1573" i="3"/>
  <c r="L1573" i="3"/>
  <c r="N1573" i="3"/>
  <c r="K1573" i="3"/>
  <c r="AJ1572" i="3"/>
  <c r="AL1572" i="3"/>
  <c r="AI1572" i="3"/>
  <c r="X1572" i="3"/>
  <c r="Z1572" i="3"/>
  <c r="W1572" i="3"/>
  <c r="O1572" i="3"/>
  <c r="M1572" i="3"/>
  <c r="L1572" i="3"/>
  <c r="N1572" i="3"/>
  <c r="K1572" i="3"/>
  <c r="AJ1571" i="3"/>
  <c r="AL1571" i="3"/>
  <c r="AI1571" i="3"/>
  <c r="X1571" i="3"/>
  <c r="Z1571" i="3"/>
  <c r="W1571" i="3"/>
  <c r="O1571" i="3"/>
  <c r="M1571" i="3"/>
  <c r="L1571" i="3"/>
  <c r="N1571" i="3"/>
  <c r="K1571" i="3"/>
  <c r="AJ1570" i="3"/>
  <c r="AL1570" i="3"/>
  <c r="AI1570" i="3"/>
  <c r="X1570" i="3"/>
  <c r="Z1570" i="3"/>
  <c r="W1570" i="3"/>
  <c r="O1570" i="3"/>
  <c r="M1570" i="3"/>
  <c r="L1570" i="3"/>
  <c r="N1570" i="3"/>
  <c r="K1570" i="3"/>
  <c r="AJ1569" i="3"/>
  <c r="AL1569" i="3"/>
  <c r="AI1569" i="3"/>
  <c r="X1569" i="3"/>
  <c r="Z1569" i="3"/>
  <c r="W1569" i="3"/>
  <c r="O1569" i="3"/>
  <c r="M1569" i="3"/>
  <c r="L1569" i="3"/>
  <c r="N1569" i="3"/>
  <c r="K1569" i="3"/>
  <c r="AJ1568" i="3"/>
  <c r="AL1568" i="3"/>
  <c r="AI1568" i="3"/>
  <c r="X1568" i="3"/>
  <c r="Z1568" i="3"/>
  <c r="W1568" i="3"/>
  <c r="O1568" i="3"/>
  <c r="M1568" i="3"/>
  <c r="L1568" i="3"/>
  <c r="N1568" i="3"/>
  <c r="K1568" i="3"/>
  <c r="AJ1567" i="3"/>
  <c r="AL1567" i="3"/>
  <c r="AI1567" i="3"/>
  <c r="X1567" i="3"/>
  <c r="Z1567" i="3"/>
  <c r="W1567" i="3"/>
  <c r="O1567" i="3"/>
  <c r="M1567" i="3"/>
  <c r="L1567" i="3"/>
  <c r="N1567" i="3"/>
  <c r="K1567" i="3"/>
  <c r="AJ1566" i="3"/>
  <c r="AL1566" i="3"/>
  <c r="AI1566" i="3"/>
  <c r="X1566" i="3"/>
  <c r="Z1566" i="3"/>
  <c r="W1566" i="3"/>
  <c r="O1566" i="3"/>
  <c r="M1566" i="3"/>
  <c r="L1566" i="3"/>
  <c r="N1566" i="3"/>
  <c r="K1566" i="3"/>
  <c r="AJ1565" i="3"/>
  <c r="AL1565" i="3"/>
  <c r="AI1565" i="3"/>
  <c r="X1565" i="3"/>
  <c r="Z1565" i="3"/>
  <c r="W1565" i="3"/>
  <c r="O1565" i="3"/>
  <c r="M1565" i="3"/>
  <c r="L1565" i="3"/>
  <c r="N1565" i="3"/>
  <c r="K1565" i="3"/>
  <c r="AJ1564" i="3"/>
  <c r="AL1564" i="3"/>
  <c r="AI1564" i="3"/>
  <c r="X1564" i="3"/>
  <c r="Z1564" i="3"/>
  <c r="W1564" i="3"/>
  <c r="O1564" i="3"/>
  <c r="M1564" i="3"/>
  <c r="L1564" i="3"/>
  <c r="N1564" i="3"/>
  <c r="K1564" i="3"/>
  <c r="AJ1563" i="3"/>
  <c r="AL1563" i="3"/>
  <c r="AI1563" i="3"/>
  <c r="X1563" i="3"/>
  <c r="Z1563" i="3"/>
  <c r="W1563" i="3"/>
  <c r="O1563" i="3"/>
  <c r="M1563" i="3"/>
  <c r="L1563" i="3"/>
  <c r="N1563" i="3"/>
  <c r="K1563" i="3"/>
  <c r="AJ1562" i="3"/>
  <c r="AL1562" i="3"/>
  <c r="AI1562" i="3"/>
  <c r="X1562" i="3"/>
  <c r="Z1562" i="3"/>
  <c r="W1562" i="3"/>
  <c r="O1562" i="3"/>
  <c r="M1562" i="3"/>
  <c r="L1562" i="3"/>
  <c r="N1562" i="3"/>
  <c r="K1562" i="3"/>
  <c r="AJ1561" i="3"/>
  <c r="AL1561" i="3"/>
  <c r="AI1561" i="3"/>
  <c r="X1561" i="3"/>
  <c r="Z1561" i="3"/>
  <c r="W1561" i="3"/>
  <c r="O1561" i="3"/>
  <c r="M1561" i="3"/>
  <c r="L1561" i="3"/>
  <c r="N1561" i="3"/>
  <c r="K1561" i="3"/>
  <c r="AJ1560" i="3"/>
  <c r="AL1560" i="3"/>
  <c r="AI1560" i="3"/>
  <c r="X1560" i="3"/>
  <c r="Z1560" i="3"/>
  <c r="W1560" i="3"/>
  <c r="O1560" i="3"/>
  <c r="M1560" i="3"/>
  <c r="L1560" i="3"/>
  <c r="N1560" i="3"/>
  <c r="K1560" i="3"/>
  <c r="AJ1559" i="3"/>
  <c r="AL1559" i="3"/>
  <c r="AI1559" i="3"/>
  <c r="X1559" i="3"/>
  <c r="Z1559" i="3"/>
  <c r="W1559" i="3"/>
  <c r="O1559" i="3"/>
  <c r="M1559" i="3"/>
  <c r="L1559" i="3"/>
  <c r="N1559" i="3"/>
  <c r="K1559" i="3"/>
  <c r="AJ1558" i="3"/>
  <c r="AL1558" i="3"/>
  <c r="AI1558" i="3"/>
  <c r="X1558" i="3"/>
  <c r="Z1558" i="3"/>
  <c r="W1558" i="3"/>
  <c r="O1558" i="3"/>
  <c r="M1558" i="3"/>
  <c r="L1558" i="3"/>
  <c r="N1558" i="3"/>
  <c r="K1558" i="3"/>
  <c r="AJ1557" i="3"/>
  <c r="AL1557" i="3"/>
  <c r="AI1557" i="3"/>
  <c r="X1557" i="3"/>
  <c r="Z1557" i="3"/>
  <c r="W1557" i="3"/>
  <c r="O1557" i="3"/>
  <c r="M1557" i="3"/>
  <c r="L1557" i="3"/>
  <c r="N1557" i="3"/>
  <c r="K1557" i="3"/>
  <c r="AJ1556" i="3"/>
  <c r="AL1556" i="3"/>
  <c r="AI1556" i="3"/>
  <c r="X1556" i="3"/>
  <c r="Z1556" i="3"/>
  <c r="W1556" i="3"/>
  <c r="O1556" i="3"/>
  <c r="M1556" i="3"/>
  <c r="L1556" i="3"/>
  <c r="N1556" i="3"/>
  <c r="K1556" i="3"/>
  <c r="AJ1555" i="3"/>
  <c r="AL1555" i="3"/>
  <c r="AI1555" i="3"/>
  <c r="X1555" i="3"/>
  <c r="Z1555" i="3"/>
  <c r="W1555" i="3"/>
  <c r="O1555" i="3"/>
  <c r="M1555" i="3"/>
  <c r="L1555" i="3"/>
  <c r="N1555" i="3"/>
  <c r="K1555" i="3"/>
  <c r="AJ1554" i="3"/>
  <c r="AL1554" i="3"/>
  <c r="AI1554" i="3"/>
  <c r="X1554" i="3"/>
  <c r="Z1554" i="3"/>
  <c r="W1554" i="3"/>
  <c r="O1554" i="3"/>
  <c r="M1554" i="3"/>
  <c r="L1554" i="3"/>
  <c r="N1554" i="3"/>
  <c r="K1554" i="3"/>
  <c r="AJ1553" i="3"/>
  <c r="AL1553" i="3"/>
  <c r="AI1553" i="3"/>
  <c r="X1553" i="3"/>
  <c r="Z1553" i="3"/>
  <c r="W1553" i="3"/>
  <c r="O1553" i="3"/>
  <c r="M1553" i="3"/>
  <c r="L1553" i="3"/>
  <c r="N1553" i="3"/>
  <c r="K1553" i="3"/>
  <c r="AJ1552" i="3"/>
  <c r="AL1552" i="3"/>
  <c r="AI1552" i="3"/>
  <c r="X1552" i="3"/>
  <c r="Z1552" i="3"/>
  <c r="W1552" i="3"/>
  <c r="O1552" i="3"/>
  <c r="M1552" i="3"/>
  <c r="L1552" i="3"/>
  <c r="N1552" i="3"/>
  <c r="K1552" i="3"/>
  <c r="AJ1551" i="3"/>
  <c r="AL1551" i="3"/>
  <c r="AI1551" i="3"/>
  <c r="X1551" i="3"/>
  <c r="Z1551" i="3"/>
  <c r="W1551" i="3"/>
  <c r="O1551" i="3"/>
  <c r="M1551" i="3"/>
  <c r="L1551" i="3"/>
  <c r="N1551" i="3"/>
  <c r="K1551" i="3"/>
  <c r="AJ1550" i="3"/>
  <c r="AL1550" i="3"/>
  <c r="AI1550" i="3"/>
  <c r="X1550" i="3"/>
  <c r="Z1550" i="3"/>
  <c r="W1550" i="3"/>
  <c r="O1550" i="3"/>
  <c r="M1550" i="3"/>
  <c r="L1550" i="3"/>
  <c r="N1550" i="3"/>
  <c r="K1550" i="3"/>
  <c r="AJ1549" i="3"/>
  <c r="AL1549" i="3"/>
  <c r="AI1549" i="3"/>
  <c r="X1549" i="3"/>
  <c r="Z1549" i="3"/>
  <c r="W1549" i="3"/>
  <c r="O1549" i="3"/>
  <c r="M1549" i="3"/>
  <c r="L1549" i="3"/>
  <c r="N1549" i="3"/>
  <c r="K1549" i="3"/>
  <c r="AJ1548" i="3"/>
  <c r="AL1548" i="3"/>
  <c r="AI1548" i="3"/>
  <c r="X1548" i="3"/>
  <c r="Z1548" i="3"/>
  <c r="W1548" i="3"/>
  <c r="O1548" i="3"/>
  <c r="M1548" i="3"/>
  <c r="L1548" i="3"/>
  <c r="N1548" i="3"/>
  <c r="K1548" i="3"/>
  <c r="AJ1547" i="3"/>
  <c r="AL1547" i="3"/>
  <c r="AI1547" i="3"/>
  <c r="X1547" i="3"/>
  <c r="Z1547" i="3"/>
  <c r="W1547" i="3"/>
  <c r="O1547" i="3"/>
  <c r="M1547" i="3"/>
  <c r="L1547" i="3"/>
  <c r="N1547" i="3"/>
  <c r="K1547" i="3"/>
  <c r="AJ1546" i="3"/>
  <c r="AL1546" i="3"/>
  <c r="AI1546" i="3"/>
  <c r="X1546" i="3"/>
  <c r="Z1546" i="3"/>
  <c r="W1546" i="3"/>
  <c r="O1546" i="3"/>
  <c r="M1546" i="3"/>
  <c r="L1546" i="3"/>
  <c r="N1546" i="3"/>
  <c r="K1546" i="3"/>
  <c r="AJ1545" i="3"/>
  <c r="AL1545" i="3"/>
  <c r="AI1545" i="3"/>
  <c r="X1545" i="3"/>
  <c r="Z1545" i="3"/>
  <c r="W1545" i="3"/>
  <c r="O1545" i="3"/>
  <c r="M1545" i="3"/>
  <c r="L1545" i="3"/>
  <c r="N1545" i="3"/>
  <c r="K1545" i="3"/>
  <c r="AJ1544" i="3"/>
  <c r="AL1544" i="3"/>
  <c r="AI1544" i="3"/>
  <c r="X1544" i="3"/>
  <c r="Z1544" i="3"/>
  <c r="W1544" i="3"/>
  <c r="O1544" i="3"/>
  <c r="M1544" i="3"/>
  <c r="L1544" i="3"/>
  <c r="N1544" i="3"/>
  <c r="K1544" i="3"/>
  <c r="AJ1543" i="3"/>
  <c r="AL1543" i="3"/>
  <c r="AI1543" i="3"/>
  <c r="X1543" i="3"/>
  <c r="Z1543" i="3"/>
  <c r="W1543" i="3"/>
  <c r="O1543" i="3"/>
  <c r="M1543" i="3"/>
  <c r="L1543" i="3"/>
  <c r="N1543" i="3"/>
  <c r="K1543" i="3"/>
  <c r="AJ1542" i="3"/>
  <c r="AL1542" i="3"/>
  <c r="AI1542" i="3"/>
  <c r="X1542" i="3"/>
  <c r="Z1542" i="3"/>
  <c r="W1542" i="3"/>
  <c r="O1542" i="3"/>
  <c r="M1542" i="3"/>
  <c r="L1542" i="3"/>
  <c r="N1542" i="3"/>
  <c r="K1542" i="3"/>
  <c r="AJ1541" i="3"/>
  <c r="AL1541" i="3"/>
  <c r="AI1541" i="3"/>
  <c r="X1541" i="3"/>
  <c r="Z1541" i="3"/>
  <c r="W1541" i="3"/>
  <c r="O1541" i="3"/>
  <c r="M1541" i="3"/>
  <c r="L1541" i="3"/>
  <c r="N1541" i="3"/>
  <c r="K1541" i="3"/>
  <c r="AJ1540" i="3"/>
  <c r="AL1540" i="3"/>
  <c r="AI1540" i="3"/>
  <c r="X1540" i="3"/>
  <c r="Z1540" i="3"/>
  <c r="W1540" i="3"/>
  <c r="O1540" i="3"/>
  <c r="M1540" i="3"/>
  <c r="L1540" i="3"/>
  <c r="N1540" i="3"/>
  <c r="K1540" i="3"/>
  <c r="AJ1539" i="3"/>
  <c r="AL1539" i="3"/>
  <c r="AI1539" i="3"/>
  <c r="X1539" i="3"/>
  <c r="Z1539" i="3"/>
  <c r="W1539" i="3"/>
  <c r="O1539" i="3"/>
  <c r="M1539" i="3"/>
  <c r="L1539" i="3"/>
  <c r="N1539" i="3"/>
  <c r="K1539" i="3"/>
  <c r="AJ1538" i="3"/>
  <c r="AL1538" i="3"/>
  <c r="AI1538" i="3"/>
  <c r="X1538" i="3"/>
  <c r="Z1538" i="3"/>
  <c r="W1538" i="3"/>
  <c r="O1538" i="3"/>
  <c r="M1538" i="3"/>
  <c r="L1538" i="3"/>
  <c r="N1538" i="3"/>
  <c r="K1538" i="3"/>
  <c r="AJ1537" i="3"/>
  <c r="AL1537" i="3"/>
  <c r="AI1537" i="3"/>
  <c r="X1537" i="3"/>
  <c r="Z1537" i="3"/>
  <c r="W1537" i="3"/>
  <c r="O1537" i="3"/>
  <c r="M1537" i="3"/>
  <c r="L1537" i="3"/>
  <c r="N1537" i="3"/>
  <c r="K1537" i="3"/>
  <c r="AJ1536" i="3"/>
  <c r="AL1536" i="3"/>
  <c r="AI1536" i="3"/>
  <c r="X1536" i="3"/>
  <c r="Z1536" i="3"/>
  <c r="W1536" i="3"/>
  <c r="O1536" i="3"/>
  <c r="M1536" i="3"/>
  <c r="L1536" i="3"/>
  <c r="N1536" i="3"/>
  <c r="K1536" i="3"/>
  <c r="AJ1535" i="3"/>
  <c r="AL1535" i="3"/>
  <c r="AI1535" i="3"/>
  <c r="X1535" i="3"/>
  <c r="Z1535" i="3"/>
  <c r="W1535" i="3"/>
  <c r="O1535" i="3"/>
  <c r="M1535" i="3"/>
  <c r="L1535" i="3"/>
  <c r="N1535" i="3"/>
  <c r="K1535" i="3"/>
  <c r="AJ1534" i="3"/>
  <c r="AL1534" i="3"/>
  <c r="AI1534" i="3"/>
  <c r="X1534" i="3"/>
  <c r="Z1534" i="3"/>
  <c r="W1534" i="3"/>
  <c r="O1534" i="3"/>
  <c r="M1534" i="3"/>
  <c r="L1534" i="3"/>
  <c r="N1534" i="3"/>
  <c r="K1534" i="3"/>
  <c r="AJ1533" i="3"/>
  <c r="AL1533" i="3"/>
  <c r="AI1533" i="3"/>
  <c r="X1533" i="3"/>
  <c r="Z1533" i="3"/>
  <c r="W1533" i="3"/>
  <c r="O1533" i="3"/>
  <c r="M1533" i="3"/>
  <c r="L1533" i="3"/>
  <c r="N1533" i="3"/>
  <c r="K1533" i="3"/>
  <c r="AJ1532" i="3"/>
  <c r="AL1532" i="3"/>
  <c r="AI1532" i="3"/>
  <c r="X1532" i="3"/>
  <c r="Z1532" i="3"/>
  <c r="W1532" i="3"/>
  <c r="O1532" i="3"/>
  <c r="M1532" i="3"/>
  <c r="L1532" i="3"/>
  <c r="N1532" i="3"/>
  <c r="K1532" i="3"/>
  <c r="AJ1531" i="3"/>
  <c r="AL1531" i="3"/>
  <c r="AI1531" i="3"/>
  <c r="X1531" i="3"/>
  <c r="Z1531" i="3"/>
  <c r="W1531" i="3"/>
  <c r="O1531" i="3"/>
  <c r="M1531" i="3"/>
  <c r="L1531" i="3"/>
  <c r="N1531" i="3"/>
  <c r="K1531" i="3"/>
  <c r="AJ1530" i="3"/>
  <c r="AL1530" i="3"/>
  <c r="AI1530" i="3"/>
  <c r="X1530" i="3"/>
  <c r="Z1530" i="3"/>
  <c r="W1530" i="3"/>
  <c r="O1530" i="3"/>
  <c r="M1530" i="3"/>
  <c r="L1530" i="3"/>
  <c r="N1530" i="3"/>
  <c r="K1530" i="3"/>
  <c r="AJ1529" i="3"/>
  <c r="AL1529" i="3"/>
  <c r="AI1529" i="3"/>
  <c r="X1529" i="3"/>
  <c r="Z1529" i="3"/>
  <c r="W1529" i="3"/>
  <c r="O1529" i="3"/>
  <c r="M1529" i="3"/>
  <c r="L1529" i="3"/>
  <c r="N1529" i="3"/>
  <c r="K1529" i="3"/>
  <c r="AJ1528" i="3"/>
  <c r="AL1528" i="3"/>
  <c r="AI1528" i="3"/>
  <c r="X1528" i="3"/>
  <c r="Z1528" i="3"/>
  <c r="W1528" i="3"/>
  <c r="O1528" i="3"/>
  <c r="M1528" i="3"/>
  <c r="L1528" i="3"/>
  <c r="N1528" i="3"/>
  <c r="K1528" i="3"/>
  <c r="AJ1527" i="3"/>
  <c r="AL1527" i="3"/>
  <c r="AI1527" i="3"/>
  <c r="X1527" i="3"/>
  <c r="Z1527" i="3"/>
  <c r="W1527" i="3"/>
  <c r="O1527" i="3"/>
  <c r="M1527" i="3"/>
  <c r="L1527" i="3"/>
  <c r="N1527" i="3"/>
  <c r="K1527" i="3"/>
  <c r="AJ1526" i="3"/>
  <c r="AL1526" i="3"/>
  <c r="AI1526" i="3"/>
  <c r="X1526" i="3"/>
  <c r="Z1526" i="3"/>
  <c r="W1526" i="3"/>
  <c r="O1526" i="3"/>
  <c r="M1526" i="3"/>
  <c r="L1526" i="3"/>
  <c r="N1526" i="3"/>
  <c r="K1526" i="3"/>
  <c r="AJ1525" i="3"/>
  <c r="AL1525" i="3"/>
  <c r="AI1525" i="3"/>
  <c r="X1525" i="3"/>
  <c r="Z1525" i="3"/>
  <c r="W1525" i="3"/>
  <c r="O1525" i="3"/>
  <c r="M1525" i="3"/>
  <c r="L1525" i="3"/>
  <c r="N1525" i="3"/>
  <c r="K1525" i="3"/>
  <c r="AJ1524" i="3"/>
  <c r="AL1524" i="3"/>
  <c r="AI1524" i="3"/>
  <c r="X1524" i="3"/>
  <c r="Z1524" i="3"/>
  <c r="W1524" i="3"/>
  <c r="O1524" i="3"/>
  <c r="M1524" i="3"/>
  <c r="L1524" i="3"/>
  <c r="N1524" i="3"/>
  <c r="K1524" i="3"/>
  <c r="AJ1523" i="3"/>
  <c r="AL1523" i="3"/>
  <c r="AI1523" i="3"/>
  <c r="X1523" i="3"/>
  <c r="Z1523" i="3"/>
  <c r="W1523" i="3"/>
  <c r="O1523" i="3"/>
  <c r="M1523" i="3"/>
  <c r="L1523" i="3"/>
  <c r="N1523" i="3"/>
  <c r="K1523" i="3"/>
  <c r="AJ1522" i="3"/>
  <c r="AL1522" i="3"/>
  <c r="AI1522" i="3"/>
  <c r="X1522" i="3"/>
  <c r="Z1522" i="3"/>
  <c r="W1522" i="3"/>
  <c r="O1522" i="3"/>
  <c r="M1522" i="3"/>
  <c r="L1522" i="3"/>
  <c r="N1522" i="3"/>
  <c r="K1522" i="3"/>
  <c r="AJ1521" i="3"/>
  <c r="AL1521" i="3"/>
  <c r="AI1521" i="3"/>
  <c r="X1521" i="3"/>
  <c r="Z1521" i="3"/>
  <c r="W1521" i="3"/>
  <c r="O1521" i="3"/>
  <c r="M1521" i="3"/>
  <c r="L1521" i="3"/>
  <c r="N1521" i="3"/>
  <c r="K1521" i="3"/>
  <c r="AJ1520" i="3"/>
  <c r="AL1520" i="3"/>
  <c r="AI1520" i="3"/>
  <c r="X1520" i="3"/>
  <c r="Z1520" i="3"/>
  <c r="W1520" i="3"/>
  <c r="O1520" i="3"/>
  <c r="M1520" i="3"/>
  <c r="L1520" i="3"/>
  <c r="N1520" i="3"/>
  <c r="K1520" i="3"/>
  <c r="AJ1519" i="3"/>
  <c r="AL1519" i="3"/>
  <c r="AI1519" i="3"/>
  <c r="X1519" i="3"/>
  <c r="Z1519" i="3"/>
  <c r="W1519" i="3"/>
  <c r="O1519" i="3"/>
  <c r="M1519" i="3"/>
  <c r="L1519" i="3"/>
  <c r="N1519" i="3"/>
  <c r="K1519" i="3"/>
  <c r="AJ1518" i="3"/>
  <c r="AL1518" i="3"/>
  <c r="AI1518" i="3"/>
  <c r="X1518" i="3"/>
  <c r="Z1518" i="3"/>
  <c r="W1518" i="3"/>
  <c r="O1518" i="3"/>
  <c r="M1518" i="3"/>
  <c r="L1518" i="3"/>
  <c r="N1518" i="3"/>
  <c r="K1518" i="3"/>
  <c r="AJ1517" i="3"/>
  <c r="AL1517" i="3"/>
  <c r="AI1517" i="3"/>
  <c r="X1517" i="3"/>
  <c r="Z1517" i="3"/>
  <c r="W1517" i="3"/>
  <c r="O1517" i="3"/>
  <c r="M1517" i="3"/>
  <c r="L1517" i="3"/>
  <c r="N1517" i="3"/>
  <c r="K1517" i="3"/>
  <c r="AJ1516" i="3"/>
  <c r="AL1516" i="3"/>
  <c r="AI1516" i="3"/>
  <c r="X1516" i="3"/>
  <c r="Z1516" i="3"/>
  <c r="W1516" i="3"/>
  <c r="O1516" i="3"/>
  <c r="M1516" i="3"/>
  <c r="L1516" i="3"/>
  <c r="N1516" i="3"/>
  <c r="K1516" i="3"/>
  <c r="AJ1515" i="3"/>
  <c r="AL1515" i="3"/>
  <c r="AI1515" i="3"/>
  <c r="X1515" i="3"/>
  <c r="Z1515" i="3"/>
  <c r="W1515" i="3"/>
  <c r="O1515" i="3"/>
  <c r="M1515" i="3"/>
  <c r="L1515" i="3"/>
  <c r="N1515" i="3"/>
  <c r="K1515" i="3"/>
  <c r="AJ1514" i="3"/>
  <c r="AL1514" i="3"/>
  <c r="AI1514" i="3"/>
  <c r="X1514" i="3"/>
  <c r="Z1514" i="3"/>
  <c r="W1514" i="3"/>
  <c r="O1514" i="3"/>
  <c r="M1514" i="3"/>
  <c r="L1514" i="3"/>
  <c r="N1514" i="3"/>
  <c r="K1514" i="3"/>
  <c r="AJ1513" i="3"/>
  <c r="AL1513" i="3"/>
  <c r="AI1513" i="3"/>
  <c r="X1513" i="3"/>
  <c r="Z1513" i="3"/>
  <c r="W1513" i="3"/>
  <c r="O1513" i="3"/>
  <c r="M1513" i="3"/>
  <c r="L1513" i="3"/>
  <c r="N1513" i="3"/>
  <c r="K1513" i="3"/>
  <c r="AJ1512" i="3"/>
  <c r="AL1512" i="3"/>
  <c r="AI1512" i="3"/>
  <c r="X1512" i="3"/>
  <c r="Z1512" i="3"/>
  <c r="W1512" i="3"/>
  <c r="O1512" i="3"/>
  <c r="M1512" i="3"/>
  <c r="L1512" i="3"/>
  <c r="N1512" i="3"/>
  <c r="K1512" i="3"/>
  <c r="AJ1511" i="3"/>
  <c r="AL1511" i="3"/>
  <c r="AI1511" i="3"/>
  <c r="X1511" i="3"/>
  <c r="Z1511" i="3"/>
  <c r="W1511" i="3"/>
  <c r="O1511" i="3"/>
  <c r="M1511" i="3"/>
  <c r="L1511" i="3"/>
  <c r="N1511" i="3"/>
  <c r="K1511" i="3"/>
  <c r="AJ1510" i="3"/>
  <c r="AL1510" i="3"/>
  <c r="AI1510" i="3"/>
  <c r="X1510" i="3"/>
  <c r="Z1510" i="3"/>
  <c r="W1510" i="3"/>
  <c r="O1510" i="3"/>
  <c r="M1510" i="3"/>
  <c r="L1510" i="3"/>
  <c r="N1510" i="3"/>
  <c r="K1510" i="3"/>
  <c r="AJ1509" i="3"/>
  <c r="AL1509" i="3"/>
  <c r="AI1509" i="3"/>
  <c r="X1509" i="3"/>
  <c r="Z1509" i="3"/>
  <c r="W1509" i="3"/>
  <c r="M1509" i="3"/>
  <c r="L1509" i="3"/>
  <c r="N1509" i="3"/>
  <c r="AJ1508" i="3"/>
  <c r="AL1508" i="3"/>
  <c r="AI1508" i="3"/>
  <c r="X1508" i="3"/>
  <c r="Z1508" i="3"/>
  <c r="W1508" i="3"/>
  <c r="M1508" i="3"/>
  <c r="L1508" i="3"/>
  <c r="N1508" i="3"/>
  <c r="AJ1507" i="3"/>
  <c r="AL1507" i="3"/>
  <c r="AI1507" i="3"/>
  <c r="X1507" i="3"/>
  <c r="Z1507" i="3"/>
  <c r="W1507" i="3"/>
  <c r="M1507" i="3"/>
  <c r="L1507" i="3"/>
  <c r="N1507" i="3"/>
  <c r="AJ1506" i="3"/>
  <c r="AL1506" i="3"/>
  <c r="AI1506" i="3"/>
  <c r="X1506" i="3"/>
  <c r="Z1506" i="3"/>
  <c r="W1506" i="3"/>
  <c r="M1506" i="3"/>
  <c r="L1506" i="3"/>
  <c r="N1506" i="3"/>
  <c r="AJ1505" i="3"/>
  <c r="AL1505" i="3"/>
  <c r="AI1505" i="3"/>
  <c r="X1505" i="3"/>
  <c r="Z1505" i="3"/>
  <c r="W1505" i="3"/>
  <c r="M1505" i="3"/>
  <c r="L1505" i="3"/>
  <c r="N1505" i="3"/>
  <c r="AJ1504" i="3"/>
  <c r="AL1504" i="3"/>
  <c r="AI1504" i="3"/>
  <c r="X1504" i="3"/>
  <c r="Z1504" i="3"/>
  <c r="W1504" i="3"/>
  <c r="M1504" i="3"/>
  <c r="L1504" i="3"/>
  <c r="N1504" i="3"/>
  <c r="AJ1503" i="3"/>
  <c r="AL1503" i="3"/>
  <c r="AI1503" i="3"/>
  <c r="X1503" i="3"/>
  <c r="Z1503" i="3"/>
  <c r="W1503" i="3"/>
  <c r="O1503" i="3"/>
  <c r="M1503" i="3"/>
  <c r="L1503" i="3"/>
  <c r="N1503" i="3"/>
  <c r="K1503" i="3"/>
  <c r="AJ1502" i="3"/>
  <c r="AL1502" i="3"/>
  <c r="AI1502" i="3"/>
  <c r="X1502" i="3"/>
  <c r="Z1502" i="3"/>
  <c r="W1502" i="3"/>
  <c r="O1502" i="3"/>
  <c r="M1502" i="3"/>
  <c r="L1502" i="3"/>
  <c r="N1502" i="3"/>
  <c r="K1502" i="3"/>
  <c r="AJ1501" i="3"/>
  <c r="AL1501" i="3"/>
  <c r="AI1501" i="3"/>
  <c r="X1501" i="3"/>
  <c r="Z1501" i="3"/>
  <c r="W1501" i="3"/>
  <c r="O1501" i="3"/>
  <c r="M1501" i="3"/>
  <c r="L1501" i="3"/>
  <c r="N1501" i="3"/>
  <c r="K1501" i="3"/>
  <c r="AJ1500" i="3"/>
  <c r="AL1500" i="3"/>
  <c r="AI1500" i="3"/>
  <c r="X1500" i="3"/>
  <c r="Z1500" i="3"/>
  <c r="W1500" i="3"/>
  <c r="O1500" i="3"/>
  <c r="M1500" i="3"/>
  <c r="L1500" i="3"/>
  <c r="N1500" i="3"/>
  <c r="K1500" i="3"/>
  <c r="AJ1499" i="3"/>
  <c r="AL1499" i="3"/>
  <c r="AI1499" i="3"/>
  <c r="X1499" i="3"/>
  <c r="Z1499" i="3"/>
  <c r="W1499" i="3"/>
  <c r="O1499" i="3"/>
  <c r="M1499" i="3"/>
  <c r="L1499" i="3"/>
  <c r="N1499" i="3"/>
  <c r="K1499" i="3"/>
  <c r="AJ1498" i="3"/>
  <c r="AL1498" i="3"/>
  <c r="AI1498" i="3"/>
  <c r="X1498" i="3"/>
  <c r="Z1498" i="3"/>
  <c r="W1498" i="3"/>
  <c r="O1498" i="3"/>
  <c r="M1498" i="3"/>
  <c r="L1498" i="3"/>
  <c r="N1498" i="3"/>
  <c r="K1498" i="3"/>
  <c r="AJ1497" i="3"/>
  <c r="AL1497" i="3"/>
  <c r="AI1497" i="3"/>
  <c r="X1497" i="3"/>
  <c r="Z1497" i="3"/>
  <c r="W1497" i="3"/>
  <c r="O1497" i="3"/>
  <c r="M1497" i="3"/>
  <c r="L1497" i="3"/>
  <c r="N1497" i="3"/>
  <c r="K1497" i="3"/>
  <c r="AJ1496" i="3"/>
  <c r="AL1496" i="3"/>
  <c r="AI1496" i="3"/>
  <c r="X1496" i="3"/>
  <c r="Z1496" i="3"/>
  <c r="W1496" i="3"/>
  <c r="O1496" i="3"/>
  <c r="M1496" i="3"/>
  <c r="L1496" i="3"/>
  <c r="N1496" i="3"/>
  <c r="K1496" i="3"/>
  <c r="AJ1495" i="3"/>
  <c r="AL1495" i="3"/>
  <c r="AI1495" i="3"/>
  <c r="X1495" i="3"/>
  <c r="Z1495" i="3"/>
  <c r="W1495" i="3"/>
  <c r="O1495" i="3"/>
  <c r="M1495" i="3"/>
  <c r="L1495" i="3"/>
  <c r="N1495" i="3"/>
  <c r="K1495" i="3"/>
  <c r="AJ1494" i="3"/>
  <c r="AL1494" i="3"/>
  <c r="AI1494" i="3"/>
  <c r="X1494" i="3"/>
  <c r="Z1494" i="3"/>
  <c r="W1494" i="3"/>
  <c r="O1494" i="3"/>
  <c r="M1494" i="3"/>
  <c r="L1494" i="3"/>
  <c r="N1494" i="3"/>
  <c r="K1494" i="3"/>
  <c r="AJ1493" i="3"/>
  <c r="AL1493" i="3"/>
  <c r="AI1493" i="3"/>
  <c r="X1493" i="3"/>
  <c r="Z1493" i="3"/>
  <c r="W1493" i="3"/>
  <c r="O1493" i="3"/>
  <c r="M1493" i="3"/>
  <c r="L1493" i="3"/>
  <c r="N1493" i="3"/>
  <c r="K1493" i="3"/>
  <c r="AJ1492" i="3"/>
  <c r="AL1492" i="3"/>
  <c r="AI1492" i="3"/>
  <c r="X1492" i="3"/>
  <c r="Z1492" i="3"/>
  <c r="W1492" i="3"/>
  <c r="O1492" i="3"/>
  <c r="M1492" i="3"/>
  <c r="L1492" i="3"/>
  <c r="N1492" i="3"/>
  <c r="K1492" i="3"/>
  <c r="AJ1491" i="3"/>
  <c r="AL1491" i="3"/>
  <c r="AI1491" i="3"/>
  <c r="X1491" i="3"/>
  <c r="Z1491" i="3"/>
  <c r="W1491" i="3"/>
  <c r="O1491" i="3"/>
  <c r="M1491" i="3"/>
  <c r="L1491" i="3"/>
  <c r="N1491" i="3"/>
  <c r="K1491" i="3"/>
  <c r="AJ1490" i="3"/>
  <c r="AL1490" i="3"/>
  <c r="AI1490" i="3"/>
  <c r="X1490" i="3"/>
  <c r="Z1490" i="3"/>
  <c r="W1490" i="3"/>
  <c r="O1490" i="3"/>
  <c r="M1490" i="3"/>
  <c r="L1490" i="3"/>
  <c r="N1490" i="3"/>
  <c r="K1490" i="3"/>
  <c r="AJ1489" i="3"/>
  <c r="AL1489" i="3"/>
  <c r="AI1489" i="3"/>
  <c r="X1489" i="3"/>
  <c r="Z1489" i="3"/>
  <c r="W1489" i="3"/>
  <c r="O1489" i="3"/>
  <c r="M1489" i="3"/>
  <c r="L1489" i="3"/>
  <c r="N1489" i="3"/>
  <c r="K1489" i="3"/>
  <c r="AJ1488" i="3"/>
  <c r="AL1488" i="3"/>
  <c r="AI1488" i="3"/>
  <c r="X1488" i="3"/>
  <c r="Z1488" i="3"/>
  <c r="W1488" i="3"/>
  <c r="O1488" i="3"/>
  <c r="M1488" i="3"/>
  <c r="L1488" i="3"/>
  <c r="N1488" i="3"/>
  <c r="K1488" i="3"/>
  <c r="AJ1487" i="3"/>
  <c r="AL1487" i="3"/>
  <c r="AI1487" i="3"/>
  <c r="X1487" i="3"/>
  <c r="Z1487" i="3"/>
  <c r="W1487" i="3"/>
  <c r="O1487" i="3"/>
  <c r="M1487" i="3"/>
  <c r="L1487" i="3"/>
  <c r="N1487" i="3"/>
  <c r="K1487" i="3"/>
  <c r="AJ1486" i="3"/>
  <c r="AL1486" i="3"/>
  <c r="AI1486" i="3"/>
  <c r="X1486" i="3"/>
  <c r="Z1486" i="3"/>
  <c r="W1486" i="3"/>
  <c r="O1486" i="3"/>
  <c r="M1486" i="3"/>
  <c r="L1486" i="3"/>
  <c r="N1486" i="3"/>
  <c r="K1486" i="3"/>
  <c r="AJ1485" i="3"/>
  <c r="AL1485" i="3"/>
  <c r="AI1485" i="3"/>
  <c r="X1485" i="3"/>
  <c r="Z1485" i="3"/>
  <c r="W1485" i="3"/>
  <c r="O1485" i="3"/>
  <c r="M1485" i="3"/>
  <c r="L1485" i="3"/>
  <c r="N1485" i="3"/>
  <c r="K1485" i="3"/>
  <c r="AJ1484" i="3"/>
  <c r="AL1484" i="3"/>
  <c r="AI1484" i="3"/>
  <c r="X1484" i="3"/>
  <c r="Z1484" i="3"/>
  <c r="W1484" i="3"/>
  <c r="O1484" i="3"/>
  <c r="M1484" i="3"/>
  <c r="L1484" i="3"/>
  <c r="N1484" i="3"/>
  <c r="K1484" i="3"/>
  <c r="AJ1483" i="3"/>
  <c r="AL1483" i="3"/>
  <c r="AI1483" i="3"/>
  <c r="X1483" i="3"/>
  <c r="Z1483" i="3"/>
  <c r="W1483" i="3"/>
  <c r="O1483" i="3"/>
  <c r="M1483" i="3"/>
  <c r="L1483" i="3"/>
  <c r="N1483" i="3"/>
  <c r="K1483" i="3"/>
  <c r="AJ1482" i="3"/>
  <c r="AL1482" i="3"/>
  <c r="AI1482" i="3"/>
  <c r="X1482" i="3"/>
  <c r="Z1482" i="3"/>
  <c r="W1482" i="3"/>
  <c r="O1482" i="3"/>
  <c r="M1482" i="3"/>
  <c r="L1482" i="3"/>
  <c r="N1482" i="3"/>
  <c r="K1482" i="3"/>
  <c r="AJ1481" i="3"/>
  <c r="AL1481" i="3"/>
  <c r="AI1481" i="3"/>
  <c r="X1481" i="3"/>
  <c r="Z1481" i="3"/>
  <c r="W1481" i="3"/>
  <c r="O1481" i="3"/>
  <c r="M1481" i="3"/>
  <c r="L1481" i="3"/>
  <c r="N1481" i="3"/>
  <c r="K1481" i="3"/>
  <c r="AJ1480" i="3"/>
  <c r="AL1480" i="3"/>
  <c r="AI1480" i="3"/>
  <c r="X1480" i="3"/>
  <c r="Z1480" i="3"/>
  <c r="W1480" i="3"/>
  <c r="O1480" i="3"/>
  <c r="M1480" i="3"/>
  <c r="L1480" i="3"/>
  <c r="N1480" i="3"/>
  <c r="K1480" i="3"/>
  <c r="AJ1479" i="3"/>
  <c r="AL1479" i="3"/>
  <c r="AI1479" i="3"/>
  <c r="X1479" i="3"/>
  <c r="Z1479" i="3"/>
  <c r="W1479" i="3"/>
  <c r="O1479" i="3"/>
  <c r="M1479" i="3"/>
  <c r="L1479" i="3"/>
  <c r="N1479" i="3"/>
  <c r="K1479" i="3"/>
  <c r="AJ1478" i="3"/>
  <c r="AL1478" i="3"/>
  <c r="AI1478" i="3"/>
  <c r="X1478" i="3"/>
  <c r="Z1478" i="3"/>
  <c r="W1478" i="3"/>
  <c r="O1478" i="3"/>
  <c r="M1478" i="3"/>
  <c r="L1478" i="3"/>
  <c r="N1478" i="3"/>
  <c r="K1478" i="3"/>
  <c r="AJ1477" i="3"/>
  <c r="AL1477" i="3"/>
  <c r="AI1477" i="3"/>
  <c r="X1477" i="3"/>
  <c r="Z1477" i="3"/>
  <c r="W1477" i="3"/>
  <c r="O1477" i="3"/>
  <c r="M1477" i="3"/>
  <c r="L1477" i="3"/>
  <c r="N1477" i="3"/>
  <c r="K1477" i="3"/>
  <c r="AJ1476" i="3"/>
  <c r="AL1476" i="3"/>
  <c r="AI1476" i="3"/>
  <c r="X1476" i="3"/>
  <c r="Z1476" i="3"/>
  <c r="W1476" i="3"/>
  <c r="O1476" i="3"/>
  <c r="M1476" i="3"/>
  <c r="L1476" i="3"/>
  <c r="N1476" i="3"/>
  <c r="K1476" i="3"/>
  <c r="AJ1475" i="3"/>
  <c r="AL1475" i="3"/>
  <c r="AI1475" i="3"/>
  <c r="X1475" i="3"/>
  <c r="Z1475" i="3"/>
  <c r="W1475" i="3"/>
  <c r="O1475" i="3"/>
  <c r="M1475" i="3"/>
  <c r="L1475" i="3"/>
  <c r="N1475" i="3"/>
  <c r="K1475" i="3"/>
  <c r="AJ1474" i="3"/>
  <c r="AL1474" i="3"/>
  <c r="AI1474" i="3"/>
  <c r="X1474" i="3"/>
  <c r="Z1474" i="3"/>
  <c r="W1474" i="3"/>
  <c r="O1474" i="3"/>
  <c r="M1474" i="3"/>
  <c r="L1474" i="3"/>
  <c r="N1474" i="3"/>
  <c r="K1474" i="3"/>
  <c r="AJ1473" i="3"/>
  <c r="AL1473" i="3"/>
  <c r="AI1473" i="3"/>
  <c r="X1473" i="3"/>
  <c r="Z1473" i="3"/>
  <c r="W1473" i="3"/>
  <c r="O1473" i="3"/>
  <c r="M1473" i="3"/>
  <c r="L1473" i="3"/>
  <c r="N1473" i="3"/>
  <c r="K1473" i="3"/>
  <c r="AJ1472" i="3"/>
  <c r="AL1472" i="3"/>
  <c r="AI1472" i="3"/>
  <c r="X1472" i="3"/>
  <c r="Z1472" i="3"/>
  <c r="W1472" i="3"/>
  <c r="O1472" i="3"/>
  <c r="M1472" i="3"/>
  <c r="L1472" i="3"/>
  <c r="N1472" i="3"/>
  <c r="K1472" i="3"/>
  <c r="AJ1471" i="3"/>
  <c r="AL1471" i="3"/>
  <c r="AI1471" i="3"/>
  <c r="X1471" i="3"/>
  <c r="Z1471" i="3"/>
  <c r="W1471" i="3"/>
  <c r="O1471" i="3"/>
  <c r="M1471" i="3"/>
  <c r="L1471" i="3"/>
  <c r="N1471" i="3"/>
  <c r="K1471" i="3"/>
  <c r="AJ1470" i="3"/>
  <c r="AL1470" i="3"/>
  <c r="AI1470" i="3"/>
  <c r="X1470" i="3"/>
  <c r="Z1470" i="3"/>
  <c r="W1470" i="3"/>
  <c r="O1470" i="3"/>
  <c r="M1470" i="3"/>
  <c r="L1470" i="3"/>
  <c r="N1470" i="3"/>
  <c r="K1470" i="3"/>
  <c r="AJ1469" i="3"/>
  <c r="AL1469" i="3"/>
  <c r="AI1469" i="3"/>
  <c r="X1469" i="3"/>
  <c r="Z1469" i="3"/>
  <c r="W1469" i="3"/>
  <c r="O1469" i="3"/>
  <c r="M1469" i="3"/>
  <c r="L1469" i="3"/>
  <c r="N1469" i="3"/>
  <c r="K1469" i="3"/>
  <c r="AJ1468" i="3"/>
  <c r="AL1468" i="3"/>
  <c r="AI1468" i="3"/>
  <c r="X1468" i="3"/>
  <c r="Z1468" i="3"/>
  <c r="W1468" i="3"/>
  <c r="O1468" i="3"/>
  <c r="M1468" i="3"/>
  <c r="L1468" i="3"/>
  <c r="N1468" i="3"/>
  <c r="K1468" i="3"/>
  <c r="AJ1467" i="3"/>
  <c r="AL1467" i="3"/>
  <c r="AI1467" i="3"/>
  <c r="X1467" i="3"/>
  <c r="Z1467" i="3"/>
  <c r="W1467" i="3"/>
  <c r="O1467" i="3"/>
  <c r="M1467" i="3"/>
  <c r="L1467" i="3"/>
  <c r="N1467" i="3"/>
  <c r="K1467" i="3"/>
  <c r="AJ1466" i="3"/>
  <c r="AL1466" i="3"/>
  <c r="AI1466" i="3"/>
  <c r="X1466" i="3"/>
  <c r="Z1466" i="3"/>
  <c r="W1466" i="3"/>
  <c r="O1466" i="3"/>
  <c r="M1466" i="3"/>
  <c r="L1466" i="3"/>
  <c r="N1466" i="3"/>
  <c r="K1466" i="3"/>
  <c r="AJ1465" i="3"/>
  <c r="AL1465" i="3"/>
  <c r="AI1465" i="3"/>
  <c r="X1465" i="3"/>
  <c r="Z1465" i="3"/>
  <c r="W1465" i="3"/>
  <c r="O1465" i="3"/>
  <c r="M1465" i="3"/>
  <c r="L1465" i="3"/>
  <c r="N1465" i="3"/>
  <c r="K1465" i="3"/>
  <c r="AJ1464" i="3"/>
  <c r="AL1464" i="3"/>
  <c r="AI1464" i="3"/>
  <c r="X1464" i="3"/>
  <c r="Z1464" i="3"/>
  <c r="W1464" i="3"/>
  <c r="O1464" i="3"/>
  <c r="M1464" i="3"/>
  <c r="L1464" i="3"/>
  <c r="N1464" i="3"/>
  <c r="K1464" i="3"/>
  <c r="AJ1463" i="3"/>
  <c r="AL1463" i="3"/>
  <c r="AI1463" i="3"/>
  <c r="X1463" i="3"/>
  <c r="Z1463" i="3"/>
  <c r="W1463" i="3"/>
  <c r="O1463" i="3"/>
  <c r="M1463" i="3"/>
  <c r="L1463" i="3"/>
  <c r="N1463" i="3"/>
  <c r="K1463" i="3"/>
  <c r="AJ1462" i="3"/>
  <c r="AL1462" i="3"/>
  <c r="AI1462" i="3"/>
  <c r="X1462" i="3"/>
  <c r="Z1462" i="3"/>
  <c r="W1462" i="3"/>
  <c r="O1462" i="3"/>
  <c r="M1462" i="3"/>
  <c r="L1462" i="3"/>
  <c r="N1462" i="3"/>
  <c r="K1462" i="3"/>
  <c r="AJ1461" i="3"/>
  <c r="AL1461" i="3"/>
  <c r="AI1461" i="3"/>
  <c r="X1461" i="3"/>
  <c r="Z1461" i="3"/>
  <c r="W1461" i="3"/>
  <c r="O1461" i="3"/>
  <c r="M1461" i="3"/>
  <c r="L1461" i="3"/>
  <c r="N1461" i="3"/>
  <c r="K1461" i="3"/>
  <c r="AJ1460" i="3"/>
  <c r="AL1460" i="3"/>
  <c r="AI1460" i="3"/>
  <c r="X1460" i="3"/>
  <c r="Z1460" i="3"/>
  <c r="W1460" i="3"/>
  <c r="O1460" i="3"/>
  <c r="M1460" i="3"/>
  <c r="L1460" i="3"/>
  <c r="N1460" i="3"/>
  <c r="K1460" i="3"/>
  <c r="AJ1459" i="3"/>
  <c r="AL1459" i="3"/>
  <c r="AI1459" i="3"/>
  <c r="X1459" i="3"/>
  <c r="Z1459" i="3"/>
  <c r="W1459" i="3"/>
  <c r="O1459" i="3"/>
  <c r="M1459" i="3"/>
  <c r="L1459" i="3"/>
  <c r="N1459" i="3"/>
  <c r="K1459" i="3"/>
  <c r="AJ1458" i="3"/>
  <c r="AL1458" i="3"/>
  <c r="AI1458" i="3"/>
  <c r="X1458" i="3"/>
  <c r="Z1458" i="3"/>
  <c r="W1458" i="3"/>
  <c r="O1458" i="3"/>
  <c r="M1458" i="3"/>
  <c r="L1458" i="3"/>
  <c r="N1458" i="3"/>
  <c r="K1458" i="3"/>
  <c r="AJ1457" i="3"/>
  <c r="AL1457" i="3"/>
  <c r="AI1457" i="3"/>
  <c r="X1457" i="3"/>
  <c r="Z1457" i="3"/>
  <c r="W1457" i="3"/>
  <c r="O1457" i="3"/>
  <c r="M1457" i="3"/>
  <c r="L1457" i="3"/>
  <c r="N1457" i="3"/>
  <c r="K1457" i="3"/>
  <c r="AJ1456" i="3"/>
  <c r="AL1456" i="3"/>
  <c r="AI1456" i="3"/>
  <c r="X1456" i="3"/>
  <c r="Z1456" i="3"/>
  <c r="W1456" i="3"/>
  <c r="O1456" i="3"/>
  <c r="M1456" i="3"/>
  <c r="L1456" i="3"/>
  <c r="N1456" i="3"/>
  <c r="K1456" i="3"/>
  <c r="AJ1455" i="3"/>
  <c r="AL1455" i="3"/>
  <c r="AI1455" i="3"/>
  <c r="X1455" i="3"/>
  <c r="Z1455" i="3"/>
  <c r="W1455" i="3"/>
  <c r="O1455" i="3"/>
  <c r="M1455" i="3"/>
  <c r="L1455" i="3"/>
  <c r="N1455" i="3"/>
  <c r="K1455" i="3"/>
  <c r="AJ1454" i="3"/>
  <c r="AL1454" i="3"/>
  <c r="AI1454" i="3"/>
  <c r="X1454" i="3"/>
  <c r="Z1454" i="3"/>
  <c r="W1454" i="3"/>
  <c r="O1454" i="3"/>
  <c r="M1454" i="3"/>
  <c r="L1454" i="3"/>
  <c r="N1454" i="3"/>
  <c r="K1454" i="3"/>
  <c r="AJ1453" i="3"/>
  <c r="AL1453" i="3"/>
  <c r="AI1453" i="3"/>
  <c r="X1453" i="3"/>
  <c r="Z1453" i="3"/>
  <c r="W1453" i="3"/>
  <c r="O1453" i="3"/>
  <c r="M1453" i="3"/>
  <c r="L1453" i="3"/>
  <c r="N1453" i="3"/>
  <c r="K1453" i="3"/>
  <c r="AJ1452" i="3"/>
  <c r="AL1452" i="3"/>
  <c r="AI1452" i="3"/>
  <c r="X1452" i="3"/>
  <c r="Z1452" i="3"/>
  <c r="W1452" i="3"/>
  <c r="O1452" i="3"/>
  <c r="M1452" i="3"/>
  <c r="L1452" i="3"/>
  <c r="N1452" i="3"/>
  <c r="K1452" i="3"/>
  <c r="AJ1451" i="3"/>
  <c r="AL1451" i="3"/>
  <c r="AI1451" i="3"/>
  <c r="X1451" i="3"/>
  <c r="Z1451" i="3"/>
  <c r="W1451" i="3"/>
  <c r="O1451" i="3"/>
  <c r="M1451" i="3"/>
  <c r="L1451" i="3"/>
  <c r="N1451" i="3"/>
  <c r="K1451" i="3"/>
  <c r="AJ1450" i="3"/>
  <c r="AL1450" i="3"/>
  <c r="AI1450" i="3"/>
  <c r="X1450" i="3"/>
  <c r="Z1450" i="3"/>
  <c r="W1450" i="3"/>
  <c r="O1450" i="3"/>
  <c r="M1450" i="3"/>
  <c r="L1450" i="3"/>
  <c r="N1450" i="3"/>
  <c r="K1450" i="3"/>
  <c r="AJ1449" i="3"/>
  <c r="AL1449" i="3"/>
  <c r="AI1449" i="3"/>
  <c r="X1449" i="3"/>
  <c r="Z1449" i="3"/>
  <c r="W1449" i="3"/>
  <c r="O1449" i="3"/>
  <c r="M1449" i="3"/>
  <c r="L1449" i="3"/>
  <c r="N1449" i="3"/>
  <c r="K1449" i="3"/>
  <c r="AJ1448" i="3"/>
  <c r="AL1448" i="3"/>
  <c r="AI1448" i="3"/>
  <c r="X1448" i="3"/>
  <c r="Z1448" i="3"/>
  <c r="W1448" i="3"/>
  <c r="O1448" i="3"/>
  <c r="M1448" i="3"/>
  <c r="L1448" i="3"/>
  <c r="N1448" i="3"/>
  <c r="K1448" i="3"/>
  <c r="AJ1447" i="3"/>
  <c r="AL1447" i="3"/>
  <c r="AI1447" i="3"/>
  <c r="X1447" i="3"/>
  <c r="Z1447" i="3"/>
  <c r="W1447" i="3"/>
  <c r="O1447" i="3"/>
  <c r="M1447" i="3"/>
  <c r="L1447" i="3"/>
  <c r="N1447" i="3"/>
  <c r="K1447" i="3"/>
  <c r="AJ1446" i="3"/>
  <c r="AL1446" i="3"/>
  <c r="AI1446" i="3"/>
  <c r="X1446" i="3"/>
  <c r="Z1446" i="3"/>
  <c r="W1446" i="3"/>
  <c r="O1446" i="3"/>
  <c r="M1446" i="3"/>
  <c r="L1446" i="3"/>
  <c r="N1446" i="3"/>
  <c r="K1446" i="3"/>
  <c r="AJ1445" i="3"/>
  <c r="AL1445" i="3"/>
  <c r="AI1445" i="3"/>
  <c r="X1445" i="3"/>
  <c r="Z1445" i="3"/>
  <c r="W1445" i="3"/>
  <c r="O1445" i="3"/>
  <c r="M1445" i="3"/>
  <c r="L1445" i="3"/>
  <c r="N1445" i="3"/>
  <c r="K1445" i="3"/>
  <c r="AJ1444" i="3"/>
  <c r="AL1444" i="3"/>
  <c r="AI1444" i="3"/>
  <c r="X1444" i="3"/>
  <c r="Z1444" i="3"/>
  <c r="W1444" i="3"/>
  <c r="O1444" i="3"/>
  <c r="M1444" i="3"/>
  <c r="L1444" i="3"/>
  <c r="N1444" i="3"/>
  <c r="K1444" i="3"/>
  <c r="AJ1443" i="3"/>
  <c r="AL1443" i="3"/>
  <c r="AI1443" i="3"/>
  <c r="X1443" i="3"/>
  <c r="Z1443" i="3"/>
  <c r="W1443" i="3"/>
  <c r="O1443" i="3"/>
  <c r="M1443" i="3"/>
  <c r="L1443" i="3"/>
  <c r="N1443" i="3"/>
  <c r="K1443" i="3"/>
  <c r="AJ1442" i="3"/>
  <c r="AL1442" i="3"/>
  <c r="AI1442" i="3"/>
  <c r="X1442" i="3"/>
  <c r="Z1442" i="3"/>
  <c r="W1442" i="3"/>
  <c r="O1442" i="3"/>
  <c r="M1442" i="3"/>
  <c r="L1442" i="3"/>
  <c r="N1442" i="3"/>
  <c r="K1442" i="3"/>
  <c r="AJ1441" i="3"/>
  <c r="AL1441" i="3"/>
  <c r="AI1441" i="3"/>
  <c r="X1441" i="3"/>
  <c r="Z1441" i="3"/>
  <c r="W1441" i="3"/>
  <c r="O1441" i="3"/>
  <c r="M1441" i="3"/>
  <c r="L1441" i="3"/>
  <c r="N1441" i="3"/>
  <c r="K1441" i="3"/>
  <c r="AJ1440" i="3"/>
  <c r="AL1440" i="3"/>
  <c r="AI1440" i="3"/>
  <c r="X1440" i="3"/>
  <c r="Z1440" i="3"/>
  <c r="W1440" i="3"/>
  <c r="O1440" i="3"/>
  <c r="M1440" i="3"/>
  <c r="L1440" i="3"/>
  <c r="N1440" i="3"/>
  <c r="K1440" i="3"/>
  <c r="AJ1439" i="3"/>
  <c r="AL1439" i="3"/>
  <c r="AI1439" i="3"/>
  <c r="X1439" i="3"/>
  <c r="Z1439" i="3"/>
  <c r="W1439" i="3"/>
  <c r="O1439" i="3"/>
  <c r="M1439" i="3"/>
  <c r="L1439" i="3"/>
  <c r="N1439" i="3"/>
  <c r="K1439" i="3"/>
  <c r="AJ1438" i="3"/>
  <c r="AL1438" i="3"/>
  <c r="AI1438" i="3"/>
  <c r="X1438" i="3"/>
  <c r="Z1438" i="3"/>
  <c r="W1438" i="3"/>
  <c r="O1438" i="3"/>
  <c r="M1438" i="3"/>
  <c r="L1438" i="3"/>
  <c r="N1438" i="3"/>
  <c r="K1438" i="3"/>
  <c r="AJ1437" i="3"/>
  <c r="AL1437" i="3"/>
  <c r="AI1437" i="3"/>
  <c r="X1437" i="3"/>
  <c r="Z1437" i="3"/>
  <c r="W1437" i="3"/>
  <c r="O1437" i="3"/>
  <c r="M1437" i="3"/>
  <c r="L1437" i="3"/>
  <c r="N1437" i="3"/>
  <c r="K1437" i="3"/>
  <c r="AJ1436" i="3"/>
  <c r="AL1436" i="3"/>
  <c r="AI1436" i="3"/>
  <c r="X1436" i="3"/>
  <c r="Z1436" i="3"/>
  <c r="W1436" i="3"/>
  <c r="O1436" i="3"/>
  <c r="M1436" i="3"/>
  <c r="L1436" i="3"/>
  <c r="N1436" i="3"/>
  <c r="K1436" i="3"/>
  <c r="AJ1435" i="3"/>
  <c r="AL1435" i="3"/>
  <c r="AI1435" i="3"/>
  <c r="X1435" i="3"/>
  <c r="Z1435" i="3"/>
  <c r="W1435" i="3"/>
  <c r="O1435" i="3"/>
  <c r="M1435" i="3"/>
  <c r="L1435" i="3"/>
  <c r="N1435" i="3"/>
  <c r="K1435" i="3"/>
  <c r="AJ1434" i="3"/>
  <c r="AL1434" i="3"/>
  <c r="AI1434" i="3"/>
  <c r="X1434" i="3"/>
  <c r="Z1434" i="3"/>
  <c r="W1434" i="3"/>
  <c r="O1434" i="3"/>
  <c r="M1434" i="3"/>
  <c r="L1434" i="3"/>
  <c r="N1434" i="3"/>
  <c r="K1434" i="3"/>
  <c r="AJ1433" i="3"/>
  <c r="AL1433" i="3"/>
  <c r="AI1433" i="3"/>
  <c r="X1433" i="3"/>
  <c r="Z1433" i="3"/>
  <c r="W1433" i="3"/>
  <c r="O1433" i="3"/>
  <c r="M1433" i="3"/>
  <c r="L1433" i="3"/>
  <c r="N1433" i="3"/>
  <c r="K1433" i="3"/>
  <c r="AJ1432" i="3"/>
  <c r="AL1432" i="3"/>
  <c r="AI1432" i="3"/>
  <c r="X1432" i="3"/>
  <c r="Z1432" i="3"/>
  <c r="W1432" i="3"/>
  <c r="O1432" i="3"/>
  <c r="M1432" i="3"/>
  <c r="L1432" i="3"/>
  <c r="N1432" i="3"/>
  <c r="K1432" i="3"/>
  <c r="AJ1431" i="3"/>
  <c r="AL1431" i="3"/>
  <c r="AI1431" i="3"/>
  <c r="X1431" i="3"/>
  <c r="Z1431" i="3"/>
  <c r="W1431" i="3"/>
  <c r="O1431" i="3"/>
  <c r="M1431" i="3"/>
  <c r="L1431" i="3"/>
  <c r="N1431" i="3"/>
  <c r="K1431" i="3"/>
  <c r="AJ1430" i="3"/>
  <c r="AL1430" i="3"/>
  <c r="AI1430" i="3"/>
  <c r="X1430" i="3"/>
  <c r="Z1430" i="3"/>
  <c r="W1430" i="3"/>
  <c r="O1430" i="3"/>
  <c r="M1430" i="3"/>
  <c r="L1430" i="3"/>
  <c r="N1430" i="3"/>
  <c r="K1430" i="3"/>
  <c r="AJ1429" i="3"/>
  <c r="AL1429" i="3"/>
  <c r="AI1429" i="3"/>
  <c r="X1429" i="3"/>
  <c r="Z1429" i="3"/>
  <c r="W1429" i="3"/>
  <c r="O1429" i="3"/>
  <c r="M1429" i="3"/>
  <c r="L1429" i="3"/>
  <c r="N1429" i="3"/>
  <c r="K1429" i="3"/>
  <c r="AJ1428" i="3"/>
  <c r="AL1428" i="3"/>
  <c r="AI1428" i="3"/>
  <c r="X1428" i="3"/>
  <c r="Z1428" i="3"/>
  <c r="W1428" i="3"/>
  <c r="O1428" i="3"/>
  <c r="M1428" i="3"/>
  <c r="L1428" i="3"/>
  <c r="N1428" i="3"/>
  <c r="K1428" i="3"/>
  <c r="AJ1427" i="3"/>
  <c r="AL1427" i="3"/>
  <c r="AI1427" i="3"/>
  <c r="X1427" i="3"/>
  <c r="Z1427" i="3"/>
  <c r="W1427" i="3"/>
  <c r="O1427" i="3"/>
  <c r="M1427" i="3"/>
  <c r="L1427" i="3"/>
  <c r="N1427" i="3"/>
  <c r="K1427" i="3"/>
  <c r="AJ1426" i="3"/>
  <c r="AL1426" i="3"/>
  <c r="AI1426" i="3"/>
  <c r="X1426" i="3"/>
  <c r="Z1426" i="3"/>
  <c r="W1426" i="3"/>
  <c r="O1426" i="3"/>
  <c r="M1426" i="3"/>
  <c r="L1426" i="3"/>
  <c r="N1426" i="3"/>
  <c r="K1426" i="3"/>
  <c r="AJ1425" i="3"/>
  <c r="AL1425" i="3"/>
  <c r="AI1425" i="3"/>
  <c r="X1425" i="3"/>
  <c r="Z1425" i="3"/>
  <c r="W1425" i="3"/>
  <c r="O1425" i="3"/>
  <c r="M1425" i="3"/>
  <c r="L1425" i="3"/>
  <c r="N1425" i="3"/>
  <c r="K1425" i="3"/>
  <c r="AJ1424" i="3"/>
  <c r="AL1424" i="3"/>
  <c r="AI1424" i="3"/>
  <c r="X1424" i="3"/>
  <c r="Z1424" i="3"/>
  <c r="W1424" i="3"/>
  <c r="O1424" i="3"/>
  <c r="M1424" i="3"/>
  <c r="L1424" i="3"/>
  <c r="N1424" i="3"/>
  <c r="K1424" i="3"/>
  <c r="AJ1423" i="3"/>
  <c r="AL1423" i="3"/>
  <c r="AI1423" i="3"/>
  <c r="X1423" i="3"/>
  <c r="Z1423" i="3"/>
  <c r="W1423" i="3"/>
  <c r="O1423" i="3"/>
  <c r="M1423" i="3"/>
  <c r="L1423" i="3"/>
  <c r="N1423" i="3"/>
  <c r="K1423" i="3"/>
  <c r="AJ1422" i="3"/>
  <c r="AL1422" i="3"/>
  <c r="AI1422" i="3"/>
  <c r="X1422" i="3"/>
  <c r="Z1422" i="3"/>
  <c r="W1422" i="3"/>
  <c r="O1422" i="3"/>
  <c r="M1422" i="3"/>
  <c r="L1422" i="3"/>
  <c r="N1422" i="3"/>
  <c r="K1422" i="3"/>
  <c r="AJ1421" i="3"/>
  <c r="AL1421" i="3"/>
  <c r="AI1421" i="3"/>
  <c r="X1421" i="3"/>
  <c r="Z1421" i="3"/>
  <c r="W1421" i="3"/>
  <c r="O1421" i="3"/>
  <c r="M1421" i="3"/>
  <c r="L1421" i="3"/>
  <c r="N1421" i="3"/>
  <c r="K1421" i="3"/>
  <c r="AJ1420" i="3"/>
  <c r="AL1420" i="3"/>
  <c r="AI1420" i="3"/>
  <c r="X1420" i="3"/>
  <c r="Z1420" i="3"/>
  <c r="W1420" i="3"/>
  <c r="O1420" i="3"/>
  <c r="M1420" i="3"/>
  <c r="L1420" i="3"/>
  <c r="N1420" i="3"/>
  <c r="K1420" i="3"/>
  <c r="AJ1419" i="3"/>
  <c r="AL1419" i="3"/>
  <c r="AI1419" i="3"/>
  <c r="X1419" i="3"/>
  <c r="Z1419" i="3"/>
  <c r="W1419" i="3"/>
  <c r="O1419" i="3"/>
  <c r="M1419" i="3"/>
  <c r="L1419" i="3"/>
  <c r="N1419" i="3"/>
  <c r="K1419" i="3"/>
  <c r="AJ1418" i="3"/>
  <c r="AL1418" i="3"/>
  <c r="AI1418" i="3"/>
  <c r="X1418" i="3"/>
  <c r="Z1418" i="3"/>
  <c r="W1418" i="3"/>
  <c r="O1418" i="3"/>
  <c r="M1418" i="3"/>
  <c r="L1418" i="3"/>
  <c r="N1418" i="3"/>
  <c r="K1418" i="3"/>
  <c r="AJ1417" i="3"/>
  <c r="AL1417" i="3"/>
  <c r="AI1417" i="3"/>
  <c r="X1417" i="3"/>
  <c r="Z1417" i="3"/>
  <c r="W1417" i="3"/>
  <c r="O1417" i="3"/>
  <c r="M1417" i="3"/>
  <c r="L1417" i="3"/>
  <c r="N1417" i="3"/>
  <c r="K1417" i="3"/>
  <c r="AJ1416" i="3"/>
  <c r="AL1416" i="3"/>
  <c r="AI1416" i="3"/>
  <c r="X1416" i="3"/>
  <c r="Z1416" i="3"/>
  <c r="W1416" i="3"/>
  <c r="O1416" i="3"/>
  <c r="M1416" i="3"/>
  <c r="L1416" i="3"/>
  <c r="N1416" i="3"/>
  <c r="K1416" i="3"/>
  <c r="AJ1415" i="3"/>
  <c r="AL1415" i="3"/>
  <c r="AI1415" i="3"/>
  <c r="X1415" i="3"/>
  <c r="Z1415" i="3"/>
  <c r="W1415" i="3"/>
  <c r="O1415" i="3"/>
  <c r="M1415" i="3"/>
  <c r="L1415" i="3"/>
  <c r="N1415" i="3"/>
  <c r="K1415" i="3"/>
  <c r="AJ1414" i="3"/>
  <c r="AL1414" i="3"/>
  <c r="AI1414" i="3"/>
  <c r="X1414" i="3"/>
  <c r="Z1414" i="3"/>
  <c r="W1414" i="3"/>
  <c r="O1414" i="3"/>
  <c r="M1414" i="3"/>
  <c r="L1414" i="3"/>
  <c r="N1414" i="3"/>
  <c r="K1414" i="3"/>
  <c r="AJ1413" i="3"/>
  <c r="AL1413" i="3"/>
  <c r="AI1413" i="3"/>
  <c r="X1413" i="3"/>
  <c r="Z1413" i="3"/>
  <c r="W1413" i="3"/>
  <c r="O1413" i="3"/>
  <c r="M1413" i="3"/>
  <c r="L1413" i="3"/>
  <c r="N1413" i="3"/>
  <c r="K1413" i="3"/>
  <c r="AJ1412" i="3"/>
  <c r="AL1412" i="3"/>
  <c r="AI1412" i="3"/>
  <c r="X1412" i="3"/>
  <c r="Z1412" i="3"/>
  <c r="W1412" i="3"/>
  <c r="O1412" i="3"/>
  <c r="M1412" i="3"/>
  <c r="L1412" i="3"/>
  <c r="N1412" i="3"/>
  <c r="K1412" i="3"/>
  <c r="AJ1411" i="3"/>
  <c r="AL1411" i="3"/>
  <c r="AI1411" i="3"/>
  <c r="X1411" i="3"/>
  <c r="Z1411" i="3"/>
  <c r="W1411" i="3"/>
  <c r="O1411" i="3"/>
  <c r="M1411" i="3"/>
  <c r="L1411" i="3"/>
  <c r="N1411" i="3"/>
  <c r="K1411" i="3"/>
  <c r="AJ1410" i="3"/>
  <c r="AL1410" i="3"/>
  <c r="AI1410" i="3"/>
  <c r="X1410" i="3"/>
  <c r="Z1410" i="3"/>
  <c r="W1410" i="3"/>
  <c r="O1410" i="3"/>
  <c r="M1410" i="3"/>
  <c r="L1410" i="3"/>
  <c r="N1410" i="3"/>
  <c r="K1410" i="3"/>
  <c r="AJ1409" i="3"/>
  <c r="AL1409" i="3"/>
  <c r="AI1409" i="3"/>
  <c r="X1409" i="3"/>
  <c r="Z1409" i="3"/>
  <c r="W1409" i="3"/>
  <c r="O1409" i="3"/>
  <c r="M1409" i="3"/>
  <c r="L1409" i="3"/>
  <c r="N1409" i="3"/>
  <c r="K1409" i="3"/>
  <c r="AJ1408" i="3"/>
  <c r="AL1408" i="3"/>
  <c r="AI1408" i="3"/>
  <c r="X1408" i="3"/>
  <c r="Z1408" i="3"/>
  <c r="W1408" i="3"/>
  <c r="O1408" i="3"/>
  <c r="M1408" i="3"/>
  <c r="L1408" i="3"/>
  <c r="N1408" i="3"/>
  <c r="K1408" i="3"/>
  <c r="AJ1407" i="3"/>
  <c r="AL1407" i="3"/>
  <c r="AI1407" i="3"/>
  <c r="X1407" i="3"/>
  <c r="Z1407" i="3"/>
  <c r="W1407" i="3"/>
  <c r="O1407" i="3"/>
  <c r="M1407" i="3"/>
  <c r="L1407" i="3"/>
  <c r="N1407" i="3"/>
  <c r="K1407" i="3"/>
  <c r="AJ1406" i="3"/>
  <c r="AL1406" i="3"/>
  <c r="AI1406" i="3"/>
  <c r="X1406" i="3"/>
  <c r="Z1406" i="3"/>
  <c r="W1406" i="3"/>
  <c r="O1406" i="3"/>
  <c r="M1406" i="3"/>
  <c r="L1406" i="3"/>
  <c r="N1406" i="3"/>
  <c r="K1406" i="3"/>
  <c r="AJ1405" i="3"/>
  <c r="AL1405" i="3"/>
  <c r="AI1405" i="3"/>
  <c r="X1405" i="3"/>
  <c r="Z1405" i="3"/>
  <c r="W1405" i="3"/>
  <c r="O1405" i="3"/>
  <c r="M1405" i="3"/>
  <c r="L1405" i="3"/>
  <c r="N1405" i="3"/>
  <c r="K1405" i="3"/>
  <c r="AJ1404" i="3"/>
  <c r="AL1404" i="3"/>
  <c r="AI1404" i="3"/>
  <c r="X1404" i="3"/>
  <c r="Z1404" i="3"/>
  <c r="W1404" i="3"/>
  <c r="O1404" i="3"/>
  <c r="M1404" i="3"/>
  <c r="L1404" i="3"/>
  <c r="N1404" i="3"/>
  <c r="K1404" i="3"/>
  <c r="AJ1403" i="3"/>
  <c r="AL1403" i="3"/>
  <c r="AI1403" i="3"/>
  <c r="X1403" i="3"/>
  <c r="Z1403" i="3"/>
  <c r="W1403" i="3"/>
  <c r="O1403" i="3"/>
  <c r="M1403" i="3"/>
  <c r="L1403" i="3"/>
  <c r="N1403" i="3"/>
  <c r="K1403" i="3"/>
  <c r="AJ1402" i="3"/>
  <c r="AL1402" i="3"/>
  <c r="AI1402" i="3"/>
  <c r="X1402" i="3"/>
  <c r="Z1402" i="3"/>
  <c r="W1402" i="3"/>
  <c r="O1402" i="3"/>
  <c r="M1402" i="3"/>
  <c r="L1402" i="3"/>
  <c r="N1402" i="3"/>
  <c r="K1402" i="3"/>
  <c r="AJ1401" i="3"/>
  <c r="AL1401" i="3"/>
  <c r="AI1401" i="3"/>
  <c r="X1401" i="3"/>
  <c r="Z1401" i="3"/>
  <c r="W1401" i="3"/>
  <c r="O1401" i="3"/>
  <c r="M1401" i="3"/>
  <c r="L1401" i="3"/>
  <c r="N1401" i="3"/>
  <c r="K1401" i="3"/>
  <c r="AJ1400" i="3"/>
  <c r="AL1400" i="3"/>
  <c r="AI1400" i="3"/>
  <c r="X1400" i="3"/>
  <c r="Z1400" i="3"/>
  <c r="W1400" i="3"/>
  <c r="O1400" i="3"/>
  <c r="M1400" i="3"/>
  <c r="L1400" i="3"/>
  <c r="N1400" i="3"/>
  <c r="K1400" i="3"/>
  <c r="AJ1399" i="3"/>
  <c r="AL1399" i="3"/>
  <c r="AI1399" i="3"/>
  <c r="X1399" i="3"/>
  <c r="Z1399" i="3"/>
  <c r="W1399" i="3"/>
  <c r="O1399" i="3"/>
  <c r="M1399" i="3"/>
  <c r="L1399" i="3"/>
  <c r="N1399" i="3"/>
  <c r="K1399" i="3"/>
  <c r="AJ1398" i="3"/>
  <c r="AL1398" i="3"/>
  <c r="AI1398" i="3"/>
  <c r="X1398" i="3"/>
  <c r="Z1398" i="3"/>
  <c r="W1398" i="3"/>
  <c r="O1398" i="3"/>
  <c r="M1398" i="3"/>
  <c r="L1398" i="3"/>
  <c r="N1398" i="3"/>
  <c r="K1398" i="3"/>
  <c r="AJ1397" i="3"/>
  <c r="AL1397" i="3"/>
  <c r="AI1397" i="3"/>
  <c r="X1397" i="3"/>
  <c r="Z1397" i="3"/>
  <c r="W1397" i="3"/>
  <c r="O1397" i="3"/>
  <c r="M1397" i="3"/>
  <c r="L1397" i="3"/>
  <c r="N1397" i="3"/>
  <c r="K1397" i="3"/>
  <c r="AJ1396" i="3"/>
  <c r="AL1396" i="3"/>
  <c r="AI1396" i="3"/>
  <c r="X1396" i="3"/>
  <c r="Z1396" i="3"/>
  <c r="W1396" i="3"/>
  <c r="O1396" i="3"/>
  <c r="M1396" i="3"/>
  <c r="L1396" i="3"/>
  <c r="N1396" i="3"/>
  <c r="K1396" i="3"/>
  <c r="AJ1395" i="3"/>
  <c r="AL1395" i="3"/>
  <c r="AI1395" i="3"/>
  <c r="X1395" i="3"/>
  <c r="Z1395" i="3"/>
  <c r="W1395" i="3"/>
  <c r="O1395" i="3"/>
  <c r="M1395" i="3"/>
  <c r="L1395" i="3"/>
  <c r="N1395" i="3"/>
  <c r="K1395" i="3"/>
  <c r="AJ1394" i="3"/>
  <c r="AL1394" i="3"/>
  <c r="AI1394" i="3"/>
  <c r="X1394" i="3"/>
  <c r="Z1394" i="3"/>
  <c r="W1394" i="3"/>
  <c r="O1394" i="3"/>
  <c r="M1394" i="3"/>
  <c r="L1394" i="3"/>
  <c r="N1394" i="3"/>
  <c r="K1394" i="3"/>
  <c r="AJ1393" i="3"/>
  <c r="AL1393" i="3"/>
  <c r="AI1393" i="3"/>
  <c r="X1393" i="3"/>
  <c r="Z1393" i="3"/>
  <c r="W1393" i="3"/>
  <c r="O1393" i="3"/>
  <c r="M1393" i="3"/>
  <c r="L1393" i="3"/>
  <c r="N1393" i="3"/>
  <c r="K1393" i="3"/>
  <c r="AJ1392" i="3"/>
  <c r="AL1392" i="3"/>
  <c r="AI1392" i="3"/>
  <c r="X1392" i="3"/>
  <c r="Z1392" i="3"/>
  <c r="W1392" i="3"/>
  <c r="O1392" i="3"/>
  <c r="M1392" i="3"/>
  <c r="L1392" i="3"/>
  <c r="N1392" i="3"/>
  <c r="K1392" i="3"/>
  <c r="AJ1391" i="3"/>
  <c r="AL1391" i="3"/>
  <c r="AI1391" i="3"/>
  <c r="X1391" i="3"/>
  <c r="Z1391" i="3"/>
  <c r="W1391" i="3"/>
  <c r="O1391" i="3"/>
  <c r="M1391" i="3"/>
  <c r="L1391" i="3"/>
  <c r="N1391" i="3"/>
  <c r="K1391" i="3"/>
  <c r="AJ1390" i="3"/>
  <c r="AL1390" i="3"/>
  <c r="AI1390" i="3"/>
  <c r="X1390" i="3"/>
  <c r="Z1390" i="3"/>
  <c r="W1390" i="3"/>
  <c r="O1390" i="3"/>
  <c r="M1390" i="3"/>
  <c r="L1390" i="3"/>
  <c r="N1390" i="3"/>
  <c r="K1390" i="3"/>
  <c r="AJ1389" i="3"/>
  <c r="AL1389" i="3"/>
  <c r="AI1389" i="3"/>
  <c r="X1389" i="3"/>
  <c r="Z1389" i="3"/>
  <c r="W1389" i="3"/>
  <c r="O1389" i="3"/>
  <c r="M1389" i="3"/>
  <c r="L1389" i="3"/>
  <c r="N1389" i="3"/>
  <c r="K1389" i="3"/>
  <c r="AJ1388" i="3"/>
  <c r="AL1388" i="3"/>
  <c r="AI1388" i="3"/>
  <c r="X1388" i="3"/>
  <c r="Z1388" i="3"/>
  <c r="W1388" i="3"/>
  <c r="O1388" i="3"/>
  <c r="M1388" i="3"/>
  <c r="L1388" i="3"/>
  <c r="N1388" i="3"/>
  <c r="K1388" i="3"/>
  <c r="AJ1387" i="3"/>
  <c r="AL1387" i="3"/>
  <c r="AI1387" i="3"/>
  <c r="X1387" i="3"/>
  <c r="Z1387" i="3"/>
  <c r="W1387" i="3"/>
  <c r="O1387" i="3"/>
  <c r="M1387" i="3"/>
  <c r="L1387" i="3"/>
  <c r="N1387" i="3"/>
  <c r="K1387" i="3"/>
  <c r="AJ1386" i="3"/>
  <c r="AL1386" i="3"/>
  <c r="AI1386" i="3"/>
  <c r="X1386" i="3"/>
  <c r="Z1386" i="3"/>
  <c r="W1386" i="3"/>
  <c r="O1386" i="3"/>
  <c r="M1386" i="3"/>
  <c r="L1386" i="3"/>
  <c r="N1386" i="3"/>
  <c r="K1386" i="3"/>
  <c r="AJ1385" i="3"/>
  <c r="AL1385" i="3"/>
  <c r="AI1385" i="3"/>
  <c r="X1385" i="3"/>
  <c r="Z1385" i="3"/>
  <c r="W1385" i="3"/>
  <c r="O1385" i="3"/>
  <c r="M1385" i="3"/>
  <c r="L1385" i="3"/>
  <c r="N1385" i="3"/>
  <c r="K1385" i="3"/>
  <c r="AJ1384" i="3"/>
  <c r="AL1384" i="3"/>
  <c r="AI1384" i="3"/>
  <c r="X1384" i="3"/>
  <c r="Z1384" i="3"/>
  <c r="W1384" i="3"/>
  <c r="O1384" i="3"/>
  <c r="M1384" i="3"/>
  <c r="L1384" i="3"/>
  <c r="N1384" i="3"/>
  <c r="K1384" i="3"/>
  <c r="AJ1383" i="3"/>
  <c r="AL1383" i="3"/>
  <c r="AI1383" i="3"/>
  <c r="X1383" i="3"/>
  <c r="Z1383" i="3"/>
  <c r="W1383" i="3"/>
  <c r="O1383" i="3"/>
  <c r="M1383" i="3"/>
  <c r="L1383" i="3"/>
  <c r="N1383" i="3"/>
  <c r="K1383" i="3"/>
  <c r="AJ1382" i="3"/>
  <c r="AL1382" i="3"/>
  <c r="AI1382" i="3"/>
  <c r="X1382" i="3"/>
  <c r="Z1382" i="3"/>
  <c r="W1382" i="3"/>
  <c r="O1382" i="3"/>
  <c r="M1382" i="3"/>
  <c r="L1382" i="3"/>
  <c r="N1382" i="3"/>
  <c r="K1382" i="3"/>
  <c r="AJ1381" i="3"/>
  <c r="AL1381" i="3"/>
  <c r="AI1381" i="3"/>
  <c r="X1381" i="3"/>
  <c r="Z1381" i="3"/>
  <c r="W1381" i="3"/>
  <c r="O1381" i="3"/>
  <c r="M1381" i="3"/>
  <c r="L1381" i="3"/>
  <c r="N1381" i="3"/>
  <c r="K1381" i="3"/>
  <c r="AJ1380" i="3"/>
  <c r="AL1380" i="3"/>
  <c r="AI1380" i="3"/>
  <c r="X1380" i="3"/>
  <c r="Z1380" i="3"/>
  <c r="W1380" i="3"/>
  <c r="O1380" i="3"/>
  <c r="M1380" i="3"/>
  <c r="L1380" i="3"/>
  <c r="N1380" i="3"/>
  <c r="K1380" i="3"/>
  <c r="AJ1379" i="3"/>
  <c r="AL1379" i="3"/>
  <c r="AI1379" i="3"/>
  <c r="X1379" i="3"/>
  <c r="Z1379" i="3"/>
  <c r="W1379" i="3"/>
  <c r="O1379" i="3"/>
  <c r="M1379" i="3"/>
  <c r="L1379" i="3"/>
  <c r="N1379" i="3"/>
  <c r="K1379" i="3"/>
  <c r="AJ1378" i="3"/>
  <c r="AL1378" i="3"/>
  <c r="AI1378" i="3"/>
  <c r="X1378" i="3"/>
  <c r="Z1378" i="3"/>
  <c r="W1378" i="3"/>
  <c r="O1378" i="3"/>
  <c r="M1378" i="3"/>
  <c r="L1378" i="3"/>
  <c r="N1378" i="3"/>
  <c r="K1378" i="3"/>
  <c r="AJ1377" i="3"/>
  <c r="AL1377" i="3"/>
  <c r="AI1377" i="3"/>
  <c r="X1377" i="3"/>
  <c r="Z1377" i="3"/>
  <c r="W1377" i="3"/>
  <c r="O1377" i="3"/>
  <c r="M1377" i="3"/>
  <c r="L1377" i="3"/>
  <c r="N1377" i="3"/>
  <c r="K1377" i="3"/>
  <c r="AJ1376" i="3"/>
  <c r="AL1376" i="3"/>
  <c r="AI1376" i="3"/>
  <c r="X1376" i="3"/>
  <c r="Z1376" i="3"/>
  <c r="W1376" i="3"/>
  <c r="O1376" i="3"/>
  <c r="M1376" i="3"/>
  <c r="L1376" i="3"/>
  <c r="N1376" i="3"/>
  <c r="K1376" i="3"/>
  <c r="AJ1375" i="3"/>
  <c r="AL1375" i="3"/>
  <c r="AI1375" i="3"/>
  <c r="X1375" i="3"/>
  <c r="Z1375" i="3"/>
  <c r="W1375" i="3"/>
  <c r="O1375" i="3"/>
  <c r="M1375" i="3"/>
  <c r="L1375" i="3"/>
  <c r="N1375" i="3"/>
  <c r="K1375" i="3"/>
  <c r="AJ1374" i="3"/>
  <c r="AL1374" i="3"/>
  <c r="AI1374" i="3"/>
  <c r="X1374" i="3"/>
  <c r="Z1374" i="3"/>
  <c r="W1374" i="3"/>
  <c r="O1374" i="3"/>
  <c r="M1374" i="3"/>
  <c r="L1374" i="3"/>
  <c r="N1374" i="3"/>
  <c r="K1374" i="3"/>
  <c r="AJ1373" i="3"/>
  <c r="AL1373" i="3"/>
  <c r="AI1373" i="3"/>
  <c r="X1373" i="3"/>
  <c r="Z1373" i="3"/>
  <c r="W1373" i="3"/>
  <c r="O1373" i="3"/>
  <c r="M1373" i="3"/>
  <c r="L1373" i="3"/>
  <c r="N1373" i="3"/>
  <c r="K1373" i="3"/>
  <c r="AJ1372" i="3"/>
  <c r="AL1372" i="3"/>
  <c r="AI1372" i="3"/>
  <c r="X1372" i="3"/>
  <c r="Z1372" i="3"/>
  <c r="W1372" i="3"/>
  <c r="O1372" i="3"/>
  <c r="M1372" i="3"/>
  <c r="L1372" i="3"/>
  <c r="N1372" i="3"/>
  <c r="K1372" i="3"/>
  <c r="AJ1371" i="3"/>
  <c r="AL1371" i="3"/>
  <c r="AI1371" i="3"/>
  <c r="X1371" i="3"/>
  <c r="Z1371" i="3"/>
  <c r="W1371" i="3"/>
  <c r="O1371" i="3"/>
  <c r="M1371" i="3"/>
  <c r="L1371" i="3"/>
  <c r="N1371" i="3"/>
  <c r="K1371" i="3"/>
  <c r="AJ1370" i="3"/>
  <c r="AL1370" i="3"/>
  <c r="AI1370" i="3"/>
  <c r="X1370" i="3"/>
  <c r="Z1370" i="3"/>
  <c r="W1370" i="3"/>
  <c r="O1370" i="3"/>
  <c r="M1370" i="3"/>
  <c r="L1370" i="3"/>
  <c r="N1370" i="3"/>
  <c r="K1370" i="3"/>
  <c r="AJ1369" i="3"/>
  <c r="AL1369" i="3"/>
  <c r="AI1369" i="3"/>
  <c r="X1369" i="3"/>
  <c r="Z1369" i="3"/>
  <c r="W1369" i="3"/>
  <c r="O1369" i="3"/>
  <c r="M1369" i="3"/>
  <c r="L1369" i="3"/>
  <c r="N1369" i="3"/>
  <c r="K1369" i="3"/>
  <c r="AJ1368" i="3"/>
  <c r="AL1368" i="3"/>
  <c r="AI1368" i="3"/>
  <c r="X1368" i="3"/>
  <c r="Z1368" i="3"/>
  <c r="W1368" i="3"/>
  <c r="O1368" i="3"/>
  <c r="M1368" i="3"/>
  <c r="L1368" i="3"/>
  <c r="N1368" i="3"/>
  <c r="K1368" i="3"/>
  <c r="AJ1367" i="3"/>
  <c r="AL1367" i="3"/>
  <c r="AI1367" i="3"/>
  <c r="X1367" i="3"/>
  <c r="Z1367" i="3"/>
  <c r="W1367" i="3"/>
  <c r="O1367" i="3"/>
  <c r="M1367" i="3"/>
  <c r="L1367" i="3"/>
  <c r="N1367" i="3"/>
  <c r="K1367" i="3"/>
  <c r="AJ1366" i="3"/>
  <c r="AL1366" i="3"/>
  <c r="AI1366" i="3"/>
  <c r="X1366" i="3"/>
  <c r="Z1366" i="3"/>
  <c r="W1366" i="3"/>
  <c r="O1366" i="3"/>
  <c r="M1366" i="3"/>
  <c r="L1366" i="3"/>
  <c r="N1366" i="3"/>
  <c r="K1366" i="3"/>
  <c r="AJ1365" i="3"/>
  <c r="AL1365" i="3"/>
  <c r="AI1365" i="3"/>
  <c r="X1365" i="3"/>
  <c r="Z1365" i="3"/>
  <c r="W1365" i="3"/>
  <c r="O1365" i="3"/>
  <c r="M1365" i="3"/>
  <c r="L1365" i="3"/>
  <c r="N1365" i="3"/>
  <c r="K1365" i="3"/>
  <c r="AJ1364" i="3"/>
  <c r="AL1364" i="3"/>
  <c r="AI1364" i="3"/>
  <c r="X1364" i="3"/>
  <c r="Z1364" i="3"/>
  <c r="W1364" i="3"/>
  <c r="O1364" i="3"/>
  <c r="M1364" i="3"/>
  <c r="L1364" i="3"/>
  <c r="N1364" i="3"/>
  <c r="K1364" i="3"/>
  <c r="AJ1363" i="3"/>
  <c r="AL1363" i="3"/>
  <c r="AI1363" i="3"/>
  <c r="X1363" i="3"/>
  <c r="Z1363" i="3"/>
  <c r="W1363" i="3"/>
  <c r="O1363" i="3"/>
  <c r="M1363" i="3"/>
  <c r="L1363" i="3"/>
  <c r="N1363" i="3"/>
  <c r="K1363" i="3"/>
  <c r="AJ1362" i="3"/>
  <c r="AL1362" i="3"/>
  <c r="AI1362" i="3"/>
  <c r="X1362" i="3"/>
  <c r="Z1362" i="3"/>
  <c r="W1362" i="3"/>
  <c r="O1362" i="3"/>
  <c r="M1362" i="3"/>
  <c r="L1362" i="3"/>
  <c r="N1362" i="3"/>
  <c r="K1362" i="3"/>
  <c r="AJ1361" i="3"/>
  <c r="AL1361" i="3"/>
  <c r="AI1361" i="3"/>
  <c r="X1361" i="3"/>
  <c r="Z1361" i="3"/>
  <c r="W1361" i="3"/>
  <c r="O1361" i="3"/>
  <c r="M1361" i="3"/>
  <c r="L1361" i="3"/>
  <c r="N1361" i="3"/>
  <c r="K1361" i="3"/>
  <c r="AJ1360" i="3"/>
  <c r="AL1360" i="3"/>
  <c r="AI1360" i="3"/>
  <c r="X1360" i="3"/>
  <c r="Z1360" i="3"/>
  <c r="W1360" i="3"/>
  <c r="O1360" i="3"/>
  <c r="M1360" i="3"/>
  <c r="L1360" i="3"/>
  <c r="N1360" i="3"/>
  <c r="K1360" i="3"/>
  <c r="AJ1359" i="3"/>
  <c r="AL1359" i="3"/>
  <c r="AI1359" i="3"/>
  <c r="X1359" i="3"/>
  <c r="Z1359" i="3"/>
  <c r="W1359" i="3"/>
  <c r="O1359" i="3"/>
  <c r="M1359" i="3"/>
  <c r="L1359" i="3"/>
  <c r="N1359" i="3"/>
  <c r="K1359" i="3"/>
  <c r="AJ1358" i="3"/>
  <c r="AL1358" i="3"/>
  <c r="AI1358" i="3"/>
  <c r="X1358" i="3"/>
  <c r="Z1358" i="3"/>
  <c r="W1358" i="3"/>
  <c r="O1358" i="3"/>
  <c r="M1358" i="3"/>
  <c r="L1358" i="3"/>
  <c r="N1358" i="3"/>
  <c r="K1358" i="3"/>
  <c r="AJ1357" i="3"/>
  <c r="AL1357" i="3"/>
  <c r="AI1357" i="3"/>
  <c r="X1357" i="3"/>
  <c r="Z1357" i="3"/>
  <c r="W1357" i="3"/>
  <c r="O1357" i="3"/>
  <c r="M1357" i="3"/>
  <c r="L1357" i="3"/>
  <c r="N1357" i="3"/>
  <c r="K1357" i="3"/>
  <c r="AJ1356" i="3"/>
  <c r="AL1356" i="3"/>
  <c r="AI1356" i="3"/>
  <c r="X1356" i="3"/>
  <c r="Z1356" i="3"/>
  <c r="W1356" i="3"/>
  <c r="O1356" i="3"/>
  <c r="M1356" i="3"/>
  <c r="L1356" i="3"/>
  <c r="N1356" i="3"/>
  <c r="K1356" i="3"/>
  <c r="AJ1355" i="3"/>
  <c r="AL1355" i="3"/>
  <c r="AI1355" i="3"/>
  <c r="X1355" i="3"/>
  <c r="Z1355" i="3"/>
  <c r="W1355" i="3"/>
  <c r="O1355" i="3"/>
  <c r="M1355" i="3"/>
  <c r="L1355" i="3"/>
  <c r="N1355" i="3"/>
  <c r="K1355" i="3"/>
  <c r="AJ1354" i="3"/>
  <c r="AL1354" i="3"/>
  <c r="AI1354" i="3"/>
  <c r="X1354" i="3"/>
  <c r="Z1354" i="3"/>
  <c r="W1354" i="3"/>
  <c r="O1354" i="3"/>
  <c r="M1354" i="3"/>
  <c r="L1354" i="3"/>
  <c r="N1354" i="3"/>
  <c r="K1354" i="3"/>
  <c r="AJ1353" i="3"/>
  <c r="AL1353" i="3"/>
  <c r="AI1353" i="3"/>
  <c r="X1353" i="3"/>
  <c r="Z1353" i="3"/>
  <c r="W1353" i="3"/>
  <c r="O1353" i="3"/>
  <c r="M1353" i="3"/>
  <c r="L1353" i="3"/>
  <c r="N1353" i="3"/>
  <c r="K1353" i="3"/>
  <c r="AJ1352" i="3"/>
  <c r="AL1352" i="3"/>
  <c r="AI1352" i="3"/>
  <c r="X1352" i="3"/>
  <c r="Z1352" i="3"/>
  <c r="W1352" i="3"/>
  <c r="O1352" i="3"/>
  <c r="M1352" i="3"/>
  <c r="L1352" i="3"/>
  <c r="N1352" i="3"/>
  <c r="K1352" i="3"/>
  <c r="AJ1351" i="3"/>
  <c r="AL1351" i="3"/>
  <c r="AI1351" i="3"/>
  <c r="X1351" i="3"/>
  <c r="Z1351" i="3"/>
  <c r="W1351" i="3"/>
  <c r="O1351" i="3"/>
  <c r="M1351" i="3"/>
  <c r="L1351" i="3"/>
  <c r="N1351" i="3"/>
  <c r="K1351" i="3"/>
  <c r="AJ1350" i="3"/>
  <c r="AL1350" i="3"/>
  <c r="AI1350" i="3"/>
  <c r="X1350" i="3"/>
  <c r="Z1350" i="3"/>
  <c r="W1350" i="3"/>
  <c r="O1350" i="3"/>
  <c r="M1350" i="3"/>
  <c r="L1350" i="3"/>
  <c r="N1350" i="3"/>
  <c r="K1350" i="3"/>
  <c r="AJ1349" i="3"/>
  <c r="AL1349" i="3"/>
  <c r="AI1349" i="3"/>
  <c r="X1349" i="3"/>
  <c r="Z1349" i="3"/>
  <c r="W1349" i="3"/>
  <c r="O1349" i="3"/>
  <c r="M1349" i="3"/>
  <c r="L1349" i="3"/>
  <c r="N1349" i="3"/>
  <c r="K1349" i="3"/>
  <c r="AJ1348" i="3"/>
  <c r="AL1348" i="3"/>
  <c r="AI1348" i="3"/>
  <c r="X1348" i="3"/>
  <c r="Z1348" i="3"/>
  <c r="W1348" i="3"/>
  <c r="O1348" i="3"/>
  <c r="M1348" i="3"/>
  <c r="L1348" i="3"/>
  <c r="N1348" i="3"/>
  <c r="K1348" i="3"/>
  <c r="AJ1347" i="3"/>
  <c r="AL1347" i="3"/>
  <c r="AI1347" i="3"/>
  <c r="X1347" i="3"/>
  <c r="Z1347" i="3"/>
  <c r="W1347" i="3"/>
  <c r="O1347" i="3"/>
  <c r="M1347" i="3"/>
  <c r="L1347" i="3"/>
  <c r="N1347" i="3"/>
  <c r="K1347" i="3"/>
  <c r="AJ1346" i="3"/>
  <c r="AL1346" i="3"/>
  <c r="AI1346" i="3"/>
  <c r="X1346" i="3"/>
  <c r="Z1346" i="3"/>
  <c r="W1346" i="3"/>
  <c r="O1346" i="3"/>
  <c r="M1346" i="3"/>
  <c r="L1346" i="3"/>
  <c r="N1346" i="3"/>
  <c r="K1346" i="3"/>
  <c r="AJ1345" i="3"/>
  <c r="AL1345" i="3"/>
  <c r="AI1345" i="3"/>
  <c r="X1345" i="3"/>
  <c r="Z1345" i="3"/>
  <c r="W1345" i="3"/>
  <c r="O1345" i="3"/>
  <c r="M1345" i="3"/>
  <c r="L1345" i="3"/>
  <c r="N1345" i="3"/>
  <c r="K1345" i="3"/>
  <c r="AJ1344" i="3"/>
  <c r="AL1344" i="3"/>
  <c r="AI1344" i="3"/>
  <c r="X1344" i="3"/>
  <c r="Z1344" i="3"/>
  <c r="W1344" i="3"/>
  <c r="O1344" i="3"/>
  <c r="M1344" i="3"/>
  <c r="L1344" i="3"/>
  <c r="N1344" i="3"/>
  <c r="K1344" i="3"/>
  <c r="AJ1343" i="3"/>
  <c r="AL1343" i="3"/>
  <c r="AI1343" i="3"/>
  <c r="X1343" i="3"/>
  <c r="Z1343" i="3"/>
  <c r="W1343" i="3"/>
  <c r="O1343" i="3"/>
  <c r="M1343" i="3"/>
  <c r="L1343" i="3"/>
  <c r="N1343" i="3"/>
  <c r="K1343" i="3"/>
  <c r="AJ1342" i="3"/>
  <c r="AL1342" i="3"/>
  <c r="AI1342" i="3"/>
  <c r="X1342" i="3"/>
  <c r="Z1342" i="3"/>
  <c r="W1342" i="3"/>
  <c r="O1342" i="3"/>
  <c r="M1342" i="3"/>
  <c r="L1342" i="3"/>
  <c r="N1342" i="3"/>
  <c r="K1342" i="3"/>
  <c r="AJ1341" i="3"/>
  <c r="AL1341" i="3"/>
  <c r="AI1341" i="3"/>
  <c r="X1341" i="3"/>
  <c r="Z1341" i="3"/>
  <c r="W1341" i="3"/>
  <c r="O1341" i="3"/>
  <c r="M1341" i="3"/>
  <c r="L1341" i="3"/>
  <c r="N1341" i="3"/>
  <c r="K1341" i="3"/>
  <c r="AJ1340" i="3"/>
  <c r="AL1340" i="3"/>
  <c r="AI1340" i="3"/>
  <c r="X1340" i="3"/>
  <c r="Z1340" i="3"/>
  <c r="W1340" i="3"/>
  <c r="O1340" i="3"/>
  <c r="M1340" i="3"/>
  <c r="L1340" i="3"/>
  <c r="N1340" i="3"/>
  <c r="K1340" i="3"/>
  <c r="AJ1339" i="3"/>
  <c r="AL1339" i="3"/>
  <c r="AI1339" i="3"/>
  <c r="X1339" i="3"/>
  <c r="Z1339" i="3"/>
  <c r="W1339" i="3"/>
  <c r="O1339" i="3"/>
  <c r="M1339" i="3"/>
  <c r="L1339" i="3"/>
  <c r="N1339" i="3"/>
  <c r="K1339" i="3"/>
  <c r="AJ1338" i="3"/>
  <c r="AL1338" i="3"/>
  <c r="AI1338" i="3"/>
  <c r="X1338" i="3"/>
  <c r="Z1338" i="3"/>
  <c r="W1338" i="3"/>
  <c r="O1338" i="3"/>
  <c r="M1338" i="3"/>
  <c r="L1338" i="3"/>
  <c r="N1338" i="3"/>
  <c r="K1338" i="3"/>
  <c r="AJ1337" i="3"/>
  <c r="AL1337" i="3"/>
  <c r="AI1337" i="3"/>
  <c r="X1337" i="3"/>
  <c r="Z1337" i="3"/>
  <c r="W1337" i="3"/>
  <c r="O1337" i="3"/>
  <c r="M1337" i="3"/>
  <c r="L1337" i="3"/>
  <c r="N1337" i="3"/>
  <c r="K1337" i="3"/>
  <c r="AJ1336" i="3"/>
  <c r="AL1336" i="3"/>
  <c r="AI1336" i="3"/>
  <c r="X1336" i="3"/>
  <c r="Z1336" i="3"/>
  <c r="W1336" i="3"/>
  <c r="O1336" i="3"/>
  <c r="M1336" i="3"/>
  <c r="L1336" i="3"/>
  <c r="N1336" i="3"/>
  <c r="K1336" i="3"/>
  <c r="AJ1335" i="3"/>
  <c r="AL1335" i="3"/>
  <c r="AI1335" i="3"/>
  <c r="X1335" i="3"/>
  <c r="Z1335" i="3"/>
  <c r="W1335" i="3"/>
  <c r="O1335" i="3"/>
  <c r="M1335" i="3"/>
  <c r="L1335" i="3"/>
  <c r="N1335" i="3"/>
  <c r="K1335" i="3"/>
  <c r="AJ1334" i="3"/>
  <c r="AL1334" i="3"/>
  <c r="AI1334" i="3"/>
  <c r="X1334" i="3"/>
  <c r="Z1334" i="3"/>
  <c r="W1334" i="3"/>
  <c r="O1334" i="3"/>
  <c r="M1334" i="3"/>
  <c r="L1334" i="3"/>
  <c r="N1334" i="3"/>
  <c r="K1334" i="3"/>
  <c r="AJ1333" i="3"/>
  <c r="AL1333" i="3"/>
  <c r="AI1333" i="3"/>
  <c r="X1333" i="3"/>
  <c r="Z1333" i="3"/>
  <c r="W1333" i="3"/>
  <c r="O1333" i="3"/>
  <c r="M1333" i="3"/>
  <c r="L1333" i="3"/>
  <c r="N1333" i="3"/>
  <c r="K1333" i="3"/>
  <c r="AJ1332" i="3"/>
  <c r="AL1332" i="3"/>
  <c r="AI1332" i="3"/>
  <c r="X1332" i="3"/>
  <c r="Z1332" i="3"/>
  <c r="W1332" i="3"/>
  <c r="O1332" i="3"/>
  <c r="M1332" i="3"/>
  <c r="L1332" i="3"/>
  <c r="N1332" i="3"/>
  <c r="K1332" i="3"/>
  <c r="AJ1331" i="3"/>
  <c r="AL1331" i="3"/>
  <c r="AI1331" i="3"/>
  <c r="X1331" i="3"/>
  <c r="Z1331" i="3"/>
  <c r="W1331" i="3"/>
  <c r="O1331" i="3"/>
  <c r="M1331" i="3"/>
  <c r="L1331" i="3"/>
  <c r="N1331" i="3"/>
  <c r="K1331" i="3"/>
  <c r="AJ1330" i="3"/>
  <c r="AL1330" i="3"/>
  <c r="AI1330" i="3"/>
  <c r="X1330" i="3"/>
  <c r="Z1330" i="3"/>
  <c r="W1330" i="3"/>
  <c r="O1330" i="3"/>
  <c r="M1330" i="3"/>
  <c r="L1330" i="3"/>
  <c r="N1330" i="3"/>
  <c r="K1330" i="3"/>
  <c r="AJ1329" i="3"/>
  <c r="AL1329" i="3"/>
  <c r="AI1329" i="3"/>
  <c r="X1329" i="3"/>
  <c r="Z1329" i="3"/>
  <c r="W1329" i="3"/>
  <c r="O1329" i="3"/>
  <c r="M1329" i="3"/>
  <c r="L1329" i="3"/>
  <c r="N1329" i="3"/>
  <c r="K1329" i="3"/>
  <c r="AJ1328" i="3"/>
  <c r="AL1328" i="3"/>
  <c r="AI1328" i="3"/>
  <c r="X1328" i="3"/>
  <c r="Z1328" i="3"/>
  <c r="W1328" i="3"/>
  <c r="O1328" i="3"/>
  <c r="M1328" i="3"/>
  <c r="L1328" i="3"/>
  <c r="N1328" i="3"/>
  <c r="K1328" i="3"/>
  <c r="AJ1327" i="3"/>
  <c r="AL1327" i="3"/>
  <c r="AI1327" i="3"/>
  <c r="X1327" i="3"/>
  <c r="Z1327" i="3"/>
  <c r="W1327" i="3"/>
  <c r="O1327" i="3"/>
  <c r="M1327" i="3"/>
  <c r="L1327" i="3"/>
  <c r="N1327" i="3"/>
  <c r="K1327" i="3"/>
  <c r="AJ1326" i="3"/>
  <c r="AL1326" i="3"/>
  <c r="AI1326" i="3"/>
  <c r="X1326" i="3"/>
  <c r="Z1326" i="3"/>
  <c r="W1326" i="3"/>
  <c r="O1326" i="3"/>
  <c r="M1326" i="3"/>
  <c r="L1326" i="3"/>
  <c r="N1326" i="3"/>
  <c r="K1326" i="3"/>
  <c r="AJ1325" i="3"/>
  <c r="AL1325" i="3"/>
  <c r="AI1325" i="3"/>
  <c r="X1325" i="3"/>
  <c r="Z1325" i="3"/>
  <c r="W1325" i="3"/>
  <c r="O1325" i="3"/>
  <c r="M1325" i="3"/>
  <c r="L1325" i="3"/>
  <c r="N1325" i="3"/>
  <c r="K1325" i="3"/>
  <c r="AJ1324" i="3"/>
  <c r="AL1324" i="3"/>
  <c r="AI1324" i="3"/>
  <c r="X1324" i="3"/>
  <c r="Z1324" i="3"/>
  <c r="W1324" i="3"/>
  <c r="O1324" i="3"/>
  <c r="M1324" i="3"/>
  <c r="L1324" i="3"/>
  <c r="N1324" i="3"/>
  <c r="K1324" i="3"/>
  <c r="AJ1323" i="3"/>
  <c r="AL1323" i="3"/>
  <c r="AI1323" i="3"/>
  <c r="X1323" i="3"/>
  <c r="Z1323" i="3"/>
  <c r="W1323" i="3"/>
  <c r="O1323" i="3"/>
  <c r="M1323" i="3"/>
  <c r="L1323" i="3"/>
  <c r="N1323" i="3"/>
  <c r="K1323" i="3"/>
  <c r="AJ1322" i="3"/>
  <c r="AL1322" i="3"/>
  <c r="AI1322" i="3"/>
  <c r="X1322" i="3"/>
  <c r="Z1322" i="3"/>
  <c r="W1322" i="3"/>
  <c r="O1322" i="3"/>
  <c r="M1322" i="3"/>
  <c r="L1322" i="3"/>
  <c r="N1322" i="3"/>
  <c r="K1322" i="3"/>
  <c r="AJ1321" i="3"/>
  <c r="AL1321" i="3"/>
  <c r="AI1321" i="3"/>
  <c r="X1321" i="3"/>
  <c r="Z1321" i="3"/>
  <c r="W1321" i="3"/>
  <c r="O1321" i="3"/>
  <c r="M1321" i="3"/>
  <c r="L1321" i="3"/>
  <c r="N1321" i="3"/>
  <c r="K1321" i="3"/>
  <c r="AJ1320" i="3"/>
  <c r="AL1320" i="3"/>
  <c r="AI1320" i="3"/>
  <c r="X1320" i="3"/>
  <c r="Z1320" i="3"/>
  <c r="W1320" i="3"/>
  <c r="O1320" i="3"/>
  <c r="M1320" i="3"/>
  <c r="L1320" i="3"/>
  <c r="N1320" i="3"/>
  <c r="K1320" i="3"/>
  <c r="AJ1319" i="3"/>
  <c r="AL1319" i="3"/>
  <c r="AI1319" i="3"/>
  <c r="X1319" i="3"/>
  <c r="Z1319" i="3"/>
  <c r="W1319" i="3"/>
  <c r="O1319" i="3"/>
  <c r="M1319" i="3"/>
  <c r="L1319" i="3"/>
  <c r="N1319" i="3"/>
  <c r="K1319" i="3"/>
  <c r="AJ1318" i="3"/>
  <c r="AL1318" i="3"/>
  <c r="AI1318" i="3"/>
  <c r="X1318" i="3"/>
  <c r="Z1318" i="3"/>
  <c r="W1318" i="3"/>
  <c r="O1318" i="3"/>
  <c r="M1318" i="3"/>
  <c r="L1318" i="3"/>
  <c r="N1318" i="3"/>
  <c r="K1318" i="3"/>
  <c r="AJ1317" i="3"/>
  <c r="AL1317" i="3"/>
  <c r="AI1317" i="3"/>
  <c r="X1317" i="3"/>
  <c r="Z1317" i="3"/>
  <c r="W1317" i="3"/>
  <c r="O1317" i="3"/>
  <c r="M1317" i="3"/>
  <c r="L1317" i="3"/>
  <c r="N1317" i="3"/>
  <c r="K1317" i="3"/>
  <c r="AJ1316" i="3"/>
  <c r="AL1316" i="3"/>
  <c r="AI1316" i="3"/>
  <c r="X1316" i="3"/>
  <c r="Z1316" i="3"/>
  <c r="W1316" i="3"/>
  <c r="O1316" i="3"/>
  <c r="M1316" i="3"/>
  <c r="L1316" i="3"/>
  <c r="N1316" i="3"/>
  <c r="K1316" i="3"/>
  <c r="AJ1315" i="3"/>
  <c r="AL1315" i="3"/>
  <c r="AI1315" i="3"/>
  <c r="X1315" i="3"/>
  <c r="Z1315" i="3"/>
  <c r="W1315" i="3"/>
  <c r="O1315" i="3"/>
  <c r="M1315" i="3"/>
  <c r="L1315" i="3"/>
  <c r="N1315" i="3"/>
  <c r="K1315" i="3"/>
  <c r="AJ1314" i="3"/>
  <c r="AL1314" i="3"/>
  <c r="AI1314" i="3"/>
  <c r="X1314" i="3"/>
  <c r="Z1314" i="3"/>
  <c r="W1314" i="3"/>
  <c r="O1314" i="3"/>
  <c r="M1314" i="3"/>
  <c r="L1314" i="3"/>
  <c r="N1314" i="3"/>
  <c r="K1314" i="3"/>
  <c r="AJ1313" i="3"/>
  <c r="AL1313" i="3"/>
  <c r="AI1313" i="3"/>
  <c r="X1313" i="3"/>
  <c r="Z1313" i="3"/>
  <c r="W1313" i="3"/>
  <c r="O1313" i="3"/>
  <c r="M1313" i="3"/>
  <c r="L1313" i="3"/>
  <c r="N1313" i="3"/>
  <c r="K1313" i="3"/>
  <c r="AJ1312" i="3"/>
  <c r="AL1312" i="3"/>
  <c r="AI1312" i="3"/>
  <c r="X1312" i="3"/>
  <c r="Z1312" i="3"/>
  <c r="W1312" i="3"/>
  <c r="O1312" i="3"/>
  <c r="M1312" i="3"/>
  <c r="L1312" i="3"/>
  <c r="N1312" i="3"/>
  <c r="K1312" i="3"/>
  <c r="AJ1311" i="3"/>
  <c r="AL1311" i="3"/>
  <c r="AI1311" i="3"/>
  <c r="X1311" i="3"/>
  <c r="Z1311" i="3"/>
  <c r="W1311" i="3"/>
  <c r="O1311" i="3"/>
  <c r="M1311" i="3"/>
  <c r="L1311" i="3"/>
  <c r="N1311" i="3"/>
  <c r="K1311" i="3"/>
  <c r="AJ1310" i="3"/>
  <c r="AL1310" i="3"/>
  <c r="AI1310" i="3"/>
  <c r="X1310" i="3"/>
  <c r="Z1310" i="3"/>
  <c r="W1310" i="3"/>
  <c r="O1310" i="3"/>
  <c r="M1310" i="3"/>
  <c r="L1310" i="3"/>
  <c r="N1310" i="3"/>
  <c r="K1310" i="3"/>
  <c r="AJ1309" i="3"/>
  <c r="AL1309" i="3"/>
  <c r="AI1309" i="3"/>
  <c r="X1309" i="3"/>
  <c r="Z1309" i="3"/>
  <c r="W1309" i="3"/>
  <c r="O1309" i="3"/>
  <c r="M1309" i="3"/>
  <c r="L1309" i="3"/>
  <c r="N1309" i="3"/>
  <c r="K1309" i="3"/>
  <c r="AJ1308" i="3"/>
  <c r="AL1308" i="3"/>
  <c r="AI1308" i="3"/>
  <c r="X1308" i="3"/>
  <c r="Z1308" i="3"/>
  <c r="W1308" i="3"/>
  <c r="O1308" i="3"/>
  <c r="M1308" i="3"/>
  <c r="L1308" i="3"/>
  <c r="N1308" i="3"/>
  <c r="K1308" i="3"/>
  <c r="AJ1307" i="3"/>
  <c r="AL1307" i="3"/>
  <c r="AI1307" i="3"/>
  <c r="X1307" i="3"/>
  <c r="Z1307" i="3"/>
  <c r="W1307" i="3"/>
  <c r="O1307" i="3"/>
  <c r="M1307" i="3"/>
  <c r="L1307" i="3"/>
  <c r="N1307" i="3"/>
  <c r="K1307" i="3"/>
  <c r="AJ1306" i="3"/>
  <c r="AL1306" i="3"/>
  <c r="AI1306" i="3"/>
  <c r="X1306" i="3"/>
  <c r="Z1306" i="3"/>
  <c r="W1306" i="3"/>
  <c r="O1306" i="3"/>
  <c r="M1306" i="3"/>
  <c r="L1306" i="3"/>
  <c r="N1306" i="3"/>
  <c r="K1306" i="3"/>
  <c r="AJ1305" i="3"/>
  <c r="AL1305" i="3"/>
  <c r="AI1305" i="3"/>
  <c r="X1305" i="3"/>
  <c r="Z1305" i="3"/>
  <c r="W1305" i="3"/>
  <c r="O1305" i="3"/>
  <c r="M1305" i="3"/>
  <c r="L1305" i="3"/>
  <c r="N1305" i="3"/>
  <c r="K1305" i="3"/>
  <c r="AJ1304" i="3"/>
  <c r="AL1304" i="3"/>
  <c r="AI1304" i="3"/>
  <c r="X1304" i="3"/>
  <c r="Z1304" i="3"/>
  <c r="W1304" i="3"/>
  <c r="O1304" i="3"/>
  <c r="M1304" i="3"/>
  <c r="L1304" i="3"/>
  <c r="N1304" i="3"/>
  <c r="K1304" i="3"/>
  <c r="AJ1303" i="3"/>
  <c r="AL1303" i="3"/>
  <c r="AI1303" i="3"/>
  <c r="X1303" i="3"/>
  <c r="Z1303" i="3"/>
  <c r="W1303" i="3"/>
  <c r="O1303" i="3"/>
  <c r="M1303" i="3"/>
  <c r="L1303" i="3"/>
  <c r="N1303" i="3"/>
  <c r="K1303" i="3"/>
  <c r="AJ1302" i="3"/>
  <c r="AL1302" i="3"/>
  <c r="AI1302" i="3"/>
  <c r="X1302" i="3"/>
  <c r="Z1302" i="3"/>
  <c r="W1302" i="3"/>
  <c r="O1302" i="3"/>
  <c r="M1302" i="3"/>
  <c r="L1302" i="3"/>
  <c r="N1302" i="3"/>
  <c r="K1302" i="3"/>
  <c r="AJ1301" i="3"/>
  <c r="AL1301" i="3"/>
  <c r="AI1301" i="3"/>
  <c r="X1301" i="3"/>
  <c r="Z1301" i="3"/>
  <c r="W1301" i="3"/>
  <c r="O1301" i="3"/>
  <c r="M1301" i="3"/>
  <c r="L1301" i="3"/>
  <c r="N1301" i="3"/>
  <c r="K1301" i="3"/>
  <c r="AJ1300" i="3"/>
  <c r="AL1300" i="3"/>
  <c r="AI1300" i="3"/>
  <c r="X1300" i="3"/>
  <c r="Z1300" i="3"/>
  <c r="W1300" i="3"/>
  <c r="O1300" i="3"/>
  <c r="M1300" i="3"/>
  <c r="L1300" i="3"/>
  <c r="N1300" i="3"/>
  <c r="K1300" i="3"/>
  <c r="AJ1299" i="3"/>
  <c r="AL1299" i="3"/>
  <c r="AI1299" i="3"/>
  <c r="X1299" i="3"/>
  <c r="Z1299" i="3"/>
  <c r="W1299" i="3"/>
  <c r="O1299" i="3"/>
  <c r="M1299" i="3"/>
  <c r="L1299" i="3"/>
  <c r="N1299" i="3"/>
  <c r="K1299" i="3"/>
  <c r="AJ1298" i="3"/>
  <c r="AL1298" i="3"/>
  <c r="AI1298" i="3"/>
  <c r="X1298" i="3"/>
  <c r="Z1298" i="3"/>
  <c r="W1298" i="3"/>
  <c r="O1298" i="3"/>
  <c r="M1298" i="3"/>
  <c r="L1298" i="3"/>
  <c r="N1298" i="3"/>
  <c r="K1298" i="3"/>
  <c r="AJ1297" i="3"/>
  <c r="AL1297" i="3"/>
  <c r="AI1297" i="3"/>
  <c r="X1297" i="3"/>
  <c r="Z1297" i="3"/>
  <c r="W1297" i="3"/>
  <c r="O1297" i="3"/>
  <c r="M1297" i="3"/>
  <c r="L1297" i="3"/>
  <c r="N1297" i="3"/>
  <c r="K1297" i="3"/>
  <c r="AJ1296" i="3"/>
  <c r="AL1296" i="3"/>
  <c r="AI1296" i="3"/>
  <c r="X1296" i="3"/>
  <c r="Z1296" i="3"/>
  <c r="W1296" i="3"/>
  <c r="O1296" i="3"/>
  <c r="M1296" i="3"/>
  <c r="L1296" i="3"/>
  <c r="N1296" i="3"/>
  <c r="K1296" i="3"/>
  <c r="AJ1295" i="3"/>
  <c r="AL1295" i="3"/>
  <c r="AI1295" i="3"/>
  <c r="X1295" i="3"/>
  <c r="Z1295" i="3"/>
  <c r="W1295" i="3"/>
  <c r="O1295" i="3"/>
  <c r="M1295" i="3"/>
  <c r="L1295" i="3"/>
  <c r="N1295" i="3"/>
  <c r="K1295" i="3"/>
  <c r="AJ1294" i="3"/>
  <c r="AL1294" i="3"/>
  <c r="AI1294" i="3"/>
  <c r="X1294" i="3"/>
  <c r="Z1294" i="3"/>
  <c r="W1294" i="3"/>
  <c r="O1294" i="3"/>
  <c r="M1294" i="3"/>
  <c r="L1294" i="3"/>
  <c r="N1294" i="3"/>
  <c r="K1294" i="3"/>
  <c r="AJ1293" i="3"/>
  <c r="AL1293" i="3"/>
  <c r="AI1293" i="3"/>
  <c r="X1293" i="3"/>
  <c r="Z1293" i="3"/>
  <c r="W1293" i="3"/>
  <c r="O1293" i="3"/>
  <c r="M1293" i="3"/>
  <c r="L1293" i="3"/>
  <c r="N1293" i="3"/>
  <c r="K1293" i="3"/>
  <c r="AJ1292" i="3"/>
  <c r="AL1292" i="3"/>
  <c r="AI1292" i="3"/>
  <c r="X1292" i="3"/>
  <c r="Z1292" i="3"/>
  <c r="W1292" i="3"/>
  <c r="O1292" i="3"/>
  <c r="M1292" i="3"/>
  <c r="L1292" i="3"/>
  <c r="N1292" i="3"/>
  <c r="K1292" i="3"/>
  <c r="AJ1291" i="3"/>
  <c r="AL1291" i="3"/>
  <c r="AI1291" i="3"/>
  <c r="X1291" i="3"/>
  <c r="Z1291" i="3"/>
  <c r="W1291" i="3"/>
  <c r="O1291" i="3"/>
  <c r="M1291" i="3"/>
  <c r="L1291" i="3"/>
  <c r="N1291" i="3"/>
  <c r="K1291" i="3"/>
  <c r="AJ1290" i="3"/>
  <c r="AL1290" i="3"/>
  <c r="AI1290" i="3"/>
  <c r="X1290" i="3"/>
  <c r="Z1290" i="3"/>
  <c r="W1290" i="3"/>
  <c r="O1290" i="3"/>
  <c r="M1290" i="3"/>
  <c r="L1290" i="3"/>
  <c r="N1290" i="3"/>
  <c r="K1290" i="3"/>
  <c r="AJ1289" i="3"/>
  <c r="AL1289" i="3"/>
  <c r="AI1289" i="3"/>
  <c r="X1289" i="3"/>
  <c r="Z1289" i="3"/>
  <c r="W1289" i="3"/>
  <c r="O1289" i="3"/>
  <c r="M1289" i="3"/>
  <c r="L1289" i="3"/>
  <c r="N1289" i="3"/>
  <c r="K1289" i="3"/>
  <c r="AJ1288" i="3"/>
  <c r="AL1288" i="3"/>
  <c r="AI1288" i="3"/>
  <c r="X1288" i="3"/>
  <c r="Z1288" i="3"/>
  <c r="W1288" i="3"/>
  <c r="O1288" i="3"/>
  <c r="M1288" i="3"/>
  <c r="L1288" i="3"/>
  <c r="N1288" i="3"/>
  <c r="K1288" i="3"/>
  <c r="AJ1287" i="3"/>
  <c r="AL1287" i="3"/>
  <c r="AI1287" i="3"/>
  <c r="X1287" i="3"/>
  <c r="Z1287" i="3"/>
  <c r="W1287" i="3"/>
  <c r="O1287" i="3"/>
  <c r="M1287" i="3"/>
  <c r="L1287" i="3"/>
  <c r="N1287" i="3"/>
  <c r="K1287" i="3"/>
  <c r="AJ1286" i="3"/>
  <c r="AL1286" i="3"/>
  <c r="AI1286" i="3"/>
  <c r="X1286" i="3"/>
  <c r="Z1286" i="3"/>
  <c r="W1286" i="3"/>
  <c r="O1286" i="3"/>
  <c r="M1286" i="3"/>
  <c r="L1286" i="3"/>
  <c r="N1286" i="3"/>
  <c r="K1286" i="3"/>
  <c r="AJ1285" i="3"/>
  <c r="AL1285" i="3"/>
  <c r="AI1285" i="3"/>
  <c r="X1285" i="3"/>
  <c r="Z1285" i="3"/>
  <c r="W1285" i="3"/>
  <c r="O1285" i="3"/>
  <c r="M1285" i="3"/>
  <c r="L1285" i="3"/>
  <c r="N1285" i="3"/>
  <c r="K1285" i="3"/>
  <c r="AJ1284" i="3"/>
  <c r="AL1284" i="3"/>
  <c r="AI1284" i="3"/>
  <c r="X1284" i="3"/>
  <c r="Z1284" i="3"/>
  <c r="W1284" i="3"/>
  <c r="O1284" i="3"/>
  <c r="M1284" i="3"/>
  <c r="L1284" i="3"/>
  <c r="N1284" i="3"/>
  <c r="K1284" i="3"/>
  <c r="AJ1283" i="3"/>
  <c r="AL1283" i="3"/>
  <c r="AI1283" i="3"/>
  <c r="X1283" i="3"/>
  <c r="Z1283" i="3"/>
  <c r="W1283" i="3"/>
  <c r="O1283" i="3"/>
  <c r="M1283" i="3"/>
  <c r="L1283" i="3"/>
  <c r="N1283" i="3"/>
  <c r="K1283" i="3"/>
  <c r="AJ1282" i="3"/>
  <c r="AL1282" i="3"/>
  <c r="AI1282" i="3"/>
  <c r="X1282" i="3"/>
  <c r="Z1282" i="3"/>
  <c r="W1282" i="3"/>
  <c r="O1282" i="3"/>
  <c r="M1282" i="3"/>
  <c r="L1282" i="3"/>
  <c r="N1282" i="3"/>
  <c r="K1282" i="3"/>
  <c r="AJ1281" i="3"/>
  <c r="AL1281" i="3"/>
  <c r="AI1281" i="3"/>
  <c r="X1281" i="3"/>
  <c r="Z1281" i="3"/>
  <c r="W1281" i="3"/>
  <c r="O1281" i="3"/>
  <c r="M1281" i="3"/>
  <c r="L1281" i="3"/>
  <c r="N1281" i="3"/>
  <c r="K1281" i="3"/>
  <c r="AJ1280" i="3"/>
  <c r="AL1280" i="3"/>
  <c r="AI1280" i="3"/>
  <c r="X1280" i="3"/>
  <c r="Z1280" i="3"/>
  <c r="W1280" i="3"/>
  <c r="O1280" i="3"/>
  <c r="M1280" i="3"/>
  <c r="L1280" i="3"/>
  <c r="N1280" i="3"/>
  <c r="K1280" i="3"/>
  <c r="AJ1279" i="3"/>
  <c r="AL1279" i="3"/>
  <c r="AI1279" i="3"/>
  <c r="X1279" i="3"/>
  <c r="Z1279" i="3"/>
  <c r="W1279" i="3"/>
  <c r="O1279" i="3"/>
  <c r="M1279" i="3"/>
  <c r="L1279" i="3"/>
  <c r="N1279" i="3"/>
  <c r="K1279" i="3"/>
  <c r="AJ1278" i="3"/>
  <c r="AL1278" i="3"/>
  <c r="AI1278" i="3"/>
  <c r="X1278" i="3"/>
  <c r="Z1278" i="3"/>
  <c r="W1278" i="3"/>
  <c r="O1278" i="3"/>
  <c r="M1278" i="3"/>
  <c r="L1278" i="3"/>
  <c r="N1278" i="3"/>
  <c r="K1278" i="3"/>
  <c r="AJ1277" i="3"/>
  <c r="AL1277" i="3"/>
  <c r="AI1277" i="3"/>
  <c r="X1277" i="3"/>
  <c r="Z1277" i="3"/>
  <c r="W1277" i="3"/>
  <c r="O1277" i="3"/>
  <c r="M1277" i="3"/>
  <c r="L1277" i="3"/>
  <c r="N1277" i="3"/>
  <c r="K1277" i="3"/>
  <c r="AJ1276" i="3"/>
  <c r="AL1276" i="3"/>
  <c r="AI1276" i="3"/>
  <c r="X1276" i="3"/>
  <c r="Z1276" i="3"/>
  <c r="W1276" i="3"/>
  <c r="O1276" i="3"/>
  <c r="M1276" i="3"/>
  <c r="L1276" i="3"/>
  <c r="N1276" i="3"/>
  <c r="K1276" i="3"/>
  <c r="AJ1275" i="3"/>
  <c r="AL1275" i="3"/>
  <c r="AI1275" i="3"/>
  <c r="X1275" i="3"/>
  <c r="Z1275" i="3"/>
  <c r="W1275" i="3"/>
  <c r="O1275" i="3"/>
  <c r="M1275" i="3"/>
  <c r="L1275" i="3"/>
  <c r="N1275" i="3"/>
  <c r="K1275" i="3"/>
  <c r="AJ1274" i="3"/>
  <c r="AL1274" i="3"/>
  <c r="AI1274" i="3"/>
  <c r="X1274" i="3"/>
  <c r="Z1274" i="3"/>
  <c r="W1274" i="3"/>
  <c r="O1274" i="3"/>
  <c r="M1274" i="3"/>
  <c r="L1274" i="3"/>
  <c r="N1274" i="3"/>
  <c r="K1274" i="3"/>
  <c r="AJ1273" i="3"/>
  <c r="AL1273" i="3"/>
  <c r="AI1273" i="3"/>
  <c r="X1273" i="3"/>
  <c r="Z1273" i="3"/>
  <c r="W1273" i="3"/>
  <c r="O1273" i="3"/>
  <c r="M1273" i="3"/>
  <c r="L1273" i="3"/>
  <c r="N1273" i="3"/>
  <c r="K1273" i="3"/>
  <c r="AJ1272" i="3"/>
  <c r="AL1272" i="3"/>
  <c r="AI1272" i="3"/>
  <c r="X1272" i="3"/>
  <c r="Z1272" i="3"/>
  <c r="W1272" i="3"/>
  <c r="O1272" i="3"/>
  <c r="M1272" i="3"/>
  <c r="L1272" i="3"/>
  <c r="N1272" i="3"/>
  <c r="K1272" i="3"/>
  <c r="AJ1271" i="3"/>
  <c r="AL1271" i="3"/>
  <c r="AI1271" i="3"/>
  <c r="X1271" i="3"/>
  <c r="Z1271" i="3"/>
  <c r="W1271" i="3"/>
  <c r="O1271" i="3"/>
  <c r="M1271" i="3"/>
  <c r="L1271" i="3"/>
  <c r="N1271" i="3"/>
  <c r="K1271" i="3"/>
  <c r="AJ1270" i="3"/>
  <c r="AL1270" i="3"/>
  <c r="AI1270" i="3"/>
  <c r="X1270" i="3"/>
  <c r="Z1270" i="3"/>
  <c r="W1270" i="3"/>
  <c r="O1270" i="3"/>
  <c r="M1270" i="3"/>
  <c r="L1270" i="3"/>
  <c r="N1270" i="3"/>
  <c r="K1270" i="3"/>
  <c r="AJ1269" i="3"/>
  <c r="AL1269" i="3"/>
  <c r="AI1269" i="3"/>
  <c r="X1269" i="3"/>
  <c r="Z1269" i="3"/>
  <c r="W1269" i="3"/>
  <c r="O1269" i="3"/>
  <c r="M1269" i="3"/>
  <c r="L1269" i="3"/>
  <c r="N1269" i="3"/>
  <c r="K1269" i="3"/>
  <c r="AJ1268" i="3"/>
  <c r="AL1268" i="3"/>
  <c r="AI1268" i="3"/>
  <c r="X1268" i="3"/>
  <c r="Z1268" i="3"/>
  <c r="W1268" i="3"/>
  <c r="O1268" i="3"/>
  <c r="M1268" i="3"/>
  <c r="L1268" i="3"/>
  <c r="N1268" i="3"/>
  <c r="K1268" i="3"/>
  <c r="AJ1267" i="3"/>
  <c r="AL1267" i="3"/>
  <c r="AI1267" i="3"/>
  <c r="X1267" i="3"/>
  <c r="Z1267" i="3"/>
  <c r="W1267" i="3"/>
  <c r="O1267" i="3"/>
  <c r="M1267" i="3"/>
  <c r="L1267" i="3"/>
  <c r="N1267" i="3"/>
  <c r="K1267" i="3"/>
  <c r="AJ1266" i="3"/>
  <c r="AL1266" i="3"/>
  <c r="AI1266" i="3"/>
  <c r="X1266" i="3"/>
  <c r="Z1266" i="3"/>
  <c r="W1266" i="3"/>
  <c r="O1266" i="3"/>
  <c r="M1266" i="3"/>
  <c r="L1266" i="3"/>
  <c r="N1266" i="3"/>
  <c r="K1266" i="3"/>
  <c r="AJ1265" i="3"/>
  <c r="AL1265" i="3"/>
  <c r="AI1265" i="3"/>
  <c r="X1265" i="3"/>
  <c r="Z1265" i="3"/>
  <c r="W1265" i="3"/>
  <c r="O1265" i="3"/>
  <c r="M1265" i="3"/>
  <c r="L1265" i="3"/>
  <c r="N1265" i="3"/>
  <c r="K1265" i="3"/>
  <c r="AJ1264" i="3"/>
  <c r="AL1264" i="3"/>
  <c r="AI1264" i="3"/>
  <c r="X1264" i="3"/>
  <c r="Z1264" i="3"/>
  <c r="W1264" i="3"/>
  <c r="O1264" i="3"/>
  <c r="M1264" i="3"/>
  <c r="L1264" i="3"/>
  <c r="N1264" i="3"/>
  <c r="K1264" i="3"/>
  <c r="AJ1263" i="3"/>
  <c r="AL1263" i="3"/>
  <c r="AI1263" i="3"/>
  <c r="X1263" i="3"/>
  <c r="Z1263" i="3"/>
  <c r="W1263" i="3"/>
  <c r="O1263" i="3"/>
  <c r="M1263" i="3"/>
  <c r="L1263" i="3"/>
  <c r="N1263" i="3"/>
  <c r="K1263" i="3"/>
  <c r="AJ1262" i="3"/>
  <c r="AL1262" i="3"/>
  <c r="AI1262" i="3"/>
  <c r="X1262" i="3"/>
  <c r="Z1262" i="3"/>
  <c r="W1262" i="3"/>
  <c r="O1262" i="3"/>
  <c r="M1262" i="3"/>
  <c r="L1262" i="3"/>
  <c r="N1262" i="3"/>
  <c r="K1262" i="3"/>
  <c r="AJ1261" i="3"/>
  <c r="AL1261" i="3"/>
  <c r="AI1261" i="3"/>
  <c r="X1261" i="3"/>
  <c r="Z1261" i="3"/>
  <c r="W1261" i="3"/>
  <c r="O1261" i="3"/>
  <c r="M1261" i="3"/>
  <c r="L1261" i="3"/>
  <c r="N1261" i="3"/>
  <c r="K1261" i="3"/>
  <c r="AJ1260" i="3"/>
  <c r="AL1260" i="3"/>
  <c r="AI1260" i="3"/>
  <c r="X1260" i="3"/>
  <c r="Z1260" i="3"/>
  <c r="W1260" i="3"/>
  <c r="O1260" i="3"/>
  <c r="M1260" i="3"/>
  <c r="L1260" i="3"/>
  <c r="N1260" i="3"/>
  <c r="K1260" i="3"/>
  <c r="AJ1259" i="3"/>
  <c r="AL1259" i="3"/>
  <c r="AI1259" i="3"/>
  <c r="X1259" i="3"/>
  <c r="Z1259" i="3"/>
  <c r="W1259" i="3"/>
  <c r="O1259" i="3"/>
  <c r="M1259" i="3"/>
  <c r="L1259" i="3"/>
  <c r="N1259" i="3"/>
  <c r="K1259" i="3"/>
  <c r="AJ1258" i="3"/>
  <c r="AL1258" i="3"/>
  <c r="AI1258" i="3"/>
  <c r="X1258" i="3"/>
  <c r="Z1258" i="3"/>
  <c r="W1258" i="3"/>
  <c r="O1258" i="3"/>
  <c r="M1258" i="3"/>
  <c r="L1258" i="3"/>
  <c r="N1258" i="3"/>
  <c r="K1258" i="3"/>
  <c r="AJ1257" i="3"/>
  <c r="AL1257" i="3"/>
  <c r="AI1257" i="3"/>
  <c r="X1257" i="3"/>
  <c r="Z1257" i="3"/>
  <c r="W1257" i="3"/>
  <c r="O1257" i="3"/>
  <c r="M1257" i="3"/>
  <c r="L1257" i="3"/>
  <c r="N1257" i="3"/>
  <c r="K1257" i="3"/>
  <c r="AJ1256" i="3"/>
  <c r="AL1256" i="3"/>
  <c r="AI1256" i="3"/>
  <c r="X1256" i="3"/>
  <c r="Z1256" i="3"/>
  <c r="W1256" i="3"/>
  <c r="O1256" i="3"/>
  <c r="M1256" i="3"/>
  <c r="L1256" i="3"/>
  <c r="N1256" i="3"/>
  <c r="K1256" i="3"/>
  <c r="AJ1255" i="3"/>
  <c r="AL1255" i="3"/>
  <c r="AI1255" i="3"/>
  <c r="X1255" i="3"/>
  <c r="Z1255" i="3"/>
  <c r="W1255" i="3"/>
  <c r="O1255" i="3"/>
  <c r="M1255" i="3"/>
  <c r="L1255" i="3"/>
  <c r="N1255" i="3"/>
  <c r="K1255" i="3"/>
  <c r="AJ1254" i="3"/>
  <c r="AL1254" i="3"/>
  <c r="AI1254" i="3"/>
  <c r="X1254" i="3"/>
  <c r="Z1254" i="3"/>
  <c r="W1254" i="3"/>
  <c r="O1254" i="3"/>
  <c r="M1254" i="3"/>
  <c r="L1254" i="3"/>
  <c r="N1254" i="3"/>
  <c r="K1254" i="3"/>
  <c r="AJ1253" i="3"/>
  <c r="AL1253" i="3"/>
  <c r="AI1253" i="3"/>
  <c r="X1253" i="3"/>
  <c r="Z1253" i="3"/>
  <c r="W1253" i="3"/>
  <c r="O1253" i="3"/>
  <c r="M1253" i="3"/>
  <c r="L1253" i="3"/>
  <c r="N1253" i="3"/>
  <c r="K1253" i="3"/>
  <c r="AJ1252" i="3"/>
  <c r="AL1252" i="3"/>
  <c r="AI1252" i="3"/>
  <c r="X1252" i="3"/>
  <c r="Z1252" i="3"/>
  <c r="W1252" i="3"/>
  <c r="O1252" i="3"/>
  <c r="M1252" i="3"/>
  <c r="L1252" i="3"/>
  <c r="N1252" i="3"/>
  <c r="K1252" i="3"/>
  <c r="AJ1251" i="3"/>
  <c r="AL1251" i="3"/>
  <c r="AI1251" i="3"/>
  <c r="X1251" i="3"/>
  <c r="Z1251" i="3"/>
  <c r="W1251" i="3"/>
  <c r="O1251" i="3"/>
  <c r="M1251" i="3"/>
  <c r="L1251" i="3"/>
  <c r="N1251" i="3"/>
  <c r="K1251" i="3"/>
  <c r="AJ1250" i="3"/>
  <c r="AL1250" i="3"/>
  <c r="AI1250" i="3"/>
  <c r="X1250" i="3"/>
  <c r="Z1250" i="3"/>
  <c r="W1250" i="3"/>
  <c r="O1250" i="3"/>
  <c r="M1250" i="3"/>
  <c r="L1250" i="3"/>
  <c r="N1250" i="3"/>
  <c r="K1250" i="3"/>
  <c r="AJ1249" i="3"/>
  <c r="AL1249" i="3"/>
  <c r="AI1249" i="3"/>
  <c r="X1249" i="3"/>
  <c r="Z1249" i="3"/>
  <c r="W1249" i="3"/>
  <c r="O1249" i="3"/>
  <c r="M1249" i="3"/>
  <c r="L1249" i="3"/>
  <c r="N1249" i="3"/>
  <c r="K1249" i="3"/>
  <c r="AJ1248" i="3"/>
  <c r="AL1248" i="3"/>
  <c r="AI1248" i="3"/>
  <c r="X1248" i="3"/>
  <c r="Z1248" i="3"/>
  <c r="W1248" i="3"/>
  <c r="O1248" i="3"/>
  <c r="M1248" i="3"/>
  <c r="L1248" i="3"/>
  <c r="N1248" i="3"/>
  <c r="K1248" i="3"/>
  <c r="AJ1247" i="3"/>
  <c r="AL1247" i="3"/>
  <c r="AI1247" i="3"/>
  <c r="X1247" i="3"/>
  <c r="Z1247" i="3"/>
  <c r="W1247" i="3"/>
  <c r="O1247" i="3"/>
  <c r="M1247" i="3"/>
  <c r="L1247" i="3"/>
  <c r="N1247" i="3"/>
  <c r="K1247" i="3"/>
  <c r="AJ1246" i="3"/>
  <c r="AL1246" i="3"/>
  <c r="AI1246" i="3"/>
  <c r="X1246" i="3"/>
  <c r="Z1246" i="3"/>
  <c r="W1246" i="3"/>
  <c r="O1246" i="3"/>
  <c r="M1246" i="3"/>
  <c r="L1246" i="3"/>
  <c r="N1246" i="3"/>
  <c r="K1246" i="3"/>
  <c r="AJ1245" i="3"/>
  <c r="AL1245" i="3"/>
  <c r="AI1245" i="3"/>
  <c r="X1245" i="3"/>
  <c r="Z1245" i="3"/>
  <c r="W1245" i="3"/>
  <c r="O1245" i="3"/>
  <c r="M1245" i="3"/>
  <c r="L1245" i="3"/>
  <c r="N1245" i="3"/>
  <c r="K1245" i="3"/>
  <c r="AJ1244" i="3"/>
  <c r="AL1244" i="3"/>
  <c r="AI1244" i="3"/>
  <c r="X1244" i="3"/>
  <c r="Z1244" i="3"/>
  <c r="W1244" i="3"/>
  <c r="O1244" i="3"/>
  <c r="M1244" i="3"/>
  <c r="L1244" i="3"/>
  <c r="N1244" i="3"/>
  <c r="K1244" i="3"/>
  <c r="AJ1243" i="3"/>
  <c r="AL1243" i="3"/>
  <c r="AI1243" i="3"/>
  <c r="X1243" i="3"/>
  <c r="Z1243" i="3"/>
  <c r="W1243" i="3"/>
  <c r="O1243" i="3"/>
  <c r="M1243" i="3"/>
  <c r="L1243" i="3"/>
  <c r="N1243" i="3"/>
  <c r="K1243" i="3"/>
  <c r="AJ1242" i="3"/>
  <c r="AL1242" i="3"/>
  <c r="AI1242" i="3"/>
  <c r="X1242" i="3"/>
  <c r="Z1242" i="3"/>
  <c r="W1242" i="3"/>
  <c r="O1242" i="3"/>
  <c r="M1242" i="3"/>
  <c r="L1242" i="3"/>
  <c r="N1242" i="3"/>
  <c r="K1242" i="3"/>
  <c r="AJ1241" i="3"/>
  <c r="AL1241" i="3"/>
  <c r="AI1241" i="3"/>
  <c r="X1241" i="3"/>
  <c r="Z1241" i="3"/>
  <c r="W1241" i="3"/>
  <c r="O1241" i="3"/>
  <c r="M1241" i="3"/>
  <c r="L1241" i="3"/>
  <c r="N1241" i="3"/>
  <c r="K1241" i="3"/>
  <c r="AJ1240" i="3"/>
  <c r="AL1240" i="3"/>
  <c r="AI1240" i="3"/>
  <c r="X1240" i="3"/>
  <c r="Z1240" i="3"/>
  <c r="W1240" i="3"/>
  <c r="O1240" i="3"/>
  <c r="M1240" i="3"/>
  <c r="L1240" i="3"/>
  <c r="N1240" i="3"/>
  <c r="K1240" i="3"/>
  <c r="AJ1239" i="3"/>
  <c r="AL1239" i="3"/>
  <c r="AI1239" i="3"/>
  <c r="X1239" i="3"/>
  <c r="Z1239" i="3"/>
  <c r="W1239" i="3"/>
  <c r="O1239" i="3"/>
  <c r="M1239" i="3"/>
  <c r="L1239" i="3"/>
  <c r="N1239" i="3"/>
  <c r="K1239" i="3"/>
  <c r="AJ1238" i="3"/>
  <c r="AL1238" i="3"/>
  <c r="AI1238" i="3"/>
  <c r="X1238" i="3"/>
  <c r="Z1238" i="3"/>
  <c r="W1238" i="3"/>
  <c r="O1238" i="3"/>
  <c r="M1238" i="3"/>
  <c r="L1238" i="3"/>
  <c r="N1238" i="3"/>
  <c r="K1238" i="3"/>
  <c r="AJ1237" i="3"/>
  <c r="AL1237" i="3"/>
  <c r="AI1237" i="3"/>
  <c r="X1237" i="3"/>
  <c r="Z1237" i="3"/>
  <c r="W1237" i="3"/>
  <c r="O1237" i="3"/>
  <c r="M1237" i="3"/>
  <c r="L1237" i="3"/>
  <c r="N1237" i="3"/>
  <c r="K1237" i="3"/>
  <c r="AJ1236" i="3"/>
  <c r="AL1236" i="3"/>
  <c r="AI1236" i="3"/>
  <c r="X1236" i="3"/>
  <c r="Z1236" i="3"/>
  <c r="W1236" i="3"/>
  <c r="O1236" i="3"/>
  <c r="M1236" i="3"/>
  <c r="L1236" i="3"/>
  <c r="N1236" i="3"/>
  <c r="K1236" i="3"/>
  <c r="AJ1235" i="3"/>
  <c r="AL1235" i="3"/>
  <c r="AI1235" i="3"/>
  <c r="X1235" i="3"/>
  <c r="Z1235" i="3"/>
  <c r="W1235" i="3"/>
  <c r="O1235" i="3"/>
  <c r="M1235" i="3"/>
  <c r="L1235" i="3"/>
  <c r="N1235" i="3"/>
  <c r="K1235" i="3"/>
  <c r="AJ1234" i="3"/>
  <c r="AL1234" i="3"/>
  <c r="AI1234" i="3"/>
  <c r="X1234" i="3"/>
  <c r="Z1234" i="3"/>
  <c r="W1234" i="3"/>
  <c r="O1234" i="3"/>
  <c r="M1234" i="3"/>
  <c r="L1234" i="3"/>
  <c r="N1234" i="3"/>
  <c r="K1234" i="3"/>
  <c r="AJ1233" i="3"/>
  <c r="AL1233" i="3"/>
  <c r="AI1233" i="3"/>
  <c r="X1233" i="3"/>
  <c r="Z1233" i="3"/>
  <c r="W1233" i="3"/>
  <c r="O1233" i="3"/>
  <c r="M1233" i="3"/>
  <c r="L1233" i="3"/>
  <c r="N1233" i="3"/>
  <c r="K1233" i="3"/>
  <c r="AJ1232" i="3"/>
  <c r="AL1232" i="3"/>
  <c r="AI1232" i="3"/>
  <c r="X1232" i="3"/>
  <c r="Z1232" i="3"/>
  <c r="W1232" i="3"/>
  <c r="O1232" i="3"/>
  <c r="M1232" i="3"/>
  <c r="L1232" i="3"/>
  <c r="N1232" i="3"/>
  <c r="K1232" i="3"/>
  <c r="AJ1231" i="3"/>
  <c r="AL1231" i="3"/>
  <c r="AI1231" i="3"/>
  <c r="X1231" i="3"/>
  <c r="Z1231" i="3"/>
  <c r="W1231" i="3"/>
  <c r="O1231" i="3"/>
  <c r="M1231" i="3"/>
  <c r="L1231" i="3"/>
  <c r="N1231" i="3"/>
  <c r="K1231" i="3"/>
  <c r="AJ1230" i="3"/>
  <c r="AL1230" i="3"/>
  <c r="AI1230" i="3"/>
  <c r="X1230" i="3"/>
  <c r="Z1230" i="3"/>
  <c r="W1230" i="3"/>
  <c r="O1230" i="3"/>
  <c r="M1230" i="3"/>
  <c r="L1230" i="3"/>
  <c r="N1230" i="3"/>
  <c r="K1230" i="3"/>
  <c r="AJ1229" i="3"/>
  <c r="AL1229" i="3"/>
  <c r="AI1229" i="3"/>
  <c r="X1229" i="3"/>
  <c r="Z1229" i="3"/>
  <c r="W1229" i="3"/>
  <c r="O1229" i="3"/>
  <c r="M1229" i="3"/>
  <c r="L1229" i="3"/>
  <c r="N1229" i="3"/>
  <c r="K1229" i="3"/>
  <c r="AJ1228" i="3"/>
  <c r="AL1228" i="3"/>
  <c r="AI1228" i="3"/>
  <c r="X1228" i="3"/>
  <c r="Z1228" i="3"/>
  <c r="W1228" i="3"/>
  <c r="O1228" i="3"/>
  <c r="M1228" i="3"/>
  <c r="L1228" i="3"/>
  <c r="N1228" i="3"/>
  <c r="K1228" i="3"/>
  <c r="AJ1227" i="3"/>
  <c r="AL1227" i="3"/>
  <c r="AI1227" i="3"/>
  <c r="X1227" i="3"/>
  <c r="Z1227" i="3"/>
  <c r="W1227" i="3"/>
  <c r="O1227" i="3"/>
  <c r="M1227" i="3"/>
  <c r="L1227" i="3"/>
  <c r="N1227" i="3"/>
  <c r="K1227" i="3"/>
  <c r="AJ1226" i="3"/>
  <c r="AL1226" i="3"/>
  <c r="AI1226" i="3"/>
  <c r="X1226" i="3"/>
  <c r="Z1226" i="3"/>
  <c r="W1226" i="3"/>
  <c r="O1226" i="3"/>
  <c r="M1226" i="3"/>
  <c r="L1226" i="3"/>
  <c r="N1226" i="3"/>
  <c r="K1226" i="3"/>
  <c r="AJ1225" i="3"/>
  <c r="AL1225" i="3"/>
  <c r="AI1225" i="3"/>
  <c r="X1225" i="3"/>
  <c r="Z1225" i="3"/>
  <c r="W1225" i="3"/>
  <c r="O1225" i="3"/>
  <c r="M1225" i="3"/>
  <c r="L1225" i="3"/>
  <c r="N1225" i="3"/>
  <c r="K1225" i="3"/>
  <c r="AJ1224" i="3"/>
  <c r="AL1224" i="3"/>
  <c r="AI1224" i="3"/>
  <c r="X1224" i="3"/>
  <c r="Z1224" i="3"/>
  <c r="W1224" i="3"/>
  <c r="O1224" i="3"/>
  <c r="M1224" i="3"/>
  <c r="L1224" i="3"/>
  <c r="N1224" i="3"/>
  <c r="K1224" i="3"/>
  <c r="AJ1223" i="3"/>
  <c r="AL1223" i="3"/>
  <c r="AI1223" i="3"/>
  <c r="X1223" i="3"/>
  <c r="Z1223" i="3"/>
  <c r="W1223" i="3"/>
  <c r="O1223" i="3"/>
  <c r="M1223" i="3"/>
  <c r="L1223" i="3"/>
  <c r="N1223" i="3"/>
  <c r="K1223" i="3"/>
  <c r="AJ1222" i="3"/>
  <c r="AL1222" i="3"/>
  <c r="AI1222" i="3"/>
  <c r="X1222" i="3"/>
  <c r="Z1222" i="3"/>
  <c r="W1222" i="3"/>
  <c r="O1222" i="3"/>
  <c r="M1222" i="3"/>
  <c r="L1222" i="3"/>
  <c r="N1222" i="3"/>
  <c r="K1222" i="3"/>
  <c r="AJ1221" i="3"/>
  <c r="AL1221" i="3"/>
  <c r="AI1221" i="3"/>
  <c r="X1221" i="3"/>
  <c r="Z1221" i="3"/>
  <c r="W1221" i="3"/>
  <c r="O1221" i="3"/>
  <c r="M1221" i="3"/>
  <c r="L1221" i="3"/>
  <c r="N1221" i="3"/>
  <c r="K1221" i="3"/>
  <c r="AJ1220" i="3"/>
  <c r="AL1220" i="3"/>
  <c r="AI1220" i="3"/>
  <c r="X1220" i="3"/>
  <c r="Z1220" i="3"/>
  <c r="W1220" i="3"/>
  <c r="O1220" i="3"/>
  <c r="M1220" i="3"/>
  <c r="L1220" i="3"/>
  <c r="N1220" i="3"/>
  <c r="K1220" i="3"/>
  <c r="AJ1219" i="3"/>
  <c r="AL1219" i="3"/>
  <c r="AI1219" i="3"/>
  <c r="X1219" i="3"/>
  <c r="Z1219" i="3"/>
  <c r="W1219" i="3"/>
  <c r="O1219" i="3"/>
  <c r="M1219" i="3"/>
  <c r="L1219" i="3"/>
  <c r="N1219" i="3"/>
  <c r="K1219" i="3"/>
  <c r="AJ1218" i="3"/>
  <c r="AL1218" i="3"/>
  <c r="AI1218" i="3"/>
  <c r="X1218" i="3"/>
  <c r="Z1218" i="3"/>
  <c r="W1218" i="3"/>
  <c r="O1218" i="3"/>
  <c r="M1218" i="3"/>
  <c r="L1218" i="3"/>
  <c r="N1218" i="3"/>
  <c r="K1218" i="3"/>
  <c r="AJ1217" i="3"/>
  <c r="AL1217" i="3"/>
  <c r="AI1217" i="3"/>
  <c r="X1217" i="3"/>
  <c r="Z1217" i="3"/>
  <c r="W1217" i="3"/>
  <c r="O1217" i="3"/>
  <c r="M1217" i="3"/>
  <c r="L1217" i="3"/>
  <c r="N1217" i="3"/>
  <c r="K1217" i="3"/>
  <c r="AJ1216" i="3"/>
  <c r="AL1216" i="3"/>
  <c r="AI1216" i="3"/>
  <c r="X1216" i="3"/>
  <c r="Z1216" i="3"/>
  <c r="W1216" i="3"/>
  <c r="O1216" i="3"/>
  <c r="M1216" i="3"/>
  <c r="L1216" i="3"/>
  <c r="N1216" i="3"/>
  <c r="K1216" i="3"/>
  <c r="AJ1215" i="3"/>
  <c r="AL1215" i="3"/>
  <c r="AI1215" i="3"/>
  <c r="X1215" i="3"/>
  <c r="Z1215" i="3"/>
  <c r="W1215" i="3"/>
  <c r="O1215" i="3"/>
  <c r="M1215" i="3"/>
  <c r="L1215" i="3"/>
  <c r="N1215" i="3"/>
  <c r="K1215" i="3"/>
  <c r="AJ1214" i="3"/>
  <c r="AL1214" i="3"/>
  <c r="AI1214" i="3"/>
  <c r="X1214" i="3"/>
  <c r="Z1214" i="3"/>
  <c r="W1214" i="3"/>
  <c r="O1214" i="3"/>
  <c r="M1214" i="3"/>
  <c r="L1214" i="3"/>
  <c r="N1214" i="3"/>
  <c r="K1214" i="3"/>
  <c r="AJ1213" i="3"/>
  <c r="AL1213" i="3"/>
  <c r="AI1213" i="3"/>
  <c r="X1213" i="3"/>
  <c r="Z1213" i="3"/>
  <c r="W1213" i="3"/>
  <c r="O1213" i="3"/>
  <c r="M1213" i="3"/>
  <c r="L1213" i="3"/>
  <c r="N1213" i="3"/>
  <c r="K1213" i="3"/>
  <c r="AJ1212" i="3"/>
  <c r="AL1212" i="3"/>
  <c r="AI1212" i="3"/>
  <c r="X1212" i="3"/>
  <c r="Z1212" i="3"/>
  <c r="W1212" i="3"/>
  <c r="O1212" i="3"/>
  <c r="M1212" i="3"/>
  <c r="L1212" i="3"/>
  <c r="N1212" i="3"/>
  <c r="K1212" i="3"/>
  <c r="AJ1211" i="3"/>
  <c r="AL1211" i="3"/>
  <c r="AI1211" i="3"/>
  <c r="X1211" i="3"/>
  <c r="Z1211" i="3"/>
  <c r="W1211" i="3"/>
  <c r="O1211" i="3"/>
  <c r="M1211" i="3"/>
  <c r="L1211" i="3"/>
  <c r="N1211" i="3"/>
  <c r="K1211" i="3"/>
  <c r="AJ1210" i="3"/>
  <c r="AL1210" i="3"/>
  <c r="AI1210" i="3"/>
  <c r="X1210" i="3"/>
  <c r="Z1210" i="3"/>
  <c r="W1210" i="3"/>
  <c r="O1210" i="3"/>
  <c r="M1210" i="3"/>
  <c r="L1210" i="3"/>
  <c r="N1210" i="3"/>
  <c r="K1210" i="3"/>
  <c r="AJ1209" i="3"/>
  <c r="AL1209" i="3"/>
  <c r="AI1209" i="3"/>
  <c r="X1209" i="3"/>
  <c r="Z1209" i="3"/>
  <c r="W1209" i="3"/>
  <c r="O1209" i="3"/>
  <c r="M1209" i="3"/>
  <c r="L1209" i="3"/>
  <c r="N1209" i="3"/>
  <c r="K1209" i="3"/>
  <c r="AJ1208" i="3"/>
  <c r="AL1208" i="3"/>
  <c r="AI1208" i="3"/>
  <c r="X1208" i="3"/>
  <c r="Z1208" i="3"/>
  <c r="W1208" i="3"/>
  <c r="O1208" i="3"/>
  <c r="M1208" i="3"/>
  <c r="L1208" i="3"/>
  <c r="N1208" i="3"/>
  <c r="K1208" i="3"/>
  <c r="AJ1207" i="3"/>
  <c r="AL1207" i="3"/>
  <c r="AI1207" i="3"/>
  <c r="X1207" i="3"/>
  <c r="Z1207" i="3"/>
  <c r="W1207" i="3"/>
  <c r="O1207" i="3"/>
  <c r="M1207" i="3"/>
  <c r="L1207" i="3"/>
  <c r="N1207" i="3"/>
  <c r="K1207" i="3"/>
  <c r="AJ1206" i="3"/>
  <c r="AL1206" i="3"/>
  <c r="AI1206" i="3"/>
  <c r="X1206" i="3"/>
  <c r="Z1206" i="3"/>
  <c r="W1206" i="3"/>
  <c r="O1206" i="3"/>
  <c r="M1206" i="3"/>
  <c r="L1206" i="3"/>
  <c r="N1206" i="3"/>
  <c r="K1206" i="3"/>
  <c r="AJ1205" i="3"/>
  <c r="AL1205" i="3"/>
  <c r="AI1205" i="3"/>
  <c r="X1205" i="3"/>
  <c r="Z1205" i="3"/>
  <c r="W1205" i="3"/>
  <c r="O1205" i="3"/>
  <c r="M1205" i="3"/>
  <c r="L1205" i="3"/>
  <c r="N1205" i="3"/>
  <c r="K1205" i="3"/>
  <c r="AJ1204" i="3"/>
  <c r="AL1204" i="3"/>
  <c r="AI1204" i="3"/>
  <c r="X1204" i="3"/>
  <c r="Z1204" i="3"/>
  <c r="W1204" i="3"/>
  <c r="O1204" i="3"/>
  <c r="M1204" i="3"/>
  <c r="L1204" i="3"/>
  <c r="N1204" i="3"/>
  <c r="K1204" i="3"/>
  <c r="AJ1203" i="3"/>
  <c r="AL1203" i="3"/>
  <c r="AI1203" i="3"/>
  <c r="X1203" i="3"/>
  <c r="Z1203" i="3"/>
  <c r="W1203" i="3"/>
  <c r="O1203" i="3"/>
  <c r="M1203" i="3"/>
  <c r="L1203" i="3"/>
  <c r="N1203" i="3"/>
  <c r="K1203" i="3"/>
  <c r="AJ1202" i="3"/>
  <c r="AL1202" i="3"/>
  <c r="AI1202" i="3"/>
  <c r="X1202" i="3"/>
  <c r="Z1202" i="3"/>
  <c r="W1202" i="3"/>
  <c r="O1202" i="3"/>
  <c r="M1202" i="3"/>
  <c r="L1202" i="3"/>
  <c r="N1202" i="3"/>
  <c r="K1202" i="3"/>
  <c r="AJ1201" i="3"/>
  <c r="AL1201" i="3"/>
  <c r="AI1201" i="3"/>
  <c r="X1201" i="3"/>
  <c r="Z1201" i="3"/>
  <c r="W1201" i="3"/>
  <c r="O1201" i="3"/>
  <c r="M1201" i="3"/>
  <c r="L1201" i="3"/>
  <c r="N1201" i="3"/>
  <c r="K1201" i="3"/>
  <c r="AJ1200" i="3"/>
  <c r="AL1200" i="3"/>
  <c r="AI1200" i="3"/>
  <c r="X1200" i="3"/>
  <c r="Z1200" i="3"/>
  <c r="W1200" i="3"/>
  <c r="O1200" i="3"/>
  <c r="M1200" i="3"/>
  <c r="L1200" i="3"/>
  <c r="N1200" i="3"/>
  <c r="K1200" i="3"/>
  <c r="AJ1199" i="3"/>
  <c r="AL1199" i="3"/>
  <c r="AI1199" i="3"/>
  <c r="X1199" i="3"/>
  <c r="Z1199" i="3"/>
  <c r="W1199" i="3"/>
  <c r="O1199" i="3"/>
  <c r="M1199" i="3"/>
  <c r="L1199" i="3"/>
  <c r="N1199" i="3"/>
  <c r="K1199" i="3"/>
  <c r="AJ1198" i="3"/>
  <c r="AL1198" i="3"/>
  <c r="AI1198" i="3"/>
  <c r="X1198" i="3"/>
  <c r="Z1198" i="3"/>
  <c r="W1198" i="3"/>
  <c r="O1198" i="3"/>
  <c r="M1198" i="3"/>
  <c r="L1198" i="3"/>
  <c r="N1198" i="3"/>
  <c r="K1198" i="3"/>
  <c r="AJ1197" i="3"/>
  <c r="AL1197" i="3"/>
  <c r="AI1197" i="3"/>
  <c r="X1197" i="3"/>
  <c r="Z1197" i="3"/>
  <c r="W1197" i="3"/>
  <c r="O1197" i="3"/>
  <c r="M1197" i="3"/>
  <c r="L1197" i="3"/>
  <c r="N1197" i="3"/>
  <c r="K1197" i="3"/>
  <c r="AJ1196" i="3"/>
  <c r="AL1196" i="3"/>
  <c r="AI1196" i="3"/>
  <c r="X1196" i="3"/>
  <c r="Z1196" i="3"/>
  <c r="W1196" i="3"/>
  <c r="O1196" i="3"/>
  <c r="M1196" i="3"/>
  <c r="L1196" i="3"/>
  <c r="N1196" i="3"/>
  <c r="K1196" i="3"/>
  <c r="AJ1195" i="3"/>
  <c r="AL1195" i="3"/>
  <c r="AI1195" i="3"/>
  <c r="X1195" i="3"/>
  <c r="Z1195" i="3"/>
  <c r="W1195" i="3"/>
  <c r="O1195" i="3"/>
  <c r="M1195" i="3"/>
  <c r="L1195" i="3"/>
  <c r="N1195" i="3"/>
  <c r="K1195" i="3"/>
  <c r="AJ1194" i="3"/>
  <c r="AL1194" i="3"/>
  <c r="AI1194" i="3"/>
  <c r="X1194" i="3"/>
  <c r="Z1194" i="3"/>
  <c r="W1194" i="3"/>
  <c r="O1194" i="3"/>
  <c r="M1194" i="3"/>
  <c r="L1194" i="3"/>
  <c r="N1194" i="3"/>
  <c r="K1194" i="3"/>
  <c r="AJ1193" i="3"/>
  <c r="AL1193" i="3"/>
  <c r="AI1193" i="3"/>
  <c r="X1193" i="3"/>
  <c r="Z1193" i="3"/>
  <c r="W1193" i="3"/>
  <c r="O1193" i="3"/>
  <c r="M1193" i="3"/>
  <c r="L1193" i="3"/>
  <c r="N1193" i="3"/>
  <c r="K1193" i="3"/>
  <c r="AJ1192" i="3"/>
  <c r="AL1192" i="3"/>
  <c r="AI1192" i="3"/>
  <c r="X1192" i="3"/>
  <c r="Z1192" i="3"/>
  <c r="W1192" i="3"/>
  <c r="O1192" i="3"/>
  <c r="M1192" i="3"/>
  <c r="L1192" i="3"/>
  <c r="N1192" i="3"/>
  <c r="K1192" i="3"/>
  <c r="AJ1191" i="3"/>
  <c r="AL1191" i="3"/>
  <c r="AI1191" i="3"/>
  <c r="X1191" i="3"/>
  <c r="Z1191" i="3"/>
  <c r="W1191" i="3"/>
  <c r="O1191" i="3"/>
  <c r="M1191" i="3"/>
  <c r="L1191" i="3"/>
  <c r="N1191" i="3"/>
  <c r="K1191" i="3"/>
  <c r="AJ1190" i="3"/>
  <c r="AL1190" i="3"/>
  <c r="AI1190" i="3"/>
  <c r="X1190" i="3"/>
  <c r="Z1190" i="3"/>
  <c r="W1190" i="3"/>
  <c r="O1190" i="3"/>
  <c r="M1190" i="3"/>
  <c r="L1190" i="3"/>
  <c r="N1190" i="3"/>
  <c r="K1190" i="3"/>
  <c r="AJ1189" i="3"/>
  <c r="AL1189" i="3"/>
  <c r="AI1189" i="3"/>
  <c r="X1189" i="3"/>
  <c r="Z1189" i="3"/>
  <c r="W1189" i="3"/>
  <c r="O1189" i="3"/>
  <c r="M1189" i="3"/>
  <c r="L1189" i="3"/>
  <c r="N1189" i="3"/>
  <c r="K1189" i="3"/>
  <c r="AJ1188" i="3"/>
  <c r="AL1188" i="3"/>
  <c r="AI1188" i="3"/>
  <c r="X1188" i="3"/>
  <c r="Z1188" i="3"/>
  <c r="W1188" i="3"/>
  <c r="O1188" i="3"/>
  <c r="M1188" i="3"/>
  <c r="L1188" i="3"/>
  <c r="N1188" i="3"/>
  <c r="K1188" i="3"/>
  <c r="AJ1187" i="3"/>
  <c r="AL1187" i="3"/>
  <c r="AI1187" i="3"/>
  <c r="X1187" i="3"/>
  <c r="Z1187" i="3"/>
  <c r="W1187" i="3"/>
  <c r="O1187" i="3"/>
  <c r="M1187" i="3"/>
  <c r="L1187" i="3"/>
  <c r="N1187" i="3"/>
  <c r="K1187" i="3"/>
  <c r="AJ1186" i="3"/>
  <c r="AL1186" i="3"/>
  <c r="AI1186" i="3"/>
  <c r="X1186" i="3"/>
  <c r="Z1186" i="3"/>
  <c r="W1186" i="3"/>
  <c r="O1186" i="3"/>
  <c r="M1186" i="3"/>
  <c r="L1186" i="3"/>
  <c r="N1186" i="3"/>
  <c r="K1186" i="3"/>
  <c r="AJ1185" i="3"/>
  <c r="AL1185" i="3"/>
  <c r="AI1185" i="3"/>
  <c r="X1185" i="3"/>
  <c r="Z1185" i="3"/>
  <c r="W1185" i="3"/>
  <c r="O1185" i="3"/>
  <c r="M1185" i="3"/>
  <c r="L1185" i="3"/>
  <c r="N1185" i="3"/>
  <c r="K1185" i="3"/>
  <c r="AJ1184" i="3"/>
  <c r="AL1184" i="3"/>
  <c r="AI1184" i="3"/>
  <c r="X1184" i="3"/>
  <c r="Z1184" i="3"/>
  <c r="W1184" i="3"/>
  <c r="O1184" i="3"/>
  <c r="M1184" i="3"/>
  <c r="L1184" i="3"/>
  <c r="N1184" i="3"/>
  <c r="K1184" i="3"/>
  <c r="AJ1183" i="3"/>
  <c r="AL1183" i="3"/>
  <c r="AI1183" i="3"/>
  <c r="X1183" i="3"/>
  <c r="Z1183" i="3"/>
  <c r="W1183" i="3"/>
  <c r="O1183" i="3"/>
  <c r="M1183" i="3"/>
  <c r="L1183" i="3"/>
  <c r="N1183" i="3"/>
  <c r="K1183" i="3"/>
  <c r="AJ1182" i="3"/>
  <c r="AL1182" i="3"/>
  <c r="AI1182" i="3"/>
  <c r="X1182" i="3"/>
  <c r="Z1182" i="3"/>
  <c r="W1182" i="3"/>
  <c r="O1182" i="3"/>
  <c r="M1182" i="3"/>
  <c r="L1182" i="3"/>
  <c r="N1182" i="3"/>
  <c r="K1182" i="3"/>
  <c r="AJ1181" i="3"/>
  <c r="AL1181" i="3"/>
  <c r="AI1181" i="3"/>
  <c r="X1181" i="3"/>
  <c r="Z1181" i="3"/>
  <c r="W1181" i="3"/>
  <c r="O1181" i="3"/>
  <c r="M1181" i="3"/>
  <c r="L1181" i="3"/>
  <c r="N1181" i="3"/>
  <c r="K1181" i="3"/>
  <c r="AJ1180" i="3"/>
  <c r="AL1180" i="3"/>
  <c r="AI1180" i="3"/>
  <c r="X1180" i="3"/>
  <c r="Z1180" i="3"/>
  <c r="W1180" i="3"/>
  <c r="O1180" i="3"/>
  <c r="M1180" i="3"/>
  <c r="L1180" i="3"/>
  <c r="N1180" i="3"/>
  <c r="K1180" i="3"/>
  <c r="AJ1179" i="3"/>
  <c r="AL1179" i="3"/>
  <c r="AI1179" i="3"/>
  <c r="X1179" i="3"/>
  <c r="Z1179" i="3"/>
  <c r="W1179" i="3"/>
  <c r="O1179" i="3"/>
  <c r="M1179" i="3"/>
  <c r="L1179" i="3"/>
  <c r="N1179" i="3"/>
  <c r="K1179" i="3"/>
  <c r="AJ1178" i="3"/>
  <c r="AL1178" i="3"/>
  <c r="AI1178" i="3"/>
  <c r="X1178" i="3"/>
  <c r="Z1178" i="3"/>
  <c r="W1178" i="3"/>
  <c r="O1178" i="3"/>
  <c r="M1178" i="3"/>
  <c r="L1178" i="3"/>
  <c r="N1178" i="3"/>
  <c r="K1178" i="3"/>
  <c r="AJ1177" i="3"/>
  <c r="AL1177" i="3"/>
  <c r="AI1177" i="3"/>
  <c r="X1177" i="3"/>
  <c r="Z1177" i="3"/>
  <c r="W1177" i="3"/>
  <c r="O1177" i="3"/>
  <c r="M1177" i="3"/>
  <c r="L1177" i="3"/>
  <c r="N1177" i="3"/>
  <c r="K1177" i="3"/>
  <c r="AJ1176" i="3"/>
  <c r="AL1176" i="3"/>
  <c r="AI1176" i="3"/>
  <c r="X1176" i="3"/>
  <c r="Z1176" i="3"/>
  <c r="W1176" i="3"/>
  <c r="O1176" i="3"/>
  <c r="M1176" i="3"/>
  <c r="L1176" i="3"/>
  <c r="N1176" i="3"/>
  <c r="K1176" i="3"/>
  <c r="AJ1175" i="3"/>
  <c r="AL1175" i="3"/>
  <c r="AI1175" i="3"/>
  <c r="X1175" i="3"/>
  <c r="Z1175" i="3"/>
  <c r="W1175" i="3"/>
  <c r="O1175" i="3"/>
  <c r="M1175" i="3"/>
  <c r="L1175" i="3"/>
  <c r="N1175" i="3"/>
  <c r="K1175" i="3"/>
  <c r="AJ1174" i="3"/>
  <c r="AL1174" i="3"/>
  <c r="AI1174" i="3"/>
  <c r="X1174" i="3"/>
  <c r="Z1174" i="3"/>
  <c r="W1174" i="3"/>
  <c r="O1174" i="3"/>
  <c r="M1174" i="3"/>
  <c r="L1174" i="3"/>
  <c r="N1174" i="3"/>
  <c r="K1174" i="3"/>
  <c r="AJ1173" i="3"/>
  <c r="AL1173" i="3"/>
  <c r="AI1173" i="3"/>
  <c r="X1173" i="3"/>
  <c r="Z1173" i="3"/>
  <c r="W1173" i="3"/>
  <c r="O1173" i="3"/>
  <c r="M1173" i="3"/>
  <c r="L1173" i="3"/>
  <c r="N1173" i="3"/>
  <c r="K1173" i="3"/>
  <c r="AJ1172" i="3"/>
  <c r="AL1172" i="3"/>
  <c r="AI1172" i="3"/>
  <c r="X1172" i="3"/>
  <c r="Z1172" i="3"/>
  <c r="W1172" i="3"/>
  <c r="O1172" i="3"/>
  <c r="M1172" i="3"/>
  <c r="L1172" i="3"/>
  <c r="N1172" i="3"/>
  <c r="K1172" i="3"/>
  <c r="AJ1171" i="3"/>
  <c r="AL1171" i="3"/>
  <c r="AI1171" i="3"/>
  <c r="X1171" i="3"/>
  <c r="Z1171" i="3"/>
  <c r="W1171" i="3"/>
  <c r="O1171" i="3"/>
  <c r="M1171" i="3"/>
  <c r="L1171" i="3"/>
  <c r="N1171" i="3"/>
  <c r="K1171" i="3"/>
  <c r="AJ1170" i="3"/>
  <c r="AL1170" i="3"/>
  <c r="AI1170" i="3"/>
  <c r="X1170" i="3"/>
  <c r="Z1170" i="3"/>
  <c r="W1170" i="3"/>
  <c r="O1170" i="3"/>
  <c r="M1170" i="3"/>
  <c r="L1170" i="3"/>
  <c r="N1170" i="3"/>
  <c r="K1170" i="3"/>
  <c r="AJ1169" i="3"/>
  <c r="AL1169" i="3"/>
  <c r="AI1169" i="3"/>
  <c r="X1169" i="3"/>
  <c r="Z1169" i="3"/>
  <c r="W1169" i="3"/>
  <c r="O1169" i="3"/>
  <c r="M1169" i="3"/>
  <c r="L1169" i="3"/>
  <c r="N1169" i="3"/>
  <c r="K1169" i="3"/>
  <c r="AJ1168" i="3"/>
  <c r="AL1168" i="3"/>
  <c r="AI1168" i="3"/>
  <c r="X1168" i="3"/>
  <c r="Z1168" i="3"/>
  <c r="W1168" i="3"/>
  <c r="O1168" i="3"/>
  <c r="M1168" i="3"/>
  <c r="L1168" i="3"/>
  <c r="N1168" i="3"/>
  <c r="K1168" i="3"/>
  <c r="AJ1167" i="3"/>
  <c r="AL1167" i="3"/>
  <c r="AI1167" i="3"/>
  <c r="X1167" i="3"/>
  <c r="Z1167" i="3"/>
  <c r="W1167" i="3"/>
  <c r="O1167" i="3"/>
  <c r="M1167" i="3"/>
  <c r="L1167" i="3"/>
  <c r="N1167" i="3"/>
  <c r="K1167" i="3"/>
  <c r="AJ1166" i="3"/>
  <c r="AL1166" i="3"/>
  <c r="AI1166" i="3"/>
  <c r="X1166" i="3"/>
  <c r="Z1166" i="3"/>
  <c r="W1166" i="3"/>
  <c r="O1166" i="3"/>
  <c r="M1166" i="3"/>
  <c r="L1166" i="3"/>
  <c r="N1166" i="3"/>
  <c r="K1166" i="3"/>
  <c r="AJ1165" i="3"/>
  <c r="AL1165" i="3"/>
  <c r="AI1165" i="3"/>
  <c r="X1165" i="3"/>
  <c r="Z1165" i="3"/>
  <c r="W1165" i="3"/>
  <c r="O1165" i="3"/>
  <c r="M1165" i="3"/>
  <c r="L1165" i="3"/>
  <c r="N1165" i="3"/>
  <c r="K1165" i="3"/>
  <c r="AJ1164" i="3"/>
  <c r="AL1164" i="3"/>
  <c r="AI1164" i="3"/>
  <c r="X1164" i="3"/>
  <c r="Z1164" i="3"/>
  <c r="W1164" i="3"/>
  <c r="O1164" i="3"/>
  <c r="M1164" i="3"/>
  <c r="L1164" i="3"/>
  <c r="N1164" i="3"/>
  <c r="K1164" i="3"/>
  <c r="AJ1163" i="3"/>
  <c r="AL1163" i="3"/>
  <c r="AI1163" i="3"/>
  <c r="X1163" i="3"/>
  <c r="Z1163" i="3"/>
  <c r="W1163" i="3"/>
  <c r="O1163" i="3"/>
  <c r="M1163" i="3"/>
  <c r="L1163" i="3"/>
  <c r="N1163" i="3"/>
  <c r="K1163" i="3"/>
  <c r="AJ1162" i="3"/>
  <c r="AL1162" i="3"/>
  <c r="AI1162" i="3"/>
  <c r="X1162" i="3"/>
  <c r="Z1162" i="3"/>
  <c r="W1162" i="3"/>
  <c r="O1162" i="3"/>
  <c r="M1162" i="3"/>
  <c r="L1162" i="3"/>
  <c r="N1162" i="3"/>
  <c r="K1162" i="3"/>
  <c r="AJ1161" i="3"/>
  <c r="AL1161" i="3"/>
  <c r="AI1161" i="3"/>
  <c r="X1161" i="3"/>
  <c r="Z1161" i="3"/>
  <c r="W1161" i="3"/>
  <c r="O1161" i="3"/>
  <c r="M1161" i="3"/>
  <c r="L1161" i="3"/>
  <c r="N1161" i="3"/>
  <c r="K1161" i="3"/>
  <c r="AJ1160" i="3"/>
  <c r="AL1160" i="3"/>
  <c r="AI1160" i="3"/>
  <c r="X1160" i="3"/>
  <c r="Z1160" i="3"/>
  <c r="W1160" i="3"/>
  <c r="O1160" i="3"/>
  <c r="M1160" i="3"/>
  <c r="L1160" i="3"/>
  <c r="N1160" i="3"/>
  <c r="K1160" i="3"/>
  <c r="AJ1159" i="3"/>
  <c r="AL1159" i="3"/>
  <c r="AI1159" i="3"/>
  <c r="X1159" i="3"/>
  <c r="Z1159" i="3"/>
  <c r="W1159" i="3"/>
  <c r="O1159" i="3"/>
  <c r="M1159" i="3"/>
  <c r="L1159" i="3"/>
  <c r="N1159" i="3"/>
  <c r="K1159" i="3"/>
  <c r="AJ1158" i="3"/>
  <c r="AL1158" i="3"/>
  <c r="AI1158" i="3"/>
  <c r="X1158" i="3"/>
  <c r="Z1158" i="3"/>
  <c r="W1158" i="3"/>
  <c r="O1158" i="3"/>
  <c r="M1158" i="3"/>
  <c r="L1158" i="3"/>
  <c r="N1158" i="3"/>
  <c r="K1158" i="3"/>
  <c r="AJ1157" i="3"/>
  <c r="AL1157" i="3"/>
  <c r="AI1157" i="3"/>
  <c r="X1157" i="3"/>
  <c r="Z1157" i="3"/>
  <c r="W1157" i="3"/>
  <c r="O1157" i="3"/>
  <c r="M1157" i="3"/>
  <c r="L1157" i="3"/>
  <c r="N1157" i="3"/>
  <c r="K1157" i="3"/>
  <c r="AJ1156" i="3"/>
  <c r="AL1156" i="3"/>
  <c r="AI1156" i="3"/>
  <c r="X1156" i="3"/>
  <c r="Z1156" i="3"/>
  <c r="W1156" i="3"/>
  <c r="O1156" i="3"/>
  <c r="M1156" i="3"/>
  <c r="L1156" i="3"/>
  <c r="N1156" i="3"/>
  <c r="K1156" i="3"/>
  <c r="AJ1155" i="3"/>
  <c r="AL1155" i="3"/>
  <c r="AI1155" i="3"/>
  <c r="X1155" i="3"/>
  <c r="Z1155" i="3"/>
  <c r="W1155" i="3"/>
  <c r="O1155" i="3"/>
  <c r="M1155" i="3"/>
  <c r="L1155" i="3"/>
  <c r="N1155" i="3"/>
  <c r="K1155" i="3"/>
  <c r="AJ1154" i="3"/>
  <c r="AL1154" i="3"/>
  <c r="AI1154" i="3"/>
  <c r="X1154" i="3"/>
  <c r="Z1154" i="3"/>
  <c r="W1154" i="3"/>
  <c r="O1154" i="3"/>
  <c r="M1154" i="3"/>
  <c r="L1154" i="3"/>
  <c r="N1154" i="3"/>
  <c r="K1154" i="3"/>
  <c r="AJ1153" i="3"/>
  <c r="AL1153" i="3"/>
  <c r="AI1153" i="3"/>
  <c r="X1153" i="3"/>
  <c r="Z1153" i="3"/>
  <c r="W1153" i="3"/>
  <c r="O1153" i="3"/>
  <c r="M1153" i="3"/>
  <c r="L1153" i="3"/>
  <c r="N1153" i="3"/>
  <c r="K1153" i="3"/>
  <c r="AJ1152" i="3"/>
  <c r="AL1152" i="3"/>
  <c r="AI1152" i="3"/>
  <c r="X1152" i="3"/>
  <c r="Z1152" i="3"/>
  <c r="W1152" i="3"/>
  <c r="O1152" i="3"/>
  <c r="M1152" i="3"/>
  <c r="L1152" i="3"/>
  <c r="N1152" i="3"/>
  <c r="K1152" i="3"/>
  <c r="AJ1151" i="3"/>
  <c r="AL1151" i="3"/>
  <c r="AI1151" i="3"/>
  <c r="X1151" i="3"/>
  <c r="Z1151" i="3"/>
  <c r="W1151" i="3"/>
  <c r="O1151" i="3"/>
  <c r="M1151" i="3"/>
  <c r="L1151" i="3"/>
  <c r="N1151" i="3"/>
  <c r="K1151" i="3"/>
  <c r="AJ1150" i="3"/>
  <c r="AL1150" i="3"/>
  <c r="AI1150" i="3"/>
  <c r="X1150" i="3"/>
  <c r="Z1150" i="3"/>
  <c r="W1150" i="3"/>
  <c r="O1150" i="3"/>
  <c r="M1150" i="3"/>
  <c r="L1150" i="3"/>
  <c r="N1150" i="3"/>
  <c r="K1150" i="3"/>
  <c r="AJ1149" i="3"/>
  <c r="AL1149" i="3"/>
  <c r="AI1149" i="3"/>
  <c r="X1149" i="3"/>
  <c r="Z1149" i="3"/>
  <c r="W1149" i="3"/>
  <c r="O1149" i="3"/>
  <c r="M1149" i="3"/>
  <c r="L1149" i="3"/>
  <c r="N1149" i="3"/>
  <c r="K1149" i="3"/>
  <c r="AJ1148" i="3"/>
  <c r="AL1148" i="3"/>
  <c r="AI1148" i="3"/>
  <c r="X1148" i="3"/>
  <c r="Z1148" i="3"/>
  <c r="W1148" i="3"/>
  <c r="O1148" i="3"/>
  <c r="M1148" i="3"/>
  <c r="L1148" i="3"/>
  <c r="N1148" i="3"/>
  <c r="K1148" i="3"/>
  <c r="AJ1147" i="3"/>
  <c r="AL1147" i="3"/>
  <c r="AI1147" i="3"/>
  <c r="X1147" i="3"/>
  <c r="Z1147" i="3"/>
  <c r="W1147" i="3"/>
  <c r="O1147" i="3"/>
  <c r="M1147" i="3"/>
  <c r="L1147" i="3"/>
  <c r="N1147" i="3"/>
  <c r="K1147" i="3"/>
  <c r="AJ1146" i="3"/>
  <c r="AL1146" i="3"/>
  <c r="AI1146" i="3"/>
  <c r="X1146" i="3"/>
  <c r="Z1146" i="3"/>
  <c r="W1146" i="3"/>
  <c r="O1146" i="3"/>
  <c r="M1146" i="3"/>
  <c r="L1146" i="3"/>
  <c r="N1146" i="3"/>
  <c r="K1146" i="3"/>
  <c r="AJ1145" i="3"/>
  <c r="AL1145" i="3"/>
  <c r="AI1145" i="3"/>
  <c r="X1145" i="3"/>
  <c r="Z1145" i="3"/>
  <c r="W1145" i="3"/>
  <c r="O1145" i="3"/>
  <c r="M1145" i="3"/>
  <c r="L1145" i="3"/>
  <c r="N1145" i="3"/>
  <c r="K1145" i="3"/>
  <c r="AJ1144" i="3"/>
  <c r="AL1144" i="3"/>
  <c r="AI1144" i="3"/>
  <c r="X1144" i="3"/>
  <c r="Z1144" i="3"/>
  <c r="W1144" i="3"/>
  <c r="O1144" i="3"/>
  <c r="M1144" i="3"/>
  <c r="L1144" i="3"/>
  <c r="N1144" i="3"/>
  <c r="K1144" i="3"/>
  <c r="AJ1143" i="3"/>
  <c r="AL1143" i="3"/>
  <c r="AI1143" i="3"/>
  <c r="X1143" i="3"/>
  <c r="Z1143" i="3"/>
  <c r="W1143" i="3"/>
  <c r="O1143" i="3"/>
  <c r="M1143" i="3"/>
  <c r="L1143" i="3"/>
  <c r="N1143" i="3"/>
  <c r="K1143" i="3"/>
  <c r="AJ1142" i="3"/>
  <c r="AL1142" i="3"/>
  <c r="AI1142" i="3"/>
  <c r="X1142" i="3"/>
  <c r="Z1142" i="3"/>
  <c r="W1142" i="3"/>
  <c r="O1142" i="3"/>
  <c r="M1142" i="3"/>
  <c r="L1142" i="3"/>
  <c r="N1142" i="3"/>
  <c r="K1142" i="3"/>
  <c r="AJ1141" i="3"/>
  <c r="AL1141" i="3"/>
  <c r="AI1141" i="3"/>
  <c r="X1141" i="3"/>
  <c r="Z1141" i="3"/>
  <c r="W1141" i="3"/>
  <c r="O1141" i="3"/>
  <c r="M1141" i="3"/>
  <c r="L1141" i="3"/>
  <c r="N1141" i="3"/>
  <c r="K1141" i="3"/>
  <c r="AJ1140" i="3"/>
  <c r="AL1140" i="3"/>
  <c r="AI1140" i="3"/>
  <c r="X1140" i="3"/>
  <c r="Z1140" i="3"/>
  <c r="W1140" i="3"/>
  <c r="O1140" i="3"/>
  <c r="M1140" i="3"/>
  <c r="L1140" i="3"/>
  <c r="N1140" i="3"/>
  <c r="K1140" i="3"/>
  <c r="AJ1139" i="3"/>
  <c r="AL1139" i="3"/>
  <c r="AI1139" i="3"/>
  <c r="X1139" i="3"/>
  <c r="Z1139" i="3"/>
  <c r="W1139" i="3"/>
  <c r="O1139" i="3"/>
  <c r="M1139" i="3"/>
  <c r="L1139" i="3"/>
  <c r="N1139" i="3"/>
  <c r="K1139" i="3"/>
  <c r="AJ1138" i="3"/>
  <c r="AL1138" i="3"/>
  <c r="AI1138" i="3"/>
  <c r="X1138" i="3"/>
  <c r="Z1138" i="3"/>
  <c r="W1138" i="3"/>
  <c r="O1138" i="3"/>
  <c r="M1138" i="3"/>
  <c r="L1138" i="3"/>
  <c r="N1138" i="3"/>
  <c r="K1138" i="3"/>
  <c r="AJ1137" i="3"/>
  <c r="AL1137" i="3"/>
  <c r="AI1137" i="3"/>
  <c r="X1137" i="3"/>
  <c r="Z1137" i="3"/>
  <c r="W1137" i="3"/>
  <c r="O1137" i="3"/>
  <c r="M1137" i="3"/>
  <c r="L1137" i="3"/>
  <c r="N1137" i="3"/>
  <c r="K1137" i="3"/>
  <c r="AJ1136" i="3"/>
  <c r="AL1136" i="3"/>
  <c r="AI1136" i="3"/>
  <c r="X1136" i="3"/>
  <c r="Z1136" i="3"/>
  <c r="W1136" i="3"/>
  <c r="O1136" i="3"/>
  <c r="M1136" i="3"/>
  <c r="L1136" i="3"/>
  <c r="N1136" i="3"/>
  <c r="K1136" i="3"/>
  <c r="AJ1135" i="3"/>
  <c r="AL1135" i="3"/>
  <c r="AI1135" i="3"/>
  <c r="X1135" i="3"/>
  <c r="Z1135" i="3"/>
  <c r="W1135" i="3"/>
  <c r="O1135" i="3"/>
  <c r="M1135" i="3"/>
  <c r="L1135" i="3"/>
  <c r="N1135" i="3"/>
  <c r="K1135" i="3"/>
  <c r="AJ1134" i="3"/>
  <c r="AL1134" i="3"/>
  <c r="AI1134" i="3"/>
  <c r="X1134" i="3"/>
  <c r="Z1134" i="3"/>
  <c r="W1134" i="3"/>
  <c r="O1134" i="3"/>
  <c r="M1134" i="3"/>
  <c r="L1134" i="3"/>
  <c r="N1134" i="3"/>
  <c r="K1134" i="3"/>
  <c r="AJ1133" i="3"/>
  <c r="AL1133" i="3"/>
  <c r="AI1133" i="3"/>
  <c r="X1133" i="3"/>
  <c r="Z1133" i="3"/>
  <c r="W1133" i="3"/>
  <c r="O1133" i="3"/>
  <c r="M1133" i="3"/>
  <c r="L1133" i="3"/>
  <c r="N1133" i="3"/>
  <c r="K1133" i="3"/>
  <c r="AJ1132" i="3"/>
  <c r="AL1132" i="3"/>
  <c r="AI1132" i="3"/>
  <c r="X1132" i="3"/>
  <c r="Z1132" i="3"/>
  <c r="W1132" i="3"/>
  <c r="O1132" i="3"/>
  <c r="M1132" i="3"/>
  <c r="L1132" i="3"/>
  <c r="N1132" i="3"/>
  <c r="K1132" i="3"/>
  <c r="AJ1131" i="3"/>
  <c r="AL1131" i="3"/>
  <c r="AI1131" i="3"/>
  <c r="X1131" i="3"/>
  <c r="Z1131" i="3"/>
  <c r="W1131" i="3"/>
  <c r="O1131" i="3"/>
  <c r="M1131" i="3"/>
  <c r="L1131" i="3"/>
  <c r="N1131" i="3"/>
  <c r="K1131" i="3"/>
  <c r="AJ1130" i="3"/>
  <c r="AL1130" i="3"/>
  <c r="AI1130" i="3"/>
  <c r="X1130" i="3"/>
  <c r="Z1130" i="3"/>
  <c r="W1130" i="3"/>
  <c r="O1130" i="3"/>
  <c r="M1130" i="3"/>
  <c r="L1130" i="3"/>
  <c r="N1130" i="3"/>
  <c r="K1130" i="3"/>
  <c r="AJ1129" i="3"/>
  <c r="AL1129" i="3"/>
  <c r="AI1129" i="3"/>
  <c r="X1129" i="3"/>
  <c r="Z1129" i="3"/>
  <c r="W1129" i="3"/>
  <c r="O1129" i="3"/>
  <c r="M1129" i="3"/>
  <c r="L1129" i="3"/>
  <c r="N1129" i="3"/>
  <c r="K1129" i="3"/>
  <c r="AJ1128" i="3"/>
  <c r="AL1128" i="3"/>
  <c r="AI1128" i="3"/>
  <c r="X1128" i="3"/>
  <c r="Z1128" i="3"/>
  <c r="W1128" i="3"/>
  <c r="O1128" i="3"/>
  <c r="M1128" i="3"/>
  <c r="L1128" i="3"/>
  <c r="N1128" i="3"/>
  <c r="K1128" i="3"/>
  <c r="AJ1127" i="3"/>
  <c r="AL1127" i="3"/>
  <c r="AI1127" i="3"/>
  <c r="X1127" i="3"/>
  <c r="Z1127" i="3"/>
  <c r="W1127" i="3"/>
  <c r="O1127" i="3"/>
  <c r="M1127" i="3"/>
  <c r="L1127" i="3"/>
  <c r="N1127" i="3"/>
  <c r="K1127" i="3"/>
  <c r="AJ1126" i="3"/>
  <c r="AL1126" i="3"/>
  <c r="AI1126" i="3"/>
  <c r="X1126" i="3"/>
  <c r="Z1126" i="3"/>
  <c r="W1126" i="3"/>
  <c r="O1126" i="3"/>
  <c r="M1126" i="3"/>
  <c r="L1126" i="3"/>
  <c r="N1126" i="3"/>
  <c r="K1126" i="3"/>
  <c r="AJ1125" i="3"/>
  <c r="AL1125" i="3"/>
  <c r="AI1125" i="3"/>
  <c r="X1125" i="3"/>
  <c r="Z1125" i="3"/>
  <c r="W1125" i="3"/>
  <c r="O1125" i="3"/>
  <c r="M1125" i="3"/>
  <c r="L1125" i="3"/>
  <c r="N1125" i="3"/>
  <c r="K1125" i="3"/>
  <c r="AJ1124" i="3"/>
  <c r="AL1124" i="3"/>
  <c r="AI1124" i="3"/>
  <c r="X1124" i="3"/>
  <c r="Z1124" i="3"/>
  <c r="W1124" i="3"/>
  <c r="O1124" i="3"/>
  <c r="M1124" i="3"/>
  <c r="L1124" i="3"/>
  <c r="N1124" i="3"/>
  <c r="K1124" i="3"/>
  <c r="AJ1123" i="3"/>
  <c r="AL1123" i="3"/>
  <c r="AI1123" i="3"/>
  <c r="X1123" i="3"/>
  <c r="Z1123" i="3"/>
  <c r="W1123" i="3"/>
  <c r="O1123" i="3"/>
  <c r="M1123" i="3"/>
  <c r="L1123" i="3"/>
  <c r="N1123" i="3"/>
  <c r="K1123" i="3"/>
  <c r="AJ1122" i="3"/>
  <c r="AL1122" i="3"/>
  <c r="AI1122" i="3"/>
  <c r="X1122" i="3"/>
  <c r="Z1122" i="3"/>
  <c r="W1122" i="3"/>
  <c r="O1122" i="3"/>
  <c r="M1122" i="3"/>
  <c r="L1122" i="3"/>
  <c r="N1122" i="3"/>
  <c r="K1122" i="3"/>
  <c r="AJ1121" i="3"/>
  <c r="AL1121" i="3"/>
  <c r="AI1121" i="3"/>
  <c r="X1121" i="3"/>
  <c r="Z1121" i="3"/>
  <c r="W1121" i="3"/>
  <c r="O1121" i="3"/>
  <c r="M1121" i="3"/>
  <c r="L1121" i="3"/>
  <c r="N1121" i="3"/>
  <c r="K1121" i="3"/>
  <c r="AJ1120" i="3"/>
  <c r="AL1120" i="3"/>
  <c r="AI1120" i="3"/>
  <c r="X1120" i="3"/>
  <c r="Z1120" i="3"/>
  <c r="W1120" i="3"/>
  <c r="O1120" i="3"/>
  <c r="M1120" i="3"/>
  <c r="L1120" i="3"/>
  <c r="N1120" i="3"/>
  <c r="K1120" i="3"/>
  <c r="AJ1119" i="3"/>
  <c r="AL1119" i="3"/>
  <c r="AI1119" i="3"/>
  <c r="X1119" i="3"/>
  <c r="Z1119" i="3"/>
  <c r="W1119" i="3"/>
  <c r="O1119" i="3"/>
  <c r="M1119" i="3"/>
  <c r="L1119" i="3"/>
  <c r="N1119" i="3"/>
  <c r="K1119" i="3"/>
  <c r="AJ1118" i="3"/>
  <c r="AL1118" i="3"/>
  <c r="AI1118" i="3"/>
  <c r="X1118" i="3"/>
  <c r="Z1118" i="3"/>
  <c r="W1118" i="3"/>
  <c r="O1118" i="3"/>
  <c r="M1118" i="3"/>
  <c r="L1118" i="3"/>
  <c r="N1118" i="3"/>
  <c r="K1118" i="3"/>
  <c r="AJ1117" i="3"/>
  <c r="AL1117" i="3"/>
  <c r="AI1117" i="3"/>
  <c r="X1117" i="3"/>
  <c r="Z1117" i="3"/>
  <c r="W1117" i="3"/>
  <c r="O1117" i="3"/>
  <c r="M1117" i="3"/>
  <c r="L1117" i="3"/>
  <c r="N1117" i="3"/>
  <c r="K1117" i="3"/>
  <c r="AJ1116" i="3"/>
  <c r="AL1116" i="3"/>
  <c r="AI1116" i="3"/>
  <c r="X1116" i="3"/>
  <c r="Z1116" i="3"/>
  <c r="W1116" i="3"/>
  <c r="O1116" i="3"/>
  <c r="M1116" i="3"/>
  <c r="L1116" i="3"/>
  <c r="N1116" i="3"/>
  <c r="K1116" i="3"/>
  <c r="AJ1115" i="3"/>
  <c r="AL1115" i="3"/>
  <c r="AI1115" i="3"/>
  <c r="X1115" i="3"/>
  <c r="Z1115" i="3"/>
  <c r="W1115" i="3"/>
  <c r="O1115" i="3"/>
  <c r="M1115" i="3"/>
  <c r="L1115" i="3"/>
  <c r="N1115" i="3"/>
  <c r="K1115" i="3"/>
  <c r="AJ1114" i="3"/>
  <c r="AL1114" i="3"/>
  <c r="AI1114" i="3"/>
  <c r="X1114" i="3"/>
  <c r="Z1114" i="3"/>
  <c r="W1114" i="3"/>
  <c r="O1114" i="3"/>
  <c r="M1114" i="3"/>
  <c r="L1114" i="3"/>
  <c r="N1114" i="3"/>
  <c r="K1114" i="3"/>
  <c r="AJ1113" i="3"/>
  <c r="AL1113" i="3"/>
  <c r="AI1113" i="3"/>
  <c r="X1113" i="3"/>
  <c r="Z1113" i="3"/>
  <c r="W1113" i="3"/>
  <c r="O1113" i="3"/>
  <c r="M1113" i="3"/>
  <c r="L1113" i="3"/>
  <c r="N1113" i="3"/>
  <c r="K1113" i="3"/>
  <c r="AJ1112" i="3"/>
  <c r="AL1112" i="3"/>
  <c r="AI1112" i="3"/>
  <c r="X1112" i="3"/>
  <c r="Z1112" i="3"/>
  <c r="W1112" i="3"/>
  <c r="O1112" i="3"/>
  <c r="M1112" i="3"/>
  <c r="L1112" i="3"/>
  <c r="N1112" i="3"/>
  <c r="K1112" i="3"/>
  <c r="AJ1111" i="3"/>
  <c r="AL1111" i="3"/>
  <c r="AI1111" i="3"/>
  <c r="X1111" i="3"/>
  <c r="Z1111" i="3"/>
  <c r="W1111" i="3"/>
  <c r="O1111" i="3"/>
  <c r="M1111" i="3"/>
  <c r="L1111" i="3"/>
  <c r="N1111" i="3"/>
  <c r="K1111" i="3"/>
  <c r="AJ1110" i="3"/>
  <c r="AL1110" i="3"/>
  <c r="AI1110" i="3"/>
  <c r="X1110" i="3"/>
  <c r="Z1110" i="3"/>
  <c r="W1110" i="3"/>
  <c r="O1110" i="3"/>
  <c r="M1110" i="3"/>
  <c r="L1110" i="3"/>
  <c r="N1110" i="3"/>
  <c r="K1110" i="3"/>
  <c r="AJ1109" i="3"/>
  <c r="AL1109" i="3"/>
  <c r="AI1109" i="3"/>
  <c r="X1109" i="3"/>
  <c r="Z1109" i="3"/>
  <c r="W1109" i="3"/>
  <c r="O1109" i="3"/>
  <c r="M1109" i="3"/>
  <c r="L1109" i="3"/>
  <c r="N1109" i="3"/>
  <c r="K1109" i="3"/>
  <c r="AJ1108" i="3"/>
  <c r="AL1108" i="3"/>
  <c r="AI1108" i="3"/>
  <c r="X1108" i="3"/>
  <c r="Z1108" i="3"/>
  <c r="W1108" i="3"/>
  <c r="O1108" i="3"/>
  <c r="M1108" i="3"/>
  <c r="L1108" i="3"/>
  <c r="N1108" i="3"/>
  <c r="K1108" i="3"/>
  <c r="AJ1107" i="3"/>
  <c r="AL1107" i="3"/>
  <c r="AI1107" i="3"/>
  <c r="X1107" i="3"/>
  <c r="Z1107" i="3"/>
  <c r="W1107" i="3"/>
  <c r="O1107" i="3"/>
  <c r="M1107" i="3"/>
  <c r="L1107" i="3"/>
  <c r="N1107" i="3"/>
  <c r="K1107" i="3"/>
  <c r="AJ1106" i="3"/>
  <c r="AL1106" i="3"/>
  <c r="AI1106" i="3"/>
  <c r="X1106" i="3"/>
  <c r="Z1106" i="3"/>
  <c r="W1106" i="3"/>
  <c r="O1106" i="3"/>
  <c r="M1106" i="3"/>
  <c r="L1106" i="3"/>
  <c r="N1106" i="3"/>
  <c r="K1106" i="3"/>
  <c r="AJ1105" i="3"/>
  <c r="AL1105" i="3"/>
  <c r="AI1105" i="3"/>
  <c r="X1105" i="3"/>
  <c r="Z1105" i="3"/>
  <c r="W1105" i="3"/>
  <c r="O1105" i="3"/>
  <c r="M1105" i="3"/>
  <c r="L1105" i="3"/>
  <c r="N1105" i="3"/>
  <c r="K1105" i="3"/>
  <c r="AJ1104" i="3"/>
  <c r="AL1104" i="3"/>
  <c r="AI1104" i="3"/>
  <c r="X1104" i="3"/>
  <c r="Z1104" i="3"/>
  <c r="W1104" i="3"/>
  <c r="O1104" i="3"/>
  <c r="M1104" i="3"/>
  <c r="L1104" i="3"/>
  <c r="N1104" i="3"/>
  <c r="K1104" i="3"/>
  <c r="AJ1103" i="3"/>
  <c r="AL1103" i="3"/>
  <c r="AI1103" i="3"/>
  <c r="X1103" i="3"/>
  <c r="Z1103" i="3"/>
  <c r="W1103" i="3"/>
  <c r="O1103" i="3"/>
  <c r="M1103" i="3"/>
  <c r="L1103" i="3"/>
  <c r="N1103" i="3"/>
  <c r="K1103" i="3"/>
  <c r="AJ1102" i="3"/>
  <c r="AL1102" i="3"/>
  <c r="AI1102" i="3"/>
  <c r="X1102" i="3"/>
  <c r="Z1102" i="3"/>
  <c r="W1102" i="3"/>
  <c r="O1102" i="3"/>
  <c r="M1102" i="3"/>
  <c r="L1102" i="3"/>
  <c r="N1102" i="3"/>
  <c r="K1102" i="3"/>
  <c r="AJ1101" i="3"/>
  <c r="AL1101" i="3"/>
  <c r="AI1101" i="3"/>
  <c r="X1101" i="3"/>
  <c r="Z1101" i="3"/>
  <c r="W1101" i="3"/>
  <c r="O1101" i="3"/>
  <c r="M1101" i="3"/>
  <c r="L1101" i="3"/>
  <c r="N1101" i="3"/>
  <c r="K1101" i="3"/>
  <c r="AJ1100" i="3"/>
  <c r="AL1100" i="3"/>
  <c r="AI1100" i="3"/>
  <c r="X1100" i="3"/>
  <c r="Z1100" i="3"/>
  <c r="W1100" i="3"/>
  <c r="O1100" i="3"/>
  <c r="M1100" i="3"/>
  <c r="L1100" i="3"/>
  <c r="N1100" i="3"/>
  <c r="K1100" i="3"/>
  <c r="AJ1099" i="3"/>
  <c r="AL1099" i="3"/>
  <c r="AI1099" i="3"/>
  <c r="X1099" i="3"/>
  <c r="Z1099" i="3"/>
  <c r="W1099" i="3"/>
  <c r="O1099" i="3"/>
  <c r="M1099" i="3"/>
  <c r="L1099" i="3"/>
  <c r="N1099" i="3"/>
  <c r="K1099" i="3"/>
  <c r="AJ1098" i="3"/>
  <c r="AL1098" i="3"/>
  <c r="AI1098" i="3"/>
  <c r="X1098" i="3"/>
  <c r="Z1098" i="3"/>
  <c r="W1098" i="3"/>
  <c r="O1098" i="3"/>
  <c r="M1098" i="3"/>
  <c r="L1098" i="3"/>
  <c r="N1098" i="3"/>
  <c r="K1098" i="3"/>
  <c r="AJ1097" i="3"/>
  <c r="AL1097" i="3"/>
  <c r="AI1097" i="3"/>
  <c r="X1097" i="3"/>
  <c r="Z1097" i="3"/>
  <c r="W1097" i="3"/>
  <c r="O1097" i="3"/>
  <c r="M1097" i="3"/>
  <c r="L1097" i="3"/>
  <c r="N1097" i="3"/>
  <c r="K1097" i="3"/>
  <c r="AJ1096" i="3"/>
  <c r="AL1096" i="3"/>
  <c r="AI1096" i="3"/>
  <c r="X1096" i="3"/>
  <c r="Z1096" i="3"/>
  <c r="W1096" i="3"/>
  <c r="O1096" i="3"/>
  <c r="M1096" i="3"/>
  <c r="L1096" i="3"/>
  <c r="N1096" i="3"/>
  <c r="K1096" i="3"/>
  <c r="AJ1095" i="3"/>
  <c r="AL1095" i="3"/>
  <c r="AI1095" i="3"/>
  <c r="X1095" i="3"/>
  <c r="Z1095" i="3"/>
  <c r="W1095" i="3"/>
  <c r="O1095" i="3"/>
  <c r="M1095" i="3"/>
  <c r="L1095" i="3"/>
  <c r="N1095" i="3"/>
  <c r="K1095" i="3"/>
  <c r="AJ1094" i="3"/>
  <c r="AL1094" i="3"/>
  <c r="AI1094" i="3"/>
  <c r="X1094" i="3"/>
  <c r="Z1094" i="3"/>
  <c r="W1094" i="3"/>
  <c r="O1094" i="3"/>
  <c r="M1094" i="3"/>
  <c r="L1094" i="3"/>
  <c r="N1094" i="3"/>
  <c r="K1094" i="3"/>
  <c r="AJ1093" i="3"/>
  <c r="AL1093" i="3"/>
  <c r="AI1093" i="3"/>
  <c r="X1093" i="3"/>
  <c r="Z1093" i="3"/>
  <c r="W1093" i="3"/>
  <c r="O1093" i="3"/>
  <c r="M1093" i="3"/>
  <c r="L1093" i="3"/>
  <c r="N1093" i="3"/>
  <c r="K1093" i="3"/>
  <c r="AJ1092" i="3"/>
  <c r="AL1092" i="3"/>
  <c r="AI1092" i="3"/>
  <c r="X1092" i="3"/>
  <c r="Z1092" i="3"/>
  <c r="W1092" i="3"/>
  <c r="O1092" i="3"/>
  <c r="M1092" i="3"/>
  <c r="L1092" i="3"/>
  <c r="N1092" i="3"/>
  <c r="K1092" i="3"/>
  <c r="AJ1091" i="3"/>
  <c r="AL1091" i="3"/>
  <c r="AI1091" i="3"/>
  <c r="X1091" i="3"/>
  <c r="Z1091" i="3"/>
  <c r="W1091" i="3"/>
  <c r="O1091" i="3"/>
  <c r="M1091" i="3"/>
  <c r="L1091" i="3"/>
  <c r="N1091" i="3"/>
  <c r="K1091" i="3"/>
  <c r="AJ1090" i="3"/>
  <c r="AL1090" i="3"/>
  <c r="AI1090" i="3"/>
  <c r="X1090" i="3"/>
  <c r="Z1090" i="3"/>
  <c r="W1090" i="3"/>
  <c r="O1090" i="3"/>
  <c r="M1090" i="3"/>
  <c r="L1090" i="3"/>
  <c r="N1090" i="3"/>
  <c r="K1090" i="3"/>
  <c r="AJ1089" i="3"/>
  <c r="AL1089" i="3"/>
  <c r="AI1089" i="3"/>
  <c r="X1089" i="3"/>
  <c r="Z1089" i="3"/>
  <c r="W1089" i="3"/>
  <c r="O1089" i="3"/>
  <c r="M1089" i="3"/>
  <c r="L1089" i="3"/>
  <c r="N1089" i="3"/>
  <c r="K1089" i="3"/>
  <c r="AJ1088" i="3"/>
  <c r="AL1088" i="3"/>
  <c r="AI1088" i="3"/>
  <c r="X1088" i="3"/>
  <c r="Z1088" i="3"/>
  <c r="W1088" i="3"/>
  <c r="O1088" i="3"/>
  <c r="M1088" i="3"/>
  <c r="L1088" i="3"/>
  <c r="N1088" i="3"/>
  <c r="K1088" i="3"/>
  <c r="AJ1087" i="3"/>
  <c r="AL1087" i="3"/>
  <c r="AI1087" i="3"/>
  <c r="X1087" i="3"/>
  <c r="Z1087" i="3"/>
  <c r="W1087" i="3"/>
  <c r="O1087" i="3"/>
  <c r="M1087" i="3"/>
  <c r="L1087" i="3"/>
  <c r="N1087" i="3"/>
  <c r="K1087" i="3"/>
  <c r="AJ1086" i="3"/>
  <c r="AL1086" i="3"/>
  <c r="AI1086" i="3"/>
  <c r="X1086" i="3"/>
  <c r="Z1086" i="3"/>
  <c r="W1086" i="3"/>
  <c r="O1086" i="3"/>
  <c r="M1086" i="3"/>
  <c r="L1086" i="3"/>
  <c r="N1086" i="3"/>
  <c r="K1086" i="3"/>
  <c r="AJ1085" i="3"/>
  <c r="AL1085" i="3"/>
  <c r="AI1085" i="3"/>
  <c r="X1085" i="3"/>
  <c r="Z1085" i="3"/>
  <c r="W1085" i="3"/>
  <c r="O1085" i="3"/>
  <c r="M1085" i="3"/>
  <c r="L1085" i="3"/>
  <c r="N1085" i="3"/>
  <c r="K1085" i="3"/>
  <c r="AJ1084" i="3"/>
  <c r="AL1084" i="3"/>
  <c r="AI1084" i="3"/>
  <c r="X1084" i="3"/>
  <c r="Z1084" i="3"/>
  <c r="W1084" i="3"/>
  <c r="O1084" i="3"/>
  <c r="M1084" i="3"/>
  <c r="L1084" i="3"/>
  <c r="N1084" i="3"/>
  <c r="K1084" i="3"/>
  <c r="AJ1083" i="3"/>
  <c r="AL1083" i="3"/>
  <c r="AI1083" i="3"/>
  <c r="X1083" i="3"/>
  <c r="Z1083" i="3"/>
  <c r="W1083" i="3"/>
  <c r="O1083" i="3"/>
  <c r="M1083" i="3"/>
  <c r="L1083" i="3"/>
  <c r="N1083" i="3"/>
  <c r="K1083" i="3"/>
  <c r="AJ1082" i="3"/>
  <c r="AL1082" i="3"/>
  <c r="AI1082" i="3"/>
  <c r="X1082" i="3"/>
  <c r="Z1082" i="3"/>
  <c r="W1082" i="3"/>
  <c r="O1082" i="3"/>
  <c r="M1082" i="3"/>
  <c r="L1082" i="3"/>
  <c r="N1082" i="3"/>
  <c r="K1082" i="3"/>
  <c r="AJ1081" i="3"/>
  <c r="AL1081" i="3"/>
  <c r="AI1081" i="3"/>
  <c r="X1081" i="3"/>
  <c r="Z1081" i="3"/>
  <c r="W1081" i="3"/>
  <c r="O1081" i="3"/>
  <c r="M1081" i="3"/>
  <c r="L1081" i="3"/>
  <c r="N1081" i="3"/>
  <c r="K1081" i="3"/>
  <c r="AJ1080" i="3"/>
  <c r="AL1080" i="3"/>
  <c r="AI1080" i="3"/>
  <c r="X1080" i="3"/>
  <c r="Z1080" i="3"/>
  <c r="W1080" i="3"/>
  <c r="O1080" i="3"/>
  <c r="M1080" i="3"/>
  <c r="L1080" i="3"/>
  <c r="N1080" i="3"/>
  <c r="K1080" i="3"/>
  <c r="AJ1079" i="3"/>
  <c r="AL1079" i="3"/>
  <c r="AI1079" i="3"/>
  <c r="X1079" i="3"/>
  <c r="Z1079" i="3"/>
  <c r="W1079" i="3"/>
  <c r="O1079" i="3"/>
  <c r="M1079" i="3"/>
  <c r="L1079" i="3"/>
  <c r="N1079" i="3"/>
  <c r="K1079" i="3"/>
  <c r="AJ1078" i="3"/>
  <c r="AL1078" i="3"/>
  <c r="AI1078" i="3"/>
  <c r="X1078" i="3"/>
  <c r="Z1078" i="3"/>
  <c r="W1078" i="3"/>
  <c r="O1078" i="3"/>
  <c r="M1078" i="3"/>
  <c r="L1078" i="3"/>
  <c r="N1078" i="3"/>
  <c r="K1078" i="3"/>
  <c r="AJ1077" i="3"/>
  <c r="AL1077" i="3"/>
  <c r="AI1077" i="3"/>
  <c r="X1077" i="3"/>
  <c r="Z1077" i="3"/>
  <c r="W1077" i="3"/>
  <c r="O1077" i="3"/>
  <c r="M1077" i="3"/>
  <c r="L1077" i="3"/>
  <c r="N1077" i="3"/>
  <c r="K1077" i="3"/>
  <c r="AJ1076" i="3"/>
  <c r="AL1076" i="3"/>
  <c r="AI1076" i="3"/>
  <c r="X1076" i="3"/>
  <c r="Z1076" i="3"/>
  <c r="W1076" i="3"/>
  <c r="O1076" i="3"/>
  <c r="M1076" i="3"/>
  <c r="L1076" i="3"/>
  <c r="N1076" i="3"/>
  <c r="K1076" i="3"/>
  <c r="AJ1075" i="3"/>
  <c r="AL1075" i="3"/>
  <c r="AI1075" i="3"/>
  <c r="X1075" i="3"/>
  <c r="Z1075" i="3"/>
  <c r="W1075" i="3"/>
  <c r="O1075" i="3"/>
  <c r="M1075" i="3"/>
  <c r="L1075" i="3"/>
  <c r="N1075" i="3"/>
  <c r="K1075" i="3"/>
  <c r="AJ1074" i="3"/>
  <c r="AL1074" i="3"/>
  <c r="AI1074" i="3"/>
  <c r="X1074" i="3"/>
  <c r="Z1074" i="3"/>
  <c r="W1074" i="3"/>
  <c r="O1074" i="3"/>
  <c r="M1074" i="3"/>
  <c r="L1074" i="3"/>
  <c r="N1074" i="3"/>
  <c r="K1074" i="3"/>
  <c r="AJ1073" i="3"/>
  <c r="AL1073" i="3"/>
  <c r="AI1073" i="3"/>
  <c r="X1073" i="3"/>
  <c r="Z1073" i="3"/>
  <c r="W1073" i="3"/>
  <c r="O1073" i="3"/>
  <c r="M1073" i="3"/>
  <c r="L1073" i="3"/>
  <c r="N1073" i="3"/>
  <c r="K1073" i="3"/>
  <c r="AJ1072" i="3"/>
  <c r="AL1072" i="3"/>
  <c r="AI1072" i="3"/>
  <c r="X1072" i="3"/>
  <c r="Z1072" i="3"/>
  <c r="W1072" i="3"/>
  <c r="O1072" i="3"/>
  <c r="M1072" i="3"/>
  <c r="L1072" i="3"/>
  <c r="N1072" i="3"/>
  <c r="K1072" i="3"/>
  <c r="AJ1071" i="3"/>
  <c r="AL1071" i="3"/>
  <c r="AI1071" i="3"/>
  <c r="X1071" i="3"/>
  <c r="Z1071" i="3"/>
  <c r="W1071" i="3"/>
  <c r="O1071" i="3"/>
  <c r="M1071" i="3"/>
  <c r="L1071" i="3"/>
  <c r="N1071" i="3"/>
  <c r="K1071" i="3"/>
  <c r="AJ1070" i="3"/>
  <c r="AL1070" i="3"/>
  <c r="AI1070" i="3"/>
  <c r="X1070" i="3"/>
  <c r="Z1070" i="3"/>
  <c r="W1070" i="3"/>
  <c r="O1070" i="3"/>
  <c r="M1070" i="3"/>
  <c r="L1070" i="3"/>
  <c r="N1070" i="3"/>
  <c r="K1070" i="3"/>
  <c r="AJ1069" i="3"/>
  <c r="AL1069" i="3"/>
  <c r="AI1069" i="3"/>
  <c r="X1069" i="3"/>
  <c r="Z1069" i="3"/>
  <c r="W1069" i="3"/>
  <c r="O1069" i="3"/>
  <c r="M1069" i="3"/>
  <c r="L1069" i="3"/>
  <c r="N1069" i="3"/>
  <c r="K1069" i="3"/>
  <c r="AJ1068" i="3"/>
  <c r="AL1068" i="3"/>
  <c r="AI1068" i="3"/>
  <c r="X1068" i="3"/>
  <c r="Z1068" i="3"/>
  <c r="W1068" i="3"/>
  <c r="O1068" i="3"/>
  <c r="M1068" i="3"/>
  <c r="L1068" i="3"/>
  <c r="N1068" i="3"/>
  <c r="K1068" i="3"/>
  <c r="AJ1067" i="3"/>
  <c r="AL1067" i="3"/>
  <c r="AI1067" i="3"/>
  <c r="X1067" i="3"/>
  <c r="Z1067" i="3"/>
  <c r="W1067" i="3"/>
  <c r="O1067" i="3"/>
  <c r="M1067" i="3"/>
  <c r="L1067" i="3"/>
  <c r="N1067" i="3"/>
  <c r="K1067" i="3"/>
  <c r="AJ1066" i="3"/>
  <c r="AL1066" i="3"/>
  <c r="AI1066" i="3"/>
  <c r="X1066" i="3"/>
  <c r="Z1066" i="3"/>
  <c r="W1066" i="3"/>
  <c r="O1066" i="3"/>
  <c r="M1066" i="3"/>
  <c r="L1066" i="3"/>
  <c r="N1066" i="3"/>
  <c r="K1066" i="3"/>
  <c r="AJ1065" i="3"/>
  <c r="AL1065" i="3"/>
  <c r="AI1065" i="3"/>
  <c r="X1065" i="3"/>
  <c r="Z1065" i="3"/>
  <c r="W1065" i="3"/>
  <c r="O1065" i="3"/>
  <c r="M1065" i="3"/>
  <c r="L1065" i="3"/>
  <c r="N1065" i="3"/>
  <c r="K1065" i="3"/>
  <c r="AJ1064" i="3"/>
  <c r="AL1064" i="3"/>
  <c r="AI1064" i="3"/>
  <c r="X1064" i="3"/>
  <c r="Z1064" i="3"/>
  <c r="W1064" i="3"/>
  <c r="O1064" i="3"/>
  <c r="M1064" i="3"/>
  <c r="L1064" i="3"/>
  <c r="N1064" i="3"/>
  <c r="K1064" i="3"/>
  <c r="AJ1063" i="3"/>
  <c r="AL1063" i="3"/>
  <c r="AI1063" i="3"/>
  <c r="X1063" i="3"/>
  <c r="Z1063" i="3"/>
  <c r="W1063" i="3"/>
  <c r="O1063" i="3"/>
  <c r="M1063" i="3"/>
  <c r="L1063" i="3"/>
  <c r="N1063" i="3"/>
  <c r="K1063" i="3"/>
  <c r="AJ1062" i="3"/>
  <c r="AL1062" i="3"/>
  <c r="AI1062" i="3"/>
  <c r="X1062" i="3"/>
  <c r="Z1062" i="3"/>
  <c r="W1062" i="3"/>
  <c r="O1062" i="3"/>
  <c r="M1062" i="3"/>
  <c r="L1062" i="3"/>
  <c r="N1062" i="3"/>
  <c r="K1062" i="3"/>
  <c r="AJ1061" i="3"/>
  <c r="AL1061" i="3"/>
  <c r="AI1061" i="3"/>
  <c r="X1061" i="3"/>
  <c r="Z1061" i="3"/>
  <c r="W1061" i="3"/>
  <c r="O1061" i="3"/>
  <c r="M1061" i="3"/>
  <c r="L1061" i="3"/>
  <c r="N1061" i="3"/>
  <c r="K1061" i="3"/>
  <c r="AJ1060" i="3"/>
  <c r="AL1060" i="3"/>
  <c r="AI1060" i="3"/>
  <c r="X1060" i="3"/>
  <c r="Z1060" i="3"/>
  <c r="W1060" i="3"/>
  <c r="O1060" i="3"/>
  <c r="M1060" i="3"/>
  <c r="L1060" i="3"/>
  <c r="N1060" i="3"/>
  <c r="K1060" i="3"/>
  <c r="AJ1059" i="3"/>
  <c r="AL1059" i="3"/>
  <c r="AI1059" i="3"/>
  <c r="X1059" i="3"/>
  <c r="Z1059" i="3"/>
  <c r="W1059" i="3"/>
  <c r="O1059" i="3"/>
  <c r="M1059" i="3"/>
  <c r="L1059" i="3"/>
  <c r="N1059" i="3"/>
  <c r="K1059" i="3"/>
  <c r="AJ1058" i="3"/>
  <c r="AL1058" i="3"/>
  <c r="AI1058" i="3"/>
  <c r="X1058" i="3"/>
  <c r="Z1058" i="3"/>
  <c r="W1058" i="3"/>
  <c r="O1058" i="3"/>
  <c r="M1058" i="3"/>
  <c r="L1058" i="3"/>
  <c r="N1058" i="3"/>
  <c r="K1058" i="3"/>
  <c r="AJ1057" i="3"/>
  <c r="AL1057" i="3"/>
  <c r="AI1057" i="3"/>
  <c r="X1057" i="3"/>
  <c r="Z1057" i="3"/>
  <c r="W1057" i="3"/>
  <c r="O1057" i="3"/>
  <c r="M1057" i="3"/>
  <c r="L1057" i="3"/>
  <c r="N1057" i="3"/>
  <c r="K1057" i="3"/>
  <c r="AJ1056" i="3"/>
  <c r="AL1056" i="3"/>
  <c r="AI1056" i="3"/>
  <c r="X1056" i="3"/>
  <c r="Z1056" i="3"/>
  <c r="W1056" i="3"/>
  <c r="O1056" i="3"/>
  <c r="M1056" i="3"/>
  <c r="L1056" i="3"/>
  <c r="N1056" i="3"/>
  <c r="K1056" i="3"/>
  <c r="AJ1055" i="3"/>
  <c r="AL1055" i="3"/>
  <c r="AI1055" i="3"/>
  <c r="X1055" i="3"/>
  <c r="Z1055" i="3"/>
  <c r="W1055" i="3"/>
  <c r="O1055" i="3"/>
  <c r="M1055" i="3"/>
  <c r="L1055" i="3"/>
  <c r="N1055" i="3"/>
  <c r="K1055" i="3"/>
  <c r="AJ1054" i="3"/>
  <c r="AL1054" i="3"/>
  <c r="AI1054" i="3"/>
  <c r="X1054" i="3"/>
  <c r="Z1054" i="3"/>
  <c r="W1054" i="3"/>
  <c r="O1054" i="3"/>
  <c r="M1054" i="3"/>
  <c r="L1054" i="3"/>
  <c r="N1054" i="3"/>
  <c r="K1054" i="3"/>
  <c r="AJ1053" i="3"/>
  <c r="AL1053" i="3"/>
  <c r="AI1053" i="3"/>
  <c r="X1053" i="3"/>
  <c r="Z1053" i="3"/>
  <c r="W1053" i="3"/>
  <c r="O1053" i="3"/>
  <c r="M1053" i="3"/>
  <c r="L1053" i="3"/>
  <c r="N1053" i="3"/>
  <c r="K1053" i="3"/>
  <c r="AJ1052" i="3"/>
  <c r="AL1052" i="3"/>
  <c r="AI1052" i="3"/>
  <c r="X1052" i="3"/>
  <c r="Z1052" i="3"/>
  <c r="W1052" i="3"/>
  <c r="O1052" i="3"/>
  <c r="M1052" i="3"/>
  <c r="L1052" i="3"/>
  <c r="N1052" i="3"/>
  <c r="K1052" i="3"/>
  <c r="AJ1051" i="3"/>
  <c r="AL1051" i="3"/>
  <c r="AI1051" i="3"/>
  <c r="X1051" i="3"/>
  <c r="Z1051" i="3"/>
  <c r="W1051" i="3"/>
  <c r="O1051" i="3"/>
  <c r="M1051" i="3"/>
  <c r="L1051" i="3"/>
  <c r="N1051" i="3"/>
  <c r="K1051" i="3"/>
  <c r="AJ1050" i="3"/>
  <c r="AL1050" i="3"/>
  <c r="AI1050" i="3"/>
  <c r="X1050" i="3"/>
  <c r="Z1050" i="3"/>
  <c r="W1050" i="3"/>
  <c r="O1050" i="3"/>
  <c r="M1050" i="3"/>
  <c r="L1050" i="3"/>
  <c r="N1050" i="3"/>
  <c r="K1050" i="3"/>
  <c r="AJ1049" i="3"/>
  <c r="AL1049" i="3"/>
  <c r="AI1049" i="3"/>
  <c r="X1049" i="3"/>
  <c r="Z1049" i="3"/>
  <c r="W1049" i="3"/>
  <c r="O1049" i="3"/>
  <c r="M1049" i="3"/>
  <c r="L1049" i="3"/>
  <c r="N1049" i="3"/>
  <c r="K1049" i="3"/>
  <c r="AJ1048" i="3"/>
  <c r="AL1048" i="3"/>
  <c r="AI1048" i="3"/>
  <c r="X1048" i="3"/>
  <c r="Z1048" i="3"/>
  <c r="W1048" i="3"/>
  <c r="O1048" i="3"/>
  <c r="M1048" i="3"/>
  <c r="L1048" i="3"/>
  <c r="N1048" i="3"/>
  <c r="K1048" i="3"/>
  <c r="AJ1047" i="3"/>
  <c r="AL1047" i="3"/>
  <c r="AI1047" i="3"/>
  <c r="X1047" i="3"/>
  <c r="Z1047" i="3"/>
  <c r="W1047" i="3"/>
  <c r="O1047" i="3"/>
  <c r="M1047" i="3"/>
  <c r="L1047" i="3"/>
  <c r="N1047" i="3"/>
  <c r="K1047" i="3"/>
  <c r="AJ1046" i="3"/>
  <c r="AL1046" i="3"/>
  <c r="AI1046" i="3"/>
  <c r="X1046" i="3"/>
  <c r="Z1046" i="3"/>
  <c r="W1046" i="3"/>
  <c r="O1046" i="3"/>
  <c r="M1046" i="3"/>
  <c r="L1046" i="3"/>
  <c r="N1046" i="3"/>
  <c r="K1046" i="3"/>
  <c r="AJ1045" i="3"/>
  <c r="AL1045" i="3"/>
  <c r="AI1045" i="3"/>
  <c r="X1045" i="3"/>
  <c r="Z1045" i="3"/>
  <c r="W1045" i="3"/>
  <c r="O1045" i="3"/>
  <c r="M1045" i="3"/>
  <c r="L1045" i="3"/>
  <c r="N1045" i="3"/>
  <c r="K1045" i="3"/>
  <c r="AJ1044" i="3"/>
  <c r="AL1044" i="3"/>
  <c r="AI1044" i="3"/>
  <c r="X1044" i="3"/>
  <c r="Z1044" i="3"/>
  <c r="W1044" i="3"/>
  <c r="O1044" i="3"/>
  <c r="M1044" i="3"/>
  <c r="L1044" i="3"/>
  <c r="N1044" i="3"/>
  <c r="K1044" i="3"/>
  <c r="AJ1043" i="3"/>
  <c r="AL1043" i="3"/>
  <c r="AI1043" i="3"/>
  <c r="X1043" i="3"/>
  <c r="Z1043" i="3"/>
  <c r="W1043" i="3"/>
  <c r="O1043" i="3"/>
  <c r="M1043" i="3"/>
  <c r="L1043" i="3"/>
  <c r="N1043" i="3"/>
  <c r="K1043" i="3"/>
  <c r="AJ1042" i="3"/>
  <c r="AL1042" i="3"/>
  <c r="AI1042" i="3"/>
  <c r="X1042" i="3"/>
  <c r="Z1042" i="3"/>
  <c r="W1042" i="3"/>
  <c r="O1042" i="3"/>
  <c r="M1042" i="3"/>
  <c r="L1042" i="3"/>
  <c r="N1042" i="3"/>
  <c r="K1042" i="3"/>
  <c r="AJ1041" i="3"/>
  <c r="AL1041" i="3"/>
  <c r="AI1041" i="3"/>
  <c r="X1041" i="3"/>
  <c r="Z1041" i="3"/>
  <c r="W1041" i="3"/>
  <c r="O1041" i="3"/>
  <c r="M1041" i="3"/>
  <c r="L1041" i="3"/>
  <c r="N1041" i="3"/>
  <c r="K1041" i="3"/>
  <c r="AJ1040" i="3"/>
  <c r="AL1040" i="3"/>
  <c r="AI1040" i="3"/>
  <c r="X1040" i="3"/>
  <c r="Z1040" i="3"/>
  <c r="W1040" i="3"/>
  <c r="O1040" i="3"/>
  <c r="M1040" i="3"/>
  <c r="L1040" i="3"/>
  <c r="N1040" i="3"/>
  <c r="K1040" i="3"/>
  <c r="AJ1039" i="3"/>
  <c r="AL1039" i="3"/>
  <c r="AI1039" i="3"/>
  <c r="X1039" i="3"/>
  <c r="Z1039" i="3"/>
  <c r="W1039" i="3"/>
  <c r="O1039" i="3"/>
  <c r="M1039" i="3"/>
  <c r="L1039" i="3"/>
  <c r="N1039" i="3"/>
  <c r="K1039" i="3"/>
  <c r="AJ1038" i="3"/>
  <c r="AL1038" i="3"/>
  <c r="AI1038" i="3"/>
  <c r="X1038" i="3"/>
  <c r="Z1038" i="3"/>
  <c r="W1038" i="3"/>
  <c r="O1038" i="3"/>
  <c r="M1038" i="3"/>
  <c r="L1038" i="3"/>
  <c r="N1038" i="3"/>
  <c r="K1038" i="3"/>
  <c r="AJ1037" i="3"/>
  <c r="AL1037" i="3"/>
  <c r="AI1037" i="3"/>
  <c r="X1037" i="3"/>
  <c r="Z1037" i="3"/>
  <c r="W1037" i="3"/>
  <c r="O1037" i="3"/>
  <c r="M1037" i="3"/>
  <c r="L1037" i="3"/>
  <c r="N1037" i="3"/>
  <c r="K1037" i="3"/>
  <c r="AJ1036" i="3"/>
  <c r="AL1036" i="3"/>
  <c r="AI1036" i="3"/>
  <c r="X1036" i="3"/>
  <c r="Z1036" i="3"/>
  <c r="W1036" i="3"/>
  <c r="O1036" i="3"/>
  <c r="M1036" i="3"/>
  <c r="L1036" i="3"/>
  <c r="N1036" i="3"/>
  <c r="K1036" i="3"/>
  <c r="AJ1035" i="3"/>
  <c r="AL1035" i="3"/>
  <c r="AI1035" i="3"/>
  <c r="X1035" i="3"/>
  <c r="Z1035" i="3"/>
  <c r="W1035" i="3"/>
  <c r="O1035" i="3"/>
  <c r="M1035" i="3"/>
  <c r="L1035" i="3"/>
  <c r="N1035" i="3"/>
  <c r="K1035" i="3"/>
  <c r="AJ1034" i="3"/>
  <c r="AL1034" i="3"/>
  <c r="AI1034" i="3"/>
  <c r="X1034" i="3"/>
  <c r="Z1034" i="3"/>
  <c r="W1034" i="3"/>
  <c r="O1034" i="3"/>
  <c r="M1034" i="3"/>
  <c r="L1034" i="3"/>
  <c r="N1034" i="3"/>
  <c r="K1034" i="3"/>
  <c r="AJ1033" i="3"/>
  <c r="AL1033" i="3"/>
  <c r="AI1033" i="3"/>
  <c r="X1033" i="3"/>
  <c r="Z1033" i="3"/>
  <c r="W1033" i="3"/>
  <c r="O1033" i="3"/>
  <c r="M1033" i="3"/>
  <c r="L1033" i="3"/>
  <c r="N1033" i="3"/>
  <c r="K1033" i="3"/>
  <c r="AJ1032" i="3"/>
  <c r="AL1032" i="3"/>
  <c r="AI1032" i="3"/>
  <c r="X1032" i="3"/>
  <c r="Z1032" i="3"/>
  <c r="W1032" i="3"/>
  <c r="O1032" i="3"/>
  <c r="M1032" i="3"/>
  <c r="L1032" i="3"/>
  <c r="N1032" i="3"/>
  <c r="K1032" i="3"/>
  <c r="AJ1031" i="3"/>
  <c r="AL1031" i="3"/>
  <c r="AI1031" i="3"/>
  <c r="X1031" i="3"/>
  <c r="Z1031" i="3"/>
  <c r="W1031" i="3"/>
  <c r="O1031" i="3"/>
  <c r="M1031" i="3"/>
  <c r="L1031" i="3"/>
  <c r="N1031" i="3"/>
  <c r="K1031" i="3"/>
  <c r="AJ1030" i="3"/>
  <c r="AL1030" i="3"/>
  <c r="AI1030" i="3"/>
  <c r="X1030" i="3"/>
  <c r="Z1030" i="3"/>
  <c r="W1030" i="3"/>
  <c r="O1030" i="3"/>
  <c r="M1030" i="3"/>
  <c r="L1030" i="3"/>
  <c r="N1030" i="3"/>
  <c r="K1030" i="3"/>
  <c r="AJ1029" i="3"/>
  <c r="AL1029" i="3"/>
  <c r="AI1029" i="3"/>
  <c r="X1029" i="3"/>
  <c r="Z1029" i="3"/>
  <c r="W1029" i="3"/>
  <c r="O1029" i="3"/>
  <c r="M1029" i="3"/>
  <c r="L1029" i="3"/>
  <c r="N1029" i="3"/>
  <c r="K1029" i="3"/>
  <c r="AJ1028" i="3"/>
  <c r="AL1028" i="3"/>
  <c r="AI1028" i="3"/>
  <c r="X1028" i="3"/>
  <c r="Z1028" i="3"/>
  <c r="W1028" i="3"/>
  <c r="O1028" i="3"/>
  <c r="M1028" i="3"/>
  <c r="L1028" i="3"/>
  <c r="N1028" i="3"/>
  <c r="K1028" i="3"/>
  <c r="AJ1027" i="3"/>
  <c r="AL1027" i="3"/>
  <c r="AI1027" i="3"/>
  <c r="X1027" i="3"/>
  <c r="Z1027" i="3"/>
  <c r="W1027" i="3"/>
  <c r="O1027" i="3"/>
  <c r="M1027" i="3"/>
  <c r="L1027" i="3"/>
  <c r="N1027" i="3"/>
  <c r="K1027" i="3"/>
  <c r="AJ1026" i="3"/>
  <c r="AL1026" i="3"/>
  <c r="AI1026" i="3"/>
  <c r="X1026" i="3"/>
  <c r="Z1026" i="3"/>
  <c r="W1026" i="3"/>
  <c r="O1026" i="3"/>
  <c r="M1026" i="3"/>
  <c r="L1026" i="3"/>
  <c r="N1026" i="3"/>
  <c r="K1026" i="3"/>
  <c r="AJ1025" i="3"/>
  <c r="AL1025" i="3"/>
  <c r="AI1025" i="3"/>
  <c r="X1025" i="3"/>
  <c r="Z1025" i="3"/>
  <c r="W1025" i="3"/>
  <c r="O1025" i="3"/>
  <c r="M1025" i="3"/>
  <c r="L1025" i="3"/>
  <c r="N1025" i="3"/>
  <c r="K1025" i="3"/>
  <c r="AJ1024" i="3"/>
  <c r="AL1024" i="3"/>
  <c r="AI1024" i="3"/>
  <c r="X1024" i="3"/>
  <c r="Z1024" i="3"/>
  <c r="W1024" i="3"/>
  <c r="O1024" i="3"/>
  <c r="M1024" i="3"/>
  <c r="L1024" i="3"/>
  <c r="N1024" i="3"/>
  <c r="K1024" i="3"/>
  <c r="AJ1023" i="3"/>
  <c r="AL1023" i="3"/>
  <c r="AI1023" i="3"/>
  <c r="X1023" i="3"/>
  <c r="Z1023" i="3"/>
  <c r="W1023" i="3"/>
  <c r="O1023" i="3"/>
  <c r="M1023" i="3"/>
  <c r="L1023" i="3"/>
  <c r="N1023" i="3"/>
  <c r="K1023" i="3"/>
  <c r="AJ1022" i="3"/>
  <c r="AL1022" i="3"/>
  <c r="AI1022" i="3"/>
  <c r="X1022" i="3"/>
  <c r="Z1022" i="3"/>
  <c r="W1022" i="3"/>
  <c r="O1022" i="3"/>
  <c r="M1022" i="3"/>
  <c r="L1022" i="3"/>
  <c r="N1022" i="3"/>
  <c r="K1022" i="3"/>
  <c r="AJ1021" i="3"/>
  <c r="AL1021" i="3"/>
  <c r="AI1021" i="3"/>
  <c r="X1021" i="3"/>
  <c r="Z1021" i="3"/>
  <c r="W1021" i="3"/>
  <c r="O1021" i="3"/>
  <c r="M1021" i="3"/>
  <c r="L1021" i="3"/>
  <c r="N1021" i="3"/>
  <c r="K1021" i="3"/>
  <c r="AJ1020" i="3"/>
  <c r="AL1020" i="3"/>
  <c r="AI1020" i="3"/>
  <c r="X1020" i="3"/>
  <c r="Z1020" i="3"/>
  <c r="W1020" i="3"/>
  <c r="O1020" i="3"/>
  <c r="M1020" i="3"/>
  <c r="L1020" i="3"/>
  <c r="N1020" i="3"/>
  <c r="K1020" i="3"/>
  <c r="AJ1019" i="3"/>
  <c r="AL1019" i="3"/>
  <c r="AI1019" i="3"/>
  <c r="X1019" i="3"/>
  <c r="Z1019" i="3"/>
  <c r="W1019" i="3"/>
  <c r="O1019" i="3"/>
  <c r="M1019" i="3"/>
  <c r="L1019" i="3"/>
  <c r="N1019" i="3"/>
  <c r="K1019" i="3"/>
  <c r="AJ1018" i="3"/>
  <c r="AL1018" i="3"/>
  <c r="AI1018" i="3"/>
  <c r="X1018" i="3"/>
  <c r="Z1018" i="3"/>
  <c r="W1018" i="3"/>
  <c r="O1018" i="3"/>
  <c r="M1018" i="3"/>
  <c r="L1018" i="3"/>
  <c r="N1018" i="3"/>
  <c r="K1018" i="3"/>
  <c r="AJ1017" i="3"/>
  <c r="AL1017" i="3"/>
  <c r="AI1017" i="3"/>
  <c r="X1017" i="3"/>
  <c r="Z1017" i="3"/>
  <c r="W1017" i="3"/>
  <c r="O1017" i="3"/>
  <c r="M1017" i="3"/>
  <c r="L1017" i="3"/>
  <c r="N1017" i="3"/>
  <c r="K1017" i="3"/>
  <c r="AJ1016" i="3"/>
  <c r="AL1016" i="3"/>
  <c r="AI1016" i="3"/>
  <c r="X1016" i="3"/>
  <c r="Z1016" i="3"/>
  <c r="W1016" i="3"/>
  <c r="O1016" i="3"/>
  <c r="M1016" i="3"/>
  <c r="L1016" i="3"/>
  <c r="N1016" i="3"/>
  <c r="K1016" i="3"/>
  <c r="AJ1015" i="3"/>
  <c r="AL1015" i="3"/>
  <c r="AI1015" i="3"/>
  <c r="X1015" i="3"/>
  <c r="Z1015" i="3"/>
  <c r="W1015" i="3"/>
  <c r="O1015" i="3"/>
  <c r="M1015" i="3"/>
  <c r="L1015" i="3"/>
  <c r="N1015" i="3"/>
  <c r="K1015" i="3"/>
  <c r="AJ1014" i="3"/>
  <c r="AL1014" i="3"/>
  <c r="AI1014" i="3"/>
  <c r="X1014" i="3"/>
  <c r="Z1014" i="3"/>
  <c r="W1014" i="3"/>
  <c r="O1014" i="3"/>
  <c r="M1014" i="3"/>
  <c r="L1014" i="3"/>
  <c r="N1014" i="3"/>
  <c r="K1014" i="3"/>
  <c r="AJ1013" i="3"/>
  <c r="AL1013" i="3"/>
  <c r="AI1013" i="3"/>
  <c r="X1013" i="3"/>
  <c r="Z1013" i="3"/>
  <c r="W1013" i="3"/>
  <c r="O1013" i="3"/>
  <c r="M1013" i="3"/>
  <c r="L1013" i="3"/>
  <c r="N1013" i="3"/>
  <c r="K1013" i="3"/>
  <c r="AJ1012" i="3"/>
  <c r="AL1012" i="3"/>
  <c r="AI1012" i="3"/>
  <c r="X1012" i="3"/>
  <c r="Z1012" i="3"/>
  <c r="W1012" i="3"/>
  <c r="O1012" i="3"/>
  <c r="M1012" i="3"/>
  <c r="L1012" i="3"/>
  <c r="N1012" i="3"/>
  <c r="K1012" i="3"/>
  <c r="AJ1011" i="3"/>
  <c r="AL1011" i="3"/>
  <c r="AI1011" i="3"/>
  <c r="X1011" i="3"/>
  <c r="Z1011" i="3"/>
  <c r="W1011" i="3"/>
  <c r="O1011" i="3"/>
  <c r="M1011" i="3"/>
  <c r="L1011" i="3"/>
  <c r="N1011" i="3"/>
  <c r="K1011" i="3"/>
  <c r="AJ1010" i="3"/>
  <c r="AL1010" i="3"/>
  <c r="AI1010" i="3"/>
  <c r="X1010" i="3"/>
  <c r="Z1010" i="3"/>
  <c r="W1010" i="3"/>
  <c r="O1010" i="3"/>
  <c r="M1010" i="3"/>
  <c r="L1010" i="3"/>
  <c r="N1010" i="3"/>
  <c r="K1010" i="3"/>
  <c r="AJ1009" i="3"/>
  <c r="AL1009" i="3"/>
  <c r="AI1009" i="3"/>
  <c r="X1009" i="3"/>
  <c r="Z1009" i="3"/>
  <c r="W1009" i="3"/>
  <c r="O1009" i="3"/>
  <c r="M1009" i="3"/>
  <c r="L1009" i="3"/>
  <c r="N1009" i="3"/>
  <c r="K1009" i="3"/>
  <c r="AJ1008" i="3"/>
  <c r="AL1008" i="3"/>
  <c r="AI1008" i="3"/>
  <c r="X1008" i="3"/>
  <c r="Z1008" i="3"/>
  <c r="W1008" i="3"/>
  <c r="O1008" i="3"/>
  <c r="M1008" i="3"/>
  <c r="L1008" i="3"/>
  <c r="N1008" i="3"/>
  <c r="K1008" i="3"/>
  <c r="AJ1007" i="3"/>
  <c r="AL1007" i="3"/>
  <c r="AI1007" i="3"/>
  <c r="X1007" i="3"/>
  <c r="Z1007" i="3"/>
  <c r="W1007" i="3"/>
  <c r="O1007" i="3"/>
  <c r="M1007" i="3"/>
  <c r="L1007" i="3"/>
  <c r="N1007" i="3"/>
  <c r="K1007" i="3"/>
  <c r="AJ1006" i="3"/>
  <c r="AL1006" i="3"/>
  <c r="AI1006" i="3"/>
  <c r="X1006" i="3"/>
  <c r="Z1006" i="3"/>
  <c r="W1006" i="3"/>
  <c r="O1006" i="3"/>
  <c r="M1006" i="3"/>
  <c r="L1006" i="3"/>
  <c r="N1006" i="3"/>
  <c r="K1006" i="3"/>
  <c r="AJ1005" i="3"/>
  <c r="AL1005" i="3"/>
  <c r="AI1005" i="3"/>
  <c r="X1005" i="3"/>
  <c r="Z1005" i="3"/>
  <c r="W1005" i="3"/>
  <c r="O1005" i="3"/>
  <c r="M1005" i="3"/>
  <c r="L1005" i="3"/>
  <c r="N1005" i="3"/>
  <c r="K1005" i="3"/>
  <c r="AJ1004" i="3"/>
  <c r="AL1004" i="3"/>
  <c r="AI1004" i="3"/>
  <c r="X1004" i="3"/>
  <c r="Z1004" i="3"/>
  <c r="W1004" i="3"/>
  <c r="O1004" i="3"/>
  <c r="M1004" i="3"/>
  <c r="L1004" i="3"/>
  <c r="N1004" i="3"/>
  <c r="K1004" i="3"/>
  <c r="AJ1003" i="3"/>
  <c r="AL1003" i="3"/>
  <c r="AI1003" i="3"/>
  <c r="X1003" i="3"/>
  <c r="Z1003" i="3"/>
  <c r="W1003" i="3"/>
  <c r="O1003" i="3"/>
  <c r="M1003" i="3"/>
  <c r="L1003" i="3"/>
  <c r="N1003" i="3"/>
  <c r="K1003" i="3"/>
  <c r="AJ1002" i="3"/>
  <c r="AL1002" i="3"/>
  <c r="AI1002" i="3"/>
  <c r="X1002" i="3"/>
  <c r="Z1002" i="3"/>
  <c r="W1002" i="3"/>
  <c r="O1002" i="3"/>
  <c r="M1002" i="3"/>
  <c r="L1002" i="3"/>
  <c r="N1002" i="3"/>
  <c r="K1002" i="3"/>
  <c r="AJ1001" i="3"/>
  <c r="AL1001" i="3"/>
  <c r="AI1001" i="3"/>
  <c r="X1001" i="3"/>
  <c r="Z1001" i="3"/>
  <c r="W1001" i="3"/>
  <c r="O1001" i="3"/>
  <c r="M1001" i="3"/>
  <c r="L1001" i="3"/>
  <c r="N1001" i="3"/>
  <c r="K1001" i="3"/>
  <c r="AJ1000" i="3"/>
  <c r="AL1000" i="3"/>
  <c r="AI1000" i="3"/>
  <c r="X1000" i="3"/>
  <c r="Z1000" i="3"/>
  <c r="W1000" i="3"/>
  <c r="O1000" i="3"/>
  <c r="M1000" i="3"/>
  <c r="L1000" i="3"/>
  <c r="N1000" i="3"/>
  <c r="K1000" i="3"/>
  <c r="AJ999" i="3"/>
  <c r="AL999" i="3"/>
  <c r="AI999" i="3"/>
  <c r="X999" i="3"/>
  <c r="Z999" i="3"/>
  <c r="W999" i="3"/>
  <c r="O999" i="3"/>
  <c r="M999" i="3"/>
  <c r="L999" i="3"/>
  <c r="N999" i="3"/>
  <c r="K999" i="3"/>
  <c r="AJ998" i="3"/>
  <c r="AL998" i="3"/>
  <c r="AI998" i="3"/>
  <c r="X998" i="3"/>
  <c r="Z998" i="3"/>
  <c r="W998" i="3"/>
  <c r="O998" i="3"/>
  <c r="M998" i="3"/>
  <c r="L998" i="3"/>
  <c r="N998" i="3"/>
  <c r="K998" i="3"/>
  <c r="AJ997" i="3"/>
  <c r="AL997" i="3"/>
  <c r="AI997" i="3"/>
  <c r="X997" i="3"/>
  <c r="Z997" i="3"/>
  <c r="W997" i="3"/>
  <c r="O997" i="3"/>
  <c r="M997" i="3"/>
  <c r="L997" i="3"/>
  <c r="N997" i="3"/>
  <c r="K997" i="3"/>
  <c r="AJ996" i="3"/>
  <c r="AL996" i="3"/>
  <c r="AI996" i="3"/>
  <c r="X996" i="3"/>
  <c r="Z996" i="3"/>
  <c r="W996" i="3"/>
  <c r="O996" i="3"/>
  <c r="M996" i="3"/>
  <c r="L996" i="3"/>
  <c r="N996" i="3"/>
  <c r="K996" i="3"/>
  <c r="AJ995" i="3"/>
  <c r="AL995" i="3"/>
  <c r="AI995" i="3"/>
  <c r="X995" i="3"/>
  <c r="Z995" i="3"/>
  <c r="W995" i="3"/>
  <c r="O995" i="3"/>
  <c r="M995" i="3"/>
  <c r="L995" i="3"/>
  <c r="N995" i="3"/>
  <c r="K995" i="3"/>
  <c r="AJ994" i="3"/>
  <c r="AL994" i="3"/>
  <c r="AI994" i="3"/>
  <c r="X994" i="3"/>
  <c r="Z994" i="3"/>
  <c r="W994" i="3"/>
  <c r="O994" i="3"/>
  <c r="M994" i="3"/>
  <c r="L994" i="3"/>
  <c r="N994" i="3"/>
  <c r="K994" i="3"/>
  <c r="AJ993" i="3"/>
  <c r="AL993" i="3"/>
  <c r="AI993" i="3"/>
  <c r="X993" i="3"/>
  <c r="Z993" i="3"/>
  <c r="W993" i="3"/>
  <c r="O993" i="3"/>
  <c r="M993" i="3"/>
  <c r="L993" i="3"/>
  <c r="N993" i="3"/>
  <c r="K993" i="3"/>
  <c r="AJ992" i="3"/>
  <c r="AL992" i="3"/>
  <c r="AI992" i="3"/>
  <c r="X992" i="3"/>
  <c r="Z992" i="3"/>
  <c r="W992" i="3"/>
  <c r="O992" i="3"/>
  <c r="M992" i="3"/>
  <c r="L992" i="3"/>
  <c r="N992" i="3"/>
  <c r="K992" i="3"/>
  <c r="AJ991" i="3"/>
  <c r="AL991" i="3"/>
  <c r="AI991" i="3"/>
  <c r="X991" i="3"/>
  <c r="Z991" i="3"/>
  <c r="W991" i="3"/>
  <c r="O991" i="3"/>
  <c r="M991" i="3"/>
  <c r="L991" i="3"/>
  <c r="N991" i="3"/>
  <c r="K991" i="3"/>
  <c r="AJ990" i="3"/>
  <c r="AL990" i="3"/>
  <c r="AI990" i="3"/>
  <c r="X990" i="3"/>
  <c r="Z990" i="3"/>
  <c r="W990" i="3"/>
  <c r="O990" i="3"/>
  <c r="M990" i="3"/>
  <c r="L990" i="3"/>
  <c r="N990" i="3"/>
  <c r="K990" i="3"/>
  <c r="AJ989" i="3"/>
  <c r="AL989" i="3"/>
  <c r="AI989" i="3"/>
  <c r="X989" i="3"/>
  <c r="Z989" i="3"/>
  <c r="W989" i="3"/>
  <c r="O989" i="3"/>
  <c r="M989" i="3"/>
  <c r="L989" i="3"/>
  <c r="N989" i="3"/>
  <c r="K989" i="3"/>
  <c r="AJ988" i="3"/>
  <c r="AL988" i="3"/>
  <c r="AI988" i="3"/>
  <c r="X988" i="3"/>
  <c r="Z988" i="3"/>
  <c r="W988" i="3"/>
  <c r="O988" i="3"/>
  <c r="M988" i="3"/>
  <c r="L988" i="3"/>
  <c r="N988" i="3"/>
  <c r="K988" i="3"/>
  <c r="AJ987" i="3"/>
  <c r="AL987" i="3"/>
  <c r="AI987" i="3"/>
  <c r="X987" i="3"/>
  <c r="Z987" i="3"/>
  <c r="W987" i="3"/>
  <c r="O987" i="3"/>
  <c r="M987" i="3"/>
  <c r="L987" i="3"/>
  <c r="N987" i="3"/>
  <c r="K987" i="3"/>
  <c r="AJ986" i="3"/>
  <c r="AL986" i="3"/>
  <c r="AI986" i="3"/>
  <c r="X986" i="3"/>
  <c r="Z986" i="3"/>
  <c r="W986" i="3"/>
  <c r="O986" i="3"/>
  <c r="M986" i="3"/>
  <c r="L986" i="3"/>
  <c r="N986" i="3"/>
  <c r="K986" i="3"/>
  <c r="AJ985" i="3"/>
  <c r="AL985" i="3"/>
  <c r="AI985" i="3"/>
  <c r="X985" i="3"/>
  <c r="Z985" i="3"/>
  <c r="W985" i="3"/>
  <c r="O985" i="3"/>
  <c r="M985" i="3"/>
  <c r="L985" i="3"/>
  <c r="N985" i="3"/>
  <c r="K985" i="3"/>
  <c r="AJ984" i="3"/>
  <c r="AL984" i="3"/>
  <c r="AI984" i="3"/>
  <c r="X984" i="3"/>
  <c r="Z984" i="3"/>
  <c r="W984" i="3"/>
  <c r="O984" i="3"/>
  <c r="M984" i="3"/>
  <c r="L984" i="3"/>
  <c r="N984" i="3"/>
  <c r="K984" i="3"/>
  <c r="AJ983" i="3"/>
  <c r="AL983" i="3"/>
  <c r="AI983" i="3"/>
  <c r="X983" i="3"/>
  <c r="Z983" i="3"/>
  <c r="W983" i="3"/>
  <c r="O983" i="3"/>
  <c r="M983" i="3"/>
  <c r="L983" i="3"/>
  <c r="N983" i="3"/>
  <c r="K983" i="3"/>
  <c r="AJ982" i="3"/>
  <c r="AL982" i="3"/>
  <c r="AI982" i="3"/>
  <c r="X982" i="3"/>
  <c r="Z982" i="3"/>
  <c r="W982" i="3"/>
  <c r="O982" i="3"/>
  <c r="M982" i="3"/>
  <c r="L982" i="3"/>
  <c r="N982" i="3"/>
  <c r="K982" i="3"/>
  <c r="AJ981" i="3"/>
  <c r="AL981" i="3"/>
  <c r="AI981" i="3"/>
  <c r="X981" i="3"/>
  <c r="Z981" i="3"/>
  <c r="W981" i="3"/>
  <c r="O981" i="3"/>
  <c r="M981" i="3"/>
  <c r="L981" i="3"/>
  <c r="N981" i="3"/>
  <c r="K981" i="3"/>
  <c r="AJ980" i="3"/>
  <c r="AL980" i="3"/>
  <c r="AI980" i="3"/>
  <c r="X980" i="3"/>
  <c r="Z980" i="3"/>
  <c r="W980" i="3"/>
  <c r="O980" i="3"/>
  <c r="M980" i="3"/>
  <c r="L980" i="3"/>
  <c r="N980" i="3"/>
  <c r="K980" i="3"/>
  <c r="AJ979" i="3"/>
  <c r="AL979" i="3"/>
  <c r="AI979" i="3"/>
  <c r="X979" i="3"/>
  <c r="Z979" i="3"/>
  <c r="W979" i="3"/>
  <c r="O979" i="3"/>
  <c r="M979" i="3"/>
  <c r="L979" i="3"/>
  <c r="N979" i="3"/>
  <c r="K979" i="3"/>
  <c r="AJ978" i="3"/>
  <c r="AL978" i="3"/>
  <c r="AI978" i="3"/>
  <c r="X978" i="3"/>
  <c r="Z978" i="3"/>
  <c r="W978" i="3"/>
  <c r="O978" i="3"/>
  <c r="M978" i="3"/>
  <c r="L978" i="3"/>
  <c r="N978" i="3"/>
  <c r="K978" i="3"/>
  <c r="AJ977" i="3"/>
  <c r="AL977" i="3"/>
  <c r="AI977" i="3"/>
  <c r="X977" i="3"/>
  <c r="Z977" i="3"/>
  <c r="W977" i="3"/>
  <c r="O977" i="3"/>
  <c r="M977" i="3"/>
  <c r="L977" i="3"/>
  <c r="N977" i="3"/>
  <c r="K977" i="3"/>
  <c r="AJ976" i="3"/>
  <c r="AL976" i="3"/>
  <c r="AI976" i="3"/>
  <c r="X976" i="3"/>
  <c r="Z976" i="3"/>
  <c r="W976" i="3"/>
  <c r="O976" i="3"/>
  <c r="M976" i="3"/>
  <c r="L976" i="3"/>
  <c r="N976" i="3"/>
  <c r="K976" i="3"/>
  <c r="AJ975" i="3"/>
  <c r="AL975" i="3"/>
  <c r="AI975" i="3"/>
  <c r="X975" i="3"/>
  <c r="Z975" i="3"/>
  <c r="W975" i="3"/>
  <c r="O975" i="3"/>
  <c r="M975" i="3"/>
  <c r="L975" i="3"/>
  <c r="N975" i="3"/>
  <c r="K975" i="3"/>
  <c r="AJ974" i="3"/>
  <c r="AL974" i="3"/>
  <c r="AI974" i="3"/>
  <c r="X974" i="3"/>
  <c r="Z974" i="3"/>
  <c r="W974" i="3"/>
  <c r="O974" i="3"/>
  <c r="M974" i="3"/>
  <c r="L974" i="3"/>
  <c r="N974" i="3"/>
  <c r="K974" i="3"/>
  <c r="AJ973" i="3"/>
  <c r="AL973" i="3"/>
  <c r="AI973" i="3"/>
  <c r="X973" i="3"/>
  <c r="Z973" i="3"/>
  <c r="W973" i="3"/>
  <c r="O973" i="3"/>
  <c r="M973" i="3"/>
  <c r="L973" i="3"/>
  <c r="N973" i="3"/>
  <c r="K973" i="3"/>
  <c r="AJ972" i="3"/>
  <c r="AL972" i="3"/>
  <c r="AI972" i="3"/>
  <c r="X972" i="3"/>
  <c r="Z972" i="3"/>
  <c r="W972" i="3"/>
  <c r="O972" i="3"/>
  <c r="M972" i="3"/>
  <c r="L972" i="3"/>
  <c r="N972" i="3"/>
  <c r="K972" i="3"/>
  <c r="AJ971" i="3"/>
  <c r="AL971" i="3"/>
  <c r="AI971" i="3"/>
  <c r="X971" i="3"/>
  <c r="Z971" i="3"/>
  <c r="W971" i="3"/>
  <c r="O971" i="3"/>
  <c r="M971" i="3"/>
  <c r="L971" i="3"/>
  <c r="N971" i="3"/>
  <c r="K971" i="3"/>
  <c r="AJ970" i="3"/>
  <c r="AL970" i="3"/>
  <c r="AI970" i="3"/>
  <c r="X970" i="3"/>
  <c r="Z970" i="3"/>
  <c r="W970" i="3"/>
  <c r="O970" i="3"/>
  <c r="M970" i="3"/>
  <c r="L970" i="3"/>
  <c r="N970" i="3"/>
  <c r="K970" i="3"/>
  <c r="AJ969" i="3"/>
  <c r="AL969" i="3"/>
  <c r="AI969" i="3"/>
  <c r="X969" i="3"/>
  <c r="Z969" i="3"/>
  <c r="W969" i="3"/>
  <c r="O969" i="3"/>
  <c r="M969" i="3"/>
  <c r="L969" i="3"/>
  <c r="N969" i="3"/>
  <c r="K969" i="3"/>
  <c r="AJ968" i="3"/>
  <c r="AL968" i="3"/>
  <c r="AI968" i="3"/>
  <c r="X968" i="3"/>
  <c r="Z968" i="3"/>
  <c r="W968" i="3"/>
  <c r="O968" i="3"/>
  <c r="M968" i="3"/>
  <c r="L968" i="3"/>
  <c r="N968" i="3"/>
  <c r="K968" i="3"/>
  <c r="AJ967" i="3"/>
  <c r="AL967" i="3"/>
  <c r="AI967" i="3"/>
  <c r="X967" i="3"/>
  <c r="Z967" i="3"/>
  <c r="W967" i="3"/>
  <c r="O967" i="3"/>
  <c r="M967" i="3"/>
  <c r="L967" i="3"/>
  <c r="N967" i="3"/>
  <c r="K967" i="3"/>
  <c r="AJ966" i="3"/>
  <c r="AL966" i="3"/>
  <c r="AI966" i="3"/>
  <c r="X966" i="3"/>
  <c r="Z966" i="3"/>
  <c r="W966" i="3"/>
  <c r="O966" i="3"/>
  <c r="M966" i="3"/>
  <c r="L966" i="3"/>
  <c r="N966" i="3"/>
  <c r="K966" i="3"/>
  <c r="AJ965" i="3"/>
  <c r="AL965" i="3"/>
  <c r="AI965" i="3"/>
  <c r="X965" i="3"/>
  <c r="Z965" i="3"/>
  <c r="W965" i="3"/>
  <c r="O965" i="3"/>
  <c r="M965" i="3"/>
  <c r="L965" i="3"/>
  <c r="N965" i="3"/>
  <c r="K965" i="3"/>
  <c r="AJ964" i="3"/>
  <c r="AL964" i="3"/>
  <c r="AI964" i="3"/>
  <c r="X964" i="3"/>
  <c r="Z964" i="3"/>
  <c r="W964" i="3"/>
  <c r="O964" i="3"/>
  <c r="M964" i="3"/>
  <c r="L964" i="3"/>
  <c r="N964" i="3"/>
  <c r="K964" i="3"/>
  <c r="AJ963" i="3"/>
  <c r="AL963" i="3"/>
  <c r="AI963" i="3"/>
  <c r="X963" i="3"/>
  <c r="Z963" i="3"/>
  <c r="W963" i="3"/>
  <c r="O963" i="3"/>
  <c r="M963" i="3"/>
  <c r="L963" i="3"/>
  <c r="N963" i="3"/>
  <c r="K963" i="3"/>
  <c r="AJ962" i="3"/>
  <c r="AL962" i="3"/>
  <c r="AI962" i="3"/>
  <c r="X962" i="3"/>
  <c r="Z962" i="3"/>
  <c r="W962" i="3"/>
  <c r="O962" i="3"/>
  <c r="M962" i="3"/>
  <c r="L962" i="3"/>
  <c r="N962" i="3"/>
  <c r="K962" i="3"/>
  <c r="AJ961" i="3"/>
  <c r="AL961" i="3"/>
  <c r="AI961" i="3"/>
  <c r="X961" i="3"/>
  <c r="Z961" i="3"/>
  <c r="W961" i="3"/>
  <c r="O961" i="3"/>
  <c r="M961" i="3"/>
  <c r="L961" i="3"/>
  <c r="N961" i="3"/>
  <c r="K961" i="3"/>
  <c r="AJ960" i="3"/>
  <c r="AL960" i="3"/>
  <c r="AI960" i="3"/>
  <c r="X960" i="3"/>
  <c r="Z960" i="3"/>
  <c r="W960" i="3"/>
  <c r="O960" i="3"/>
  <c r="M960" i="3"/>
  <c r="L960" i="3"/>
  <c r="N960" i="3"/>
  <c r="K960" i="3"/>
  <c r="AJ959" i="3"/>
  <c r="AL959" i="3"/>
  <c r="AI959" i="3"/>
  <c r="X959" i="3"/>
  <c r="Z959" i="3"/>
  <c r="W959" i="3"/>
  <c r="O959" i="3"/>
  <c r="M959" i="3"/>
  <c r="L959" i="3"/>
  <c r="N959" i="3"/>
  <c r="K959" i="3"/>
  <c r="AJ958" i="3"/>
  <c r="AL958" i="3"/>
  <c r="AI958" i="3"/>
  <c r="X958" i="3"/>
  <c r="Z958" i="3"/>
  <c r="W958" i="3"/>
  <c r="O958" i="3"/>
  <c r="M958" i="3"/>
  <c r="L958" i="3"/>
  <c r="N958" i="3"/>
  <c r="K958" i="3"/>
  <c r="AJ957" i="3"/>
  <c r="AL957" i="3"/>
  <c r="AI957" i="3"/>
  <c r="X957" i="3"/>
  <c r="Z957" i="3"/>
  <c r="W957" i="3"/>
  <c r="O957" i="3"/>
  <c r="M957" i="3"/>
  <c r="L957" i="3"/>
  <c r="N957" i="3"/>
  <c r="K957" i="3"/>
  <c r="AJ956" i="3"/>
  <c r="AL956" i="3"/>
  <c r="AI956" i="3"/>
  <c r="X956" i="3"/>
  <c r="Z956" i="3"/>
  <c r="W956" i="3"/>
  <c r="O956" i="3"/>
  <c r="M956" i="3"/>
  <c r="L956" i="3"/>
  <c r="N956" i="3"/>
  <c r="K956" i="3"/>
  <c r="AJ955" i="3"/>
  <c r="AL955" i="3"/>
  <c r="AI955" i="3"/>
  <c r="X955" i="3"/>
  <c r="Z955" i="3"/>
  <c r="W955" i="3"/>
  <c r="O955" i="3"/>
  <c r="M955" i="3"/>
  <c r="L955" i="3"/>
  <c r="N955" i="3"/>
  <c r="K955" i="3"/>
  <c r="AJ954" i="3"/>
  <c r="AL954" i="3"/>
  <c r="AI954" i="3"/>
  <c r="X954" i="3"/>
  <c r="Z954" i="3"/>
  <c r="W954" i="3"/>
  <c r="O954" i="3"/>
  <c r="M954" i="3"/>
  <c r="L954" i="3"/>
  <c r="N954" i="3"/>
  <c r="K954" i="3"/>
  <c r="AJ953" i="3"/>
  <c r="AL953" i="3"/>
  <c r="AI953" i="3"/>
  <c r="X953" i="3"/>
  <c r="Z953" i="3"/>
  <c r="W953" i="3"/>
  <c r="O953" i="3"/>
  <c r="M953" i="3"/>
  <c r="L953" i="3"/>
  <c r="N953" i="3"/>
  <c r="K953" i="3"/>
  <c r="AJ952" i="3"/>
  <c r="AL952" i="3"/>
  <c r="AI952" i="3"/>
  <c r="X952" i="3"/>
  <c r="Z952" i="3"/>
  <c r="W952" i="3"/>
  <c r="O952" i="3"/>
  <c r="M952" i="3"/>
  <c r="L952" i="3"/>
  <c r="N952" i="3"/>
  <c r="K952" i="3"/>
  <c r="AJ951" i="3"/>
  <c r="AL951" i="3"/>
  <c r="AI951" i="3"/>
  <c r="X951" i="3"/>
  <c r="Z951" i="3"/>
  <c r="W951" i="3"/>
  <c r="O951" i="3"/>
  <c r="M951" i="3"/>
  <c r="L951" i="3"/>
  <c r="N951" i="3"/>
  <c r="K951" i="3"/>
  <c r="AJ950" i="3"/>
  <c r="AL950" i="3"/>
  <c r="AI950" i="3"/>
  <c r="X950" i="3"/>
  <c r="Z950" i="3"/>
  <c r="W950" i="3"/>
  <c r="O950" i="3"/>
  <c r="M950" i="3"/>
  <c r="L950" i="3"/>
  <c r="N950" i="3"/>
  <c r="K950" i="3"/>
  <c r="AJ949" i="3"/>
  <c r="AL949" i="3"/>
  <c r="AI949" i="3"/>
  <c r="X949" i="3"/>
  <c r="Z949" i="3"/>
  <c r="W949" i="3"/>
  <c r="O949" i="3"/>
  <c r="M949" i="3"/>
  <c r="L949" i="3"/>
  <c r="N949" i="3"/>
  <c r="K949" i="3"/>
  <c r="AJ948" i="3"/>
  <c r="AL948" i="3"/>
  <c r="AI948" i="3"/>
  <c r="X948" i="3"/>
  <c r="Z948" i="3"/>
  <c r="W948" i="3"/>
  <c r="O948" i="3"/>
  <c r="M948" i="3"/>
  <c r="L948" i="3"/>
  <c r="N948" i="3"/>
  <c r="K948" i="3"/>
  <c r="AJ947" i="3"/>
  <c r="AL947" i="3"/>
  <c r="AI947" i="3"/>
  <c r="X947" i="3"/>
  <c r="Z947" i="3"/>
  <c r="W947" i="3"/>
  <c r="O947" i="3"/>
  <c r="M947" i="3"/>
  <c r="L947" i="3"/>
  <c r="N947" i="3"/>
  <c r="K947" i="3"/>
  <c r="AJ946" i="3"/>
  <c r="AL946" i="3"/>
  <c r="AI946" i="3"/>
  <c r="X946" i="3"/>
  <c r="Z946" i="3"/>
  <c r="W946" i="3"/>
  <c r="O946" i="3"/>
  <c r="M946" i="3"/>
  <c r="L946" i="3"/>
  <c r="N946" i="3"/>
  <c r="K946" i="3"/>
  <c r="AJ945" i="3"/>
  <c r="AL945" i="3"/>
  <c r="AI945" i="3"/>
  <c r="X945" i="3"/>
  <c r="Z945" i="3"/>
  <c r="W945" i="3"/>
  <c r="O945" i="3"/>
  <c r="M945" i="3"/>
  <c r="L945" i="3"/>
  <c r="N945" i="3"/>
  <c r="K945" i="3"/>
  <c r="AJ944" i="3"/>
  <c r="AL944" i="3"/>
  <c r="AI944" i="3"/>
  <c r="X944" i="3"/>
  <c r="Z944" i="3"/>
  <c r="W944" i="3"/>
  <c r="O944" i="3"/>
  <c r="M944" i="3"/>
  <c r="L944" i="3"/>
  <c r="N944" i="3"/>
  <c r="K944" i="3"/>
  <c r="AJ943" i="3"/>
  <c r="AL943" i="3"/>
  <c r="AI943" i="3"/>
  <c r="X943" i="3"/>
  <c r="Z943" i="3"/>
  <c r="W943" i="3"/>
  <c r="O943" i="3"/>
  <c r="M943" i="3"/>
  <c r="L943" i="3"/>
  <c r="N943" i="3"/>
  <c r="K943" i="3"/>
  <c r="AJ942" i="3"/>
  <c r="AL942" i="3"/>
  <c r="AI942" i="3"/>
  <c r="X942" i="3"/>
  <c r="Z942" i="3"/>
  <c r="W942" i="3"/>
  <c r="O942" i="3"/>
  <c r="M942" i="3"/>
  <c r="L942" i="3"/>
  <c r="N942" i="3"/>
  <c r="K942" i="3"/>
  <c r="AJ941" i="3"/>
  <c r="AL941" i="3"/>
  <c r="AI941" i="3"/>
  <c r="X941" i="3"/>
  <c r="Z941" i="3"/>
  <c r="W941" i="3"/>
  <c r="O941" i="3"/>
  <c r="M941" i="3"/>
  <c r="L941" i="3"/>
  <c r="N941" i="3"/>
  <c r="K941" i="3"/>
  <c r="AJ940" i="3"/>
  <c r="AL940" i="3"/>
  <c r="AI940" i="3"/>
  <c r="X940" i="3"/>
  <c r="Z940" i="3"/>
  <c r="W940" i="3"/>
  <c r="O940" i="3"/>
  <c r="M940" i="3"/>
  <c r="L940" i="3"/>
  <c r="N940" i="3"/>
  <c r="K940" i="3"/>
  <c r="AJ939" i="3"/>
  <c r="AL939" i="3"/>
  <c r="AI939" i="3"/>
  <c r="X939" i="3"/>
  <c r="Z939" i="3"/>
  <c r="W939" i="3"/>
  <c r="O939" i="3"/>
  <c r="M939" i="3"/>
  <c r="L939" i="3"/>
  <c r="N939" i="3"/>
  <c r="K939" i="3"/>
  <c r="AJ938" i="3"/>
  <c r="AL938" i="3"/>
  <c r="AI938" i="3"/>
  <c r="X938" i="3"/>
  <c r="Z938" i="3"/>
  <c r="W938" i="3"/>
  <c r="O938" i="3"/>
  <c r="M938" i="3"/>
  <c r="L938" i="3"/>
  <c r="N938" i="3"/>
  <c r="K938" i="3"/>
  <c r="AJ937" i="3"/>
  <c r="AL937" i="3"/>
  <c r="AI937" i="3"/>
  <c r="X937" i="3"/>
  <c r="Z937" i="3"/>
  <c r="W937" i="3"/>
  <c r="O937" i="3"/>
  <c r="M937" i="3"/>
  <c r="L937" i="3"/>
  <c r="N937" i="3"/>
  <c r="K937" i="3"/>
  <c r="AJ936" i="3"/>
  <c r="AL936" i="3"/>
  <c r="AI936" i="3"/>
  <c r="X936" i="3"/>
  <c r="Z936" i="3"/>
  <c r="W936" i="3"/>
  <c r="O936" i="3"/>
  <c r="M936" i="3"/>
  <c r="L936" i="3"/>
  <c r="N936" i="3"/>
  <c r="K936" i="3"/>
  <c r="AJ935" i="3"/>
  <c r="AL935" i="3"/>
  <c r="AI935" i="3"/>
  <c r="X935" i="3"/>
  <c r="Z935" i="3"/>
  <c r="W935" i="3"/>
  <c r="O935" i="3"/>
  <c r="M935" i="3"/>
  <c r="L935" i="3"/>
  <c r="N935" i="3"/>
  <c r="K935" i="3"/>
  <c r="AJ934" i="3"/>
  <c r="AL934" i="3"/>
  <c r="AI934" i="3"/>
  <c r="X934" i="3"/>
  <c r="Z934" i="3"/>
  <c r="W934" i="3"/>
  <c r="O934" i="3"/>
  <c r="M934" i="3"/>
  <c r="L934" i="3"/>
  <c r="N934" i="3"/>
  <c r="K934" i="3"/>
  <c r="AJ933" i="3"/>
  <c r="AL933" i="3"/>
  <c r="AI933" i="3"/>
  <c r="X933" i="3"/>
  <c r="Z933" i="3"/>
  <c r="W933" i="3"/>
  <c r="O933" i="3"/>
  <c r="M933" i="3"/>
  <c r="L933" i="3"/>
  <c r="N933" i="3"/>
  <c r="K933" i="3"/>
  <c r="AJ932" i="3"/>
  <c r="AL932" i="3"/>
  <c r="AI932" i="3"/>
  <c r="X932" i="3"/>
  <c r="Z932" i="3"/>
  <c r="W932" i="3"/>
  <c r="O932" i="3"/>
  <c r="M932" i="3"/>
  <c r="L932" i="3"/>
  <c r="N932" i="3"/>
  <c r="K932" i="3"/>
  <c r="AJ931" i="3"/>
  <c r="AL931" i="3"/>
  <c r="AI931" i="3"/>
  <c r="X931" i="3"/>
  <c r="Z931" i="3"/>
  <c r="W931" i="3"/>
  <c r="O931" i="3"/>
  <c r="M931" i="3"/>
  <c r="L931" i="3"/>
  <c r="N931" i="3"/>
  <c r="K931" i="3"/>
  <c r="AJ930" i="3"/>
  <c r="AL930" i="3"/>
  <c r="AI930" i="3"/>
  <c r="X930" i="3"/>
  <c r="Z930" i="3"/>
  <c r="W930" i="3"/>
  <c r="O930" i="3"/>
  <c r="M930" i="3"/>
  <c r="L930" i="3"/>
  <c r="N930" i="3"/>
  <c r="K930" i="3"/>
  <c r="AJ929" i="3"/>
  <c r="AL929" i="3"/>
  <c r="AI929" i="3"/>
  <c r="X929" i="3"/>
  <c r="Z929" i="3"/>
  <c r="W929" i="3"/>
  <c r="O929" i="3"/>
  <c r="M929" i="3"/>
  <c r="L929" i="3"/>
  <c r="N929" i="3"/>
  <c r="K929" i="3"/>
  <c r="AJ928" i="3"/>
  <c r="AL928" i="3"/>
  <c r="AI928" i="3"/>
  <c r="X928" i="3"/>
  <c r="Z928" i="3"/>
  <c r="W928" i="3"/>
  <c r="O928" i="3"/>
  <c r="M928" i="3"/>
  <c r="L928" i="3"/>
  <c r="N928" i="3"/>
  <c r="K928" i="3"/>
  <c r="AJ927" i="3"/>
  <c r="AL927" i="3"/>
  <c r="AI927" i="3"/>
  <c r="X927" i="3"/>
  <c r="Z927" i="3"/>
  <c r="W927" i="3"/>
  <c r="O927" i="3"/>
  <c r="M927" i="3"/>
  <c r="L927" i="3"/>
  <c r="N927" i="3"/>
  <c r="K927" i="3"/>
  <c r="AJ926" i="3"/>
  <c r="AL926" i="3"/>
  <c r="AI926" i="3"/>
  <c r="X926" i="3"/>
  <c r="Z926" i="3"/>
  <c r="W926" i="3"/>
  <c r="O926" i="3"/>
  <c r="M926" i="3"/>
  <c r="L926" i="3"/>
  <c r="N926" i="3"/>
  <c r="K926" i="3"/>
  <c r="AJ925" i="3"/>
  <c r="AL925" i="3"/>
  <c r="AI925" i="3"/>
  <c r="X925" i="3"/>
  <c r="Z925" i="3"/>
  <c r="W925" i="3"/>
  <c r="O925" i="3"/>
  <c r="M925" i="3"/>
  <c r="L925" i="3"/>
  <c r="N925" i="3"/>
  <c r="K925" i="3"/>
  <c r="AJ924" i="3"/>
  <c r="AL924" i="3"/>
  <c r="AI924" i="3"/>
  <c r="X924" i="3"/>
  <c r="Z924" i="3"/>
  <c r="W924" i="3"/>
  <c r="O924" i="3"/>
  <c r="M924" i="3"/>
  <c r="L924" i="3"/>
  <c r="N924" i="3"/>
  <c r="K924" i="3"/>
  <c r="AJ923" i="3"/>
  <c r="AL923" i="3"/>
  <c r="AI923" i="3"/>
  <c r="X923" i="3"/>
  <c r="Z923" i="3"/>
  <c r="W923" i="3"/>
  <c r="O923" i="3"/>
  <c r="M923" i="3"/>
  <c r="L923" i="3"/>
  <c r="N923" i="3"/>
  <c r="K923" i="3"/>
  <c r="AJ922" i="3"/>
  <c r="AL922" i="3"/>
  <c r="AI922" i="3"/>
  <c r="X922" i="3"/>
  <c r="Z922" i="3"/>
  <c r="W922" i="3"/>
  <c r="O922" i="3"/>
  <c r="M922" i="3"/>
  <c r="L922" i="3"/>
  <c r="N922" i="3"/>
  <c r="K922" i="3"/>
  <c r="AJ921" i="3"/>
  <c r="AL921" i="3"/>
  <c r="AI921" i="3"/>
  <c r="X921" i="3"/>
  <c r="Z921" i="3"/>
  <c r="W921" i="3"/>
  <c r="O921" i="3"/>
  <c r="M921" i="3"/>
  <c r="L921" i="3"/>
  <c r="N921" i="3"/>
  <c r="K921" i="3"/>
  <c r="AJ920" i="3"/>
  <c r="AL920" i="3"/>
  <c r="AI920" i="3"/>
  <c r="X920" i="3"/>
  <c r="Z920" i="3"/>
  <c r="W920" i="3"/>
  <c r="O920" i="3"/>
  <c r="M920" i="3"/>
  <c r="L920" i="3"/>
  <c r="N920" i="3"/>
  <c r="K920" i="3"/>
  <c r="AJ919" i="3"/>
  <c r="AL919" i="3"/>
  <c r="AI919" i="3"/>
  <c r="X919" i="3"/>
  <c r="Z919" i="3"/>
  <c r="W919" i="3"/>
  <c r="O919" i="3"/>
  <c r="M919" i="3"/>
  <c r="L919" i="3"/>
  <c r="N919" i="3"/>
  <c r="K919" i="3"/>
  <c r="AJ918" i="3"/>
  <c r="AL918" i="3"/>
  <c r="AI918" i="3"/>
  <c r="X918" i="3"/>
  <c r="Z918" i="3"/>
  <c r="W918" i="3"/>
  <c r="O918" i="3"/>
  <c r="M918" i="3"/>
  <c r="L918" i="3"/>
  <c r="N918" i="3"/>
  <c r="K918" i="3"/>
  <c r="AJ917" i="3"/>
  <c r="AL917" i="3"/>
  <c r="AI917" i="3"/>
  <c r="X917" i="3"/>
  <c r="Z917" i="3"/>
  <c r="W917" i="3"/>
  <c r="O917" i="3"/>
  <c r="M917" i="3"/>
  <c r="L917" i="3"/>
  <c r="N917" i="3"/>
  <c r="K917" i="3"/>
  <c r="AJ916" i="3"/>
  <c r="AL916" i="3"/>
  <c r="AI916" i="3"/>
  <c r="X916" i="3"/>
  <c r="Z916" i="3"/>
  <c r="W916" i="3"/>
  <c r="O916" i="3"/>
  <c r="M916" i="3"/>
  <c r="L916" i="3"/>
  <c r="N916" i="3"/>
  <c r="K916" i="3"/>
  <c r="AJ915" i="3"/>
  <c r="AL915" i="3"/>
  <c r="AI915" i="3"/>
  <c r="X915" i="3"/>
  <c r="Z915" i="3"/>
  <c r="W915" i="3"/>
  <c r="O915" i="3"/>
  <c r="M915" i="3"/>
  <c r="L915" i="3"/>
  <c r="N915" i="3"/>
  <c r="K915" i="3"/>
  <c r="AJ914" i="3"/>
  <c r="AL914" i="3"/>
  <c r="AI914" i="3"/>
  <c r="X914" i="3"/>
  <c r="Z914" i="3"/>
  <c r="W914" i="3"/>
  <c r="O914" i="3"/>
  <c r="M914" i="3"/>
  <c r="L914" i="3"/>
  <c r="N914" i="3"/>
  <c r="K914" i="3"/>
  <c r="AJ913" i="3"/>
  <c r="AL913" i="3"/>
  <c r="AI913" i="3"/>
  <c r="X913" i="3"/>
  <c r="Z913" i="3"/>
  <c r="W913" i="3"/>
  <c r="O913" i="3"/>
  <c r="M913" i="3"/>
  <c r="L913" i="3"/>
  <c r="N913" i="3"/>
  <c r="K913" i="3"/>
  <c r="AJ912" i="3"/>
  <c r="AL912" i="3"/>
  <c r="AI912" i="3"/>
  <c r="X912" i="3"/>
  <c r="Z912" i="3"/>
  <c r="W912" i="3"/>
  <c r="O912" i="3"/>
  <c r="M912" i="3"/>
  <c r="L912" i="3"/>
  <c r="N912" i="3"/>
  <c r="K912" i="3"/>
  <c r="AJ911" i="3"/>
  <c r="AL911" i="3"/>
  <c r="AI911" i="3"/>
  <c r="X911" i="3"/>
  <c r="Z911" i="3"/>
  <c r="W911" i="3"/>
  <c r="O911" i="3"/>
  <c r="M911" i="3"/>
  <c r="L911" i="3"/>
  <c r="N911" i="3"/>
  <c r="K911" i="3"/>
  <c r="AJ910" i="3"/>
  <c r="AL910" i="3"/>
  <c r="AI910" i="3"/>
  <c r="X910" i="3"/>
  <c r="Z910" i="3"/>
  <c r="W910" i="3"/>
  <c r="O910" i="3"/>
  <c r="M910" i="3"/>
  <c r="L910" i="3"/>
  <c r="N910" i="3"/>
  <c r="K910" i="3"/>
  <c r="AJ909" i="3"/>
  <c r="AL909" i="3"/>
  <c r="AI909" i="3"/>
  <c r="X909" i="3"/>
  <c r="Z909" i="3"/>
  <c r="W909" i="3"/>
  <c r="O909" i="3"/>
  <c r="M909" i="3"/>
  <c r="L909" i="3"/>
  <c r="N909" i="3"/>
  <c r="K909" i="3"/>
  <c r="AJ908" i="3"/>
  <c r="AL908" i="3"/>
  <c r="AI908" i="3"/>
  <c r="X908" i="3"/>
  <c r="Z908" i="3"/>
  <c r="W908" i="3"/>
  <c r="O908" i="3"/>
  <c r="M908" i="3"/>
  <c r="L908" i="3"/>
  <c r="N908" i="3"/>
  <c r="K908" i="3"/>
  <c r="AJ907" i="3"/>
  <c r="AL907" i="3"/>
  <c r="AI907" i="3"/>
  <c r="X907" i="3"/>
  <c r="Z907" i="3"/>
  <c r="W907" i="3"/>
  <c r="O907" i="3"/>
  <c r="M907" i="3"/>
  <c r="L907" i="3"/>
  <c r="N907" i="3"/>
  <c r="K907" i="3"/>
  <c r="AJ906" i="3"/>
  <c r="AL906" i="3"/>
  <c r="AI906" i="3"/>
  <c r="X906" i="3"/>
  <c r="Z906" i="3"/>
  <c r="W906" i="3"/>
  <c r="O906" i="3"/>
  <c r="M906" i="3"/>
  <c r="L906" i="3"/>
  <c r="N906" i="3"/>
  <c r="K906" i="3"/>
  <c r="AJ905" i="3"/>
  <c r="AL905" i="3"/>
  <c r="AI905" i="3"/>
  <c r="X905" i="3"/>
  <c r="Z905" i="3"/>
  <c r="W905" i="3"/>
  <c r="O905" i="3"/>
  <c r="M905" i="3"/>
  <c r="L905" i="3"/>
  <c r="N905" i="3"/>
  <c r="K905" i="3"/>
  <c r="AJ904" i="3"/>
  <c r="AL904" i="3"/>
  <c r="AI904" i="3"/>
  <c r="X904" i="3"/>
  <c r="Z904" i="3"/>
  <c r="W904" i="3"/>
  <c r="O904" i="3"/>
  <c r="M904" i="3"/>
  <c r="L904" i="3"/>
  <c r="N904" i="3"/>
  <c r="K904" i="3"/>
  <c r="AJ903" i="3"/>
  <c r="AL903" i="3"/>
  <c r="AI903" i="3"/>
  <c r="X903" i="3"/>
  <c r="Z903" i="3"/>
  <c r="W903" i="3"/>
  <c r="O903" i="3"/>
  <c r="M903" i="3"/>
  <c r="L903" i="3"/>
  <c r="N903" i="3"/>
  <c r="K903" i="3"/>
  <c r="AJ902" i="3"/>
  <c r="AL902" i="3"/>
  <c r="AI902" i="3"/>
  <c r="X902" i="3"/>
  <c r="Z902" i="3"/>
  <c r="W902" i="3"/>
  <c r="O902" i="3"/>
  <c r="M902" i="3"/>
  <c r="L902" i="3"/>
  <c r="N902" i="3"/>
  <c r="K902" i="3"/>
  <c r="AJ901" i="3"/>
  <c r="AL901" i="3"/>
  <c r="AI901" i="3"/>
  <c r="X901" i="3"/>
  <c r="Z901" i="3"/>
  <c r="W901" i="3"/>
  <c r="O901" i="3"/>
  <c r="M901" i="3"/>
  <c r="L901" i="3"/>
  <c r="N901" i="3"/>
  <c r="K901" i="3"/>
  <c r="AJ900" i="3"/>
  <c r="AL900" i="3"/>
  <c r="AI900" i="3"/>
  <c r="X900" i="3"/>
  <c r="Z900" i="3"/>
  <c r="W900" i="3"/>
  <c r="O900" i="3"/>
  <c r="M900" i="3"/>
  <c r="L900" i="3"/>
  <c r="N900" i="3"/>
  <c r="K900" i="3"/>
  <c r="AJ899" i="3"/>
  <c r="AL899" i="3"/>
  <c r="AI899" i="3"/>
  <c r="X899" i="3"/>
  <c r="Z899" i="3"/>
  <c r="W899" i="3"/>
  <c r="O899" i="3"/>
  <c r="M899" i="3"/>
  <c r="L899" i="3"/>
  <c r="N899" i="3"/>
  <c r="K899" i="3"/>
  <c r="AJ898" i="3"/>
  <c r="AL898" i="3"/>
  <c r="AI898" i="3"/>
  <c r="X898" i="3"/>
  <c r="Z898" i="3"/>
  <c r="W898" i="3"/>
  <c r="O898" i="3"/>
  <c r="M898" i="3"/>
  <c r="L898" i="3"/>
  <c r="N898" i="3"/>
  <c r="K898" i="3"/>
  <c r="AJ897" i="3"/>
  <c r="AL897" i="3"/>
  <c r="AI897" i="3"/>
  <c r="X897" i="3"/>
  <c r="Z897" i="3"/>
  <c r="W897" i="3"/>
  <c r="O897" i="3"/>
  <c r="M897" i="3"/>
  <c r="L897" i="3"/>
  <c r="N897" i="3"/>
  <c r="K897" i="3"/>
  <c r="AJ896" i="3"/>
  <c r="AL896" i="3"/>
  <c r="AI896" i="3"/>
  <c r="X896" i="3"/>
  <c r="Z896" i="3"/>
  <c r="W896" i="3"/>
  <c r="O896" i="3"/>
  <c r="M896" i="3"/>
  <c r="L896" i="3"/>
  <c r="N896" i="3"/>
  <c r="K896" i="3"/>
  <c r="AJ895" i="3"/>
  <c r="AL895" i="3"/>
  <c r="AI895" i="3"/>
  <c r="X895" i="3"/>
  <c r="Z895" i="3"/>
  <c r="W895" i="3"/>
  <c r="O895" i="3"/>
  <c r="M895" i="3"/>
  <c r="L895" i="3"/>
  <c r="N895" i="3"/>
  <c r="K895" i="3"/>
  <c r="AJ894" i="3"/>
  <c r="AL894" i="3"/>
  <c r="AI894" i="3"/>
  <c r="X894" i="3"/>
  <c r="Z894" i="3"/>
  <c r="W894" i="3"/>
  <c r="O894" i="3"/>
  <c r="M894" i="3"/>
  <c r="L894" i="3"/>
  <c r="N894" i="3"/>
  <c r="K894" i="3"/>
  <c r="AJ893" i="3"/>
  <c r="AL893" i="3"/>
  <c r="AI893" i="3"/>
  <c r="X893" i="3"/>
  <c r="Z893" i="3"/>
  <c r="W893" i="3"/>
  <c r="O893" i="3"/>
  <c r="M893" i="3"/>
  <c r="L893" i="3"/>
  <c r="N893" i="3"/>
  <c r="K893" i="3"/>
  <c r="AJ892" i="3"/>
  <c r="AL892" i="3"/>
  <c r="AI892" i="3"/>
  <c r="X892" i="3"/>
  <c r="Z892" i="3"/>
  <c r="W892" i="3"/>
  <c r="O892" i="3"/>
  <c r="M892" i="3"/>
  <c r="L892" i="3"/>
  <c r="N892" i="3"/>
  <c r="K892" i="3"/>
  <c r="AJ891" i="3"/>
  <c r="AL891" i="3"/>
  <c r="AI891" i="3"/>
  <c r="X891" i="3"/>
  <c r="Z891" i="3"/>
  <c r="W891" i="3"/>
  <c r="O891" i="3"/>
  <c r="M891" i="3"/>
  <c r="L891" i="3"/>
  <c r="N891" i="3"/>
  <c r="K891" i="3"/>
  <c r="AJ890" i="3"/>
  <c r="AL890" i="3"/>
  <c r="AI890" i="3"/>
  <c r="X890" i="3"/>
  <c r="Z890" i="3"/>
  <c r="W890" i="3"/>
  <c r="O890" i="3"/>
  <c r="M890" i="3"/>
  <c r="L890" i="3"/>
  <c r="N890" i="3"/>
  <c r="K890" i="3"/>
  <c r="AJ889" i="3"/>
  <c r="AL889" i="3"/>
  <c r="AI889" i="3"/>
  <c r="X889" i="3"/>
  <c r="Z889" i="3"/>
  <c r="W889" i="3"/>
  <c r="O889" i="3"/>
  <c r="M889" i="3"/>
  <c r="L889" i="3"/>
  <c r="N889" i="3"/>
  <c r="K889" i="3"/>
  <c r="AJ888" i="3"/>
  <c r="AL888" i="3"/>
  <c r="AI888" i="3"/>
  <c r="X888" i="3"/>
  <c r="Z888" i="3"/>
  <c r="W888" i="3"/>
  <c r="O888" i="3"/>
  <c r="M888" i="3"/>
  <c r="L888" i="3"/>
  <c r="N888" i="3"/>
  <c r="K888" i="3"/>
  <c r="AJ887" i="3"/>
  <c r="AL887" i="3"/>
  <c r="AI887" i="3"/>
  <c r="X887" i="3"/>
  <c r="Z887" i="3"/>
  <c r="W887" i="3"/>
  <c r="O887" i="3"/>
  <c r="M887" i="3"/>
  <c r="L887" i="3"/>
  <c r="N887" i="3"/>
  <c r="K887" i="3"/>
  <c r="AJ886" i="3"/>
  <c r="AL886" i="3"/>
  <c r="AI886" i="3"/>
  <c r="X886" i="3"/>
  <c r="Z886" i="3"/>
  <c r="W886" i="3"/>
  <c r="O886" i="3"/>
  <c r="M886" i="3"/>
  <c r="L886" i="3"/>
  <c r="N886" i="3"/>
  <c r="K886" i="3"/>
  <c r="AJ885" i="3"/>
  <c r="AL885" i="3"/>
  <c r="AI885" i="3"/>
  <c r="X885" i="3"/>
  <c r="Z885" i="3"/>
  <c r="W885" i="3"/>
  <c r="O885" i="3"/>
  <c r="M885" i="3"/>
  <c r="L885" i="3"/>
  <c r="N885" i="3"/>
  <c r="K885" i="3"/>
  <c r="AJ884" i="3"/>
  <c r="AL884" i="3"/>
  <c r="AI884" i="3"/>
  <c r="X884" i="3"/>
  <c r="Z884" i="3"/>
  <c r="W884" i="3"/>
  <c r="O884" i="3"/>
  <c r="M884" i="3"/>
  <c r="L884" i="3"/>
  <c r="N884" i="3"/>
  <c r="K884" i="3"/>
  <c r="AJ883" i="3"/>
  <c r="AL883" i="3"/>
  <c r="AI883" i="3"/>
  <c r="X883" i="3"/>
  <c r="Z883" i="3"/>
  <c r="W883" i="3"/>
  <c r="O883" i="3"/>
  <c r="M883" i="3"/>
  <c r="L883" i="3"/>
  <c r="N883" i="3"/>
  <c r="K883" i="3"/>
  <c r="AJ882" i="3"/>
  <c r="AL882" i="3"/>
  <c r="AI882" i="3"/>
  <c r="X882" i="3"/>
  <c r="Z882" i="3"/>
  <c r="W882" i="3"/>
  <c r="O882" i="3"/>
  <c r="M882" i="3"/>
  <c r="L882" i="3"/>
  <c r="N882" i="3"/>
  <c r="K882" i="3"/>
  <c r="AJ881" i="3"/>
  <c r="AL881" i="3"/>
  <c r="AI881" i="3"/>
  <c r="X881" i="3"/>
  <c r="Z881" i="3"/>
  <c r="W881" i="3"/>
  <c r="O881" i="3"/>
  <c r="M881" i="3"/>
  <c r="L881" i="3"/>
  <c r="N881" i="3"/>
  <c r="K881" i="3"/>
  <c r="AJ880" i="3"/>
  <c r="AL880" i="3"/>
  <c r="AI880" i="3"/>
  <c r="X880" i="3"/>
  <c r="Z880" i="3"/>
  <c r="W880" i="3"/>
  <c r="O880" i="3"/>
  <c r="M880" i="3"/>
  <c r="L880" i="3"/>
  <c r="N880" i="3"/>
  <c r="K880" i="3"/>
  <c r="AJ879" i="3"/>
  <c r="AL879" i="3"/>
  <c r="AI879" i="3"/>
  <c r="X879" i="3"/>
  <c r="Z879" i="3"/>
  <c r="W879" i="3"/>
  <c r="O879" i="3"/>
  <c r="M879" i="3"/>
  <c r="L879" i="3"/>
  <c r="N879" i="3"/>
  <c r="K879" i="3"/>
  <c r="AJ878" i="3"/>
  <c r="AL878" i="3"/>
  <c r="AI878" i="3"/>
  <c r="X878" i="3"/>
  <c r="Z878" i="3"/>
  <c r="W878" i="3"/>
  <c r="O878" i="3"/>
  <c r="M878" i="3"/>
  <c r="L878" i="3"/>
  <c r="N878" i="3"/>
  <c r="K878" i="3"/>
  <c r="AJ877" i="3"/>
  <c r="AL877" i="3"/>
  <c r="AI877" i="3"/>
  <c r="X877" i="3"/>
  <c r="Z877" i="3"/>
  <c r="W877" i="3"/>
  <c r="O877" i="3"/>
  <c r="M877" i="3"/>
  <c r="L877" i="3"/>
  <c r="N877" i="3"/>
  <c r="K877" i="3"/>
  <c r="AJ876" i="3"/>
  <c r="AL876" i="3"/>
  <c r="AI876" i="3"/>
  <c r="X876" i="3"/>
  <c r="Z876" i="3"/>
  <c r="W876" i="3"/>
  <c r="O876" i="3"/>
  <c r="M876" i="3"/>
  <c r="L876" i="3"/>
  <c r="N876" i="3"/>
  <c r="K876" i="3"/>
  <c r="AJ875" i="3"/>
  <c r="AL875" i="3"/>
  <c r="AI875" i="3"/>
  <c r="X875" i="3"/>
  <c r="Z875" i="3"/>
  <c r="W875" i="3"/>
  <c r="O875" i="3"/>
  <c r="M875" i="3"/>
  <c r="L875" i="3"/>
  <c r="N875" i="3"/>
  <c r="K875" i="3"/>
  <c r="AJ874" i="3"/>
  <c r="AL874" i="3"/>
  <c r="AI874" i="3"/>
  <c r="X874" i="3"/>
  <c r="Z874" i="3"/>
  <c r="W874" i="3"/>
  <c r="O874" i="3"/>
  <c r="M874" i="3"/>
  <c r="L874" i="3"/>
  <c r="N874" i="3"/>
  <c r="K874" i="3"/>
  <c r="AJ873" i="3"/>
  <c r="AL873" i="3"/>
  <c r="AI873" i="3"/>
  <c r="X873" i="3"/>
  <c r="Z873" i="3"/>
  <c r="W873" i="3"/>
  <c r="O873" i="3"/>
  <c r="M873" i="3"/>
  <c r="L873" i="3"/>
  <c r="N873" i="3"/>
  <c r="K873" i="3"/>
  <c r="AJ872" i="3"/>
  <c r="AL872" i="3"/>
  <c r="AI872" i="3"/>
  <c r="X872" i="3"/>
  <c r="Z872" i="3"/>
  <c r="W872" i="3"/>
  <c r="O872" i="3"/>
  <c r="M872" i="3"/>
  <c r="L872" i="3"/>
  <c r="N872" i="3"/>
  <c r="K872" i="3"/>
  <c r="AJ871" i="3"/>
  <c r="AL871" i="3"/>
  <c r="AI871" i="3"/>
  <c r="X871" i="3"/>
  <c r="Z871" i="3"/>
  <c r="W871" i="3"/>
  <c r="O871" i="3"/>
  <c r="M871" i="3"/>
  <c r="L871" i="3"/>
  <c r="N871" i="3"/>
  <c r="K871" i="3"/>
  <c r="AJ870" i="3"/>
  <c r="AL870" i="3"/>
  <c r="AI870" i="3"/>
  <c r="X870" i="3"/>
  <c r="Z870" i="3"/>
  <c r="W870" i="3"/>
  <c r="O870" i="3"/>
  <c r="M870" i="3"/>
  <c r="L870" i="3"/>
  <c r="N870" i="3"/>
  <c r="K870" i="3"/>
  <c r="AJ869" i="3"/>
  <c r="AL869" i="3"/>
  <c r="AI869" i="3"/>
  <c r="X869" i="3"/>
  <c r="Z869" i="3"/>
  <c r="W869" i="3"/>
  <c r="O869" i="3"/>
  <c r="M869" i="3"/>
  <c r="L869" i="3"/>
  <c r="N869" i="3"/>
  <c r="K869" i="3"/>
  <c r="AJ868" i="3"/>
  <c r="AL868" i="3"/>
  <c r="AI868" i="3"/>
  <c r="X868" i="3"/>
  <c r="Z868" i="3"/>
  <c r="W868" i="3"/>
  <c r="O868" i="3"/>
  <c r="M868" i="3"/>
  <c r="L868" i="3"/>
  <c r="N868" i="3"/>
  <c r="K868" i="3"/>
  <c r="AJ867" i="3"/>
  <c r="AL867" i="3"/>
  <c r="AI867" i="3"/>
  <c r="X867" i="3"/>
  <c r="Z867" i="3"/>
  <c r="W867" i="3"/>
  <c r="O867" i="3"/>
  <c r="M867" i="3"/>
  <c r="L867" i="3"/>
  <c r="N867" i="3"/>
  <c r="K867" i="3"/>
  <c r="AJ866" i="3"/>
  <c r="AL866" i="3"/>
  <c r="AI866" i="3"/>
  <c r="X866" i="3"/>
  <c r="Z866" i="3"/>
  <c r="W866" i="3"/>
  <c r="O866" i="3"/>
  <c r="M866" i="3"/>
  <c r="L866" i="3"/>
  <c r="N866" i="3"/>
  <c r="K866" i="3"/>
  <c r="AJ865" i="3"/>
  <c r="AL865" i="3"/>
  <c r="AI865" i="3"/>
  <c r="X865" i="3"/>
  <c r="Z865" i="3"/>
  <c r="W865" i="3"/>
  <c r="O865" i="3"/>
  <c r="M865" i="3"/>
  <c r="L865" i="3"/>
  <c r="N865" i="3"/>
  <c r="K865" i="3"/>
  <c r="AJ864" i="3"/>
  <c r="AL864" i="3"/>
  <c r="AI864" i="3"/>
  <c r="X864" i="3"/>
  <c r="Z864" i="3"/>
  <c r="W864" i="3"/>
  <c r="O864" i="3"/>
  <c r="M864" i="3"/>
  <c r="L864" i="3"/>
  <c r="N864" i="3"/>
  <c r="K864" i="3"/>
  <c r="AJ863" i="3"/>
  <c r="AL863" i="3"/>
  <c r="AI863" i="3"/>
  <c r="X863" i="3"/>
  <c r="Z863" i="3"/>
  <c r="W863" i="3"/>
  <c r="O863" i="3"/>
  <c r="M863" i="3"/>
  <c r="L863" i="3"/>
  <c r="N863" i="3"/>
  <c r="K863" i="3"/>
  <c r="AJ862" i="3"/>
  <c r="AL862" i="3"/>
  <c r="AI862" i="3"/>
  <c r="X862" i="3"/>
  <c r="Z862" i="3"/>
  <c r="W862" i="3"/>
  <c r="O862" i="3"/>
  <c r="M862" i="3"/>
  <c r="L862" i="3"/>
  <c r="N862" i="3"/>
  <c r="K862" i="3"/>
  <c r="AJ861" i="3"/>
  <c r="AL861" i="3"/>
  <c r="AI861" i="3"/>
  <c r="X861" i="3"/>
  <c r="Z861" i="3"/>
  <c r="W861" i="3"/>
  <c r="O861" i="3"/>
  <c r="M861" i="3"/>
  <c r="L861" i="3"/>
  <c r="N861" i="3"/>
  <c r="K861" i="3"/>
  <c r="AJ860" i="3"/>
  <c r="AL860" i="3"/>
  <c r="AI860" i="3"/>
  <c r="X860" i="3"/>
  <c r="Z860" i="3"/>
  <c r="W860" i="3"/>
  <c r="O860" i="3"/>
  <c r="M860" i="3"/>
  <c r="L860" i="3"/>
  <c r="N860" i="3"/>
  <c r="K860" i="3"/>
  <c r="AJ859" i="3"/>
  <c r="AL859" i="3"/>
  <c r="AI859" i="3"/>
  <c r="X859" i="3"/>
  <c r="Z859" i="3"/>
  <c r="W859" i="3"/>
  <c r="O859" i="3"/>
  <c r="M859" i="3"/>
  <c r="L859" i="3"/>
  <c r="N859" i="3"/>
  <c r="K859" i="3"/>
  <c r="AJ858" i="3"/>
  <c r="AL858" i="3"/>
  <c r="AI858" i="3"/>
  <c r="X858" i="3"/>
  <c r="Z858" i="3"/>
  <c r="W858" i="3"/>
  <c r="O858" i="3"/>
  <c r="M858" i="3"/>
  <c r="L858" i="3"/>
  <c r="N858" i="3"/>
  <c r="K858" i="3"/>
  <c r="AJ857" i="3"/>
  <c r="AL857" i="3"/>
  <c r="AI857" i="3"/>
  <c r="X857" i="3"/>
  <c r="Z857" i="3"/>
  <c r="W857" i="3"/>
  <c r="O857" i="3"/>
  <c r="M857" i="3"/>
  <c r="L857" i="3"/>
  <c r="N857" i="3"/>
  <c r="K857" i="3"/>
  <c r="AJ856" i="3"/>
  <c r="AL856" i="3"/>
  <c r="AI856" i="3"/>
  <c r="X856" i="3"/>
  <c r="Z856" i="3"/>
  <c r="W856" i="3"/>
  <c r="O856" i="3"/>
  <c r="M856" i="3"/>
  <c r="L856" i="3"/>
  <c r="N856" i="3"/>
  <c r="K856" i="3"/>
  <c r="AJ855" i="3"/>
  <c r="AL855" i="3"/>
  <c r="AI855" i="3"/>
  <c r="X855" i="3"/>
  <c r="Z855" i="3"/>
  <c r="W855" i="3"/>
  <c r="O855" i="3"/>
  <c r="M855" i="3"/>
  <c r="L855" i="3"/>
  <c r="N855" i="3"/>
  <c r="K855" i="3"/>
  <c r="AJ854" i="3"/>
  <c r="AL854" i="3"/>
  <c r="AI854" i="3"/>
  <c r="X854" i="3"/>
  <c r="Z854" i="3"/>
  <c r="W854" i="3"/>
  <c r="O854" i="3"/>
  <c r="M854" i="3"/>
  <c r="L854" i="3"/>
  <c r="N854" i="3"/>
  <c r="K854" i="3"/>
  <c r="AJ853" i="3"/>
  <c r="AL853" i="3"/>
  <c r="AI853" i="3"/>
  <c r="X853" i="3"/>
  <c r="Z853" i="3"/>
  <c r="W853" i="3"/>
  <c r="O853" i="3"/>
  <c r="M853" i="3"/>
  <c r="L853" i="3"/>
  <c r="N853" i="3"/>
  <c r="K853" i="3"/>
  <c r="AJ852" i="3"/>
  <c r="AL852" i="3"/>
  <c r="AI852" i="3"/>
  <c r="X852" i="3"/>
  <c r="Z852" i="3"/>
  <c r="W852" i="3"/>
  <c r="O852" i="3"/>
  <c r="M852" i="3"/>
  <c r="L852" i="3"/>
  <c r="N852" i="3"/>
  <c r="K852" i="3"/>
  <c r="AJ851" i="3"/>
  <c r="AL851" i="3"/>
  <c r="AI851" i="3"/>
  <c r="X851" i="3"/>
  <c r="Z851" i="3"/>
  <c r="W851" i="3"/>
  <c r="O851" i="3"/>
  <c r="M851" i="3"/>
  <c r="L851" i="3"/>
  <c r="N851" i="3"/>
  <c r="K851" i="3"/>
  <c r="AJ850" i="3"/>
  <c r="AL850" i="3"/>
  <c r="AI850" i="3"/>
  <c r="X850" i="3"/>
  <c r="Z850" i="3"/>
  <c r="W850" i="3"/>
  <c r="O850" i="3"/>
  <c r="M850" i="3"/>
  <c r="L850" i="3"/>
  <c r="N850" i="3"/>
  <c r="K850" i="3"/>
  <c r="AJ849" i="3"/>
  <c r="AL849" i="3"/>
  <c r="AI849" i="3"/>
  <c r="X849" i="3"/>
  <c r="Z849" i="3"/>
  <c r="W849" i="3"/>
  <c r="O849" i="3"/>
  <c r="M849" i="3"/>
  <c r="L849" i="3"/>
  <c r="N849" i="3"/>
  <c r="K849" i="3"/>
  <c r="AJ848" i="3"/>
  <c r="AL848" i="3"/>
  <c r="AI848" i="3"/>
  <c r="X848" i="3"/>
  <c r="Z848" i="3"/>
  <c r="W848" i="3"/>
  <c r="O848" i="3"/>
  <c r="M848" i="3"/>
  <c r="L848" i="3"/>
  <c r="N848" i="3"/>
  <c r="K848" i="3"/>
  <c r="AJ847" i="3"/>
  <c r="AL847" i="3"/>
  <c r="AI847" i="3"/>
  <c r="X847" i="3"/>
  <c r="Z847" i="3"/>
  <c r="W847" i="3"/>
  <c r="O847" i="3"/>
  <c r="M847" i="3"/>
  <c r="L847" i="3"/>
  <c r="N847" i="3"/>
  <c r="K847" i="3"/>
  <c r="AJ846" i="3"/>
  <c r="AL846" i="3"/>
  <c r="AI846" i="3"/>
  <c r="X846" i="3"/>
  <c r="Z846" i="3"/>
  <c r="W846" i="3"/>
  <c r="O846" i="3"/>
  <c r="M846" i="3"/>
  <c r="L846" i="3"/>
  <c r="N846" i="3"/>
  <c r="K846" i="3"/>
  <c r="AJ845" i="3"/>
  <c r="AL845" i="3"/>
  <c r="AI845" i="3"/>
  <c r="X845" i="3"/>
  <c r="Z845" i="3"/>
  <c r="W845" i="3"/>
  <c r="O845" i="3"/>
  <c r="M845" i="3"/>
  <c r="L845" i="3"/>
  <c r="N845" i="3"/>
  <c r="K845" i="3"/>
  <c r="AJ844" i="3"/>
  <c r="AL844" i="3"/>
  <c r="AI844" i="3"/>
  <c r="X844" i="3"/>
  <c r="Z844" i="3"/>
  <c r="W844" i="3"/>
  <c r="O844" i="3"/>
  <c r="M844" i="3"/>
  <c r="L844" i="3"/>
  <c r="N844" i="3"/>
  <c r="K844" i="3"/>
  <c r="AJ843" i="3"/>
  <c r="AL843" i="3"/>
  <c r="AI843" i="3"/>
  <c r="X843" i="3"/>
  <c r="Z843" i="3"/>
  <c r="W843" i="3"/>
  <c r="O843" i="3"/>
  <c r="M843" i="3"/>
  <c r="L843" i="3"/>
  <c r="N843" i="3"/>
  <c r="K843" i="3"/>
  <c r="AJ842" i="3"/>
  <c r="AL842" i="3"/>
  <c r="AI842" i="3"/>
  <c r="X842" i="3"/>
  <c r="Z842" i="3"/>
  <c r="W842" i="3"/>
  <c r="O842" i="3"/>
  <c r="M842" i="3"/>
  <c r="L842" i="3"/>
  <c r="N842" i="3"/>
  <c r="K842" i="3"/>
  <c r="AJ841" i="3"/>
  <c r="AL841" i="3"/>
  <c r="AI841" i="3"/>
  <c r="X841" i="3"/>
  <c r="Z841" i="3"/>
  <c r="W841" i="3"/>
  <c r="O841" i="3"/>
  <c r="M841" i="3"/>
  <c r="L841" i="3"/>
  <c r="N841" i="3"/>
  <c r="K841" i="3"/>
  <c r="AJ840" i="3"/>
  <c r="AL840" i="3"/>
  <c r="AI840" i="3"/>
  <c r="X840" i="3"/>
  <c r="Z840" i="3"/>
  <c r="W840" i="3"/>
  <c r="O840" i="3"/>
  <c r="M840" i="3"/>
  <c r="L840" i="3"/>
  <c r="N840" i="3"/>
  <c r="K840" i="3"/>
  <c r="AJ839" i="3"/>
  <c r="AL839" i="3"/>
  <c r="AI839" i="3"/>
  <c r="X839" i="3"/>
  <c r="Z839" i="3"/>
  <c r="W839" i="3"/>
  <c r="O839" i="3"/>
  <c r="M839" i="3"/>
  <c r="L839" i="3"/>
  <c r="N839" i="3"/>
  <c r="K839" i="3"/>
  <c r="AJ838" i="3"/>
  <c r="AL838" i="3"/>
  <c r="AI838" i="3"/>
  <c r="X838" i="3"/>
  <c r="Z838" i="3"/>
  <c r="W838" i="3"/>
  <c r="O838" i="3"/>
  <c r="M838" i="3"/>
  <c r="L838" i="3"/>
  <c r="N838" i="3"/>
  <c r="K838" i="3"/>
  <c r="AJ837" i="3"/>
  <c r="AL837" i="3"/>
  <c r="AI837" i="3"/>
  <c r="X837" i="3"/>
  <c r="Z837" i="3"/>
  <c r="W837" i="3"/>
  <c r="O837" i="3"/>
  <c r="M837" i="3"/>
  <c r="L837" i="3"/>
  <c r="N837" i="3"/>
  <c r="K837" i="3"/>
  <c r="AJ836" i="3"/>
  <c r="AL836" i="3"/>
  <c r="AI836" i="3"/>
  <c r="X836" i="3"/>
  <c r="Z836" i="3"/>
  <c r="W836" i="3"/>
  <c r="O836" i="3"/>
  <c r="M836" i="3"/>
  <c r="L836" i="3"/>
  <c r="N836" i="3"/>
  <c r="K836" i="3"/>
  <c r="AJ835" i="3"/>
  <c r="AL835" i="3"/>
  <c r="AI835" i="3"/>
  <c r="X835" i="3"/>
  <c r="Z835" i="3"/>
  <c r="W835" i="3"/>
  <c r="O835" i="3"/>
  <c r="M835" i="3"/>
  <c r="L835" i="3"/>
  <c r="N835" i="3"/>
  <c r="K835" i="3"/>
  <c r="AJ834" i="3"/>
  <c r="AL834" i="3"/>
  <c r="AI834" i="3"/>
  <c r="X834" i="3"/>
  <c r="Z834" i="3"/>
  <c r="W834" i="3"/>
  <c r="O834" i="3"/>
  <c r="M834" i="3"/>
  <c r="L834" i="3"/>
  <c r="N834" i="3"/>
  <c r="K834" i="3"/>
  <c r="AJ833" i="3"/>
  <c r="AL833" i="3"/>
  <c r="AI833" i="3"/>
  <c r="X833" i="3"/>
  <c r="Z833" i="3"/>
  <c r="W833" i="3"/>
  <c r="O833" i="3"/>
  <c r="M833" i="3"/>
  <c r="L833" i="3"/>
  <c r="N833" i="3"/>
  <c r="K833" i="3"/>
  <c r="AJ832" i="3"/>
  <c r="AL832" i="3"/>
  <c r="AI832" i="3"/>
  <c r="X832" i="3"/>
  <c r="Z832" i="3"/>
  <c r="W832" i="3"/>
  <c r="O832" i="3"/>
  <c r="M832" i="3"/>
  <c r="L832" i="3"/>
  <c r="N832" i="3"/>
  <c r="K832" i="3"/>
  <c r="AJ831" i="3"/>
  <c r="AL831" i="3"/>
  <c r="AI831" i="3"/>
  <c r="X831" i="3"/>
  <c r="Z831" i="3"/>
  <c r="W831" i="3"/>
  <c r="O831" i="3"/>
  <c r="M831" i="3"/>
  <c r="L831" i="3"/>
  <c r="N831" i="3"/>
  <c r="K831" i="3"/>
  <c r="AJ830" i="3"/>
  <c r="AL830" i="3"/>
  <c r="AI830" i="3"/>
  <c r="X830" i="3"/>
  <c r="Z830" i="3"/>
  <c r="W830" i="3"/>
  <c r="O830" i="3"/>
  <c r="M830" i="3"/>
  <c r="L830" i="3"/>
  <c r="N830" i="3"/>
  <c r="K830" i="3"/>
  <c r="AJ829" i="3"/>
  <c r="AL829" i="3"/>
  <c r="AI829" i="3"/>
  <c r="X829" i="3"/>
  <c r="Z829" i="3"/>
  <c r="W829" i="3"/>
  <c r="O829" i="3"/>
  <c r="M829" i="3"/>
  <c r="L829" i="3"/>
  <c r="N829" i="3"/>
  <c r="K829" i="3"/>
  <c r="AJ828" i="3"/>
  <c r="AL828" i="3"/>
  <c r="AI828" i="3"/>
  <c r="X828" i="3"/>
  <c r="Z828" i="3"/>
  <c r="W828" i="3"/>
  <c r="O828" i="3"/>
  <c r="M828" i="3"/>
  <c r="L828" i="3"/>
  <c r="N828" i="3"/>
  <c r="K828" i="3"/>
  <c r="AJ827" i="3"/>
  <c r="AL827" i="3"/>
  <c r="AI827" i="3"/>
  <c r="X827" i="3"/>
  <c r="Z827" i="3"/>
  <c r="W827" i="3"/>
  <c r="O827" i="3"/>
  <c r="M827" i="3"/>
  <c r="L827" i="3"/>
  <c r="N827" i="3"/>
  <c r="K827" i="3"/>
  <c r="AJ826" i="3"/>
  <c r="AL826" i="3"/>
  <c r="AI826" i="3"/>
  <c r="X826" i="3"/>
  <c r="Z826" i="3"/>
  <c r="W826" i="3"/>
  <c r="O826" i="3"/>
  <c r="M826" i="3"/>
  <c r="L826" i="3"/>
  <c r="N826" i="3"/>
  <c r="K826" i="3"/>
  <c r="AJ825" i="3"/>
  <c r="AL825" i="3"/>
  <c r="AI825" i="3"/>
  <c r="X825" i="3"/>
  <c r="Z825" i="3"/>
  <c r="W825" i="3"/>
  <c r="O825" i="3"/>
  <c r="M825" i="3"/>
  <c r="L825" i="3"/>
  <c r="N825" i="3"/>
  <c r="K825" i="3"/>
  <c r="AJ824" i="3"/>
  <c r="AL824" i="3"/>
  <c r="AI824" i="3"/>
  <c r="X824" i="3"/>
  <c r="Z824" i="3"/>
  <c r="W824" i="3"/>
  <c r="O824" i="3"/>
  <c r="M824" i="3"/>
  <c r="L824" i="3"/>
  <c r="N824" i="3"/>
  <c r="K824" i="3"/>
  <c r="AJ823" i="3"/>
  <c r="AL823" i="3"/>
  <c r="AI823" i="3"/>
  <c r="X823" i="3"/>
  <c r="Z823" i="3"/>
  <c r="W823" i="3"/>
  <c r="O823" i="3"/>
  <c r="M823" i="3"/>
  <c r="L823" i="3"/>
  <c r="N823" i="3"/>
  <c r="K823" i="3"/>
  <c r="AJ822" i="3"/>
  <c r="AL822" i="3"/>
  <c r="AI822" i="3"/>
  <c r="X822" i="3"/>
  <c r="Z822" i="3"/>
  <c r="W822" i="3"/>
  <c r="O822" i="3"/>
  <c r="M822" i="3"/>
  <c r="L822" i="3"/>
  <c r="N822" i="3"/>
  <c r="K822" i="3"/>
  <c r="AJ821" i="3"/>
  <c r="AL821" i="3"/>
  <c r="AI821" i="3"/>
  <c r="X821" i="3"/>
  <c r="Z821" i="3"/>
  <c r="W821" i="3"/>
  <c r="O821" i="3"/>
  <c r="M821" i="3"/>
  <c r="L821" i="3"/>
  <c r="N821" i="3"/>
  <c r="K821" i="3"/>
  <c r="AJ820" i="3"/>
  <c r="AL820" i="3"/>
  <c r="AI820" i="3"/>
  <c r="X820" i="3"/>
  <c r="Z820" i="3"/>
  <c r="W820" i="3"/>
  <c r="O820" i="3"/>
  <c r="M820" i="3"/>
  <c r="L820" i="3"/>
  <c r="N820" i="3"/>
  <c r="K820" i="3"/>
  <c r="AJ819" i="3"/>
  <c r="AL819" i="3"/>
  <c r="AI819" i="3"/>
  <c r="X819" i="3"/>
  <c r="Z819" i="3"/>
  <c r="W819" i="3"/>
  <c r="O819" i="3"/>
  <c r="M819" i="3"/>
  <c r="L819" i="3"/>
  <c r="N819" i="3"/>
  <c r="K819" i="3"/>
  <c r="AJ818" i="3"/>
  <c r="AL818" i="3"/>
  <c r="AI818" i="3"/>
  <c r="X818" i="3"/>
  <c r="Z818" i="3"/>
  <c r="W818" i="3"/>
  <c r="O818" i="3"/>
  <c r="M818" i="3"/>
  <c r="L818" i="3"/>
  <c r="N818" i="3"/>
  <c r="K818" i="3"/>
  <c r="AJ817" i="3"/>
  <c r="AL817" i="3"/>
  <c r="AI817" i="3"/>
  <c r="X817" i="3"/>
  <c r="Z817" i="3"/>
  <c r="W817" i="3"/>
  <c r="O817" i="3"/>
  <c r="M817" i="3"/>
  <c r="L817" i="3"/>
  <c r="N817" i="3"/>
  <c r="K817" i="3"/>
  <c r="AJ816" i="3"/>
  <c r="AL816" i="3"/>
  <c r="AI816" i="3"/>
  <c r="X816" i="3"/>
  <c r="Z816" i="3"/>
  <c r="W816" i="3"/>
  <c r="O816" i="3"/>
  <c r="M816" i="3"/>
  <c r="L816" i="3"/>
  <c r="N816" i="3"/>
  <c r="K816" i="3"/>
  <c r="AJ815" i="3"/>
  <c r="AL815" i="3"/>
  <c r="AI815" i="3"/>
  <c r="X815" i="3"/>
  <c r="Z815" i="3"/>
  <c r="W815" i="3"/>
  <c r="O815" i="3"/>
  <c r="M815" i="3"/>
  <c r="L815" i="3"/>
  <c r="N815" i="3"/>
  <c r="K815" i="3"/>
  <c r="AJ814" i="3"/>
  <c r="AL814" i="3"/>
  <c r="AI814" i="3"/>
  <c r="X814" i="3"/>
  <c r="Z814" i="3"/>
  <c r="W814" i="3"/>
  <c r="O814" i="3"/>
  <c r="M814" i="3"/>
  <c r="L814" i="3"/>
  <c r="N814" i="3"/>
  <c r="K814" i="3"/>
  <c r="AJ813" i="3"/>
  <c r="AL813" i="3"/>
  <c r="AI813" i="3"/>
  <c r="X813" i="3"/>
  <c r="Z813" i="3"/>
  <c r="W813" i="3"/>
  <c r="O813" i="3"/>
  <c r="M813" i="3"/>
  <c r="L813" i="3"/>
  <c r="N813" i="3"/>
  <c r="K813" i="3"/>
  <c r="AJ812" i="3"/>
  <c r="AL812" i="3"/>
  <c r="AI812" i="3"/>
  <c r="X812" i="3"/>
  <c r="Z812" i="3"/>
  <c r="W812" i="3"/>
  <c r="O812" i="3"/>
  <c r="M812" i="3"/>
  <c r="L812" i="3"/>
  <c r="N812" i="3"/>
  <c r="K812" i="3"/>
  <c r="AJ811" i="3"/>
  <c r="AL811" i="3"/>
  <c r="AI811" i="3"/>
  <c r="X811" i="3"/>
  <c r="Z811" i="3"/>
  <c r="W811" i="3"/>
  <c r="O811" i="3"/>
  <c r="M811" i="3"/>
  <c r="L811" i="3"/>
  <c r="N811" i="3"/>
  <c r="K811" i="3"/>
  <c r="AJ810" i="3"/>
  <c r="AL810" i="3"/>
  <c r="AI810" i="3"/>
  <c r="X810" i="3"/>
  <c r="Z810" i="3"/>
  <c r="W810" i="3"/>
  <c r="O810" i="3"/>
  <c r="M810" i="3"/>
  <c r="L810" i="3"/>
  <c r="N810" i="3"/>
  <c r="K810" i="3"/>
  <c r="AJ809" i="3"/>
  <c r="AL809" i="3"/>
  <c r="AI809" i="3"/>
  <c r="X809" i="3"/>
  <c r="Z809" i="3"/>
  <c r="W809" i="3"/>
  <c r="O809" i="3"/>
  <c r="M809" i="3"/>
  <c r="L809" i="3"/>
  <c r="N809" i="3"/>
  <c r="K809" i="3"/>
  <c r="AJ808" i="3"/>
  <c r="AL808" i="3"/>
  <c r="AI808" i="3"/>
  <c r="X808" i="3"/>
  <c r="Z808" i="3"/>
  <c r="W808" i="3"/>
  <c r="O808" i="3"/>
  <c r="M808" i="3"/>
  <c r="L808" i="3"/>
  <c r="N808" i="3"/>
  <c r="K808" i="3"/>
  <c r="AJ807" i="3"/>
  <c r="AL807" i="3"/>
  <c r="AI807" i="3"/>
  <c r="X807" i="3"/>
  <c r="Z807" i="3"/>
  <c r="W807" i="3"/>
  <c r="O807" i="3"/>
  <c r="M807" i="3"/>
  <c r="L807" i="3"/>
  <c r="N807" i="3"/>
  <c r="K807" i="3"/>
  <c r="AJ806" i="3"/>
  <c r="AL806" i="3"/>
  <c r="AI806" i="3"/>
  <c r="X806" i="3"/>
  <c r="Z806" i="3"/>
  <c r="W806" i="3"/>
  <c r="O806" i="3"/>
  <c r="M806" i="3"/>
  <c r="L806" i="3"/>
  <c r="N806" i="3"/>
  <c r="K806" i="3"/>
  <c r="AJ805" i="3"/>
  <c r="AL805" i="3"/>
  <c r="AI805" i="3"/>
  <c r="X805" i="3"/>
  <c r="Z805" i="3"/>
  <c r="W805" i="3"/>
  <c r="O805" i="3"/>
  <c r="M805" i="3"/>
  <c r="L805" i="3"/>
  <c r="N805" i="3"/>
  <c r="K805" i="3"/>
  <c r="AJ804" i="3"/>
  <c r="AL804" i="3"/>
  <c r="AI804" i="3"/>
  <c r="X804" i="3"/>
  <c r="Z804" i="3"/>
  <c r="W804" i="3"/>
  <c r="O804" i="3"/>
  <c r="M804" i="3"/>
  <c r="L804" i="3"/>
  <c r="N804" i="3"/>
  <c r="K804" i="3"/>
  <c r="AJ803" i="3"/>
  <c r="AL803" i="3"/>
  <c r="AI803" i="3"/>
  <c r="X803" i="3"/>
  <c r="Z803" i="3"/>
  <c r="W803" i="3"/>
  <c r="O803" i="3"/>
  <c r="M803" i="3"/>
  <c r="L803" i="3"/>
  <c r="N803" i="3"/>
  <c r="K803" i="3"/>
  <c r="AJ802" i="3"/>
  <c r="AL802" i="3"/>
  <c r="AI802" i="3"/>
  <c r="X802" i="3"/>
  <c r="Z802" i="3"/>
  <c r="W802" i="3"/>
  <c r="O802" i="3"/>
  <c r="M802" i="3"/>
  <c r="L802" i="3"/>
  <c r="N802" i="3"/>
  <c r="K802" i="3"/>
  <c r="AJ801" i="3"/>
  <c r="AL801" i="3"/>
  <c r="AI801" i="3"/>
  <c r="X801" i="3"/>
  <c r="Z801" i="3"/>
  <c r="W801" i="3"/>
  <c r="O801" i="3"/>
  <c r="M801" i="3"/>
  <c r="L801" i="3"/>
  <c r="N801" i="3"/>
  <c r="K801" i="3"/>
  <c r="AJ800" i="3"/>
  <c r="AL800" i="3"/>
  <c r="AI800" i="3"/>
  <c r="X800" i="3"/>
  <c r="Z800" i="3"/>
  <c r="W800" i="3"/>
  <c r="O800" i="3"/>
  <c r="M800" i="3"/>
  <c r="L800" i="3"/>
  <c r="N800" i="3"/>
  <c r="K800" i="3"/>
  <c r="AJ799" i="3"/>
  <c r="AL799" i="3"/>
  <c r="AI799" i="3"/>
  <c r="X799" i="3"/>
  <c r="Z799" i="3"/>
  <c r="W799" i="3"/>
  <c r="O799" i="3"/>
  <c r="M799" i="3"/>
  <c r="L799" i="3"/>
  <c r="N799" i="3"/>
  <c r="K799" i="3"/>
  <c r="AJ798" i="3"/>
  <c r="AL798" i="3"/>
  <c r="AI798" i="3"/>
  <c r="X798" i="3"/>
  <c r="Z798" i="3"/>
  <c r="W798" i="3"/>
  <c r="O798" i="3"/>
  <c r="M798" i="3"/>
  <c r="L798" i="3"/>
  <c r="N798" i="3"/>
  <c r="K798" i="3"/>
  <c r="AJ797" i="3"/>
  <c r="AL797" i="3"/>
  <c r="AI797" i="3"/>
  <c r="X797" i="3"/>
  <c r="Z797" i="3"/>
  <c r="W797" i="3"/>
  <c r="O797" i="3"/>
  <c r="M797" i="3"/>
  <c r="L797" i="3"/>
  <c r="N797" i="3"/>
  <c r="K797" i="3"/>
  <c r="AJ796" i="3"/>
  <c r="AL796" i="3"/>
  <c r="AI796" i="3"/>
  <c r="X796" i="3"/>
  <c r="Z796" i="3"/>
  <c r="W796" i="3"/>
  <c r="O796" i="3"/>
  <c r="M796" i="3"/>
  <c r="L796" i="3"/>
  <c r="N796" i="3"/>
  <c r="K796" i="3"/>
  <c r="AJ795" i="3"/>
  <c r="AL795" i="3"/>
  <c r="AI795" i="3"/>
  <c r="X795" i="3"/>
  <c r="Z795" i="3"/>
  <c r="W795" i="3"/>
  <c r="O795" i="3"/>
  <c r="M795" i="3"/>
  <c r="L795" i="3"/>
  <c r="N795" i="3"/>
  <c r="K795" i="3"/>
  <c r="AJ794" i="3"/>
  <c r="AL794" i="3"/>
  <c r="AI794" i="3"/>
  <c r="X794" i="3"/>
  <c r="Z794" i="3"/>
  <c r="W794" i="3"/>
  <c r="O794" i="3"/>
  <c r="M794" i="3"/>
  <c r="L794" i="3"/>
  <c r="N794" i="3"/>
  <c r="K794" i="3"/>
  <c r="AJ793" i="3"/>
  <c r="AL793" i="3"/>
  <c r="AI793" i="3"/>
  <c r="X793" i="3"/>
  <c r="Z793" i="3"/>
  <c r="W793" i="3"/>
  <c r="O793" i="3"/>
  <c r="M793" i="3"/>
  <c r="L793" i="3"/>
  <c r="N793" i="3"/>
  <c r="K793" i="3"/>
  <c r="AJ792" i="3"/>
  <c r="AL792" i="3"/>
  <c r="AI792" i="3"/>
  <c r="X792" i="3"/>
  <c r="Z792" i="3"/>
  <c r="W792" i="3"/>
  <c r="O792" i="3"/>
  <c r="M792" i="3"/>
  <c r="L792" i="3"/>
  <c r="N792" i="3"/>
  <c r="K792" i="3"/>
  <c r="AJ791" i="3"/>
  <c r="AL791" i="3"/>
  <c r="AI791" i="3"/>
  <c r="X791" i="3"/>
  <c r="Z791" i="3"/>
  <c r="W791" i="3"/>
  <c r="O791" i="3"/>
  <c r="M791" i="3"/>
  <c r="L791" i="3"/>
  <c r="N791" i="3"/>
  <c r="K791" i="3"/>
  <c r="AJ790" i="3"/>
  <c r="AL790" i="3"/>
  <c r="AI790" i="3"/>
  <c r="X790" i="3"/>
  <c r="Z790" i="3"/>
  <c r="W790" i="3"/>
  <c r="O790" i="3"/>
  <c r="M790" i="3"/>
  <c r="L790" i="3"/>
  <c r="N790" i="3"/>
  <c r="K790" i="3"/>
  <c r="AJ789" i="3"/>
  <c r="AL789" i="3"/>
  <c r="AI789" i="3"/>
  <c r="X789" i="3"/>
  <c r="Z789" i="3"/>
  <c r="W789" i="3"/>
  <c r="O789" i="3"/>
  <c r="M789" i="3"/>
  <c r="L789" i="3"/>
  <c r="N789" i="3"/>
  <c r="K789" i="3"/>
  <c r="AJ788" i="3"/>
  <c r="AL788" i="3"/>
  <c r="AI788" i="3"/>
  <c r="X788" i="3"/>
  <c r="Z788" i="3"/>
  <c r="W788" i="3"/>
  <c r="O788" i="3"/>
  <c r="M788" i="3"/>
  <c r="L788" i="3"/>
  <c r="N788" i="3"/>
  <c r="K788" i="3"/>
  <c r="AJ787" i="3"/>
  <c r="AL787" i="3"/>
  <c r="AI787" i="3"/>
  <c r="X787" i="3"/>
  <c r="Z787" i="3"/>
  <c r="W787" i="3"/>
  <c r="O787" i="3"/>
  <c r="M787" i="3"/>
  <c r="L787" i="3"/>
  <c r="N787" i="3"/>
  <c r="K787" i="3"/>
  <c r="AJ786" i="3"/>
  <c r="AL786" i="3"/>
  <c r="AI786" i="3"/>
  <c r="X786" i="3"/>
  <c r="Z786" i="3"/>
  <c r="W786" i="3"/>
  <c r="O786" i="3"/>
  <c r="M786" i="3"/>
  <c r="L786" i="3"/>
  <c r="N786" i="3"/>
  <c r="K786" i="3"/>
  <c r="AJ785" i="3"/>
  <c r="AL785" i="3"/>
  <c r="AI785" i="3"/>
  <c r="X785" i="3"/>
  <c r="Z785" i="3"/>
  <c r="W785" i="3"/>
  <c r="O785" i="3"/>
  <c r="M785" i="3"/>
  <c r="L785" i="3"/>
  <c r="N785" i="3"/>
  <c r="K785" i="3"/>
  <c r="AJ784" i="3"/>
  <c r="AL784" i="3"/>
  <c r="AI784" i="3"/>
  <c r="X784" i="3"/>
  <c r="Z784" i="3"/>
  <c r="W784" i="3"/>
  <c r="O784" i="3"/>
  <c r="M784" i="3"/>
  <c r="L784" i="3"/>
  <c r="N784" i="3"/>
  <c r="K784" i="3"/>
  <c r="AJ783" i="3"/>
  <c r="AL783" i="3"/>
  <c r="AI783" i="3"/>
  <c r="X783" i="3"/>
  <c r="Z783" i="3"/>
  <c r="W783" i="3"/>
  <c r="O783" i="3"/>
  <c r="M783" i="3"/>
  <c r="L783" i="3"/>
  <c r="N783" i="3"/>
  <c r="K783" i="3"/>
  <c r="AJ782" i="3"/>
  <c r="AL782" i="3"/>
  <c r="AI782" i="3"/>
  <c r="X782" i="3"/>
  <c r="Z782" i="3"/>
  <c r="W782" i="3"/>
  <c r="O782" i="3"/>
  <c r="M782" i="3"/>
  <c r="L782" i="3"/>
  <c r="N782" i="3"/>
  <c r="K782" i="3"/>
  <c r="AJ781" i="3"/>
  <c r="AL781" i="3"/>
  <c r="AI781" i="3"/>
  <c r="X781" i="3"/>
  <c r="Z781" i="3"/>
  <c r="W781" i="3"/>
  <c r="O781" i="3"/>
  <c r="M781" i="3"/>
  <c r="L781" i="3"/>
  <c r="N781" i="3"/>
  <c r="K781" i="3"/>
  <c r="AJ780" i="3"/>
  <c r="AL780" i="3"/>
  <c r="AI780" i="3"/>
  <c r="X780" i="3"/>
  <c r="Z780" i="3"/>
  <c r="W780" i="3"/>
  <c r="O780" i="3"/>
  <c r="M780" i="3"/>
  <c r="L780" i="3"/>
  <c r="N780" i="3"/>
  <c r="K780" i="3"/>
  <c r="AJ779" i="3"/>
  <c r="AL779" i="3"/>
  <c r="AI779" i="3"/>
  <c r="X779" i="3"/>
  <c r="Z779" i="3"/>
  <c r="W779" i="3"/>
  <c r="O779" i="3"/>
  <c r="M779" i="3"/>
  <c r="L779" i="3"/>
  <c r="N779" i="3"/>
  <c r="K779" i="3"/>
  <c r="AJ778" i="3"/>
  <c r="AL778" i="3"/>
  <c r="AI778" i="3"/>
  <c r="X778" i="3"/>
  <c r="Z778" i="3"/>
  <c r="W778" i="3"/>
  <c r="O778" i="3"/>
  <c r="M778" i="3"/>
  <c r="L778" i="3"/>
  <c r="N778" i="3"/>
  <c r="K778" i="3"/>
  <c r="AJ777" i="3"/>
  <c r="AL777" i="3"/>
  <c r="AI777" i="3"/>
  <c r="X777" i="3"/>
  <c r="Z777" i="3"/>
  <c r="W777" i="3"/>
  <c r="O777" i="3"/>
  <c r="M777" i="3"/>
  <c r="L777" i="3"/>
  <c r="N777" i="3"/>
  <c r="K777" i="3"/>
  <c r="AJ776" i="3"/>
  <c r="AL776" i="3"/>
  <c r="AI776" i="3"/>
  <c r="X776" i="3"/>
  <c r="Z776" i="3"/>
  <c r="W776" i="3"/>
  <c r="O776" i="3"/>
  <c r="M776" i="3"/>
  <c r="L776" i="3"/>
  <c r="N776" i="3"/>
  <c r="K776" i="3"/>
  <c r="AJ775" i="3"/>
  <c r="AL775" i="3"/>
  <c r="AI775" i="3"/>
  <c r="X775" i="3"/>
  <c r="Z775" i="3"/>
  <c r="W775" i="3"/>
  <c r="O775" i="3"/>
  <c r="M775" i="3"/>
  <c r="L775" i="3"/>
  <c r="N775" i="3"/>
  <c r="K775" i="3"/>
  <c r="AJ774" i="3"/>
  <c r="AL774" i="3"/>
  <c r="AI774" i="3"/>
  <c r="X774" i="3"/>
  <c r="Z774" i="3"/>
  <c r="W774" i="3"/>
  <c r="O774" i="3"/>
  <c r="M774" i="3"/>
  <c r="L774" i="3"/>
  <c r="N774" i="3"/>
  <c r="K774" i="3"/>
  <c r="AJ773" i="3"/>
  <c r="AL773" i="3"/>
  <c r="AI773" i="3"/>
  <c r="X773" i="3"/>
  <c r="Z773" i="3"/>
  <c r="W773" i="3"/>
  <c r="O773" i="3"/>
  <c r="M773" i="3"/>
  <c r="L773" i="3"/>
  <c r="N773" i="3"/>
  <c r="K773" i="3"/>
  <c r="AJ772" i="3"/>
  <c r="AL772" i="3"/>
  <c r="AI772" i="3"/>
  <c r="X772" i="3"/>
  <c r="Z772" i="3"/>
  <c r="W772" i="3"/>
  <c r="O772" i="3"/>
  <c r="M772" i="3"/>
  <c r="L772" i="3"/>
  <c r="N772" i="3"/>
  <c r="K772" i="3"/>
  <c r="AJ771" i="3"/>
  <c r="AL771" i="3"/>
  <c r="AI771" i="3"/>
  <c r="X771" i="3"/>
  <c r="Z771" i="3"/>
  <c r="W771" i="3"/>
  <c r="O771" i="3"/>
  <c r="M771" i="3"/>
  <c r="L771" i="3"/>
  <c r="N771" i="3"/>
  <c r="K771" i="3"/>
  <c r="AJ770" i="3"/>
  <c r="AL770" i="3"/>
  <c r="AI770" i="3"/>
  <c r="X770" i="3"/>
  <c r="Z770" i="3"/>
  <c r="W770" i="3"/>
  <c r="O770" i="3"/>
  <c r="M770" i="3"/>
  <c r="L770" i="3"/>
  <c r="N770" i="3"/>
  <c r="K770" i="3"/>
  <c r="AJ769" i="3"/>
  <c r="AL769" i="3"/>
  <c r="AI769" i="3"/>
  <c r="X769" i="3"/>
  <c r="Z769" i="3"/>
  <c r="W769" i="3"/>
  <c r="O769" i="3"/>
  <c r="M769" i="3"/>
  <c r="L769" i="3"/>
  <c r="N769" i="3"/>
  <c r="K769" i="3"/>
  <c r="AJ768" i="3"/>
  <c r="AL768" i="3"/>
  <c r="AI768" i="3"/>
  <c r="X768" i="3"/>
  <c r="Z768" i="3"/>
  <c r="W768" i="3"/>
  <c r="O768" i="3"/>
  <c r="M768" i="3"/>
  <c r="L768" i="3"/>
  <c r="N768" i="3"/>
  <c r="K768" i="3"/>
  <c r="AJ767" i="3"/>
  <c r="AL767" i="3"/>
  <c r="AI767" i="3"/>
  <c r="X767" i="3"/>
  <c r="Z767" i="3"/>
  <c r="W767" i="3"/>
  <c r="O767" i="3"/>
  <c r="M767" i="3"/>
  <c r="L767" i="3"/>
  <c r="N767" i="3"/>
  <c r="K767" i="3"/>
  <c r="AJ766" i="3"/>
  <c r="AL766" i="3"/>
  <c r="AI766" i="3"/>
  <c r="X766" i="3"/>
  <c r="Z766" i="3"/>
  <c r="W766" i="3"/>
  <c r="O766" i="3"/>
  <c r="M766" i="3"/>
  <c r="L766" i="3"/>
  <c r="N766" i="3"/>
  <c r="K766" i="3"/>
  <c r="AJ765" i="3"/>
  <c r="AL765" i="3"/>
  <c r="AI765" i="3"/>
  <c r="X765" i="3"/>
  <c r="Z765" i="3"/>
  <c r="W765" i="3"/>
  <c r="O765" i="3"/>
  <c r="M765" i="3"/>
  <c r="L765" i="3"/>
  <c r="N765" i="3"/>
  <c r="K765" i="3"/>
  <c r="AJ764" i="3"/>
  <c r="AL764" i="3"/>
  <c r="AI764" i="3"/>
  <c r="X764" i="3"/>
  <c r="Z764" i="3"/>
  <c r="W764" i="3"/>
  <c r="O764" i="3"/>
  <c r="M764" i="3"/>
  <c r="L764" i="3"/>
  <c r="N764" i="3"/>
  <c r="K764" i="3"/>
  <c r="AJ763" i="3"/>
  <c r="AL763" i="3"/>
  <c r="AI763" i="3"/>
  <c r="X763" i="3"/>
  <c r="Z763" i="3"/>
  <c r="W763" i="3"/>
  <c r="O763" i="3"/>
  <c r="M763" i="3"/>
  <c r="L763" i="3"/>
  <c r="N763" i="3"/>
  <c r="K763" i="3"/>
  <c r="AJ762" i="3"/>
  <c r="AL762" i="3"/>
  <c r="AI762" i="3"/>
  <c r="X762" i="3"/>
  <c r="Z762" i="3"/>
  <c r="W762" i="3"/>
  <c r="O762" i="3"/>
  <c r="M762" i="3"/>
  <c r="L762" i="3"/>
  <c r="N762" i="3"/>
  <c r="K762" i="3"/>
  <c r="AJ761" i="3"/>
  <c r="AL761" i="3"/>
  <c r="AI761" i="3"/>
  <c r="X761" i="3"/>
  <c r="Z761" i="3"/>
  <c r="W761" i="3"/>
  <c r="O761" i="3"/>
  <c r="M761" i="3"/>
  <c r="L761" i="3"/>
  <c r="N761" i="3"/>
  <c r="K761" i="3"/>
  <c r="AJ760" i="3"/>
  <c r="AL760" i="3"/>
  <c r="AI760" i="3"/>
  <c r="X760" i="3"/>
  <c r="Z760" i="3"/>
  <c r="W760" i="3"/>
  <c r="O760" i="3"/>
  <c r="M760" i="3"/>
  <c r="L760" i="3"/>
  <c r="N760" i="3"/>
  <c r="K760" i="3"/>
  <c r="AJ759" i="3"/>
  <c r="AL759" i="3"/>
  <c r="AI759" i="3"/>
  <c r="X759" i="3"/>
  <c r="Z759" i="3"/>
  <c r="W759" i="3"/>
  <c r="O759" i="3"/>
  <c r="M759" i="3"/>
  <c r="L759" i="3"/>
  <c r="N759" i="3"/>
  <c r="K759" i="3"/>
  <c r="AJ758" i="3"/>
  <c r="AL758" i="3"/>
  <c r="AI758" i="3"/>
  <c r="X758" i="3"/>
  <c r="Z758" i="3"/>
  <c r="W758" i="3"/>
  <c r="O758" i="3"/>
  <c r="M758" i="3"/>
  <c r="L758" i="3"/>
  <c r="N758" i="3"/>
  <c r="K758" i="3"/>
  <c r="AJ757" i="3"/>
  <c r="AL757" i="3"/>
  <c r="AI757" i="3"/>
  <c r="X757" i="3"/>
  <c r="Z757" i="3"/>
  <c r="W757" i="3"/>
  <c r="O757" i="3"/>
  <c r="M757" i="3"/>
  <c r="L757" i="3"/>
  <c r="N757" i="3"/>
  <c r="K757" i="3"/>
  <c r="AJ756" i="3"/>
  <c r="AL756" i="3"/>
  <c r="AI756" i="3"/>
  <c r="X756" i="3"/>
  <c r="Z756" i="3"/>
  <c r="W756" i="3"/>
  <c r="O756" i="3"/>
  <c r="M756" i="3"/>
  <c r="L756" i="3"/>
  <c r="N756" i="3"/>
  <c r="K756" i="3"/>
  <c r="AJ755" i="3"/>
  <c r="AL755" i="3"/>
  <c r="AI755" i="3"/>
  <c r="X755" i="3"/>
  <c r="Z755" i="3"/>
  <c r="W755" i="3"/>
  <c r="O755" i="3"/>
  <c r="M755" i="3"/>
  <c r="L755" i="3"/>
  <c r="N755" i="3"/>
  <c r="K755" i="3"/>
  <c r="AJ754" i="3"/>
  <c r="AL754" i="3"/>
  <c r="AI754" i="3"/>
  <c r="X754" i="3"/>
  <c r="Z754" i="3"/>
  <c r="W754" i="3"/>
  <c r="O754" i="3"/>
  <c r="M754" i="3"/>
  <c r="L754" i="3"/>
  <c r="N754" i="3"/>
  <c r="K754" i="3"/>
  <c r="AJ753" i="3"/>
  <c r="AL753" i="3"/>
  <c r="AI753" i="3"/>
  <c r="X753" i="3"/>
  <c r="Z753" i="3"/>
  <c r="W753" i="3"/>
  <c r="O753" i="3"/>
  <c r="M753" i="3"/>
  <c r="L753" i="3"/>
  <c r="N753" i="3"/>
  <c r="K753" i="3"/>
  <c r="AJ752" i="3"/>
  <c r="AL752" i="3"/>
  <c r="AI752" i="3"/>
  <c r="X752" i="3"/>
  <c r="Z752" i="3"/>
  <c r="W752" i="3"/>
  <c r="O752" i="3"/>
  <c r="M752" i="3"/>
  <c r="L752" i="3"/>
  <c r="N752" i="3"/>
  <c r="K752" i="3"/>
  <c r="AJ751" i="3"/>
  <c r="AL751" i="3"/>
  <c r="AI751" i="3"/>
  <c r="X751" i="3"/>
  <c r="Z751" i="3"/>
  <c r="W751" i="3"/>
  <c r="O751" i="3"/>
  <c r="M751" i="3"/>
  <c r="L751" i="3"/>
  <c r="N751" i="3"/>
  <c r="K751" i="3"/>
  <c r="AJ750" i="3"/>
  <c r="AL750" i="3"/>
  <c r="AI750" i="3"/>
  <c r="X750" i="3"/>
  <c r="Z750" i="3"/>
  <c r="W750" i="3"/>
  <c r="O750" i="3"/>
  <c r="M750" i="3"/>
  <c r="L750" i="3"/>
  <c r="N750" i="3"/>
  <c r="K750" i="3"/>
  <c r="AJ749" i="3"/>
  <c r="AL749" i="3"/>
  <c r="AI749" i="3"/>
  <c r="X749" i="3"/>
  <c r="Z749" i="3"/>
  <c r="W749" i="3"/>
  <c r="O749" i="3"/>
  <c r="M749" i="3"/>
  <c r="L749" i="3"/>
  <c r="N749" i="3"/>
  <c r="K749" i="3"/>
  <c r="AJ748" i="3"/>
  <c r="AL748" i="3"/>
  <c r="AI748" i="3"/>
  <c r="X748" i="3"/>
  <c r="Z748" i="3"/>
  <c r="W748" i="3"/>
  <c r="O748" i="3"/>
  <c r="M748" i="3"/>
  <c r="L748" i="3"/>
  <c r="N748" i="3"/>
  <c r="K748" i="3"/>
  <c r="AJ747" i="3"/>
  <c r="AL747" i="3"/>
  <c r="AI747" i="3"/>
  <c r="X747" i="3"/>
  <c r="Z747" i="3"/>
  <c r="W747" i="3"/>
  <c r="O747" i="3"/>
  <c r="M747" i="3"/>
  <c r="L747" i="3"/>
  <c r="N747" i="3"/>
  <c r="K747" i="3"/>
  <c r="AJ746" i="3"/>
  <c r="AL746" i="3"/>
  <c r="AI746" i="3"/>
  <c r="X746" i="3"/>
  <c r="Z746" i="3"/>
  <c r="W746" i="3"/>
  <c r="O746" i="3"/>
  <c r="M746" i="3"/>
  <c r="L746" i="3"/>
  <c r="N746" i="3"/>
  <c r="K746" i="3"/>
  <c r="AJ745" i="3"/>
  <c r="AL745" i="3"/>
  <c r="AI745" i="3"/>
  <c r="X745" i="3"/>
  <c r="Z745" i="3"/>
  <c r="W745" i="3"/>
  <c r="O745" i="3"/>
  <c r="M745" i="3"/>
  <c r="L745" i="3"/>
  <c r="N745" i="3"/>
  <c r="K745" i="3"/>
  <c r="AJ744" i="3"/>
  <c r="AL744" i="3"/>
  <c r="AI744" i="3"/>
  <c r="X744" i="3"/>
  <c r="Z744" i="3"/>
  <c r="W744" i="3"/>
  <c r="O744" i="3"/>
  <c r="M744" i="3"/>
  <c r="L744" i="3"/>
  <c r="N744" i="3"/>
  <c r="K744" i="3"/>
  <c r="AJ743" i="3"/>
  <c r="AL743" i="3"/>
  <c r="AI743" i="3"/>
  <c r="X743" i="3"/>
  <c r="Z743" i="3"/>
  <c r="W743" i="3"/>
  <c r="O743" i="3"/>
  <c r="M743" i="3"/>
  <c r="L743" i="3"/>
  <c r="N743" i="3"/>
  <c r="K743" i="3"/>
  <c r="AJ742" i="3"/>
  <c r="AL742" i="3"/>
  <c r="AI742" i="3"/>
  <c r="X742" i="3"/>
  <c r="Z742" i="3"/>
  <c r="W742" i="3"/>
  <c r="O742" i="3"/>
  <c r="M742" i="3"/>
  <c r="L742" i="3"/>
  <c r="N742" i="3"/>
  <c r="K742" i="3"/>
  <c r="AJ741" i="3"/>
  <c r="AL741" i="3"/>
  <c r="AI741" i="3"/>
  <c r="X741" i="3"/>
  <c r="Z741" i="3"/>
  <c r="W741" i="3"/>
  <c r="O741" i="3"/>
  <c r="M741" i="3"/>
  <c r="L741" i="3"/>
  <c r="N741" i="3"/>
  <c r="K741" i="3"/>
  <c r="AJ740" i="3"/>
  <c r="AL740" i="3"/>
  <c r="AI740" i="3"/>
  <c r="X740" i="3"/>
  <c r="Z740" i="3"/>
  <c r="W740" i="3"/>
  <c r="O740" i="3"/>
  <c r="M740" i="3"/>
  <c r="L740" i="3"/>
  <c r="N740" i="3"/>
  <c r="K740" i="3"/>
  <c r="AJ739" i="3"/>
  <c r="AL739" i="3"/>
  <c r="AI739" i="3"/>
  <c r="X739" i="3"/>
  <c r="Z739" i="3"/>
  <c r="W739" i="3"/>
  <c r="O739" i="3"/>
  <c r="M739" i="3"/>
  <c r="L739" i="3"/>
  <c r="N739" i="3"/>
  <c r="K739" i="3"/>
  <c r="AJ738" i="3"/>
  <c r="AL738" i="3"/>
  <c r="AI738" i="3"/>
  <c r="X738" i="3"/>
  <c r="Z738" i="3"/>
  <c r="W738" i="3"/>
  <c r="O738" i="3"/>
  <c r="M738" i="3"/>
  <c r="L738" i="3"/>
  <c r="N738" i="3"/>
  <c r="K738" i="3"/>
  <c r="AJ737" i="3"/>
  <c r="AL737" i="3"/>
  <c r="AI737" i="3"/>
  <c r="X737" i="3"/>
  <c r="Z737" i="3"/>
  <c r="W737" i="3"/>
  <c r="O737" i="3"/>
  <c r="M737" i="3"/>
  <c r="L737" i="3"/>
  <c r="N737" i="3"/>
  <c r="K737" i="3"/>
  <c r="AJ736" i="3"/>
  <c r="AL736" i="3"/>
  <c r="AI736" i="3"/>
  <c r="X736" i="3"/>
  <c r="Z736" i="3"/>
  <c r="W736" i="3"/>
  <c r="O736" i="3"/>
  <c r="M736" i="3"/>
  <c r="L736" i="3"/>
  <c r="N736" i="3"/>
  <c r="K736" i="3"/>
  <c r="AJ735" i="3"/>
  <c r="AL735" i="3"/>
  <c r="AI735" i="3"/>
  <c r="X735" i="3"/>
  <c r="Z735" i="3"/>
  <c r="W735" i="3"/>
  <c r="O735" i="3"/>
  <c r="M735" i="3"/>
  <c r="L735" i="3"/>
  <c r="N735" i="3"/>
  <c r="K735" i="3"/>
  <c r="AJ734" i="3"/>
  <c r="AL734" i="3"/>
  <c r="AI734" i="3"/>
  <c r="X734" i="3"/>
  <c r="Z734" i="3"/>
  <c r="W734" i="3"/>
  <c r="O734" i="3"/>
  <c r="M734" i="3"/>
  <c r="L734" i="3"/>
  <c r="N734" i="3"/>
  <c r="K734" i="3"/>
  <c r="AJ733" i="3"/>
  <c r="AL733" i="3"/>
  <c r="AI733" i="3"/>
  <c r="X733" i="3"/>
  <c r="Z733" i="3"/>
  <c r="W733" i="3"/>
  <c r="O733" i="3"/>
  <c r="M733" i="3"/>
  <c r="L733" i="3"/>
  <c r="N733" i="3"/>
  <c r="K733" i="3"/>
  <c r="AJ732" i="3"/>
  <c r="AL732" i="3"/>
  <c r="AI732" i="3"/>
  <c r="X732" i="3"/>
  <c r="Z732" i="3"/>
  <c r="W732" i="3"/>
  <c r="O732" i="3"/>
  <c r="M732" i="3"/>
  <c r="L732" i="3"/>
  <c r="N732" i="3"/>
  <c r="K732" i="3"/>
  <c r="AJ731" i="3"/>
  <c r="AL731" i="3"/>
  <c r="AI731" i="3"/>
  <c r="X731" i="3"/>
  <c r="Z731" i="3"/>
  <c r="W731" i="3"/>
  <c r="O731" i="3"/>
  <c r="M731" i="3"/>
  <c r="L731" i="3"/>
  <c r="N731" i="3"/>
  <c r="K731" i="3"/>
  <c r="AJ730" i="3"/>
  <c r="AL730" i="3"/>
  <c r="AI730" i="3"/>
  <c r="X730" i="3"/>
  <c r="Z730" i="3"/>
  <c r="W730" i="3"/>
  <c r="O730" i="3"/>
  <c r="M730" i="3"/>
  <c r="L730" i="3"/>
  <c r="N730" i="3"/>
  <c r="K730" i="3"/>
  <c r="AJ729" i="3"/>
  <c r="AL729" i="3"/>
  <c r="AI729" i="3"/>
  <c r="X729" i="3"/>
  <c r="Z729" i="3"/>
  <c r="W729" i="3"/>
  <c r="O729" i="3"/>
  <c r="M729" i="3"/>
  <c r="L729" i="3"/>
  <c r="N729" i="3"/>
  <c r="K729" i="3"/>
  <c r="AJ728" i="3"/>
  <c r="AL728" i="3"/>
  <c r="AI728" i="3"/>
  <c r="X728" i="3"/>
  <c r="Z728" i="3"/>
  <c r="W728" i="3"/>
  <c r="O728" i="3"/>
  <c r="M728" i="3"/>
  <c r="L728" i="3"/>
  <c r="N728" i="3"/>
  <c r="K728" i="3"/>
  <c r="AJ727" i="3"/>
  <c r="AL727" i="3"/>
  <c r="AI727" i="3"/>
  <c r="X727" i="3"/>
  <c r="Z727" i="3"/>
  <c r="W727" i="3"/>
  <c r="O727" i="3"/>
  <c r="M727" i="3"/>
  <c r="L727" i="3"/>
  <c r="N727" i="3"/>
  <c r="K727" i="3"/>
  <c r="AJ726" i="3"/>
  <c r="AL726" i="3"/>
  <c r="AI726" i="3"/>
  <c r="X726" i="3"/>
  <c r="Z726" i="3"/>
  <c r="W726" i="3"/>
  <c r="O726" i="3"/>
  <c r="M726" i="3"/>
  <c r="L726" i="3"/>
  <c r="N726" i="3"/>
  <c r="K726" i="3"/>
  <c r="AJ725" i="3"/>
  <c r="AL725" i="3"/>
  <c r="AI725" i="3"/>
  <c r="X725" i="3"/>
  <c r="Z725" i="3"/>
  <c r="W725" i="3"/>
  <c r="O725" i="3"/>
  <c r="M725" i="3"/>
  <c r="L725" i="3"/>
  <c r="N725" i="3"/>
  <c r="K725" i="3"/>
  <c r="AJ724" i="3"/>
  <c r="AL724" i="3"/>
  <c r="AI724" i="3"/>
  <c r="X724" i="3"/>
  <c r="Z724" i="3"/>
  <c r="W724" i="3"/>
  <c r="O724" i="3"/>
  <c r="M724" i="3"/>
  <c r="L724" i="3"/>
  <c r="N724" i="3"/>
  <c r="K724" i="3"/>
  <c r="AJ723" i="3"/>
  <c r="AL723" i="3"/>
  <c r="AI723" i="3"/>
  <c r="X723" i="3"/>
  <c r="Z723" i="3"/>
  <c r="W723" i="3"/>
  <c r="O723" i="3"/>
  <c r="M723" i="3"/>
  <c r="L723" i="3"/>
  <c r="N723" i="3"/>
  <c r="K723" i="3"/>
  <c r="AJ722" i="3"/>
  <c r="AL722" i="3"/>
  <c r="AI722" i="3"/>
  <c r="X722" i="3"/>
  <c r="Z722" i="3"/>
  <c r="W722" i="3"/>
  <c r="O722" i="3"/>
  <c r="M722" i="3"/>
  <c r="L722" i="3"/>
  <c r="N722" i="3"/>
  <c r="K722" i="3"/>
  <c r="AJ721" i="3"/>
  <c r="AL721" i="3"/>
  <c r="AI721" i="3"/>
  <c r="X721" i="3"/>
  <c r="Z721" i="3"/>
  <c r="W721" i="3"/>
  <c r="O721" i="3"/>
  <c r="M721" i="3"/>
  <c r="L721" i="3"/>
  <c r="N721" i="3"/>
  <c r="K721" i="3"/>
  <c r="AJ720" i="3"/>
  <c r="AL720" i="3"/>
  <c r="AI720" i="3"/>
  <c r="X720" i="3"/>
  <c r="Z720" i="3"/>
  <c r="W720" i="3"/>
  <c r="O720" i="3"/>
  <c r="M720" i="3"/>
  <c r="L720" i="3"/>
  <c r="N720" i="3"/>
  <c r="K720" i="3"/>
  <c r="AJ719" i="3"/>
  <c r="AL719" i="3"/>
  <c r="AI719" i="3"/>
  <c r="X719" i="3"/>
  <c r="Z719" i="3"/>
  <c r="W719" i="3"/>
  <c r="O719" i="3"/>
  <c r="M719" i="3"/>
  <c r="L719" i="3"/>
  <c r="N719" i="3"/>
  <c r="K719" i="3"/>
  <c r="AJ718" i="3"/>
  <c r="AL718" i="3"/>
  <c r="AI718" i="3"/>
  <c r="X718" i="3"/>
  <c r="Z718" i="3"/>
  <c r="W718" i="3"/>
  <c r="O718" i="3"/>
  <c r="M718" i="3"/>
  <c r="L718" i="3"/>
  <c r="N718" i="3"/>
  <c r="K718" i="3"/>
  <c r="AJ717" i="3"/>
  <c r="AL717" i="3"/>
  <c r="AI717" i="3"/>
  <c r="X717" i="3"/>
  <c r="Z717" i="3"/>
  <c r="W717" i="3"/>
  <c r="O717" i="3"/>
  <c r="M717" i="3"/>
  <c r="L717" i="3"/>
  <c r="N717" i="3"/>
  <c r="K717" i="3"/>
  <c r="AJ716" i="3"/>
  <c r="AL716" i="3"/>
  <c r="AI716" i="3"/>
  <c r="X716" i="3"/>
  <c r="Z716" i="3"/>
  <c r="W716" i="3"/>
  <c r="O716" i="3"/>
  <c r="M716" i="3"/>
  <c r="L716" i="3"/>
  <c r="N716" i="3"/>
  <c r="K716" i="3"/>
  <c r="AJ715" i="3"/>
  <c r="AL715" i="3"/>
  <c r="AI715" i="3"/>
  <c r="X715" i="3"/>
  <c r="Z715" i="3"/>
  <c r="W715" i="3"/>
  <c r="O715" i="3"/>
  <c r="M715" i="3"/>
  <c r="L715" i="3"/>
  <c r="N715" i="3"/>
  <c r="K715" i="3"/>
  <c r="AJ714" i="3"/>
  <c r="AL714" i="3"/>
  <c r="AI714" i="3"/>
  <c r="X714" i="3"/>
  <c r="Z714" i="3"/>
  <c r="W714" i="3"/>
  <c r="O714" i="3"/>
  <c r="M714" i="3"/>
  <c r="L714" i="3"/>
  <c r="N714" i="3"/>
  <c r="K714" i="3"/>
  <c r="AJ713" i="3"/>
  <c r="AL713" i="3"/>
  <c r="AI713" i="3"/>
  <c r="X713" i="3"/>
  <c r="Z713" i="3"/>
  <c r="W713" i="3"/>
  <c r="O713" i="3"/>
  <c r="M713" i="3"/>
  <c r="L713" i="3"/>
  <c r="N713" i="3"/>
  <c r="K713" i="3"/>
  <c r="AJ712" i="3"/>
  <c r="AL712" i="3"/>
  <c r="AI712" i="3"/>
  <c r="X712" i="3"/>
  <c r="Z712" i="3"/>
  <c r="W712" i="3"/>
  <c r="O712" i="3"/>
  <c r="M712" i="3"/>
  <c r="L712" i="3"/>
  <c r="N712" i="3"/>
  <c r="K712" i="3"/>
  <c r="AJ711" i="3"/>
  <c r="AL711" i="3"/>
  <c r="AI711" i="3"/>
  <c r="X711" i="3"/>
  <c r="Z711" i="3"/>
  <c r="W711" i="3"/>
  <c r="O711" i="3"/>
  <c r="M711" i="3"/>
  <c r="L711" i="3"/>
  <c r="N711" i="3"/>
  <c r="K711" i="3"/>
  <c r="AJ710" i="3"/>
  <c r="AL710" i="3"/>
  <c r="AI710" i="3"/>
  <c r="X710" i="3"/>
  <c r="Z710" i="3"/>
  <c r="W710" i="3"/>
  <c r="O710" i="3"/>
  <c r="M710" i="3"/>
  <c r="L710" i="3"/>
  <c r="N710" i="3"/>
  <c r="K710" i="3"/>
  <c r="AJ709" i="3"/>
  <c r="AL709" i="3"/>
  <c r="AI709" i="3"/>
  <c r="X709" i="3"/>
  <c r="Z709" i="3"/>
  <c r="W709" i="3"/>
  <c r="O709" i="3"/>
  <c r="M709" i="3"/>
  <c r="L709" i="3"/>
  <c r="N709" i="3"/>
  <c r="K709" i="3"/>
  <c r="AJ708" i="3"/>
  <c r="AL708" i="3"/>
  <c r="AI708" i="3"/>
  <c r="X708" i="3"/>
  <c r="Z708" i="3"/>
  <c r="W708" i="3"/>
  <c r="O708" i="3"/>
  <c r="M708" i="3"/>
  <c r="L708" i="3"/>
  <c r="N708" i="3"/>
  <c r="K708" i="3"/>
  <c r="AJ707" i="3"/>
  <c r="AL707" i="3"/>
  <c r="AI707" i="3"/>
  <c r="X707" i="3"/>
  <c r="Z707" i="3"/>
  <c r="W707" i="3"/>
  <c r="O707" i="3"/>
  <c r="M707" i="3"/>
  <c r="L707" i="3"/>
  <c r="N707" i="3"/>
  <c r="K707" i="3"/>
  <c r="AJ706" i="3"/>
  <c r="AL706" i="3"/>
  <c r="AI706" i="3"/>
  <c r="X706" i="3"/>
  <c r="Z706" i="3"/>
  <c r="W706" i="3"/>
  <c r="O706" i="3"/>
  <c r="M706" i="3"/>
  <c r="L706" i="3"/>
  <c r="N706" i="3"/>
  <c r="K706" i="3"/>
  <c r="AJ705" i="3"/>
  <c r="AL705" i="3"/>
  <c r="AI705" i="3"/>
  <c r="X705" i="3"/>
  <c r="Z705" i="3"/>
  <c r="W705" i="3"/>
  <c r="O705" i="3"/>
  <c r="M705" i="3"/>
  <c r="L705" i="3"/>
  <c r="N705" i="3"/>
  <c r="K705" i="3"/>
  <c r="AJ704" i="3"/>
  <c r="AL704" i="3"/>
  <c r="AI704" i="3"/>
  <c r="X704" i="3"/>
  <c r="Z704" i="3"/>
  <c r="W704" i="3"/>
  <c r="O704" i="3"/>
  <c r="M704" i="3"/>
  <c r="L704" i="3"/>
  <c r="N704" i="3"/>
  <c r="K704" i="3"/>
  <c r="AJ703" i="3"/>
  <c r="AL703" i="3"/>
  <c r="AI703" i="3"/>
  <c r="X703" i="3"/>
  <c r="Z703" i="3"/>
  <c r="W703" i="3"/>
  <c r="O703" i="3"/>
  <c r="M703" i="3"/>
  <c r="L703" i="3"/>
  <c r="N703" i="3"/>
  <c r="K703" i="3"/>
  <c r="AJ702" i="3"/>
  <c r="AL702" i="3"/>
  <c r="AI702" i="3"/>
  <c r="X702" i="3"/>
  <c r="Z702" i="3"/>
  <c r="W702" i="3"/>
  <c r="O702" i="3"/>
  <c r="M702" i="3"/>
  <c r="L702" i="3"/>
  <c r="N702" i="3"/>
  <c r="K702" i="3"/>
  <c r="AJ701" i="3"/>
  <c r="AL701" i="3"/>
  <c r="AI701" i="3"/>
  <c r="X701" i="3"/>
  <c r="Z701" i="3"/>
  <c r="W701" i="3"/>
  <c r="O701" i="3"/>
  <c r="M701" i="3"/>
  <c r="L701" i="3"/>
  <c r="N701" i="3"/>
  <c r="K701" i="3"/>
  <c r="AJ700" i="3"/>
  <c r="AL700" i="3"/>
  <c r="AI700" i="3"/>
  <c r="X700" i="3"/>
  <c r="Z700" i="3"/>
  <c r="W700" i="3"/>
  <c r="O700" i="3"/>
  <c r="M700" i="3"/>
  <c r="L700" i="3"/>
  <c r="N700" i="3"/>
  <c r="K700" i="3"/>
  <c r="AJ699" i="3"/>
  <c r="AL699" i="3"/>
  <c r="AI699" i="3"/>
  <c r="X699" i="3"/>
  <c r="Z699" i="3"/>
  <c r="W699" i="3"/>
  <c r="O699" i="3"/>
  <c r="M699" i="3"/>
  <c r="L699" i="3"/>
  <c r="N699" i="3"/>
  <c r="K699" i="3"/>
  <c r="AJ698" i="3"/>
  <c r="AL698" i="3"/>
  <c r="AI698" i="3"/>
  <c r="X698" i="3"/>
  <c r="Z698" i="3"/>
  <c r="W698" i="3"/>
  <c r="O698" i="3"/>
  <c r="M698" i="3"/>
  <c r="L698" i="3"/>
  <c r="N698" i="3"/>
  <c r="K698" i="3"/>
  <c r="AJ697" i="3"/>
  <c r="AL697" i="3"/>
  <c r="AI697" i="3"/>
  <c r="X697" i="3"/>
  <c r="Z697" i="3"/>
  <c r="W697" i="3"/>
  <c r="O697" i="3"/>
  <c r="M697" i="3"/>
  <c r="L697" i="3"/>
  <c r="N697" i="3"/>
  <c r="K697" i="3"/>
  <c r="AJ696" i="3"/>
  <c r="AL696" i="3"/>
  <c r="AI696" i="3"/>
  <c r="X696" i="3"/>
  <c r="Z696" i="3"/>
  <c r="W696" i="3"/>
  <c r="O696" i="3"/>
  <c r="M696" i="3"/>
  <c r="L696" i="3"/>
  <c r="N696" i="3"/>
  <c r="K696" i="3"/>
  <c r="AJ695" i="3"/>
  <c r="AL695" i="3"/>
  <c r="AI695" i="3"/>
  <c r="X695" i="3"/>
  <c r="Z695" i="3"/>
  <c r="W695" i="3"/>
  <c r="O695" i="3"/>
  <c r="M695" i="3"/>
  <c r="L695" i="3"/>
  <c r="N695" i="3"/>
  <c r="K695" i="3"/>
  <c r="AJ694" i="3"/>
  <c r="AL694" i="3"/>
  <c r="AI694" i="3"/>
  <c r="X694" i="3"/>
  <c r="Z694" i="3"/>
  <c r="W694" i="3"/>
  <c r="O694" i="3"/>
  <c r="M694" i="3"/>
  <c r="L694" i="3"/>
  <c r="N694" i="3"/>
  <c r="K694" i="3"/>
  <c r="AJ693" i="3"/>
  <c r="AL693" i="3"/>
  <c r="AI693" i="3"/>
  <c r="X693" i="3"/>
  <c r="Z693" i="3"/>
  <c r="W693" i="3"/>
  <c r="O693" i="3"/>
  <c r="M693" i="3"/>
  <c r="L693" i="3"/>
  <c r="N693" i="3"/>
  <c r="K693" i="3"/>
  <c r="AJ692" i="3"/>
  <c r="AL692" i="3"/>
  <c r="AI692" i="3"/>
  <c r="X692" i="3"/>
  <c r="Z692" i="3"/>
  <c r="W692" i="3"/>
  <c r="O692" i="3"/>
  <c r="M692" i="3"/>
  <c r="L692" i="3"/>
  <c r="N692" i="3"/>
  <c r="K692" i="3"/>
  <c r="AJ691" i="3"/>
  <c r="AL691" i="3"/>
  <c r="AI691" i="3"/>
  <c r="X691" i="3"/>
  <c r="Z691" i="3"/>
  <c r="W691" i="3"/>
  <c r="O691" i="3"/>
  <c r="M691" i="3"/>
  <c r="L691" i="3"/>
  <c r="N691" i="3"/>
  <c r="K691" i="3"/>
  <c r="AJ690" i="3"/>
  <c r="AL690" i="3"/>
  <c r="AI690" i="3"/>
  <c r="X690" i="3"/>
  <c r="Z690" i="3"/>
  <c r="W690" i="3"/>
  <c r="O690" i="3"/>
  <c r="M690" i="3"/>
  <c r="L690" i="3"/>
  <c r="N690" i="3"/>
  <c r="K690" i="3"/>
  <c r="AJ689" i="3"/>
  <c r="AL689" i="3"/>
  <c r="AI689" i="3"/>
  <c r="X689" i="3"/>
  <c r="Z689" i="3"/>
  <c r="W689" i="3"/>
  <c r="O689" i="3"/>
  <c r="M689" i="3"/>
  <c r="L689" i="3"/>
  <c r="N689" i="3"/>
  <c r="K689" i="3"/>
  <c r="AJ688" i="3"/>
  <c r="AL688" i="3"/>
  <c r="AI688" i="3"/>
  <c r="X688" i="3"/>
  <c r="Z688" i="3"/>
  <c r="W688" i="3"/>
  <c r="O688" i="3"/>
  <c r="M688" i="3"/>
  <c r="L688" i="3"/>
  <c r="N688" i="3"/>
  <c r="K688" i="3"/>
  <c r="AJ687" i="3"/>
  <c r="AL687" i="3"/>
  <c r="AI687" i="3"/>
  <c r="X687" i="3"/>
  <c r="Z687" i="3"/>
  <c r="W687" i="3"/>
  <c r="O687" i="3"/>
  <c r="M687" i="3"/>
  <c r="L687" i="3"/>
  <c r="N687" i="3"/>
  <c r="K687" i="3"/>
  <c r="AJ686" i="3"/>
  <c r="AL686" i="3"/>
  <c r="AI686" i="3"/>
  <c r="X686" i="3"/>
  <c r="Z686" i="3"/>
  <c r="W686" i="3"/>
  <c r="O686" i="3"/>
  <c r="M686" i="3"/>
  <c r="L686" i="3"/>
  <c r="N686" i="3"/>
  <c r="K686" i="3"/>
  <c r="AJ685" i="3"/>
  <c r="AL685" i="3"/>
  <c r="AI685" i="3"/>
  <c r="X685" i="3"/>
  <c r="Z685" i="3"/>
  <c r="W685" i="3"/>
  <c r="O685" i="3"/>
  <c r="M685" i="3"/>
  <c r="L685" i="3"/>
  <c r="N685" i="3"/>
  <c r="K685" i="3"/>
  <c r="AJ684" i="3"/>
  <c r="AL684" i="3"/>
  <c r="AI684" i="3"/>
  <c r="X684" i="3"/>
  <c r="Z684" i="3"/>
  <c r="W684" i="3"/>
  <c r="O684" i="3"/>
  <c r="M684" i="3"/>
  <c r="L684" i="3"/>
  <c r="N684" i="3"/>
  <c r="K684" i="3"/>
  <c r="AJ683" i="3"/>
  <c r="AL683" i="3"/>
  <c r="AI683" i="3"/>
  <c r="X683" i="3"/>
  <c r="Z683" i="3"/>
  <c r="W683" i="3"/>
  <c r="O683" i="3"/>
  <c r="M683" i="3"/>
  <c r="L683" i="3"/>
  <c r="N683" i="3"/>
  <c r="K683" i="3"/>
  <c r="AJ682" i="3"/>
  <c r="AL682" i="3"/>
  <c r="AI682" i="3"/>
  <c r="X682" i="3"/>
  <c r="Z682" i="3"/>
  <c r="W682" i="3"/>
  <c r="O682" i="3"/>
  <c r="M682" i="3"/>
  <c r="L682" i="3"/>
  <c r="N682" i="3"/>
  <c r="K682" i="3"/>
  <c r="AJ681" i="3"/>
  <c r="AL681" i="3"/>
  <c r="AI681" i="3"/>
  <c r="X681" i="3"/>
  <c r="Z681" i="3"/>
  <c r="W681" i="3"/>
  <c r="O681" i="3"/>
  <c r="M681" i="3"/>
  <c r="L681" i="3"/>
  <c r="N681" i="3"/>
  <c r="K681" i="3"/>
  <c r="AJ680" i="3"/>
  <c r="AL680" i="3"/>
  <c r="AI680" i="3"/>
  <c r="X680" i="3"/>
  <c r="Z680" i="3"/>
  <c r="W680" i="3"/>
  <c r="O680" i="3"/>
  <c r="M680" i="3"/>
  <c r="L680" i="3"/>
  <c r="N680" i="3"/>
  <c r="K680" i="3"/>
  <c r="AJ679" i="3"/>
  <c r="AL679" i="3"/>
  <c r="AI679" i="3"/>
  <c r="X679" i="3"/>
  <c r="Z679" i="3"/>
  <c r="W679" i="3"/>
  <c r="O679" i="3"/>
  <c r="M679" i="3"/>
  <c r="L679" i="3"/>
  <c r="N679" i="3"/>
  <c r="K679" i="3"/>
  <c r="AJ678" i="3"/>
  <c r="AL678" i="3"/>
  <c r="AI678" i="3"/>
  <c r="X678" i="3"/>
  <c r="Z678" i="3"/>
  <c r="W678" i="3"/>
  <c r="O678" i="3"/>
  <c r="M678" i="3"/>
  <c r="L678" i="3"/>
  <c r="N678" i="3"/>
  <c r="K678" i="3"/>
  <c r="AJ677" i="3"/>
  <c r="AL677" i="3"/>
  <c r="AI677" i="3"/>
  <c r="X677" i="3"/>
  <c r="Z677" i="3"/>
  <c r="W677" i="3"/>
  <c r="O677" i="3"/>
  <c r="M677" i="3"/>
  <c r="L677" i="3"/>
  <c r="N677" i="3"/>
  <c r="K677" i="3"/>
  <c r="AJ676" i="3"/>
  <c r="AL676" i="3"/>
  <c r="AI676" i="3"/>
  <c r="X676" i="3"/>
  <c r="Z676" i="3"/>
  <c r="W676" i="3"/>
  <c r="O676" i="3"/>
  <c r="M676" i="3"/>
  <c r="L676" i="3"/>
  <c r="N676" i="3"/>
  <c r="K676" i="3"/>
  <c r="AJ675" i="3"/>
  <c r="AL675" i="3"/>
  <c r="AI675" i="3"/>
  <c r="X675" i="3"/>
  <c r="Z675" i="3"/>
  <c r="W675" i="3"/>
  <c r="O675" i="3"/>
  <c r="M675" i="3"/>
  <c r="L675" i="3"/>
  <c r="N675" i="3"/>
  <c r="K675" i="3"/>
  <c r="AJ674" i="3"/>
  <c r="AL674" i="3"/>
  <c r="AI674" i="3"/>
  <c r="X674" i="3"/>
  <c r="Z674" i="3"/>
  <c r="W674" i="3"/>
  <c r="O674" i="3"/>
  <c r="M674" i="3"/>
  <c r="L674" i="3"/>
  <c r="N674" i="3"/>
  <c r="K674" i="3"/>
  <c r="AJ673" i="3"/>
  <c r="AL673" i="3"/>
  <c r="AI673" i="3"/>
  <c r="X673" i="3"/>
  <c r="Z673" i="3"/>
  <c r="W673" i="3"/>
  <c r="O673" i="3"/>
  <c r="M673" i="3"/>
  <c r="L673" i="3"/>
  <c r="N673" i="3"/>
  <c r="K673" i="3"/>
  <c r="AJ672" i="3"/>
  <c r="AL672" i="3"/>
  <c r="AI672" i="3"/>
  <c r="X672" i="3"/>
  <c r="Z672" i="3"/>
  <c r="W672" i="3"/>
  <c r="O672" i="3"/>
  <c r="M672" i="3"/>
  <c r="L672" i="3"/>
  <c r="N672" i="3"/>
  <c r="K672" i="3"/>
  <c r="AJ671" i="3"/>
  <c r="AL671" i="3"/>
  <c r="AI671" i="3"/>
  <c r="X671" i="3"/>
  <c r="Z671" i="3"/>
  <c r="W671" i="3"/>
  <c r="O671" i="3"/>
  <c r="M671" i="3"/>
  <c r="L671" i="3"/>
  <c r="N671" i="3"/>
  <c r="K671" i="3"/>
  <c r="AJ670" i="3"/>
  <c r="AL670" i="3"/>
  <c r="AI670" i="3"/>
  <c r="X670" i="3"/>
  <c r="Z670" i="3"/>
  <c r="W670" i="3"/>
  <c r="O670" i="3"/>
  <c r="M670" i="3"/>
  <c r="L670" i="3"/>
  <c r="N670" i="3"/>
  <c r="K670" i="3"/>
  <c r="AJ669" i="3"/>
  <c r="AL669" i="3"/>
  <c r="AI669" i="3"/>
  <c r="X669" i="3"/>
  <c r="Z669" i="3"/>
  <c r="W669" i="3"/>
  <c r="O669" i="3"/>
  <c r="M669" i="3"/>
  <c r="L669" i="3"/>
  <c r="N669" i="3"/>
  <c r="K669" i="3"/>
  <c r="AJ668" i="3"/>
  <c r="AL668" i="3"/>
  <c r="AI668" i="3"/>
  <c r="X668" i="3"/>
  <c r="Z668" i="3"/>
  <c r="W668" i="3"/>
  <c r="O668" i="3"/>
  <c r="M668" i="3"/>
  <c r="L668" i="3"/>
  <c r="N668" i="3"/>
  <c r="K668" i="3"/>
  <c r="AJ667" i="3"/>
  <c r="AL667" i="3"/>
  <c r="AI667" i="3"/>
  <c r="X667" i="3"/>
  <c r="Z667" i="3"/>
  <c r="W667" i="3"/>
  <c r="O667" i="3"/>
  <c r="M667" i="3"/>
  <c r="L667" i="3"/>
  <c r="N667" i="3"/>
  <c r="K667" i="3"/>
  <c r="AJ666" i="3"/>
  <c r="AL666" i="3"/>
  <c r="AI666" i="3"/>
  <c r="X666" i="3"/>
  <c r="Z666" i="3"/>
  <c r="W666" i="3"/>
  <c r="O666" i="3"/>
  <c r="M666" i="3"/>
  <c r="L666" i="3"/>
  <c r="N666" i="3"/>
  <c r="K666" i="3"/>
  <c r="AJ665" i="3"/>
  <c r="AL665" i="3"/>
  <c r="AI665" i="3"/>
  <c r="X665" i="3"/>
  <c r="Z665" i="3"/>
  <c r="W665" i="3"/>
  <c r="O665" i="3"/>
  <c r="M665" i="3"/>
  <c r="L665" i="3"/>
  <c r="N665" i="3"/>
  <c r="K665" i="3"/>
  <c r="AJ664" i="3"/>
  <c r="AL664" i="3"/>
  <c r="AI664" i="3"/>
  <c r="X664" i="3"/>
  <c r="Z664" i="3"/>
  <c r="W664" i="3"/>
  <c r="O664" i="3"/>
  <c r="M664" i="3"/>
  <c r="L664" i="3"/>
  <c r="N664" i="3"/>
  <c r="K664" i="3"/>
  <c r="AJ663" i="3"/>
  <c r="AL663" i="3"/>
  <c r="AI663" i="3"/>
  <c r="X663" i="3"/>
  <c r="Z663" i="3"/>
  <c r="W663" i="3"/>
  <c r="O663" i="3"/>
  <c r="M663" i="3"/>
  <c r="L663" i="3"/>
  <c r="N663" i="3"/>
  <c r="K663" i="3"/>
  <c r="AJ662" i="3"/>
  <c r="AL662" i="3"/>
  <c r="AI662" i="3"/>
  <c r="X662" i="3"/>
  <c r="Z662" i="3"/>
  <c r="W662" i="3"/>
  <c r="O662" i="3"/>
  <c r="M662" i="3"/>
  <c r="L662" i="3"/>
  <c r="N662" i="3"/>
  <c r="K662" i="3"/>
  <c r="AJ661" i="3"/>
  <c r="AL661" i="3"/>
  <c r="AI661" i="3"/>
  <c r="X661" i="3"/>
  <c r="Z661" i="3"/>
  <c r="W661" i="3"/>
  <c r="O661" i="3"/>
  <c r="M661" i="3"/>
  <c r="L661" i="3"/>
  <c r="N661" i="3"/>
  <c r="K661" i="3"/>
  <c r="AJ660" i="3"/>
  <c r="AL660" i="3"/>
  <c r="AI660" i="3"/>
  <c r="X660" i="3"/>
  <c r="Z660" i="3"/>
  <c r="W660" i="3"/>
  <c r="O660" i="3"/>
  <c r="M660" i="3"/>
  <c r="L660" i="3"/>
  <c r="N660" i="3"/>
  <c r="K660" i="3"/>
  <c r="AJ659" i="3"/>
  <c r="AL659" i="3"/>
  <c r="AI659" i="3"/>
  <c r="X659" i="3"/>
  <c r="Z659" i="3"/>
  <c r="W659" i="3"/>
  <c r="O659" i="3"/>
  <c r="M659" i="3"/>
  <c r="L659" i="3"/>
  <c r="N659" i="3"/>
  <c r="K659" i="3"/>
  <c r="AJ658" i="3"/>
  <c r="AL658" i="3"/>
  <c r="AI658" i="3"/>
  <c r="X658" i="3"/>
  <c r="Z658" i="3"/>
  <c r="W658" i="3"/>
  <c r="O658" i="3"/>
  <c r="M658" i="3"/>
  <c r="L658" i="3"/>
  <c r="N658" i="3"/>
  <c r="K658" i="3"/>
  <c r="AJ657" i="3"/>
  <c r="AL657" i="3"/>
  <c r="AI657" i="3"/>
  <c r="X657" i="3"/>
  <c r="Z657" i="3"/>
  <c r="W657" i="3"/>
  <c r="O657" i="3"/>
  <c r="M657" i="3"/>
  <c r="L657" i="3"/>
  <c r="N657" i="3"/>
  <c r="K657" i="3"/>
  <c r="AJ656" i="3"/>
  <c r="AL656" i="3"/>
  <c r="AI656" i="3"/>
  <c r="X656" i="3"/>
  <c r="Z656" i="3"/>
  <c r="W656" i="3"/>
  <c r="O656" i="3"/>
  <c r="M656" i="3"/>
  <c r="L656" i="3"/>
  <c r="N656" i="3"/>
  <c r="K656" i="3"/>
  <c r="AJ655" i="3"/>
  <c r="AL655" i="3"/>
  <c r="AI655" i="3"/>
  <c r="X655" i="3"/>
  <c r="Z655" i="3"/>
  <c r="W655" i="3"/>
  <c r="O655" i="3"/>
  <c r="M655" i="3"/>
  <c r="L655" i="3"/>
  <c r="N655" i="3"/>
  <c r="K655" i="3"/>
  <c r="AJ654" i="3"/>
  <c r="AL654" i="3"/>
  <c r="AI654" i="3"/>
  <c r="X654" i="3"/>
  <c r="Z654" i="3"/>
  <c r="W654" i="3"/>
  <c r="O654" i="3"/>
  <c r="M654" i="3"/>
  <c r="L654" i="3"/>
  <c r="N654" i="3"/>
  <c r="K654" i="3"/>
  <c r="AJ653" i="3"/>
  <c r="AL653" i="3"/>
  <c r="AI653" i="3"/>
  <c r="X653" i="3"/>
  <c r="Z653" i="3"/>
  <c r="W653" i="3"/>
  <c r="O653" i="3"/>
  <c r="M653" i="3"/>
  <c r="L653" i="3"/>
  <c r="N653" i="3"/>
  <c r="K653" i="3"/>
  <c r="AJ652" i="3"/>
  <c r="AL652" i="3"/>
  <c r="AI652" i="3"/>
  <c r="X652" i="3"/>
  <c r="Z652" i="3"/>
  <c r="W652" i="3"/>
  <c r="O652" i="3"/>
  <c r="M652" i="3"/>
  <c r="L652" i="3"/>
  <c r="N652" i="3"/>
  <c r="K652" i="3"/>
  <c r="AJ651" i="3"/>
  <c r="AL651" i="3"/>
  <c r="AI651" i="3"/>
  <c r="X651" i="3"/>
  <c r="Z651" i="3"/>
  <c r="W651" i="3"/>
  <c r="O651" i="3"/>
  <c r="M651" i="3"/>
  <c r="L651" i="3"/>
  <c r="N651" i="3"/>
  <c r="K651" i="3"/>
  <c r="AJ650" i="3"/>
  <c r="AL650" i="3"/>
  <c r="AI650" i="3"/>
  <c r="X650" i="3"/>
  <c r="Z650" i="3"/>
  <c r="W650" i="3"/>
  <c r="O650" i="3"/>
  <c r="M650" i="3"/>
  <c r="L650" i="3"/>
  <c r="N650" i="3"/>
  <c r="K650" i="3"/>
  <c r="AJ649" i="3"/>
  <c r="AL649" i="3"/>
  <c r="AI649" i="3"/>
  <c r="X649" i="3"/>
  <c r="Z649" i="3"/>
  <c r="W649" i="3"/>
  <c r="O649" i="3"/>
  <c r="M649" i="3"/>
  <c r="L649" i="3"/>
  <c r="N649" i="3"/>
  <c r="K649" i="3"/>
  <c r="AJ648" i="3"/>
  <c r="AL648" i="3"/>
  <c r="AI648" i="3"/>
  <c r="X648" i="3"/>
  <c r="Z648" i="3"/>
  <c r="W648" i="3"/>
  <c r="O648" i="3"/>
  <c r="M648" i="3"/>
  <c r="L648" i="3"/>
  <c r="N648" i="3"/>
  <c r="K648" i="3"/>
  <c r="AJ647" i="3"/>
  <c r="AL647" i="3"/>
  <c r="AI647" i="3"/>
  <c r="X647" i="3"/>
  <c r="Z647" i="3"/>
  <c r="W647" i="3"/>
  <c r="O647" i="3"/>
  <c r="M647" i="3"/>
  <c r="L647" i="3"/>
  <c r="N647" i="3"/>
  <c r="K647" i="3"/>
  <c r="AJ646" i="3"/>
  <c r="AL646" i="3"/>
  <c r="AI646" i="3"/>
  <c r="X646" i="3"/>
  <c r="Z646" i="3"/>
  <c r="W646" i="3"/>
  <c r="O646" i="3"/>
  <c r="M646" i="3"/>
  <c r="L646" i="3"/>
  <c r="N646" i="3"/>
  <c r="K646" i="3"/>
  <c r="AJ645" i="3"/>
  <c r="AL645" i="3"/>
  <c r="AI645" i="3"/>
  <c r="X645" i="3"/>
  <c r="Z645" i="3"/>
  <c r="W645" i="3"/>
  <c r="O645" i="3"/>
  <c r="M645" i="3"/>
  <c r="L645" i="3"/>
  <c r="N645" i="3"/>
  <c r="K645" i="3"/>
  <c r="AJ644" i="3"/>
  <c r="AL644" i="3"/>
  <c r="AI644" i="3"/>
  <c r="X644" i="3"/>
  <c r="Z644" i="3"/>
  <c r="W644" i="3"/>
  <c r="O644" i="3"/>
  <c r="M644" i="3"/>
  <c r="L644" i="3"/>
  <c r="N644" i="3"/>
  <c r="K644" i="3"/>
  <c r="AJ643" i="3"/>
  <c r="AL643" i="3"/>
  <c r="AI643" i="3"/>
  <c r="X643" i="3"/>
  <c r="Z643" i="3"/>
  <c r="W643" i="3"/>
  <c r="O643" i="3"/>
  <c r="M643" i="3"/>
  <c r="L643" i="3"/>
  <c r="N643" i="3"/>
  <c r="K643" i="3"/>
  <c r="AJ642" i="3"/>
  <c r="AL642" i="3"/>
  <c r="AI642" i="3"/>
  <c r="X642" i="3"/>
  <c r="Z642" i="3"/>
  <c r="W642" i="3"/>
  <c r="O642" i="3"/>
  <c r="M642" i="3"/>
  <c r="L642" i="3"/>
  <c r="N642" i="3"/>
  <c r="K642" i="3"/>
  <c r="AJ641" i="3"/>
  <c r="AL641" i="3"/>
  <c r="AI641" i="3"/>
  <c r="X641" i="3"/>
  <c r="Z641" i="3"/>
  <c r="W641" i="3"/>
  <c r="O641" i="3"/>
  <c r="M641" i="3"/>
  <c r="L641" i="3"/>
  <c r="N641" i="3"/>
  <c r="K641" i="3"/>
  <c r="AJ640" i="3"/>
  <c r="AL640" i="3"/>
  <c r="AI640" i="3"/>
  <c r="X640" i="3"/>
  <c r="Z640" i="3"/>
  <c r="W640" i="3"/>
  <c r="O640" i="3"/>
  <c r="M640" i="3"/>
  <c r="L640" i="3"/>
  <c r="N640" i="3"/>
  <c r="K640" i="3"/>
  <c r="AJ639" i="3"/>
  <c r="AL639" i="3"/>
  <c r="AI639" i="3"/>
  <c r="X639" i="3"/>
  <c r="Z639" i="3"/>
  <c r="W639" i="3"/>
  <c r="O639" i="3"/>
  <c r="M639" i="3"/>
  <c r="L639" i="3"/>
  <c r="N639" i="3"/>
  <c r="K639" i="3"/>
  <c r="AJ638" i="3"/>
  <c r="AL638" i="3"/>
  <c r="AI638" i="3"/>
  <c r="X638" i="3"/>
  <c r="Z638" i="3"/>
  <c r="W638" i="3"/>
  <c r="O638" i="3"/>
  <c r="M638" i="3"/>
  <c r="L638" i="3"/>
  <c r="N638" i="3"/>
  <c r="K638" i="3"/>
  <c r="AJ637" i="3"/>
  <c r="AL637" i="3"/>
  <c r="AI637" i="3"/>
  <c r="X637" i="3"/>
  <c r="Z637" i="3"/>
  <c r="W637" i="3"/>
  <c r="O637" i="3"/>
  <c r="M637" i="3"/>
  <c r="L637" i="3"/>
  <c r="N637" i="3"/>
  <c r="K637" i="3"/>
  <c r="AJ636" i="3"/>
  <c r="AL636" i="3"/>
  <c r="AI636" i="3"/>
  <c r="X636" i="3"/>
  <c r="Z636" i="3"/>
  <c r="W636" i="3"/>
  <c r="O636" i="3"/>
  <c r="M636" i="3"/>
  <c r="L636" i="3"/>
  <c r="N636" i="3"/>
  <c r="K636" i="3"/>
  <c r="AJ635" i="3"/>
  <c r="AL635" i="3"/>
  <c r="AI635" i="3"/>
  <c r="X635" i="3"/>
  <c r="Z635" i="3"/>
  <c r="W635" i="3"/>
  <c r="O635" i="3"/>
  <c r="M635" i="3"/>
  <c r="L635" i="3"/>
  <c r="N635" i="3"/>
  <c r="K635" i="3"/>
  <c r="AJ634" i="3"/>
  <c r="AL634" i="3"/>
  <c r="AI634" i="3"/>
  <c r="X634" i="3"/>
  <c r="Z634" i="3"/>
  <c r="W634" i="3"/>
  <c r="O634" i="3"/>
  <c r="M634" i="3"/>
  <c r="L634" i="3"/>
  <c r="N634" i="3"/>
  <c r="K634" i="3"/>
  <c r="AJ633" i="3"/>
  <c r="AL633" i="3"/>
  <c r="AI633" i="3"/>
  <c r="X633" i="3"/>
  <c r="Z633" i="3"/>
  <c r="W633" i="3"/>
  <c r="O633" i="3"/>
  <c r="M633" i="3"/>
  <c r="L633" i="3"/>
  <c r="N633" i="3"/>
  <c r="K633" i="3"/>
  <c r="AJ632" i="3"/>
  <c r="AL632" i="3"/>
  <c r="AI632" i="3"/>
  <c r="X632" i="3"/>
  <c r="Z632" i="3"/>
  <c r="W632" i="3"/>
  <c r="O632" i="3"/>
  <c r="M632" i="3"/>
  <c r="L632" i="3"/>
  <c r="N632" i="3"/>
  <c r="K632" i="3"/>
  <c r="AJ631" i="3"/>
  <c r="AL631" i="3"/>
  <c r="AI631" i="3"/>
  <c r="X631" i="3"/>
  <c r="Z631" i="3"/>
  <c r="W631" i="3"/>
  <c r="O631" i="3"/>
  <c r="M631" i="3"/>
  <c r="L631" i="3"/>
  <c r="N631" i="3"/>
  <c r="K631" i="3"/>
  <c r="AJ630" i="3"/>
  <c r="AL630" i="3"/>
  <c r="AI630" i="3"/>
  <c r="X630" i="3"/>
  <c r="Z630" i="3"/>
  <c r="W630" i="3"/>
  <c r="O630" i="3"/>
  <c r="M630" i="3"/>
  <c r="L630" i="3"/>
  <c r="N630" i="3"/>
  <c r="K630" i="3"/>
  <c r="AJ629" i="3"/>
  <c r="AL629" i="3"/>
  <c r="AI629" i="3"/>
  <c r="X629" i="3"/>
  <c r="Z629" i="3"/>
  <c r="W629" i="3"/>
  <c r="O629" i="3"/>
  <c r="M629" i="3"/>
  <c r="L629" i="3"/>
  <c r="N629" i="3"/>
  <c r="K629" i="3"/>
  <c r="AJ628" i="3"/>
  <c r="AL628" i="3"/>
  <c r="AI628" i="3"/>
  <c r="X628" i="3"/>
  <c r="Z628" i="3"/>
  <c r="W628" i="3"/>
  <c r="O628" i="3"/>
  <c r="M628" i="3"/>
  <c r="L628" i="3"/>
  <c r="N628" i="3"/>
  <c r="K628" i="3"/>
  <c r="AJ627" i="3"/>
  <c r="AL627" i="3"/>
  <c r="AI627" i="3"/>
  <c r="X627" i="3"/>
  <c r="Z627" i="3"/>
  <c r="W627" i="3"/>
  <c r="O627" i="3"/>
  <c r="M627" i="3"/>
  <c r="L627" i="3"/>
  <c r="N627" i="3"/>
  <c r="K627" i="3"/>
  <c r="AJ626" i="3"/>
  <c r="AL626" i="3"/>
  <c r="AI626" i="3"/>
  <c r="X626" i="3"/>
  <c r="Z626" i="3"/>
  <c r="W626" i="3"/>
  <c r="O626" i="3"/>
  <c r="M626" i="3"/>
  <c r="L626" i="3"/>
  <c r="N626" i="3"/>
  <c r="K626" i="3"/>
  <c r="AJ625" i="3"/>
  <c r="AL625" i="3"/>
  <c r="AI625" i="3"/>
  <c r="X625" i="3"/>
  <c r="Z625" i="3"/>
  <c r="W625" i="3"/>
  <c r="O625" i="3"/>
  <c r="M625" i="3"/>
  <c r="L625" i="3"/>
  <c r="N625" i="3"/>
  <c r="K625" i="3"/>
  <c r="AJ624" i="3"/>
  <c r="AL624" i="3"/>
  <c r="AI624" i="3"/>
  <c r="X624" i="3"/>
  <c r="Z624" i="3"/>
  <c r="W624" i="3"/>
  <c r="O624" i="3"/>
  <c r="M624" i="3"/>
  <c r="L624" i="3"/>
  <c r="N624" i="3"/>
  <c r="K624" i="3"/>
  <c r="AJ623" i="3"/>
  <c r="AL623" i="3"/>
  <c r="AI623" i="3"/>
  <c r="X623" i="3"/>
  <c r="Z623" i="3"/>
  <c r="W623" i="3"/>
  <c r="O623" i="3"/>
  <c r="M623" i="3"/>
  <c r="L623" i="3"/>
  <c r="N623" i="3"/>
  <c r="K623" i="3"/>
  <c r="AJ622" i="3"/>
  <c r="AL622" i="3"/>
  <c r="AI622" i="3"/>
  <c r="X622" i="3"/>
  <c r="Z622" i="3"/>
  <c r="W622" i="3"/>
  <c r="O622" i="3"/>
  <c r="M622" i="3"/>
  <c r="L622" i="3"/>
  <c r="N622" i="3"/>
  <c r="K622" i="3"/>
  <c r="AJ621" i="3"/>
  <c r="AL621" i="3"/>
  <c r="AI621" i="3"/>
  <c r="X621" i="3"/>
  <c r="Z621" i="3"/>
  <c r="W621" i="3"/>
  <c r="O621" i="3"/>
  <c r="M621" i="3"/>
  <c r="L621" i="3"/>
  <c r="N621" i="3"/>
  <c r="K621" i="3"/>
  <c r="AJ620" i="3"/>
  <c r="AL620" i="3"/>
  <c r="AI620" i="3"/>
  <c r="X620" i="3"/>
  <c r="Z620" i="3"/>
  <c r="W620" i="3"/>
  <c r="O620" i="3"/>
  <c r="M620" i="3"/>
  <c r="L620" i="3"/>
  <c r="N620" i="3"/>
  <c r="K620" i="3"/>
  <c r="AJ619" i="3"/>
  <c r="AL619" i="3"/>
  <c r="AI619" i="3"/>
  <c r="X619" i="3"/>
  <c r="Z619" i="3"/>
  <c r="W619" i="3"/>
  <c r="O619" i="3"/>
  <c r="M619" i="3"/>
  <c r="L619" i="3"/>
  <c r="N619" i="3"/>
  <c r="K619" i="3"/>
  <c r="AJ618" i="3"/>
  <c r="AL618" i="3"/>
  <c r="AI618" i="3"/>
  <c r="X618" i="3"/>
  <c r="Z618" i="3"/>
  <c r="W618" i="3"/>
  <c r="O618" i="3"/>
  <c r="M618" i="3"/>
  <c r="L618" i="3"/>
  <c r="N618" i="3"/>
  <c r="K618" i="3"/>
  <c r="AJ617" i="3"/>
  <c r="AL617" i="3"/>
  <c r="AI617" i="3"/>
  <c r="X617" i="3"/>
  <c r="Z617" i="3"/>
  <c r="W617" i="3"/>
  <c r="O617" i="3"/>
  <c r="M617" i="3"/>
  <c r="L617" i="3"/>
  <c r="N617" i="3"/>
  <c r="K617" i="3"/>
  <c r="AJ616" i="3"/>
  <c r="AL616" i="3"/>
  <c r="AI616" i="3"/>
  <c r="X616" i="3"/>
  <c r="Z616" i="3"/>
  <c r="W616" i="3"/>
  <c r="O616" i="3"/>
  <c r="M616" i="3"/>
  <c r="L616" i="3"/>
  <c r="N616" i="3"/>
  <c r="K616" i="3"/>
  <c r="AJ615" i="3"/>
  <c r="AL615" i="3"/>
  <c r="AI615" i="3"/>
  <c r="X615" i="3"/>
  <c r="Z615" i="3"/>
  <c r="W615" i="3"/>
  <c r="O615" i="3"/>
  <c r="M615" i="3"/>
  <c r="L615" i="3"/>
  <c r="N615" i="3"/>
  <c r="K615" i="3"/>
  <c r="AJ614" i="3"/>
  <c r="AL614" i="3"/>
  <c r="AI614" i="3"/>
  <c r="X614" i="3"/>
  <c r="Z614" i="3"/>
  <c r="W614" i="3"/>
  <c r="O614" i="3"/>
  <c r="M614" i="3"/>
  <c r="L614" i="3"/>
  <c r="N614" i="3"/>
  <c r="K614" i="3"/>
  <c r="AJ613" i="3"/>
  <c r="AL613" i="3"/>
  <c r="AI613" i="3"/>
  <c r="X613" i="3"/>
  <c r="Z613" i="3"/>
  <c r="W613" i="3"/>
  <c r="O613" i="3"/>
  <c r="M613" i="3"/>
  <c r="L613" i="3"/>
  <c r="N613" i="3"/>
  <c r="K613" i="3"/>
  <c r="AJ612" i="3"/>
  <c r="AL612" i="3"/>
  <c r="AI612" i="3"/>
  <c r="X612" i="3"/>
  <c r="Z612" i="3"/>
  <c r="W612" i="3"/>
  <c r="O612" i="3"/>
  <c r="M612" i="3"/>
  <c r="L612" i="3"/>
  <c r="N612" i="3"/>
  <c r="K612" i="3"/>
  <c r="AJ611" i="3"/>
  <c r="AL611" i="3"/>
  <c r="AI611" i="3"/>
  <c r="X611" i="3"/>
  <c r="Z611" i="3"/>
  <c r="W611" i="3"/>
  <c r="O611" i="3"/>
  <c r="M611" i="3"/>
  <c r="L611" i="3"/>
  <c r="N611" i="3"/>
  <c r="K611" i="3"/>
  <c r="AJ610" i="3"/>
  <c r="AL610" i="3"/>
  <c r="AI610" i="3"/>
  <c r="X610" i="3"/>
  <c r="Z610" i="3"/>
  <c r="W610" i="3"/>
  <c r="O610" i="3"/>
  <c r="M610" i="3"/>
  <c r="L610" i="3"/>
  <c r="N610" i="3"/>
  <c r="K610" i="3"/>
  <c r="AJ609" i="3"/>
  <c r="AL609" i="3"/>
  <c r="AI609" i="3"/>
  <c r="X609" i="3"/>
  <c r="Z609" i="3"/>
  <c r="W609" i="3"/>
  <c r="O609" i="3"/>
  <c r="M609" i="3"/>
  <c r="L609" i="3"/>
  <c r="N609" i="3"/>
  <c r="K609" i="3"/>
  <c r="AJ608" i="3"/>
  <c r="AL608" i="3"/>
  <c r="AI608" i="3"/>
  <c r="X608" i="3"/>
  <c r="Z608" i="3"/>
  <c r="W608" i="3"/>
  <c r="O608" i="3"/>
  <c r="M608" i="3"/>
  <c r="L608" i="3"/>
  <c r="N608" i="3"/>
  <c r="K608" i="3"/>
  <c r="AJ607" i="3"/>
  <c r="AL607" i="3"/>
  <c r="AI607" i="3"/>
  <c r="X607" i="3"/>
  <c r="Z607" i="3"/>
  <c r="W607" i="3"/>
  <c r="O607" i="3"/>
  <c r="M607" i="3"/>
  <c r="L607" i="3"/>
  <c r="N607" i="3"/>
  <c r="K607" i="3"/>
  <c r="AJ606" i="3"/>
  <c r="AL606" i="3"/>
  <c r="AI606" i="3"/>
  <c r="X606" i="3"/>
  <c r="Z606" i="3"/>
  <c r="W606" i="3"/>
  <c r="O606" i="3"/>
  <c r="M606" i="3"/>
  <c r="L606" i="3"/>
  <c r="N606" i="3"/>
  <c r="K606" i="3"/>
  <c r="AJ605" i="3"/>
  <c r="AL605" i="3"/>
  <c r="AI605" i="3"/>
  <c r="X605" i="3"/>
  <c r="Z605" i="3"/>
  <c r="W605" i="3"/>
  <c r="O605" i="3"/>
  <c r="M605" i="3"/>
  <c r="L605" i="3"/>
  <c r="N605" i="3"/>
  <c r="K605" i="3"/>
  <c r="AJ604" i="3"/>
  <c r="AL604" i="3"/>
  <c r="AI604" i="3"/>
  <c r="X604" i="3"/>
  <c r="Z604" i="3"/>
  <c r="W604" i="3"/>
  <c r="O604" i="3"/>
  <c r="M604" i="3"/>
  <c r="L604" i="3"/>
  <c r="N604" i="3"/>
  <c r="K604" i="3"/>
  <c r="AJ603" i="3"/>
  <c r="AL603" i="3"/>
  <c r="AI603" i="3"/>
  <c r="X603" i="3"/>
  <c r="Z603" i="3"/>
  <c r="W603" i="3"/>
  <c r="O603" i="3"/>
  <c r="M603" i="3"/>
  <c r="L603" i="3"/>
  <c r="N603" i="3"/>
  <c r="K603" i="3"/>
  <c r="AJ602" i="3"/>
  <c r="AL602" i="3"/>
  <c r="AI602" i="3"/>
  <c r="X602" i="3"/>
  <c r="Z602" i="3"/>
  <c r="W602" i="3"/>
  <c r="O602" i="3"/>
  <c r="M602" i="3"/>
  <c r="L602" i="3"/>
  <c r="N602" i="3"/>
  <c r="K602" i="3"/>
  <c r="AJ601" i="3"/>
  <c r="AL601" i="3"/>
  <c r="AI601" i="3"/>
  <c r="X601" i="3"/>
  <c r="Z601" i="3"/>
  <c r="W601" i="3"/>
  <c r="O601" i="3"/>
  <c r="M601" i="3"/>
  <c r="L601" i="3"/>
  <c r="N601" i="3"/>
  <c r="K601" i="3"/>
  <c r="AJ600" i="3"/>
  <c r="AL600" i="3"/>
  <c r="AI600" i="3"/>
  <c r="X600" i="3"/>
  <c r="Z600" i="3"/>
  <c r="W600" i="3"/>
  <c r="O600" i="3"/>
  <c r="M600" i="3"/>
  <c r="L600" i="3"/>
  <c r="N600" i="3"/>
  <c r="K600" i="3"/>
  <c r="AJ599" i="3"/>
  <c r="AL599" i="3"/>
  <c r="AI599" i="3"/>
  <c r="X599" i="3"/>
  <c r="Z599" i="3"/>
  <c r="W599" i="3"/>
  <c r="O599" i="3"/>
  <c r="M599" i="3"/>
  <c r="L599" i="3"/>
  <c r="N599" i="3"/>
  <c r="K599" i="3"/>
  <c r="AJ598" i="3"/>
  <c r="AL598" i="3"/>
  <c r="AI598" i="3"/>
  <c r="X598" i="3"/>
  <c r="Z598" i="3"/>
  <c r="W598" i="3"/>
  <c r="O598" i="3"/>
  <c r="M598" i="3"/>
  <c r="L598" i="3"/>
  <c r="N598" i="3"/>
  <c r="K598" i="3"/>
  <c r="AJ597" i="3"/>
  <c r="AL597" i="3"/>
  <c r="AI597" i="3"/>
  <c r="X597" i="3"/>
  <c r="Z597" i="3"/>
  <c r="W597" i="3"/>
  <c r="O597" i="3"/>
  <c r="M597" i="3"/>
  <c r="L597" i="3"/>
  <c r="N597" i="3"/>
  <c r="K597" i="3"/>
  <c r="AJ596" i="3"/>
  <c r="AL596" i="3"/>
  <c r="AI596" i="3"/>
  <c r="X596" i="3"/>
  <c r="Z596" i="3"/>
  <c r="W596" i="3"/>
  <c r="O596" i="3"/>
  <c r="M596" i="3"/>
  <c r="L596" i="3"/>
  <c r="N596" i="3"/>
  <c r="K596" i="3"/>
  <c r="AJ595" i="3"/>
  <c r="AL595" i="3"/>
  <c r="AI595" i="3"/>
  <c r="X595" i="3"/>
  <c r="Z595" i="3"/>
  <c r="W595" i="3"/>
  <c r="O595" i="3"/>
  <c r="M595" i="3"/>
  <c r="L595" i="3"/>
  <c r="N595" i="3"/>
  <c r="K595" i="3"/>
  <c r="AJ594" i="3"/>
  <c r="AL594" i="3"/>
  <c r="AI594" i="3"/>
  <c r="X594" i="3"/>
  <c r="Z594" i="3"/>
  <c r="W594" i="3"/>
  <c r="O594" i="3"/>
  <c r="M594" i="3"/>
  <c r="L594" i="3"/>
  <c r="N594" i="3"/>
  <c r="K594" i="3"/>
  <c r="AJ593" i="3"/>
  <c r="AL593" i="3"/>
  <c r="AI593" i="3"/>
  <c r="X593" i="3"/>
  <c r="Z593" i="3"/>
  <c r="W593" i="3"/>
  <c r="O593" i="3"/>
  <c r="M593" i="3"/>
  <c r="L593" i="3"/>
  <c r="N593" i="3"/>
  <c r="K593" i="3"/>
  <c r="AJ592" i="3"/>
  <c r="AL592" i="3"/>
  <c r="AI592" i="3"/>
  <c r="X592" i="3"/>
  <c r="Z592" i="3"/>
  <c r="W592" i="3"/>
  <c r="O592" i="3"/>
  <c r="M592" i="3"/>
  <c r="L592" i="3"/>
  <c r="N592" i="3"/>
  <c r="K592" i="3"/>
  <c r="AJ591" i="3"/>
  <c r="AL591" i="3"/>
  <c r="AI591" i="3"/>
  <c r="X591" i="3"/>
  <c r="Z591" i="3"/>
  <c r="W591" i="3"/>
  <c r="O591" i="3"/>
  <c r="M591" i="3"/>
  <c r="L591" i="3"/>
  <c r="N591" i="3"/>
  <c r="K591" i="3"/>
  <c r="AJ590" i="3"/>
  <c r="AL590" i="3"/>
  <c r="AI590" i="3"/>
  <c r="X590" i="3"/>
  <c r="Z590" i="3"/>
  <c r="W590" i="3"/>
  <c r="O590" i="3"/>
  <c r="M590" i="3"/>
  <c r="L590" i="3"/>
  <c r="N590" i="3"/>
  <c r="K590" i="3"/>
  <c r="AJ589" i="3"/>
  <c r="AL589" i="3"/>
  <c r="AI589" i="3"/>
  <c r="X589" i="3"/>
  <c r="Z589" i="3"/>
  <c r="W589" i="3"/>
  <c r="O589" i="3"/>
  <c r="M589" i="3"/>
  <c r="L589" i="3"/>
  <c r="N589" i="3"/>
  <c r="K589" i="3"/>
  <c r="AJ588" i="3"/>
  <c r="AL588" i="3"/>
  <c r="AI588" i="3"/>
  <c r="X588" i="3"/>
  <c r="Z588" i="3"/>
  <c r="W588" i="3"/>
  <c r="O588" i="3"/>
  <c r="M588" i="3"/>
  <c r="L588" i="3"/>
  <c r="N588" i="3"/>
  <c r="K588" i="3"/>
  <c r="AJ587" i="3"/>
  <c r="AL587" i="3"/>
  <c r="AI587" i="3"/>
  <c r="X587" i="3"/>
  <c r="Z587" i="3"/>
  <c r="W587" i="3"/>
  <c r="O587" i="3"/>
  <c r="M587" i="3"/>
  <c r="L587" i="3"/>
  <c r="N587" i="3"/>
  <c r="K587" i="3"/>
  <c r="AJ586" i="3"/>
  <c r="AL586" i="3"/>
  <c r="AI586" i="3"/>
  <c r="X586" i="3"/>
  <c r="Z586" i="3"/>
  <c r="W586" i="3"/>
  <c r="O586" i="3"/>
  <c r="M586" i="3"/>
  <c r="L586" i="3"/>
  <c r="N586" i="3"/>
  <c r="K586" i="3"/>
  <c r="AJ585" i="3"/>
  <c r="AL585" i="3"/>
  <c r="AI585" i="3"/>
  <c r="X585" i="3"/>
  <c r="Z585" i="3"/>
  <c r="W585" i="3"/>
  <c r="O585" i="3"/>
  <c r="M585" i="3"/>
  <c r="L585" i="3"/>
  <c r="N585" i="3"/>
  <c r="K585" i="3"/>
  <c r="AJ584" i="3"/>
  <c r="AL584" i="3"/>
  <c r="AI584" i="3"/>
  <c r="X584" i="3"/>
  <c r="Z584" i="3"/>
  <c r="W584" i="3"/>
  <c r="O584" i="3"/>
  <c r="M584" i="3"/>
  <c r="L584" i="3"/>
  <c r="N584" i="3"/>
  <c r="K584" i="3"/>
  <c r="AJ583" i="3"/>
  <c r="AL583" i="3"/>
  <c r="AI583" i="3"/>
  <c r="X583" i="3"/>
  <c r="Z583" i="3"/>
  <c r="W583" i="3"/>
  <c r="O583" i="3"/>
  <c r="M583" i="3"/>
  <c r="L583" i="3"/>
  <c r="N583" i="3"/>
  <c r="K583" i="3"/>
  <c r="AJ582" i="3"/>
  <c r="AL582" i="3"/>
  <c r="AI582" i="3"/>
  <c r="X582" i="3"/>
  <c r="Z582" i="3"/>
  <c r="W582" i="3"/>
  <c r="O582" i="3"/>
  <c r="M582" i="3"/>
  <c r="L582" i="3"/>
  <c r="N582" i="3"/>
  <c r="K582" i="3"/>
  <c r="AJ581" i="3"/>
  <c r="AL581" i="3"/>
  <c r="AI581" i="3"/>
  <c r="X581" i="3"/>
  <c r="Z581" i="3"/>
  <c r="W581" i="3"/>
  <c r="O581" i="3"/>
  <c r="M581" i="3"/>
  <c r="L581" i="3"/>
  <c r="N581" i="3"/>
  <c r="K581" i="3"/>
  <c r="AJ580" i="3"/>
  <c r="AL580" i="3"/>
  <c r="AI580" i="3"/>
  <c r="X580" i="3"/>
  <c r="Z580" i="3"/>
  <c r="W580" i="3"/>
  <c r="O580" i="3"/>
  <c r="M580" i="3"/>
  <c r="L580" i="3"/>
  <c r="N580" i="3"/>
  <c r="K580" i="3"/>
  <c r="AJ579" i="3"/>
  <c r="AL579" i="3"/>
  <c r="AI579" i="3"/>
  <c r="X579" i="3"/>
  <c r="Z579" i="3"/>
  <c r="W579" i="3"/>
  <c r="O579" i="3"/>
  <c r="M579" i="3"/>
  <c r="L579" i="3"/>
  <c r="N579" i="3"/>
  <c r="K579" i="3"/>
  <c r="AJ578" i="3"/>
  <c r="AL578" i="3"/>
  <c r="AI578" i="3"/>
  <c r="X578" i="3"/>
  <c r="Z578" i="3"/>
  <c r="W578" i="3"/>
  <c r="O578" i="3"/>
  <c r="M578" i="3"/>
  <c r="L578" i="3"/>
  <c r="N578" i="3"/>
  <c r="K578" i="3"/>
  <c r="AJ577" i="3"/>
  <c r="AL577" i="3"/>
  <c r="AI577" i="3"/>
  <c r="X577" i="3"/>
  <c r="Z577" i="3"/>
  <c r="W577" i="3"/>
  <c r="O577" i="3"/>
  <c r="M577" i="3"/>
  <c r="L577" i="3"/>
  <c r="N577" i="3"/>
  <c r="K577" i="3"/>
  <c r="AJ576" i="3"/>
  <c r="AL576" i="3"/>
  <c r="AI576" i="3"/>
  <c r="X576" i="3"/>
  <c r="Z576" i="3"/>
  <c r="W576" i="3"/>
  <c r="O576" i="3"/>
  <c r="M576" i="3"/>
  <c r="L576" i="3"/>
  <c r="N576" i="3"/>
  <c r="K576" i="3"/>
  <c r="AJ575" i="3"/>
  <c r="AL575" i="3"/>
  <c r="AI575" i="3"/>
  <c r="X575" i="3"/>
  <c r="Z575" i="3"/>
  <c r="W575" i="3"/>
  <c r="O575" i="3"/>
  <c r="M575" i="3"/>
  <c r="L575" i="3"/>
  <c r="N575" i="3"/>
  <c r="K575" i="3"/>
  <c r="AJ574" i="3"/>
  <c r="AL574" i="3"/>
  <c r="AI574" i="3"/>
  <c r="X574" i="3"/>
  <c r="Z574" i="3"/>
  <c r="W574" i="3"/>
  <c r="O574" i="3"/>
  <c r="M574" i="3"/>
  <c r="L574" i="3"/>
  <c r="N574" i="3"/>
  <c r="K574" i="3"/>
  <c r="AJ573" i="3"/>
  <c r="AL573" i="3"/>
  <c r="AI573" i="3"/>
  <c r="X573" i="3"/>
  <c r="Z573" i="3"/>
  <c r="W573" i="3"/>
  <c r="O573" i="3"/>
  <c r="M573" i="3"/>
  <c r="L573" i="3"/>
  <c r="N573" i="3"/>
  <c r="K573" i="3"/>
  <c r="AJ572" i="3"/>
  <c r="AL572" i="3"/>
  <c r="AI572" i="3"/>
  <c r="X572" i="3"/>
  <c r="Z572" i="3"/>
  <c r="W572" i="3"/>
  <c r="O572" i="3"/>
  <c r="M572" i="3"/>
  <c r="L572" i="3"/>
  <c r="N572" i="3"/>
  <c r="K572" i="3"/>
  <c r="AJ571" i="3"/>
  <c r="AL571" i="3"/>
  <c r="AI571" i="3"/>
  <c r="X571" i="3"/>
  <c r="Z571" i="3"/>
  <c r="W571" i="3"/>
  <c r="O571" i="3"/>
  <c r="M571" i="3"/>
  <c r="L571" i="3"/>
  <c r="N571" i="3"/>
  <c r="K571" i="3"/>
  <c r="AJ570" i="3"/>
  <c r="AL570" i="3"/>
  <c r="AI570" i="3"/>
  <c r="X570" i="3"/>
  <c r="Z570" i="3"/>
  <c r="W570" i="3"/>
  <c r="O570" i="3"/>
  <c r="M570" i="3"/>
  <c r="L570" i="3"/>
  <c r="N570" i="3"/>
  <c r="K570" i="3"/>
  <c r="AJ569" i="3"/>
  <c r="AL569" i="3"/>
  <c r="AI569" i="3"/>
  <c r="X569" i="3"/>
  <c r="Z569" i="3"/>
  <c r="W569" i="3"/>
  <c r="O569" i="3"/>
  <c r="M569" i="3"/>
  <c r="L569" i="3"/>
  <c r="N569" i="3"/>
  <c r="K569" i="3"/>
  <c r="AJ568" i="3"/>
  <c r="AL568" i="3"/>
  <c r="AI568" i="3"/>
  <c r="X568" i="3"/>
  <c r="Z568" i="3"/>
  <c r="W568" i="3"/>
  <c r="O568" i="3"/>
  <c r="M568" i="3"/>
  <c r="L568" i="3"/>
  <c r="N568" i="3"/>
  <c r="K568" i="3"/>
  <c r="AJ567" i="3"/>
  <c r="AL567" i="3"/>
  <c r="AI567" i="3"/>
  <c r="X567" i="3"/>
  <c r="Z567" i="3"/>
  <c r="W567" i="3"/>
  <c r="O567" i="3"/>
  <c r="M567" i="3"/>
  <c r="L567" i="3"/>
  <c r="N567" i="3"/>
  <c r="K567" i="3"/>
  <c r="AJ566" i="3"/>
  <c r="AL566" i="3"/>
  <c r="AI566" i="3"/>
  <c r="X566" i="3"/>
  <c r="Z566" i="3"/>
  <c r="W566" i="3"/>
  <c r="O566" i="3"/>
  <c r="M566" i="3"/>
  <c r="L566" i="3"/>
  <c r="N566" i="3"/>
  <c r="K566" i="3"/>
  <c r="AJ565" i="3"/>
  <c r="AL565" i="3"/>
  <c r="AI565" i="3"/>
  <c r="X565" i="3"/>
  <c r="Z565" i="3"/>
  <c r="W565" i="3"/>
  <c r="O565" i="3"/>
  <c r="M565" i="3"/>
  <c r="L565" i="3"/>
  <c r="N565" i="3"/>
  <c r="K565" i="3"/>
  <c r="AJ564" i="3"/>
  <c r="AL564" i="3"/>
  <c r="AI564" i="3"/>
  <c r="X564" i="3"/>
  <c r="Z564" i="3"/>
  <c r="W564" i="3"/>
  <c r="O564" i="3"/>
  <c r="M564" i="3"/>
  <c r="L564" i="3"/>
  <c r="N564" i="3"/>
  <c r="K564" i="3"/>
  <c r="AJ563" i="3"/>
  <c r="AL563" i="3"/>
  <c r="AI563" i="3"/>
  <c r="X563" i="3"/>
  <c r="Z563" i="3"/>
  <c r="W563" i="3"/>
  <c r="O563" i="3"/>
  <c r="M563" i="3"/>
  <c r="L563" i="3"/>
  <c r="N563" i="3"/>
  <c r="K563" i="3"/>
  <c r="AJ562" i="3"/>
  <c r="AL562" i="3"/>
  <c r="AI562" i="3"/>
  <c r="X562" i="3"/>
  <c r="Z562" i="3"/>
  <c r="W562" i="3"/>
  <c r="O562" i="3"/>
  <c r="M562" i="3"/>
  <c r="L562" i="3"/>
  <c r="N562" i="3"/>
  <c r="K562" i="3"/>
  <c r="AJ561" i="3"/>
  <c r="AL561" i="3"/>
  <c r="AI561" i="3"/>
  <c r="X561" i="3"/>
  <c r="Z561" i="3"/>
  <c r="W561" i="3"/>
  <c r="O561" i="3"/>
  <c r="M561" i="3"/>
  <c r="L561" i="3"/>
  <c r="N561" i="3"/>
  <c r="K561" i="3"/>
  <c r="AJ560" i="3"/>
  <c r="AL560" i="3"/>
  <c r="AI560" i="3"/>
  <c r="X560" i="3"/>
  <c r="Z560" i="3"/>
  <c r="W560" i="3"/>
  <c r="O560" i="3"/>
  <c r="M560" i="3"/>
  <c r="L560" i="3"/>
  <c r="N560" i="3"/>
  <c r="K560" i="3"/>
  <c r="AJ559" i="3"/>
  <c r="AL559" i="3"/>
  <c r="AI559" i="3"/>
  <c r="X559" i="3"/>
  <c r="Z559" i="3"/>
  <c r="W559" i="3"/>
  <c r="O559" i="3"/>
  <c r="M559" i="3"/>
  <c r="L559" i="3"/>
  <c r="N559" i="3"/>
  <c r="K559" i="3"/>
  <c r="AJ558" i="3"/>
  <c r="AL558" i="3"/>
  <c r="AI558" i="3"/>
  <c r="X558" i="3"/>
  <c r="Z558" i="3"/>
  <c r="W558" i="3"/>
  <c r="O558" i="3"/>
  <c r="M558" i="3"/>
  <c r="L558" i="3"/>
  <c r="N558" i="3"/>
  <c r="K558" i="3"/>
  <c r="AJ557" i="3"/>
  <c r="AL557" i="3"/>
  <c r="AI557" i="3"/>
  <c r="X557" i="3"/>
  <c r="Z557" i="3"/>
  <c r="W557" i="3"/>
  <c r="O557" i="3"/>
  <c r="M557" i="3"/>
  <c r="L557" i="3"/>
  <c r="N557" i="3"/>
  <c r="K557" i="3"/>
  <c r="AJ556" i="3"/>
  <c r="AL556" i="3"/>
  <c r="AI556" i="3"/>
  <c r="X556" i="3"/>
  <c r="Z556" i="3"/>
  <c r="W556" i="3"/>
  <c r="O556" i="3"/>
  <c r="M556" i="3"/>
  <c r="L556" i="3"/>
  <c r="N556" i="3"/>
  <c r="K556" i="3"/>
  <c r="AJ555" i="3"/>
  <c r="AL555" i="3"/>
  <c r="AI555" i="3"/>
  <c r="X555" i="3"/>
  <c r="Z555" i="3"/>
  <c r="W555" i="3"/>
  <c r="O555" i="3"/>
  <c r="M555" i="3"/>
  <c r="L555" i="3"/>
  <c r="N555" i="3"/>
  <c r="K555" i="3"/>
  <c r="AJ554" i="3"/>
  <c r="AL554" i="3"/>
  <c r="AI554" i="3"/>
  <c r="X554" i="3"/>
  <c r="Z554" i="3"/>
  <c r="W554" i="3"/>
  <c r="O554" i="3"/>
  <c r="M554" i="3"/>
  <c r="L554" i="3"/>
  <c r="N554" i="3"/>
  <c r="K554" i="3"/>
  <c r="AJ553" i="3"/>
  <c r="AL553" i="3"/>
  <c r="AI553" i="3"/>
  <c r="X553" i="3"/>
  <c r="Z553" i="3"/>
  <c r="W553" i="3"/>
  <c r="O553" i="3"/>
  <c r="M553" i="3"/>
  <c r="L553" i="3"/>
  <c r="N553" i="3"/>
  <c r="K553" i="3"/>
  <c r="AJ552" i="3"/>
  <c r="AL552" i="3"/>
  <c r="AI552" i="3"/>
  <c r="X552" i="3"/>
  <c r="Z552" i="3"/>
  <c r="W552" i="3"/>
  <c r="O552" i="3"/>
  <c r="M552" i="3"/>
  <c r="L552" i="3"/>
  <c r="N552" i="3"/>
  <c r="K552" i="3"/>
  <c r="AJ551" i="3"/>
  <c r="AL551" i="3"/>
  <c r="AI551" i="3"/>
  <c r="X551" i="3"/>
  <c r="Z551" i="3"/>
  <c r="W551" i="3"/>
  <c r="O551" i="3"/>
  <c r="M551" i="3"/>
  <c r="L551" i="3"/>
  <c r="N551" i="3"/>
  <c r="K551" i="3"/>
  <c r="AJ550" i="3"/>
  <c r="AL550" i="3"/>
  <c r="AI550" i="3"/>
  <c r="X550" i="3"/>
  <c r="Z550" i="3"/>
  <c r="W550" i="3"/>
  <c r="O550" i="3"/>
  <c r="M550" i="3"/>
  <c r="L550" i="3"/>
  <c r="N550" i="3"/>
  <c r="K550" i="3"/>
  <c r="AJ549" i="3"/>
  <c r="AL549" i="3"/>
  <c r="AI549" i="3"/>
  <c r="X549" i="3"/>
  <c r="Z549" i="3"/>
  <c r="W549" i="3"/>
  <c r="O549" i="3"/>
  <c r="M549" i="3"/>
  <c r="L549" i="3"/>
  <c r="N549" i="3"/>
  <c r="K549" i="3"/>
  <c r="AJ548" i="3"/>
  <c r="AL548" i="3"/>
  <c r="AI548" i="3"/>
  <c r="X548" i="3"/>
  <c r="Z548" i="3"/>
  <c r="W548" i="3"/>
  <c r="O548" i="3"/>
  <c r="M548" i="3"/>
  <c r="L548" i="3"/>
  <c r="N548" i="3"/>
  <c r="K548" i="3"/>
  <c r="AJ547" i="3"/>
  <c r="AL547" i="3"/>
  <c r="AI547" i="3"/>
  <c r="X547" i="3"/>
  <c r="Z547" i="3"/>
  <c r="W547" i="3"/>
  <c r="O547" i="3"/>
  <c r="M547" i="3"/>
  <c r="L547" i="3"/>
  <c r="N547" i="3"/>
  <c r="K547" i="3"/>
  <c r="AJ546" i="3"/>
  <c r="AL546" i="3"/>
  <c r="AI546" i="3"/>
  <c r="X546" i="3"/>
  <c r="Z546" i="3"/>
  <c r="W546" i="3"/>
  <c r="O546" i="3"/>
  <c r="M546" i="3"/>
  <c r="L546" i="3"/>
  <c r="N546" i="3"/>
  <c r="K546" i="3"/>
  <c r="AJ545" i="3"/>
  <c r="AL545" i="3"/>
  <c r="AI545" i="3"/>
  <c r="X545" i="3"/>
  <c r="Z545" i="3"/>
  <c r="W545" i="3"/>
  <c r="O545" i="3"/>
  <c r="M545" i="3"/>
  <c r="L545" i="3"/>
  <c r="N545" i="3"/>
  <c r="K545" i="3"/>
  <c r="AJ544" i="3"/>
  <c r="AL544" i="3"/>
  <c r="AI544" i="3"/>
  <c r="X544" i="3"/>
  <c r="Z544" i="3"/>
  <c r="W544" i="3"/>
  <c r="O544" i="3"/>
  <c r="M544" i="3"/>
  <c r="L544" i="3"/>
  <c r="N544" i="3"/>
  <c r="K544" i="3"/>
  <c r="AJ543" i="3"/>
  <c r="AL543" i="3"/>
  <c r="AI543" i="3"/>
  <c r="X543" i="3"/>
  <c r="Z543" i="3"/>
  <c r="W543" i="3"/>
  <c r="O543" i="3"/>
  <c r="M543" i="3"/>
  <c r="L543" i="3"/>
  <c r="N543" i="3"/>
  <c r="K543" i="3"/>
  <c r="AJ542" i="3"/>
  <c r="AL542" i="3"/>
  <c r="AI542" i="3"/>
  <c r="X542" i="3"/>
  <c r="Z542" i="3"/>
  <c r="W542" i="3"/>
  <c r="O542" i="3"/>
  <c r="M542" i="3"/>
  <c r="L542" i="3"/>
  <c r="N542" i="3"/>
  <c r="K542" i="3"/>
  <c r="AJ541" i="3"/>
  <c r="AL541" i="3"/>
  <c r="AI541" i="3"/>
  <c r="X541" i="3"/>
  <c r="Z541" i="3"/>
  <c r="W541" i="3"/>
  <c r="O541" i="3"/>
  <c r="M541" i="3"/>
  <c r="L541" i="3"/>
  <c r="N541" i="3"/>
  <c r="K541" i="3"/>
  <c r="AJ540" i="3"/>
  <c r="AL540" i="3"/>
  <c r="AI540" i="3"/>
  <c r="X540" i="3"/>
  <c r="Z540" i="3"/>
  <c r="W540" i="3"/>
  <c r="O540" i="3"/>
  <c r="M540" i="3"/>
  <c r="L540" i="3"/>
  <c r="N540" i="3"/>
  <c r="K540" i="3"/>
  <c r="AJ539" i="3"/>
  <c r="AL539" i="3"/>
  <c r="AI539" i="3"/>
  <c r="X539" i="3"/>
  <c r="Z539" i="3"/>
  <c r="W539" i="3"/>
  <c r="O539" i="3"/>
  <c r="M539" i="3"/>
  <c r="L539" i="3"/>
  <c r="N539" i="3"/>
  <c r="K539" i="3"/>
  <c r="AJ538" i="3"/>
  <c r="AL538" i="3"/>
  <c r="AI538" i="3"/>
  <c r="X538" i="3"/>
  <c r="Z538" i="3"/>
  <c r="W538" i="3"/>
  <c r="O538" i="3"/>
  <c r="M538" i="3"/>
  <c r="L538" i="3"/>
  <c r="N538" i="3"/>
  <c r="K538" i="3"/>
  <c r="AJ537" i="3"/>
  <c r="AL537" i="3"/>
  <c r="AI537" i="3"/>
  <c r="X537" i="3"/>
  <c r="Z537" i="3"/>
  <c r="W537" i="3"/>
  <c r="O537" i="3"/>
  <c r="M537" i="3"/>
  <c r="L537" i="3"/>
  <c r="N537" i="3"/>
  <c r="K537" i="3"/>
  <c r="AJ536" i="3"/>
  <c r="AL536" i="3"/>
  <c r="AI536" i="3"/>
  <c r="X536" i="3"/>
  <c r="Z536" i="3"/>
  <c r="W536" i="3"/>
  <c r="O536" i="3"/>
  <c r="M536" i="3"/>
  <c r="L536" i="3"/>
  <c r="N536" i="3"/>
  <c r="K536" i="3"/>
  <c r="AJ535" i="3"/>
  <c r="AL535" i="3"/>
  <c r="AI535" i="3"/>
  <c r="X535" i="3"/>
  <c r="Z535" i="3"/>
  <c r="W535" i="3"/>
  <c r="O535" i="3"/>
  <c r="M535" i="3"/>
  <c r="L535" i="3"/>
  <c r="N535" i="3"/>
  <c r="K535" i="3"/>
  <c r="AJ534" i="3"/>
  <c r="AL534" i="3"/>
  <c r="AI534" i="3"/>
  <c r="X534" i="3"/>
  <c r="Z534" i="3"/>
  <c r="W534" i="3"/>
  <c r="O534" i="3"/>
  <c r="M534" i="3"/>
  <c r="L534" i="3"/>
  <c r="N534" i="3"/>
  <c r="K534" i="3"/>
  <c r="AJ533" i="3"/>
  <c r="AL533" i="3"/>
  <c r="AI533" i="3"/>
  <c r="X533" i="3"/>
  <c r="Z533" i="3"/>
  <c r="W533" i="3"/>
  <c r="O533" i="3"/>
  <c r="M533" i="3"/>
  <c r="L533" i="3"/>
  <c r="N533" i="3"/>
  <c r="K533" i="3"/>
  <c r="AJ532" i="3"/>
  <c r="AL532" i="3"/>
  <c r="AI532" i="3"/>
  <c r="X532" i="3"/>
  <c r="Z532" i="3"/>
  <c r="W532" i="3"/>
  <c r="O532" i="3"/>
  <c r="M532" i="3"/>
  <c r="L532" i="3"/>
  <c r="N532" i="3"/>
  <c r="K532" i="3"/>
  <c r="AJ531" i="3"/>
  <c r="AL531" i="3"/>
  <c r="AI531" i="3"/>
  <c r="X531" i="3"/>
  <c r="Z531" i="3"/>
  <c r="W531" i="3"/>
  <c r="O531" i="3"/>
  <c r="M531" i="3"/>
  <c r="L531" i="3"/>
  <c r="N531" i="3"/>
  <c r="K531" i="3"/>
  <c r="AJ530" i="3"/>
  <c r="AL530" i="3"/>
  <c r="AI530" i="3"/>
  <c r="X530" i="3"/>
  <c r="Z530" i="3"/>
  <c r="W530" i="3"/>
  <c r="O530" i="3"/>
  <c r="M530" i="3"/>
  <c r="L530" i="3"/>
  <c r="N530" i="3"/>
  <c r="K530" i="3"/>
  <c r="AJ529" i="3"/>
  <c r="AL529" i="3"/>
  <c r="AI529" i="3"/>
  <c r="X529" i="3"/>
  <c r="Z529" i="3"/>
  <c r="W529" i="3"/>
  <c r="O529" i="3"/>
  <c r="M529" i="3"/>
  <c r="L529" i="3"/>
  <c r="N529" i="3"/>
  <c r="K529" i="3"/>
  <c r="AJ528" i="3"/>
  <c r="AL528" i="3"/>
  <c r="AI528" i="3"/>
  <c r="X528" i="3"/>
  <c r="Z528" i="3"/>
  <c r="W528" i="3"/>
  <c r="O528" i="3"/>
  <c r="M528" i="3"/>
  <c r="L528" i="3"/>
  <c r="N528" i="3"/>
  <c r="K528" i="3"/>
  <c r="AJ527" i="3"/>
  <c r="AL527" i="3"/>
  <c r="AI527" i="3"/>
  <c r="X527" i="3"/>
  <c r="Z527" i="3"/>
  <c r="W527" i="3"/>
  <c r="O527" i="3"/>
  <c r="M527" i="3"/>
  <c r="L527" i="3"/>
  <c r="N527" i="3"/>
  <c r="K527" i="3"/>
  <c r="AJ526" i="3"/>
  <c r="AL526" i="3"/>
  <c r="AI526" i="3"/>
  <c r="X526" i="3"/>
  <c r="Z526" i="3"/>
  <c r="W526" i="3"/>
  <c r="O526" i="3"/>
  <c r="M526" i="3"/>
  <c r="L526" i="3"/>
  <c r="N526" i="3"/>
  <c r="K526" i="3"/>
  <c r="AJ525" i="3"/>
  <c r="AL525" i="3"/>
  <c r="AI525" i="3"/>
  <c r="X525" i="3"/>
  <c r="Z525" i="3"/>
  <c r="W525" i="3"/>
  <c r="O525" i="3"/>
  <c r="M525" i="3"/>
  <c r="L525" i="3"/>
  <c r="N525" i="3"/>
  <c r="K525" i="3"/>
  <c r="AJ524" i="3"/>
  <c r="AL524" i="3"/>
  <c r="AI524" i="3"/>
  <c r="X524" i="3"/>
  <c r="Z524" i="3"/>
  <c r="W524" i="3"/>
  <c r="O524" i="3"/>
  <c r="M524" i="3"/>
  <c r="L524" i="3"/>
  <c r="N524" i="3"/>
  <c r="K524" i="3"/>
  <c r="AJ523" i="3"/>
  <c r="AL523" i="3"/>
  <c r="AI523" i="3"/>
  <c r="X523" i="3"/>
  <c r="Z523" i="3"/>
  <c r="W523" i="3"/>
  <c r="O523" i="3"/>
  <c r="M523" i="3"/>
  <c r="L523" i="3"/>
  <c r="N523" i="3"/>
  <c r="K523" i="3"/>
  <c r="AJ522" i="3"/>
  <c r="AL522" i="3"/>
  <c r="AI522" i="3"/>
  <c r="X522" i="3"/>
  <c r="Z522" i="3"/>
  <c r="W522" i="3"/>
  <c r="O522" i="3"/>
  <c r="M522" i="3"/>
  <c r="L522" i="3"/>
  <c r="N522" i="3"/>
  <c r="K522" i="3"/>
  <c r="AJ521" i="3"/>
  <c r="AL521" i="3"/>
  <c r="AI521" i="3"/>
  <c r="X521" i="3"/>
  <c r="Z521" i="3"/>
  <c r="W521" i="3"/>
  <c r="O521" i="3"/>
  <c r="M521" i="3"/>
  <c r="L521" i="3"/>
  <c r="N521" i="3"/>
  <c r="K521" i="3"/>
  <c r="AJ520" i="3"/>
  <c r="AL520" i="3"/>
  <c r="AI520" i="3"/>
  <c r="X520" i="3"/>
  <c r="Z520" i="3"/>
  <c r="W520" i="3"/>
  <c r="O520" i="3"/>
  <c r="M520" i="3"/>
  <c r="L520" i="3"/>
  <c r="N520" i="3"/>
  <c r="K520" i="3"/>
  <c r="AJ519" i="3"/>
  <c r="AL519" i="3"/>
  <c r="AI519" i="3"/>
  <c r="X519" i="3"/>
  <c r="Z519" i="3"/>
  <c r="W519" i="3"/>
  <c r="O519" i="3"/>
  <c r="M519" i="3"/>
  <c r="L519" i="3"/>
  <c r="N519" i="3"/>
  <c r="K519" i="3"/>
  <c r="AJ518" i="3"/>
  <c r="AL518" i="3"/>
  <c r="AI518" i="3"/>
  <c r="X518" i="3"/>
  <c r="Z518" i="3"/>
  <c r="W518" i="3"/>
  <c r="O518" i="3"/>
  <c r="M518" i="3"/>
  <c r="L518" i="3"/>
  <c r="N518" i="3"/>
  <c r="K518" i="3"/>
  <c r="AJ517" i="3"/>
  <c r="AL517" i="3"/>
  <c r="AI517" i="3"/>
  <c r="X517" i="3"/>
  <c r="Z517" i="3"/>
  <c r="W517" i="3"/>
  <c r="O517" i="3"/>
  <c r="M517" i="3"/>
  <c r="L517" i="3"/>
  <c r="N517" i="3"/>
  <c r="K517" i="3"/>
  <c r="AJ516" i="3"/>
  <c r="AL516" i="3"/>
  <c r="AI516" i="3"/>
  <c r="X516" i="3"/>
  <c r="Z516" i="3"/>
  <c r="W516" i="3"/>
  <c r="O516" i="3"/>
  <c r="M516" i="3"/>
  <c r="L516" i="3"/>
  <c r="N516" i="3"/>
  <c r="K516" i="3"/>
  <c r="AJ515" i="3"/>
  <c r="AL515" i="3"/>
  <c r="AI515" i="3"/>
  <c r="X515" i="3"/>
  <c r="Z515" i="3"/>
  <c r="W515" i="3"/>
  <c r="O515" i="3"/>
  <c r="M515" i="3"/>
  <c r="L515" i="3"/>
  <c r="N515" i="3"/>
  <c r="K515" i="3"/>
  <c r="AJ514" i="3"/>
  <c r="AL514" i="3"/>
  <c r="AI514" i="3"/>
  <c r="X514" i="3"/>
  <c r="Z514" i="3"/>
  <c r="W514" i="3"/>
  <c r="O514" i="3"/>
  <c r="M514" i="3"/>
  <c r="L514" i="3"/>
  <c r="N514" i="3"/>
  <c r="K514" i="3"/>
  <c r="AJ513" i="3"/>
  <c r="AL513" i="3"/>
  <c r="AI513" i="3"/>
  <c r="X513" i="3"/>
  <c r="Z513" i="3"/>
  <c r="W513" i="3"/>
  <c r="O513" i="3"/>
  <c r="M513" i="3"/>
  <c r="L513" i="3"/>
  <c r="N513" i="3"/>
  <c r="K513" i="3"/>
  <c r="AJ512" i="3"/>
  <c r="AL512" i="3"/>
  <c r="AI512" i="3"/>
  <c r="X512" i="3"/>
  <c r="Z512" i="3"/>
  <c r="W512" i="3"/>
  <c r="O512" i="3"/>
  <c r="M512" i="3"/>
  <c r="L512" i="3"/>
  <c r="N512" i="3"/>
  <c r="K512" i="3"/>
  <c r="AJ511" i="3"/>
  <c r="AL511" i="3"/>
  <c r="AI511" i="3"/>
  <c r="X511" i="3"/>
  <c r="Z511" i="3"/>
  <c r="W511" i="3"/>
  <c r="O511" i="3"/>
  <c r="M511" i="3"/>
  <c r="L511" i="3"/>
  <c r="N511" i="3"/>
  <c r="K511" i="3"/>
  <c r="AJ510" i="3"/>
  <c r="AL510" i="3"/>
  <c r="AI510" i="3"/>
  <c r="X510" i="3"/>
  <c r="Z510" i="3"/>
  <c r="W510" i="3"/>
  <c r="O510" i="3"/>
  <c r="M510" i="3"/>
  <c r="L510" i="3"/>
  <c r="N510" i="3"/>
  <c r="K510" i="3"/>
  <c r="AJ509" i="3"/>
  <c r="AL509" i="3"/>
  <c r="AI509" i="3"/>
  <c r="X509" i="3"/>
  <c r="Z509" i="3"/>
  <c r="W509" i="3"/>
  <c r="O509" i="3"/>
  <c r="M509" i="3"/>
  <c r="L509" i="3"/>
  <c r="N509" i="3"/>
  <c r="K509" i="3"/>
  <c r="AJ508" i="3"/>
  <c r="AL508" i="3"/>
  <c r="AI508" i="3"/>
  <c r="X508" i="3"/>
  <c r="Z508" i="3"/>
  <c r="W508" i="3"/>
  <c r="O508" i="3"/>
  <c r="M508" i="3"/>
  <c r="L508" i="3"/>
  <c r="N508" i="3"/>
  <c r="K508" i="3"/>
  <c r="AJ507" i="3"/>
  <c r="AL507" i="3"/>
  <c r="AI507" i="3"/>
  <c r="X507" i="3"/>
  <c r="Z507" i="3"/>
  <c r="W507" i="3"/>
  <c r="O507" i="3"/>
  <c r="M507" i="3"/>
  <c r="L507" i="3"/>
  <c r="N507" i="3"/>
  <c r="K507" i="3"/>
  <c r="AJ506" i="3"/>
  <c r="AL506" i="3"/>
  <c r="AI506" i="3"/>
  <c r="X506" i="3"/>
  <c r="Z506" i="3"/>
  <c r="W506" i="3"/>
  <c r="O506" i="3"/>
  <c r="M506" i="3"/>
  <c r="L506" i="3"/>
  <c r="N506" i="3"/>
  <c r="K506" i="3"/>
  <c r="AJ505" i="3"/>
  <c r="AL505" i="3"/>
  <c r="AI505" i="3"/>
  <c r="X505" i="3"/>
  <c r="Z505" i="3"/>
  <c r="W505" i="3"/>
  <c r="O505" i="3"/>
  <c r="M505" i="3"/>
  <c r="L505" i="3"/>
  <c r="N505" i="3"/>
  <c r="K505" i="3"/>
  <c r="AJ504" i="3"/>
  <c r="AL504" i="3"/>
  <c r="AI504" i="3"/>
  <c r="X504" i="3"/>
  <c r="Z504" i="3"/>
  <c r="W504" i="3"/>
  <c r="O504" i="3"/>
  <c r="M504" i="3"/>
  <c r="L504" i="3"/>
  <c r="N504" i="3"/>
  <c r="K504" i="3"/>
  <c r="AJ503" i="3"/>
  <c r="AL503" i="3"/>
  <c r="AI503" i="3"/>
  <c r="X503" i="3"/>
  <c r="Z503" i="3"/>
  <c r="W503" i="3"/>
  <c r="O503" i="3"/>
  <c r="M503" i="3"/>
  <c r="L503" i="3"/>
  <c r="N503" i="3"/>
  <c r="K503" i="3"/>
  <c r="AJ502" i="3"/>
  <c r="AL502" i="3"/>
  <c r="AI502" i="3"/>
  <c r="X502" i="3"/>
  <c r="Z502" i="3"/>
  <c r="W502" i="3"/>
  <c r="O502" i="3"/>
  <c r="M502" i="3"/>
  <c r="L502" i="3"/>
  <c r="N502" i="3"/>
  <c r="K502" i="3"/>
  <c r="AJ501" i="3"/>
  <c r="AL501" i="3"/>
  <c r="AI501" i="3"/>
  <c r="X501" i="3"/>
  <c r="Z501" i="3"/>
  <c r="W501" i="3"/>
  <c r="O501" i="3"/>
  <c r="M501" i="3"/>
  <c r="L501" i="3"/>
  <c r="N501" i="3"/>
  <c r="K501" i="3"/>
  <c r="AJ500" i="3"/>
  <c r="AL500" i="3"/>
  <c r="AI500" i="3"/>
  <c r="X500" i="3"/>
  <c r="Z500" i="3"/>
  <c r="W500" i="3"/>
  <c r="O500" i="3"/>
  <c r="M500" i="3"/>
  <c r="L500" i="3"/>
  <c r="N500" i="3"/>
  <c r="K500" i="3"/>
  <c r="AJ499" i="3"/>
  <c r="AL499" i="3"/>
  <c r="AI499" i="3"/>
  <c r="X499" i="3"/>
  <c r="Z499" i="3"/>
  <c r="W499" i="3"/>
  <c r="O499" i="3"/>
  <c r="M499" i="3"/>
  <c r="L499" i="3"/>
  <c r="N499" i="3"/>
  <c r="K499" i="3"/>
  <c r="AJ498" i="3"/>
  <c r="AL498" i="3"/>
  <c r="AI498" i="3"/>
  <c r="X498" i="3"/>
  <c r="Z498" i="3"/>
  <c r="W498" i="3"/>
  <c r="O498" i="3"/>
  <c r="M498" i="3"/>
  <c r="L498" i="3"/>
  <c r="N498" i="3"/>
  <c r="K498" i="3"/>
  <c r="AJ497" i="3"/>
  <c r="AL497" i="3"/>
  <c r="AI497" i="3"/>
  <c r="X497" i="3"/>
  <c r="Z497" i="3"/>
  <c r="W497" i="3"/>
  <c r="O497" i="3"/>
  <c r="M497" i="3"/>
  <c r="L497" i="3"/>
  <c r="N497" i="3"/>
  <c r="K497" i="3"/>
  <c r="AJ496" i="3"/>
  <c r="AL496" i="3"/>
  <c r="AI496" i="3"/>
  <c r="X496" i="3"/>
  <c r="Z496" i="3"/>
  <c r="W496" i="3"/>
  <c r="O496" i="3"/>
  <c r="M496" i="3"/>
  <c r="L496" i="3"/>
  <c r="N496" i="3"/>
  <c r="K496" i="3"/>
  <c r="AJ495" i="3"/>
  <c r="AL495" i="3"/>
  <c r="AI495" i="3"/>
  <c r="X495" i="3"/>
  <c r="Z495" i="3"/>
  <c r="W495" i="3"/>
  <c r="O495" i="3"/>
  <c r="M495" i="3"/>
  <c r="L495" i="3"/>
  <c r="N495" i="3"/>
  <c r="K495" i="3"/>
  <c r="AJ494" i="3"/>
  <c r="AL494" i="3"/>
  <c r="AI494" i="3"/>
  <c r="X494" i="3"/>
  <c r="Z494" i="3"/>
  <c r="W494" i="3"/>
  <c r="O494" i="3"/>
  <c r="M494" i="3"/>
  <c r="L494" i="3"/>
  <c r="N494" i="3"/>
  <c r="K494" i="3"/>
  <c r="AJ493" i="3"/>
  <c r="AL493" i="3"/>
  <c r="AI493" i="3"/>
  <c r="X493" i="3"/>
  <c r="Z493" i="3"/>
  <c r="W493" i="3"/>
  <c r="O493" i="3"/>
  <c r="M493" i="3"/>
  <c r="L493" i="3"/>
  <c r="N493" i="3"/>
  <c r="K493" i="3"/>
  <c r="AJ492" i="3"/>
  <c r="AL492" i="3"/>
  <c r="AI492" i="3"/>
  <c r="X492" i="3"/>
  <c r="Z492" i="3"/>
  <c r="W492" i="3"/>
  <c r="O492" i="3"/>
  <c r="M492" i="3"/>
  <c r="L492" i="3"/>
  <c r="N492" i="3"/>
  <c r="K492" i="3"/>
  <c r="AJ491" i="3"/>
  <c r="AL491" i="3"/>
  <c r="AI491" i="3"/>
  <c r="X491" i="3"/>
  <c r="Z491" i="3"/>
  <c r="W491" i="3"/>
  <c r="O491" i="3"/>
  <c r="M491" i="3"/>
  <c r="L491" i="3"/>
  <c r="N491" i="3"/>
  <c r="K491" i="3"/>
  <c r="AJ490" i="3"/>
  <c r="AL490" i="3"/>
  <c r="AI490" i="3"/>
  <c r="X490" i="3"/>
  <c r="Z490" i="3"/>
  <c r="W490" i="3"/>
  <c r="O490" i="3"/>
  <c r="M490" i="3"/>
  <c r="L490" i="3"/>
  <c r="N490" i="3"/>
  <c r="K490" i="3"/>
  <c r="AJ489" i="3"/>
  <c r="AL489" i="3"/>
  <c r="AI489" i="3"/>
  <c r="X489" i="3"/>
  <c r="Z489" i="3"/>
  <c r="W489" i="3"/>
  <c r="O489" i="3"/>
  <c r="M489" i="3"/>
  <c r="L489" i="3"/>
  <c r="N489" i="3"/>
  <c r="K489" i="3"/>
  <c r="AJ488" i="3"/>
  <c r="AL488" i="3"/>
  <c r="AI488" i="3"/>
  <c r="X488" i="3"/>
  <c r="Z488" i="3"/>
  <c r="W488" i="3"/>
  <c r="M488" i="3"/>
  <c r="L488" i="3"/>
  <c r="N488" i="3"/>
  <c r="AJ487" i="3"/>
  <c r="AL487" i="3"/>
  <c r="AI487" i="3"/>
  <c r="X487" i="3"/>
  <c r="Z487" i="3"/>
  <c r="W487" i="3"/>
  <c r="M487" i="3"/>
  <c r="L487" i="3"/>
  <c r="N487" i="3"/>
  <c r="AJ486" i="3"/>
  <c r="AL486" i="3"/>
  <c r="AI486" i="3"/>
  <c r="X486" i="3"/>
  <c r="Z486" i="3"/>
  <c r="W486" i="3"/>
  <c r="M486" i="3"/>
  <c r="L486" i="3"/>
  <c r="N486" i="3"/>
  <c r="AJ485" i="3"/>
  <c r="AL485" i="3"/>
  <c r="AI485" i="3"/>
  <c r="X485" i="3"/>
  <c r="Z485" i="3"/>
  <c r="W485" i="3"/>
  <c r="M485" i="3"/>
  <c r="L485" i="3"/>
  <c r="N485" i="3"/>
  <c r="AJ484" i="3"/>
  <c r="AL484" i="3"/>
  <c r="AI484" i="3"/>
  <c r="X484" i="3"/>
  <c r="Z484" i="3"/>
  <c r="W484" i="3"/>
  <c r="M484" i="3"/>
  <c r="L484" i="3"/>
  <c r="N484" i="3"/>
  <c r="AJ483" i="3"/>
  <c r="AL483" i="3"/>
  <c r="AI483" i="3"/>
  <c r="X483" i="3"/>
  <c r="Z483" i="3"/>
  <c r="W483" i="3"/>
  <c r="M483" i="3"/>
  <c r="L483" i="3"/>
  <c r="N483" i="3"/>
  <c r="AJ482" i="3"/>
  <c r="AL482" i="3"/>
  <c r="AI482" i="3"/>
  <c r="X482" i="3"/>
  <c r="Z482" i="3"/>
  <c r="W482" i="3"/>
  <c r="M482" i="3"/>
  <c r="L482" i="3"/>
  <c r="N482" i="3"/>
  <c r="AJ481" i="3"/>
  <c r="AL481" i="3"/>
  <c r="AI481" i="3"/>
  <c r="X481" i="3"/>
  <c r="Z481" i="3"/>
  <c r="W481" i="3"/>
  <c r="M481" i="3"/>
  <c r="L481" i="3"/>
  <c r="N481" i="3"/>
  <c r="AJ480" i="3"/>
  <c r="AL480" i="3"/>
  <c r="AI480" i="3"/>
  <c r="X480" i="3"/>
  <c r="Z480" i="3"/>
  <c r="W480" i="3"/>
  <c r="M480" i="3"/>
  <c r="L480" i="3"/>
  <c r="N480" i="3"/>
  <c r="AJ479" i="3"/>
  <c r="AL479" i="3"/>
  <c r="AI479" i="3"/>
  <c r="X479" i="3"/>
  <c r="Z479" i="3"/>
  <c r="W479" i="3"/>
  <c r="M479" i="3"/>
  <c r="L479" i="3"/>
  <c r="N479" i="3"/>
  <c r="AJ478" i="3"/>
  <c r="AL478" i="3"/>
  <c r="AI478" i="3"/>
  <c r="X478" i="3"/>
  <c r="Z478" i="3"/>
  <c r="W478" i="3"/>
  <c r="M478" i="3"/>
  <c r="L478" i="3"/>
  <c r="N478" i="3"/>
  <c r="AJ477" i="3"/>
  <c r="AL477" i="3"/>
  <c r="AI477" i="3"/>
  <c r="X477" i="3"/>
  <c r="Z477" i="3"/>
  <c r="W477" i="3"/>
  <c r="M477" i="3"/>
  <c r="L477" i="3"/>
  <c r="N477" i="3"/>
  <c r="AJ476" i="3"/>
  <c r="AL476" i="3"/>
  <c r="AI476" i="3"/>
  <c r="X476" i="3"/>
  <c r="Z476" i="3"/>
  <c r="W476" i="3"/>
  <c r="M476" i="3"/>
  <c r="L476" i="3"/>
  <c r="N476" i="3"/>
  <c r="AJ475" i="3"/>
  <c r="AL475" i="3"/>
  <c r="AI475" i="3"/>
  <c r="X475" i="3"/>
  <c r="Z475" i="3"/>
  <c r="W475" i="3"/>
  <c r="M475" i="3"/>
  <c r="L475" i="3"/>
  <c r="N475" i="3"/>
  <c r="AJ474" i="3"/>
  <c r="AL474" i="3"/>
  <c r="AI474" i="3"/>
  <c r="X474" i="3"/>
  <c r="Z474" i="3"/>
  <c r="W474" i="3"/>
  <c r="M474" i="3"/>
  <c r="L474" i="3"/>
  <c r="N474" i="3"/>
  <c r="AJ473" i="3"/>
  <c r="AL473" i="3"/>
  <c r="AI473" i="3"/>
  <c r="X473" i="3"/>
  <c r="Z473" i="3"/>
  <c r="W473" i="3"/>
  <c r="M473" i="3"/>
  <c r="L473" i="3"/>
  <c r="N473" i="3"/>
  <c r="AJ472" i="3"/>
  <c r="AL472" i="3"/>
  <c r="AI472" i="3"/>
  <c r="X472" i="3"/>
  <c r="Z472" i="3"/>
  <c r="W472" i="3"/>
  <c r="M472" i="3"/>
  <c r="L472" i="3"/>
  <c r="N472" i="3"/>
  <c r="AJ471" i="3"/>
  <c r="AL471" i="3"/>
  <c r="AI471" i="3"/>
  <c r="X471" i="3"/>
  <c r="Z471" i="3"/>
  <c r="W471" i="3"/>
  <c r="M471" i="3"/>
  <c r="L471" i="3"/>
  <c r="N471" i="3"/>
  <c r="AJ470" i="3"/>
  <c r="AL470" i="3"/>
  <c r="AI470" i="3"/>
  <c r="X470" i="3"/>
  <c r="Z470" i="3"/>
  <c r="W470" i="3"/>
  <c r="M470" i="3"/>
  <c r="L470" i="3"/>
  <c r="N470" i="3"/>
  <c r="AJ469" i="3"/>
  <c r="AL469" i="3"/>
  <c r="AI469" i="3"/>
  <c r="X469" i="3"/>
  <c r="Z469" i="3"/>
  <c r="W469" i="3"/>
  <c r="O469" i="3"/>
  <c r="M469" i="3"/>
  <c r="L469" i="3"/>
  <c r="N469" i="3"/>
  <c r="K469" i="3"/>
  <c r="AJ468" i="3"/>
  <c r="AL468" i="3"/>
  <c r="AI468" i="3"/>
  <c r="X468" i="3"/>
  <c r="Z468" i="3"/>
  <c r="W468" i="3"/>
  <c r="O468" i="3"/>
  <c r="M468" i="3"/>
  <c r="L468" i="3"/>
  <c r="N468" i="3"/>
  <c r="K468" i="3"/>
  <c r="AJ467" i="3"/>
  <c r="AL467" i="3"/>
  <c r="AI467" i="3"/>
  <c r="X467" i="3"/>
  <c r="Z467" i="3"/>
  <c r="W467" i="3"/>
  <c r="O467" i="3"/>
  <c r="M467" i="3"/>
  <c r="L467" i="3"/>
  <c r="N467" i="3"/>
  <c r="K467" i="3"/>
  <c r="AJ466" i="3"/>
  <c r="AL466" i="3"/>
  <c r="AI466" i="3"/>
  <c r="X466" i="3"/>
  <c r="Z466" i="3"/>
  <c r="W466" i="3"/>
  <c r="O466" i="3"/>
  <c r="M466" i="3"/>
  <c r="L466" i="3"/>
  <c r="N466" i="3"/>
  <c r="K466" i="3"/>
  <c r="AJ465" i="3"/>
  <c r="AL465" i="3"/>
  <c r="AI465" i="3"/>
  <c r="X465" i="3"/>
  <c r="Z465" i="3"/>
  <c r="W465" i="3"/>
  <c r="O465" i="3"/>
  <c r="M465" i="3"/>
  <c r="L465" i="3"/>
  <c r="N465" i="3"/>
  <c r="K465" i="3"/>
  <c r="AJ464" i="3"/>
  <c r="AL464" i="3"/>
  <c r="AI464" i="3"/>
  <c r="X464" i="3"/>
  <c r="Z464" i="3"/>
  <c r="W464" i="3"/>
  <c r="O464" i="3"/>
  <c r="M464" i="3"/>
  <c r="L464" i="3"/>
  <c r="N464" i="3"/>
  <c r="K464" i="3"/>
  <c r="AJ463" i="3"/>
  <c r="AL463" i="3"/>
  <c r="AI463" i="3"/>
  <c r="X463" i="3"/>
  <c r="Z463" i="3"/>
  <c r="W463" i="3"/>
  <c r="O463" i="3"/>
  <c r="M463" i="3"/>
  <c r="L463" i="3"/>
  <c r="N463" i="3"/>
  <c r="K463" i="3"/>
  <c r="AJ462" i="3"/>
  <c r="AL462" i="3"/>
  <c r="AI462" i="3"/>
  <c r="X462" i="3"/>
  <c r="Z462" i="3"/>
  <c r="W462" i="3"/>
  <c r="O462" i="3"/>
  <c r="M462" i="3"/>
  <c r="L462" i="3"/>
  <c r="N462" i="3"/>
  <c r="K462" i="3"/>
  <c r="AJ461" i="3"/>
  <c r="AL461" i="3"/>
  <c r="AI461" i="3"/>
  <c r="X461" i="3"/>
  <c r="Z461" i="3"/>
  <c r="W461" i="3"/>
  <c r="O461" i="3"/>
  <c r="M461" i="3"/>
  <c r="L461" i="3"/>
  <c r="N461" i="3"/>
  <c r="K461" i="3"/>
  <c r="AJ460" i="3"/>
  <c r="AL460" i="3"/>
  <c r="AI460" i="3"/>
  <c r="X460" i="3"/>
  <c r="Z460" i="3"/>
  <c r="W460" i="3"/>
  <c r="O460" i="3"/>
  <c r="M460" i="3"/>
  <c r="L460" i="3"/>
  <c r="N460" i="3"/>
  <c r="K460" i="3"/>
  <c r="AJ459" i="3"/>
  <c r="AL459" i="3"/>
  <c r="AI459" i="3"/>
  <c r="X459" i="3"/>
  <c r="Z459" i="3"/>
  <c r="W459" i="3"/>
  <c r="O459" i="3"/>
  <c r="M459" i="3"/>
  <c r="L459" i="3"/>
  <c r="N459" i="3"/>
  <c r="K459" i="3"/>
  <c r="AJ458" i="3"/>
  <c r="AL458" i="3"/>
  <c r="AI458" i="3"/>
  <c r="X458" i="3"/>
  <c r="Z458" i="3"/>
  <c r="W458" i="3"/>
  <c r="O458" i="3"/>
  <c r="M458" i="3"/>
  <c r="L458" i="3"/>
  <c r="N458" i="3"/>
  <c r="K458" i="3"/>
  <c r="AJ457" i="3"/>
  <c r="AL457" i="3"/>
  <c r="AI457" i="3"/>
  <c r="X457" i="3"/>
  <c r="Z457" i="3"/>
  <c r="W457" i="3"/>
  <c r="O457" i="3"/>
  <c r="M457" i="3"/>
  <c r="L457" i="3"/>
  <c r="N457" i="3"/>
  <c r="K457" i="3"/>
  <c r="AJ456" i="3"/>
  <c r="AL456" i="3"/>
  <c r="AI456" i="3"/>
  <c r="X456" i="3"/>
  <c r="Z456" i="3"/>
  <c r="W456" i="3"/>
  <c r="O456" i="3"/>
  <c r="M456" i="3"/>
  <c r="L456" i="3"/>
  <c r="N456" i="3"/>
  <c r="K456" i="3"/>
  <c r="AJ455" i="3"/>
  <c r="AL455" i="3"/>
  <c r="AI455" i="3"/>
  <c r="X455" i="3"/>
  <c r="Z455" i="3"/>
  <c r="W455" i="3"/>
  <c r="O455" i="3"/>
  <c r="M455" i="3"/>
  <c r="L455" i="3"/>
  <c r="N455" i="3"/>
  <c r="K455" i="3"/>
  <c r="AJ454" i="3"/>
  <c r="AL454" i="3"/>
  <c r="AI454" i="3"/>
  <c r="X454" i="3"/>
  <c r="Z454" i="3"/>
  <c r="W454" i="3"/>
  <c r="O454" i="3"/>
  <c r="M454" i="3"/>
  <c r="L454" i="3"/>
  <c r="N454" i="3"/>
  <c r="K454" i="3"/>
  <c r="AJ453" i="3"/>
  <c r="AL453" i="3"/>
  <c r="AI453" i="3"/>
  <c r="X453" i="3"/>
  <c r="Z453" i="3"/>
  <c r="W453" i="3"/>
  <c r="O453" i="3"/>
  <c r="M453" i="3"/>
  <c r="L453" i="3"/>
  <c r="N453" i="3"/>
  <c r="K453" i="3"/>
  <c r="AJ452" i="3"/>
  <c r="AL452" i="3"/>
  <c r="AI452" i="3"/>
  <c r="X452" i="3"/>
  <c r="Z452" i="3"/>
  <c r="W452" i="3"/>
  <c r="O452" i="3"/>
  <c r="M452" i="3"/>
  <c r="L452" i="3"/>
  <c r="N452" i="3"/>
  <c r="K452" i="3"/>
  <c r="AJ451" i="3"/>
  <c r="AL451" i="3"/>
  <c r="AI451" i="3"/>
  <c r="X451" i="3"/>
  <c r="Z451" i="3"/>
  <c r="W451" i="3"/>
  <c r="O451" i="3"/>
  <c r="M451" i="3"/>
  <c r="L451" i="3"/>
  <c r="N451" i="3"/>
  <c r="K451" i="3"/>
  <c r="AJ450" i="3"/>
  <c r="AL450" i="3"/>
  <c r="AI450" i="3"/>
  <c r="X450" i="3"/>
  <c r="Z450" i="3"/>
  <c r="W450" i="3"/>
  <c r="O450" i="3"/>
  <c r="M450" i="3"/>
  <c r="L450" i="3"/>
  <c r="N450" i="3"/>
  <c r="K450" i="3"/>
  <c r="AJ449" i="3"/>
  <c r="AL449" i="3"/>
  <c r="AI449" i="3"/>
  <c r="X449" i="3"/>
  <c r="Z449" i="3"/>
  <c r="W449" i="3"/>
  <c r="O449" i="3"/>
  <c r="M449" i="3"/>
  <c r="L449" i="3"/>
  <c r="N449" i="3"/>
  <c r="K449" i="3"/>
  <c r="AJ448" i="3"/>
  <c r="AL448" i="3"/>
  <c r="AI448" i="3"/>
  <c r="X448" i="3"/>
  <c r="Z448" i="3"/>
  <c r="W448" i="3"/>
  <c r="O448" i="3"/>
  <c r="M448" i="3"/>
  <c r="L448" i="3"/>
  <c r="N448" i="3"/>
  <c r="K448" i="3"/>
  <c r="AJ447" i="3"/>
  <c r="AL447" i="3"/>
  <c r="AI447" i="3"/>
  <c r="X447" i="3"/>
  <c r="Z447" i="3"/>
  <c r="W447" i="3"/>
  <c r="O447" i="3"/>
  <c r="M447" i="3"/>
  <c r="L447" i="3"/>
  <c r="N447" i="3"/>
  <c r="K447" i="3"/>
  <c r="AJ446" i="3"/>
  <c r="AL446" i="3"/>
  <c r="AI446" i="3"/>
  <c r="X446" i="3"/>
  <c r="Z446" i="3"/>
  <c r="W446" i="3"/>
  <c r="O446" i="3"/>
  <c r="M446" i="3"/>
  <c r="L446" i="3"/>
  <c r="N446" i="3"/>
  <c r="K446" i="3"/>
  <c r="AJ445" i="3"/>
  <c r="AL445" i="3"/>
  <c r="AI445" i="3"/>
  <c r="X445" i="3"/>
  <c r="Z445" i="3"/>
  <c r="W445" i="3"/>
  <c r="O445" i="3"/>
  <c r="M445" i="3"/>
  <c r="L445" i="3"/>
  <c r="N445" i="3"/>
  <c r="K445" i="3"/>
  <c r="AJ444" i="3"/>
  <c r="AL444" i="3"/>
  <c r="AI444" i="3"/>
  <c r="X444" i="3"/>
  <c r="Z444" i="3"/>
  <c r="W444" i="3"/>
  <c r="O444" i="3"/>
  <c r="M444" i="3"/>
  <c r="L444" i="3"/>
  <c r="N444" i="3"/>
  <c r="K444" i="3"/>
  <c r="AJ443" i="3"/>
  <c r="AL443" i="3"/>
  <c r="AI443" i="3"/>
  <c r="X443" i="3"/>
  <c r="Z443" i="3"/>
  <c r="W443" i="3"/>
  <c r="O443" i="3"/>
  <c r="M443" i="3"/>
  <c r="L443" i="3"/>
  <c r="N443" i="3"/>
  <c r="K443" i="3"/>
  <c r="AJ442" i="3"/>
  <c r="AL442" i="3"/>
  <c r="AI442" i="3"/>
  <c r="X442" i="3"/>
  <c r="Z442" i="3"/>
  <c r="W442" i="3"/>
  <c r="O442" i="3"/>
  <c r="M442" i="3"/>
  <c r="L442" i="3"/>
  <c r="N442" i="3"/>
  <c r="K442" i="3"/>
  <c r="AJ441" i="3"/>
  <c r="AL441" i="3"/>
  <c r="AI441" i="3"/>
  <c r="X441" i="3"/>
  <c r="Z441" i="3"/>
  <c r="W441" i="3"/>
  <c r="O441" i="3"/>
  <c r="M441" i="3"/>
  <c r="L441" i="3"/>
  <c r="N441" i="3"/>
  <c r="K441" i="3"/>
  <c r="AJ440" i="3"/>
  <c r="AL440" i="3"/>
  <c r="AI440" i="3"/>
  <c r="X440" i="3"/>
  <c r="Z440" i="3"/>
  <c r="W440" i="3"/>
  <c r="O440" i="3"/>
  <c r="M440" i="3"/>
  <c r="L440" i="3"/>
  <c r="N440" i="3"/>
  <c r="K440" i="3"/>
  <c r="AJ439" i="3"/>
  <c r="AL439" i="3"/>
  <c r="AI439" i="3"/>
  <c r="X439" i="3"/>
  <c r="Z439" i="3"/>
  <c r="W439" i="3"/>
  <c r="O439" i="3"/>
  <c r="M439" i="3"/>
  <c r="L439" i="3"/>
  <c r="N439" i="3"/>
  <c r="K439" i="3"/>
  <c r="AJ438" i="3"/>
  <c r="AL438" i="3"/>
  <c r="AI438" i="3"/>
  <c r="X438" i="3"/>
  <c r="Z438" i="3"/>
  <c r="W438" i="3"/>
  <c r="O438" i="3"/>
  <c r="M438" i="3"/>
  <c r="L438" i="3"/>
  <c r="N438" i="3"/>
  <c r="K438" i="3"/>
  <c r="AJ437" i="3"/>
  <c r="AL437" i="3"/>
  <c r="AI437" i="3"/>
  <c r="X437" i="3"/>
  <c r="Z437" i="3"/>
  <c r="W437" i="3"/>
  <c r="O437" i="3"/>
  <c r="M437" i="3"/>
  <c r="L437" i="3"/>
  <c r="N437" i="3"/>
  <c r="K437" i="3"/>
  <c r="AJ436" i="3"/>
  <c r="AL436" i="3"/>
  <c r="AI436" i="3"/>
  <c r="X436" i="3"/>
  <c r="Z436" i="3"/>
  <c r="W436" i="3"/>
  <c r="O436" i="3"/>
  <c r="M436" i="3"/>
  <c r="L436" i="3"/>
  <c r="N436" i="3"/>
  <c r="K436" i="3"/>
  <c r="AJ435" i="3"/>
  <c r="AL435" i="3"/>
  <c r="AI435" i="3"/>
  <c r="X435" i="3"/>
  <c r="Z435" i="3"/>
  <c r="W435" i="3"/>
  <c r="O435" i="3"/>
  <c r="M435" i="3"/>
  <c r="L435" i="3"/>
  <c r="N435" i="3"/>
  <c r="K435" i="3"/>
  <c r="AJ434" i="3"/>
  <c r="AL434" i="3"/>
  <c r="AI434" i="3"/>
  <c r="X434" i="3"/>
  <c r="Z434" i="3"/>
  <c r="W434" i="3"/>
  <c r="O434" i="3"/>
  <c r="M434" i="3"/>
  <c r="L434" i="3"/>
  <c r="N434" i="3"/>
  <c r="K434" i="3"/>
  <c r="AJ433" i="3"/>
  <c r="AL433" i="3"/>
  <c r="AI433" i="3"/>
  <c r="X433" i="3"/>
  <c r="Z433" i="3"/>
  <c r="W433" i="3"/>
  <c r="O433" i="3"/>
  <c r="M433" i="3"/>
  <c r="L433" i="3"/>
  <c r="N433" i="3"/>
  <c r="K433" i="3"/>
  <c r="AJ432" i="3"/>
  <c r="AL432" i="3"/>
  <c r="AI432" i="3"/>
  <c r="X432" i="3"/>
  <c r="Z432" i="3"/>
  <c r="W432" i="3"/>
  <c r="O432" i="3"/>
  <c r="M432" i="3"/>
  <c r="L432" i="3"/>
  <c r="N432" i="3"/>
  <c r="K432" i="3"/>
  <c r="AJ431" i="3"/>
  <c r="AL431" i="3"/>
  <c r="AI431" i="3"/>
  <c r="X431" i="3"/>
  <c r="Z431" i="3"/>
  <c r="W431" i="3"/>
  <c r="O431" i="3"/>
  <c r="M431" i="3"/>
  <c r="L431" i="3"/>
  <c r="N431" i="3"/>
  <c r="K431" i="3"/>
  <c r="AJ430" i="3"/>
  <c r="AL430" i="3"/>
  <c r="AI430" i="3"/>
  <c r="X430" i="3"/>
  <c r="Z430" i="3"/>
  <c r="W430" i="3"/>
  <c r="O430" i="3"/>
  <c r="M430" i="3"/>
  <c r="L430" i="3"/>
  <c r="N430" i="3"/>
  <c r="K430" i="3"/>
  <c r="AJ429" i="3"/>
  <c r="AL429" i="3"/>
  <c r="AI429" i="3"/>
  <c r="X429" i="3"/>
  <c r="Z429" i="3"/>
  <c r="W429" i="3"/>
  <c r="O429" i="3"/>
  <c r="M429" i="3"/>
  <c r="L429" i="3"/>
  <c r="N429" i="3"/>
  <c r="K429" i="3"/>
  <c r="AJ428" i="3"/>
  <c r="AL428" i="3"/>
  <c r="AI428" i="3"/>
  <c r="X428" i="3"/>
  <c r="Z428" i="3"/>
  <c r="W428" i="3"/>
  <c r="O428" i="3"/>
  <c r="M428" i="3"/>
  <c r="L428" i="3"/>
  <c r="N428" i="3"/>
  <c r="K428" i="3"/>
  <c r="AJ427" i="3"/>
  <c r="AL427" i="3"/>
  <c r="AI427" i="3"/>
  <c r="X427" i="3"/>
  <c r="Z427" i="3"/>
  <c r="W427" i="3"/>
  <c r="O427" i="3"/>
  <c r="M427" i="3"/>
  <c r="L427" i="3"/>
  <c r="N427" i="3"/>
  <c r="K427" i="3"/>
  <c r="AJ426" i="3"/>
  <c r="AL426" i="3"/>
  <c r="AI426" i="3"/>
  <c r="X426" i="3"/>
  <c r="Z426" i="3"/>
  <c r="W426" i="3"/>
  <c r="O426" i="3"/>
  <c r="M426" i="3"/>
  <c r="L426" i="3"/>
  <c r="N426" i="3"/>
  <c r="K426" i="3"/>
  <c r="AJ425" i="3"/>
  <c r="AL425" i="3"/>
  <c r="AI425" i="3"/>
  <c r="X425" i="3"/>
  <c r="Z425" i="3"/>
  <c r="W425" i="3"/>
  <c r="O425" i="3"/>
  <c r="M425" i="3"/>
  <c r="L425" i="3"/>
  <c r="N425" i="3"/>
  <c r="K425" i="3"/>
  <c r="AJ424" i="3"/>
  <c r="AL424" i="3"/>
  <c r="AI424" i="3"/>
  <c r="X424" i="3"/>
  <c r="Z424" i="3"/>
  <c r="W424" i="3"/>
  <c r="O424" i="3"/>
  <c r="M424" i="3"/>
  <c r="L424" i="3"/>
  <c r="N424" i="3"/>
  <c r="K424" i="3"/>
  <c r="AJ423" i="3"/>
  <c r="AL423" i="3"/>
  <c r="AI423" i="3"/>
  <c r="X423" i="3"/>
  <c r="Z423" i="3"/>
  <c r="W423" i="3"/>
  <c r="O423" i="3"/>
  <c r="M423" i="3"/>
  <c r="L423" i="3"/>
  <c r="N423" i="3"/>
  <c r="K423" i="3"/>
  <c r="AJ422" i="3"/>
  <c r="AL422" i="3"/>
  <c r="AI422" i="3"/>
  <c r="X422" i="3"/>
  <c r="Z422" i="3"/>
  <c r="W422" i="3"/>
  <c r="O422" i="3"/>
  <c r="M422" i="3"/>
  <c r="L422" i="3"/>
  <c r="N422" i="3"/>
  <c r="K422" i="3"/>
  <c r="AJ421" i="3"/>
  <c r="AL421" i="3"/>
  <c r="AI421" i="3"/>
  <c r="X421" i="3"/>
  <c r="Z421" i="3"/>
  <c r="W421" i="3"/>
  <c r="O421" i="3"/>
  <c r="M421" i="3"/>
  <c r="L421" i="3"/>
  <c r="N421" i="3"/>
  <c r="K421" i="3"/>
  <c r="AJ420" i="3"/>
  <c r="AL420" i="3"/>
  <c r="AI420" i="3"/>
  <c r="X420" i="3"/>
  <c r="Z420" i="3"/>
  <c r="W420" i="3"/>
  <c r="O420" i="3"/>
  <c r="M420" i="3"/>
  <c r="L420" i="3"/>
  <c r="N420" i="3"/>
  <c r="K420" i="3"/>
  <c r="AJ419" i="3"/>
  <c r="AL419" i="3"/>
  <c r="AI419" i="3"/>
  <c r="X419" i="3"/>
  <c r="Z419" i="3"/>
  <c r="W419" i="3"/>
  <c r="O419" i="3"/>
  <c r="M419" i="3"/>
  <c r="L419" i="3"/>
  <c r="N419" i="3"/>
  <c r="K419" i="3"/>
  <c r="AJ418" i="3"/>
  <c r="AL418" i="3"/>
  <c r="AI418" i="3"/>
  <c r="X418" i="3"/>
  <c r="Z418" i="3"/>
  <c r="W418" i="3"/>
  <c r="O418" i="3"/>
  <c r="M418" i="3"/>
  <c r="L418" i="3"/>
  <c r="N418" i="3"/>
  <c r="K418" i="3"/>
  <c r="AJ417" i="3"/>
  <c r="AL417" i="3"/>
  <c r="AI417" i="3"/>
  <c r="X417" i="3"/>
  <c r="Z417" i="3"/>
  <c r="W417" i="3"/>
  <c r="O417" i="3"/>
  <c r="M417" i="3"/>
  <c r="L417" i="3"/>
  <c r="N417" i="3"/>
  <c r="K417" i="3"/>
  <c r="AJ416" i="3"/>
  <c r="AL416" i="3"/>
  <c r="AI416" i="3"/>
  <c r="X416" i="3"/>
  <c r="Z416" i="3"/>
  <c r="W416" i="3"/>
  <c r="O416" i="3"/>
  <c r="M416" i="3"/>
  <c r="L416" i="3"/>
  <c r="N416" i="3"/>
  <c r="K416" i="3"/>
  <c r="AJ415" i="3"/>
  <c r="AL415" i="3"/>
  <c r="AI415" i="3"/>
  <c r="X415" i="3"/>
  <c r="Z415" i="3"/>
  <c r="W415" i="3"/>
  <c r="O415" i="3"/>
  <c r="M415" i="3"/>
  <c r="L415" i="3"/>
  <c r="N415" i="3"/>
  <c r="K415" i="3"/>
  <c r="AJ414" i="3"/>
  <c r="AL414" i="3"/>
  <c r="AI414" i="3"/>
  <c r="X414" i="3"/>
  <c r="Z414" i="3"/>
  <c r="W414" i="3"/>
  <c r="O414" i="3"/>
  <c r="M414" i="3"/>
  <c r="L414" i="3"/>
  <c r="N414" i="3"/>
  <c r="K414" i="3"/>
  <c r="AJ413" i="3"/>
  <c r="AL413" i="3"/>
  <c r="AI413" i="3"/>
  <c r="X413" i="3"/>
  <c r="Z413" i="3"/>
  <c r="W413" i="3"/>
  <c r="O413" i="3"/>
  <c r="M413" i="3"/>
  <c r="L413" i="3"/>
  <c r="N413" i="3"/>
  <c r="K413" i="3"/>
  <c r="AJ412" i="3"/>
  <c r="AL412" i="3"/>
  <c r="AI412" i="3"/>
  <c r="X412" i="3"/>
  <c r="Z412" i="3"/>
  <c r="W412" i="3"/>
  <c r="O412" i="3"/>
  <c r="M412" i="3"/>
  <c r="L412" i="3"/>
  <c r="N412" i="3"/>
  <c r="K412" i="3"/>
  <c r="AJ411" i="3"/>
  <c r="AL411" i="3"/>
  <c r="AI411" i="3"/>
  <c r="X411" i="3"/>
  <c r="Z411" i="3"/>
  <c r="W411" i="3"/>
  <c r="O411" i="3"/>
  <c r="M411" i="3"/>
  <c r="L411" i="3"/>
  <c r="N411" i="3"/>
  <c r="K411" i="3"/>
  <c r="AJ410" i="3"/>
  <c r="AL410" i="3"/>
  <c r="AI410" i="3"/>
  <c r="X410" i="3"/>
  <c r="Z410" i="3"/>
  <c r="W410" i="3"/>
  <c r="O410" i="3"/>
  <c r="M410" i="3"/>
  <c r="L410" i="3"/>
  <c r="N410" i="3"/>
  <c r="K410" i="3"/>
  <c r="AJ409" i="3"/>
  <c r="AL409" i="3"/>
  <c r="AI409" i="3"/>
  <c r="X409" i="3"/>
  <c r="Z409" i="3"/>
  <c r="W409" i="3"/>
  <c r="O409" i="3"/>
  <c r="M409" i="3"/>
  <c r="L409" i="3"/>
  <c r="N409" i="3"/>
  <c r="K409" i="3"/>
  <c r="AJ408" i="3"/>
  <c r="AL408" i="3"/>
  <c r="AI408" i="3"/>
  <c r="X408" i="3"/>
  <c r="Z408" i="3"/>
  <c r="W408" i="3"/>
  <c r="O408" i="3"/>
  <c r="M408" i="3"/>
  <c r="L408" i="3"/>
  <c r="N408" i="3"/>
  <c r="K408" i="3"/>
  <c r="AJ407" i="3"/>
  <c r="AL407" i="3"/>
  <c r="AI407" i="3"/>
  <c r="X407" i="3"/>
  <c r="Z407" i="3"/>
  <c r="W407" i="3"/>
  <c r="O407" i="3"/>
  <c r="M407" i="3"/>
  <c r="L407" i="3"/>
  <c r="N407" i="3"/>
  <c r="K407" i="3"/>
  <c r="AJ406" i="3"/>
  <c r="AL406" i="3"/>
  <c r="AI406" i="3"/>
  <c r="X406" i="3"/>
  <c r="Z406" i="3"/>
  <c r="W406" i="3"/>
  <c r="O406" i="3"/>
  <c r="M406" i="3"/>
  <c r="L406" i="3"/>
  <c r="N406" i="3"/>
  <c r="K406" i="3"/>
  <c r="AJ405" i="3"/>
  <c r="AL405" i="3"/>
  <c r="AI405" i="3"/>
  <c r="X405" i="3"/>
  <c r="Z405" i="3"/>
  <c r="W405" i="3"/>
  <c r="O405" i="3"/>
  <c r="M405" i="3"/>
  <c r="L405" i="3"/>
  <c r="N405" i="3"/>
  <c r="K405" i="3"/>
  <c r="AJ404" i="3"/>
  <c r="AL404" i="3"/>
  <c r="AI404" i="3"/>
  <c r="X404" i="3"/>
  <c r="Z404" i="3"/>
  <c r="W404" i="3"/>
  <c r="O404" i="3"/>
  <c r="M404" i="3"/>
  <c r="L404" i="3"/>
  <c r="N404" i="3"/>
  <c r="K404" i="3"/>
  <c r="AJ403" i="3"/>
  <c r="AL403" i="3"/>
  <c r="AI403" i="3"/>
  <c r="X403" i="3"/>
  <c r="Z403" i="3"/>
  <c r="W403" i="3"/>
  <c r="O403" i="3"/>
  <c r="M403" i="3"/>
  <c r="L403" i="3"/>
  <c r="N403" i="3"/>
  <c r="K403" i="3"/>
  <c r="AJ402" i="3"/>
  <c r="AL402" i="3"/>
  <c r="AI402" i="3"/>
  <c r="X402" i="3"/>
  <c r="Z402" i="3"/>
  <c r="W402" i="3"/>
  <c r="O402" i="3"/>
  <c r="M402" i="3"/>
  <c r="L402" i="3"/>
  <c r="N402" i="3"/>
  <c r="K402" i="3"/>
  <c r="AJ401" i="3"/>
  <c r="AL401" i="3"/>
  <c r="AI401" i="3"/>
  <c r="X401" i="3"/>
  <c r="Z401" i="3"/>
  <c r="W401" i="3"/>
  <c r="O401" i="3"/>
  <c r="M401" i="3"/>
  <c r="L401" i="3"/>
  <c r="N401" i="3"/>
  <c r="K401" i="3"/>
  <c r="AJ400" i="3"/>
  <c r="AL400" i="3"/>
  <c r="AI400" i="3"/>
  <c r="X400" i="3"/>
  <c r="Z400" i="3"/>
  <c r="W400" i="3"/>
  <c r="O400" i="3"/>
  <c r="M400" i="3"/>
  <c r="L400" i="3"/>
  <c r="N400" i="3"/>
  <c r="K400" i="3"/>
  <c r="AJ399" i="3"/>
  <c r="AL399" i="3"/>
  <c r="AI399" i="3"/>
  <c r="X399" i="3"/>
  <c r="Z399" i="3"/>
  <c r="W399" i="3"/>
  <c r="O399" i="3"/>
  <c r="M399" i="3"/>
  <c r="L399" i="3"/>
  <c r="N399" i="3"/>
  <c r="K399" i="3"/>
  <c r="AJ398" i="3"/>
  <c r="AL398" i="3"/>
  <c r="AI398" i="3"/>
  <c r="X398" i="3"/>
  <c r="Z398" i="3"/>
  <c r="W398" i="3"/>
  <c r="O398" i="3"/>
  <c r="M398" i="3"/>
  <c r="L398" i="3"/>
  <c r="N398" i="3"/>
  <c r="K398" i="3"/>
  <c r="AJ397" i="3"/>
  <c r="AL397" i="3"/>
  <c r="AI397" i="3"/>
  <c r="X397" i="3"/>
  <c r="Z397" i="3"/>
  <c r="W397" i="3"/>
  <c r="O397" i="3"/>
  <c r="M397" i="3"/>
  <c r="L397" i="3"/>
  <c r="N397" i="3"/>
  <c r="K397" i="3"/>
  <c r="AJ396" i="3"/>
  <c r="AL396" i="3"/>
  <c r="AI396" i="3"/>
  <c r="X396" i="3"/>
  <c r="Z396" i="3"/>
  <c r="W396" i="3"/>
  <c r="O396" i="3"/>
  <c r="M396" i="3"/>
  <c r="L396" i="3"/>
  <c r="N396" i="3"/>
  <c r="K396" i="3"/>
  <c r="AJ395" i="3"/>
  <c r="AL395" i="3"/>
  <c r="AI395" i="3"/>
  <c r="X395" i="3"/>
  <c r="Z395" i="3"/>
  <c r="W395" i="3"/>
  <c r="O395" i="3"/>
  <c r="M395" i="3"/>
  <c r="L395" i="3"/>
  <c r="N395" i="3"/>
  <c r="K395" i="3"/>
  <c r="AJ394" i="3"/>
  <c r="AL394" i="3"/>
  <c r="AI394" i="3"/>
  <c r="X394" i="3"/>
  <c r="Z394" i="3"/>
  <c r="W394" i="3"/>
  <c r="O394" i="3"/>
  <c r="M394" i="3"/>
  <c r="L394" i="3"/>
  <c r="N394" i="3"/>
  <c r="K394" i="3"/>
  <c r="AJ393" i="3"/>
  <c r="AL393" i="3"/>
  <c r="AI393" i="3"/>
  <c r="X393" i="3"/>
  <c r="Z393" i="3"/>
  <c r="W393" i="3"/>
  <c r="O393" i="3"/>
  <c r="M393" i="3"/>
  <c r="L393" i="3"/>
  <c r="N393" i="3"/>
  <c r="K393" i="3"/>
  <c r="AJ392" i="3"/>
  <c r="AL392" i="3"/>
  <c r="AI392" i="3"/>
  <c r="X392" i="3"/>
  <c r="Z392" i="3"/>
  <c r="W392" i="3"/>
  <c r="O392" i="3"/>
  <c r="M392" i="3"/>
  <c r="L392" i="3"/>
  <c r="N392" i="3"/>
  <c r="K392" i="3"/>
  <c r="AJ391" i="3"/>
  <c r="AL391" i="3"/>
  <c r="AI391" i="3"/>
  <c r="X391" i="3"/>
  <c r="Z391" i="3"/>
  <c r="W391" i="3"/>
  <c r="O391" i="3"/>
  <c r="M391" i="3"/>
  <c r="L391" i="3"/>
  <c r="N391" i="3"/>
  <c r="K391" i="3"/>
  <c r="AJ390" i="3"/>
  <c r="AL390" i="3"/>
  <c r="AI390" i="3"/>
  <c r="X390" i="3"/>
  <c r="Z390" i="3"/>
  <c r="W390" i="3"/>
  <c r="O390" i="3"/>
  <c r="M390" i="3"/>
  <c r="L390" i="3"/>
  <c r="N390" i="3"/>
  <c r="K390" i="3"/>
  <c r="AJ389" i="3"/>
  <c r="AL389" i="3"/>
  <c r="AI389" i="3"/>
  <c r="X389" i="3"/>
  <c r="Z389" i="3"/>
  <c r="W389" i="3"/>
  <c r="O389" i="3"/>
  <c r="M389" i="3"/>
  <c r="L389" i="3"/>
  <c r="N389" i="3"/>
  <c r="K389" i="3"/>
  <c r="AJ388" i="3"/>
  <c r="AL388" i="3"/>
  <c r="AI388" i="3"/>
  <c r="X388" i="3"/>
  <c r="Z388" i="3"/>
  <c r="W388" i="3"/>
  <c r="O388" i="3"/>
  <c r="M388" i="3"/>
  <c r="L388" i="3"/>
  <c r="N388" i="3"/>
  <c r="K388" i="3"/>
  <c r="AJ387" i="3"/>
  <c r="AL387" i="3"/>
  <c r="AI387" i="3"/>
  <c r="X387" i="3"/>
  <c r="Z387" i="3"/>
  <c r="W387" i="3"/>
  <c r="O387" i="3"/>
  <c r="M387" i="3"/>
  <c r="L387" i="3"/>
  <c r="N387" i="3"/>
  <c r="K387" i="3"/>
  <c r="AJ386" i="3"/>
  <c r="AL386" i="3"/>
  <c r="AI386" i="3"/>
  <c r="X386" i="3"/>
  <c r="Z386" i="3"/>
  <c r="W386" i="3"/>
  <c r="O386" i="3"/>
  <c r="M386" i="3"/>
  <c r="L386" i="3"/>
  <c r="N386" i="3"/>
  <c r="K386" i="3"/>
  <c r="AJ385" i="3"/>
  <c r="AL385" i="3"/>
  <c r="AI385" i="3"/>
  <c r="X385" i="3"/>
  <c r="Z385" i="3"/>
  <c r="W385" i="3"/>
  <c r="O385" i="3"/>
  <c r="M385" i="3"/>
  <c r="L385" i="3"/>
  <c r="N385" i="3"/>
  <c r="K385" i="3"/>
  <c r="AJ384" i="3"/>
  <c r="AL384" i="3"/>
  <c r="AI384" i="3"/>
  <c r="X384" i="3"/>
  <c r="Z384" i="3"/>
  <c r="W384" i="3"/>
  <c r="O384" i="3"/>
  <c r="M384" i="3"/>
  <c r="L384" i="3"/>
  <c r="N384" i="3"/>
  <c r="K384" i="3"/>
  <c r="AJ383" i="3"/>
  <c r="AL383" i="3"/>
  <c r="AI383" i="3"/>
  <c r="X383" i="3"/>
  <c r="Z383" i="3"/>
  <c r="W383" i="3"/>
  <c r="O383" i="3"/>
  <c r="M383" i="3"/>
  <c r="L383" i="3"/>
  <c r="N383" i="3"/>
  <c r="K383" i="3"/>
  <c r="AJ382" i="3"/>
  <c r="AL382" i="3"/>
  <c r="AI382" i="3"/>
  <c r="X382" i="3"/>
  <c r="Z382" i="3"/>
  <c r="W382" i="3"/>
  <c r="O382" i="3"/>
  <c r="M382" i="3"/>
  <c r="L382" i="3"/>
  <c r="N382" i="3"/>
  <c r="K382" i="3"/>
  <c r="AJ381" i="3"/>
  <c r="AL381" i="3"/>
  <c r="AI381" i="3"/>
  <c r="X381" i="3"/>
  <c r="Z381" i="3"/>
  <c r="W381" i="3"/>
  <c r="O381" i="3"/>
  <c r="M381" i="3"/>
  <c r="L381" i="3"/>
  <c r="N381" i="3"/>
  <c r="K381" i="3"/>
  <c r="AJ380" i="3"/>
  <c r="AL380" i="3"/>
  <c r="AI380" i="3"/>
  <c r="X380" i="3"/>
  <c r="Z380" i="3"/>
  <c r="W380" i="3"/>
  <c r="O380" i="3"/>
  <c r="M380" i="3"/>
  <c r="L380" i="3"/>
  <c r="N380" i="3"/>
  <c r="K380" i="3"/>
  <c r="AJ379" i="3"/>
  <c r="AL379" i="3"/>
  <c r="AI379" i="3"/>
  <c r="X379" i="3"/>
  <c r="Z379" i="3"/>
  <c r="W379" i="3"/>
  <c r="O379" i="3"/>
  <c r="M379" i="3"/>
  <c r="L379" i="3"/>
  <c r="N379" i="3"/>
  <c r="K379" i="3"/>
  <c r="AJ378" i="3"/>
  <c r="AL378" i="3"/>
  <c r="AI378" i="3"/>
  <c r="X378" i="3"/>
  <c r="Z378" i="3"/>
  <c r="W378" i="3"/>
  <c r="O378" i="3"/>
  <c r="M378" i="3"/>
  <c r="L378" i="3"/>
  <c r="N378" i="3"/>
  <c r="K378" i="3"/>
  <c r="AJ377" i="3"/>
  <c r="AL377" i="3"/>
  <c r="AI377" i="3"/>
  <c r="X377" i="3"/>
  <c r="Z377" i="3"/>
  <c r="W377" i="3"/>
  <c r="O377" i="3"/>
  <c r="M377" i="3"/>
  <c r="L377" i="3"/>
  <c r="N377" i="3"/>
  <c r="K377" i="3"/>
  <c r="AJ376" i="3"/>
  <c r="AL376" i="3"/>
  <c r="AI376" i="3"/>
  <c r="X376" i="3"/>
  <c r="Z376" i="3"/>
  <c r="W376" i="3"/>
  <c r="O376" i="3"/>
  <c r="M376" i="3"/>
  <c r="L376" i="3"/>
  <c r="N376" i="3"/>
  <c r="K376" i="3"/>
  <c r="AJ375" i="3"/>
  <c r="AL375" i="3"/>
  <c r="AI375" i="3"/>
  <c r="X375" i="3"/>
  <c r="Z375" i="3"/>
  <c r="W375" i="3"/>
  <c r="O375" i="3"/>
  <c r="M375" i="3"/>
  <c r="L375" i="3"/>
  <c r="N375" i="3"/>
  <c r="K375" i="3"/>
  <c r="AJ374" i="3"/>
  <c r="AL374" i="3"/>
  <c r="AI374" i="3"/>
  <c r="X374" i="3"/>
  <c r="Z374" i="3"/>
  <c r="W374" i="3"/>
  <c r="O374" i="3"/>
  <c r="M374" i="3"/>
  <c r="L374" i="3"/>
  <c r="N374" i="3"/>
  <c r="K374" i="3"/>
  <c r="AJ373" i="3"/>
  <c r="AL373" i="3"/>
  <c r="AI373" i="3"/>
  <c r="X373" i="3"/>
  <c r="Z373" i="3"/>
  <c r="W373" i="3"/>
  <c r="O373" i="3"/>
  <c r="M373" i="3"/>
  <c r="L373" i="3"/>
  <c r="N373" i="3"/>
  <c r="K373" i="3"/>
  <c r="AJ372" i="3"/>
  <c r="AL372" i="3"/>
  <c r="AI372" i="3"/>
  <c r="X372" i="3"/>
  <c r="Z372" i="3"/>
  <c r="W372" i="3"/>
  <c r="O372" i="3"/>
  <c r="M372" i="3"/>
  <c r="L372" i="3"/>
  <c r="N372" i="3"/>
  <c r="K372" i="3"/>
  <c r="AJ371" i="3"/>
  <c r="AL371" i="3"/>
  <c r="AI371" i="3"/>
  <c r="X371" i="3"/>
  <c r="Z371" i="3"/>
  <c r="W371" i="3"/>
  <c r="O371" i="3"/>
  <c r="M371" i="3"/>
  <c r="L371" i="3"/>
  <c r="N371" i="3"/>
  <c r="K371" i="3"/>
  <c r="AJ370" i="3"/>
  <c r="AL370" i="3"/>
  <c r="AI370" i="3"/>
  <c r="X370" i="3"/>
  <c r="Z370" i="3"/>
  <c r="W370" i="3"/>
  <c r="O370" i="3"/>
  <c r="M370" i="3"/>
  <c r="L370" i="3"/>
  <c r="N370" i="3"/>
  <c r="K370" i="3"/>
  <c r="AJ369" i="3"/>
  <c r="AL369" i="3"/>
  <c r="AI369" i="3"/>
  <c r="X369" i="3"/>
  <c r="Z369" i="3"/>
  <c r="W369" i="3"/>
  <c r="O369" i="3"/>
  <c r="M369" i="3"/>
  <c r="L369" i="3"/>
  <c r="N369" i="3"/>
  <c r="K369" i="3"/>
  <c r="AJ368" i="3"/>
  <c r="AL368" i="3"/>
  <c r="AI368" i="3"/>
  <c r="X368" i="3"/>
  <c r="Z368" i="3"/>
  <c r="W368" i="3"/>
  <c r="O368" i="3"/>
  <c r="M368" i="3"/>
  <c r="L368" i="3"/>
  <c r="N368" i="3"/>
  <c r="K368" i="3"/>
  <c r="AJ367" i="3"/>
  <c r="AL367" i="3"/>
  <c r="AI367" i="3"/>
  <c r="X367" i="3"/>
  <c r="Z367" i="3"/>
  <c r="W367" i="3"/>
  <c r="O367" i="3"/>
  <c r="M367" i="3"/>
  <c r="L367" i="3"/>
  <c r="N367" i="3"/>
  <c r="K367" i="3"/>
  <c r="AJ366" i="3"/>
  <c r="AL366" i="3"/>
  <c r="AI366" i="3"/>
  <c r="X366" i="3"/>
  <c r="Z366" i="3"/>
  <c r="W366" i="3"/>
  <c r="O366" i="3"/>
  <c r="M366" i="3"/>
  <c r="L366" i="3"/>
  <c r="N366" i="3"/>
  <c r="K366" i="3"/>
  <c r="AJ365" i="3"/>
  <c r="AL365" i="3"/>
  <c r="AI365" i="3"/>
  <c r="X365" i="3"/>
  <c r="Z365" i="3"/>
  <c r="W365" i="3"/>
  <c r="O365" i="3"/>
  <c r="M365" i="3"/>
  <c r="L365" i="3"/>
  <c r="N365" i="3"/>
  <c r="K365" i="3"/>
  <c r="AJ364" i="3"/>
  <c r="AL364" i="3"/>
  <c r="AI364" i="3"/>
  <c r="X364" i="3"/>
  <c r="Z364" i="3"/>
  <c r="W364" i="3"/>
  <c r="O364" i="3"/>
  <c r="M364" i="3"/>
  <c r="L364" i="3"/>
  <c r="N364" i="3"/>
  <c r="K364" i="3"/>
  <c r="AJ363" i="3"/>
  <c r="AL363" i="3"/>
  <c r="AI363" i="3"/>
  <c r="X363" i="3"/>
  <c r="Z363" i="3"/>
  <c r="W363" i="3"/>
  <c r="O363" i="3"/>
  <c r="M363" i="3"/>
  <c r="L363" i="3"/>
  <c r="N363" i="3"/>
  <c r="K363" i="3"/>
  <c r="AJ362" i="3"/>
  <c r="AL362" i="3"/>
  <c r="AI362" i="3"/>
  <c r="X362" i="3"/>
  <c r="Z362" i="3"/>
  <c r="W362" i="3"/>
  <c r="O362" i="3"/>
  <c r="M362" i="3"/>
  <c r="L362" i="3"/>
  <c r="N362" i="3"/>
  <c r="K362" i="3"/>
  <c r="AJ361" i="3"/>
  <c r="AL361" i="3"/>
  <c r="AI361" i="3"/>
  <c r="X361" i="3"/>
  <c r="Z361" i="3"/>
  <c r="W361" i="3"/>
  <c r="O361" i="3"/>
  <c r="M361" i="3"/>
  <c r="L361" i="3"/>
  <c r="N361" i="3"/>
  <c r="K361" i="3"/>
  <c r="AJ360" i="3"/>
  <c r="AL360" i="3"/>
  <c r="AI360" i="3"/>
  <c r="X360" i="3"/>
  <c r="Z360" i="3"/>
  <c r="W360" i="3"/>
  <c r="O360" i="3"/>
  <c r="M360" i="3"/>
  <c r="L360" i="3"/>
  <c r="N360" i="3"/>
  <c r="K360" i="3"/>
  <c r="AJ359" i="3"/>
  <c r="AL359" i="3"/>
  <c r="AI359" i="3"/>
  <c r="X359" i="3"/>
  <c r="Z359" i="3"/>
  <c r="W359" i="3"/>
  <c r="O359" i="3"/>
  <c r="M359" i="3"/>
  <c r="L359" i="3"/>
  <c r="N359" i="3"/>
  <c r="K359" i="3"/>
  <c r="AJ358" i="3"/>
  <c r="AL358" i="3"/>
  <c r="AI358" i="3"/>
  <c r="X358" i="3"/>
  <c r="Z358" i="3"/>
  <c r="W358" i="3"/>
  <c r="O358" i="3"/>
  <c r="M358" i="3"/>
  <c r="L358" i="3"/>
  <c r="N358" i="3"/>
  <c r="K358" i="3"/>
  <c r="AJ357" i="3"/>
  <c r="AL357" i="3"/>
  <c r="AI357" i="3"/>
  <c r="X357" i="3"/>
  <c r="Z357" i="3"/>
  <c r="W357" i="3"/>
  <c r="O357" i="3"/>
  <c r="M357" i="3"/>
  <c r="L357" i="3"/>
  <c r="N357" i="3"/>
  <c r="K357" i="3"/>
  <c r="AJ356" i="3"/>
  <c r="AL356" i="3"/>
  <c r="AI356" i="3"/>
  <c r="X356" i="3"/>
  <c r="Z356" i="3"/>
  <c r="W356" i="3"/>
  <c r="O356" i="3"/>
  <c r="M356" i="3"/>
  <c r="L356" i="3"/>
  <c r="N356" i="3"/>
  <c r="K356" i="3"/>
  <c r="AJ355" i="3"/>
  <c r="AL355" i="3"/>
  <c r="AI355" i="3"/>
  <c r="X355" i="3"/>
  <c r="Z355" i="3"/>
  <c r="W355" i="3"/>
  <c r="O355" i="3"/>
  <c r="M355" i="3"/>
  <c r="L355" i="3"/>
  <c r="N355" i="3"/>
  <c r="K355" i="3"/>
  <c r="AJ354" i="3"/>
  <c r="AL354" i="3"/>
  <c r="AI354" i="3"/>
  <c r="X354" i="3"/>
  <c r="Z354" i="3"/>
  <c r="W354" i="3"/>
  <c r="O354" i="3"/>
  <c r="M354" i="3"/>
  <c r="L354" i="3"/>
  <c r="N354" i="3"/>
  <c r="K354" i="3"/>
  <c r="AJ353" i="3"/>
  <c r="AL353" i="3"/>
  <c r="AI353" i="3"/>
  <c r="X353" i="3"/>
  <c r="Z353" i="3"/>
  <c r="W353" i="3"/>
  <c r="O353" i="3"/>
  <c r="M353" i="3"/>
  <c r="L353" i="3"/>
  <c r="N353" i="3"/>
  <c r="K353" i="3"/>
  <c r="AJ352" i="3"/>
  <c r="AL352" i="3"/>
  <c r="AI352" i="3"/>
  <c r="X352" i="3"/>
  <c r="Z352" i="3"/>
  <c r="W352" i="3"/>
  <c r="O352" i="3"/>
  <c r="M352" i="3"/>
  <c r="L352" i="3"/>
  <c r="N352" i="3"/>
  <c r="K352" i="3"/>
  <c r="AJ351" i="3"/>
  <c r="AL351" i="3"/>
  <c r="AI351" i="3"/>
  <c r="X351" i="3"/>
  <c r="Z351" i="3"/>
  <c r="W351" i="3"/>
  <c r="O351" i="3"/>
  <c r="M351" i="3"/>
  <c r="L351" i="3"/>
  <c r="N351" i="3"/>
  <c r="K351" i="3"/>
  <c r="AJ350" i="3"/>
  <c r="AL350" i="3"/>
  <c r="AI350" i="3"/>
  <c r="X350" i="3"/>
  <c r="Z350" i="3"/>
  <c r="W350" i="3"/>
  <c r="O350" i="3"/>
  <c r="M350" i="3"/>
  <c r="L350" i="3"/>
  <c r="N350" i="3"/>
  <c r="K350" i="3"/>
  <c r="AJ349" i="3"/>
  <c r="AL349" i="3"/>
  <c r="AI349" i="3"/>
  <c r="X349" i="3"/>
  <c r="Z349" i="3"/>
  <c r="W349" i="3"/>
  <c r="O349" i="3"/>
  <c r="M349" i="3"/>
  <c r="L349" i="3"/>
  <c r="N349" i="3"/>
  <c r="K349" i="3"/>
  <c r="AJ348" i="3"/>
  <c r="AL348" i="3"/>
  <c r="AI348" i="3"/>
  <c r="X348" i="3"/>
  <c r="Z348" i="3"/>
  <c r="W348" i="3"/>
  <c r="O348" i="3"/>
  <c r="M348" i="3"/>
  <c r="L348" i="3"/>
  <c r="N348" i="3"/>
  <c r="K348" i="3"/>
  <c r="AJ347" i="3"/>
  <c r="AL347" i="3"/>
  <c r="AI347" i="3"/>
  <c r="X347" i="3"/>
  <c r="Z347" i="3"/>
  <c r="W347" i="3"/>
  <c r="O347" i="3"/>
  <c r="M347" i="3"/>
  <c r="L347" i="3"/>
  <c r="N347" i="3"/>
  <c r="K347" i="3"/>
  <c r="AJ346" i="3"/>
  <c r="AL346" i="3"/>
  <c r="AI346" i="3"/>
  <c r="X346" i="3"/>
  <c r="Z346" i="3"/>
  <c r="W346" i="3"/>
  <c r="O346" i="3"/>
  <c r="M346" i="3"/>
  <c r="L346" i="3"/>
  <c r="N346" i="3"/>
  <c r="K346" i="3"/>
  <c r="AJ345" i="3"/>
  <c r="AL345" i="3"/>
  <c r="AI345" i="3"/>
  <c r="X345" i="3"/>
  <c r="Z345" i="3"/>
  <c r="W345" i="3"/>
  <c r="O345" i="3"/>
  <c r="M345" i="3"/>
  <c r="L345" i="3"/>
  <c r="N345" i="3"/>
  <c r="K345" i="3"/>
  <c r="AJ344" i="3"/>
  <c r="AL344" i="3"/>
  <c r="AI344" i="3"/>
  <c r="X344" i="3"/>
  <c r="Z344" i="3"/>
  <c r="W344" i="3"/>
  <c r="O344" i="3"/>
  <c r="M344" i="3"/>
  <c r="L344" i="3"/>
  <c r="N344" i="3"/>
  <c r="K344" i="3"/>
  <c r="AJ343" i="3"/>
  <c r="AL343" i="3"/>
  <c r="AI343" i="3"/>
  <c r="X343" i="3"/>
  <c r="Z343" i="3"/>
  <c r="W343" i="3"/>
  <c r="O343" i="3"/>
  <c r="M343" i="3"/>
  <c r="L343" i="3"/>
  <c r="N343" i="3"/>
  <c r="K343" i="3"/>
  <c r="AJ342" i="3"/>
  <c r="AL342" i="3"/>
  <c r="AI342" i="3"/>
  <c r="X342" i="3"/>
  <c r="Z342" i="3"/>
  <c r="W342" i="3"/>
  <c r="O342" i="3"/>
  <c r="M342" i="3"/>
  <c r="L342" i="3"/>
  <c r="N342" i="3"/>
  <c r="K342" i="3"/>
  <c r="AJ341" i="3"/>
  <c r="AL341" i="3"/>
  <c r="AI341" i="3"/>
  <c r="X341" i="3"/>
  <c r="Z341" i="3"/>
  <c r="W341" i="3"/>
  <c r="O341" i="3"/>
  <c r="M341" i="3"/>
  <c r="L341" i="3"/>
  <c r="N341" i="3"/>
  <c r="K341" i="3"/>
  <c r="AJ340" i="3"/>
  <c r="AL340" i="3"/>
  <c r="AI340" i="3"/>
  <c r="X340" i="3"/>
  <c r="Z340" i="3"/>
  <c r="W340" i="3"/>
  <c r="O340" i="3"/>
  <c r="M340" i="3"/>
  <c r="L340" i="3"/>
  <c r="N340" i="3"/>
  <c r="K340" i="3"/>
  <c r="AJ339" i="3"/>
  <c r="AL339" i="3"/>
  <c r="AI339" i="3"/>
  <c r="X339" i="3"/>
  <c r="Z339" i="3"/>
  <c r="W339" i="3"/>
  <c r="O339" i="3"/>
  <c r="M339" i="3"/>
  <c r="L339" i="3"/>
  <c r="N339" i="3"/>
  <c r="K339" i="3"/>
  <c r="AJ338" i="3"/>
  <c r="AL338" i="3"/>
  <c r="AI338" i="3"/>
  <c r="X338" i="3"/>
  <c r="Z338" i="3"/>
  <c r="W338" i="3"/>
  <c r="O338" i="3"/>
  <c r="M338" i="3"/>
  <c r="L338" i="3"/>
  <c r="N338" i="3"/>
  <c r="K338" i="3"/>
  <c r="AJ337" i="3"/>
  <c r="AL337" i="3"/>
  <c r="AI337" i="3"/>
  <c r="X337" i="3"/>
  <c r="Z337" i="3"/>
  <c r="W337" i="3"/>
  <c r="O337" i="3"/>
  <c r="M337" i="3"/>
  <c r="L337" i="3"/>
  <c r="N337" i="3"/>
  <c r="K337" i="3"/>
  <c r="AJ336" i="3"/>
  <c r="AL336" i="3"/>
  <c r="AI336" i="3"/>
  <c r="X336" i="3"/>
  <c r="Z336" i="3"/>
  <c r="W336" i="3"/>
  <c r="O336" i="3"/>
  <c r="M336" i="3"/>
  <c r="L336" i="3"/>
  <c r="N336" i="3"/>
  <c r="K336" i="3"/>
  <c r="AJ335" i="3"/>
  <c r="AL335" i="3"/>
  <c r="AI335" i="3"/>
  <c r="X335" i="3"/>
  <c r="Z335" i="3"/>
  <c r="W335" i="3"/>
  <c r="O335" i="3"/>
  <c r="M335" i="3"/>
  <c r="L335" i="3"/>
  <c r="N335" i="3"/>
  <c r="K335" i="3"/>
  <c r="AJ334" i="3"/>
  <c r="AL334" i="3"/>
  <c r="AI334" i="3"/>
  <c r="X334" i="3"/>
  <c r="Z334" i="3"/>
  <c r="W334" i="3"/>
  <c r="O334" i="3"/>
  <c r="M334" i="3"/>
  <c r="L334" i="3"/>
  <c r="N334" i="3"/>
  <c r="K334" i="3"/>
  <c r="AJ333" i="3"/>
  <c r="AL333" i="3"/>
  <c r="AI333" i="3"/>
  <c r="X333" i="3"/>
  <c r="Z333" i="3"/>
  <c r="W333" i="3"/>
  <c r="O333" i="3"/>
  <c r="M333" i="3"/>
  <c r="L333" i="3"/>
  <c r="N333" i="3"/>
  <c r="K333" i="3"/>
  <c r="AJ332" i="3"/>
  <c r="AL332" i="3"/>
  <c r="AI332" i="3"/>
  <c r="X332" i="3"/>
  <c r="Z332" i="3"/>
  <c r="W332" i="3"/>
  <c r="O332" i="3"/>
  <c r="M332" i="3"/>
  <c r="L332" i="3"/>
  <c r="N332" i="3"/>
  <c r="K332" i="3"/>
  <c r="AJ331" i="3"/>
  <c r="AL331" i="3"/>
  <c r="AI331" i="3"/>
  <c r="X331" i="3"/>
  <c r="Z331" i="3"/>
  <c r="W331" i="3"/>
  <c r="O331" i="3"/>
  <c r="M331" i="3"/>
  <c r="L331" i="3"/>
  <c r="N331" i="3"/>
  <c r="K331" i="3"/>
  <c r="AJ330" i="3"/>
  <c r="AL330" i="3"/>
  <c r="AI330" i="3"/>
  <c r="X330" i="3"/>
  <c r="Z330" i="3"/>
  <c r="W330" i="3"/>
  <c r="O330" i="3"/>
  <c r="M330" i="3"/>
  <c r="L330" i="3"/>
  <c r="N330" i="3"/>
  <c r="K330" i="3"/>
  <c r="AJ329" i="3"/>
  <c r="AL329" i="3"/>
  <c r="AI329" i="3"/>
  <c r="X329" i="3"/>
  <c r="Z329" i="3"/>
  <c r="W329" i="3"/>
  <c r="O329" i="3"/>
  <c r="M329" i="3"/>
  <c r="L329" i="3"/>
  <c r="N329" i="3"/>
  <c r="K329" i="3"/>
  <c r="AJ328" i="3"/>
  <c r="AL328" i="3"/>
  <c r="AI328" i="3"/>
  <c r="X328" i="3"/>
  <c r="Z328" i="3"/>
  <c r="W328" i="3"/>
  <c r="O328" i="3"/>
  <c r="M328" i="3"/>
  <c r="L328" i="3"/>
  <c r="N328" i="3"/>
  <c r="K328" i="3"/>
  <c r="AJ327" i="3"/>
  <c r="AL327" i="3"/>
  <c r="AI327" i="3"/>
  <c r="X327" i="3"/>
  <c r="Z327" i="3"/>
  <c r="W327" i="3"/>
  <c r="O327" i="3"/>
  <c r="M327" i="3"/>
  <c r="L327" i="3"/>
  <c r="N327" i="3"/>
  <c r="K327" i="3"/>
  <c r="AJ326" i="3"/>
  <c r="AL326" i="3"/>
  <c r="AI326" i="3"/>
  <c r="X326" i="3"/>
  <c r="Z326" i="3"/>
  <c r="W326" i="3"/>
  <c r="O326" i="3"/>
  <c r="M326" i="3"/>
  <c r="L326" i="3"/>
  <c r="N326" i="3"/>
  <c r="K326" i="3"/>
  <c r="AJ325" i="3"/>
  <c r="AL325" i="3"/>
  <c r="AI325" i="3"/>
  <c r="X325" i="3"/>
  <c r="Z325" i="3"/>
  <c r="W325" i="3"/>
  <c r="O325" i="3"/>
  <c r="M325" i="3"/>
  <c r="L325" i="3"/>
  <c r="N325" i="3"/>
  <c r="K325" i="3"/>
  <c r="AJ324" i="3"/>
  <c r="AL324" i="3"/>
  <c r="AI324" i="3"/>
  <c r="X324" i="3"/>
  <c r="Z324" i="3"/>
  <c r="W324" i="3"/>
  <c r="O324" i="3"/>
  <c r="M324" i="3"/>
  <c r="L324" i="3"/>
  <c r="N324" i="3"/>
  <c r="K324" i="3"/>
  <c r="AJ323" i="3"/>
  <c r="AL323" i="3"/>
  <c r="AI323" i="3"/>
  <c r="X323" i="3"/>
  <c r="Z323" i="3"/>
  <c r="W323" i="3"/>
  <c r="O323" i="3"/>
  <c r="M323" i="3"/>
  <c r="L323" i="3"/>
  <c r="N323" i="3"/>
  <c r="K323" i="3"/>
  <c r="AJ322" i="3"/>
  <c r="AL322" i="3"/>
  <c r="AI322" i="3"/>
  <c r="X322" i="3"/>
  <c r="Z322" i="3"/>
  <c r="W322" i="3"/>
  <c r="O322" i="3"/>
  <c r="M322" i="3"/>
  <c r="L322" i="3"/>
  <c r="N322" i="3"/>
  <c r="K322" i="3"/>
  <c r="AJ321" i="3"/>
  <c r="AL321" i="3"/>
  <c r="AI321" i="3"/>
  <c r="X321" i="3"/>
  <c r="Z321" i="3"/>
  <c r="W321" i="3"/>
  <c r="O321" i="3"/>
  <c r="M321" i="3"/>
  <c r="L321" i="3"/>
  <c r="N321" i="3"/>
  <c r="K321" i="3"/>
  <c r="AJ320" i="3"/>
  <c r="AL320" i="3"/>
  <c r="AI320" i="3"/>
  <c r="X320" i="3"/>
  <c r="Z320" i="3"/>
  <c r="W320" i="3"/>
  <c r="O320" i="3"/>
  <c r="M320" i="3"/>
  <c r="L320" i="3"/>
  <c r="N320" i="3"/>
  <c r="K320" i="3"/>
  <c r="AJ319" i="3"/>
  <c r="AL319" i="3"/>
  <c r="AI319" i="3"/>
  <c r="X319" i="3"/>
  <c r="Z319" i="3"/>
  <c r="W319" i="3"/>
  <c r="O319" i="3"/>
  <c r="M319" i="3"/>
  <c r="L319" i="3"/>
  <c r="N319" i="3"/>
  <c r="K319" i="3"/>
  <c r="AJ318" i="3"/>
  <c r="AL318" i="3"/>
  <c r="AI318" i="3"/>
  <c r="X318" i="3"/>
  <c r="Z318" i="3"/>
  <c r="W318" i="3"/>
  <c r="O318" i="3"/>
  <c r="M318" i="3"/>
  <c r="L318" i="3"/>
  <c r="N318" i="3"/>
  <c r="K318" i="3"/>
  <c r="AJ317" i="3"/>
  <c r="AL317" i="3"/>
  <c r="AI317" i="3"/>
  <c r="X317" i="3"/>
  <c r="Z317" i="3"/>
  <c r="W317" i="3"/>
  <c r="O317" i="3"/>
  <c r="M317" i="3"/>
  <c r="L317" i="3"/>
  <c r="N317" i="3"/>
  <c r="K317" i="3"/>
  <c r="AJ316" i="3"/>
  <c r="AL316" i="3"/>
  <c r="AI316" i="3"/>
  <c r="X316" i="3"/>
  <c r="Z316" i="3"/>
  <c r="W316" i="3"/>
  <c r="O316" i="3"/>
  <c r="M316" i="3"/>
  <c r="L316" i="3"/>
  <c r="N316" i="3"/>
  <c r="K316" i="3"/>
  <c r="AJ315" i="3"/>
  <c r="AL315" i="3"/>
  <c r="AI315" i="3"/>
  <c r="X315" i="3"/>
  <c r="Z315" i="3"/>
  <c r="W315" i="3"/>
  <c r="O315" i="3"/>
  <c r="M315" i="3"/>
  <c r="L315" i="3"/>
  <c r="N315" i="3"/>
  <c r="K315" i="3"/>
  <c r="AJ314" i="3"/>
  <c r="AL314" i="3"/>
  <c r="AI314" i="3"/>
  <c r="X314" i="3"/>
  <c r="Z314" i="3"/>
  <c r="W314" i="3"/>
  <c r="O314" i="3"/>
  <c r="M314" i="3"/>
  <c r="L314" i="3"/>
  <c r="N314" i="3"/>
  <c r="K314" i="3"/>
  <c r="AJ313" i="3"/>
  <c r="AL313" i="3"/>
  <c r="AI313" i="3"/>
  <c r="X313" i="3"/>
  <c r="Z313" i="3"/>
  <c r="W313" i="3"/>
  <c r="O313" i="3"/>
  <c r="M313" i="3"/>
  <c r="L313" i="3"/>
  <c r="N313" i="3"/>
  <c r="K313" i="3"/>
  <c r="AJ312" i="3"/>
  <c r="AL312" i="3"/>
  <c r="AI312" i="3"/>
  <c r="X312" i="3"/>
  <c r="Z312" i="3"/>
  <c r="W312" i="3"/>
  <c r="O312" i="3"/>
  <c r="M312" i="3"/>
  <c r="L312" i="3"/>
  <c r="N312" i="3"/>
  <c r="K312" i="3"/>
  <c r="AJ311" i="3"/>
  <c r="AL311" i="3"/>
  <c r="AI311" i="3"/>
  <c r="X311" i="3"/>
  <c r="Z311" i="3"/>
  <c r="W311" i="3"/>
  <c r="O311" i="3"/>
  <c r="M311" i="3"/>
  <c r="L311" i="3"/>
  <c r="N311" i="3"/>
  <c r="K311" i="3"/>
  <c r="AJ310" i="3"/>
  <c r="AL310" i="3"/>
  <c r="AI310" i="3"/>
  <c r="X310" i="3"/>
  <c r="Z310" i="3"/>
  <c r="W310" i="3"/>
  <c r="O310" i="3"/>
  <c r="M310" i="3"/>
  <c r="L310" i="3"/>
  <c r="N310" i="3"/>
  <c r="K310" i="3"/>
  <c r="AJ309" i="3"/>
  <c r="AL309" i="3"/>
  <c r="AI309" i="3"/>
  <c r="X309" i="3"/>
  <c r="Z309" i="3"/>
  <c r="W309" i="3"/>
  <c r="O309" i="3"/>
  <c r="M309" i="3"/>
  <c r="L309" i="3"/>
  <c r="N309" i="3"/>
  <c r="K309" i="3"/>
  <c r="AJ308" i="3"/>
  <c r="AL308" i="3"/>
  <c r="AI308" i="3"/>
  <c r="X308" i="3"/>
  <c r="Z308" i="3"/>
  <c r="W308" i="3"/>
  <c r="O308" i="3"/>
  <c r="M308" i="3"/>
  <c r="L308" i="3"/>
  <c r="N308" i="3"/>
  <c r="K308" i="3"/>
  <c r="AJ307" i="3"/>
  <c r="AL307" i="3"/>
  <c r="AI307" i="3"/>
  <c r="X307" i="3"/>
  <c r="Z307" i="3"/>
  <c r="W307" i="3"/>
  <c r="O307" i="3"/>
  <c r="M307" i="3"/>
  <c r="L307" i="3"/>
  <c r="N307" i="3"/>
  <c r="K307" i="3"/>
  <c r="AJ306" i="3"/>
  <c r="AL306" i="3"/>
  <c r="AI306" i="3"/>
  <c r="X306" i="3"/>
  <c r="Z306" i="3"/>
  <c r="W306" i="3"/>
  <c r="O306" i="3"/>
  <c r="M306" i="3"/>
  <c r="L306" i="3"/>
  <c r="N306" i="3"/>
  <c r="K306" i="3"/>
  <c r="AJ305" i="3"/>
  <c r="AL305" i="3"/>
  <c r="AI305" i="3"/>
  <c r="X305" i="3"/>
  <c r="Z305" i="3"/>
  <c r="W305" i="3"/>
  <c r="O305" i="3"/>
  <c r="M305" i="3"/>
  <c r="L305" i="3"/>
  <c r="N305" i="3"/>
  <c r="K305" i="3"/>
  <c r="AJ304" i="3"/>
  <c r="AL304" i="3"/>
  <c r="AI304" i="3"/>
  <c r="X304" i="3"/>
  <c r="Z304" i="3"/>
  <c r="W304" i="3"/>
  <c r="O304" i="3"/>
  <c r="M304" i="3"/>
  <c r="L304" i="3"/>
  <c r="N304" i="3"/>
  <c r="K304" i="3"/>
  <c r="AJ303" i="3"/>
  <c r="AL303" i="3"/>
  <c r="AI303" i="3"/>
  <c r="X303" i="3"/>
  <c r="Z303" i="3"/>
  <c r="W303" i="3"/>
  <c r="O303" i="3"/>
  <c r="M303" i="3"/>
  <c r="L303" i="3"/>
  <c r="N303" i="3"/>
  <c r="K303" i="3"/>
  <c r="AJ302" i="3"/>
  <c r="AL302" i="3"/>
  <c r="AI302" i="3"/>
  <c r="X302" i="3"/>
  <c r="Z302" i="3"/>
  <c r="W302" i="3"/>
  <c r="O302" i="3"/>
  <c r="M302" i="3"/>
  <c r="L302" i="3"/>
  <c r="N302" i="3"/>
  <c r="K302" i="3"/>
  <c r="AJ301" i="3"/>
  <c r="AL301" i="3"/>
  <c r="AI301" i="3"/>
  <c r="X301" i="3"/>
  <c r="Z301" i="3"/>
  <c r="W301" i="3"/>
  <c r="O301" i="3"/>
  <c r="M301" i="3"/>
  <c r="L301" i="3"/>
  <c r="N301" i="3"/>
  <c r="K301" i="3"/>
  <c r="AJ300" i="3"/>
  <c r="AL300" i="3"/>
  <c r="AI300" i="3"/>
  <c r="X300" i="3"/>
  <c r="Z300" i="3"/>
  <c r="W300" i="3"/>
  <c r="O300" i="3"/>
  <c r="M300" i="3"/>
  <c r="L300" i="3"/>
  <c r="N300" i="3"/>
  <c r="K300" i="3"/>
  <c r="AJ299" i="3"/>
  <c r="AL299" i="3"/>
  <c r="AI299" i="3"/>
  <c r="X299" i="3"/>
  <c r="Z299" i="3"/>
  <c r="W299" i="3"/>
  <c r="O299" i="3"/>
  <c r="M299" i="3"/>
  <c r="L299" i="3"/>
  <c r="N299" i="3"/>
  <c r="K299" i="3"/>
  <c r="AJ298" i="3"/>
  <c r="AL298" i="3"/>
  <c r="AI298" i="3"/>
  <c r="X298" i="3"/>
  <c r="Z298" i="3"/>
  <c r="W298" i="3"/>
  <c r="O298" i="3"/>
  <c r="M298" i="3"/>
  <c r="L298" i="3"/>
  <c r="N298" i="3"/>
  <c r="K298" i="3"/>
  <c r="AJ297" i="3"/>
  <c r="AL297" i="3"/>
  <c r="AI297" i="3"/>
  <c r="X297" i="3"/>
  <c r="Z297" i="3"/>
  <c r="W297" i="3"/>
  <c r="O297" i="3"/>
  <c r="M297" i="3"/>
  <c r="L297" i="3"/>
  <c r="N297" i="3"/>
  <c r="K297" i="3"/>
  <c r="AJ296" i="3"/>
  <c r="AL296" i="3"/>
  <c r="AI296" i="3"/>
  <c r="X296" i="3"/>
  <c r="Z296" i="3"/>
  <c r="W296" i="3"/>
  <c r="O296" i="3"/>
  <c r="M296" i="3"/>
  <c r="L296" i="3"/>
  <c r="N296" i="3"/>
  <c r="K296" i="3"/>
  <c r="AJ295" i="3"/>
  <c r="AL295" i="3"/>
  <c r="AI295" i="3"/>
  <c r="X295" i="3"/>
  <c r="Z295" i="3"/>
  <c r="W295" i="3"/>
  <c r="O295" i="3"/>
  <c r="M295" i="3"/>
  <c r="L295" i="3"/>
  <c r="N295" i="3"/>
  <c r="K295" i="3"/>
  <c r="AJ294" i="3"/>
  <c r="AL294" i="3"/>
  <c r="AI294" i="3"/>
  <c r="X294" i="3"/>
  <c r="Z294" i="3"/>
  <c r="W294" i="3"/>
  <c r="O294" i="3"/>
  <c r="M294" i="3"/>
  <c r="L294" i="3"/>
  <c r="N294" i="3"/>
  <c r="K294" i="3"/>
  <c r="AJ293" i="3"/>
  <c r="AL293" i="3"/>
  <c r="AI293" i="3"/>
  <c r="X293" i="3"/>
  <c r="Z293" i="3"/>
  <c r="W293" i="3"/>
  <c r="O293" i="3"/>
  <c r="M293" i="3"/>
  <c r="L293" i="3"/>
  <c r="N293" i="3"/>
  <c r="K293" i="3"/>
  <c r="AJ292" i="3"/>
  <c r="AL292" i="3"/>
  <c r="AI292" i="3"/>
  <c r="X292" i="3"/>
  <c r="Z292" i="3"/>
  <c r="W292" i="3"/>
  <c r="O292" i="3"/>
  <c r="M292" i="3"/>
  <c r="L292" i="3"/>
  <c r="N292" i="3"/>
  <c r="K292" i="3"/>
  <c r="AJ291" i="3"/>
  <c r="AL291" i="3"/>
  <c r="AI291" i="3"/>
  <c r="X291" i="3"/>
  <c r="Z291" i="3"/>
  <c r="W291" i="3"/>
  <c r="O291" i="3"/>
  <c r="M291" i="3"/>
  <c r="L291" i="3"/>
  <c r="N291" i="3"/>
  <c r="K291" i="3"/>
  <c r="AJ290" i="3"/>
  <c r="AL290" i="3"/>
  <c r="AI290" i="3"/>
  <c r="X290" i="3"/>
  <c r="Z290" i="3"/>
  <c r="W290" i="3"/>
  <c r="O290" i="3"/>
  <c r="M290" i="3"/>
  <c r="L290" i="3"/>
  <c r="N290" i="3"/>
  <c r="K290" i="3"/>
  <c r="AJ289" i="3"/>
  <c r="AL289" i="3"/>
  <c r="AI289" i="3"/>
  <c r="X289" i="3"/>
  <c r="Z289" i="3"/>
  <c r="W289" i="3"/>
  <c r="O289" i="3"/>
  <c r="M289" i="3"/>
  <c r="L289" i="3"/>
  <c r="N289" i="3"/>
  <c r="K289" i="3"/>
  <c r="AJ288" i="3"/>
  <c r="AL288" i="3"/>
  <c r="AI288" i="3"/>
  <c r="X288" i="3"/>
  <c r="Z288" i="3"/>
  <c r="W288" i="3"/>
  <c r="O288" i="3"/>
  <c r="M288" i="3"/>
  <c r="L288" i="3"/>
  <c r="N288" i="3"/>
  <c r="K288" i="3"/>
  <c r="AJ287" i="3"/>
  <c r="AL287" i="3"/>
  <c r="AI287" i="3"/>
  <c r="X287" i="3"/>
  <c r="Z287" i="3"/>
  <c r="W287" i="3"/>
  <c r="O287" i="3"/>
  <c r="M287" i="3"/>
  <c r="L287" i="3"/>
  <c r="N287" i="3"/>
  <c r="K287" i="3"/>
  <c r="AJ286" i="3"/>
  <c r="AL286" i="3"/>
  <c r="AI286" i="3"/>
  <c r="X286" i="3"/>
  <c r="Z286" i="3"/>
  <c r="W286" i="3"/>
  <c r="O286" i="3"/>
  <c r="M286" i="3"/>
  <c r="L286" i="3"/>
  <c r="N286" i="3"/>
  <c r="K286" i="3"/>
  <c r="AJ285" i="3"/>
  <c r="AL285" i="3"/>
  <c r="AI285" i="3"/>
  <c r="X285" i="3"/>
  <c r="Z285" i="3"/>
  <c r="W285" i="3"/>
  <c r="O285" i="3"/>
  <c r="M285" i="3"/>
  <c r="L285" i="3"/>
  <c r="N285" i="3"/>
  <c r="K285" i="3"/>
  <c r="AJ284" i="3"/>
  <c r="AL284" i="3"/>
  <c r="AI284" i="3"/>
  <c r="X284" i="3"/>
  <c r="Z284" i="3"/>
  <c r="W284" i="3"/>
  <c r="O284" i="3"/>
  <c r="M284" i="3"/>
  <c r="L284" i="3"/>
  <c r="N284" i="3"/>
  <c r="K284" i="3"/>
  <c r="AJ283" i="3"/>
  <c r="AL283" i="3"/>
  <c r="AI283" i="3"/>
  <c r="X283" i="3"/>
  <c r="Z283" i="3"/>
  <c r="W283" i="3"/>
  <c r="O283" i="3"/>
  <c r="M283" i="3"/>
  <c r="L283" i="3"/>
  <c r="N283" i="3"/>
  <c r="K283" i="3"/>
  <c r="AJ282" i="3"/>
  <c r="AL282" i="3"/>
  <c r="AI282" i="3"/>
  <c r="X282" i="3"/>
  <c r="Z282" i="3"/>
  <c r="W282" i="3"/>
  <c r="O282" i="3"/>
  <c r="M282" i="3"/>
  <c r="L282" i="3"/>
  <c r="N282" i="3"/>
  <c r="K282" i="3"/>
  <c r="AJ281" i="3"/>
  <c r="AL281" i="3"/>
  <c r="AI281" i="3"/>
  <c r="X281" i="3"/>
  <c r="Z281" i="3"/>
  <c r="W281" i="3"/>
  <c r="O281" i="3"/>
  <c r="M281" i="3"/>
  <c r="L281" i="3"/>
  <c r="N281" i="3"/>
  <c r="K281" i="3"/>
  <c r="AJ280" i="3"/>
  <c r="AL280" i="3"/>
  <c r="AI280" i="3"/>
  <c r="X280" i="3"/>
  <c r="Z280" i="3"/>
  <c r="W280" i="3"/>
  <c r="O280" i="3"/>
  <c r="M280" i="3"/>
  <c r="L280" i="3"/>
  <c r="N280" i="3"/>
  <c r="K280" i="3"/>
  <c r="AJ279" i="3"/>
  <c r="AL279" i="3"/>
  <c r="AI279" i="3"/>
  <c r="X279" i="3"/>
  <c r="Z279" i="3"/>
  <c r="W279" i="3"/>
  <c r="O279" i="3"/>
  <c r="M279" i="3"/>
  <c r="L279" i="3"/>
  <c r="N279" i="3"/>
  <c r="K279" i="3"/>
  <c r="AJ278" i="3"/>
  <c r="AL278" i="3"/>
  <c r="AI278" i="3"/>
  <c r="X278" i="3"/>
  <c r="Z278" i="3"/>
  <c r="W278" i="3"/>
  <c r="O278" i="3"/>
  <c r="M278" i="3"/>
  <c r="L278" i="3"/>
  <c r="N278" i="3"/>
  <c r="K278" i="3"/>
  <c r="AJ277" i="3"/>
  <c r="AL277" i="3"/>
  <c r="AI277" i="3"/>
  <c r="X277" i="3"/>
  <c r="Z277" i="3"/>
  <c r="W277" i="3"/>
  <c r="O277" i="3"/>
  <c r="M277" i="3"/>
  <c r="L277" i="3"/>
  <c r="N277" i="3"/>
  <c r="K277" i="3"/>
  <c r="AJ276" i="3"/>
  <c r="AL276" i="3"/>
  <c r="AI276" i="3"/>
  <c r="X276" i="3"/>
  <c r="Z276" i="3"/>
  <c r="W276" i="3"/>
  <c r="O276" i="3"/>
  <c r="M276" i="3"/>
  <c r="L276" i="3"/>
  <c r="N276" i="3"/>
  <c r="K276" i="3"/>
  <c r="AJ275" i="3"/>
  <c r="AL275" i="3"/>
  <c r="AI275" i="3"/>
  <c r="X275" i="3"/>
  <c r="Z275" i="3"/>
  <c r="W275" i="3"/>
  <c r="O275" i="3"/>
  <c r="M275" i="3"/>
  <c r="L275" i="3"/>
  <c r="N275" i="3"/>
  <c r="K275" i="3"/>
  <c r="AJ274" i="3"/>
  <c r="AL274" i="3"/>
  <c r="AI274" i="3"/>
  <c r="X274" i="3"/>
  <c r="Z274" i="3"/>
  <c r="W274" i="3"/>
  <c r="O274" i="3"/>
  <c r="M274" i="3"/>
  <c r="L274" i="3"/>
  <c r="N274" i="3"/>
  <c r="K274" i="3"/>
  <c r="AJ273" i="3"/>
  <c r="AL273" i="3"/>
  <c r="AI273" i="3"/>
  <c r="X273" i="3"/>
  <c r="Z273" i="3"/>
  <c r="W273" i="3"/>
  <c r="O273" i="3"/>
  <c r="M273" i="3"/>
  <c r="L273" i="3"/>
  <c r="N273" i="3"/>
  <c r="K273" i="3"/>
  <c r="AJ272" i="3"/>
  <c r="AL272" i="3"/>
  <c r="AI272" i="3"/>
  <c r="X272" i="3"/>
  <c r="Z272" i="3"/>
  <c r="W272" i="3"/>
  <c r="O272" i="3"/>
  <c r="M272" i="3"/>
  <c r="L272" i="3"/>
  <c r="N272" i="3"/>
  <c r="K272" i="3"/>
  <c r="AJ271" i="3"/>
  <c r="AL271" i="3"/>
  <c r="AI271" i="3"/>
  <c r="X271" i="3"/>
  <c r="Z271" i="3"/>
  <c r="W271" i="3"/>
  <c r="O271" i="3"/>
  <c r="M271" i="3"/>
  <c r="L271" i="3"/>
  <c r="N271" i="3"/>
  <c r="K271" i="3"/>
  <c r="AJ270" i="3"/>
  <c r="AL270" i="3"/>
  <c r="AI270" i="3"/>
  <c r="X270" i="3"/>
  <c r="Z270" i="3"/>
  <c r="W270" i="3"/>
  <c r="O270" i="3"/>
  <c r="M270" i="3"/>
  <c r="L270" i="3"/>
  <c r="N270" i="3"/>
  <c r="K270" i="3"/>
  <c r="AJ269" i="3"/>
  <c r="AL269" i="3"/>
  <c r="AI269" i="3"/>
  <c r="X269" i="3"/>
  <c r="Z269" i="3"/>
  <c r="W269" i="3"/>
  <c r="O269" i="3"/>
  <c r="M269" i="3"/>
  <c r="L269" i="3"/>
  <c r="N269" i="3"/>
  <c r="K269" i="3"/>
  <c r="AJ268" i="3"/>
  <c r="AL268" i="3"/>
  <c r="AI268" i="3"/>
  <c r="X268" i="3"/>
  <c r="Z268" i="3"/>
  <c r="W268" i="3"/>
  <c r="O268" i="3"/>
  <c r="M268" i="3"/>
  <c r="L268" i="3"/>
  <c r="N268" i="3"/>
  <c r="K268" i="3"/>
  <c r="AJ267" i="3"/>
  <c r="AL267" i="3"/>
  <c r="AI267" i="3"/>
  <c r="X267" i="3"/>
  <c r="Z267" i="3"/>
  <c r="W267" i="3"/>
  <c r="O267" i="3"/>
  <c r="M267" i="3"/>
  <c r="L267" i="3"/>
  <c r="N267" i="3"/>
  <c r="K267" i="3"/>
  <c r="AJ266" i="3"/>
  <c r="AL266" i="3"/>
  <c r="AI266" i="3"/>
  <c r="X266" i="3"/>
  <c r="Z266" i="3"/>
  <c r="W266" i="3"/>
  <c r="O266" i="3"/>
  <c r="M266" i="3"/>
  <c r="L266" i="3"/>
  <c r="N266" i="3"/>
  <c r="K266" i="3"/>
  <c r="AJ265" i="3"/>
  <c r="AL265" i="3"/>
  <c r="AI265" i="3"/>
  <c r="X265" i="3"/>
  <c r="Z265" i="3"/>
  <c r="W265" i="3"/>
  <c r="O265" i="3"/>
  <c r="M265" i="3"/>
  <c r="L265" i="3"/>
  <c r="N265" i="3"/>
  <c r="K265" i="3"/>
  <c r="AJ264" i="3"/>
  <c r="AL264" i="3"/>
  <c r="AI264" i="3"/>
  <c r="X264" i="3"/>
  <c r="Z264" i="3"/>
  <c r="W264" i="3"/>
  <c r="O264" i="3"/>
  <c r="M264" i="3"/>
  <c r="L264" i="3"/>
  <c r="N264" i="3"/>
  <c r="K264" i="3"/>
  <c r="AJ263" i="3"/>
  <c r="AL263" i="3"/>
  <c r="AI263" i="3"/>
  <c r="X263" i="3"/>
  <c r="Z263" i="3"/>
  <c r="W263" i="3"/>
  <c r="O263" i="3"/>
  <c r="M263" i="3"/>
  <c r="L263" i="3"/>
  <c r="N263" i="3"/>
  <c r="K263" i="3"/>
  <c r="AJ262" i="3"/>
  <c r="AL262" i="3"/>
  <c r="AI262" i="3"/>
  <c r="X262" i="3"/>
  <c r="Z262" i="3"/>
  <c r="W262" i="3"/>
  <c r="O262" i="3"/>
  <c r="M262" i="3"/>
  <c r="L262" i="3"/>
  <c r="N262" i="3"/>
  <c r="K262" i="3"/>
  <c r="AJ261" i="3"/>
  <c r="AL261" i="3"/>
  <c r="AI261" i="3"/>
  <c r="X261" i="3"/>
  <c r="Z261" i="3"/>
  <c r="W261" i="3"/>
  <c r="O261" i="3"/>
  <c r="M261" i="3"/>
  <c r="L261" i="3"/>
  <c r="N261" i="3"/>
  <c r="K261" i="3"/>
  <c r="AJ260" i="3"/>
  <c r="AL260" i="3"/>
  <c r="AI260" i="3"/>
  <c r="X260" i="3"/>
  <c r="Z260" i="3"/>
  <c r="W260" i="3"/>
  <c r="O260" i="3"/>
  <c r="M260" i="3"/>
  <c r="L260" i="3"/>
  <c r="N260" i="3"/>
  <c r="K260" i="3"/>
  <c r="AJ259" i="3"/>
  <c r="AL259" i="3"/>
  <c r="AI259" i="3"/>
  <c r="X259" i="3"/>
  <c r="Z259" i="3"/>
  <c r="W259" i="3"/>
  <c r="O259" i="3"/>
  <c r="M259" i="3"/>
  <c r="L259" i="3"/>
  <c r="N259" i="3"/>
  <c r="K259" i="3"/>
  <c r="AJ258" i="3"/>
  <c r="AL258" i="3"/>
  <c r="AI258" i="3"/>
  <c r="X258" i="3"/>
  <c r="Z258" i="3"/>
  <c r="W258" i="3"/>
  <c r="O258" i="3"/>
  <c r="M258" i="3"/>
  <c r="L258" i="3"/>
  <c r="N258" i="3"/>
  <c r="K258" i="3"/>
  <c r="AJ257" i="3"/>
  <c r="AL257" i="3"/>
  <c r="AI257" i="3"/>
  <c r="X257" i="3"/>
  <c r="Z257" i="3"/>
  <c r="W257" i="3"/>
  <c r="O257" i="3"/>
  <c r="M257" i="3"/>
  <c r="L257" i="3"/>
  <c r="N257" i="3"/>
  <c r="K257" i="3"/>
  <c r="AJ256" i="3"/>
  <c r="AL256" i="3"/>
  <c r="AI256" i="3"/>
  <c r="X256" i="3"/>
  <c r="Z256" i="3"/>
  <c r="W256" i="3"/>
  <c r="O256" i="3"/>
  <c r="M256" i="3"/>
  <c r="L256" i="3"/>
  <c r="N256" i="3"/>
  <c r="K256" i="3"/>
  <c r="AJ255" i="3"/>
  <c r="AL255" i="3"/>
  <c r="AI255" i="3"/>
  <c r="X255" i="3"/>
  <c r="Z255" i="3"/>
  <c r="W255" i="3"/>
  <c r="O255" i="3"/>
  <c r="M255" i="3"/>
  <c r="L255" i="3"/>
  <c r="N255" i="3"/>
  <c r="K255" i="3"/>
  <c r="AJ254" i="3"/>
  <c r="AL254" i="3"/>
  <c r="AI254" i="3"/>
  <c r="X254" i="3"/>
  <c r="Z254" i="3"/>
  <c r="W254" i="3"/>
  <c r="O254" i="3"/>
  <c r="M254" i="3"/>
  <c r="L254" i="3"/>
  <c r="N254" i="3"/>
  <c r="K254" i="3"/>
  <c r="AJ253" i="3"/>
  <c r="AL253" i="3"/>
  <c r="AI253" i="3"/>
  <c r="X253" i="3"/>
  <c r="Z253" i="3"/>
  <c r="W253" i="3"/>
  <c r="O253" i="3"/>
  <c r="M253" i="3"/>
  <c r="L253" i="3"/>
  <c r="N253" i="3"/>
  <c r="K253" i="3"/>
  <c r="AJ252" i="3"/>
  <c r="AL252" i="3"/>
  <c r="AI252" i="3"/>
  <c r="X252" i="3"/>
  <c r="Z252" i="3"/>
  <c r="W252" i="3"/>
  <c r="O252" i="3"/>
  <c r="M252" i="3"/>
  <c r="L252" i="3"/>
  <c r="N252" i="3"/>
  <c r="K252" i="3"/>
  <c r="AJ251" i="3"/>
  <c r="AL251" i="3"/>
  <c r="AI251" i="3"/>
  <c r="X251" i="3"/>
  <c r="Z251" i="3"/>
  <c r="W251" i="3"/>
  <c r="O251" i="3"/>
  <c r="M251" i="3"/>
  <c r="L251" i="3"/>
  <c r="N251" i="3"/>
  <c r="K251" i="3"/>
  <c r="AJ250" i="3"/>
  <c r="AL250" i="3"/>
  <c r="AI250" i="3"/>
  <c r="X250" i="3"/>
  <c r="Z250" i="3"/>
  <c r="W250" i="3"/>
  <c r="O250" i="3"/>
  <c r="M250" i="3"/>
  <c r="L250" i="3"/>
  <c r="N250" i="3"/>
  <c r="K250" i="3"/>
  <c r="AJ249" i="3"/>
  <c r="AL249" i="3"/>
  <c r="AI249" i="3"/>
  <c r="X249" i="3"/>
  <c r="Z249" i="3"/>
  <c r="W249" i="3"/>
  <c r="O249" i="3"/>
  <c r="M249" i="3"/>
  <c r="L249" i="3"/>
  <c r="N249" i="3"/>
  <c r="K249" i="3"/>
  <c r="AJ248" i="3"/>
  <c r="AL248" i="3"/>
  <c r="AI248" i="3"/>
  <c r="X248" i="3"/>
  <c r="Z248" i="3"/>
  <c r="W248" i="3"/>
  <c r="O248" i="3"/>
  <c r="M248" i="3"/>
  <c r="L248" i="3"/>
  <c r="N248" i="3"/>
  <c r="K248" i="3"/>
  <c r="AJ247" i="3"/>
  <c r="AL247" i="3"/>
  <c r="AI247" i="3"/>
  <c r="X247" i="3"/>
  <c r="Z247" i="3"/>
  <c r="W247" i="3"/>
  <c r="O247" i="3"/>
  <c r="M247" i="3"/>
  <c r="L247" i="3"/>
  <c r="N247" i="3"/>
  <c r="K247" i="3"/>
  <c r="AJ246" i="3"/>
  <c r="AL246" i="3"/>
  <c r="AI246" i="3"/>
  <c r="X246" i="3"/>
  <c r="Z246" i="3"/>
  <c r="W246" i="3"/>
  <c r="O246" i="3"/>
  <c r="M246" i="3"/>
  <c r="L246" i="3"/>
  <c r="N246" i="3"/>
  <c r="K246" i="3"/>
  <c r="AJ245" i="3"/>
  <c r="AL245" i="3"/>
  <c r="AI245" i="3"/>
  <c r="X245" i="3"/>
  <c r="Z245" i="3"/>
  <c r="W245" i="3"/>
  <c r="O245" i="3"/>
  <c r="M245" i="3"/>
  <c r="L245" i="3"/>
  <c r="N245" i="3"/>
  <c r="K245" i="3"/>
  <c r="AJ244" i="3"/>
  <c r="AL244" i="3"/>
  <c r="AI244" i="3"/>
  <c r="X244" i="3"/>
  <c r="Z244" i="3"/>
  <c r="W244" i="3"/>
  <c r="O244" i="3"/>
  <c r="M244" i="3"/>
  <c r="L244" i="3"/>
  <c r="N244" i="3"/>
  <c r="K244" i="3"/>
  <c r="AJ243" i="3"/>
  <c r="AL243" i="3"/>
  <c r="AI243" i="3"/>
  <c r="X243" i="3"/>
  <c r="Z243" i="3"/>
  <c r="W243" i="3"/>
  <c r="O243" i="3"/>
  <c r="M243" i="3"/>
  <c r="L243" i="3"/>
  <c r="N243" i="3"/>
  <c r="K243" i="3"/>
  <c r="AJ242" i="3"/>
  <c r="AL242" i="3"/>
  <c r="AI242" i="3"/>
  <c r="X242" i="3"/>
  <c r="Z242" i="3"/>
  <c r="W242" i="3"/>
  <c r="O242" i="3"/>
  <c r="M242" i="3"/>
  <c r="L242" i="3"/>
  <c r="N242" i="3"/>
  <c r="K242" i="3"/>
  <c r="AJ241" i="3"/>
  <c r="AL241" i="3"/>
  <c r="AI241" i="3"/>
  <c r="X241" i="3"/>
  <c r="Z241" i="3"/>
  <c r="W241" i="3"/>
  <c r="O241" i="3"/>
  <c r="M241" i="3"/>
  <c r="L241" i="3"/>
  <c r="N241" i="3"/>
  <c r="K241" i="3"/>
  <c r="AJ240" i="3"/>
  <c r="AL240" i="3"/>
  <c r="AI240" i="3"/>
  <c r="X240" i="3"/>
  <c r="Z240" i="3"/>
  <c r="W240" i="3"/>
  <c r="O240" i="3"/>
  <c r="M240" i="3"/>
  <c r="L240" i="3"/>
  <c r="N240" i="3"/>
  <c r="K240" i="3"/>
  <c r="AJ239" i="3"/>
  <c r="AL239" i="3"/>
  <c r="AI239" i="3"/>
  <c r="X239" i="3"/>
  <c r="Z239" i="3"/>
  <c r="W239" i="3"/>
  <c r="O239" i="3"/>
  <c r="M239" i="3"/>
  <c r="L239" i="3"/>
  <c r="N239" i="3"/>
  <c r="K239" i="3"/>
  <c r="AJ238" i="3"/>
  <c r="AL238" i="3"/>
  <c r="AI238" i="3"/>
  <c r="X238" i="3"/>
  <c r="Z238" i="3"/>
  <c r="W238" i="3"/>
  <c r="O238" i="3"/>
  <c r="M238" i="3"/>
  <c r="L238" i="3"/>
  <c r="N238" i="3"/>
  <c r="K238" i="3"/>
  <c r="AJ237" i="3"/>
  <c r="AL237" i="3"/>
  <c r="AI237" i="3"/>
  <c r="X237" i="3"/>
  <c r="Z237" i="3"/>
  <c r="W237" i="3"/>
  <c r="O237" i="3"/>
  <c r="M237" i="3"/>
  <c r="L237" i="3"/>
  <c r="N237" i="3"/>
  <c r="K237" i="3"/>
  <c r="AJ236" i="3"/>
  <c r="AL236" i="3"/>
  <c r="AI236" i="3"/>
  <c r="X236" i="3"/>
  <c r="Z236" i="3"/>
  <c r="W236" i="3"/>
  <c r="O236" i="3"/>
  <c r="M236" i="3"/>
  <c r="L236" i="3"/>
  <c r="N236" i="3"/>
  <c r="K236" i="3"/>
  <c r="AJ235" i="3"/>
  <c r="AL235" i="3"/>
  <c r="AI235" i="3"/>
  <c r="X235" i="3"/>
  <c r="Z235" i="3"/>
  <c r="W235" i="3"/>
  <c r="O235" i="3"/>
  <c r="M235" i="3"/>
  <c r="L235" i="3"/>
  <c r="N235" i="3"/>
  <c r="K235" i="3"/>
  <c r="AJ234" i="3"/>
  <c r="AL234" i="3"/>
  <c r="AI234" i="3"/>
  <c r="X234" i="3"/>
  <c r="Z234" i="3"/>
  <c r="W234" i="3"/>
  <c r="O234" i="3"/>
  <c r="M234" i="3"/>
  <c r="L234" i="3"/>
  <c r="N234" i="3"/>
  <c r="K234" i="3"/>
  <c r="AJ233" i="3"/>
  <c r="AL233" i="3"/>
  <c r="AI233" i="3"/>
  <c r="X233" i="3"/>
  <c r="Z233" i="3"/>
  <c r="W233" i="3"/>
  <c r="O233" i="3"/>
  <c r="M233" i="3"/>
  <c r="L233" i="3"/>
  <c r="N233" i="3"/>
  <c r="K233" i="3"/>
  <c r="AJ232" i="3"/>
  <c r="AL232" i="3"/>
  <c r="AI232" i="3"/>
  <c r="X232" i="3"/>
  <c r="Z232" i="3"/>
  <c r="W232" i="3"/>
  <c r="O232" i="3"/>
  <c r="M232" i="3"/>
  <c r="L232" i="3"/>
  <c r="N232" i="3"/>
  <c r="K232" i="3"/>
  <c r="AJ231" i="3"/>
  <c r="AL231" i="3"/>
  <c r="AI231" i="3"/>
  <c r="X231" i="3"/>
  <c r="Z231" i="3"/>
  <c r="W231" i="3"/>
  <c r="O231" i="3"/>
  <c r="M231" i="3"/>
  <c r="L231" i="3"/>
  <c r="N231" i="3"/>
  <c r="K231" i="3"/>
  <c r="AJ230" i="3"/>
  <c r="AL230" i="3"/>
  <c r="AI230" i="3"/>
  <c r="X230" i="3"/>
  <c r="Z230" i="3"/>
  <c r="W230" i="3"/>
  <c r="O230" i="3"/>
  <c r="M230" i="3"/>
  <c r="L230" i="3"/>
  <c r="N230" i="3"/>
  <c r="K230" i="3"/>
  <c r="AJ229" i="3"/>
  <c r="AL229" i="3"/>
  <c r="AI229" i="3"/>
  <c r="X229" i="3"/>
  <c r="Z229" i="3"/>
  <c r="W229" i="3"/>
  <c r="O229" i="3"/>
  <c r="M229" i="3"/>
  <c r="L229" i="3"/>
  <c r="N229" i="3"/>
  <c r="K229" i="3"/>
  <c r="AJ228" i="3"/>
  <c r="AL228" i="3"/>
  <c r="AI228" i="3"/>
  <c r="X228" i="3"/>
  <c r="Z228" i="3"/>
  <c r="W228" i="3"/>
  <c r="O228" i="3"/>
  <c r="M228" i="3"/>
  <c r="L228" i="3"/>
  <c r="N228" i="3"/>
  <c r="K228" i="3"/>
  <c r="AJ227" i="3"/>
  <c r="AL227" i="3"/>
  <c r="AI227" i="3"/>
  <c r="X227" i="3"/>
  <c r="Z227" i="3"/>
  <c r="W227" i="3"/>
  <c r="O227" i="3"/>
  <c r="M227" i="3"/>
  <c r="L227" i="3"/>
  <c r="N227" i="3"/>
  <c r="K227" i="3"/>
  <c r="AJ226" i="3"/>
  <c r="AL226" i="3"/>
  <c r="AI226" i="3"/>
  <c r="X226" i="3"/>
  <c r="Z226" i="3"/>
  <c r="W226" i="3"/>
  <c r="O226" i="3"/>
  <c r="M226" i="3"/>
  <c r="L226" i="3"/>
  <c r="N226" i="3"/>
  <c r="K226" i="3"/>
  <c r="AJ225" i="3"/>
  <c r="AL225" i="3"/>
  <c r="AI225" i="3"/>
  <c r="X225" i="3"/>
  <c r="Z225" i="3"/>
  <c r="W225" i="3"/>
  <c r="O225" i="3"/>
  <c r="M225" i="3"/>
  <c r="L225" i="3"/>
  <c r="N225" i="3"/>
  <c r="K225" i="3"/>
  <c r="AJ224" i="3"/>
  <c r="AL224" i="3"/>
  <c r="AI224" i="3"/>
  <c r="X224" i="3"/>
  <c r="Z224" i="3"/>
  <c r="W224" i="3"/>
  <c r="O224" i="3"/>
  <c r="M224" i="3"/>
  <c r="L224" i="3"/>
  <c r="N224" i="3"/>
  <c r="K224" i="3"/>
  <c r="AJ223" i="3"/>
  <c r="AL223" i="3"/>
  <c r="AI223" i="3"/>
  <c r="X223" i="3"/>
  <c r="Z223" i="3"/>
  <c r="W223" i="3"/>
  <c r="O223" i="3"/>
  <c r="M223" i="3"/>
  <c r="L223" i="3"/>
  <c r="N223" i="3"/>
  <c r="K223" i="3"/>
  <c r="AJ222" i="3"/>
  <c r="AL222" i="3"/>
  <c r="AI222" i="3"/>
  <c r="X222" i="3"/>
  <c r="Z222" i="3"/>
  <c r="W222" i="3"/>
  <c r="O222" i="3"/>
  <c r="M222" i="3"/>
  <c r="L222" i="3"/>
  <c r="N222" i="3"/>
  <c r="K222" i="3"/>
  <c r="AJ221" i="3"/>
  <c r="AL221" i="3"/>
  <c r="AI221" i="3"/>
  <c r="X221" i="3"/>
  <c r="Z221" i="3"/>
  <c r="W221" i="3"/>
  <c r="O221" i="3"/>
  <c r="M221" i="3"/>
  <c r="L221" i="3"/>
  <c r="N221" i="3"/>
  <c r="K221" i="3"/>
  <c r="AJ220" i="3"/>
  <c r="AL220" i="3"/>
  <c r="AI220" i="3"/>
  <c r="X220" i="3"/>
  <c r="Z220" i="3"/>
  <c r="W220" i="3"/>
  <c r="O220" i="3"/>
  <c r="M220" i="3"/>
  <c r="L220" i="3"/>
  <c r="N220" i="3"/>
  <c r="K220" i="3"/>
  <c r="AJ219" i="3"/>
  <c r="AL219" i="3"/>
  <c r="AI219" i="3"/>
  <c r="X219" i="3"/>
  <c r="Z219" i="3"/>
  <c r="W219" i="3"/>
  <c r="O219" i="3"/>
  <c r="M219" i="3"/>
  <c r="L219" i="3"/>
  <c r="N219" i="3"/>
  <c r="K219" i="3"/>
  <c r="AJ218" i="3"/>
  <c r="AL218" i="3"/>
  <c r="AI218" i="3"/>
  <c r="X218" i="3"/>
  <c r="Z218" i="3"/>
  <c r="W218" i="3"/>
  <c r="O218" i="3"/>
  <c r="M218" i="3"/>
  <c r="L218" i="3"/>
  <c r="N218" i="3"/>
  <c r="K218" i="3"/>
  <c r="AJ217" i="3"/>
  <c r="AL217" i="3"/>
  <c r="AI217" i="3"/>
  <c r="X217" i="3"/>
  <c r="Z217" i="3"/>
  <c r="W217" i="3"/>
  <c r="O217" i="3"/>
  <c r="M217" i="3"/>
  <c r="L217" i="3"/>
  <c r="N217" i="3"/>
  <c r="K217" i="3"/>
  <c r="AJ216" i="3"/>
  <c r="AL216" i="3"/>
  <c r="AI216" i="3"/>
  <c r="X216" i="3"/>
  <c r="Z216" i="3"/>
  <c r="W216" i="3"/>
  <c r="O216" i="3"/>
  <c r="M216" i="3"/>
  <c r="L216" i="3"/>
  <c r="N216" i="3"/>
  <c r="K216" i="3"/>
  <c r="AJ215" i="3"/>
  <c r="AL215" i="3"/>
  <c r="AI215" i="3"/>
  <c r="X215" i="3"/>
  <c r="Z215" i="3"/>
  <c r="W215" i="3"/>
  <c r="O215" i="3"/>
  <c r="M215" i="3"/>
  <c r="L215" i="3"/>
  <c r="N215" i="3"/>
  <c r="K215" i="3"/>
  <c r="AJ214" i="3"/>
  <c r="AL214" i="3"/>
  <c r="AI214" i="3"/>
  <c r="X214" i="3"/>
  <c r="Z214" i="3"/>
  <c r="W214" i="3"/>
  <c r="O214" i="3"/>
  <c r="M214" i="3"/>
  <c r="L214" i="3"/>
  <c r="N214" i="3"/>
  <c r="K214" i="3"/>
  <c r="AJ213" i="3"/>
  <c r="AL213" i="3"/>
  <c r="AI213" i="3"/>
  <c r="X213" i="3"/>
  <c r="Z213" i="3"/>
  <c r="W213" i="3"/>
  <c r="O213" i="3"/>
  <c r="M213" i="3"/>
  <c r="L213" i="3"/>
  <c r="N213" i="3"/>
  <c r="K213" i="3"/>
  <c r="AJ212" i="3"/>
  <c r="AL212" i="3"/>
  <c r="AI212" i="3"/>
  <c r="X212" i="3"/>
  <c r="Z212" i="3"/>
  <c r="W212" i="3"/>
  <c r="O212" i="3"/>
  <c r="M212" i="3"/>
  <c r="L212" i="3"/>
  <c r="N212" i="3"/>
  <c r="K212" i="3"/>
  <c r="AJ211" i="3"/>
  <c r="AL211" i="3"/>
  <c r="AI211" i="3"/>
  <c r="X211" i="3"/>
  <c r="Z211" i="3"/>
  <c r="W211" i="3"/>
  <c r="O211" i="3"/>
  <c r="M211" i="3"/>
  <c r="L211" i="3"/>
  <c r="N211" i="3"/>
  <c r="K211" i="3"/>
  <c r="AJ210" i="3"/>
  <c r="AL210" i="3"/>
  <c r="AI210" i="3"/>
  <c r="X210" i="3"/>
  <c r="Z210" i="3"/>
  <c r="W210" i="3"/>
  <c r="O210" i="3"/>
  <c r="M210" i="3"/>
  <c r="L210" i="3"/>
  <c r="N210" i="3"/>
  <c r="K210" i="3"/>
  <c r="AJ209" i="3"/>
  <c r="AL209" i="3"/>
  <c r="AI209" i="3"/>
  <c r="X209" i="3"/>
  <c r="Z209" i="3"/>
  <c r="W209" i="3"/>
  <c r="O209" i="3"/>
  <c r="M209" i="3"/>
  <c r="L209" i="3"/>
  <c r="N209" i="3"/>
  <c r="K209" i="3"/>
  <c r="AJ208" i="3"/>
  <c r="AL208" i="3"/>
  <c r="AI208" i="3"/>
  <c r="X208" i="3"/>
  <c r="Z208" i="3"/>
  <c r="W208" i="3"/>
  <c r="O208" i="3"/>
  <c r="M208" i="3"/>
  <c r="L208" i="3"/>
  <c r="N208" i="3"/>
  <c r="K208" i="3"/>
  <c r="AJ207" i="3"/>
  <c r="AL207" i="3"/>
  <c r="AI207" i="3"/>
  <c r="X207" i="3"/>
  <c r="Z207" i="3"/>
  <c r="W207" i="3"/>
  <c r="O207" i="3"/>
  <c r="M207" i="3"/>
  <c r="L207" i="3"/>
  <c r="N207" i="3"/>
  <c r="K207" i="3"/>
  <c r="AJ206" i="3"/>
  <c r="AL206" i="3"/>
  <c r="AI206" i="3"/>
  <c r="X206" i="3"/>
  <c r="Z206" i="3"/>
  <c r="W206" i="3"/>
  <c r="O206" i="3"/>
  <c r="M206" i="3"/>
  <c r="L206" i="3"/>
  <c r="N206" i="3"/>
  <c r="K206" i="3"/>
  <c r="AJ205" i="3"/>
  <c r="AL205" i="3"/>
  <c r="AI205" i="3"/>
  <c r="X205" i="3"/>
  <c r="Z205" i="3"/>
  <c r="W205" i="3"/>
  <c r="O205" i="3"/>
  <c r="M205" i="3"/>
  <c r="L205" i="3"/>
  <c r="N205" i="3"/>
  <c r="K205" i="3"/>
  <c r="AJ204" i="3"/>
  <c r="AL204" i="3"/>
  <c r="AI204" i="3"/>
  <c r="X204" i="3"/>
  <c r="Z204" i="3"/>
  <c r="W204" i="3"/>
  <c r="O204" i="3"/>
  <c r="M204" i="3"/>
  <c r="L204" i="3"/>
  <c r="N204" i="3"/>
  <c r="K204" i="3"/>
  <c r="AJ203" i="3"/>
  <c r="AL203" i="3"/>
  <c r="AI203" i="3"/>
  <c r="X203" i="3"/>
  <c r="Z203" i="3"/>
  <c r="W203" i="3"/>
  <c r="O203" i="3"/>
  <c r="M203" i="3"/>
  <c r="L203" i="3"/>
  <c r="N203" i="3"/>
  <c r="K203" i="3"/>
  <c r="AJ202" i="3"/>
  <c r="AL202" i="3"/>
  <c r="AI202" i="3"/>
  <c r="X202" i="3"/>
  <c r="Z202" i="3"/>
  <c r="W202" i="3"/>
  <c r="O202" i="3"/>
  <c r="M202" i="3"/>
  <c r="L202" i="3"/>
  <c r="N202" i="3"/>
  <c r="K202" i="3"/>
  <c r="AJ201" i="3"/>
  <c r="AL201" i="3"/>
  <c r="AI201" i="3"/>
  <c r="X201" i="3"/>
  <c r="Z201" i="3"/>
  <c r="W201" i="3"/>
  <c r="O201" i="3"/>
  <c r="M201" i="3"/>
  <c r="L201" i="3"/>
  <c r="N201" i="3"/>
  <c r="K201" i="3"/>
  <c r="AJ200" i="3"/>
  <c r="AL200" i="3"/>
  <c r="AI200" i="3"/>
  <c r="X200" i="3"/>
  <c r="Z200" i="3"/>
  <c r="W200" i="3"/>
  <c r="O200" i="3"/>
  <c r="M200" i="3"/>
  <c r="L200" i="3"/>
  <c r="N200" i="3"/>
  <c r="K200" i="3"/>
  <c r="AJ199" i="3"/>
  <c r="AL199" i="3"/>
  <c r="AI199" i="3"/>
  <c r="X199" i="3"/>
  <c r="Z199" i="3"/>
  <c r="W199" i="3"/>
  <c r="O199" i="3"/>
  <c r="M199" i="3"/>
  <c r="L199" i="3"/>
  <c r="N199" i="3"/>
  <c r="K199" i="3"/>
  <c r="AJ198" i="3"/>
  <c r="AL198" i="3"/>
  <c r="AI198" i="3"/>
  <c r="X198" i="3"/>
  <c r="Z198" i="3"/>
  <c r="W198" i="3"/>
  <c r="O198" i="3"/>
  <c r="M198" i="3"/>
  <c r="L198" i="3"/>
  <c r="N198" i="3"/>
  <c r="K198" i="3"/>
  <c r="AJ197" i="3"/>
  <c r="AL197" i="3"/>
  <c r="AI197" i="3"/>
  <c r="X197" i="3"/>
  <c r="Z197" i="3"/>
  <c r="W197" i="3"/>
  <c r="O197" i="3"/>
  <c r="M197" i="3"/>
  <c r="L197" i="3"/>
  <c r="N197" i="3"/>
  <c r="K197" i="3"/>
  <c r="AJ196" i="3"/>
  <c r="AL196" i="3"/>
  <c r="AI196" i="3"/>
  <c r="X196" i="3"/>
  <c r="Z196" i="3"/>
  <c r="W196" i="3"/>
  <c r="O196" i="3"/>
  <c r="M196" i="3"/>
  <c r="L196" i="3"/>
  <c r="N196" i="3"/>
  <c r="K196" i="3"/>
  <c r="AJ195" i="3"/>
  <c r="AL195" i="3"/>
  <c r="AI195" i="3"/>
  <c r="X195" i="3"/>
  <c r="Z195" i="3"/>
  <c r="W195" i="3"/>
  <c r="O195" i="3"/>
  <c r="M195" i="3"/>
  <c r="L195" i="3"/>
  <c r="N195" i="3"/>
  <c r="K195" i="3"/>
  <c r="AJ194" i="3"/>
  <c r="AL194" i="3"/>
  <c r="AI194" i="3"/>
  <c r="X194" i="3"/>
  <c r="Z194" i="3"/>
  <c r="W194" i="3"/>
  <c r="O194" i="3"/>
  <c r="M194" i="3"/>
  <c r="L194" i="3"/>
  <c r="N194" i="3"/>
  <c r="K194" i="3"/>
  <c r="AJ193" i="3"/>
  <c r="AL193" i="3"/>
  <c r="AI193" i="3"/>
  <c r="X193" i="3"/>
  <c r="Z193" i="3"/>
  <c r="W193" i="3"/>
  <c r="O193" i="3"/>
  <c r="M193" i="3"/>
  <c r="L193" i="3"/>
  <c r="N193" i="3"/>
  <c r="K193" i="3"/>
  <c r="AJ192" i="3"/>
  <c r="AL192" i="3"/>
  <c r="AI192" i="3"/>
  <c r="X192" i="3"/>
  <c r="Z192" i="3"/>
  <c r="W192" i="3"/>
  <c r="O192" i="3"/>
  <c r="M192" i="3"/>
  <c r="L192" i="3"/>
  <c r="N192" i="3"/>
  <c r="K192" i="3"/>
  <c r="AJ191" i="3"/>
  <c r="AL191" i="3"/>
  <c r="AI191" i="3"/>
  <c r="X191" i="3"/>
  <c r="Z191" i="3"/>
  <c r="W191" i="3"/>
  <c r="O191" i="3"/>
  <c r="M191" i="3"/>
  <c r="L191" i="3"/>
  <c r="N191" i="3"/>
  <c r="K191" i="3"/>
  <c r="AJ190" i="3"/>
  <c r="AL190" i="3"/>
  <c r="AI190" i="3"/>
  <c r="X190" i="3"/>
  <c r="Z190" i="3"/>
  <c r="W190" i="3"/>
  <c r="O190" i="3"/>
  <c r="M190" i="3"/>
  <c r="L190" i="3"/>
  <c r="N190" i="3"/>
  <c r="K190" i="3"/>
  <c r="AJ189" i="3"/>
  <c r="AL189" i="3"/>
  <c r="AI189" i="3"/>
  <c r="X189" i="3"/>
  <c r="Z189" i="3"/>
  <c r="W189" i="3"/>
  <c r="O189" i="3"/>
  <c r="M189" i="3"/>
  <c r="L189" i="3"/>
  <c r="N189" i="3"/>
  <c r="K189" i="3"/>
  <c r="AJ188" i="3"/>
  <c r="AL188" i="3"/>
  <c r="AI188" i="3"/>
  <c r="X188" i="3"/>
  <c r="Z188" i="3"/>
  <c r="W188" i="3"/>
  <c r="O188" i="3"/>
  <c r="M188" i="3"/>
  <c r="L188" i="3"/>
  <c r="N188" i="3"/>
  <c r="K188" i="3"/>
  <c r="AJ187" i="3"/>
  <c r="AL187" i="3"/>
  <c r="AI187" i="3"/>
  <c r="X187" i="3"/>
  <c r="Z187" i="3"/>
  <c r="W187" i="3"/>
  <c r="O187" i="3"/>
  <c r="M187" i="3"/>
  <c r="L187" i="3"/>
  <c r="N187" i="3"/>
  <c r="K187" i="3"/>
  <c r="AJ186" i="3"/>
  <c r="AL186" i="3"/>
  <c r="AI186" i="3"/>
  <c r="X186" i="3"/>
  <c r="Z186" i="3"/>
  <c r="W186" i="3"/>
  <c r="O186" i="3"/>
  <c r="M186" i="3"/>
  <c r="L186" i="3"/>
  <c r="N186" i="3"/>
  <c r="K186" i="3"/>
  <c r="AJ185" i="3"/>
  <c r="AL185" i="3"/>
  <c r="AI185" i="3"/>
  <c r="X185" i="3"/>
  <c r="Z185" i="3"/>
  <c r="W185" i="3"/>
  <c r="O185" i="3"/>
  <c r="M185" i="3"/>
  <c r="L185" i="3"/>
  <c r="N185" i="3"/>
  <c r="K185" i="3"/>
  <c r="AJ184" i="3"/>
  <c r="AL184" i="3"/>
  <c r="AI184" i="3"/>
  <c r="X184" i="3"/>
  <c r="Z184" i="3"/>
  <c r="W184" i="3"/>
  <c r="O184" i="3"/>
  <c r="M184" i="3"/>
  <c r="L184" i="3"/>
  <c r="N184" i="3"/>
  <c r="K184" i="3"/>
  <c r="AJ183" i="3"/>
  <c r="AL183" i="3"/>
  <c r="AI183" i="3"/>
  <c r="X183" i="3"/>
  <c r="Z183" i="3"/>
  <c r="W183" i="3"/>
  <c r="O183" i="3"/>
  <c r="M183" i="3"/>
  <c r="L183" i="3"/>
  <c r="N183" i="3"/>
  <c r="K183" i="3"/>
  <c r="AJ182" i="3"/>
  <c r="AL182" i="3"/>
  <c r="AI182" i="3"/>
  <c r="X182" i="3"/>
  <c r="Z182" i="3"/>
  <c r="W182" i="3"/>
  <c r="O182" i="3"/>
  <c r="M182" i="3"/>
  <c r="L182" i="3"/>
  <c r="N182" i="3"/>
  <c r="K182" i="3"/>
  <c r="AJ181" i="3"/>
  <c r="AL181" i="3"/>
  <c r="AI181" i="3"/>
  <c r="X181" i="3"/>
  <c r="Z181" i="3"/>
  <c r="W181" i="3"/>
  <c r="O181" i="3"/>
  <c r="M181" i="3"/>
  <c r="L181" i="3"/>
  <c r="N181" i="3"/>
  <c r="K181" i="3"/>
  <c r="AJ180" i="3"/>
  <c r="AL180" i="3"/>
  <c r="AI180" i="3"/>
  <c r="X180" i="3"/>
  <c r="Z180" i="3"/>
  <c r="W180" i="3"/>
  <c r="O180" i="3"/>
  <c r="M180" i="3"/>
  <c r="L180" i="3"/>
  <c r="N180" i="3"/>
  <c r="K180" i="3"/>
  <c r="AJ179" i="3"/>
  <c r="AL179" i="3"/>
  <c r="AI179" i="3"/>
  <c r="X179" i="3"/>
  <c r="Z179" i="3"/>
  <c r="W179" i="3"/>
  <c r="O179" i="3"/>
  <c r="M179" i="3"/>
  <c r="L179" i="3"/>
  <c r="N179" i="3"/>
  <c r="K179" i="3"/>
  <c r="AJ178" i="3"/>
  <c r="AL178" i="3"/>
  <c r="AI178" i="3"/>
  <c r="X178" i="3"/>
  <c r="Z178" i="3"/>
  <c r="W178" i="3"/>
  <c r="O178" i="3"/>
  <c r="M178" i="3"/>
  <c r="L178" i="3"/>
  <c r="N178" i="3"/>
  <c r="K178" i="3"/>
  <c r="AJ177" i="3"/>
  <c r="AL177" i="3"/>
  <c r="AI177" i="3"/>
  <c r="X177" i="3"/>
  <c r="Z177" i="3"/>
  <c r="W177" i="3"/>
  <c r="O177" i="3"/>
  <c r="M177" i="3"/>
  <c r="L177" i="3"/>
  <c r="N177" i="3"/>
  <c r="K177" i="3"/>
  <c r="AJ176" i="3"/>
  <c r="AL176" i="3"/>
  <c r="AI176" i="3"/>
  <c r="X176" i="3"/>
  <c r="Z176" i="3"/>
  <c r="W176" i="3"/>
  <c r="O176" i="3"/>
  <c r="M176" i="3"/>
  <c r="L176" i="3"/>
  <c r="N176" i="3"/>
  <c r="K176" i="3"/>
  <c r="AJ175" i="3"/>
  <c r="AL175" i="3"/>
  <c r="AI175" i="3"/>
  <c r="X175" i="3"/>
  <c r="Z175" i="3"/>
  <c r="W175" i="3"/>
  <c r="O175" i="3"/>
  <c r="M175" i="3"/>
  <c r="L175" i="3"/>
  <c r="N175" i="3"/>
  <c r="K175" i="3"/>
  <c r="AJ174" i="3"/>
  <c r="AL174" i="3"/>
  <c r="AI174" i="3"/>
  <c r="X174" i="3"/>
  <c r="Z174" i="3"/>
  <c r="W174" i="3"/>
  <c r="O174" i="3"/>
  <c r="M174" i="3"/>
  <c r="L174" i="3"/>
  <c r="N174" i="3"/>
  <c r="K174" i="3"/>
  <c r="AJ173" i="3"/>
  <c r="AL173" i="3"/>
  <c r="AI173" i="3"/>
  <c r="X173" i="3"/>
  <c r="Z173" i="3"/>
  <c r="W173" i="3"/>
  <c r="O173" i="3"/>
  <c r="M173" i="3"/>
  <c r="L173" i="3"/>
  <c r="N173" i="3"/>
  <c r="K173" i="3"/>
  <c r="AJ172" i="3"/>
  <c r="AL172" i="3"/>
  <c r="AI172" i="3"/>
  <c r="X172" i="3"/>
  <c r="Z172" i="3"/>
  <c r="W172" i="3"/>
  <c r="O172" i="3"/>
  <c r="M172" i="3"/>
  <c r="L172" i="3"/>
  <c r="N172" i="3"/>
  <c r="K172" i="3"/>
  <c r="AJ171" i="3"/>
  <c r="AL171" i="3"/>
  <c r="AI171" i="3"/>
  <c r="X171" i="3"/>
  <c r="Z171" i="3"/>
  <c r="W171" i="3"/>
  <c r="O171" i="3"/>
  <c r="M171" i="3"/>
  <c r="L171" i="3"/>
  <c r="N171" i="3"/>
  <c r="K171" i="3"/>
  <c r="AJ170" i="3"/>
  <c r="AL170" i="3"/>
  <c r="AI170" i="3"/>
  <c r="X170" i="3"/>
  <c r="Z170" i="3"/>
  <c r="W170" i="3"/>
  <c r="O170" i="3"/>
  <c r="M170" i="3"/>
  <c r="L170" i="3"/>
  <c r="N170" i="3"/>
  <c r="K170" i="3"/>
  <c r="AJ169" i="3"/>
  <c r="AL169" i="3"/>
  <c r="AI169" i="3"/>
  <c r="X169" i="3"/>
  <c r="Z169" i="3"/>
  <c r="W169" i="3"/>
  <c r="O169" i="3"/>
  <c r="M169" i="3"/>
  <c r="L169" i="3"/>
  <c r="N169" i="3"/>
  <c r="K169" i="3"/>
  <c r="AJ168" i="3"/>
  <c r="AL168" i="3"/>
  <c r="AI168" i="3"/>
  <c r="X168" i="3"/>
  <c r="Z168" i="3"/>
  <c r="W168" i="3"/>
  <c r="O168" i="3"/>
  <c r="M168" i="3"/>
  <c r="L168" i="3"/>
  <c r="N168" i="3"/>
  <c r="K168" i="3"/>
  <c r="AJ167" i="3"/>
  <c r="AL167" i="3"/>
  <c r="AI167" i="3"/>
  <c r="X167" i="3"/>
  <c r="Z167" i="3"/>
  <c r="W167" i="3"/>
  <c r="O167" i="3"/>
  <c r="M167" i="3"/>
  <c r="L167" i="3"/>
  <c r="N167" i="3"/>
  <c r="K167" i="3"/>
  <c r="AJ166" i="3"/>
  <c r="AL166" i="3"/>
  <c r="AI166" i="3"/>
  <c r="X166" i="3"/>
  <c r="Z166" i="3"/>
  <c r="W166" i="3"/>
  <c r="O166" i="3"/>
  <c r="M166" i="3"/>
  <c r="L166" i="3"/>
  <c r="N166" i="3"/>
  <c r="K166" i="3"/>
  <c r="AJ165" i="3"/>
  <c r="AL165" i="3"/>
  <c r="AI165" i="3"/>
  <c r="X165" i="3"/>
  <c r="Z165" i="3"/>
  <c r="W165" i="3"/>
  <c r="O165" i="3"/>
  <c r="M165" i="3"/>
  <c r="L165" i="3"/>
  <c r="N165" i="3"/>
  <c r="K165" i="3"/>
  <c r="AJ164" i="3"/>
  <c r="AL164" i="3"/>
  <c r="AI164" i="3"/>
  <c r="X164" i="3"/>
  <c r="Z164" i="3"/>
  <c r="W164" i="3"/>
  <c r="O164" i="3"/>
  <c r="M164" i="3"/>
  <c r="L164" i="3"/>
  <c r="N164" i="3"/>
  <c r="K164" i="3"/>
  <c r="AJ163" i="3"/>
  <c r="AL163" i="3"/>
  <c r="AI163" i="3"/>
  <c r="X163" i="3"/>
  <c r="Z163" i="3"/>
  <c r="W163" i="3"/>
  <c r="O163" i="3"/>
  <c r="M163" i="3"/>
  <c r="L163" i="3"/>
  <c r="N163" i="3"/>
  <c r="K163" i="3"/>
  <c r="AJ162" i="3"/>
  <c r="AL162" i="3"/>
  <c r="AI162" i="3"/>
  <c r="X162" i="3"/>
  <c r="Z162" i="3"/>
  <c r="W162" i="3"/>
  <c r="O162" i="3"/>
  <c r="M162" i="3"/>
  <c r="L162" i="3"/>
  <c r="N162" i="3"/>
  <c r="K162" i="3"/>
  <c r="AJ161" i="3"/>
  <c r="AL161" i="3"/>
  <c r="AI161" i="3"/>
  <c r="X161" i="3"/>
  <c r="Z161" i="3"/>
  <c r="W161" i="3"/>
  <c r="O161" i="3"/>
  <c r="M161" i="3"/>
  <c r="L161" i="3"/>
  <c r="N161" i="3"/>
  <c r="K161" i="3"/>
  <c r="AJ160" i="3"/>
  <c r="AL160" i="3"/>
  <c r="AI160" i="3"/>
  <c r="X160" i="3"/>
  <c r="Z160" i="3"/>
  <c r="W160" i="3"/>
  <c r="O160" i="3"/>
  <c r="M160" i="3"/>
  <c r="L160" i="3"/>
  <c r="N160" i="3"/>
  <c r="K160" i="3"/>
  <c r="AJ159" i="3"/>
  <c r="AL159" i="3"/>
  <c r="AI159" i="3"/>
  <c r="X159" i="3"/>
  <c r="Z159" i="3"/>
  <c r="W159" i="3"/>
  <c r="O159" i="3"/>
  <c r="M159" i="3"/>
  <c r="L159" i="3"/>
  <c r="N159" i="3"/>
  <c r="K159" i="3"/>
  <c r="AJ158" i="3"/>
  <c r="AL158" i="3"/>
  <c r="AI158" i="3"/>
  <c r="X158" i="3"/>
  <c r="Z158" i="3"/>
  <c r="W158" i="3"/>
  <c r="O158" i="3"/>
  <c r="M158" i="3"/>
  <c r="L158" i="3"/>
  <c r="N158" i="3"/>
  <c r="K158" i="3"/>
  <c r="AJ157" i="3"/>
  <c r="AL157" i="3"/>
  <c r="AI157" i="3"/>
  <c r="X157" i="3"/>
  <c r="Z157" i="3"/>
  <c r="W157" i="3"/>
  <c r="O157" i="3"/>
  <c r="M157" i="3"/>
  <c r="L157" i="3"/>
  <c r="N157" i="3"/>
  <c r="K157" i="3"/>
  <c r="AJ156" i="3"/>
  <c r="AL156" i="3"/>
  <c r="AI156" i="3"/>
  <c r="X156" i="3"/>
  <c r="Z156" i="3"/>
  <c r="W156" i="3"/>
  <c r="O156" i="3"/>
  <c r="M156" i="3"/>
  <c r="L156" i="3"/>
  <c r="N156" i="3"/>
  <c r="K156" i="3"/>
  <c r="AJ155" i="3"/>
  <c r="AL155" i="3"/>
  <c r="AI155" i="3"/>
  <c r="X155" i="3"/>
  <c r="Z155" i="3"/>
  <c r="W155" i="3"/>
  <c r="O155" i="3"/>
  <c r="M155" i="3"/>
  <c r="L155" i="3"/>
  <c r="N155" i="3"/>
  <c r="K155" i="3"/>
  <c r="AJ154" i="3"/>
  <c r="AL154" i="3"/>
  <c r="AI154" i="3"/>
  <c r="X154" i="3"/>
  <c r="Z154" i="3"/>
  <c r="W154" i="3"/>
  <c r="O154" i="3"/>
  <c r="M154" i="3"/>
  <c r="L154" i="3"/>
  <c r="N154" i="3"/>
  <c r="K154" i="3"/>
  <c r="AJ153" i="3"/>
  <c r="AL153" i="3"/>
  <c r="AI153" i="3"/>
  <c r="X153" i="3"/>
  <c r="Z153" i="3"/>
  <c r="W153" i="3"/>
  <c r="O153" i="3"/>
  <c r="M153" i="3"/>
  <c r="L153" i="3"/>
  <c r="N153" i="3"/>
  <c r="K153" i="3"/>
  <c r="AJ152" i="3"/>
  <c r="AL152" i="3"/>
  <c r="AI152" i="3"/>
  <c r="X152" i="3"/>
  <c r="Z152" i="3"/>
  <c r="W152" i="3"/>
  <c r="O152" i="3"/>
  <c r="M152" i="3"/>
  <c r="L152" i="3"/>
  <c r="N152" i="3"/>
  <c r="K152" i="3"/>
  <c r="AJ151" i="3"/>
  <c r="AL151" i="3"/>
  <c r="AI151" i="3"/>
  <c r="X151" i="3"/>
  <c r="Z151" i="3"/>
  <c r="W151" i="3"/>
  <c r="O151" i="3"/>
  <c r="M151" i="3"/>
  <c r="L151" i="3"/>
  <c r="N151" i="3"/>
  <c r="K151" i="3"/>
  <c r="AJ150" i="3"/>
  <c r="AL150" i="3"/>
  <c r="AI150" i="3"/>
  <c r="X150" i="3"/>
  <c r="Z150" i="3"/>
  <c r="W150" i="3"/>
  <c r="O150" i="3"/>
  <c r="M150" i="3"/>
  <c r="L150" i="3"/>
  <c r="N150" i="3"/>
  <c r="K150" i="3"/>
  <c r="AJ149" i="3"/>
  <c r="AL149" i="3"/>
  <c r="AI149" i="3"/>
  <c r="X149" i="3"/>
  <c r="Z149" i="3"/>
  <c r="W149" i="3"/>
  <c r="O149" i="3"/>
  <c r="M149" i="3"/>
  <c r="L149" i="3"/>
  <c r="N149" i="3"/>
  <c r="K149" i="3"/>
  <c r="AJ148" i="3"/>
  <c r="AL148" i="3"/>
  <c r="AI148" i="3"/>
  <c r="X148" i="3"/>
  <c r="Z148" i="3"/>
  <c r="W148" i="3"/>
  <c r="O148" i="3"/>
  <c r="M148" i="3"/>
  <c r="L148" i="3"/>
  <c r="N148" i="3"/>
  <c r="K148" i="3"/>
  <c r="AJ147" i="3"/>
  <c r="AL147" i="3"/>
  <c r="AI147" i="3"/>
  <c r="X147" i="3"/>
  <c r="Z147" i="3"/>
  <c r="W147" i="3"/>
  <c r="O147" i="3"/>
  <c r="M147" i="3"/>
  <c r="L147" i="3"/>
  <c r="N147" i="3"/>
  <c r="K147" i="3"/>
  <c r="AJ146" i="3"/>
  <c r="AL146" i="3"/>
  <c r="AI146" i="3"/>
  <c r="X146" i="3"/>
  <c r="Z146" i="3"/>
  <c r="W146" i="3"/>
  <c r="O146" i="3"/>
  <c r="M146" i="3"/>
  <c r="L146" i="3"/>
  <c r="N146" i="3"/>
  <c r="K146" i="3"/>
  <c r="AJ145" i="3"/>
  <c r="AL145" i="3"/>
  <c r="AI145" i="3"/>
  <c r="X145" i="3"/>
  <c r="Z145" i="3"/>
  <c r="W145" i="3"/>
  <c r="O145" i="3"/>
  <c r="M145" i="3"/>
  <c r="L145" i="3"/>
  <c r="N145" i="3"/>
  <c r="K145" i="3"/>
  <c r="AJ144" i="3"/>
  <c r="AL144" i="3"/>
  <c r="AI144" i="3"/>
  <c r="X144" i="3"/>
  <c r="Z144" i="3"/>
  <c r="W144" i="3"/>
  <c r="O144" i="3"/>
  <c r="M144" i="3"/>
  <c r="L144" i="3"/>
  <c r="N144" i="3"/>
  <c r="K144" i="3"/>
  <c r="AJ143" i="3"/>
  <c r="AL143" i="3"/>
  <c r="AI143" i="3"/>
  <c r="X143" i="3"/>
  <c r="Z143" i="3"/>
  <c r="W143" i="3"/>
  <c r="O143" i="3"/>
  <c r="M143" i="3"/>
  <c r="L143" i="3"/>
  <c r="N143" i="3"/>
  <c r="K143" i="3"/>
  <c r="AJ142" i="3"/>
  <c r="AL142" i="3"/>
  <c r="AI142" i="3"/>
  <c r="X142" i="3"/>
  <c r="Z142" i="3"/>
  <c r="W142" i="3"/>
  <c r="O142" i="3"/>
  <c r="M142" i="3"/>
  <c r="L142" i="3"/>
  <c r="N142" i="3"/>
  <c r="K142" i="3"/>
  <c r="AJ141" i="3"/>
  <c r="AL141" i="3"/>
  <c r="AI141" i="3"/>
  <c r="X141" i="3"/>
  <c r="Z141" i="3"/>
  <c r="W141" i="3"/>
  <c r="O141" i="3"/>
  <c r="M141" i="3"/>
  <c r="L141" i="3"/>
  <c r="N141" i="3"/>
  <c r="K141" i="3"/>
  <c r="AJ140" i="3"/>
  <c r="AL140" i="3"/>
  <c r="AI140" i="3"/>
  <c r="X140" i="3"/>
  <c r="Z140" i="3"/>
  <c r="W140" i="3"/>
  <c r="O140" i="3"/>
  <c r="M140" i="3"/>
  <c r="L140" i="3"/>
  <c r="N140" i="3"/>
  <c r="K140" i="3"/>
  <c r="AJ139" i="3"/>
  <c r="AL139" i="3"/>
  <c r="AI139" i="3"/>
  <c r="X139" i="3"/>
  <c r="Z139" i="3"/>
  <c r="W139" i="3"/>
  <c r="O139" i="3"/>
  <c r="M139" i="3"/>
  <c r="L139" i="3"/>
  <c r="N139" i="3"/>
  <c r="K139" i="3"/>
  <c r="AJ138" i="3"/>
  <c r="AL138" i="3"/>
  <c r="AI138" i="3"/>
  <c r="X138" i="3"/>
  <c r="Z138" i="3"/>
  <c r="W138" i="3"/>
  <c r="O138" i="3"/>
  <c r="M138" i="3"/>
  <c r="L138" i="3"/>
  <c r="N138" i="3"/>
  <c r="K138" i="3"/>
  <c r="AJ137" i="3"/>
  <c r="AL137" i="3"/>
  <c r="AI137" i="3"/>
  <c r="X137" i="3"/>
  <c r="Z137" i="3"/>
  <c r="W137" i="3"/>
  <c r="O137" i="3"/>
  <c r="M137" i="3"/>
  <c r="L137" i="3"/>
  <c r="N137" i="3"/>
  <c r="K137" i="3"/>
  <c r="AJ136" i="3"/>
  <c r="AL136" i="3"/>
  <c r="AI136" i="3"/>
  <c r="X136" i="3"/>
  <c r="Z136" i="3"/>
  <c r="W136" i="3"/>
  <c r="O136" i="3"/>
  <c r="M136" i="3"/>
  <c r="L136" i="3"/>
  <c r="N136" i="3"/>
  <c r="K136" i="3"/>
  <c r="AJ135" i="3"/>
  <c r="AL135" i="3"/>
  <c r="AI135" i="3"/>
  <c r="X135" i="3"/>
  <c r="Z135" i="3"/>
  <c r="W135" i="3"/>
  <c r="O135" i="3"/>
  <c r="M135" i="3"/>
  <c r="L135" i="3"/>
  <c r="N135" i="3"/>
  <c r="K135" i="3"/>
  <c r="AJ134" i="3"/>
  <c r="AL134" i="3"/>
  <c r="AI134" i="3"/>
  <c r="X134" i="3"/>
  <c r="Z134" i="3"/>
  <c r="W134" i="3"/>
  <c r="O134" i="3"/>
  <c r="M134" i="3"/>
  <c r="L134" i="3"/>
  <c r="N134" i="3"/>
  <c r="K134" i="3"/>
  <c r="AJ133" i="3"/>
  <c r="AL133" i="3"/>
  <c r="AI133" i="3"/>
  <c r="X133" i="3"/>
  <c r="Z133" i="3"/>
  <c r="W133" i="3"/>
  <c r="O133" i="3"/>
  <c r="M133" i="3"/>
  <c r="L133" i="3"/>
  <c r="N133" i="3"/>
  <c r="K133" i="3"/>
  <c r="AJ132" i="3"/>
  <c r="AL132" i="3"/>
  <c r="AI132" i="3"/>
  <c r="X132" i="3"/>
  <c r="Z132" i="3"/>
  <c r="W132" i="3"/>
  <c r="O132" i="3"/>
  <c r="M132" i="3"/>
  <c r="L132" i="3"/>
  <c r="N132" i="3"/>
  <c r="K132" i="3"/>
  <c r="AJ131" i="3"/>
  <c r="AL131" i="3"/>
  <c r="AI131" i="3"/>
  <c r="X131" i="3"/>
  <c r="Z131" i="3"/>
  <c r="W131" i="3"/>
  <c r="O131" i="3"/>
  <c r="M131" i="3"/>
  <c r="L131" i="3"/>
  <c r="N131" i="3"/>
  <c r="K131" i="3"/>
  <c r="AJ130" i="3"/>
  <c r="AL130" i="3"/>
  <c r="AI130" i="3"/>
  <c r="X130" i="3"/>
  <c r="Z130" i="3"/>
  <c r="W130" i="3"/>
  <c r="O130" i="3"/>
  <c r="M130" i="3"/>
  <c r="L130" i="3"/>
  <c r="N130" i="3"/>
  <c r="K130" i="3"/>
  <c r="AJ129" i="3"/>
  <c r="AL129" i="3"/>
  <c r="AI129" i="3"/>
  <c r="X129" i="3"/>
  <c r="Z129" i="3"/>
  <c r="W129" i="3"/>
  <c r="O129" i="3"/>
  <c r="M129" i="3"/>
  <c r="L129" i="3"/>
  <c r="N129" i="3"/>
  <c r="K129" i="3"/>
  <c r="AJ128" i="3"/>
  <c r="AL128" i="3"/>
  <c r="AI128" i="3"/>
  <c r="X128" i="3"/>
  <c r="Z128" i="3"/>
  <c r="W128" i="3"/>
  <c r="O128" i="3"/>
  <c r="M128" i="3"/>
  <c r="L128" i="3"/>
  <c r="N128" i="3"/>
  <c r="K128" i="3"/>
  <c r="AJ127" i="3"/>
  <c r="AL127" i="3"/>
  <c r="AI127" i="3"/>
  <c r="X127" i="3"/>
  <c r="Z127" i="3"/>
  <c r="W127" i="3"/>
  <c r="O127" i="3"/>
  <c r="M127" i="3"/>
  <c r="L127" i="3"/>
  <c r="N127" i="3"/>
  <c r="K127" i="3"/>
  <c r="AJ126" i="3"/>
  <c r="AL126" i="3"/>
  <c r="AI126" i="3"/>
  <c r="X126" i="3"/>
  <c r="Z126" i="3"/>
  <c r="W126" i="3"/>
  <c r="O126" i="3"/>
  <c r="M126" i="3"/>
  <c r="L126" i="3"/>
  <c r="N126" i="3"/>
  <c r="K126" i="3"/>
  <c r="AJ125" i="3"/>
  <c r="AL125" i="3"/>
  <c r="AI125" i="3"/>
  <c r="X125" i="3"/>
  <c r="Z125" i="3"/>
  <c r="W125" i="3"/>
  <c r="O125" i="3"/>
  <c r="M125" i="3"/>
  <c r="L125" i="3"/>
  <c r="N125" i="3"/>
  <c r="K125" i="3"/>
  <c r="AJ124" i="3"/>
  <c r="AL124" i="3"/>
  <c r="AI124" i="3"/>
  <c r="X124" i="3"/>
  <c r="Z124" i="3"/>
  <c r="W124" i="3"/>
  <c r="O124" i="3"/>
  <c r="M124" i="3"/>
  <c r="L124" i="3"/>
  <c r="N124" i="3"/>
  <c r="K124" i="3"/>
  <c r="AJ123" i="3"/>
  <c r="AL123" i="3"/>
  <c r="AI123" i="3"/>
  <c r="X123" i="3"/>
  <c r="Z123" i="3"/>
  <c r="W123" i="3"/>
  <c r="O123" i="3"/>
  <c r="M123" i="3"/>
  <c r="L123" i="3"/>
  <c r="N123" i="3"/>
  <c r="K123" i="3"/>
  <c r="AJ122" i="3"/>
  <c r="AL122" i="3"/>
  <c r="AI122" i="3"/>
  <c r="X122" i="3"/>
  <c r="Z122" i="3"/>
  <c r="W122" i="3"/>
  <c r="O122" i="3"/>
  <c r="M122" i="3"/>
  <c r="L122" i="3"/>
  <c r="N122" i="3"/>
  <c r="K122" i="3"/>
  <c r="AJ121" i="3"/>
  <c r="AL121" i="3"/>
  <c r="AI121" i="3"/>
  <c r="X121" i="3"/>
  <c r="Z121" i="3"/>
  <c r="W121" i="3"/>
  <c r="O121" i="3"/>
  <c r="M121" i="3"/>
  <c r="L121" i="3"/>
  <c r="N121" i="3"/>
  <c r="K121" i="3"/>
  <c r="AJ120" i="3"/>
  <c r="AL120" i="3"/>
  <c r="AI120" i="3"/>
  <c r="X120" i="3"/>
  <c r="Z120" i="3"/>
  <c r="W120" i="3"/>
  <c r="O120" i="3"/>
  <c r="M120" i="3"/>
  <c r="L120" i="3"/>
  <c r="N120" i="3"/>
  <c r="K120" i="3"/>
  <c r="AJ119" i="3"/>
  <c r="AL119" i="3"/>
  <c r="AI119" i="3"/>
  <c r="X119" i="3"/>
  <c r="Z119" i="3"/>
  <c r="W119" i="3"/>
  <c r="O119" i="3"/>
  <c r="M119" i="3"/>
  <c r="L119" i="3"/>
  <c r="N119" i="3"/>
  <c r="K119" i="3"/>
  <c r="AJ118" i="3"/>
  <c r="AL118" i="3"/>
  <c r="AI118" i="3"/>
  <c r="X118" i="3"/>
  <c r="Z118" i="3"/>
  <c r="W118" i="3"/>
  <c r="O118" i="3"/>
  <c r="M118" i="3"/>
  <c r="L118" i="3"/>
  <c r="N118" i="3"/>
  <c r="K118" i="3"/>
  <c r="AJ117" i="3"/>
  <c r="AL117" i="3"/>
  <c r="AI117" i="3"/>
  <c r="X117" i="3"/>
  <c r="Z117" i="3"/>
  <c r="W117" i="3"/>
  <c r="O117" i="3"/>
  <c r="M117" i="3"/>
  <c r="L117" i="3"/>
  <c r="N117" i="3"/>
  <c r="K117" i="3"/>
  <c r="AJ116" i="3"/>
  <c r="AL116" i="3"/>
  <c r="AI116" i="3"/>
  <c r="X116" i="3"/>
  <c r="Z116" i="3"/>
  <c r="W116" i="3"/>
  <c r="O116" i="3"/>
  <c r="M116" i="3"/>
  <c r="L116" i="3"/>
  <c r="N116" i="3"/>
  <c r="K116" i="3"/>
  <c r="AJ115" i="3"/>
  <c r="AL115" i="3"/>
  <c r="AI115" i="3"/>
  <c r="X115" i="3"/>
  <c r="Z115" i="3"/>
  <c r="W115" i="3"/>
  <c r="O115" i="3"/>
  <c r="M115" i="3"/>
  <c r="L115" i="3"/>
  <c r="N115" i="3"/>
  <c r="K115" i="3"/>
  <c r="AJ114" i="3"/>
  <c r="AL114" i="3"/>
  <c r="AI114" i="3"/>
  <c r="X114" i="3"/>
  <c r="Z114" i="3"/>
  <c r="W114" i="3"/>
  <c r="O114" i="3"/>
  <c r="M114" i="3"/>
  <c r="L114" i="3"/>
  <c r="N114" i="3"/>
  <c r="K114" i="3"/>
  <c r="AJ113" i="3"/>
  <c r="AL113" i="3"/>
  <c r="AI113" i="3"/>
  <c r="X113" i="3"/>
  <c r="Z113" i="3"/>
  <c r="W113" i="3"/>
  <c r="O113" i="3"/>
  <c r="M113" i="3"/>
  <c r="L113" i="3"/>
  <c r="N113" i="3"/>
  <c r="K113" i="3"/>
  <c r="AJ112" i="3"/>
  <c r="AL112" i="3"/>
  <c r="AI112" i="3"/>
  <c r="X112" i="3"/>
  <c r="Z112" i="3"/>
  <c r="W112" i="3"/>
  <c r="O112" i="3"/>
  <c r="M112" i="3"/>
  <c r="L112" i="3"/>
  <c r="N112" i="3"/>
  <c r="K112" i="3"/>
  <c r="AJ111" i="3"/>
  <c r="AL111" i="3"/>
  <c r="AI111" i="3"/>
  <c r="X111" i="3"/>
  <c r="Z111" i="3"/>
  <c r="W111" i="3"/>
  <c r="O111" i="3"/>
  <c r="M111" i="3"/>
  <c r="L111" i="3"/>
  <c r="N111" i="3"/>
  <c r="K111" i="3"/>
  <c r="AJ110" i="3"/>
  <c r="AL110" i="3"/>
  <c r="AI110" i="3"/>
  <c r="X110" i="3"/>
  <c r="Z110" i="3"/>
  <c r="W110" i="3"/>
  <c r="O110" i="3"/>
  <c r="M110" i="3"/>
  <c r="L110" i="3"/>
  <c r="N110" i="3"/>
  <c r="K110" i="3"/>
  <c r="AJ109" i="3"/>
  <c r="AL109" i="3"/>
  <c r="AI109" i="3"/>
  <c r="X109" i="3"/>
  <c r="Z109" i="3"/>
  <c r="W109" i="3"/>
  <c r="O109" i="3"/>
  <c r="M109" i="3"/>
  <c r="L109" i="3"/>
  <c r="N109" i="3"/>
  <c r="K109" i="3"/>
  <c r="AJ108" i="3"/>
  <c r="AL108" i="3"/>
  <c r="AI108" i="3"/>
  <c r="X108" i="3"/>
  <c r="Z108" i="3"/>
  <c r="W108" i="3"/>
  <c r="O108" i="3"/>
  <c r="M108" i="3"/>
  <c r="L108" i="3"/>
  <c r="N108" i="3"/>
  <c r="K108" i="3"/>
  <c r="AJ107" i="3"/>
  <c r="AL107" i="3"/>
  <c r="AI107" i="3"/>
  <c r="X107" i="3"/>
  <c r="Z107" i="3"/>
  <c r="W107" i="3"/>
  <c r="O107" i="3"/>
  <c r="M107" i="3"/>
  <c r="L107" i="3"/>
  <c r="N107" i="3"/>
  <c r="K107" i="3"/>
  <c r="AJ106" i="3"/>
  <c r="AL106" i="3"/>
  <c r="AI106" i="3"/>
  <c r="X106" i="3"/>
  <c r="Z106" i="3"/>
  <c r="W106" i="3"/>
  <c r="O106" i="3"/>
  <c r="M106" i="3"/>
  <c r="L106" i="3"/>
  <c r="N106" i="3"/>
  <c r="K106" i="3"/>
  <c r="AJ105" i="3"/>
  <c r="AL105" i="3"/>
  <c r="AI105" i="3"/>
  <c r="X105" i="3"/>
  <c r="Z105" i="3"/>
  <c r="W105" i="3"/>
  <c r="O105" i="3"/>
  <c r="M105" i="3"/>
  <c r="L105" i="3"/>
  <c r="N105" i="3"/>
  <c r="K105" i="3"/>
  <c r="AJ104" i="3"/>
  <c r="AL104" i="3"/>
  <c r="AI104" i="3"/>
  <c r="X104" i="3"/>
  <c r="Z104" i="3"/>
  <c r="W104" i="3"/>
  <c r="O104" i="3"/>
  <c r="M104" i="3"/>
  <c r="L104" i="3"/>
  <c r="N104" i="3"/>
  <c r="K104" i="3"/>
  <c r="AJ103" i="3"/>
  <c r="AL103" i="3"/>
  <c r="AI103" i="3"/>
  <c r="X103" i="3"/>
  <c r="Z103" i="3"/>
  <c r="W103" i="3"/>
  <c r="O103" i="3"/>
  <c r="M103" i="3"/>
  <c r="L103" i="3"/>
  <c r="N103" i="3"/>
  <c r="K103" i="3"/>
  <c r="AJ102" i="3"/>
  <c r="AL102" i="3"/>
  <c r="AI102" i="3"/>
  <c r="X102" i="3"/>
  <c r="Z102" i="3"/>
  <c r="W102" i="3"/>
  <c r="O102" i="3"/>
  <c r="M102" i="3"/>
  <c r="L102" i="3"/>
  <c r="N102" i="3"/>
  <c r="K102" i="3"/>
  <c r="AJ101" i="3"/>
  <c r="AL101" i="3"/>
  <c r="AI101" i="3"/>
  <c r="X101" i="3"/>
  <c r="Z101" i="3"/>
  <c r="W101" i="3"/>
  <c r="O101" i="3"/>
  <c r="M101" i="3"/>
  <c r="L101" i="3"/>
  <c r="N101" i="3"/>
  <c r="K101" i="3"/>
  <c r="AJ100" i="3"/>
  <c r="AL100" i="3"/>
  <c r="AI100" i="3"/>
  <c r="X100" i="3"/>
  <c r="Z100" i="3"/>
  <c r="W100" i="3"/>
  <c r="O100" i="3"/>
  <c r="M100" i="3"/>
  <c r="L100" i="3"/>
  <c r="N100" i="3"/>
  <c r="K100" i="3"/>
  <c r="AJ99" i="3"/>
  <c r="AL99" i="3"/>
  <c r="AI99" i="3"/>
  <c r="X99" i="3"/>
  <c r="Z99" i="3"/>
  <c r="W99" i="3"/>
  <c r="O99" i="3"/>
  <c r="M99" i="3"/>
  <c r="L99" i="3"/>
  <c r="N99" i="3"/>
  <c r="K99" i="3"/>
  <c r="AJ98" i="3"/>
  <c r="AL98" i="3"/>
  <c r="AI98" i="3"/>
  <c r="X98" i="3"/>
  <c r="Z98" i="3"/>
  <c r="W98" i="3"/>
  <c r="O98" i="3"/>
  <c r="M98" i="3"/>
  <c r="L98" i="3"/>
  <c r="N98" i="3"/>
  <c r="K98" i="3"/>
  <c r="AJ97" i="3"/>
  <c r="AL97" i="3"/>
  <c r="AI97" i="3"/>
  <c r="X97" i="3"/>
  <c r="Z97" i="3"/>
  <c r="W97" i="3"/>
  <c r="O97" i="3"/>
  <c r="M97" i="3"/>
  <c r="L97" i="3"/>
  <c r="N97" i="3"/>
  <c r="K97" i="3"/>
  <c r="AJ96" i="3"/>
  <c r="AL96" i="3"/>
  <c r="AI96" i="3"/>
  <c r="X96" i="3"/>
  <c r="Z96" i="3"/>
  <c r="W96" i="3"/>
  <c r="O96" i="3"/>
  <c r="M96" i="3"/>
  <c r="L96" i="3"/>
  <c r="N96" i="3"/>
  <c r="K96" i="3"/>
  <c r="AJ95" i="3"/>
  <c r="AL95" i="3"/>
  <c r="AI95" i="3"/>
  <c r="X95" i="3"/>
  <c r="Z95" i="3"/>
  <c r="W95" i="3"/>
  <c r="O95" i="3"/>
  <c r="M95" i="3"/>
  <c r="L95" i="3"/>
  <c r="N95" i="3"/>
  <c r="K95" i="3"/>
  <c r="AJ94" i="3"/>
  <c r="AL94" i="3"/>
  <c r="AI94" i="3"/>
  <c r="X94" i="3"/>
  <c r="Z94" i="3"/>
  <c r="W94" i="3"/>
  <c r="O94" i="3"/>
  <c r="M94" i="3"/>
  <c r="L94" i="3"/>
  <c r="N94" i="3"/>
  <c r="K94" i="3"/>
  <c r="AJ93" i="3"/>
  <c r="AL93" i="3"/>
  <c r="AI93" i="3"/>
  <c r="X93" i="3"/>
  <c r="Z93" i="3"/>
  <c r="W93" i="3"/>
  <c r="O93" i="3"/>
  <c r="M93" i="3"/>
  <c r="L93" i="3"/>
  <c r="N93" i="3"/>
  <c r="K93" i="3"/>
  <c r="AJ92" i="3"/>
  <c r="AL92" i="3"/>
  <c r="AI92" i="3"/>
  <c r="X92" i="3"/>
  <c r="Z92" i="3"/>
  <c r="W92" i="3"/>
  <c r="O92" i="3"/>
  <c r="M92" i="3"/>
  <c r="L92" i="3"/>
  <c r="N92" i="3"/>
  <c r="K92" i="3"/>
  <c r="AJ91" i="3"/>
  <c r="AL91" i="3"/>
  <c r="AI91" i="3"/>
  <c r="X91" i="3"/>
  <c r="Z91" i="3"/>
  <c r="W91" i="3"/>
  <c r="O91" i="3"/>
  <c r="M91" i="3"/>
  <c r="L91" i="3"/>
  <c r="N91" i="3"/>
  <c r="K91" i="3"/>
  <c r="AJ90" i="3"/>
  <c r="AL90" i="3"/>
  <c r="AI90" i="3"/>
  <c r="X90" i="3"/>
  <c r="Z90" i="3"/>
  <c r="W90" i="3"/>
  <c r="O90" i="3"/>
  <c r="M90" i="3"/>
  <c r="L90" i="3"/>
  <c r="N90" i="3"/>
  <c r="K90" i="3"/>
  <c r="AJ89" i="3"/>
  <c r="AL89" i="3"/>
  <c r="AI89" i="3"/>
  <c r="X89" i="3"/>
  <c r="Z89" i="3"/>
  <c r="W89" i="3"/>
  <c r="O89" i="3"/>
  <c r="M89" i="3"/>
  <c r="L89" i="3"/>
  <c r="N89" i="3"/>
  <c r="K89" i="3"/>
  <c r="AJ88" i="3"/>
  <c r="AL88" i="3"/>
  <c r="AI88" i="3"/>
  <c r="X88" i="3"/>
  <c r="Z88" i="3"/>
  <c r="W88" i="3"/>
  <c r="O88" i="3"/>
  <c r="M88" i="3"/>
  <c r="L88" i="3"/>
  <c r="N88" i="3"/>
  <c r="K88" i="3"/>
  <c r="AJ87" i="3"/>
  <c r="AL87" i="3"/>
  <c r="AI87" i="3"/>
  <c r="X87" i="3"/>
  <c r="Z87" i="3"/>
  <c r="W87" i="3"/>
  <c r="O87" i="3"/>
  <c r="M87" i="3"/>
  <c r="L87" i="3"/>
  <c r="N87" i="3"/>
  <c r="K87" i="3"/>
  <c r="AJ86" i="3"/>
  <c r="AL86" i="3"/>
  <c r="AI86" i="3"/>
  <c r="X86" i="3"/>
  <c r="Z86" i="3"/>
  <c r="W86" i="3"/>
  <c r="O86" i="3"/>
  <c r="M86" i="3"/>
  <c r="L86" i="3"/>
  <c r="N86" i="3"/>
  <c r="K86" i="3"/>
  <c r="AJ85" i="3"/>
  <c r="AL85" i="3"/>
  <c r="AI85" i="3"/>
  <c r="X85" i="3"/>
  <c r="Z85" i="3"/>
  <c r="W85" i="3"/>
  <c r="O85" i="3"/>
  <c r="M85" i="3"/>
  <c r="L85" i="3"/>
  <c r="N85" i="3"/>
  <c r="K85" i="3"/>
  <c r="AJ84" i="3"/>
  <c r="AL84" i="3"/>
  <c r="AI84" i="3"/>
  <c r="X84" i="3"/>
  <c r="Z84" i="3"/>
  <c r="W84" i="3"/>
  <c r="O84" i="3"/>
  <c r="M84" i="3"/>
  <c r="L84" i="3"/>
  <c r="N84" i="3"/>
  <c r="K84" i="3"/>
  <c r="AJ83" i="3"/>
  <c r="AL83" i="3"/>
  <c r="AI83" i="3"/>
  <c r="X83" i="3"/>
  <c r="Z83" i="3"/>
  <c r="W83" i="3"/>
  <c r="O83" i="3"/>
  <c r="M83" i="3"/>
  <c r="L83" i="3"/>
  <c r="N83" i="3"/>
  <c r="K83" i="3"/>
  <c r="AJ82" i="3"/>
  <c r="AL82" i="3"/>
  <c r="AI82" i="3"/>
  <c r="X82" i="3"/>
  <c r="Z82" i="3"/>
  <c r="W82" i="3"/>
  <c r="O82" i="3"/>
  <c r="M82" i="3"/>
  <c r="L82" i="3"/>
  <c r="N82" i="3"/>
  <c r="K82" i="3"/>
  <c r="AJ81" i="3"/>
  <c r="AL81" i="3"/>
  <c r="AI81" i="3"/>
  <c r="X81" i="3"/>
  <c r="Z81" i="3"/>
  <c r="W81" i="3"/>
  <c r="O81" i="3"/>
  <c r="M81" i="3"/>
  <c r="L81" i="3"/>
  <c r="N81" i="3"/>
  <c r="K81" i="3"/>
  <c r="AJ80" i="3"/>
  <c r="AL80" i="3"/>
  <c r="AI80" i="3"/>
  <c r="X80" i="3"/>
  <c r="Z80" i="3"/>
  <c r="W80" i="3"/>
  <c r="O80" i="3"/>
  <c r="M80" i="3"/>
  <c r="L80" i="3"/>
  <c r="N80" i="3"/>
  <c r="K80" i="3"/>
  <c r="AJ79" i="3"/>
  <c r="AL79" i="3"/>
  <c r="AI79" i="3"/>
  <c r="X79" i="3"/>
  <c r="Z79" i="3"/>
  <c r="W79" i="3"/>
  <c r="O79" i="3"/>
  <c r="M79" i="3"/>
  <c r="L79" i="3"/>
  <c r="N79" i="3"/>
  <c r="K79" i="3"/>
  <c r="AJ78" i="3"/>
  <c r="AL78" i="3"/>
  <c r="AI78" i="3"/>
  <c r="X78" i="3"/>
  <c r="Z78" i="3"/>
  <c r="W78" i="3"/>
  <c r="O78" i="3"/>
  <c r="M78" i="3"/>
  <c r="L78" i="3"/>
  <c r="N78" i="3"/>
  <c r="K78" i="3"/>
  <c r="AJ77" i="3"/>
  <c r="AL77" i="3"/>
  <c r="AI77" i="3"/>
  <c r="X77" i="3"/>
  <c r="Z77" i="3"/>
  <c r="W77" i="3"/>
  <c r="O77" i="3"/>
  <c r="M77" i="3"/>
  <c r="L77" i="3"/>
  <c r="N77" i="3"/>
  <c r="K77" i="3"/>
  <c r="AJ76" i="3"/>
  <c r="AL76" i="3"/>
  <c r="AI76" i="3"/>
  <c r="X76" i="3"/>
  <c r="Z76" i="3"/>
  <c r="W76" i="3"/>
  <c r="O76" i="3"/>
  <c r="M76" i="3"/>
  <c r="L76" i="3"/>
  <c r="N76" i="3"/>
  <c r="K76" i="3"/>
  <c r="AJ75" i="3"/>
  <c r="AL75" i="3"/>
  <c r="AI75" i="3"/>
  <c r="X75" i="3"/>
  <c r="Z75" i="3"/>
  <c r="W75" i="3"/>
  <c r="O75" i="3"/>
  <c r="M75" i="3"/>
  <c r="L75" i="3"/>
  <c r="N75" i="3"/>
  <c r="K75" i="3"/>
  <c r="AJ74" i="3"/>
  <c r="AL74" i="3"/>
  <c r="AI74" i="3"/>
  <c r="X74" i="3"/>
  <c r="Z74" i="3"/>
  <c r="W74" i="3"/>
  <c r="O74" i="3"/>
  <c r="M74" i="3"/>
  <c r="L74" i="3"/>
  <c r="N74" i="3"/>
  <c r="K74" i="3"/>
  <c r="AJ73" i="3"/>
  <c r="AL73" i="3"/>
  <c r="AI73" i="3"/>
  <c r="X73" i="3"/>
  <c r="Z73" i="3"/>
  <c r="W73" i="3"/>
  <c r="O73" i="3"/>
  <c r="M73" i="3"/>
  <c r="L73" i="3"/>
  <c r="N73" i="3"/>
  <c r="K73" i="3"/>
  <c r="AJ72" i="3"/>
  <c r="AL72" i="3"/>
  <c r="AI72" i="3"/>
  <c r="X72" i="3"/>
  <c r="Z72" i="3"/>
  <c r="W72" i="3"/>
  <c r="O72" i="3"/>
  <c r="M72" i="3"/>
  <c r="L72" i="3"/>
  <c r="N72" i="3"/>
  <c r="K72" i="3"/>
  <c r="AJ71" i="3"/>
  <c r="AL71" i="3"/>
  <c r="AI71" i="3"/>
  <c r="X71" i="3"/>
  <c r="Z71" i="3"/>
  <c r="W71" i="3"/>
  <c r="O71" i="3"/>
  <c r="M71" i="3"/>
  <c r="L71" i="3"/>
  <c r="N71" i="3"/>
  <c r="K71" i="3"/>
  <c r="AJ70" i="3"/>
  <c r="AL70" i="3"/>
  <c r="AI70" i="3"/>
  <c r="X70" i="3"/>
  <c r="Z70" i="3"/>
  <c r="W70" i="3"/>
  <c r="O70" i="3"/>
  <c r="M70" i="3"/>
  <c r="L70" i="3"/>
  <c r="N70" i="3"/>
  <c r="K70" i="3"/>
  <c r="AJ69" i="3"/>
  <c r="AL69" i="3"/>
  <c r="AI69" i="3"/>
  <c r="X69" i="3"/>
  <c r="Z69" i="3"/>
  <c r="W69" i="3"/>
  <c r="O69" i="3"/>
  <c r="M69" i="3"/>
  <c r="L69" i="3"/>
  <c r="N69" i="3"/>
  <c r="K69" i="3"/>
  <c r="AJ68" i="3"/>
  <c r="AL68" i="3"/>
  <c r="AI68" i="3"/>
  <c r="X68" i="3"/>
  <c r="Z68" i="3"/>
  <c r="W68" i="3"/>
  <c r="O68" i="3"/>
  <c r="M68" i="3"/>
  <c r="L68" i="3"/>
  <c r="N68" i="3"/>
  <c r="K68" i="3"/>
  <c r="AJ67" i="3"/>
  <c r="AL67" i="3"/>
  <c r="AI67" i="3"/>
  <c r="X67" i="3"/>
  <c r="Z67" i="3"/>
  <c r="W67" i="3"/>
  <c r="O67" i="3"/>
  <c r="M67" i="3"/>
  <c r="L67" i="3"/>
  <c r="N67" i="3"/>
  <c r="K67" i="3"/>
  <c r="AJ66" i="3"/>
  <c r="AL66" i="3"/>
  <c r="AI66" i="3"/>
  <c r="X66" i="3"/>
  <c r="Z66" i="3"/>
  <c r="W66" i="3"/>
  <c r="O66" i="3"/>
  <c r="M66" i="3"/>
  <c r="L66" i="3"/>
  <c r="N66" i="3"/>
  <c r="K66" i="3"/>
  <c r="AJ65" i="3"/>
  <c r="AL65" i="3"/>
  <c r="AI65" i="3"/>
  <c r="X65" i="3"/>
  <c r="Z65" i="3"/>
  <c r="W65" i="3"/>
  <c r="O65" i="3"/>
  <c r="M65" i="3"/>
  <c r="L65" i="3"/>
  <c r="N65" i="3"/>
  <c r="K65" i="3"/>
  <c r="AJ64" i="3"/>
  <c r="AL64" i="3"/>
  <c r="AI64" i="3"/>
  <c r="X64" i="3"/>
  <c r="Z64" i="3"/>
  <c r="W64" i="3"/>
  <c r="O64" i="3"/>
  <c r="M64" i="3"/>
  <c r="L64" i="3"/>
  <c r="N64" i="3"/>
  <c r="K64" i="3"/>
  <c r="AJ63" i="3"/>
  <c r="AL63" i="3"/>
  <c r="AI63" i="3"/>
  <c r="X63" i="3"/>
  <c r="Z63" i="3"/>
  <c r="W63" i="3"/>
  <c r="O63" i="3"/>
  <c r="M63" i="3"/>
  <c r="L63" i="3"/>
  <c r="N63" i="3"/>
  <c r="K63" i="3"/>
  <c r="AJ62" i="3"/>
  <c r="AL62" i="3"/>
  <c r="AI62" i="3"/>
  <c r="X62" i="3"/>
  <c r="Z62" i="3"/>
  <c r="W62" i="3"/>
  <c r="O62" i="3"/>
  <c r="M62" i="3"/>
  <c r="L62" i="3"/>
  <c r="N62" i="3"/>
  <c r="K62" i="3"/>
  <c r="AJ61" i="3"/>
  <c r="AL61" i="3"/>
  <c r="AI61" i="3"/>
  <c r="X61" i="3"/>
  <c r="Z61" i="3"/>
  <c r="W61" i="3"/>
  <c r="O61" i="3"/>
  <c r="M61" i="3"/>
  <c r="L61" i="3"/>
  <c r="N61" i="3"/>
  <c r="K61" i="3"/>
  <c r="AJ60" i="3"/>
  <c r="AL60" i="3"/>
  <c r="AI60" i="3"/>
  <c r="X60" i="3"/>
  <c r="Z60" i="3"/>
  <c r="W60" i="3"/>
  <c r="O60" i="3"/>
  <c r="M60" i="3"/>
  <c r="L60" i="3"/>
  <c r="N60" i="3"/>
  <c r="K60" i="3"/>
  <c r="AJ59" i="3"/>
  <c r="AL59" i="3"/>
  <c r="AI59" i="3"/>
  <c r="X59" i="3"/>
  <c r="Z59" i="3"/>
  <c r="W59" i="3"/>
  <c r="O59" i="3"/>
  <c r="M59" i="3"/>
  <c r="L59" i="3"/>
  <c r="N59" i="3"/>
  <c r="K59" i="3"/>
  <c r="AJ58" i="3"/>
  <c r="AL58" i="3"/>
  <c r="AI58" i="3"/>
  <c r="X58" i="3"/>
  <c r="Z58" i="3"/>
  <c r="W58" i="3"/>
  <c r="O58" i="3"/>
  <c r="M58" i="3"/>
  <c r="L58" i="3"/>
  <c r="N58" i="3"/>
  <c r="K58" i="3"/>
  <c r="AJ57" i="3"/>
  <c r="AL57" i="3"/>
  <c r="AI57" i="3"/>
  <c r="X57" i="3"/>
  <c r="Z57" i="3"/>
  <c r="W57" i="3"/>
  <c r="O57" i="3"/>
  <c r="M57" i="3"/>
  <c r="L57" i="3"/>
  <c r="N57" i="3"/>
  <c r="K57" i="3"/>
  <c r="AJ56" i="3"/>
  <c r="AL56" i="3"/>
  <c r="AI56" i="3"/>
  <c r="X56" i="3"/>
  <c r="Z56" i="3"/>
  <c r="W56" i="3"/>
  <c r="O56" i="3"/>
  <c r="M56" i="3"/>
  <c r="L56" i="3"/>
  <c r="N56" i="3"/>
  <c r="K56" i="3"/>
  <c r="AJ55" i="3"/>
  <c r="AL55" i="3"/>
  <c r="AI55" i="3"/>
  <c r="X55" i="3"/>
  <c r="Z55" i="3"/>
  <c r="W55" i="3"/>
  <c r="O55" i="3"/>
  <c r="M55" i="3"/>
  <c r="L55" i="3"/>
  <c r="N55" i="3"/>
  <c r="K55" i="3"/>
  <c r="AJ54" i="3"/>
  <c r="AL54" i="3"/>
  <c r="AI54" i="3"/>
  <c r="X54" i="3"/>
  <c r="Z54" i="3"/>
  <c r="W54" i="3"/>
  <c r="O54" i="3"/>
  <c r="M54" i="3"/>
  <c r="L54" i="3"/>
  <c r="N54" i="3"/>
  <c r="K54" i="3"/>
  <c r="AJ53" i="3"/>
  <c r="AL53" i="3"/>
  <c r="AI53" i="3"/>
  <c r="X53" i="3"/>
  <c r="Z53" i="3"/>
  <c r="W53" i="3"/>
  <c r="O53" i="3"/>
  <c r="M53" i="3"/>
  <c r="L53" i="3"/>
  <c r="N53" i="3"/>
  <c r="K53" i="3"/>
  <c r="AJ52" i="3"/>
  <c r="AL52" i="3"/>
  <c r="AI52" i="3"/>
  <c r="X52" i="3"/>
  <c r="Z52" i="3"/>
  <c r="W52" i="3"/>
  <c r="O52" i="3"/>
  <c r="M52" i="3"/>
  <c r="L52" i="3"/>
  <c r="N52" i="3"/>
  <c r="K52" i="3"/>
  <c r="AJ51" i="3"/>
  <c r="AL51" i="3"/>
  <c r="AI51" i="3"/>
  <c r="X51" i="3"/>
  <c r="Z51" i="3"/>
  <c r="W51" i="3"/>
  <c r="O51" i="3"/>
  <c r="M51" i="3"/>
  <c r="L51" i="3"/>
  <c r="N51" i="3"/>
  <c r="K51" i="3"/>
  <c r="AJ50" i="3"/>
  <c r="AL50" i="3"/>
  <c r="AI50" i="3"/>
  <c r="X50" i="3"/>
  <c r="Z50" i="3"/>
  <c r="W50" i="3"/>
  <c r="O50" i="3"/>
  <c r="M50" i="3"/>
  <c r="L50" i="3"/>
  <c r="N50" i="3"/>
  <c r="K50" i="3"/>
  <c r="AJ49" i="3"/>
  <c r="AL49" i="3"/>
  <c r="AI49" i="3"/>
  <c r="X49" i="3"/>
  <c r="Z49" i="3"/>
  <c r="W49" i="3"/>
  <c r="O49" i="3"/>
  <c r="M49" i="3"/>
  <c r="L49" i="3"/>
  <c r="N49" i="3"/>
  <c r="K49" i="3"/>
  <c r="AJ48" i="3"/>
  <c r="AL48" i="3"/>
  <c r="AI48" i="3"/>
  <c r="X48" i="3"/>
  <c r="Z48" i="3"/>
  <c r="W48" i="3"/>
  <c r="O48" i="3"/>
  <c r="M48" i="3"/>
  <c r="L48" i="3"/>
  <c r="N48" i="3"/>
  <c r="K48" i="3"/>
  <c r="AJ47" i="3"/>
  <c r="AL47" i="3"/>
  <c r="AI47" i="3"/>
  <c r="X47" i="3"/>
  <c r="Z47" i="3"/>
  <c r="W47" i="3"/>
  <c r="O47" i="3"/>
  <c r="M47" i="3"/>
  <c r="L47" i="3"/>
  <c r="N47" i="3"/>
  <c r="K47" i="3"/>
  <c r="AJ46" i="3"/>
  <c r="AL46" i="3"/>
  <c r="AI46" i="3"/>
  <c r="X46" i="3"/>
  <c r="Z46" i="3"/>
  <c r="W46" i="3"/>
  <c r="O46" i="3"/>
  <c r="M46" i="3"/>
  <c r="L46" i="3"/>
  <c r="N46" i="3"/>
  <c r="K46" i="3"/>
  <c r="AJ45" i="3"/>
  <c r="AL45" i="3"/>
  <c r="AI45" i="3"/>
  <c r="X45" i="3"/>
  <c r="Z45" i="3"/>
  <c r="W45" i="3"/>
  <c r="O45" i="3"/>
  <c r="M45" i="3"/>
  <c r="L45" i="3"/>
  <c r="N45" i="3"/>
  <c r="K45" i="3"/>
  <c r="AJ44" i="3"/>
  <c r="AL44" i="3"/>
  <c r="AI44" i="3"/>
  <c r="X44" i="3"/>
  <c r="Z44" i="3"/>
  <c r="W44" i="3"/>
  <c r="O44" i="3"/>
  <c r="M44" i="3"/>
  <c r="L44" i="3"/>
  <c r="N44" i="3"/>
  <c r="K44" i="3"/>
  <c r="AJ43" i="3"/>
  <c r="AL43" i="3"/>
  <c r="AI43" i="3"/>
  <c r="X43" i="3"/>
  <c r="Z43" i="3"/>
  <c r="W43" i="3"/>
  <c r="O43" i="3"/>
  <c r="M43" i="3"/>
  <c r="L43" i="3"/>
  <c r="N43" i="3"/>
  <c r="K43" i="3"/>
  <c r="AJ42" i="3"/>
  <c r="AL42" i="3"/>
  <c r="AI42" i="3"/>
  <c r="X42" i="3"/>
  <c r="Z42" i="3"/>
  <c r="W42" i="3"/>
  <c r="O42" i="3"/>
  <c r="M42" i="3"/>
  <c r="L42" i="3"/>
  <c r="N42" i="3"/>
  <c r="K42" i="3"/>
  <c r="AJ41" i="3"/>
  <c r="AL41" i="3"/>
  <c r="AI41" i="3"/>
  <c r="X41" i="3"/>
  <c r="Z41" i="3"/>
  <c r="W41" i="3"/>
  <c r="O41" i="3"/>
  <c r="M41" i="3"/>
  <c r="L41" i="3"/>
  <c r="N41" i="3"/>
  <c r="K41" i="3"/>
  <c r="AJ40" i="3"/>
  <c r="AL40" i="3"/>
  <c r="AI40" i="3"/>
  <c r="X40" i="3"/>
  <c r="Z40" i="3"/>
  <c r="W40" i="3"/>
  <c r="O40" i="3"/>
  <c r="M40" i="3"/>
  <c r="L40" i="3"/>
  <c r="N40" i="3"/>
  <c r="K40" i="3"/>
  <c r="AJ39" i="3"/>
  <c r="AL39" i="3"/>
  <c r="AI39" i="3"/>
  <c r="X39" i="3"/>
  <c r="Z39" i="3"/>
  <c r="W39" i="3"/>
  <c r="O39" i="3"/>
  <c r="M39" i="3"/>
  <c r="L39" i="3"/>
  <c r="N39" i="3"/>
  <c r="K39" i="3"/>
  <c r="AJ38" i="3"/>
  <c r="AL38" i="3"/>
  <c r="AI38" i="3"/>
  <c r="X38" i="3"/>
  <c r="Z38" i="3"/>
  <c r="W38" i="3"/>
  <c r="O38" i="3"/>
  <c r="M38" i="3"/>
  <c r="L38" i="3"/>
  <c r="N38" i="3"/>
  <c r="K38" i="3"/>
  <c r="AJ37" i="3"/>
  <c r="AL37" i="3"/>
  <c r="AI37" i="3"/>
  <c r="X37" i="3"/>
  <c r="Z37" i="3"/>
  <c r="W37" i="3"/>
  <c r="O37" i="3"/>
  <c r="M37" i="3"/>
  <c r="L37" i="3"/>
  <c r="N37" i="3"/>
  <c r="K37" i="3"/>
  <c r="AJ36" i="3"/>
  <c r="AL36" i="3"/>
  <c r="AI36" i="3"/>
  <c r="X36" i="3"/>
  <c r="Z36" i="3"/>
  <c r="W36" i="3"/>
  <c r="O36" i="3"/>
  <c r="M36" i="3"/>
  <c r="L36" i="3"/>
  <c r="N36" i="3"/>
  <c r="K36" i="3"/>
  <c r="AJ35" i="3"/>
  <c r="AL35" i="3"/>
  <c r="AI35" i="3"/>
  <c r="X35" i="3"/>
  <c r="Z35" i="3"/>
  <c r="W35" i="3"/>
  <c r="O35" i="3"/>
  <c r="M35" i="3"/>
  <c r="L35" i="3"/>
  <c r="N35" i="3"/>
  <c r="K35" i="3"/>
  <c r="AJ34" i="3"/>
  <c r="AL34" i="3"/>
  <c r="AI34" i="3"/>
  <c r="X34" i="3"/>
  <c r="Z34" i="3"/>
  <c r="W34" i="3"/>
  <c r="O34" i="3"/>
  <c r="M34" i="3"/>
  <c r="L34" i="3"/>
  <c r="N34" i="3"/>
  <c r="K34" i="3"/>
  <c r="AJ33" i="3"/>
  <c r="AL33" i="3"/>
  <c r="AI33" i="3"/>
  <c r="X33" i="3"/>
  <c r="Z33" i="3"/>
  <c r="W33" i="3"/>
  <c r="O33" i="3"/>
  <c r="M33" i="3"/>
  <c r="L33" i="3"/>
  <c r="N33" i="3"/>
  <c r="K33" i="3"/>
  <c r="AJ32" i="3"/>
  <c r="AL32" i="3"/>
  <c r="AI32" i="3"/>
  <c r="X32" i="3"/>
  <c r="Z32" i="3"/>
  <c r="W32" i="3"/>
  <c r="O32" i="3"/>
  <c r="M32" i="3"/>
  <c r="L32" i="3"/>
  <c r="N32" i="3"/>
  <c r="K32" i="3"/>
  <c r="AJ31" i="3"/>
  <c r="AL31" i="3"/>
  <c r="AI31" i="3"/>
  <c r="X31" i="3"/>
  <c r="Z31" i="3"/>
  <c r="W31" i="3"/>
  <c r="O31" i="3"/>
  <c r="M31" i="3"/>
  <c r="L31" i="3"/>
  <c r="N31" i="3"/>
  <c r="K31" i="3"/>
  <c r="AJ30" i="3"/>
  <c r="AL30" i="3"/>
  <c r="AI30" i="3"/>
  <c r="X30" i="3"/>
  <c r="Z30" i="3"/>
  <c r="W30" i="3"/>
  <c r="O30" i="3"/>
  <c r="M30" i="3"/>
  <c r="L30" i="3"/>
  <c r="N30" i="3"/>
  <c r="K30" i="3"/>
  <c r="AJ29" i="3"/>
  <c r="AL29" i="3"/>
  <c r="AI29" i="3"/>
  <c r="X29" i="3"/>
  <c r="Z29" i="3"/>
  <c r="W29" i="3"/>
  <c r="O29" i="3"/>
  <c r="M29" i="3"/>
  <c r="L29" i="3"/>
  <c r="N29" i="3"/>
  <c r="K29" i="3"/>
  <c r="AJ28" i="3"/>
  <c r="AL28" i="3"/>
  <c r="AI28" i="3"/>
  <c r="X28" i="3"/>
  <c r="Z28" i="3"/>
  <c r="W28" i="3"/>
  <c r="O28" i="3"/>
  <c r="M28" i="3"/>
  <c r="L28" i="3"/>
  <c r="N28" i="3"/>
  <c r="K28" i="3"/>
  <c r="AJ27" i="3"/>
  <c r="AL27" i="3"/>
  <c r="AI27" i="3"/>
  <c r="X27" i="3"/>
  <c r="Z27" i="3"/>
  <c r="W27" i="3"/>
  <c r="O27" i="3"/>
  <c r="M27" i="3"/>
  <c r="L27" i="3"/>
  <c r="N27" i="3"/>
  <c r="K27" i="3"/>
  <c r="AJ26" i="3"/>
  <c r="AL26" i="3"/>
  <c r="AI26" i="3"/>
  <c r="X26" i="3"/>
  <c r="Z26" i="3"/>
  <c r="W26" i="3"/>
  <c r="O26" i="3"/>
  <c r="M26" i="3"/>
  <c r="L26" i="3"/>
  <c r="N26" i="3"/>
  <c r="K26" i="3"/>
  <c r="AJ25" i="3"/>
  <c r="AL25" i="3"/>
  <c r="AI25" i="3"/>
  <c r="X25" i="3"/>
  <c r="Z25" i="3"/>
  <c r="W25" i="3"/>
  <c r="O25" i="3"/>
  <c r="M25" i="3"/>
  <c r="L25" i="3"/>
  <c r="N25" i="3"/>
  <c r="K25" i="3"/>
  <c r="AJ24" i="3"/>
  <c r="AL24" i="3"/>
  <c r="AI24" i="3"/>
  <c r="X24" i="3"/>
  <c r="Z24" i="3"/>
  <c r="W24" i="3"/>
  <c r="O24" i="3"/>
  <c r="M24" i="3"/>
  <c r="L24" i="3"/>
  <c r="N24" i="3"/>
  <c r="K24" i="3"/>
  <c r="AJ23" i="3"/>
  <c r="AL23" i="3"/>
  <c r="AI23" i="3"/>
  <c r="X23" i="3"/>
  <c r="Z23" i="3"/>
  <c r="W23" i="3"/>
  <c r="O23" i="3"/>
  <c r="M23" i="3"/>
  <c r="L23" i="3"/>
  <c r="N23" i="3"/>
  <c r="K23" i="3"/>
  <c r="AJ22" i="3"/>
  <c r="AL22" i="3"/>
  <c r="AI22" i="3"/>
  <c r="X22" i="3"/>
  <c r="Z22" i="3"/>
  <c r="W22" i="3"/>
  <c r="O22" i="3"/>
  <c r="M22" i="3"/>
  <c r="L22" i="3"/>
  <c r="N22" i="3"/>
  <c r="K22" i="3"/>
  <c r="AJ21" i="3"/>
  <c r="AL21" i="3"/>
  <c r="AI21" i="3"/>
  <c r="X21" i="3"/>
  <c r="Z21" i="3"/>
  <c r="W21" i="3"/>
  <c r="O21" i="3"/>
  <c r="M21" i="3"/>
  <c r="L21" i="3"/>
  <c r="N21" i="3"/>
  <c r="K21" i="3"/>
  <c r="AJ20" i="3"/>
  <c r="AL20" i="3"/>
  <c r="AI20" i="3"/>
  <c r="X20" i="3"/>
  <c r="Z20" i="3"/>
  <c r="W20" i="3"/>
  <c r="O20" i="3"/>
  <c r="M20" i="3"/>
  <c r="L20" i="3"/>
  <c r="N20" i="3"/>
  <c r="K20" i="3"/>
  <c r="AJ19" i="3"/>
  <c r="AL19" i="3"/>
  <c r="AI19" i="3"/>
  <c r="X19" i="3"/>
  <c r="Z19" i="3"/>
  <c r="W19" i="3"/>
  <c r="O19" i="3"/>
  <c r="M19" i="3"/>
  <c r="L19" i="3"/>
  <c r="N19" i="3"/>
  <c r="K19" i="3"/>
  <c r="AJ18" i="3"/>
  <c r="AL18" i="3"/>
  <c r="AI18" i="3"/>
  <c r="X18" i="3"/>
  <c r="Z18" i="3"/>
  <c r="W18" i="3"/>
  <c r="O18" i="3"/>
  <c r="M18" i="3"/>
  <c r="L18" i="3"/>
  <c r="N18" i="3"/>
  <c r="K18" i="3"/>
  <c r="AJ17" i="3"/>
  <c r="AL17" i="3"/>
  <c r="AI17" i="3"/>
  <c r="X17" i="3"/>
  <c r="Z17" i="3"/>
  <c r="W17" i="3"/>
  <c r="O17" i="3"/>
  <c r="M17" i="3"/>
  <c r="L17" i="3"/>
  <c r="N17" i="3"/>
  <c r="K17" i="3"/>
  <c r="AJ16" i="3"/>
  <c r="AL16" i="3"/>
  <c r="AI16" i="3"/>
  <c r="X16" i="3"/>
  <c r="Z16" i="3"/>
  <c r="W16" i="3"/>
  <c r="O16" i="3"/>
  <c r="M16" i="3"/>
  <c r="L16" i="3"/>
  <c r="N16" i="3"/>
  <c r="K16" i="3"/>
  <c r="AJ15" i="3"/>
  <c r="AL15" i="3"/>
  <c r="AI15" i="3"/>
  <c r="X15" i="3"/>
  <c r="Z15" i="3"/>
  <c r="W15" i="3"/>
  <c r="O15" i="3"/>
  <c r="M15" i="3"/>
  <c r="L15" i="3"/>
  <c r="N15" i="3"/>
  <c r="K15" i="3"/>
  <c r="AJ14" i="3"/>
  <c r="AL14" i="3"/>
  <c r="AI14" i="3"/>
  <c r="X14" i="3"/>
  <c r="Z14" i="3"/>
  <c r="W14" i="3"/>
  <c r="O14" i="3"/>
  <c r="M14" i="3"/>
  <c r="L14" i="3"/>
  <c r="N14" i="3"/>
  <c r="K14" i="3"/>
  <c r="AJ13" i="3"/>
  <c r="AL13" i="3"/>
  <c r="AI13" i="3"/>
  <c r="X13" i="3"/>
  <c r="Z13" i="3"/>
  <c r="W13" i="3"/>
  <c r="O13" i="3"/>
  <c r="M13" i="3"/>
  <c r="L13" i="3"/>
  <c r="N13" i="3"/>
  <c r="K13" i="3"/>
  <c r="AJ12" i="3"/>
  <c r="AL12" i="3"/>
  <c r="AI12" i="3"/>
  <c r="X12" i="3"/>
  <c r="Z12" i="3"/>
  <c r="W12" i="3"/>
  <c r="O12" i="3"/>
  <c r="M12" i="3"/>
  <c r="L12" i="3"/>
  <c r="N12" i="3"/>
  <c r="K12" i="3"/>
  <c r="AJ11" i="3"/>
  <c r="AL11" i="3"/>
  <c r="AI11" i="3"/>
  <c r="X11" i="3"/>
  <c r="Z11" i="3"/>
  <c r="W11" i="3"/>
  <c r="O11" i="3"/>
  <c r="M11" i="3"/>
  <c r="L11" i="3"/>
  <c r="N11" i="3"/>
  <c r="K11" i="3"/>
  <c r="AJ10" i="3"/>
  <c r="AL10" i="3"/>
  <c r="AI10" i="3"/>
  <c r="X10" i="3"/>
  <c r="Z10" i="3"/>
  <c r="W10" i="3"/>
  <c r="O10" i="3"/>
  <c r="M10" i="3"/>
  <c r="L10" i="3"/>
  <c r="N10" i="3"/>
  <c r="K10" i="3"/>
  <c r="AJ9" i="3"/>
  <c r="AL9" i="3"/>
  <c r="AI9" i="3"/>
  <c r="X9" i="3"/>
  <c r="Z9" i="3"/>
  <c r="W9" i="3"/>
  <c r="O9" i="3"/>
  <c r="M9" i="3"/>
  <c r="L9" i="3"/>
  <c r="N9" i="3"/>
  <c r="K9" i="3"/>
  <c r="A2" i="3"/>
  <c r="A1" i="3"/>
  <c r="K18" i="19"/>
  <c r="K22" i="19"/>
  <c r="J18" i="19"/>
  <c r="J22" i="19"/>
  <c r="A2" i="19"/>
  <c r="A2" i="2"/>
  <c r="A1" i="2"/>
  <c r="H58" i="10"/>
  <c r="G58" i="10"/>
  <c r="V58" i="10" s="1"/>
  <c r="I57" i="10"/>
  <c r="G57" i="10"/>
  <c r="A2" i="10"/>
  <c r="A1" i="10"/>
  <c r="A2" i="7"/>
  <c r="A1" i="7"/>
  <c r="A1" i="19"/>
  <c r="J12" i="16"/>
  <c r="L18" i="19"/>
  <c r="L22" i="19"/>
  <c r="L16" i="10"/>
  <c r="H18" i="19"/>
  <c r="H22" i="19"/>
  <c r="I18" i="19"/>
  <c r="I22" i="19"/>
  <c r="AD104" i="1"/>
  <c r="AD100" i="1"/>
  <c r="AD102" i="1"/>
  <c r="AD98" i="1"/>
  <c r="AD99" i="1"/>
  <c r="AD105" i="1"/>
  <c r="AD101" i="1"/>
  <c r="AD103" i="1"/>
  <c r="AD119" i="1"/>
  <c r="AD115" i="1"/>
  <c r="AD121" i="1"/>
  <c r="AD117" i="1"/>
  <c r="AD113" i="1"/>
  <c r="AD118" i="1"/>
  <c r="AD116" i="1"/>
  <c r="AD120" i="1"/>
  <c r="AD114" i="1"/>
  <c r="R127" i="1"/>
  <c r="AB127" i="1"/>
  <c r="G18" i="4"/>
  <c r="G14" i="4"/>
  <c r="G10" i="4"/>
  <c r="G48" i="4"/>
  <c r="G19" i="4"/>
  <c r="G15" i="4"/>
  <c r="G11" i="4"/>
  <c r="G17" i="4"/>
  <c r="G13" i="4"/>
  <c r="G9" i="4"/>
  <c r="G35" i="4"/>
  <c r="G12" i="4"/>
  <c r="I12" i="5"/>
  <c r="G56" i="4"/>
  <c r="G16" i="4"/>
  <c r="I16" i="5"/>
  <c r="G92" i="4"/>
  <c r="G90" i="4"/>
  <c r="G87" i="4"/>
  <c r="G85" i="4"/>
  <c r="G93" i="4"/>
  <c r="G84" i="4"/>
  <c r="I84" i="5"/>
  <c r="G81" i="4"/>
  <c r="I81" i="5"/>
  <c r="G77" i="4"/>
  <c r="I77" i="5"/>
  <c r="G74" i="4"/>
  <c r="G70" i="4"/>
  <c r="G66" i="4"/>
  <c r="G63" i="4"/>
  <c r="G59" i="4"/>
  <c r="G55" i="4"/>
  <c r="G51" i="4"/>
  <c r="G47" i="4"/>
  <c r="I47" i="5"/>
  <c r="G43" i="4"/>
  <c r="G42" i="4"/>
  <c r="G38" i="4"/>
  <c r="G34" i="4"/>
  <c r="G30" i="4"/>
  <c r="G91" i="4"/>
  <c r="I91" i="5"/>
  <c r="G89" i="4"/>
  <c r="I89" i="5"/>
  <c r="G86" i="4"/>
  <c r="I86" i="5"/>
  <c r="G79" i="4"/>
  <c r="G75" i="4"/>
  <c r="G72" i="4"/>
  <c r="G68" i="4"/>
  <c r="G65" i="4"/>
  <c r="I65" i="5"/>
  <c r="I154" i="5"/>
  <c r="G61" i="4"/>
  <c r="G57" i="4"/>
  <c r="G53" i="4"/>
  <c r="I53" i="5"/>
  <c r="G49" i="4"/>
  <c r="G45" i="4"/>
  <c r="G40" i="4"/>
  <c r="G36" i="4"/>
  <c r="G32" i="4"/>
  <c r="I32" i="5"/>
  <c r="G88" i="4"/>
  <c r="G83" i="4"/>
  <c r="I83" i="5"/>
  <c r="G80" i="4"/>
  <c r="G76" i="4"/>
  <c r="G73" i="4"/>
  <c r="G69" i="4"/>
  <c r="I69" i="5"/>
  <c r="G62" i="4"/>
  <c r="I62" i="5"/>
  <c r="G58" i="4"/>
  <c r="I58" i="5"/>
  <c r="G54" i="4"/>
  <c r="I54" i="5"/>
  <c r="G50" i="4"/>
  <c r="I50" i="5"/>
  <c r="G46" i="4"/>
  <c r="G41" i="4"/>
  <c r="G37" i="4"/>
  <c r="I37" i="5"/>
  <c r="G33" i="4"/>
  <c r="I33" i="5"/>
  <c r="G29" i="4"/>
  <c r="I29" i="5"/>
  <c r="G28" i="4"/>
  <c r="I28" i="5"/>
  <c r="G27" i="4"/>
  <c r="I27" i="5"/>
  <c r="G26" i="4"/>
  <c r="I26" i="5"/>
  <c r="G25" i="4"/>
  <c r="G24" i="4"/>
  <c r="G23" i="4"/>
  <c r="G22" i="4"/>
  <c r="I22" i="5"/>
  <c r="G21" i="4"/>
  <c r="G78" i="4"/>
  <c r="I78" i="5"/>
  <c r="G71" i="4"/>
  <c r="I71" i="5"/>
  <c r="I9" i="8"/>
  <c r="G64" i="4"/>
  <c r="I64" i="5"/>
  <c r="G82" i="4"/>
  <c r="G52" i="4"/>
  <c r="I52" i="5"/>
  <c r="G31" i="4"/>
  <c r="I31" i="5"/>
  <c r="G67" i="4"/>
  <c r="I67" i="5"/>
  <c r="G60" i="4"/>
  <c r="I60" i="5"/>
  <c r="G44" i="4"/>
  <c r="I44" i="5"/>
  <c r="G39" i="4"/>
  <c r="I39" i="5"/>
  <c r="G20" i="4"/>
  <c r="I20" i="5"/>
  <c r="J34" i="1"/>
  <c r="H34" i="4"/>
  <c r="J34" i="5"/>
  <c r="N33" i="1"/>
  <c r="J32" i="1"/>
  <c r="H32" i="4"/>
  <c r="J32" i="5"/>
  <c r="N31" i="1"/>
  <c r="J30" i="1"/>
  <c r="H30" i="4"/>
  <c r="N29" i="1"/>
  <c r="J28" i="1"/>
  <c r="H28" i="4"/>
  <c r="N27" i="1"/>
  <c r="J26" i="1"/>
  <c r="H26" i="4"/>
  <c r="N25" i="1"/>
  <c r="N24" i="1"/>
  <c r="J24" i="1"/>
  <c r="H24" i="4"/>
  <c r="J24" i="5"/>
  <c r="N23" i="1"/>
  <c r="J23" i="1"/>
  <c r="H23" i="4"/>
  <c r="J23" i="5"/>
  <c r="N22" i="1"/>
  <c r="J22" i="1"/>
  <c r="H22" i="4"/>
  <c r="J22" i="5"/>
  <c r="N21" i="1"/>
  <c r="J21" i="1"/>
  <c r="H21" i="4"/>
  <c r="N20" i="1"/>
  <c r="J20" i="1"/>
  <c r="H20" i="4"/>
  <c r="N19" i="1"/>
  <c r="J19" i="1"/>
  <c r="H19" i="4"/>
  <c r="J19" i="5"/>
  <c r="N18" i="1"/>
  <c r="J18" i="1"/>
  <c r="H18" i="4"/>
  <c r="N17" i="1"/>
  <c r="J17" i="1"/>
  <c r="H17" i="4"/>
  <c r="J17" i="5"/>
  <c r="N16" i="1"/>
  <c r="J16" i="1"/>
  <c r="H16" i="4"/>
  <c r="J16" i="5"/>
  <c r="J25" i="1"/>
  <c r="H25" i="4"/>
  <c r="J25" i="5"/>
  <c r="N34" i="1"/>
  <c r="N30" i="1"/>
  <c r="N26" i="1"/>
  <c r="J33" i="1"/>
  <c r="H33" i="4"/>
  <c r="J29" i="1"/>
  <c r="H29" i="4"/>
  <c r="J29" i="5"/>
  <c r="N15" i="1"/>
  <c r="J15" i="1"/>
  <c r="H15" i="4"/>
  <c r="J15" i="5"/>
  <c r="N14" i="1"/>
  <c r="J14" i="1"/>
  <c r="H14" i="4"/>
  <c r="N13" i="1"/>
  <c r="J13" i="1"/>
  <c r="H13" i="4"/>
  <c r="J13" i="5"/>
  <c r="N12" i="1"/>
  <c r="J12" i="1"/>
  <c r="H12" i="4"/>
  <c r="J12" i="5"/>
  <c r="N11" i="1"/>
  <c r="J31" i="1"/>
  <c r="H31" i="4"/>
  <c r="J31" i="5"/>
  <c r="J27" i="1"/>
  <c r="H27" i="4"/>
  <c r="N32" i="1"/>
  <c r="J11" i="1"/>
  <c r="H11" i="4"/>
  <c r="J11" i="5"/>
  <c r="J10" i="1"/>
  <c r="H10" i="4"/>
  <c r="J10" i="5"/>
  <c r="N9" i="1"/>
  <c r="N28" i="1"/>
  <c r="N10" i="1"/>
  <c r="J9" i="1"/>
  <c r="H9" i="4"/>
  <c r="J9" i="5"/>
  <c r="X24" i="1"/>
  <c r="T33" i="1"/>
  <c r="I33" i="4"/>
  <c r="K33" i="5"/>
  <c r="X32" i="1"/>
  <c r="T31" i="1"/>
  <c r="I31" i="4"/>
  <c r="K31" i="5"/>
  <c r="X30" i="1"/>
  <c r="T29" i="1"/>
  <c r="I29" i="4"/>
  <c r="X28" i="1"/>
  <c r="T27" i="1"/>
  <c r="I27" i="4"/>
  <c r="X26" i="1"/>
  <c r="T25" i="1"/>
  <c r="I25" i="4"/>
  <c r="K25" i="5"/>
  <c r="X33" i="1"/>
  <c r="T32" i="1"/>
  <c r="I32" i="4"/>
  <c r="K32" i="5"/>
  <c r="X31" i="1"/>
  <c r="T30" i="1"/>
  <c r="I30" i="4"/>
  <c r="X29" i="1"/>
  <c r="T28" i="1"/>
  <c r="I28" i="4"/>
  <c r="K28" i="5"/>
  <c r="X27" i="1"/>
  <c r="T26" i="1"/>
  <c r="I26" i="4"/>
  <c r="X25" i="1"/>
  <c r="T24" i="1"/>
  <c r="I24" i="4"/>
  <c r="X23" i="1"/>
  <c r="T23" i="1"/>
  <c r="I23" i="4"/>
  <c r="K23" i="5"/>
  <c r="X22" i="1"/>
  <c r="T22" i="1"/>
  <c r="I22" i="4"/>
  <c r="K22" i="5"/>
  <c r="X21" i="1"/>
  <c r="T21" i="1"/>
  <c r="I21" i="4"/>
  <c r="X20" i="1"/>
  <c r="T19" i="1"/>
  <c r="I19" i="4"/>
  <c r="K19" i="5"/>
  <c r="X17" i="1"/>
  <c r="T15" i="1"/>
  <c r="I15" i="4"/>
  <c r="K15" i="5"/>
  <c r="X14" i="1"/>
  <c r="T14" i="1"/>
  <c r="I14" i="4"/>
  <c r="X13" i="1"/>
  <c r="T13" i="1"/>
  <c r="I13" i="4"/>
  <c r="K13" i="5"/>
  <c r="X12" i="1"/>
  <c r="T12" i="1"/>
  <c r="I12" i="4"/>
  <c r="K12" i="5"/>
  <c r="X11" i="1"/>
  <c r="T11" i="1"/>
  <c r="I11" i="4"/>
  <c r="K11" i="5"/>
  <c r="X10" i="1"/>
  <c r="T18" i="1"/>
  <c r="AB18" i="1"/>
  <c r="X16" i="1"/>
  <c r="T20" i="1"/>
  <c r="I20" i="4"/>
  <c r="K20" i="5"/>
  <c r="X18" i="1"/>
  <c r="T16" i="1"/>
  <c r="I16" i="4"/>
  <c r="K16" i="5"/>
  <c r="X19" i="1"/>
  <c r="T17" i="1"/>
  <c r="I17" i="4"/>
  <c r="K17" i="5"/>
  <c r="T9" i="1"/>
  <c r="I9" i="4"/>
  <c r="K9" i="5"/>
  <c r="X15" i="1"/>
  <c r="T10" i="1"/>
  <c r="I10" i="4"/>
  <c r="K10" i="5"/>
  <c r="X9" i="1"/>
  <c r="J182" i="5"/>
  <c r="J100" i="5"/>
  <c r="J104" i="5"/>
  <c r="I99" i="5"/>
  <c r="N89" i="1"/>
  <c r="J89" i="1"/>
  <c r="H89" i="4"/>
  <c r="J89" i="5"/>
  <c r="N88" i="1"/>
  <c r="J88" i="1"/>
  <c r="H88" i="4"/>
  <c r="J88" i="5"/>
  <c r="N87" i="1"/>
  <c r="J87" i="1"/>
  <c r="H87" i="4"/>
  <c r="N86" i="1"/>
  <c r="J86" i="1"/>
  <c r="H86" i="4"/>
  <c r="J86" i="5"/>
  <c r="N93" i="1"/>
  <c r="J93" i="1"/>
  <c r="H93" i="4"/>
  <c r="J93" i="5"/>
  <c r="N92" i="1"/>
  <c r="J92" i="1"/>
  <c r="H92" i="4"/>
  <c r="N91" i="1"/>
  <c r="J91" i="1"/>
  <c r="H91" i="4"/>
  <c r="N90" i="1"/>
  <c r="J90" i="1"/>
  <c r="H90" i="4"/>
  <c r="J90" i="5"/>
  <c r="N81" i="1"/>
  <c r="J81" i="1"/>
  <c r="H81" i="4"/>
  <c r="J81" i="5"/>
  <c r="N80" i="1"/>
  <c r="J80" i="1"/>
  <c r="H80" i="4"/>
  <c r="J80" i="5"/>
  <c r="N79" i="1"/>
  <c r="J79" i="1"/>
  <c r="H79" i="4"/>
  <c r="J79" i="5"/>
  <c r="N78" i="1"/>
  <c r="J78" i="1"/>
  <c r="H78" i="4"/>
  <c r="N77" i="1"/>
  <c r="J77" i="1"/>
  <c r="H77" i="4"/>
  <c r="J77" i="5"/>
  <c r="N76" i="1"/>
  <c r="J76" i="1"/>
  <c r="H76" i="4"/>
  <c r="J76" i="5"/>
  <c r="N75" i="1"/>
  <c r="J75" i="1"/>
  <c r="H75" i="4"/>
  <c r="J75" i="5"/>
  <c r="N74" i="1"/>
  <c r="J74" i="1"/>
  <c r="H74" i="4"/>
  <c r="J74" i="5"/>
  <c r="N73" i="1"/>
  <c r="J73" i="1"/>
  <c r="H73" i="4"/>
  <c r="J73" i="5"/>
  <c r="N72" i="1"/>
  <c r="J72" i="1"/>
  <c r="H72" i="4"/>
  <c r="J72" i="5"/>
  <c r="N70" i="1"/>
  <c r="J70" i="1"/>
  <c r="H70" i="4"/>
  <c r="J70" i="5"/>
  <c r="N69" i="1"/>
  <c r="J69" i="1"/>
  <c r="H69" i="4"/>
  <c r="J69" i="5"/>
  <c r="N68" i="1"/>
  <c r="J68" i="1"/>
  <c r="H68" i="4"/>
  <c r="N67" i="1"/>
  <c r="J67" i="1"/>
  <c r="H67" i="4"/>
  <c r="J67" i="5"/>
  <c r="N66" i="1"/>
  <c r="J66" i="1"/>
  <c r="H66" i="4"/>
  <c r="J66" i="5"/>
  <c r="N65" i="1"/>
  <c r="J65" i="1"/>
  <c r="H65" i="4"/>
  <c r="J65" i="5"/>
  <c r="J154" i="5"/>
  <c r="J183" i="5"/>
  <c r="N64" i="1"/>
  <c r="J64" i="1"/>
  <c r="H64" i="4"/>
  <c r="N63" i="1"/>
  <c r="J63" i="1"/>
  <c r="H63" i="4"/>
  <c r="J63" i="5"/>
  <c r="N85" i="1"/>
  <c r="J85" i="1"/>
  <c r="H85" i="4"/>
  <c r="J85" i="5"/>
  <c r="N84" i="1"/>
  <c r="J84" i="1"/>
  <c r="H84" i="4"/>
  <c r="J84" i="5"/>
  <c r="N83" i="1"/>
  <c r="J83" i="1"/>
  <c r="H83" i="4"/>
  <c r="J83" i="5"/>
  <c r="N82" i="1"/>
  <c r="J82" i="1"/>
  <c r="H82" i="4"/>
  <c r="J82" i="5"/>
  <c r="N62" i="1"/>
  <c r="J62" i="1"/>
  <c r="H62" i="4"/>
  <c r="J62" i="5"/>
  <c r="N61" i="1"/>
  <c r="J60" i="1"/>
  <c r="H60" i="4"/>
  <c r="J60" i="5"/>
  <c r="N59" i="1"/>
  <c r="J58" i="1"/>
  <c r="H58" i="4"/>
  <c r="J58" i="5"/>
  <c r="N57" i="1"/>
  <c r="J56" i="1"/>
  <c r="H56" i="4"/>
  <c r="N55" i="1"/>
  <c r="J53" i="1"/>
  <c r="H53" i="4"/>
  <c r="J53" i="5"/>
  <c r="N52" i="1"/>
  <c r="J52" i="1"/>
  <c r="H52" i="4"/>
  <c r="J52" i="5"/>
  <c r="N51" i="1"/>
  <c r="J51" i="1"/>
  <c r="H51" i="4"/>
  <c r="N50" i="1"/>
  <c r="J50" i="1"/>
  <c r="H50" i="4"/>
  <c r="N49" i="1"/>
  <c r="J49" i="1"/>
  <c r="H49" i="4"/>
  <c r="J49" i="5"/>
  <c r="N48" i="1"/>
  <c r="J48" i="1"/>
  <c r="H48" i="4"/>
  <c r="N47" i="1"/>
  <c r="J47" i="1"/>
  <c r="H47" i="4"/>
  <c r="J47" i="5"/>
  <c r="N46" i="1"/>
  <c r="J46" i="1"/>
  <c r="H46" i="4"/>
  <c r="J46" i="5"/>
  <c r="N45" i="1"/>
  <c r="J45" i="1"/>
  <c r="H45" i="4"/>
  <c r="J45" i="5"/>
  <c r="N44" i="1"/>
  <c r="J44" i="1"/>
  <c r="H44" i="4"/>
  <c r="N43" i="1"/>
  <c r="J43" i="1"/>
  <c r="H43" i="4"/>
  <c r="J43" i="5"/>
  <c r="N42" i="1"/>
  <c r="J42" i="1"/>
  <c r="H42" i="4"/>
  <c r="N41" i="1"/>
  <c r="J41" i="1"/>
  <c r="H41" i="4"/>
  <c r="J41" i="5"/>
  <c r="N40" i="1"/>
  <c r="J40" i="1"/>
  <c r="H40" i="4"/>
  <c r="J40" i="5"/>
  <c r="N39" i="1"/>
  <c r="J39" i="1"/>
  <c r="H39" i="4"/>
  <c r="N38" i="1"/>
  <c r="J38" i="1"/>
  <c r="H38" i="4"/>
  <c r="N37" i="1"/>
  <c r="J37" i="1"/>
  <c r="H37" i="4"/>
  <c r="J37" i="5"/>
  <c r="N36" i="1"/>
  <c r="J36" i="1"/>
  <c r="H36" i="4"/>
  <c r="N35" i="1"/>
  <c r="J35" i="1"/>
  <c r="H35" i="4"/>
  <c r="J35" i="5"/>
  <c r="J54" i="1"/>
  <c r="H54" i="4"/>
  <c r="J54" i="5"/>
  <c r="N53" i="1"/>
  <c r="J61" i="1"/>
  <c r="H61" i="4"/>
  <c r="J61" i="5"/>
  <c r="N60" i="1"/>
  <c r="J59" i="1"/>
  <c r="H59" i="4"/>
  <c r="J59" i="5"/>
  <c r="N58" i="1"/>
  <c r="J57" i="1"/>
  <c r="H57" i="4"/>
  <c r="N56" i="1"/>
  <c r="J55" i="1"/>
  <c r="H55" i="4"/>
  <c r="J55" i="5"/>
  <c r="N54" i="1"/>
  <c r="X87" i="1"/>
  <c r="T87" i="1"/>
  <c r="I87" i="4"/>
  <c r="K87" i="5"/>
  <c r="X93" i="1"/>
  <c r="T93" i="1"/>
  <c r="I93" i="4"/>
  <c r="X92" i="1"/>
  <c r="T92" i="1"/>
  <c r="I92" i="4"/>
  <c r="K92" i="5"/>
  <c r="X91" i="1"/>
  <c r="T91" i="1"/>
  <c r="I91" i="4"/>
  <c r="K91" i="5"/>
  <c r="X90" i="1"/>
  <c r="T90" i="1"/>
  <c r="I90" i="4"/>
  <c r="K90" i="5"/>
  <c r="X89" i="1"/>
  <c r="T89" i="1"/>
  <c r="I89" i="4"/>
  <c r="K89" i="5"/>
  <c r="X88" i="1"/>
  <c r="T88" i="1"/>
  <c r="I88" i="4"/>
  <c r="K88" i="5"/>
  <c r="T86" i="1"/>
  <c r="I86" i="4"/>
  <c r="K86" i="5"/>
  <c r="X86" i="1"/>
  <c r="AB86" i="1"/>
  <c r="X85" i="1"/>
  <c r="T85" i="1"/>
  <c r="I85" i="4"/>
  <c r="X84" i="1"/>
  <c r="T84" i="1"/>
  <c r="I84" i="4"/>
  <c r="X83" i="1"/>
  <c r="T83" i="1"/>
  <c r="I83" i="4"/>
  <c r="K83" i="5"/>
  <c r="X82" i="1"/>
  <c r="T82" i="1"/>
  <c r="I82" i="4"/>
  <c r="U68" i="1"/>
  <c r="U60" i="1"/>
  <c r="V84" i="1"/>
  <c r="X81" i="1"/>
  <c r="T81" i="1"/>
  <c r="I81" i="4"/>
  <c r="K81" i="5"/>
  <c r="X80" i="1"/>
  <c r="T80" i="1"/>
  <c r="I80" i="4"/>
  <c r="K80" i="5"/>
  <c r="X79" i="1"/>
  <c r="T79" i="1"/>
  <c r="I79" i="4"/>
  <c r="K79" i="5"/>
  <c r="X78" i="1"/>
  <c r="T78" i="1"/>
  <c r="I78" i="4"/>
  <c r="K78" i="5"/>
  <c r="X77" i="1"/>
  <c r="T77" i="1"/>
  <c r="I77" i="4"/>
  <c r="K77" i="5"/>
  <c r="X76" i="1"/>
  <c r="T76" i="1"/>
  <c r="I76" i="4"/>
  <c r="K76" i="5"/>
  <c r="X75" i="1"/>
  <c r="T75" i="1"/>
  <c r="I75" i="4"/>
  <c r="K75" i="5"/>
  <c r="X74" i="1"/>
  <c r="T74" i="1"/>
  <c r="I74" i="4"/>
  <c r="K74" i="5"/>
  <c r="X73" i="1"/>
  <c r="T73" i="1"/>
  <c r="I73" i="4"/>
  <c r="K73" i="5"/>
  <c r="X72" i="1"/>
  <c r="T72" i="1"/>
  <c r="I72" i="4"/>
  <c r="K72" i="5"/>
  <c r="X70" i="1"/>
  <c r="T70" i="1"/>
  <c r="I70" i="4"/>
  <c r="K70" i="5"/>
  <c r="X69" i="1"/>
  <c r="T69" i="1"/>
  <c r="I69" i="4"/>
  <c r="K69" i="5"/>
  <c r="X68" i="1"/>
  <c r="T68" i="1"/>
  <c r="I68" i="4"/>
  <c r="K68" i="5"/>
  <c r="X67" i="1"/>
  <c r="T67" i="1"/>
  <c r="I67" i="4"/>
  <c r="K67" i="5"/>
  <c r="X66" i="1"/>
  <c r="T66" i="1"/>
  <c r="I66" i="4"/>
  <c r="K66" i="5"/>
  <c r="X65" i="1"/>
  <c r="T65" i="1"/>
  <c r="I65" i="4"/>
  <c r="K65" i="5"/>
  <c r="K154" i="5"/>
  <c r="X64" i="1"/>
  <c r="T64" i="1"/>
  <c r="I64" i="4"/>
  <c r="K64" i="5"/>
  <c r="X63" i="1"/>
  <c r="T63" i="1"/>
  <c r="I63" i="4"/>
  <c r="K63" i="5"/>
  <c r="X62" i="1"/>
  <c r="T62" i="1"/>
  <c r="I62" i="4"/>
  <c r="K62" i="5"/>
  <c r="X61" i="1"/>
  <c r="T60" i="1"/>
  <c r="I60" i="4"/>
  <c r="K60" i="5"/>
  <c r="X59" i="1"/>
  <c r="T58" i="1"/>
  <c r="I58" i="4"/>
  <c r="K58" i="5"/>
  <c r="X57" i="1"/>
  <c r="T56" i="1"/>
  <c r="I56" i="4"/>
  <c r="K56" i="5"/>
  <c r="X55" i="1"/>
  <c r="X54" i="1"/>
  <c r="W53" i="1"/>
  <c r="X52" i="1"/>
  <c r="T52" i="1"/>
  <c r="I52" i="4"/>
  <c r="K52" i="5"/>
  <c r="X51" i="1"/>
  <c r="T51" i="1"/>
  <c r="I51" i="4"/>
  <c r="K51" i="5"/>
  <c r="X50" i="1"/>
  <c r="T50" i="1"/>
  <c r="I50" i="4"/>
  <c r="K50" i="5"/>
  <c r="X49" i="1"/>
  <c r="T49" i="1"/>
  <c r="I49" i="4"/>
  <c r="K49" i="5"/>
  <c r="X48" i="1"/>
  <c r="T48" i="1"/>
  <c r="I48" i="4"/>
  <c r="K48" i="5"/>
  <c r="X47" i="1"/>
  <c r="T47" i="1"/>
  <c r="I47" i="4"/>
  <c r="K47" i="5"/>
  <c r="X46" i="1"/>
  <c r="T46" i="1"/>
  <c r="I46" i="4"/>
  <c r="K46" i="5"/>
  <c r="X45" i="1"/>
  <c r="T45" i="1"/>
  <c r="I45" i="4"/>
  <c r="K45" i="5"/>
  <c r="X44" i="1"/>
  <c r="T44" i="1"/>
  <c r="I44" i="4"/>
  <c r="K44" i="5"/>
  <c r="X43" i="1"/>
  <c r="T43" i="1"/>
  <c r="I43" i="4"/>
  <c r="K43" i="5"/>
  <c r="X42" i="1"/>
  <c r="T42" i="1"/>
  <c r="I42" i="4"/>
  <c r="K42" i="5"/>
  <c r="X41" i="1"/>
  <c r="T41" i="1"/>
  <c r="I41" i="4"/>
  <c r="K41" i="5"/>
  <c r="X40" i="1"/>
  <c r="T40" i="1"/>
  <c r="I40" i="4"/>
  <c r="K40" i="5"/>
  <c r="X39" i="1"/>
  <c r="T39" i="1"/>
  <c r="I39" i="4"/>
  <c r="K39" i="5"/>
  <c r="X38" i="1"/>
  <c r="T38" i="1"/>
  <c r="I38" i="4"/>
  <c r="K38" i="5"/>
  <c r="X37" i="1"/>
  <c r="T37" i="1"/>
  <c r="I37" i="4"/>
  <c r="K37" i="5"/>
  <c r="X36" i="1"/>
  <c r="T36" i="1"/>
  <c r="I36" i="4"/>
  <c r="K36" i="5"/>
  <c r="X35" i="1"/>
  <c r="T35" i="1"/>
  <c r="I35" i="4"/>
  <c r="K35" i="5"/>
  <c r="X34" i="1"/>
  <c r="T34" i="1"/>
  <c r="I34" i="4"/>
  <c r="K34" i="5"/>
  <c r="W55" i="1"/>
  <c r="W54" i="1"/>
  <c r="W52" i="1"/>
  <c r="W47" i="1"/>
  <c r="W46" i="1"/>
  <c r="W44" i="1"/>
  <c r="W41" i="1"/>
  <c r="W39" i="1"/>
  <c r="W38" i="1"/>
  <c r="W37" i="1"/>
  <c r="W36" i="1"/>
  <c r="W62" i="1"/>
  <c r="T61" i="1"/>
  <c r="I61" i="4"/>
  <c r="K61" i="5"/>
  <c r="X60" i="1"/>
  <c r="T59" i="1"/>
  <c r="I59" i="4"/>
  <c r="K59" i="5"/>
  <c r="X58" i="1"/>
  <c r="T57" i="1"/>
  <c r="I57" i="4"/>
  <c r="K57" i="5"/>
  <c r="X56" i="1"/>
  <c r="T55" i="1"/>
  <c r="I55" i="4"/>
  <c r="K55" i="5"/>
  <c r="U54" i="1"/>
  <c r="T53" i="1"/>
  <c r="I53" i="4"/>
  <c r="K53" i="5"/>
  <c r="V52" i="1"/>
  <c r="V51" i="1"/>
  <c r="V49" i="1"/>
  <c r="V48" i="1"/>
  <c r="V46" i="1"/>
  <c r="V45" i="1"/>
  <c r="V44" i="1"/>
  <c r="V43" i="1"/>
  <c r="V41" i="1"/>
  <c r="V40" i="1"/>
  <c r="V38" i="1"/>
  <c r="V37" i="1"/>
  <c r="V36" i="1"/>
  <c r="V35" i="1"/>
  <c r="V33" i="1"/>
  <c r="V32" i="1"/>
  <c r="V30" i="1"/>
  <c r="V29" i="1"/>
  <c r="V28" i="1"/>
  <c r="V27" i="1"/>
  <c r="V25" i="1"/>
  <c r="W60" i="1"/>
  <c r="W58" i="1"/>
  <c r="W56" i="1"/>
  <c r="T54" i="1"/>
  <c r="I54" i="4"/>
  <c r="K54" i="5"/>
  <c r="X53" i="1"/>
  <c r="U52" i="1"/>
  <c r="U51" i="1"/>
  <c r="U50" i="1"/>
  <c r="U49" i="1"/>
  <c r="U48" i="1"/>
  <c r="U47" i="1"/>
  <c r="U46" i="1"/>
  <c r="U44" i="1"/>
  <c r="U43" i="1"/>
  <c r="U42" i="1"/>
  <c r="U41" i="1"/>
  <c r="U40" i="1"/>
  <c r="U39" i="1"/>
  <c r="U38" i="1"/>
  <c r="U36" i="1"/>
  <c r="U35" i="1"/>
  <c r="U34" i="1"/>
  <c r="U33" i="1"/>
  <c r="U32" i="1"/>
  <c r="U31" i="1"/>
  <c r="U30" i="1"/>
  <c r="U28" i="1"/>
  <c r="U27" i="1"/>
  <c r="U26" i="1"/>
  <c r="U25" i="1"/>
  <c r="U24" i="1"/>
  <c r="AB128" i="1"/>
  <c r="R128" i="1"/>
  <c r="J67" i="11"/>
  <c r="J71" i="11"/>
  <c r="J68" i="11"/>
  <c r="J74" i="11"/>
  <c r="M77" i="11"/>
  <c r="L75" i="11"/>
  <c r="K14" i="5"/>
  <c r="L70" i="11"/>
  <c r="L76" i="11"/>
  <c r="L69" i="11"/>
  <c r="L63" i="11"/>
  <c r="L64" i="11"/>
  <c r="L68" i="11"/>
  <c r="K26" i="5"/>
  <c r="L67" i="11"/>
  <c r="L71" i="11"/>
  <c r="L66" i="11"/>
  <c r="K158" i="5"/>
  <c r="K156" i="5"/>
  <c r="K152" i="5"/>
  <c r="K149" i="5"/>
  <c r="K146" i="5"/>
  <c r="K157" i="5"/>
  <c r="K153" i="5"/>
  <c r="K150" i="5"/>
  <c r="K147" i="5"/>
  <c r="K98" i="5"/>
  <c r="K155" i="5"/>
  <c r="K151" i="5"/>
  <c r="K148" i="5"/>
  <c r="K145" i="5"/>
  <c r="L23" i="11"/>
  <c r="L41" i="11"/>
  <c r="K99" i="5"/>
  <c r="K101" i="5"/>
  <c r="K103" i="5"/>
  <c r="K105" i="5"/>
  <c r="K107" i="5"/>
  <c r="K109" i="5"/>
  <c r="K112" i="5"/>
  <c r="K114" i="5"/>
  <c r="K116" i="5"/>
  <c r="K118" i="5"/>
  <c r="K120" i="5"/>
  <c r="K122" i="5"/>
  <c r="K124" i="5"/>
  <c r="K126" i="5"/>
  <c r="K128" i="5"/>
  <c r="K130" i="5"/>
  <c r="K132" i="5"/>
  <c r="K133" i="5"/>
  <c r="L59" i="11"/>
  <c r="K21" i="5"/>
  <c r="K30" i="5"/>
  <c r="K29" i="5"/>
  <c r="K143" i="5"/>
  <c r="K141" i="5"/>
  <c r="K139" i="5"/>
  <c r="K137" i="5"/>
  <c r="K135" i="5"/>
  <c r="K144" i="5"/>
  <c r="K142" i="5"/>
  <c r="K140" i="5"/>
  <c r="K138" i="5"/>
  <c r="K136" i="5"/>
  <c r="K134" i="5"/>
  <c r="K182" i="5"/>
  <c r="K181" i="5"/>
  <c r="K180" i="5"/>
  <c r="K179" i="5"/>
  <c r="K178" i="5"/>
  <c r="K177" i="5"/>
  <c r="K24" i="5"/>
  <c r="K27" i="5"/>
  <c r="K100" i="5"/>
  <c r="K102" i="5"/>
  <c r="K104" i="5"/>
  <c r="K106" i="5"/>
  <c r="K108" i="5"/>
  <c r="K111" i="5"/>
  <c r="K113" i="5"/>
  <c r="K115" i="5"/>
  <c r="K117" i="5"/>
  <c r="K119" i="5"/>
  <c r="K121" i="5"/>
  <c r="K123" i="5"/>
  <c r="K125" i="5"/>
  <c r="K127" i="5"/>
  <c r="K129" i="5"/>
  <c r="K131" i="5"/>
  <c r="K82" i="5"/>
  <c r="K84" i="5"/>
  <c r="K85" i="5"/>
  <c r="K93" i="5"/>
  <c r="K110" i="5"/>
  <c r="K159" i="5"/>
  <c r="K160" i="5"/>
  <c r="K25" i="8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63" i="11"/>
  <c r="K67" i="11"/>
  <c r="K71" i="11"/>
  <c r="J151" i="5"/>
  <c r="J133" i="5"/>
  <c r="J117" i="5"/>
  <c r="J101" i="5"/>
  <c r="K66" i="11"/>
  <c r="J155" i="5"/>
  <c r="J137" i="5"/>
  <c r="J121" i="5"/>
  <c r="J105" i="5"/>
  <c r="J163" i="5"/>
  <c r="J147" i="5"/>
  <c r="J129" i="5"/>
  <c r="J113" i="5"/>
  <c r="J92" i="5"/>
  <c r="J57" i="5"/>
  <c r="J51" i="5"/>
  <c r="J27" i="5"/>
  <c r="J159" i="5"/>
  <c r="J141" i="5"/>
  <c r="J125" i="5"/>
  <c r="J109" i="5"/>
  <c r="J50" i="5"/>
  <c r="J33" i="5"/>
  <c r="J28" i="5"/>
  <c r="J26" i="5"/>
  <c r="J14" i="5"/>
  <c r="J18" i="5"/>
  <c r="J20" i="5"/>
  <c r="J167" i="5"/>
  <c r="J175" i="5"/>
  <c r="J179" i="5"/>
  <c r="J171" i="5"/>
  <c r="K23" i="11"/>
  <c r="J30" i="5"/>
  <c r="J38" i="5"/>
  <c r="J42" i="5"/>
  <c r="J98" i="5"/>
  <c r="J102" i="5"/>
  <c r="J106" i="5"/>
  <c r="J114" i="5"/>
  <c r="J118" i="5"/>
  <c r="J122" i="5"/>
  <c r="J126" i="5"/>
  <c r="J130" i="5"/>
  <c r="J134" i="5"/>
  <c r="J138" i="5"/>
  <c r="J142" i="5"/>
  <c r="J148" i="5"/>
  <c r="J152" i="5"/>
  <c r="J156" i="5"/>
  <c r="J160" i="5"/>
  <c r="J25" i="8"/>
  <c r="J164" i="5"/>
  <c r="J168" i="5"/>
  <c r="J172" i="5"/>
  <c r="J176" i="5"/>
  <c r="J180" i="5"/>
  <c r="K59" i="11"/>
  <c r="K64" i="11"/>
  <c r="K65" i="11"/>
  <c r="J21" i="5"/>
  <c r="J39" i="5"/>
  <c r="J44" i="5"/>
  <c r="J48" i="5"/>
  <c r="J78" i="5"/>
  <c r="J99" i="5"/>
  <c r="J103" i="5"/>
  <c r="J107" i="5"/>
  <c r="J111" i="5"/>
  <c r="J115" i="5"/>
  <c r="J119" i="5"/>
  <c r="J123" i="5"/>
  <c r="J127" i="5"/>
  <c r="J131" i="5"/>
  <c r="J135" i="5"/>
  <c r="J139" i="5"/>
  <c r="J143" i="5"/>
  <c r="J145" i="5"/>
  <c r="J149" i="5"/>
  <c r="J153" i="5"/>
  <c r="J157" i="5"/>
  <c r="J161" i="5"/>
  <c r="J165" i="5"/>
  <c r="J169" i="5"/>
  <c r="J173" i="5"/>
  <c r="J177" i="5"/>
  <c r="J181" i="5"/>
  <c r="J36" i="5"/>
  <c r="J56" i="5"/>
  <c r="J64" i="5"/>
  <c r="J68" i="5"/>
  <c r="J87" i="5"/>
  <c r="J91" i="5"/>
  <c r="J108" i="5"/>
  <c r="J110" i="5"/>
  <c r="J112" i="5"/>
  <c r="J116" i="5"/>
  <c r="J120" i="5"/>
  <c r="J124" i="5"/>
  <c r="J128" i="5"/>
  <c r="J132" i="5"/>
  <c r="J136" i="5"/>
  <c r="J140" i="5"/>
  <c r="J144" i="5"/>
  <c r="J146" i="5"/>
  <c r="J150" i="5"/>
  <c r="J158" i="5"/>
  <c r="J162" i="5"/>
  <c r="J166" i="5"/>
  <c r="J170" i="5"/>
  <c r="J174" i="5"/>
  <c r="J178" i="5"/>
  <c r="I128" i="5"/>
  <c r="I101" i="5"/>
  <c r="J65" i="11"/>
  <c r="J69" i="11"/>
  <c r="J75" i="11"/>
  <c r="J59" i="11"/>
  <c r="I46" i="5"/>
  <c r="I48" i="5"/>
  <c r="I75" i="5"/>
  <c r="I79" i="5"/>
  <c r="I85" i="5"/>
  <c r="I87" i="5"/>
  <c r="I93" i="5"/>
  <c r="I105" i="5"/>
  <c r="I110" i="5"/>
  <c r="I117" i="5"/>
  <c r="I119" i="5"/>
  <c r="I121" i="5"/>
  <c r="I123" i="5"/>
  <c r="I125" i="5"/>
  <c r="I74" i="5"/>
  <c r="J64" i="11"/>
  <c r="I14" i="5"/>
  <c r="I109" i="5"/>
  <c r="I113" i="5"/>
  <c r="I135" i="5"/>
  <c r="I131" i="5"/>
  <c r="I127" i="5"/>
  <c r="I182" i="5"/>
  <c r="I180" i="5"/>
  <c r="I178" i="5"/>
  <c r="I176" i="5"/>
  <c r="I174" i="5"/>
  <c r="I172" i="5"/>
  <c r="I170" i="5"/>
  <c r="I168" i="5"/>
  <c r="I166" i="5"/>
  <c r="I164" i="5"/>
  <c r="I162" i="5"/>
  <c r="I160" i="5"/>
  <c r="I25" i="8"/>
  <c r="I158" i="5"/>
  <c r="I156" i="5"/>
  <c r="I152" i="5"/>
  <c r="I150" i="5"/>
  <c r="I148" i="5"/>
  <c r="I146" i="5"/>
  <c r="I143" i="5"/>
  <c r="I141" i="5"/>
  <c r="I139" i="5"/>
  <c r="I137" i="5"/>
  <c r="I133" i="5"/>
  <c r="I129" i="5"/>
  <c r="I73" i="5"/>
  <c r="I63" i="5"/>
  <c r="I61" i="5"/>
  <c r="I59" i="5"/>
  <c r="I57" i="5"/>
  <c r="I41" i="5"/>
  <c r="I35" i="5"/>
  <c r="I25" i="5"/>
  <c r="I17" i="5"/>
  <c r="I13" i="5"/>
  <c r="I9" i="5"/>
  <c r="I181" i="5"/>
  <c r="I179" i="5"/>
  <c r="I177" i="5"/>
  <c r="I175" i="5"/>
  <c r="I173" i="5"/>
  <c r="I171" i="5"/>
  <c r="I169" i="5"/>
  <c r="I167" i="5"/>
  <c r="I165" i="5"/>
  <c r="I163" i="5"/>
  <c r="I161" i="5"/>
  <c r="I159" i="5"/>
  <c r="I157" i="5"/>
  <c r="I155" i="5"/>
  <c r="I153" i="5"/>
  <c r="I151" i="5"/>
  <c r="I149" i="5"/>
  <c r="I147" i="5"/>
  <c r="I145" i="5"/>
  <c r="I144" i="5"/>
  <c r="I142" i="5"/>
  <c r="I140" i="5"/>
  <c r="I138" i="5"/>
  <c r="I136" i="5"/>
  <c r="I134" i="5"/>
  <c r="I132" i="5"/>
  <c r="I130" i="5"/>
  <c r="J23" i="11"/>
  <c r="I100" i="5"/>
  <c r="I104" i="5"/>
  <c r="I112" i="5"/>
  <c r="I116" i="5"/>
  <c r="I122" i="5"/>
  <c r="I126" i="5"/>
  <c r="I103" i="5"/>
  <c r="I107" i="5"/>
  <c r="I111" i="5"/>
  <c r="I115" i="5"/>
  <c r="I24" i="5"/>
  <c r="I43" i="5"/>
  <c r="I45" i="5"/>
  <c r="I49" i="5"/>
  <c r="I76" i="5"/>
  <c r="I80" i="5"/>
  <c r="I82" i="5"/>
  <c r="I88" i="5"/>
  <c r="I90" i="5"/>
  <c r="I92" i="5"/>
  <c r="I98" i="5"/>
  <c r="I102" i="5"/>
  <c r="I106" i="5"/>
  <c r="I108" i="5"/>
  <c r="I114" i="5"/>
  <c r="I118" i="5"/>
  <c r="I120" i="5"/>
  <c r="I124" i="5"/>
  <c r="I10" i="5"/>
  <c r="I18" i="5"/>
  <c r="J63" i="11"/>
  <c r="I11" i="5"/>
  <c r="I15" i="5"/>
  <c r="I19" i="5"/>
  <c r="I21" i="5"/>
  <c r="I23" i="5"/>
  <c r="I30" i="5"/>
  <c r="I34" i="5"/>
  <c r="I36" i="5"/>
  <c r="I38" i="5"/>
  <c r="I40" i="5"/>
  <c r="I42" i="5"/>
  <c r="I51" i="5"/>
  <c r="I55" i="5"/>
  <c r="I56" i="5"/>
  <c r="I66" i="5"/>
  <c r="I68" i="5"/>
  <c r="I70" i="5"/>
  <c r="I72" i="5"/>
  <c r="H12" i="16"/>
  <c r="Y36" i="1"/>
  <c r="Y44" i="1"/>
  <c r="Y52" i="1"/>
  <c r="AQ57" i="1"/>
  <c r="AQ61" i="1"/>
  <c r="AQ56" i="1"/>
  <c r="AQ60" i="1"/>
  <c r="AQ35" i="1"/>
  <c r="AQ37" i="1"/>
  <c r="AQ39" i="1"/>
  <c r="AQ41" i="1"/>
  <c r="AQ43" i="1"/>
  <c r="AQ45" i="1"/>
  <c r="AQ47" i="1"/>
  <c r="AQ49" i="1"/>
  <c r="AQ51" i="1"/>
  <c r="AQ62" i="1"/>
  <c r="AQ53" i="1"/>
  <c r="AQ55" i="1"/>
  <c r="AQ59" i="1"/>
  <c r="AQ54" i="1"/>
  <c r="AQ58" i="1"/>
  <c r="AQ36" i="1"/>
  <c r="AQ38" i="1"/>
  <c r="AQ40" i="1"/>
  <c r="AQ42" i="1"/>
  <c r="AQ44" i="1"/>
  <c r="AQ46" i="1"/>
  <c r="AQ48" i="1"/>
  <c r="AQ50" i="1"/>
  <c r="AQ52" i="1"/>
  <c r="AQ85" i="1"/>
  <c r="AQ87" i="1"/>
  <c r="AQ28" i="1"/>
  <c r="AQ32" i="1"/>
  <c r="AQ12" i="1"/>
  <c r="AQ14" i="1"/>
  <c r="AQ27" i="1"/>
  <c r="AQ31" i="1"/>
  <c r="AQ83" i="1"/>
  <c r="AQ63" i="1"/>
  <c r="AQ65" i="1"/>
  <c r="AQ67" i="1"/>
  <c r="AQ69" i="1"/>
  <c r="AQ73" i="1"/>
  <c r="AQ75" i="1"/>
  <c r="AQ77" i="1"/>
  <c r="AQ79" i="1"/>
  <c r="AQ81" i="1"/>
  <c r="AQ91" i="1"/>
  <c r="AQ93" i="1"/>
  <c r="AQ88" i="1"/>
  <c r="AQ10" i="1"/>
  <c r="AQ9" i="1"/>
  <c r="AQ26" i="1"/>
  <c r="AQ16" i="1"/>
  <c r="AQ18" i="1"/>
  <c r="AQ20" i="1"/>
  <c r="AQ22" i="1"/>
  <c r="AQ24" i="1"/>
  <c r="AQ84" i="1"/>
  <c r="AQ86" i="1"/>
  <c r="AQ11" i="1"/>
  <c r="AQ13" i="1"/>
  <c r="AQ15" i="1"/>
  <c r="AQ30" i="1"/>
  <c r="AQ25" i="1"/>
  <c r="AQ29" i="1"/>
  <c r="AQ33" i="1"/>
  <c r="AQ82" i="1"/>
  <c r="AQ64" i="1"/>
  <c r="AQ66" i="1"/>
  <c r="AQ68" i="1"/>
  <c r="AQ70" i="1"/>
  <c r="AQ72" i="1"/>
  <c r="AQ74" i="1"/>
  <c r="AQ76" i="1"/>
  <c r="AQ78" i="1"/>
  <c r="AQ80" i="1"/>
  <c r="AQ90" i="1"/>
  <c r="AQ92" i="1"/>
  <c r="AQ89" i="1"/>
  <c r="AQ34" i="1"/>
  <c r="AQ17" i="1"/>
  <c r="AQ19" i="1"/>
  <c r="AQ21" i="1"/>
  <c r="AQ23" i="1"/>
  <c r="M16" i="10"/>
  <c r="AD112" i="1"/>
  <c r="AD111" i="1"/>
  <c r="AD106" i="1"/>
  <c r="AB19" i="1"/>
  <c r="Z41" i="1"/>
  <c r="AB58" i="1"/>
  <c r="Y38" i="1"/>
  <c r="Y46" i="1"/>
  <c r="AB34" i="1"/>
  <c r="AB36" i="1"/>
  <c r="AB38" i="1"/>
  <c r="AB40" i="1"/>
  <c r="AB42" i="1"/>
  <c r="AB44" i="1"/>
  <c r="AB46" i="1"/>
  <c r="AB48" i="1"/>
  <c r="AB50" i="1"/>
  <c r="AB52" i="1"/>
  <c r="AB85" i="1"/>
  <c r="AB91" i="1"/>
  <c r="AB93" i="1"/>
  <c r="AB15" i="1"/>
  <c r="AB12" i="1"/>
  <c r="AB14" i="1"/>
  <c r="AB21" i="1"/>
  <c r="AB27" i="1"/>
  <c r="AB31" i="1"/>
  <c r="AB28" i="1"/>
  <c r="AB32" i="1"/>
  <c r="AB16" i="1"/>
  <c r="AB11" i="1"/>
  <c r="AB13" i="1"/>
  <c r="AB17" i="1"/>
  <c r="AB22" i="1"/>
  <c r="AB25" i="1"/>
  <c r="AB29" i="1"/>
  <c r="AB33" i="1"/>
  <c r="AB26" i="1"/>
  <c r="AB30" i="1"/>
  <c r="Y41" i="1"/>
  <c r="AB53" i="1"/>
  <c r="Z36" i="1"/>
  <c r="Z44" i="1"/>
  <c r="Z52" i="1"/>
  <c r="AB56" i="1"/>
  <c r="AB60" i="1"/>
  <c r="AB55" i="1"/>
  <c r="AB59" i="1"/>
  <c r="AB62" i="1"/>
  <c r="AB64" i="1"/>
  <c r="AB66" i="1"/>
  <c r="AB68" i="1"/>
  <c r="AB70" i="1"/>
  <c r="AB72" i="1"/>
  <c r="AB74" i="1"/>
  <c r="AB76" i="1"/>
  <c r="AB78" i="1"/>
  <c r="AB80" i="1"/>
  <c r="AB82" i="1"/>
  <c r="AB88" i="1"/>
  <c r="AB9" i="1"/>
  <c r="AA36" i="1"/>
  <c r="AA44" i="1"/>
  <c r="AA52" i="1"/>
  <c r="AB20" i="1"/>
  <c r="Z38" i="1"/>
  <c r="Z46" i="1"/>
  <c r="AA41" i="1"/>
  <c r="AB57" i="1"/>
  <c r="AB61" i="1"/>
  <c r="AB63" i="1"/>
  <c r="AB65" i="1"/>
  <c r="AB67" i="1"/>
  <c r="AB69" i="1"/>
  <c r="AB73" i="1"/>
  <c r="AB75" i="1"/>
  <c r="AB77" i="1"/>
  <c r="AB79" i="1"/>
  <c r="AB81" i="1"/>
  <c r="AB83" i="1"/>
  <c r="AB89" i="1"/>
  <c r="AB24" i="1"/>
  <c r="AA38" i="1"/>
  <c r="AA46" i="1"/>
  <c r="AB35" i="1"/>
  <c r="AB37" i="1"/>
  <c r="AB39" i="1"/>
  <c r="AB41" i="1"/>
  <c r="AB43" i="1"/>
  <c r="AB45" i="1"/>
  <c r="AB47" i="1"/>
  <c r="AB49" i="1"/>
  <c r="AB51" i="1"/>
  <c r="AB54" i="1"/>
  <c r="AB84" i="1"/>
  <c r="AB90" i="1"/>
  <c r="AB92" i="1"/>
  <c r="AB87" i="1"/>
  <c r="AB10" i="1"/>
  <c r="AB23" i="1"/>
  <c r="R10" i="1"/>
  <c r="R28" i="1"/>
  <c r="R9" i="1"/>
  <c r="R32" i="1"/>
  <c r="R11" i="1"/>
  <c r="R12" i="1"/>
  <c r="R13" i="1"/>
  <c r="R14" i="1"/>
  <c r="R15" i="1"/>
  <c r="R26" i="1"/>
  <c r="R30" i="1"/>
  <c r="R34" i="1"/>
  <c r="R16" i="1"/>
  <c r="R17" i="1"/>
  <c r="R18" i="1"/>
  <c r="R19" i="1"/>
  <c r="R20" i="1"/>
  <c r="R21" i="1"/>
  <c r="R22" i="1"/>
  <c r="R23" i="1"/>
  <c r="R24" i="1"/>
  <c r="R25" i="1"/>
  <c r="R27" i="1"/>
  <c r="R29" i="1"/>
  <c r="R31" i="1"/>
  <c r="R33" i="1"/>
  <c r="R54" i="1"/>
  <c r="R56" i="1"/>
  <c r="R58" i="1"/>
  <c r="R60" i="1"/>
  <c r="R53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5" i="1"/>
  <c r="R57" i="1"/>
  <c r="R59" i="1"/>
  <c r="R61" i="1"/>
  <c r="R62" i="1"/>
  <c r="R82" i="1"/>
  <c r="R83" i="1"/>
  <c r="R84" i="1"/>
  <c r="R85" i="1"/>
  <c r="R63" i="1"/>
  <c r="R64" i="1"/>
  <c r="R65" i="1"/>
  <c r="R66" i="1"/>
  <c r="R67" i="1"/>
  <c r="R68" i="1"/>
  <c r="R69" i="1"/>
  <c r="R70" i="1"/>
  <c r="R72" i="1"/>
  <c r="R73" i="1"/>
  <c r="R74" i="1"/>
  <c r="R75" i="1"/>
  <c r="R76" i="1"/>
  <c r="R77" i="1"/>
  <c r="R78" i="1"/>
  <c r="R79" i="1"/>
  <c r="R80" i="1"/>
  <c r="R81" i="1"/>
  <c r="R90" i="1"/>
  <c r="R91" i="1"/>
  <c r="R92" i="1"/>
  <c r="R93" i="1"/>
  <c r="R86" i="1"/>
  <c r="R87" i="1"/>
  <c r="R88" i="1"/>
  <c r="R89" i="1"/>
  <c r="L65" i="11"/>
  <c r="I12" i="16"/>
  <c r="I78" i="16"/>
  <c r="K183" i="5"/>
  <c r="K37" i="8"/>
  <c r="K77" i="11"/>
  <c r="J37" i="8"/>
  <c r="I37" i="8"/>
  <c r="G43" i="10"/>
  <c r="G47" i="10"/>
  <c r="G48" i="10"/>
  <c r="V48" i="10"/>
  <c r="I48" i="10"/>
  <c r="H43" i="10"/>
  <c r="I43" i="10"/>
  <c r="V43" i="10"/>
  <c r="I44" i="10"/>
  <c r="I50" i="10"/>
  <c r="H42" i="10"/>
  <c r="V42" i="10"/>
  <c r="H55" i="10"/>
  <c r="I47" i="10"/>
  <c r="H47" i="10"/>
  <c r="G40" i="10"/>
  <c r="T40" i="10"/>
  <c r="H54" i="10"/>
  <c r="V54" i="10"/>
  <c r="G56" i="10"/>
  <c r="G49" i="10"/>
  <c r="Q49" i="10"/>
  <c r="I53" i="10"/>
  <c r="I56" i="10"/>
  <c r="I59" i="10"/>
  <c r="G60" i="10"/>
  <c r="R60" i="10"/>
  <c r="G59" i="10"/>
  <c r="H59" i="10"/>
  <c r="H56" i="10"/>
  <c r="G44" i="10"/>
  <c r="I60" i="10"/>
  <c r="H60" i="10"/>
  <c r="I55" i="10"/>
  <c r="G50" i="10"/>
  <c r="H49" i="10"/>
  <c r="H44" i="10"/>
  <c r="T44" i="10"/>
  <c r="H53" i="10"/>
  <c r="G53" i="10"/>
  <c r="R53" i="10"/>
  <c r="I54" i="10"/>
  <c r="H50" i="10"/>
  <c r="G42" i="10"/>
  <c r="G55" i="10"/>
  <c r="G54" i="10"/>
  <c r="Q54" i="10"/>
  <c r="I42" i="10"/>
  <c r="T42" i="10"/>
  <c r="I49" i="10"/>
  <c r="I40" i="10"/>
  <c r="V40" i="10"/>
  <c r="H41" i="10"/>
  <c r="G41" i="10"/>
  <c r="R41" i="10"/>
  <c r="H40" i="10"/>
  <c r="I41" i="10"/>
  <c r="AD122" i="1"/>
  <c r="H48" i="10"/>
  <c r="P48" i="10"/>
  <c r="L77" i="11"/>
  <c r="U40" i="10"/>
  <c r="V59" i="10"/>
  <c r="V56" i="10"/>
  <c r="U43" i="10"/>
  <c r="S50" i="10"/>
  <c r="U42" i="10"/>
  <c r="Q42" i="10"/>
  <c r="P81" i="10"/>
  <c r="O20" i="10"/>
  <c r="P79" i="10"/>
  <c r="Q79" i="10"/>
  <c r="K80" i="16"/>
  <c r="Q81" i="10"/>
  <c r="L77" i="16"/>
  <c r="K77" i="16"/>
  <c r="Q82" i="10"/>
  <c r="P74" i="10"/>
  <c r="P75" i="10"/>
  <c r="Q75" i="10"/>
  <c r="K79" i="16"/>
  <c r="L79" i="16"/>
  <c r="K84" i="16"/>
  <c r="L80" i="16"/>
  <c r="Q74" i="10"/>
  <c r="Q80" i="10"/>
  <c r="Q76" i="10"/>
  <c r="K85" i="16"/>
  <c r="P82" i="10"/>
  <c r="P80" i="10"/>
  <c r="P76" i="10"/>
  <c r="P73" i="10"/>
  <c r="Q73" i="10"/>
  <c r="Q72" i="10"/>
  <c r="P72" i="10"/>
  <c r="K83" i="16"/>
  <c r="L83" i="16"/>
  <c r="L85" i="16"/>
  <c r="Q23" i="10"/>
  <c r="Q24" i="10"/>
  <c r="Q25" i="10"/>
  <c r="L37" i="8"/>
  <c r="N182" i="5"/>
  <c r="N180" i="5"/>
  <c r="N178" i="5"/>
  <c r="N174" i="5"/>
  <c r="N172" i="5"/>
  <c r="N170" i="5"/>
  <c r="N177" i="5"/>
  <c r="N173" i="5"/>
  <c r="M182" i="5"/>
  <c r="M180" i="5"/>
  <c r="M178" i="5"/>
  <c r="M174" i="5"/>
  <c r="M172" i="5"/>
  <c r="M170" i="5"/>
  <c r="N179" i="5"/>
  <c r="N175" i="5"/>
  <c r="N171" i="5"/>
  <c r="M181" i="5"/>
  <c r="M179" i="5"/>
  <c r="M177" i="5"/>
  <c r="M175" i="5"/>
  <c r="M173" i="5"/>
  <c r="M171" i="5"/>
  <c r="N181" i="5"/>
  <c r="N176" i="5"/>
  <c r="M176" i="5"/>
  <c r="N75" i="11"/>
  <c r="O66" i="11"/>
  <c r="O76" i="11"/>
  <c r="O71" i="11"/>
  <c r="O70" i="11"/>
  <c r="O67" i="11"/>
  <c r="N68" i="11"/>
  <c r="N67" i="11"/>
  <c r="O64" i="11"/>
  <c r="O74" i="11"/>
  <c r="O69" i="11"/>
  <c r="N70" i="11"/>
  <c r="N71" i="11"/>
  <c r="O41" i="11"/>
  <c r="N65" i="11"/>
  <c r="N69" i="11"/>
  <c r="I22" i="16"/>
  <c r="I23" i="16"/>
  <c r="O63" i="11"/>
  <c r="O23" i="11"/>
  <c r="O59" i="11"/>
  <c r="N41" i="11"/>
  <c r="N64" i="11"/>
  <c r="N74" i="11"/>
  <c r="J78" i="16"/>
  <c r="J22" i="16"/>
  <c r="J23" i="16"/>
  <c r="O68" i="11"/>
  <c r="N63" i="11"/>
  <c r="N23" i="11"/>
  <c r="N59" i="11"/>
  <c r="O65" i="11"/>
  <c r="O75" i="11"/>
  <c r="N76" i="11"/>
  <c r="M94" i="5"/>
  <c r="N94" i="5"/>
  <c r="M20" i="8"/>
  <c r="M21" i="8"/>
  <c r="H78" i="16"/>
  <c r="H22" i="16"/>
  <c r="K12" i="16"/>
  <c r="O87" i="5"/>
  <c r="O176" i="5" s="1"/>
  <c r="P87" i="5"/>
  <c r="P176" i="5" s="1"/>
  <c r="R87" i="5"/>
  <c r="R176" i="5" s="1"/>
  <c r="Q87" i="5"/>
  <c r="Q176" i="5" s="1"/>
  <c r="R170" i="5"/>
  <c r="S81" i="5"/>
  <c r="S170" i="5" s="1"/>
  <c r="S87" i="5"/>
  <c r="S176" i="5" s="1"/>
  <c r="AP117" i="1"/>
  <c r="I78" i="10" s="1"/>
  <c r="AO117" i="1"/>
  <c r="H78" i="10" s="1"/>
  <c r="AN117" i="1"/>
  <c r="G78" i="10" s="1"/>
  <c r="G46" i="10" s="1"/>
  <c r="AN81" i="1"/>
  <c r="AN116" i="1"/>
  <c r="G77" i="10" s="1"/>
  <c r="AO116" i="1"/>
  <c r="H77" i="10" s="1"/>
  <c r="H45" i="10" s="1"/>
  <c r="AP116" i="1"/>
  <c r="I77" i="10" s="1"/>
  <c r="I45" i="10" s="1"/>
  <c r="AO81" i="1"/>
  <c r="AP81" i="1"/>
  <c r="R56" i="10"/>
  <c r="L31" i="16"/>
  <c r="I15" i="8"/>
  <c r="I20" i="8"/>
  <c r="I21" i="8"/>
  <c r="L30" i="16"/>
  <c r="L96" i="16"/>
  <c r="L15" i="8"/>
  <c r="L20" i="8"/>
  <c r="N20" i="8"/>
  <c r="N21" i="8"/>
  <c r="L27" i="16"/>
  <c r="L93" i="16"/>
  <c r="P56" i="10"/>
  <c r="Q59" i="10"/>
  <c r="R54" i="10"/>
  <c r="K78" i="16"/>
  <c r="R48" i="10"/>
  <c r="P42" i="10"/>
  <c r="V50" i="10"/>
  <c r="P41" i="10"/>
  <c r="T47" i="10"/>
  <c r="Q48" i="10"/>
  <c r="P50" i="10"/>
  <c r="R50" i="10"/>
  <c r="R40" i="10"/>
  <c r="I183" i="5"/>
  <c r="V53" i="10"/>
  <c r="U53" i="10"/>
  <c r="I94" i="5"/>
  <c r="U59" i="10"/>
  <c r="P59" i="10"/>
  <c r="R59" i="10"/>
  <c r="R49" i="10"/>
  <c r="U49" i="10"/>
  <c r="V49" i="10"/>
  <c r="P49" i="10"/>
  <c r="L12" i="16"/>
  <c r="U44" i="10"/>
  <c r="Q44" i="10"/>
  <c r="V44" i="10"/>
  <c r="H23" i="16"/>
  <c r="O77" i="11"/>
  <c r="N77" i="11"/>
  <c r="V55" i="10"/>
  <c r="V47" i="10"/>
  <c r="Q47" i="10"/>
  <c r="R44" i="10"/>
  <c r="U47" i="10"/>
  <c r="P47" i="10"/>
  <c r="U56" i="10"/>
  <c r="Q56" i="10"/>
  <c r="S56" i="10"/>
  <c r="Q43" i="10"/>
  <c r="P43" i="10"/>
  <c r="R43" i="10"/>
  <c r="S43" i="10"/>
  <c r="P53" i="10"/>
  <c r="Q53" i="10"/>
  <c r="T53" i="10"/>
  <c r="Q60" i="10"/>
  <c r="U60" i="10"/>
  <c r="P60" i="10"/>
  <c r="V60" i="10"/>
  <c r="T60" i="10"/>
  <c r="J77" i="11"/>
  <c r="G12" i="16"/>
  <c r="G22" i="16"/>
  <c r="G23" i="16"/>
  <c r="Q55" i="10"/>
  <c r="P55" i="10"/>
  <c r="R55" i="10"/>
  <c r="U55" i="10"/>
  <c r="U54" i="10"/>
  <c r="P54" i="10"/>
  <c r="T54" i="10"/>
  <c r="R42" i="10"/>
  <c r="U48" i="10"/>
  <c r="T48" i="10"/>
  <c r="U41" i="10"/>
  <c r="Q41" i="10"/>
  <c r="V41" i="10"/>
  <c r="Q50" i="10"/>
  <c r="U50" i="10"/>
  <c r="T59" i="10"/>
  <c r="Q40" i="10"/>
  <c r="P40" i="10"/>
  <c r="R47" i="10"/>
  <c r="P44" i="10"/>
  <c r="K10" i="1"/>
  <c r="K31" i="1"/>
  <c r="M20" i="1"/>
  <c r="K28" i="1"/>
  <c r="K13" i="1"/>
  <c r="L21" i="1"/>
  <c r="L15" i="1"/>
  <c r="L20" i="1"/>
  <c r="M91" i="1"/>
  <c r="K87" i="1"/>
  <c r="K90" i="1"/>
  <c r="K89" i="1"/>
  <c r="K84" i="1"/>
  <c r="M76" i="1"/>
  <c r="M68" i="1"/>
  <c r="M60" i="1"/>
  <c r="K86" i="1"/>
  <c r="K82" i="1"/>
  <c r="L74" i="1"/>
  <c r="L66" i="1"/>
  <c r="L58" i="1"/>
  <c r="K78" i="1"/>
  <c r="K70" i="1"/>
  <c r="K62" i="1"/>
  <c r="K51" i="1"/>
  <c r="K43" i="1"/>
  <c r="K35" i="1"/>
  <c r="K57" i="1"/>
  <c r="M50" i="1"/>
  <c r="M42" i="1"/>
  <c r="M34" i="1"/>
  <c r="M26" i="1"/>
  <c r="L51" i="1"/>
  <c r="L43" i="1"/>
  <c r="L35" i="1"/>
  <c r="L27" i="1"/>
  <c r="K29" i="1"/>
  <c r="M19" i="1"/>
  <c r="K26" i="1"/>
  <c r="K12" i="1"/>
  <c r="K18" i="1"/>
  <c r="L14" i="1"/>
  <c r="M14" i="1"/>
  <c r="M9" i="1"/>
  <c r="M90" i="1"/>
  <c r="L93" i="1"/>
  <c r="L89" i="1"/>
  <c r="K88" i="1"/>
  <c r="L83" i="1"/>
  <c r="M75" i="1"/>
  <c r="M67" i="1"/>
  <c r="M59" i="1"/>
  <c r="L81" i="1"/>
  <c r="L73" i="1"/>
  <c r="L65" i="1"/>
  <c r="L57" i="1"/>
  <c r="K77" i="1"/>
  <c r="K69" i="1"/>
  <c r="K50" i="1"/>
  <c r="K42" i="1"/>
  <c r="K55" i="1"/>
  <c r="M49" i="1"/>
  <c r="M41" i="1"/>
  <c r="M33" i="1"/>
  <c r="L50" i="1"/>
  <c r="L42" i="1"/>
  <c r="L34" i="1"/>
  <c r="L26" i="1"/>
  <c r="K27" i="1"/>
  <c r="M18" i="1"/>
  <c r="K11" i="1"/>
  <c r="L17" i="1"/>
  <c r="L13" i="1"/>
  <c r="M10" i="1"/>
  <c r="M11" i="1"/>
  <c r="L92" i="1"/>
  <c r="L88" i="1"/>
  <c r="L87" i="1"/>
  <c r="L82" i="1"/>
  <c r="M74" i="1"/>
  <c r="M66" i="1"/>
  <c r="M58" i="1"/>
  <c r="L80" i="1"/>
  <c r="L72" i="1"/>
  <c r="L64" i="1"/>
  <c r="L56" i="1"/>
  <c r="K76" i="1"/>
  <c r="K68" i="1"/>
  <c r="K60" i="1"/>
  <c r="K49" i="1"/>
  <c r="K41" i="1"/>
  <c r="M48" i="1"/>
  <c r="M40" i="1"/>
  <c r="M32" i="1"/>
  <c r="L49" i="1"/>
  <c r="L41" i="1"/>
  <c r="L33" i="1"/>
  <c r="L25" i="1"/>
  <c r="M25" i="1"/>
  <c r="M17" i="1"/>
  <c r="L24" i="1"/>
  <c r="L12" i="1"/>
  <c r="K9" i="1"/>
  <c r="L91" i="1"/>
  <c r="M87" i="1"/>
  <c r="Q87" i="1"/>
  <c r="M86" i="1"/>
  <c r="M81" i="1"/>
  <c r="M73" i="1"/>
  <c r="M65" i="1"/>
  <c r="M57" i="1"/>
  <c r="L79" i="1"/>
  <c r="L71" i="1"/>
  <c r="L63" i="1"/>
  <c r="L55" i="1"/>
  <c r="K75" i="1"/>
  <c r="K67" i="1"/>
  <c r="K58" i="1"/>
  <c r="K48" i="1"/>
  <c r="K40" i="1"/>
  <c r="M47" i="1"/>
  <c r="M39" i="1"/>
  <c r="M31" i="1"/>
  <c r="L48" i="1"/>
  <c r="L40" i="1"/>
  <c r="L32" i="1"/>
  <c r="M24" i="1"/>
  <c r="M16" i="1"/>
  <c r="K24" i="1"/>
  <c r="K19" i="1"/>
  <c r="L23" i="1"/>
  <c r="L11" i="1"/>
  <c r="L22" i="1"/>
  <c r="L90" i="1"/>
  <c r="L85" i="1"/>
  <c r="M80" i="1"/>
  <c r="M72" i="1"/>
  <c r="M64" i="1"/>
  <c r="M56" i="1"/>
  <c r="L78" i="1"/>
  <c r="L70" i="1"/>
  <c r="L62" i="1"/>
  <c r="M85" i="1"/>
  <c r="K74" i="1"/>
  <c r="K66" i="1"/>
  <c r="K56" i="1"/>
  <c r="K47" i="1"/>
  <c r="K39" i="1"/>
  <c r="M46" i="1"/>
  <c r="M38" i="1"/>
  <c r="M30" i="1"/>
  <c r="L47" i="1"/>
  <c r="L39" i="1"/>
  <c r="L31" i="1"/>
  <c r="M23" i="1"/>
  <c r="K34" i="1"/>
  <c r="K23" i="1"/>
  <c r="L18" i="1"/>
  <c r="K20" i="1"/>
  <c r="L10" i="1"/>
  <c r="M15" i="1"/>
  <c r="M89" i="1"/>
  <c r="Q89" i="1"/>
  <c r="K93" i="1"/>
  <c r="L84" i="1"/>
  <c r="M79" i="1"/>
  <c r="M71" i="1"/>
  <c r="M63" i="1"/>
  <c r="M55" i="1"/>
  <c r="L77" i="1"/>
  <c r="L69" i="1"/>
  <c r="L61" i="1"/>
  <c r="M84" i="1"/>
  <c r="K81" i="1"/>
  <c r="O81" i="1"/>
  <c r="K73" i="1"/>
  <c r="K65" i="1"/>
  <c r="L54" i="1"/>
  <c r="K46" i="1"/>
  <c r="K38" i="1"/>
  <c r="M45" i="1"/>
  <c r="M37" i="1"/>
  <c r="M29" i="1"/>
  <c r="L46" i="1"/>
  <c r="L38" i="1"/>
  <c r="L30" i="1"/>
  <c r="M22" i="1"/>
  <c r="K32" i="1"/>
  <c r="K22" i="1"/>
  <c r="K15" i="1"/>
  <c r="L19" i="1"/>
  <c r="L9" i="1"/>
  <c r="K17" i="1"/>
  <c r="L16" i="1"/>
  <c r="M93" i="1"/>
  <c r="M88" i="1"/>
  <c r="K92" i="1"/>
  <c r="M83" i="1"/>
  <c r="L86" i="1"/>
  <c r="M78" i="1"/>
  <c r="M70" i="1"/>
  <c r="M62" i="1"/>
  <c r="M54" i="1"/>
  <c r="L76" i="1"/>
  <c r="L68" i="1"/>
  <c r="L60" i="1"/>
  <c r="K80" i="1"/>
  <c r="K72" i="1"/>
  <c r="K64" i="1"/>
  <c r="K53" i="1"/>
  <c r="K45" i="1"/>
  <c r="K37" i="1"/>
  <c r="K61" i="1"/>
  <c r="M52" i="1"/>
  <c r="M44" i="1"/>
  <c r="M36" i="1"/>
  <c r="M28" i="1"/>
  <c r="L53" i="1"/>
  <c r="L45" i="1"/>
  <c r="L37" i="1"/>
  <c r="L29" i="1"/>
  <c r="K33" i="1"/>
  <c r="M21" i="1"/>
  <c r="K30" i="1"/>
  <c r="K21" i="1"/>
  <c r="K14" i="1"/>
  <c r="K25" i="1"/>
  <c r="K16" i="1"/>
  <c r="M12" i="1"/>
  <c r="M13" i="1"/>
  <c r="M92" i="1"/>
  <c r="K91" i="1"/>
  <c r="M82" i="1"/>
  <c r="K85" i="1"/>
  <c r="M77" i="1"/>
  <c r="M69" i="1"/>
  <c r="M61" i="1"/>
  <c r="M53" i="1"/>
  <c r="K83" i="1"/>
  <c r="O83" i="1"/>
  <c r="L75" i="1"/>
  <c r="L67" i="1"/>
  <c r="L59" i="1"/>
  <c r="K79" i="1"/>
  <c r="K71" i="1"/>
  <c r="K63" i="1"/>
  <c r="K52" i="1"/>
  <c r="K44" i="1"/>
  <c r="K36" i="1"/>
  <c r="K54" i="1"/>
  <c r="K59" i="1"/>
  <c r="M51" i="1"/>
  <c r="M43" i="1"/>
  <c r="M35" i="1"/>
  <c r="M27" i="1"/>
  <c r="L52" i="1"/>
  <c r="L44" i="1"/>
  <c r="L36" i="1"/>
  <c r="L28" i="1"/>
  <c r="W27" i="1"/>
  <c r="W18" i="1"/>
  <c r="V18" i="1"/>
  <c r="U18" i="1"/>
  <c r="Y18" i="1"/>
  <c r="U14" i="1"/>
  <c r="W9" i="1"/>
  <c r="W10" i="1"/>
  <c r="W88" i="1"/>
  <c r="V89" i="1"/>
  <c r="W91" i="1"/>
  <c r="W81" i="1"/>
  <c r="W73" i="1"/>
  <c r="W65" i="1"/>
  <c r="V78" i="1"/>
  <c r="V70" i="1"/>
  <c r="V62" i="1"/>
  <c r="V54" i="1"/>
  <c r="U78" i="1"/>
  <c r="U70" i="1"/>
  <c r="U62" i="1"/>
  <c r="U86" i="1"/>
  <c r="W59" i="1"/>
  <c r="W49" i="1"/>
  <c r="W25" i="1"/>
  <c r="W17" i="1"/>
  <c r="V17" i="1"/>
  <c r="W14" i="1"/>
  <c r="U13" i="1"/>
  <c r="V9" i="1"/>
  <c r="V88" i="1"/>
  <c r="U89" i="1"/>
  <c r="W90" i="1"/>
  <c r="W80" i="1"/>
  <c r="W72" i="1"/>
  <c r="W64" i="1"/>
  <c r="V77" i="1"/>
  <c r="V69" i="1"/>
  <c r="V61" i="1"/>
  <c r="V53" i="1"/>
  <c r="U77" i="1"/>
  <c r="U69" i="1"/>
  <c r="U61" i="1"/>
  <c r="V85" i="1"/>
  <c r="W57" i="1"/>
  <c r="W48" i="1"/>
  <c r="W40" i="1"/>
  <c r="V47" i="1"/>
  <c r="V39" i="1"/>
  <c r="V31" i="1"/>
  <c r="W16" i="1"/>
  <c r="W24" i="1"/>
  <c r="V16" i="1"/>
  <c r="W32" i="1"/>
  <c r="W13" i="1"/>
  <c r="U19" i="1"/>
  <c r="U12" i="1"/>
  <c r="U20" i="1"/>
  <c r="W87" i="1"/>
  <c r="W79" i="1"/>
  <c r="W71" i="1"/>
  <c r="W63" i="1"/>
  <c r="V76" i="1"/>
  <c r="V68" i="1"/>
  <c r="V60" i="1"/>
  <c r="U87" i="1"/>
  <c r="U76" i="1"/>
  <c r="W23" i="1"/>
  <c r="W15" i="1"/>
  <c r="V23" i="1"/>
  <c r="V15" i="1"/>
  <c r="W28" i="1"/>
  <c r="W12" i="1"/>
  <c r="U11" i="1"/>
  <c r="V13" i="1"/>
  <c r="Z13" i="1"/>
  <c r="V93" i="1"/>
  <c r="W86" i="1"/>
  <c r="U88" i="1"/>
  <c r="Y88" i="1"/>
  <c r="W78" i="1"/>
  <c r="AA78" i="1"/>
  <c r="W70" i="1"/>
  <c r="AA70" i="1"/>
  <c r="U83" i="1"/>
  <c r="V75" i="1"/>
  <c r="V67" i="1"/>
  <c r="V59" i="1"/>
  <c r="V86" i="1"/>
  <c r="Z86" i="1"/>
  <c r="U75" i="1"/>
  <c r="U67" i="1"/>
  <c r="U59" i="1"/>
  <c r="Y59" i="1"/>
  <c r="W83" i="1"/>
  <c r="W22" i="1"/>
  <c r="V22" i="1"/>
  <c r="U23" i="1"/>
  <c r="Y23" i="1"/>
  <c r="W11" i="1"/>
  <c r="AA11" i="1"/>
  <c r="U10" i="1"/>
  <c r="V24" i="1"/>
  <c r="Z24" i="1"/>
  <c r="V11" i="1"/>
  <c r="V92" i="1"/>
  <c r="U93" i="1"/>
  <c r="U85" i="1"/>
  <c r="Y85" i="1"/>
  <c r="W77" i="1"/>
  <c r="AA77" i="1"/>
  <c r="W69" i="1"/>
  <c r="AA69" i="1"/>
  <c r="U82" i="1"/>
  <c r="V74" i="1"/>
  <c r="V66" i="1"/>
  <c r="V58" i="1"/>
  <c r="W85" i="1"/>
  <c r="U74" i="1"/>
  <c r="U66" i="1"/>
  <c r="U58" i="1"/>
  <c r="W82" i="1"/>
  <c r="U53" i="1"/>
  <c r="W45" i="1"/>
  <c r="W33" i="1"/>
  <c r="W21" i="1"/>
  <c r="V21" i="1"/>
  <c r="U22" i="1"/>
  <c r="Y22" i="1"/>
  <c r="W30" i="1"/>
  <c r="U9" i="1"/>
  <c r="U16" i="1"/>
  <c r="Y16" i="1"/>
  <c r="V91" i="1"/>
  <c r="U92" i="1"/>
  <c r="V87" i="1"/>
  <c r="Z87" i="1"/>
  <c r="U84" i="1"/>
  <c r="W76" i="1"/>
  <c r="AA76" i="1"/>
  <c r="W68" i="1"/>
  <c r="AA68" i="1"/>
  <c r="V81" i="1"/>
  <c r="V73" i="1"/>
  <c r="V65" i="1"/>
  <c r="V57" i="1"/>
  <c r="W84" i="1"/>
  <c r="U81" i="1"/>
  <c r="Y81" i="1"/>
  <c r="U73" i="1"/>
  <c r="Y73" i="1"/>
  <c r="U65" i="1"/>
  <c r="Y65" i="1"/>
  <c r="U57" i="1"/>
  <c r="Y57" i="1"/>
  <c r="W31" i="1"/>
  <c r="AA31" i="1"/>
  <c r="W20" i="1"/>
  <c r="AA20" i="1"/>
  <c r="V20" i="1"/>
  <c r="W26" i="1"/>
  <c r="V14" i="1"/>
  <c r="Z14" i="1"/>
  <c r="V90" i="1"/>
  <c r="U91" i="1"/>
  <c r="Y91" i="1"/>
  <c r="W93" i="1"/>
  <c r="AA93" i="1"/>
  <c r="V83" i="1"/>
  <c r="Z83" i="1"/>
  <c r="W75" i="1"/>
  <c r="AA75" i="1"/>
  <c r="W67" i="1"/>
  <c r="AA67" i="1"/>
  <c r="V80" i="1"/>
  <c r="V72" i="1"/>
  <c r="V64" i="1"/>
  <c r="V56" i="1"/>
  <c r="Z56" i="1"/>
  <c r="U80" i="1"/>
  <c r="Y80" i="1"/>
  <c r="U72" i="1"/>
  <c r="Y72" i="1"/>
  <c r="U64" i="1"/>
  <c r="Y64" i="1"/>
  <c r="U56" i="1"/>
  <c r="W51" i="1"/>
  <c r="W43" i="1"/>
  <c r="W35" i="1"/>
  <c r="V50" i="1"/>
  <c r="V42" i="1"/>
  <c r="V34" i="1"/>
  <c r="V26" i="1"/>
  <c r="U45" i="1"/>
  <c r="U37" i="1"/>
  <c r="U29" i="1"/>
  <c r="W29" i="1"/>
  <c r="W19" i="1"/>
  <c r="AA19" i="1"/>
  <c r="V19" i="1"/>
  <c r="U17" i="1"/>
  <c r="Y17" i="1"/>
  <c r="U21" i="1"/>
  <c r="Y21" i="1"/>
  <c r="U15" i="1"/>
  <c r="Y15" i="1"/>
  <c r="V12" i="1"/>
  <c r="Z12" i="1"/>
  <c r="V10" i="1"/>
  <c r="Z10" i="1"/>
  <c r="W89" i="1"/>
  <c r="AA89" i="1"/>
  <c r="U90" i="1"/>
  <c r="Y90" i="1"/>
  <c r="W92" i="1"/>
  <c r="AA92" i="1"/>
  <c r="V82" i="1"/>
  <c r="Z82" i="1"/>
  <c r="W74" i="1"/>
  <c r="AA74" i="1"/>
  <c r="W66" i="1"/>
  <c r="AA66" i="1"/>
  <c r="V79" i="1"/>
  <c r="V71" i="1"/>
  <c r="V63" i="1"/>
  <c r="V55" i="1"/>
  <c r="Z55" i="1"/>
  <c r="U79" i="1"/>
  <c r="Y79" i="1"/>
  <c r="U71" i="1"/>
  <c r="Y71" i="1"/>
  <c r="U63" i="1"/>
  <c r="Y63" i="1"/>
  <c r="U55" i="1"/>
  <c r="W61" i="1"/>
  <c r="AA61" i="1"/>
  <c r="W50" i="1"/>
  <c r="AA50" i="1"/>
  <c r="W42" i="1"/>
  <c r="AA42" i="1"/>
  <c r="W34" i="1"/>
  <c r="AA34" i="1"/>
  <c r="I18" i="4"/>
  <c r="K18" i="5"/>
  <c r="I88" i="16"/>
  <c r="J11" i="4"/>
  <c r="L11" i="5"/>
  <c r="AD94" i="1"/>
  <c r="AD107" i="1"/>
  <c r="AL11" i="1"/>
  <c r="H88" i="16"/>
  <c r="AL35" i="1"/>
  <c r="AK29" i="1"/>
  <c r="AE80" i="1"/>
  <c r="AF75" i="1"/>
  <c r="AJ75" i="1"/>
  <c r="AG70" i="1"/>
  <c r="AE44" i="1"/>
  <c r="AF39" i="1"/>
  <c r="AG34" i="1"/>
  <c r="AE75" i="1"/>
  <c r="AF70" i="1"/>
  <c r="AG65" i="1"/>
  <c r="AE43" i="1"/>
  <c r="AF38" i="1"/>
  <c r="AG33" i="1"/>
  <c r="AE85" i="1"/>
  <c r="AF80" i="1"/>
  <c r="AG75" i="1"/>
  <c r="AE53" i="1"/>
  <c r="AF48" i="1"/>
  <c r="AG43" i="1"/>
  <c r="AE20" i="1"/>
  <c r="AF15" i="1"/>
  <c r="AJ15" i="1"/>
  <c r="AG10" i="1"/>
  <c r="AF14" i="1"/>
  <c r="AE10" i="1"/>
  <c r="AF12" i="1"/>
  <c r="AG52" i="1"/>
  <c r="AF33" i="1"/>
  <c r="AE11" i="1"/>
  <c r="AF41" i="1"/>
  <c r="AG15" i="1"/>
  <c r="AG32" i="1"/>
  <c r="AE84" i="1"/>
  <c r="AF79" i="1"/>
  <c r="AG74" i="1"/>
  <c r="AE48" i="1"/>
  <c r="AF43" i="1"/>
  <c r="AJ43" i="1"/>
  <c r="AG38" i="1"/>
  <c r="AE79" i="1"/>
  <c r="AF74" i="1"/>
  <c r="AG69" i="1"/>
  <c r="AE47" i="1"/>
  <c r="AF42" i="1"/>
  <c r="AG37" i="1"/>
  <c r="AE89" i="1"/>
  <c r="AF84" i="1"/>
  <c r="AG79" i="1"/>
  <c r="AK79" i="1"/>
  <c r="AE57" i="1"/>
  <c r="AF52" i="1"/>
  <c r="AG47" i="1"/>
  <c r="AG40" i="1"/>
  <c r="AE24" i="1"/>
  <c r="AF19" i="1"/>
  <c r="AG14" i="1"/>
  <c r="AK14" i="1"/>
  <c r="AG9" i="1"/>
  <c r="AG13" i="1"/>
  <c r="AG76" i="1"/>
  <c r="AG68" i="1"/>
  <c r="AF49" i="1"/>
  <c r="AE13" i="1"/>
  <c r="AG48" i="1"/>
  <c r="AK48" i="1"/>
  <c r="AF30" i="1"/>
  <c r="AE25" i="1"/>
  <c r="AE88" i="1"/>
  <c r="AF83" i="1"/>
  <c r="AG78" i="1"/>
  <c r="AE52" i="1"/>
  <c r="AI52" i="1"/>
  <c r="AF47" i="1"/>
  <c r="AJ47" i="1"/>
  <c r="AG42" i="1"/>
  <c r="AE83" i="1"/>
  <c r="AF78" i="1"/>
  <c r="AG73" i="1"/>
  <c r="AE51" i="1"/>
  <c r="AF46" i="1"/>
  <c r="AG41" i="1"/>
  <c r="AE93" i="1"/>
  <c r="AF88" i="1"/>
  <c r="AG83" i="1"/>
  <c r="AK83" i="1"/>
  <c r="AE61" i="1"/>
  <c r="AF56" i="1"/>
  <c r="AG51" i="1"/>
  <c r="AG56" i="1"/>
  <c r="AF37" i="1"/>
  <c r="AF23" i="1"/>
  <c r="AG18" i="1"/>
  <c r="AE70" i="1"/>
  <c r="AI70" i="1"/>
  <c r="AF20" i="1"/>
  <c r="AJ20" i="1"/>
  <c r="AF65" i="1"/>
  <c r="AE46" i="1"/>
  <c r="AE92" i="1"/>
  <c r="AF87" i="1"/>
  <c r="AG82" i="1"/>
  <c r="AE56" i="1"/>
  <c r="AI56" i="1"/>
  <c r="AF51" i="1"/>
  <c r="AJ51" i="1"/>
  <c r="AG46" i="1"/>
  <c r="AK46" i="1"/>
  <c r="AE87" i="1"/>
  <c r="AF82" i="1"/>
  <c r="AG77" i="1"/>
  <c r="AE55" i="1"/>
  <c r="AF50" i="1"/>
  <c r="AG45" i="1"/>
  <c r="AE86" i="1"/>
  <c r="AF92" i="1"/>
  <c r="AG87" i="1"/>
  <c r="AK87" i="1"/>
  <c r="AE65" i="1"/>
  <c r="AI65" i="1"/>
  <c r="AF60" i="1"/>
  <c r="AG55" i="1"/>
  <c r="AE33" i="1"/>
  <c r="AI33" i="1"/>
  <c r="AG72" i="1"/>
  <c r="AF53" i="1"/>
  <c r="AE34" i="1"/>
  <c r="AG22" i="1"/>
  <c r="AG60" i="1"/>
  <c r="AE62" i="1"/>
  <c r="AG28" i="1"/>
  <c r="AE23" i="1"/>
  <c r="AF18" i="1"/>
  <c r="AJ18" i="1"/>
  <c r="AF73" i="1"/>
  <c r="AG80" i="1"/>
  <c r="AK80" i="1"/>
  <c r="AF61" i="1"/>
  <c r="AE42" i="1"/>
  <c r="AI42" i="1"/>
  <c r="AF28" i="1"/>
  <c r="AE18" i="1"/>
  <c r="AF13" i="1"/>
  <c r="AJ13" i="1"/>
  <c r="AF57" i="1"/>
  <c r="AG19" i="1"/>
  <c r="AK19" i="1"/>
  <c r="AF91" i="1"/>
  <c r="AG86" i="1"/>
  <c r="AE60" i="1"/>
  <c r="AI60" i="1"/>
  <c r="AF55" i="1"/>
  <c r="AJ55" i="1"/>
  <c r="AG50" i="1"/>
  <c r="AE28" i="1"/>
  <c r="AI28" i="1"/>
  <c r="AE91" i="1"/>
  <c r="AF86" i="1"/>
  <c r="AJ86" i="1"/>
  <c r="AG81" i="1"/>
  <c r="AE59" i="1"/>
  <c r="AF54" i="1"/>
  <c r="AG49" i="1"/>
  <c r="AK49" i="1"/>
  <c r="AE90" i="1"/>
  <c r="AF85" i="1"/>
  <c r="AG91" i="1"/>
  <c r="AK91" i="1"/>
  <c r="AE69" i="1"/>
  <c r="AI69" i="1"/>
  <c r="AF64" i="1"/>
  <c r="AG59" i="1"/>
  <c r="AE37" i="1"/>
  <c r="AI37" i="1"/>
  <c r="AF32" i="1"/>
  <c r="AJ32" i="1"/>
  <c r="AF69" i="1"/>
  <c r="AE50" i="1"/>
  <c r="AI50" i="1"/>
  <c r="AE54" i="1"/>
  <c r="AF81" i="1"/>
  <c r="AG27" i="1"/>
  <c r="AF22" i="1"/>
  <c r="AG17" i="1"/>
  <c r="AI17" i="1"/>
  <c r="AF77" i="1"/>
  <c r="AE58" i="1"/>
  <c r="AE27" i="1"/>
  <c r="AE22" i="1"/>
  <c r="AI22" i="1"/>
  <c r="AG90" i="1"/>
  <c r="AK90" i="1"/>
  <c r="AE68" i="1"/>
  <c r="AE64" i="1"/>
  <c r="AF59" i="1"/>
  <c r="AJ59" i="1"/>
  <c r="AG54" i="1"/>
  <c r="AK54" i="1"/>
  <c r="AE32" i="1"/>
  <c r="AF27" i="1"/>
  <c r="AJ27" i="1"/>
  <c r="AF90" i="1"/>
  <c r="AG85" i="1"/>
  <c r="AK85" i="1"/>
  <c r="AE63" i="1"/>
  <c r="AF58" i="1"/>
  <c r="AG53" i="1"/>
  <c r="AK53" i="1"/>
  <c r="AE31" i="1"/>
  <c r="AF89" i="1"/>
  <c r="AG84" i="1"/>
  <c r="AK84" i="1"/>
  <c r="AE73" i="1"/>
  <c r="AI73" i="1"/>
  <c r="AF68" i="1"/>
  <c r="AJ68" i="1"/>
  <c r="AG63" i="1"/>
  <c r="AE41" i="1"/>
  <c r="AI41" i="1"/>
  <c r="AF36" i="1"/>
  <c r="AG31" i="1"/>
  <c r="AK31" i="1"/>
  <c r="AE66" i="1"/>
  <c r="AF10" i="1"/>
  <c r="AJ10" i="1"/>
  <c r="AE78" i="1"/>
  <c r="AI78" i="1"/>
  <c r="AF26" i="1"/>
  <c r="AG21" i="1"/>
  <c r="AK21" i="1"/>
  <c r="AF24" i="1"/>
  <c r="AJ24" i="1"/>
  <c r="AE74" i="1"/>
  <c r="AI74" i="1"/>
  <c r="AE26" i="1"/>
  <c r="AF21" i="1"/>
  <c r="AE72" i="1"/>
  <c r="AF67" i="1"/>
  <c r="AF63" i="1"/>
  <c r="AJ63" i="1"/>
  <c r="AG58" i="1"/>
  <c r="AK58" i="1"/>
  <c r="AE36" i="1"/>
  <c r="AF31" i="1"/>
  <c r="AG26" i="1"/>
  <c r="AK26" i="1"/>
  <c r="AG89" i="1"/>
  <c r="AK89" i="1"/>
  <c r="AE67" i="1"/>
  <c r="AF62" i="1"/>
  <c r="AG57" i="1"/>
  <c r="AK57" i="1"/>
  <c r="AE35" i="1"/>
  <c r="AF93" i="1"/>
  <c r="AG88" i="1"/>
  <c r="AK88" i="1"/>
  <c r="AE77" i="1"/>
  <c r="AI77" i="1"/>
  <c r="AF72" i="1"/>
  <c r="AJ72" i="1"/>
  <c r="AG67" i="1"/>
  <c r="AK67" i="1"/>
  <c r="AE45" i="1"/>
  <c r="AF40" i="1"/>
  <c r="AJ40" i="1"/>
  <c r="AG35" i="1"/>
  <c r="AE82" i="1"/>
  <c r="AI82" i="1"/>
  <c r="AE12" i="1"/>
  <c r="AF9" i="1"/>
  <c r="AE38" i="1"/>
  <c r="AI38" i="1"/>
  <c r="AG23" i="1"/>
  <c r="AK23" i="1"/>
  <c r="AF16" i="1"/>
  <c r="AG25" i="1"/>
  <c r="AK25" i="1"/>
  <c r="AE76" i="1"/>
  <c r="AF71" i="1"/>
  <c r="AG66" i="1"/>
  <c r="AK66" i="1"/>
  <c r="AG62" i="1"/>
  <c r="AK62" i="1"/>
  <c r="AE40" i="1"/>
  <c r="AF35" i="1"/>
  <c r="AJ35" i="1"/>
  <c r="AG30" i="1"/>
  <c r="AG93" i="1"/>
  <c r="AK93" i="1"/>
  <c r="AE71" i="1"/>
  <c r="AF66" i="1"/>
  <c r="AG61" i="1"/>
  <c r="AK61" i="1"/>
  <c r="AE39" i="1"/>
  <c r="AI39" i="1"/>
  <c r="AF34" i="1"/>
  <c r="AJ34" i="1"/>
  <c r="AG92" i="1"/>
  <c r="AK92" i="1"/>
  <c r="AE81" i="1"/>
  <c r="AI81" i="1"/>
  <c r="AF76" i="1"/>
  <c r="AJ76" i="1"/>
  <c r="AG71" i="1"/>
  <c r="AK71" i="1"/>
  <c r="AE49" i="1"/>
  <c r="AF44" i="1"/>
  <c r="AJ44" i="1"/>
  <c r="AG39" i="1"/>
  <c r="AE16" i="1"/>
  <c r="AF11" i="1"/>
  <c r="AJ11" i="1"/>
  <c r="AG12" i="1"/>
  <c r="AK12" i="1"/>
  <c r="AE30" i="1"/>
  <c r="AI30" i="1"/>
  <c r="AG36" i="1"/>
  <c r="AK36" i="1"/>
  <c r="J71" i="1"/>
  <c r="N15" i="10"/>
  <c r="AH71" i="1"/>
  <c r="AH94" i="1"/>
  <c r="AL94" i="1"/>
  <c r="N71" i="1"/>
  <c r="X71" i="1"/>
  <c r="T71" i="1"/>
  <c r="K27" i="16"/>
  <c r="K93" i="16"/>
  <c r="K31" i="16"/>
  <c r="K34" i="16"/>
  <c r="K100" i="16"/>
  <c r="K35" i="16"/>
  <c r="J88" i="16"/>
  <c r="L33" i="16"/>
  <c r="L99" i="16"/>
  <c r="S64" i="10"/>
  <c r="L32" i="16"/>
  <c r="L48" i="16"/>
  <c r="L65" i="16"/>
  <c r="L29" i="16"/>
  <c r="L95" i="16"/>
  <c r="L35" i="16"/>
  <c r="L101" i="16"/>
  <c r="L117" i="16"/>
  <c r="L133" i="16"/>
  <c r="L28" i="16"/>
  <c r="K32" i="16"/>
  <c r="L34" i="16"/>
  <c r="L100" i="16"/>
  <c r="T66" i="10"/>
  <c r="U66" i="10"/>
  <c r="V66" i="10"/>
  <c r="K30" i="16"/>
  <c r="K96" i="16"/>
  <c r="K29" i="16"/>
  <c r="K95" i="16"/>
  <c r="K28" i="16"/>
  <c r="K94" i="16"/>
  <c r="K33" i="16"/>
  <c r="K99" i="16"/>
  <c r="I89" i="16"/>
  <c r="K22" i="16"/>
  <c r="K23" i="16"/>
  <c r="G78" i="16"/>
  <c r="G88" i="16"/>
  <c r="L51" i="16"/>
  <c r="L68" i="16"/>
  <c r="L47" i="16"/>
  <c r="L64" i="16"/>
  <c r="G34" i="16"/>
  <c r="G100" i="16"/>
  <c r="L38" i="16"/>
  <c r="L39" i="16"/>
  <c r="K38" i="16"/>
  <c r="M26" i="22"/>
  <c r="L94" i="16"/>
  <c r="AI49" i="1"/>
  <c r="AJ66" i="1"/>
  <c r="AJ71" i="1"/>
  <c r="AJ93" i="1"/>
  <c r="AI36" i="1"/>
  <c r="AJ58" i="1"/>
  <c r="AI64" i="1"/>
  <c r="AK64" i="1"/>
  <c r="AJ22" i="1"/>
  <c r="AK59" i="1"/>
  <c r="AI59" i="1"/>
  <c r="AK86" i="1"/>
  <c r="AJ61" i="1"/>
  <c r="AK22" i="1"/>
  <c r="AI87" i="1"/>
  <c r="AJ65" i="1"/>
  <c r="AJ56" i="1"/>
  <c r="AK73" i="1"/>
  <c r="AI88" i="1"/>
  <c r="AK13" i="1"/>
  <c r="AI57" i="1"/>
  <c r="AJ74" i="1"/>
  <c r="AK32" i="1"/>
  <c r="AI14" i="1"/>
  <c r="AJ14" i="1"/>
  <c r="AJ80" i="1"/>
  <c r="AK34" i="1"/>
  <c r="Y34" i="1"/>
  <c r="Z34" i="1"/>
  <c r="Z73" i="1"/>
  <c r="Y53" i="1"/>
  <c r="AA53" i="1"/>
  <c r="Z74" i="1"/>
  <c r="Y67" i="1"/>
  <c r="Z15" i="1"/>
  <c r="Z76" i="1"/>
  <c r="AA13" i="1"/>
  <c r="Y40" i="1"/>
  <c r="AA40" i="1"/>
  <c r="Z40" i="1"/>
  <c r="Z61" i="1"/>
  <c r="Z88" i="1"/>
  <c r="AA59" i="1"/>
  <c r="Z78" i="1"/>
  <c r="W119" i="1"/>
  <c r="W113" i="1"/>
  <c r="W94" i="1"/>
  <c r="W111" i="1"/>
  <c r="W117" i="1"/>
  <c r="W114" i="1"/>
  <c r="AA114" i="1"/>
  <c r="W99" i="1"/>
  <c r="W112" i="1"/>
  <c r="W118" i="1"/>
  <c r="W120" i="1"/>
  <c r="W101" i="1"/>
  <c r="AA9" i="1"/>
  <c r="W103" i="1"/>
  <c r="W105" i="1"/>
  <c r="W121" i="1"/>
  <c r="W100" i="1"/>
  <c r="W98" i="1"/>
  <c r="W102" i="1"/>
  <c r="W115" i="1"/>
  <c r="W116" i="1"/>
  <c r="W104" i="1"/>
  <c r="P44" i="1"/>
  <c r="AO44" i="1"/>
  <c r="AN36" i="1"/>
  <c r="O36" i="1"/>
  <c r="AO75" i="1"/>
  <c r="P75" i="1"/>
  <c r="AN91" i="1"/>
  <c r="O91" i="1"/>
  <c r="O30" i="1"/>
  <c r="AN30" i="1"/>
  <c r="Q36" i="1"/>
  <c r="AP36" i="1"/>
  <c r="O72" i="1"/>
  <c r="AN72" i="1"/>
  <c r="AP78" i="1"/>
  <c r="Q78" i="1"/>
  <c r="L104" i="1"/>
  <c r="L117" i="1"/>
  <c r="L98" i="1"/>
  <c r="L120" i="1"/>
  <c r="L105" i="1"/>
  <c r="L100" i="1"/>
  <c r="L113" i="1"/>
  <c r="L116" i="1"/>
  <c r="L103" i="1"/>
  <c r="P103" i="1"/>
  <c r="P9" i="1"/>
  <c r="L102" i="1"/>
  <c r="L99" i="1"/>
  <c r="L101" i="1"/>
  <c r="L119" i="1"/>
  <c r="L118" i="1"/>
  <c r="L112" i="1"/>
  <c r="AO9" i="1"/>
  <c r="L114" i="1"/>
  <c r="L94" i="1"/>
  <c r="L111" i="1"/>
  <c r="L115" i="1"/>
  <c r="L121" i="1"/>
  <c r="AO46" i="1"/>
  <c r="P46" i="1"/>
  <c r="AN73" i="1"/>
  <c r="O73" i="1"/>
  <c r="Q71" i="1"/>
  <c r="AP71" i="1"/>
  <c r="P18" i="1"/>
  <c r="AO18" i="1"/>
  <c r="AP38" i="1"/>
  <c r="Q38" i="1"/>
  <c r="P62" i="1"/>
  <c r="AO62" i="1"/>
  <c r="AO90" i="1"/>
  <c r="P90" i="1"/>
  <c r="AO32" i="1"/>
  <c r="P32" i="1"/>
  <c r="AN58" i="1"/>
  <c r="O58" i="1"/>
  <c r="AP65" i="1"/>
  <c r="Q65" i="1"/>
  <c r="AO24" i="1"/>
  <c r="P24" i="1"/>
  <c r="Q40" i="1"/>
  <c r="AP40" i="1"/>
  <c r="P64" i="1"/>
  <c r="AO64" i="1"/>
  <c r="AO88" i="1"/>
  <c r="P88" i="1"/>
  <c r="O27" i="1"/>
  <c r="AN27" i="1"/>
  <c r="AN55" i="1"/>
  <c r="O55" i="1"/>
  <c r="P81" i="1"/>
  <c r="AP90" i="1"/>
  <c r="Q90" i="1"/>
  <c r="O29" i="1"/>
  <c r="AN29" i="1"/>
  <c r="AP50" i="1"/>
  <c r="Q50" i="1"/>
  <c r="P58" i="1"/>
  <c r="AO58" i="1"/>
  <c r="O84" i="1"/>
  <c r="AN84" i="1"/>
  <c r="AN13" i="1"/>
  <c r="O13" i="1"/>
  <c r="AJ9" i="1"/>
  <c r="AI9" i="1"/>
  <c r="AF116" i="1"/>
  <c r="AF118" i="1"/>
  <c r="AF113" i="1"/>
  <c r="AF115" i="1"/>
  <c r="AF114" i="1"/>
  <c r="AF117" i="1"/>
  <c r="AF119" i="1"/>
  <c r="AF100" i="1"/>
  <c r="AF103" i="1"/>
  <c r="AF112" i="1"/>
  <c r="AF101" i="1"/>
  <c r="AJ101" i="1"/>
  <c r="AF111" i="1"/>
  <c r="AF94" i="1"/>
  <c r="AF104" i="1"/>
  <c r="AF121" i="1"/>
  <c r="AF99" i="1"/>
  <c r="AF120" i="1"/>
  <c r="AF98" i="1"/>
  <c r="AF105" i="1"/>
  <c r="AJ105" i="1"/>
  <c r="AF102" i="1"/>
  <c r="AJ77" i="1"/>
  <c r="K101" i="16"/>
  <c r="K117" i="16"/>
  <c r="K133" i="16"/>
  <c r="K51" i="16"/>
  <c r="K68" i="16"/>
  <c r="K48" i="16"/>
  <c r="K65" i="16"/>
  <c r="K47" i="16"/>
  <c r="K64" i="16"/>
  <c r="AI71" i="1"/>
  <c r="AI76" i="1"/>
  <c r="AK35" i="1"/>
  <c r="AI35" i="1"/>
  <c r="AK63" i="1"/>
  <c r="AI63" i="1"/>
  <c r="AI68" i="1"/>
  <c r="AK27" i="1"/>
  <c r="AJ64" i="1"/>
  <c r="AK81" i="1"/>
  <c r="AJ91" i="1"/>
  <c r="AI34" i="1"/>
  <c r="AJ92" i="1"/>
  <c r="AI61" i="1"/>
  <c r="AJ78" i="1"/>
  <c r="AI25" i="1"/>
  <c r="AJ25" i="1"/>
  <c r="AK9" i="1"/>
  <c r="AG98" i="1"/>
  <c r="AG116" i="1"/>
  <c r="AG118" i="1"/>
  <c r="AG114" i="1"/>
  <c r="AG121" i="1"/>
  <c r="AG120" i="1"/>
  <c r="AK120" i="1"/>
  <c r="AG113" i="1"/>
  <c r="AG119" i="1"/>
  <c r="AG103" i="1"/>
  <c r="AG100" i="1"/>
  <c r="AG111" i="1"/>
  <c r="AG115" i="1"/>
  <c r="AG104" i="1"/>
  <c r="AG99" i="1"/>
  <c r="AK99" i="1"/>
  <c r="AG94" i="1"/>
  <c r="AG102" i="1"/>
  <c r="AG101" i="1"/>
  <c r="AG117" i="1"/>
  <c r="AG105" i="1"/>
  <c r="AG112" i="1"/>
  <c r="AI79" i="1"/>
  <c r="AK15" i="1"/>
  <c r="AK10" i="1"/>
  <c r="AI85" i="1"/>
  <c r="AJ39" i="1"/>
  <c r="Z19" i="1"/>
  <c r="Y42" i="1"/>
  <c r="Z42" i="1"/>
  <c r="Z81" i="1"/>
  <c r="U113" i="1"/>
  <c r="U117" i="1"/>
  <c r="U103" i="1"/>
  <c r="U105" i="1"/>
  <c r="U101" i="1"/>
  <c r="U111" i="1"/>
  <c r="U121" i="1"/>
  <c r="U118" i="1"/>
  <c r="U100" i="1"/>
  <c r="U119" i="1"/>
  <c r="Y119" i="1"/>
  <c r="U94" i="1"/>
  <c r="U116" i="1"/>
  <c r="U104" i="1"/>
  <c r="Y9" i="1"/>
  <c r="U102" i="1"/>
  <c r="U120" i="1"/>
  <c r="U112" i="1"/>
  <c r="U114" i="1"/>
  <c r="U98" i="1"/>
  <c r="U115" i="1"/>
  <c r="U99" i="1"/>
  <c r="Y99" i="1"/>
  <c r="AA82" i="1"/>
  <c r="Y82" i="1"/>
  <c r="Y10" i="1"/>
  <c r="Y75" i="1"/>
  <c r="Z23" i="1"/>
  <c r="AA63" i="1"/>
  <c r="Y32" i="1"/>
  <c r="Z32" i="1"/>
  <c r="AA32" i="1"/>
  <c r="Z48" i="1"/>
  <c r="AA48" i="1"/>
  <c r="Y48" i="1"/>
  <c r="Z69" i="1"/>
  <c r="V98" i="1"/>
  <c r="V121" i="1"/>
  <c r="Z121" i="1"/>
  <c r="V119" i="1"/>
  <c r="V112" i="1"/>
  <c r="Z112" i="1"/>
  <c r="V99" i="1"/>
  <c r="V114" i="1"/>
  <c r="V118" i="1"/>
  <c r="Z118" i="1"/>
  <c r="V115" i="1"/>
  <c r="Z115" i="1"/>
  <c r="V101" i="1"/>
  <c r="Z101" i="1"/>
  <c r="V104" i="1"/>
  <c r="Z104" i="1"/>
  <c r="V94" i="1"/>
  <c r="Z94" i="1"/>
  <c r="V105" i="1"/>
  <c r="Z105" i="1"/>
  <c r="V120" i="1"/>
  <c r="Z120" i="1"/>
  <c r="V100" i="1"/>
  <c r="Z100" i="1"/>
  <c r="V113" i="1"/>
  <c r="Z113" i="1"/>
  <c r="V103" i="1"/>
  <c r="Z103" i="1"/>
  <c r="V117" i="1"/>
  <c r="Z117" i="1"/>
  <c r="V102" i="1"/>
  <c r="Z102" i="1"/>
  <c r="Z9" i="1"/>
  <c r="V116" i="1"/>
  <c r="Z116" i="1"/>
  <c r="V111" i="1"/>
  <c r="Y86" i="1"/>
  <c r="AA65" i="1"/>
  <c r="Y14" i="1"/>
  <c r="P52" i="1"/>
  <c r="AO52" i="1"/>
  <c r="AN44" i="1"/>
  <c r="O44" i="1"/>
  <c r="AP92" i="1"/>
  <c r="Q92" i="1"/>
  <c r="AP21" i="1"/>
  <c r="Q21" i="1"/>
  <c r="Q44" i="1"/>
  <c r="AP44" i="1"/>
  <c r="O80" i="1"/>
  <c r="AN80" i="1"/>
  <c r="AO86" i="1"/>
  <c r="P86" i="1"/>
  <c r="AO19" i="1"/>
  <c r="P19" i="1"/>
  <c r="AP29" i="1"/>
  <c r="Q29" i="1"/>
  <c r="AP79" i="1"/>
  <c r="Q79" i="1"/>
  <c r="AN23" i="1"/>
  <c r="O23" i="1"/>
  <c r="AP46" i="1"/>
  <c r="Q46" i="1"/>
  <c r="P70" i="1"/>
  <c r="AO70" i="1"/>
  <c r="P22" i="1"/>
  <c r="AO22" i="1"/>
  <c r="P40" i="1"/>
  <c r="AO40" i="1"/>
  <c r="O67" i="1"/>
  <c r="AN67" i="1"/>
  <c r="Q73" i="1"/>
  <c r="AP73" i="1"/>
  <c r="AP17" i="1"/>
  <c r="Q17" i="1"/>
  <c r="Q48" i="1"/>
  <c r="AP48" i="1"/>
  <c r="AO72" i="1"/>
  <c r="P72" i="1"/>
  <c r="P92" i="1"/>
  <c r="AO92" i="1"/>
  <c r="P26" i="1"/>
  <c r="AO26" i="1"/>
  <c r="O42" i="1"/>
  <c r="AN42" i="1"/>
  <c r="AP59" i="1"/>
  <c r="Q59" i="1"/>
  <c r="M105" i="1"/>
  <c r="M117" i="1"/>
  <c r="M116" i="1"/>
  <c r="M101" i="1"/>
  <c r="M118" i="1"/>
  <c r="AP9" i="1"/>
  <c r="M103" i="1"/>
  <c r="M121" i="1"/>
  <c r="M102" i="1"/>
  <c r="M99" i="1"/>
  <c r="M120" i="1"/>
  <c r="M94" i="1"/>
  <c r="M112" i="1"/>
  <c r="M100" i="1"/>
  <c r="M113" i="1"/>
  <c r="M114" i="1"/>
  <c r="Q9" i="1"/>
  <c r="M98" i="1"/>
  <c r="M119" i="1"/>
  <c r="M104" i="1"/>
  <c r="M115" i="1"/>
  <c r="M111" i="1"/>
  <c r="P27" i="1"/>
  <c r="AO27" i="1"/>
  <c r="AN57" i="1"/>
  <c r="O57" i="1"/>
  <c r="P66" i="1"/>
  <c r="AO66" i="1"/>
  <c r="O89" i="1"/>
  <c r="O28" i="1"/>
  <c r="AN28" i="1"/>
  <c r="AK39" i="1"/>
  <c r="AI26" i="1"/>
  <c r="AJ26" i="1"/>
  <c r="AJ81" i="1"/>
  <c r="AJ73" i="1"/>
  <c r="AJ53" i="1"/>
  <c r="AI86" i="1"/>
  <c r="AI83" i="1"/>
  <c r="AJ30" i="1"/>
  <c r="AJ84" i="1"/>
  <c r="AK38" i="1"/>
  <c r="AJ41" i="1"/>
  <c r="AK33" i="1"/>
  <c r="AI44" i="1"/>
  <c r="AK44" i="1"/>
  <c r="Y50" i="1"/>
  <c r="Z50" i="1"/>
  <c r="Z30" i="1"/>
  <c r="Y30" i="1"/>
  <c r="AA30" i="1"/>
  <c r="Y58" i="1"/>
  <c r="AA58" i="1"/>
  <c r="AA86" i="1"/>
  <c r="AA15" i="1"/>
  <c r="AA71" i="1"/>
  <c r="Z16" i="1"/>
  <c r="AA57" i="1"/>
  <c r="Z77" i="1"/>
  <c r="Y13" i="1"/>
  <c r="Y62" i="1"/>
  <c r="AA62" i="1"/>
  <c r="AA73" i="1"/>
  <c r="Q27" i="1"/>
  <c r="AP27" i="1"/>
  <c r="AN52" i="1"/>
  <c r="O52" i="1"/>
  <c r="AP53" i="1"/>
  <c r="Q53" i="1"/>
  <c r="AP13" i="1"/>
  <c r="Q13" i="1"/>
  <c r="O33" i="1"/>
  <c r="AN33" i="1"/>
  <c r="AP52" i="1"/>
  <c r="Q52" i="1"/>
  <c r="AO60" i="1"/>
  <c r="P60" i="1"/>
  <c r="Q83" i="1"/>
  <c r="AN15" i="1"/>
  <c r="O15" i="1"/>
  <c r="AP37" i="1"/>
  <c r="Q37" i="1"/>
  <c r="AP84" i="1"/>
  <c r="Q84" i="1"/>
  <c r="P84" i="1"/>
  <c r="AO84" i="1"/>
  <c r="O34" i="1"/>
  <c r="AN34" i="1"/>
  <c r="AN39" i="1"/>
  <c r="O39" i="1"/>
  <c r="AO78" i="1"/>
  <c r="P78" i="1"/>
  <c r="P11" i="1"/>
  <c r="AO11" i="1"/>
  <c r="P48" i="1"/>
  <c r="AO48" i="1"/>
  <c r="O75" i="1"/>
  <c r="AN75" i="1"/>
  <c r="Q81" i="1"/>
  <c r="Q25" i="1"/>
  <c r="AP25" i="1"/>
  <c r="AN41" i="1"/>
  <c r="O41" i="1"/>
  <c r="AO80" i="1"/>
  <c r="P80" i="1"/>
  <c r="AP11" i="1"/>
  <c r="Q11" i="1"/>
  <c r="AO34" i="1"/>
  <c r="P34" i="1"/>
  <c r="O50" i="1"/>
  <c r="AN50" i="1"/>
  <c r="AP67" i="1"/>
  <c r="Q67" i="1"/>
  <c r="AP14" i="1"/>
  <c r="Q14" i="1"/>
  <c r="AO35" i="1"/>
  <c r="P35" i="1"/>
  <c r="AN35" i="1"/>
  <c r="O35" i="1"/>
  <c r="P74" i="1"/>
  <c r="AO74" i="1"/>
  <c r="O90" i="1"/>
  <c r="AN90" i="1"/>
  <c r="AP20" i="1"/>
  <c r="Q20" i="1"/>
  <c r="I71" i="4"/>
  <c r="K71" i="5"/>
  <c r="K9" i="8"/>
  <c r="T104" i="1"/>
  <c r="T101" i="1"/>
  <c r="T98" i="1"/>
  <c r="T117" i="1"/>
  <c r="T114" i="1"/>
  <c r="T105" i="1"/>
  <c r="T100" i="1"/>
  <c r="T103" i="1"/>
  <c r="T121" i="1"/>
  <c r="T116" i="1"/>
  <c r="T102" i="1"/>
  <c r="T111" i="1"/>
  <c r="T99" i="1"/>
  <c r="T119" i="1"/>
  <c r="T118" i="1"/>
  <c r="T115" i="1"/>
  <c r="T94" i="1"/>
  <c r="T113" i="1"/>
  <c r="T112" i="1"/>
  <c r="T120" i="1"/>
  <c r="AK30" i="1"/>
  <c r="AJ16" i="1"/>
  <c r="AI45" i="1"/>
  <c r="AJ45" i="1"/>
  <c r="AJ62" i="1"/>
  <c r="AJ67" i="1"/>
  <c r="AJ90" i="1"/>
  <c r="AI54" i="1"/>
  <c r="AI91" i="1"/>
  <c r="AJ57" i="1"/>
  <c r="AK72" i="1"/>
  <c r="AK45" i="1"/>
  <c r="AK18" i="1"/>
  <c r="AJ88" i="1"/>
  <c r="AK42" i="1"/>
  <c r="AI19" i="1"/>
  <c r="AJ19" i="1"/>
  <c r="AI89" i="1"/>
  <c r="AI11" i="1"/>
  <c r="AK20" i="1"/>
  <c r="AI20" i="1"/>
  <c r="AJ38" i="1"/>
  <c r="AK70" i="1"/>
  <c r="H89" i="16"/>
  <c r="Z63" i="1"/>
  <c r="AA29" i="1"/>
  <c r="AA35" i="1"/>
  <c r="Z35" i="1"/>
  <c r="Y35" i="1"/>
  <c r="Z64" i="1"/>
  <c r="Z90" i="1"/>
  <c r="Y66" i="1"/>
  <c r="Z59" i="1"/>
  <c r="Z93" i="1"/>
  <c r="AA23" i="1"/>
  <c r="AA79" i="1"/>
  <c r="AA24" i="1"/>
  <c r="Z85" i="1"/>
  <c r="AA64" i="1"/>
  <c r="AA14" i="1"/>
  <c r="Y70" i="1"/>
  <c r="AA81" i="1"/>
  <c r="Z18" i="1"/>
  <c r="Q35" i="1"/>
  <c r="AP35" i="1"/>
  <c r="O63" i="1"/>
  <c r="AN63" i="1"/>
  <c r="AP61" i="1"/>
  <c r="Q61" i="1"/>
  <c r="AP12" i="1"/>
  <c r="Q12" i="1"/>
  <c r="P29" i="1"/>
  <c r="AO29" i="1"/>
  <c r="AN61" i="1"/>
  <c r="O61" i="1"/>
  <c r="AO68" i="1"/>
  <c r="P68" i="1"/>
  <c r="AN92" i="1"/>
  <c r="O92" i="1"/>
  <c r="AN22" i="1"/>
  <c r="O22" i="1"/>
  <c r="AP45" i="1"/>
  <c r="Q45" i="1"/>
  <c r="P61" i="1"/>
  <c r="AO61" i="1"/>
  <c r="O93" i="1"/>
  <c r="AN93" i="1"/>
  <c r="Q23" i="1"/>
  <c r="AP23" i="1"/>
  <c r="AN47" i="1"/>
  <c r="O47" i="1"/>
  <c r="AP56" i="1"/>
  <c r="Q56" i="1"/>
  <c r="AO23" i="1"/>
  <c r="P23" i="1"/>
  <c r="Q31" i="1"/>
  <c r="AP31" i="1"/>
  <c r="AO55" i="1"/>
  <c r="P55" i="1"/>
  <c r="AP86" i="1"/>
  <c r="Q86" i="1"/>
  <c r="P25" i="1"/>
  <c r="AO25" i="1"/>
  <c r="O49" i="1"/>
  <c r="AN49" i="1"/>
  <c r="Q58" i="1"/>
  <c r="AP58" i="1"/>
  <c r="Q10" i="1"/>
  <c r="AP10" i="1"/>
  <c r="P42" i="1"/>
  <c r="AO42" i="1"/>
  <c r="O69" i="1"/>
  <c r="AN69" i="1"/>
  <c r="AP75" i="1"/>
  <c r="Q75" i="1"/>
  <c r="AO14" i="1"/>
  <c r="P14" i="1"/>
  <c r="P43" i="1"/>
  <c r="AO43" i="1"/>
  <c r="AN43" i="1"/>
  <c r="O43" i="1"/>
  <c r="O82" i="1"/>
  <c r="AN82" i="1"/>
  <c r="O87" i="1"/>
  <c r="O31" i="1"/>
  <c r="AN31" i="1"/>
  <c r="J89" i="16"/>
  <c r="G69" i="18"/>
  <c r="T64" i="10"/>
  <c r="H71" i="4"/>
  <c r="J71" i="5"/>
  <c r="J115" i="1"/>
  <c r="J101" i="1"/>
  <c r="J117" i="1"/>
  <c r="J118" i="1"/>
  <c r="J120" i="1"/>
  <c r="J103" i="1"/>
  <c r="J119" i="1"/>
  <c r="J104" i="1"/>
  <c r="J112" i="1"/>
  <c r="J98" i="1"/>
  <c r="J94" i="1"/>
  <c r="J99" i="1"/>
  <c r="J105" i="1"/>
  <c r="J113" i="1"/>
  <c r="J114" i="1"/>
  <c r="J102" i="1"/>
  <c r="J111" i="1"/>
  <c r="J116" i="1"/>
  <c r="J121" i="1"/>
  <c r="J100" i="1"/>
  <c r="AI67" i="1"/>
  <c r="AI72" i="1"/>
  <c r="AI27" i="1"/>
  <c r="AJ85" i="1"/>
  <c r="AI23" i="1"/>
  <c r="AJ50" i="1"/>
  <c r="AK82" i="1"/>
  <c r="AJ23" i="1"/>
  <c r="AI93" i="1"/>
  <c r="AI13" i="1"/>
  <c r="AK24" i="1"/>
  <c r="AI24" i="1"/>
  <c r="AK37" i="1"/>
  <c r="AI48" i="1"/>
  <c r="AJ33" i="1"/>
  <c r="AK43" i="1"/>
  <c r="AI43" i="1"/>
  <c r="Z71" i="1"/>
  <c r="Z29" i="1"/>
  <c r="Y29" i="1"/>
  <c r="AA43" i="1"/>
  <c r="Z43" i="1"/>
  <c r="Y43" i="1"/>
  <c r="Z72" i="1"/>
  <c r="Y84" i="1"/>
  <c r="Z84" i="1"/>
  <c r="Z21" i="1"/>
  <c r="Y74" i="1"/>
  <c r="Z22" i="1"/>
  <c r="Z67" i="1"/>
  <c r="Y76" i="1"/>
  <c r="AA87" i="1"/>
  <c r="AA16" i="1"/>
  <c r="Y61" i="1"/>
  <c r="AA72" i="1"/>
  <c r="Z17" i="1"/>
  <c r="Y78" i="1"/>
  <c r="AA91" i="1"/>
  <c r="AA18" i="1"/>
  <c r="Q43" i="1"/>
  <c r="AP43" i="1"/>
  <c r="AN71" i="1"/>
  <c r="O71" i="1"/>
  <c r="AP69" i="1"/>
  <c r="Q69" i="1"/>
  <c r="O16" i="1"/>
  <c r="AN16" i="1"/>
  <c r="AO37" i="1"/>
  <c r="P37" i="1"/>
  <c r="O37" i="1"/>
  <c r="AN37" i="1"/>
  <c r="AO76" i="1"/>
  <c r="P76" i="1"/>
  <c r="AP88" i="1"/>
  <c r="Q88" i="1"/>
  <c r="O32" i="1"/>
  <c r="AN32" i="1"/>
  <c r="AN38" i="1"/>
  <c r="O38" i="1"/>
  <c r="P69" i="1"/>
  <c r="AO69" i="1"/>
  <c r="AO31" i="1"/>
  <c r="P31" i="1"/>
  <c r="O56" i="1"/>
  <c r="AN56" i="1"/>
  <c r="Q64" i="1"/>
  <c r="AP64" i="1"/>
  <c r="O19" i="1"/>
  <c r="AN19" i="1"/>
  <c r="AP39" i="1"/>
  <c r="Q39" i="1"/>
  <c r="AO63" i="1"/>
  <c r="P63" i="1"/>
  <c r="AO33" i="1"/>
  <c r="P33" i="1"/>
  <c r="AN60" i="1"/>
  <c r="O60" i="1"/>
  <c r="Q66" i="1"/>
  <c r="AP66" i="1"/>
  <c r="AO13" i="1"/>
  <c r="P13" i="1"/>
  <c r="AO50" i="1"/>
  <c r="P50" i="1"/>
  <c r="AN77" i="1"/>
  <c r="O77" i="1"/>
  <c r="P83" i="1"/>
  <c r="AN18" i="1"/>
  <c r="O18" i="1"/>
  <c r="P51" i="1"/>
  <c r="AO51" i="1"/>
  <c r="O51" i="1"/>
  <c r="AN51" i="1"/>
  <c r="AN86" i="1"/>
  <c r="O86" i="1"/>
  <c r="Q91" i="1"/>
  <c r="AP91" i="1"/>
  <c r="AN10" i="1"/>
  <c r="O10" i="1"/>
  <c r="AI31" i="1"/>
  <c r="O15" i="10"/>
  <c r="N16" i="10"/>
  <c r="X118" i="1"/>
  <c r="AB118" i="1"/>
  <c r="X116" i="1"/>
  <c r="AB116" i="1"/>
  <c r="X94" i="1"/>
  <c r="AB94" i="1"/>
  <c r="X103" i="1"/>
  <c r="X102" i="1"/>
  <c r="AB102" i="1"/>
  <c r="X121" i="1"/>
  <c r="AB121" i="1"/>
  <c r="X111" i="1"/>
  <c r="X120" i="1"/>
  <c r="AB120" i="1"/>
  <c r="X113" i="1"/>
  <c r="AB113" i="1"/>
  <c r="X100" i="1"/>
  <c r="AB100" i="1"/>
  <c r="X105" i="1"/>
  <c r="AB105" i="1"/>
  <c r="X99" i="1"/>
  <c r="AB99" i="1"/>
  <c r="X119" i="1"/>
  <c r="AB119" i="1"/>
  <c r="X101" i="1"/>
  <c r="AB101" i="1"/>
  <c r="X98" i="1"/>
  <c r="X112" i="1"/>
  <c r="AB112" i="1"/>
  <c r="X117" i="1"/>
  <c r="AB117" i="1"/>
  <c r="AB71" i="1"/>
  <c r="X104" i="1"/>
  <c r="AB104" i="1"/>
  <c r="X114" i="1"/>
  <c r="AB114" i="1"/>
  <c r="X115" i="1"/>
  <c r="AQ71" i="1"/>
  <c r="N104" i="1"/>
  <c r="N105" i="1"/>
  <c r="N116" i="1"/>
  <c r="N120" i="1"/>
  <c r="N102" i="1"/>
  <c r="N117" i="1"/>
  <c r="N99" i="1"/>
  <c r="N100" i="1"/>
  <c r="N101" i="1"/>
  <c r="N103" i="1"/>
  <c r="N112" i="1"/>
  <c r="N98" i="1"/>
  <c r="N119" i="1"/>
  <c r="N118" i="1"/>
  <c r="N114" i="1"/>
  <c r="N115" i="1"/>
  <c r="N111" i="1"/>
  <c r="N121" i="1"/>
  <c r="R71" i="1"/>
  <c r="N113" i="1"/>
  <c r="N94" i="1"/>
  <c r="AI16" i="1"/>
  <c r="AK16" i="1"/>
  <c r="AI40" i="1"/>
  <c r="AJ21" i="1"/>
  <c r="AI21" i="1"/>
  <c r="AI66" i="1"/>
  <c r="AJ89" i="1"/>
  <c r="AI32" i="1"/>
  <c r="AI58" i="1"/>
  <c r="AJ69" i="1"/>
  <c r="AI90" i="1"/>
  <c r="AK50" i="1"/>
  <c r="AI18" i="1"/>
  <c r="AK28" i="1"/>
  <c r="AK55" i="1"/>
  <c r="AI55" i="1"/>
  <c r="AJ87" i="1"/>
  <c r="AJ37" i="1"/>
  <c r="AK41" i="1"/>
  <c r="AJ49" i="1"/>
  <c r="AK40" i="1"/>
  <c r="AJ42" i="1"/>
  <c r="AK74" i="1"/>
  <c r="AK52" i="1"/>
  <c r="AJ48" i="1"/>
  <c r="AK65" i="1"/>
  <c r="AI80" i="1"/>
  <c r="Z79" i="1"/>
  <c r="Z37" i="1"/>
  <c r="AA37" i="1"/>
  <c r="Y37" i="1"/>
  <c r="Z51" i="1"/>
  <c r="AA51" i="1"/>
  <c r="Y51" i="1"/>
  <c r="Z80" i="1"/>
  <c r="AA26" i="1"/>
  <c r="AA84" i="1"/>
  <c r="AA21" i="1"/>
  <c r="AA85" i="1"/>
  <c r="Y93" i="1"/>
  <c r="AA22" i="1"/>
  <c r="Z75" i="1"/>
  <c r="Y11" i="1"/>
  <c r="Y87" i="1"/>
  <c r="Y20" i="1"/>
  <c r="Z31" i="1"/>
  <c r="Y31" i="1"/>
  <c r="Y69" i="1"/>
  <c r="AA80" i="1"/>
  <c r="AA17" i="1"/>
  <c r="Y54" i="1"/>
  <c r="Z54" i="1"/>
  <c r="AA54" i="1"/>
  <c r="Z89" i="1"/>
  <c r="Z27" i="1"/>
  <c r="AA27" i="1"/>
  <c r="Y27" i="1"/>
  <c r="Q51" i="1"/>
  <c r="AP51" i="1"/>
  <c r="AN79" i="1"/>
  <c r="O79" i="1"/>
  <c r="AP77" i="1"/>
  <c r="Q77" i="1"/>
  <c r="AN25" i="1"/>
  <c r="O25" i="1"/>
  <c r="AO45" i="1"/>
  <c r="P45" i="1"/>
  <c r="O45" i="1"/>
  <c r="AN45" i="1"/>
  <c r="AP54" i="1"/>
  <c r="Q54" i="1"/>
  <c r="Q93" i="1"/>
  <c r="AP93" i="1"/>
  <c r="AP22" i="1"/>
  <c r="Q22" i="1"/>
  <c r="AN46" i="1"/>
  <c r="O46" i="1"/>
  <c r="AO77" i="1"/>
  <c r="P77" i="1"/>
  <c r="Q15" i="1"/>
  <c r="AP15" i="1"/>
  <c r="AO39" i="1"/>
  <c r="P39" i="1"/>
  <c r="O66" i="1"/>
  <c r="AN66" i="1"/>
  <c r="AP72" i="1"/>
  <c r="Q72" i="1"/>
  <c r="O24" i="1"/>
  <c r="AN24" i="1"/>
  <c r="Q47" i="1"/>
  <c r="AP47" i="1"/>
  <c r="AO71" i="1"/>
  <c r="P71" i="1"/>
  <c r="P91" i="1"/>
  <c r="AO91" i="1"/>
  <c r="AO41" i="1"/>
  <c r="P41" i="1"/>
  <c r="O68" i="1"/>
  <c r="AN68" i="1"/>
  <c r="Q74" i="1"/>
  <c r="AP74" i="1"/>
  <c r="AO17" i="1"/>
  <c r="P17" i="1"/>
  <c r="Q33" i="1"/>
  <c r="AP33" i="1"/>
  <c r="AO57" i="1"/>
  <c r="P57" i="1"/>
  <c r="O88" i="1"/>
  <c r="AN88" i="1"/>
  <c r="AN12" i="1"/>
  <c r="O12" i="1"/>
  <c r="Q26" i="1"/>
  <c r="AP26" i="1"/>
  <c r="O62" i="1"/>
  <c r="AN62" i="1"/>
  <c r="AP60" i="1"/>
  <c r="Q60" i="1"/>
  <c r="P20" i="1"/>
  <c r="AO20" i="1"/>
  <c r="L78" i="16"/>
  <c r="L22" i="16"/>
  <c r="L23" i="16"/>
  <c r="AD123" i="1"/>
  <c r="AJ28" i="1"/>
  <c r="AI62" i="1"/>
  <c r="AJ60" i="1"/>
  <c r="AK77" i="1"/>
  <c r="AI92" i="1"/>
  <c r="AK56" i="1"/>
  <c r="AJ46" i="1"/>
  <c r="AK78" i="1"/>
  <c r="AK68" i="1"/>
  <c r="AK47" i="1"/>
  <c r="AI47" i="1"/>
  <c r="AJ79" i="1"/>
  <c r="AJ12" i="1"/>
  <c r="AI53" i="1"/>
  <c r="AJ70" i="1"/>
  <c r="L94" i="5"/>
  <c r="J34" i="16"/>
  <c r="J100" i="16"/>
  <c r="AA55" i="1"/>
  <c r="Y55" i="1"/>
  <c r="Y45" i="1"/>
  <c r="Z45" i="1"/>
  <c r="Y56" i="1"/>
  <c r="AA56" i="1"/>
  <c r="Z20" i="1"/>
  <c r="Z57" i="1"/>
  <c r="Y92" i="1"/>
  <c r="AA33" i="1"/>
  <c r="Z33" i="1"/>
  <c r="Y33" i="1"/>
  <c r="Z58" i="1"/>
  <c r="Z92" i="1"/>
  <c r="AA83" i="1"/>
  <c r="Y83" i="1"/>
  <c r="AA12" i="1"/>
  <c r="Y60" i="1"/>
  <c r="AA60" i="1"/>
  <c r="Z60" i="1"/>
  <c r="Y12" i="1"/>
  <c r="AA39" i="1"/>
  <c r="Z39" i="1"/>
  <c r="Y39" i="1"/>
  <c r="Y77" i="1"/>
  <c r="AA90" i="1"/>
  <c r="Z25" i="1"/>
  <c r="AA25" i="1"/>
  <c r="Y25" i="1"/>
  <c r="Z62" i="1"/>
  <c r="AA88" i="1"/>
  <c r="AO28" i="1"/>
  <c r="P28" i="1"/>
  <c r="O59" i="1"/>
  <c r="AN59" i="1"/>
  <c r="AO59" i="1"/>
  <c r="P59" i="1"/>
  <c r="O85" i="1"/>
  <c r="AN85" i="1"/>
  <c r="O14" i="1"/>
  <c r="AN14" i="1"/>
  <c r="P53" i="1"/>
  <c r="AO53" i="1"/>
  <c r="O53" i="1"/>
  <c r="AN53" i="1"/>
  <c r="AP62" i="1"/>
  <c r="Q62" i="1"/>
  <c r="AO16" i="1"/>
  <c r="P16" i="1"/>
  <c r="AO30" i="1"/>
  <c r="P30" i="1"/>
  <c r="AO54" i="1"/>
  <c r="P54" i="1"/>
  <c r="Q55" i="1"/>
  <c r="AP55" i="1"/>
  <c r="AO10" i="1"/>
  <c r="P10" i="1"/>
  <c r="AO47" i="1"/>
  <c r="P47" i="1"/>
  <c r="AN74" i="1"/>
  <c r="O74" i="1"/>
  <c r="Q80" i="1"/>
  <c r="AP80" i="1"/>
  <c r="AP16" i="1"/>
  <c r="Q16" i="1"/>
  <c r="O40" i="1"/>
  <c r="AN40" i="1"/>
  <c r="P79" i="1"/>
  <c r="AO79" i="1"/>
  <c r="K118" i="1"/>
  <c r="K114" i="1"/>
  <c r="K117" i="1"/>
  <c r="O117" i="1"/>
  <c r="K105" i="1"/>
  <c r="K94" i="1"/>
  <c r="K103" i="1"/>
  <c r="K121" i="1"/>
  <c r="K100" i="1"/>
  <c r="K113" i="1"/>
  <c r="K116" i="1"/>
  <c r="O116" i="1"/>
  <c r="AN9" i="1"/>
  <c r="K104" i="1"/>
  <c r="K98" i="1"/>
  <c r="K111" i="1"/>
  <c r="O9" i="1"/>
  <c r="K112" i="1"/>
  <c r="K102" i="1"/>
  <c r="O102" i="1"/>
  <c r="K120" i="1"/>
  <c r="K119" i="1"/>
  <c r="K101" i="1"/>
  <c r="K115" i="1"/>
  <c r="K99" i="1"/>
  <c r="P49" i="1"/>
  <c r="AO49" i="1"/>
  <c r="AN76" i="1"/>
  <c r="O76" i="1"/>
  <c r="AO82" i="1"/>
  <c r="P82" i="1"/>
  <c r="O11" i="1"/>
  <c r="AN11" i="1"/>
  <c r="AP41" i="1"/>
  <c r="Q41" i="1"/>
  <c r="AO65" i="1"/>
  <c r="P65" i="1"/>
  <c r="P89" i="1"/>
  <c r="AN26" i="1"/>
  <c r="O26" i="1"/>
  <c r="AP34" i="1"/>
  <c r="Q34" i="1"/>
  <c r="AN70" i="1"/>
  <c r="O70" i="1"/>
  <c r="AP68" i="1"/>
  <c r="Q68" i="1"/>
  <c r="AO15" i="1"/>
  <c r="P15" i="1"/>
  <c r="Y24" i="1"/>
  <c r="AL71" i="1"/>
  <c r="AH104" i="1"/>
  <c r="AL104" i="1"/>
  <c r="AH115" i="1"/>
  <c r="AL115" i="1"/>
  <c r="AH117" i="1"/>
  <c r="AL117" i="1"/>
  <c r="AH100" i="1"/>
  <c r="AL100" i="1"/>
  <c r="AH101" i="1"/>
  <c r="AL101" i="1"/>
  <c r="AH114" i="1"/>
  <c r="AL114" i="1"/>
  <c r="AH105" i="1"/>
  <c r="AL105" i="1"/>
  <c r="AH116" i="1"/>
  <c r="AL116" i="1"/>
  <c r="AH102" i="1"/>
  <c r="AL102" i="1"/>
  <c r="AH120" i="1"/>
  <c r="AL120" i="1"/>
  <c r="AH118" i="1"/>
  <c r="AL118" i="1"/>
  <c r="AH119" i="1"/>
  <c r="AL119" i="1"/>
  <c r="AH121" i="1"/>
  <c r="AL121" i="1"/>
  <c r="AH113" i="1"/>
  <c r="AL113" i="1"/>
  <c r="AH99" i="1"/>
  <c r="AL99" i="1"/>
  <c r="AH103" i="1"/>
  <c r="AL103" i="1"/>
  <c r="AH112" i="1"/>
  <c r="AL112" i="1"/>
  <c r="AH111" i="1"/>
  <c r="AH98" i="1"/>
  <c r="AI12" i="1"/>
  <c r="AJ31" i="1"/>
  <c r="AJ36" i="1"/>
  <c r="AK17" i="1"/>
  <c r="AJ17" i="1"/>
  <c r="AJ54" i="1"/>
  <c r="AK60" i="1"/>
  <c r="AJ82" i="1"/>
  <c r="AI46" i="1"/>
  <c r="AK51" i="1"/>
  <c r="AI51" i="1"/>
  <c r="AJ83" i="1"/>
  <c r="AK76" i="1"/>
  <c r="AJ52" i="1"/>
  <c r="AK69" i="1"/>
  <c r="AI84" i="1"/>
  <c r="AI10" i="1"/>
  <c r="AE117" i="1"/>
  <c r="AI117" i="1"/>
  <c r="AE99" i="1"/>
  <c r="AE119" i="1"/>
  <c r="AI119" i="1"/>
  <c r="AE118" i="1"/>
  <c r="AI118" i="1"/>
  <c r="AE114" i="1"/>
  <c r="AI114" i="1"/>
  <c r="AE116" i="1"/>
  <c r="AI116" i="1"/>
  <c r="AE121" i="1"/>
  <c r="AI121" i="1"/>
  <c r="AE111" i="1"/>
  <c r="AE112" i="1"/>
  <c r="AI112" i="1"/>
  <c r="AE100" i="1"/>
  <c r="AI100" i="1"/>
  <c r="AE120" i="1"/>
  <c r="AE103" i="1"/>
  <c r="AI103" i="1"/>
  <c r="AE98" i="1"/>
  <c r="AE94" i="1"/>
  <c r="AI94" i="1"/>
  <c r="AE102" i="1"/>
  <c r="AI102" i="1"/>
  <c r="AE105" i="1"/>
  <c r="AE113" i="1"/>
  <c r="AI113" i="1"/>
  <c r="AE115" i="1"/>
  <c r="AI115" i="1"/>
  <c r="AE101" i="1"/>
  <c r="AE104" i="1"/>
  <c r="AI104" i="1"/>
  <c r="AK75" i="1"/>
  <c r="AI75" i="1"/>
  <c r="AI15" i="1"/>
  <c r="AK11" i="1"/>
  <c r="Y26" i="1"/>
  <c r="Z26" i="1"/>
  <c r="Z65" i="1"/>
  <c r="Z91" i="1"/>
  <c r="AA45" i="1"/>
  <c r="Z66" i="1"/>
  <c r="Z11" i="1"/>
  <c r="AA28" i="1"/>
  <c r="Z28" i="1"/>
  <c r="Y28" i="1"/>
  <c r="Y68" i="1"/>
  <c r="Z68" i="1"/>
  <c r="Y19" i="1"/>
  <c r="Y47" i="1"/>
  <c r="AA47" i="1"/>
  <c r="Z47" i="1"/>
  <c r="Z53" i="1"/>
  <c r="Y89" i="1"/>
  <c r="Y49" i="1"/>
  <c r="AA49" i="1"/>
  <c r="Z49" i="1"/>
  <c r="Z70" i="1"/>
  <c r="AA10" i="1"/>
  <c r="P36" i="1"/>
  <c r="AO36" i="1"/>
  <c r="AN54" i="1"/>
  <c r="O54" i="1"/>
  <c r="AO67" i="1"/>
  <c r="P67" i="1"/>
  <c r="AP82" i="1"/>
  <c r="Q82" i="1"/>
  <c r="O21" i="1"/>
  <c r="AN21" i="1"/>
  <c r="AP28" i="1"/>
  <c r="Q28" i="1"/>
  <c r="O64" i="1"/>
  <c r="AN64" i="1"/>
  <c r="Q70" i="1"/>
  <c r="AP70" i="1"/>
  <c r="O17" i="1"/>
  <c r="AN17" i="1"/>
  <c r="AO38" i="1"/>
  <c r="P38" i="1"/>
  <c r="O65" i="1"/>
  <c r="AN65" i="1"/>
  <c r="AP63" i="1"/>
  <c r="Q63" i="1"/>
  <c r="O20" i="1"/>
  <c r="AN20" i="1"/>
  <c r="Q30" i="1"/>
  <c r="AP30" i="1"/>
  <c r="AP85" i="1"/>
  <c r="Q85" i="1"/>
  <c r="AO85" i="1"/>
  <c r="P85" i="1"/>
  <c r="Q24" i="1"/>
  <c r="AP24" i="1"/>
  <c r="AN48" i="1"/>
  <c r="O48" i="1"/>
  <c r="AP57" i="1"/>
  <c r="Q57" i="1"/>
  <c r="P12" i="1"/>
  <c r="AO12" i="1"/>
  <c r="Q32" i="1"/>
  <c r="AP32" i="1"/>
  <c r="AO56" i="1"/>
  <c r="P56" i="1"/>
  <c r="P87" i="1"/>
  <c r="AP18" i="1"/>
  <c r="Q18" i="1"/>
  <c r="Q49" i="1"/>
  <c r="AP49" i="1"/>
  <c r="P73" i="1"/>
  <c r="AO73" i="1"/>
  <c r="AO93" i="1"/>
  <c r="P93" i="1"/>
  <c r="AP19" i="1"/>
  <c r="Q19" i="1"/>
  <c r="Q42" i="1"/>
  <c r="AP42" i="1"/>
  <c r="AN78" i="1"/>
  <c r="O78" i="1"/>
  <c r="AP76" i="1"/>
  <c r="Q76" i="1"/>
  <c r="AO21" i="1"/>
  <c r="P21" i="1"/>
  <c r="G89" i="16"/>
  <c r="N26" i="22"/>
  <c r="K39" i="16"/>
  <c r="AN115" i="1"/>
  <c r="O115" i="1"/>
  <c r="AP104" i="1"/>
  <c r="Q104" i="1"/>
  <c r="U122" i="1"/>
  <c r="Y111" i="1"/>
  <c r="P104" i="1"/>
  <c r="AO104" i="1"/>
  <c r="AA105" i="1"/>
  <c r="AI105" i="1"/>
  <c r="AI111" i="1"/>
  <c r="AE122" i="1"/>
  <c r="O101" i="1"/>
  <c r="AN104" i="1"/>
  <c r="O104" i="1"/>
  <c r="AN105" i="1"/>
  <c r="O105" i="1"/>
  <c r="R94" i="1"/>
  <c r="AQ94" i="1"/>
  <c r="AQ119" i="1"/>
  <c r="R119" i="1"/>
  <c r="R102" i="1"/>
  <c r="AQ102" i="1"/>
  <c r="Q119" i="1"/>
  <c r="AP119" i="1"/>
  <c r="AP120" i="1"/>
  <c r="Q120" i="1"/>
  <c r="Q116" i="1"/>
  <c r="Z119" i="1"/>
  <c r="Y104" i="1"/>
  <c r="Y101" i="1"/>
  <c r="AK104" i="1"/>
  <c r="AK121" i="1"/>
  <c r="AJ98" i="1"/>
  <c r="AF106" i="1"/>
  <c r="AJ112" i="1"/>
  <c r="AJ118" i="1"/>
  <c r="P112" i="1"/>
  <c r="AO112" i="1"/>
  <c r="P116" i="1"/>
  <c r="AA104" i="1"/>
  <c r="AA103" i="1"/>
  <c r="AA117" i="1"/>
  <c r="R117" i="1"/>
  <c r="AQ117" i="1"/>
  <c r="O119" i="1"/>
  <c r="AN119" i="1"/>
  <c r="R113" i="1"/>
  <c r="AQ113" i="1"/>
  <c r="R98" i="1"/>
  <c r="N106" i="1"/>
  <c r="AQ98" i="1"/>
  <c r="R120" i="1"/>
  <c r="AQ120" i="1"/>
  <c r="AB98" i="1"/>
  <c r="X106" i="1"/>
  <c r="AB111" i="1"/>
  <c r="X122" i="1"/>
  <c r="AP98" i="1"/>
  <c r="M106" i="1"/>
  <c r="Q98" i="1"/>
  <c r="Q99" i="1"/>
  <c r="AP99" i="1"/>
  <c r="Q117" i="1"/>
  <c r="Y115" i="1"/>
  <c r="Y116" i="1"/>
  <c r="Y105" i="1"/>
  <c r="AK112" i="1"/>
  <c r="AK115" i="1"/>
  <c r="AK114" i="1"/>
  <c r="AJ120" i="1"/>
  <c r="AJ103" i="1"/>
  <c r="AJ116" i="1"/>
  <c r="P118" i="1"/>
  <c r="AO118" i="1"/>
  <c r="AO113" i="1"/>
  <c r="P113" i="1"/>
  <c r="AA116" i="1"/>
  <c r="AA111" i="1"/>
  <c r="W122" i="1"/>
  <c r="AQ118" i="1"/>
  <c r="R118" i="1"/>
  <c r="K21" i="8"/>
  <c r="K15" i="8"/>
  <c r="I32" i="16"/>
  <c r="I98" i="16"/>
  <c r="AH106" i="1"/>
  <c r="AL98" i="1"/>
  <c r="AL111" i="1"/>
  <c r="AH122" i="1"/>
  <c r="O120" i="1"/>
  <c r="AN120" i="1"/>
  <c r="O114" i="1"/>
  <c r="AN114" i="1"/>
  <c r="AQ112" i="1"/>
  <c r="R112" i="1"/>
  <c r="R116" i="1"/>
  <c r="AQ116" i="1"/>
  <c r="Q102" i="1"/>
  <c r="Q105" i="1"/>
  <c r="AP105" i="1"/>
  <c r="V106" i="1"/>
  <c r="Z98" i="1"/>
  <c r="Y98" i="1"/>
  <c r="U106" i="1"/>
  <c r="Y94" i="1"/>
  <c r="Y103" i="1"/>
  <c r="K94" i="5"/>
  <c r="AK105" i="1"/>
  <c r="AG122" i="1"/>
  <c r="AK111" i="1"/>
  <c r="AK118" i="1"/>
  <c r="AJ99" i="1"/>
  <c r="AJ100" i="1"/>
  <c r="P121" i="1"/>
  <c r="AO121" i="1"/>
  <c r="P119" i="1"/>
  <c r="AO119" i="1"/>
  <c r="AO100" i="1"/>
  <c r="P100" i="1"/>
  <c r="AA115" i="1"/>
  <c r="AA101" i="1"/>
  <c r="AA94" i="1"/>
  <c r="Q94" i="1"/>
  <c r="AP94" i="1"/>
  <c r="AJ113" i="1"/>
  <c r="AN113" i="1"/>
  <c r="O113" i="1"/>
  <c r="O118" i="1"/>
  <c r="AN118" i="1"/>
  <c r="R121" i="1"/>
  <c r="AQ121" i="1"/>
  <c r="AQ103" i="1"/>
  <c r="R103" i="1"/>
  <c r="R105" i="1"/>
  <c r="AQ105" i="1"/>
  <c r="AB115" i="1"/>
  <c r="J106" i="1"/>
  <c r="J107" i="1"/>
  <c r="U64" i="10"/>
  <c r="T122" i="1"/>
  <c r="T123" i="1"/>
  <c r="Q114" i="1"/>
  <c r="AP114" i="1"/>
  <c r="Q121" i="1"/>
  <c r="AP121" i="1"/>
  <c r="Y114" i="1"/>
  <c r="Y117" i="1"/>
  <c r="AK117" i="1"/>
  <c r="AK100" i="1"/>
  <c r="AK116" i="1"/>
  <c r="AJ121" i="1"/>
  <c r="AJ119" i="1"/>
  <c r="AO115" i="1"/>
  <c r="P115" i="1"/>
  <c r="P101" i="1"/>
  <c r="AO105" i="1"/>
  <c r="P105" i="1"/>
  <c r="AA102" i="1"/>
  <c r="AA120" i="1"/>
  <c r="AA113" i="1"/>
  <c r="O112" i="1"/>
  <c r="AN112" i="1"/>
  <c r="O100" i="1"/>
  <c r="AN100" i="1"/>
  <c r="R111" i="1"/>
  <c r="AQ111" i="1"/>
  <c r="N122" i="1"/>
  <c r="AQ101" i="1"/>
  <c r="R101" i="1"/>
  <c r="AQ104" i="1"/>
  <c r="R104" i="1"/>
  <c r="AB103" i="1"/>
  <c r="J122" i="1"/>
  <c r="J123" i="1"/>
  <c r="T106" i="1"/>
  <c r="T107" i="1"/>
  <c r="Q113" i="1"/>
  <c r="AP113" i="1"/>
  <c r="Q103" i="1"/>
  <c r="Y112" i="1"/>
  <c r="Y100" i="1"/>
  <c r="Y113" i="1"/>
  <c r="AK101" i="1"/>
  <c r="AK103" i="1"/>
  <c r="AK98" i="1"/>
  <c r="AG106" i="1"/>
  <c r="AJ104" i="1"/>
  <c r="AJ117" i="1"/>
  <c r="AO111" i="1"/>
  <c r="L122" i="1"/>
  <c r="P111" i="1"/>
  <c r="AO99" i="1"/>
  <c r="P99" i="1"/>
  <c r="AO120" i="1"/>
  <c r="P120" i="1"/>
  <c r="AA98" i="1"/>
  <c r="W106" i="1"/>
  <c r="AA118" i="1"/>
  <c r="AA119" i="1"/>
  <c r="AN94" i="1"/>
  <c r="O94" i="1"/>
  <c r="AE106" i="1"/>
  <c r="AI98" i="1"/>
  <c r="AI120" i="1"/>
  <c r="O121" i="1"/>
  <c r="AN121" i="1"/>
  <c r="R115" i="1"/>
  <c r="AQ115" i="1"/>
  <c r="AQ100" i="1"/>
  <c r="R100" i="1"/>
  <c r="N28" i="8"/>
  <c r="O28" i="8"/>
  <c r="N29" i="8"/>
  <c r="O29" i="8"/>
  <c r="O33" i="8"/>
  <c r="M28" i="8"/>
  <c r="M29" i="8"/>
  <c r="O34" i="8"/>
  <c r="R33" i="8"/>
  <c r="N34" i="8"/>
  <c r="L33" i="8"/>
  <c r="P33" i="8"/>
  <c r="S29" i="8"/>
  <c r="Q28" i="8"/>
  <c r="L34" i="8"/>
  <c r="J34" i="8"/>
  <c r="N33" i="8"/>
  <c r="I29" i="8"/>
  <c r="M34" i="8"/>
  <c r="J33" i="8"/>
  <c r="J28" i="8"/>
  <c r="P34" i="8"/>
  <c r="S33" i="8"/>
  <c r="S34" i="8"/>
  <c r="Q34" i="8"/>
  <c r="K29" i="8"/>
  <c r="K34" i="8"/>
  <c r="Q33" i="8"/>
  <c r="P28" i="8"/>
  <c r="M33" i="8"/>
  <c r="R29" i="8"/>
  <c r="Q29" i="8"/>
  <c r="K28" i="8"/>
  <c r="I34" i="8"/>
  <c r="R34" i="8"/>
  <c r="I33" i="8"/>
  <c r="L28" i="8"/>
  <c r="L29" i="8"/>
  <c r="J29" i="8"/>
  <c r="S28" i="8"/>
  <c r="R28" i="8"/>
  <c r="K33" i="8"/>
  <c r="I28" i="8"/>
  <c r="P29" i="8"/>
  <c r="J9" i="8"/>
  <c r="J94" i="5"/>
  <c r="M122" i="1"/>
  <c r="Q111" i="1"/>
  <c r="AP111" i="1"/>
  <c r="Q100" i="1"/>
  <c r="AP100" i="1"/>
  <c r="Z114" i="1"/>
  <c r="Y120" i="1"/>
  <c r="Y118" i="1"/>
  <c r="AK102" i="1"/>
  <c r="AK119" i="1"/>
  <c r="AJ94" i="1"/>
  <c r="AJ114" i="1"/>
  <c r="AO94" i="1"/>
  <c r="P94" i="1"/>
  <c r="P102" i="1"/>
  <c r="P98" i="1"/>
  <c r="L106" i="1"/>
  <c r="AO98" i="1"/>
  <c r="AA100" i="1"/>
  <c r="AA112" i="1"/>
  <c r="K106" i="1"/>
  <c r="O98" i="1"/>
  <c r="AN98" i="1"/>
  <c r="P15" i="10"/>
  <c r="L19" i="10"/>
  <c r="L20" i="10"/>
  <c r="O16" i="10"/>
  <c r="M19" i="10"/>
  <c r="M20" i="10"/>
  <c r="Q101" i="1"/>
  <c r="AI101" i="1"/>
  <c r="AI99" i="1"/>
  <c r="O99" i="1"/>
  <c r="AN99" i="1"/>
  <c r="K122" i="1"/>
  <c r="AN111" i="1"/>
  <c r="O111" i="1"/>
  <c r="O103" i="1"/>
  <c r="R114" i="1"/>
  <c r="AQ114" i="1"/>
  <c r="R99" i="1"/>
  <c r="AQ99" i="1"/>
  <c r="N19" i="10"/>
  <c r="N20" i="10"/>
  <c r="Q115" i="1"/>
  <c r="AP115" i="1"/>
  <c r="Q112" i="1"/>
  <c r="AP112" i="1"/>
  <c r="Q118" i="1"/>
  <c r="AP118" i="1"/>
  <c r="Z111" i="1"/>
  <c r="V122" i="1"/>
  <c r="Z99" i="1"/>
  <c r="Y102" i="1"/>
  <c r="Y121" i="1"/>
  <c r="AK94" i="1"/>
  <c r="AK113" i="1"/>
  <c r="AJ102" i="1"/>
  <c r="AF122" i="1"/>
  <c r="AJ111" i="1"/>
  <c r="AJ115" i="1"/>
  <c r="P114" i="1"/>
  <c r="AO114" i="1"/>
  <c r="P117" i="1"/>
  <c r="AA121" i="1"/>
  <c r="AA99" i="1"/>
  <c r="I34" i="16"/>
  <c r="I100" i="16"/>
  <c r="K20" i="8"/>
  <c r="I31" i="8"/>
  <c r="I36" i="8"/>
  <c r="G50" i="16"/>
  <c r="J31" i="8"/>
  <c r="J36" i="8"/>
  <c r="AE107" i="1"/>
  <c r="AI106" i="1"/>
  <c r="AI107" i="1"/>
  <c r="AG107" i="1"/>
  <c r="AK106" i="1"/>
  <c r="AK107" i="1"/>
  <c r="AJ122" i="1"/>
  <c r="AJ123" i="1"/>
  <c r="AF123" i="1"/>
  <c r="AN106" i="1"/>
  <c r="AN107" i="1"/>
  <c r="K107" i="1"/>
  <c r="O106" i="1"/>
  <c r="O107" i="1"/>
  <c r="R106" i="1"/>
  <c r="R107" i="1"/>
  <c r="AQ106" i="1"/>
  <c r="AQ107" i="1"/>
  <c r="N107" i="1"/>
  <c r="K123" i="1"/>
  <c r="AN122" i="1"/>
  <c r="AN123" i="1"/>
  <c r="O122" i="1"/>
  <c r="O123" i="1"/>
  <c r="R122" i="1"/>
  <c r="R123" i="1"/>
  <c r="N123" i="1"/>
  <c r="AQ122" i="1"/>
  <c r="AQ123" i="1"/>
  <c r="Y106" i="1"/>
  <c r="Y107" i="1"/>
  <c r="U107" i="1"/>
  <c r="AH123" i="1"/>
  <c r="AL122" i="1"/>
  <c r="AL123" i="1"/>
  <c r="X123" i="1"/>
  <c r="AB122" i="1"/>
  <c r="AB123" i="1"/>
  <c r="AF107" i="1"/>
  <c r="AJ106" i="1"/>
  <c r="AJ107" i="1"/>
  <c r="Y122" i="1"/>
  <c r="Y123" i="1"/>
  <c r="U123" i="1"/>
  <c r="AO106" i="1"/>
  <c r="AO107" i="1"/>
  <c r="P106" i="1"/>
  <c r="P107" i="1"/>
  <c r="L107" i="1"/>
  <c r="L31" i="8"/>
  <c r="L36" i="8"/>
  <c r="J50" i="16"/>
  <c r="AE123" i="1"/>
  <c r="AI122" i="1"/>
  <c r="AI123" i="1"/>
  <c r="J15" i="8"/>
  <c r="H34" i="16"/>
  <c r="H100" i="16"/>
  <c r="J21" i="8"/>
  <c r="K31" i="8"/>
  <c r="P122" i="1"/>
  <c r="P123" i="1"/>
  <c r="AO122" i="1"/>
  <c r="AO123" i="1"/>
  <c r="L123" i="1"/>
  <c r="AP106" i="1"/>
  <c r="AP107" i="1"/>
  <c r="Q106" i="1"/>
  <c r="Q107" i="1"/>
  <c r="M107" i="1"/>
  <c r="AB106" i="1"/>
  <c r="AB107" i="1"/>
  <c r="X107" i="1"/>
  <c r="M123" i="1"/>
  <c r="Q122" i="1"/>
  <c r="Q123" i="1"/>
  <c r="AP122" i="1"/>
  <c r="AP123" i="1"/>
  <c r="P19" i="10"/>
  <c r="P20" i="10"/>
  <c r="Q15" i="10"/>
  <c r="P22" i="10"/>
  <c r="P23" i="10"/>
  <c r="P16" i="10"/>
  <c r="W107" i="1"/>
  <c r="AA106" i="1"/>
  <c r="AA107" i="1"/>
  <c r="V64" i="10"/>
  <c r="AK122" i="1"/>
  <c r="AK123" i="1"/>
  <c r="AG123" i="1"/>
  <c r="V107" i="1"/>
  <c r="Z106" i="1"/>
  <c r="Z107" i="1"/>
  <c r="AH107" i="1"/>
  <c r="AL106" i="1"/>
  <c r="AL107" i="1"/>
  <c r="W123" i="1"/>
  <c r="AA122" i="1"/>
  <c r="AA123" i="1"/>
  <c r="V123" i="1"/>
  <c r="Z122" i="1"/>
  <c r="Z123" i="1"/>
  <c r="L17" i="14"/>
  <c r="J15" i="14"/>
  <c r="R15" i="10"/>
  <c r="L22" i="10"/>
  <c r="L23" i="10"/>
  <c r="Q19" i="10"/>
  <c r="Q20" i="10"/>
  <c r="Q16" i="10"/>
  <c r="M22" i="10"/>
  <c r="M23" i="10"/>
  <c r="N22" i="10"/>
  <c r="N23" i="10"/>
  <c r="O22" i="10"/>
  <c r="O23" i="10"/>
  <c r="K20" i="14"/>
  <c r="K17" i="14"/>
  <c r="J32" i="14"/>
  <c r="J19" i="14"/>
  <c r="K18" i="14"/>
  <c r="K14" i="14"/>
  <c r="I50" i="16"/>
  <c r="J17" i="14"/>
  <c r="K31" i="14"/>
  <c r="I48" i="16"/>
  <c r="K15" i="14"/>
  <c r="H50" i="16"/>
  <c r="K27" i="14"/>
  <c r="K16" i="14"/>
  <c r="K30" i="14"/>
  <c r="J21" i="14"/>
  <c r="G67" i="16"/>
  <c r="G116" i="16"/>
  <c r="G132" i="16"/>
  <c r="P24" i="10"/>
  <c r="P25" i="10"/>
  <c r="K19" i="14"/>
  <c r="K23" i="14"/>
  <c r="J116" i="16"/>
  <c r="J132" i="16"/>
  <c r="J67" i="16"/>
  <c r="K22" i="14"/>
  <c r="K26" i="14"/>
  <c r="K21" i="14"/>
  <c r="K36" i="8"/>
  <c r="K29" i="14"/>
  <c r="J20" i="8"/>
  <c r="O24" i="10"/>
  <c r="O25" i="10"/>
  <c r="L14" i="14"/>
  <c r="L33" i="14"/>
  <c r="L28" i="14"/>
  <c r="L21" i="14"/>
  <c r="L22" i="14"/>
  <c r="L16" i="14"/>
  <c r="L30" i="14"/>
  <c r="L29" i="14"/>
  <c r="L27" i="14"/>
  <c r="L13" i="14"/>
  <c r="L15" i="14"/>
  <c r="L32" i="14"/>
  <c r="L31" i="14"/>
  <c r="L26" i="14"/>
  <c r="L23" i="14"/>
  <c r="L19" i="14"/>
  <c r="L18" i="14"/>
  <c r="L20" i="14"/>
  <c r="I116" i="16"/>
  <c r="I132" i="16"/>
  <c r="I67" i="16"/>
  <c r="N24" i="10"/>
  <c r="N25" i="10"/>
  <c r="K28" i="14"/>
  <c r="K33" i="14"/>
  <c r="H116" i="16"/>
  <c r="H132" i="16"/>
  <c r="H67" i="16"/>
  <c r="M24" i="10"/>
  <c r="M25" i="10"/>
  <c r="J20" i="14"/>
  <c r="J16" i="14"/>
  <c r="J26" i="14"/>
  <c r="J30" i="14"/>
  <c r="J33" i="14"/>
  <c r="J13" i="14"/>
  <c r="J31" i="14"/>
  <c r="J29" i="14"/>
  <c r="J22" i="14"/>
  <c r="J18" i="14"/>
  <c r="J14" i="14"/>
  <c r="J27" i="14"/>
  <c r="J23" i="14"/>
  <c r="J28" i="14"/>
  <c r="K13" i="14"/>
  <c r="I114" i="16"/>
  <c r="I130" i="16"/>
  <c r="I65" i="16"/>
  <c r="L24" i="10"/>
  <c r="L25" i="10"/>
  <c r="J35" i="19"/>
  <c r="J52" i="19"/>
  <c r="I35" i="19"/>
  <c r="I52" i="19"/>
  <c r="I30" i="19"/>
  <c r="L32" i="19"/>
  <c r="L49" i="19"/>
  <c r="J31" i="19"/>
  <c r="J48" i="19"/>
  <c r="J28" i="19"/>
  <c r="L29" i="19"/>
  <c r="I28" i="14"/>
  <c r="I23" i="14"/>
  <c r="I33" i="14"/>
  <c r="I26" i="14"/>
  <c r="I20" i="14"/>
  <c r="I15" i="14"/>
  <c r="I31" i="14"/>
  <c r="I16" i="14"/>
  <c r="I19" i="14"/>
  <c r="I32" i="14"/>
  <c r="I29" i="14"/>
  <c r="I22" i="14"/>
  <c r="I27" i="14"/>
  <c r="I21" i="14"/>
  <c r="I18" i="14"/>
  <c r="I13" i="14"/>
  <c r="I30" i="14"/>
  <c r="I17" i="14"/>
  <c r="I14" i="14"/>
  <c r="R22" i="10"/>
  <c r="R23" i="10"/>
  <c r="R24" i="10"/>
  <c r="R25" i="10"/>
  <c r="R19" i="10"/>
  <c r="R20" i="10"/>
  <c r="S15" i="10"/>
  <c r="R16" i="10"/>
  <c r="K32" i="14"/>
  <c r="I24" i="14"/>
  <c r="I38" i="14"/>
  <c r="T15" i="10"/>
  <c r="S22" i="10"/>
  <c r="S23" i="10"/>
  <c r="S24" i="10"/>
  <c r="S25" i="10"/>
  <c r="S19" i="10"/>
  <c r="S20" i="10"/>
  <c r="S16" i="10"/>
  <c r="J29" i="19"/>
  <c r="K32" i="19"/>
  <c r="K49" i="19"/>
  <c r="I32" i="19"/>
  <c r="I49" i="19"/>
  <c r="H35" i="19"/>
  <c r="H52" i="19"/>
  <c r="H29" i="19"/>
  <c r="I28" i="19"/>
  <c r="K29" i="19"/>
  <c r="K43" i="16"/>
  <c r="K49" i="16"/>
  <c r="K66" i="16" s="1"/>
  <c r="K44" i="16"/>
  <c r="K61" i="16" s="1"/>
  <c r="K46" i="16"/>
  <c r="K63" i="16" s="1"/>
  <c r="K45" i="16"/>
  <c r="K62" i="16" s="1"/>
  <c r="K50" i="16"/>
  <c r="K67" i="16" s="1"/>
  <c r="N27" i="22"/>
  <c r="L49" i="16" s="1"/>
  <c r="L66" i="16" s="1"/>
  <c r="J34" i="14"/>
  <c r="J57" i="14"/>
  <c r="L24" i="14"/>
  <c r="L42" i="14"/>
  <c r="J36" i="19"/>
  <c r="J53" i="19"/>
  <c r="K34" i="19"/>
  <c r="K51" i="19"/>
  <c r="K35" i="19"/>
  <c r="K52" i="19"/>
  <c r="J33" i="19"/>
  <c r="J50" i="19"/>
  <c r="L33" i="19"/>
  <c r="L50" i="19"/>
  <c r="J32" i="19"/>
  <c r="J49" i="19"/>
  <c r="I34" i="14"/>
  <c r="I57" i="14"/>
  <c r="I36" i="19"/>
  <c r="I53" i="19"/>
  <c r="L35" i="19"/>
  <c r="L52" i="19"/>
  <c r="H39" i="19"/>
  <c r="H56" i="19"/>
  <c r="K33" i="19"/>
  <c r="K50" i="19"/>
  <c r="J39" i="19"/>
  <c r="J56" i="19"/>
  <c r="I29" i="19"/>
  <c r="I46" i="19"/>
  <c r="L34" i="19"/>
  <c r="L51" i="19"/>
  <c r="I39" i="19"/>
  <c r="I56" i="19"/>
  <c r="I33" i="19"/>
  <c r="I50" i="19"/>
  <c r="H33" i="19"/>
  <c r="H50" i="19"/>
  <c r="J34" i="19"/>
  <c r="J51" i="19"/>
  <c r="I31" i="19"/>
  <c r="I48" i="19"/>
  <c r="K24" i="14"/>
  <c r="K38" i="14"/>
  <c r="J30" i="19"/>
  <c r="J47" i="19"/>
  <c r="H32" i="19"/>
  <c r="H49" i="19"/>
  <c r="K30" i="19"/>
  <c r="K47" i="19"/>
  <c r="L28" i="19"/>
  <c r="I34" i="19"/>
  <c r="I51" i="19"/>
  <c r="H30" i="19"/>
  <c r="H47" i="19"/>
  <c r="L34" i="14"/>
  <c r="L51" i="14"/>
  <c r="H31" i="19"/>
  <c r="H48" i="19"/>
  <c r="H28" i="19"/>
  <c r="L30" i="19"/>
  <c r="L47" i="19"/>
  <c r="K31" i="19"/>
  <c r="K48" i="19"/>
  <c r="L39" i="19"/>
  <c r="L56" i="19"/>
  <c r="L36" i="19"/>
  <c r="L53" i="19"/>
  <c r="J24" i="14"/>
  <c r="J43" i="14"/>
  <c r="K28" i="19"/>
  <c r="L31" i="19"/>
  <c r="L48" i="19"/>
  <c r="K36" i="19"/>
  <c r="K53" i="19"/>
  <c r="H34" i="19"/>
  <c r="H51" i="19"/>
  <c r="K39" i="19"/>
  <c r="K56" i="19"/>
  <c r="H36" i="19"/>
  <c r="H53" i="19"/>
  <c r="K34" i="14"/>
  <c r="K53" i="14"/>
  <c r="L47" i="14"/>
  <c r="J54" i="14"/>
  <c r="I44" i="14"/>
  <c r="I46" i="14"/>
  <c r="I40" i="14"/>
  <c r="K57" i="14"/>
  <c r="I33" i="16"/>
  <c r="I99" i="16"/>
  <c r="I39" i="14"/>
  <c r="I47" i="14"/>
  <c r="I48" i="14"/>
  <c r="I45" i="14"/>
  <c r="I43" i="14"/>
  <c r="I42" i="14"/>
  <c r="L38" i="14"/>
  <c r="I41" i="14"/>
  <c r="J53" i="14"/>
  <c r="H29" i="16"/>
  <c r="H95" i="16"/>
  <c r="L45" i="14"/>
  <c r="L46" i="14"/>
  <c r="J56" i="14"/>
  <c r="H48" i="16"/>
  <c r="J51" i="14"/>
  <c r="L43" i="14"/>
  <c r="J58" i="14"/>
  <c r="H35" i="16"/>
  <c r="H101" i="16"/>
  <c r="L48" i="14"/>
  <c r="J47" i="14"/>
  <c r="L44" i="14"/>
  <c r="L39" i="14"/>
  <c r="L41" i="14"/>
  <c r="J43" i="16"/>
  <c r="J27" i="16"/>
  <c r="G33" i="16"/>
  <c r="G99" i="16"/>
  <c r="G49" i="16"/>
  <c r="I29" i="16"/>
  <c r="I95" i="16"/>
  <c r="I45" i="16"/>
  <c r="H43" i="16"/>
  <c r="H27" i="16"/>
  <c r="I56" i="14"/>
  <c r="L57" i="14"/>
  <c r="L56" i="14"/>
  <c r="L55" i="14"/>
  <c r="I51" i="14"/>
  <c r="H33" i="16"/>
  <c r="H99" i="16"/>
  <c r="H49" i="16"/>
  <c r="L53" i="14"/>
  <c r="K46" i="19"/>
  <c r="L37" i="19"/>
  <c r="L41" i="19"/>
  <c r="L45" i="19"/>
  <c r="K40" i="14"/>
  <c r="K39" i="14"/>
  <c r="K43" i="14"/>
  <c r="K46" i="14"/>
  <c r="K42" i="14"/>
  <c r="K41" i="14"/>
  <c r="K45" i="14"/>
  <c r="K47" i="14"/>
  <c r="K48" i="14"/>
  <c r="I58" i="14"/>
  <c r="L52" i="14"/>
  <c r="I52" i="14"/>
  <c r="J39" i="14"/>
  <c r="L40" i="14"/>
  <c r="I45" i="19"/>
  <c r="I37" i="19"/>
  <c r="I41" i="19"/>
  <c r="I54" i="14"/>
  <c r="L58" i="14"/>
  <c r="N37" i="8"/>
  <c r="K60" i="16"/>
  <c r="J55" i="14"/>
  <c r="H46" i="19"/>
  <c r="H51" i="16"/>
  <c r="H37" i="19"/>
  <c r="H41" i="19"/>
  <c r="H45" i="19"/>
  <c r="H54" i="19"/>
  <c r="H58" i="19"/>
  <c r="I47" i="19"/>
  <c r="J52" i="14"/>
  <c r="J48" i="14"/>
  <c r="J38" i="14"/>
  <c r="I53" i="14"/>
  <c r="L54" i="14"/>
  <c r="J41" i="14"/>
  <c r="J37" i="19"/>
  <c r="J41" i="19"/>
  <c r="T19" i="10"/>
  <c r="T20" i="10"/>
  <c r="T22" i="10"/>
  <c r="T23" i="10"/>
  <c r="T24" i="10"/>
  <c r="T25" i="10"/>
  <c r="U15" i="10"/>
  <c r="T16" i="10"/>
  <c r="J45" i="19"/>
  <c r="I49" i="16"/>
  <c r="J44" i="14"/>
  <c r="J40" i="14"/>
  <c r="J42" i="14"/>
  <c r="J46" i="14"/>
  <c r="H30" i="16"/>
  <c r="H96" i="16"/>
  <c r="H46" i="16"/>
  <c r="K37" i="19"/>
  <c r="K41" i="19"/>
  <c r="K45" i="19"/>
  <c r="K54" i="19"/>
  <c r="K58" i="19"/>
  <c r="K51" i="14"/>
  <c r="K54" i="14"/>
  <c r="K55" i="14"/>
  <c r="K52" i="14"/>
  <c r="I55" i="14"/>
  <c r="J45" i="14"/>
  <c r="K58" i="14"/>
  <c r="L46" i="19"/>
  <c r="J46" i="19"/>
  <c r="H45" i="16"/>
  <c r="L49" i="14"/>
  <c r="H32" i="16"/>
  <c r="H98" i="16"/>
  <c r="I49" i="14"/>
  <c r="J59" i="14"/>
  <c r="K49" i="14"/>
  <c r="L54" i="19"/>
  <c r="L58" i="19"/>
  <c r="I111" i="16"/>
  <c r="I127" i="16"/>
  <c r="I62" i="16"/>
  <c r="G31" i="16"/>
  <c r="G97" i="16"/>
  <c r="G47" i="16"/>
  <c r="I44" i="16"/>
  <c r="I28" i="16"/>
  <c r="I94" i="16"/>
  <c r="H28" i="16"/>
  <c r="H94" i="16"/>
  <c r="H44" i="16"/>
  <c r="H47" i="16"/>
  <c r="H31" i="16"/>
  <c r="H97" i="16"/>
  <c r="I54" i="19"/>
  <c r="I58" i="19"/>
  <c r="J47" i="16"/>
  <c r="J31" i="16"/>
  <c r="J97" i="16"/>
  <c r="J49" i="14"/>
  <c r="I66" i="16"/>
  <c r="I115" i="16"/>
  <c r="I131" i="16"/>
  <c r="I31" i="16"/>
  <c r="I97" i="16"/>
  <c r="I47" i="16"/>
  <c r="H112" i="16"/>
  <c r="H128" i="16"/>
  <c r="H63" i="16"/>
  <c r="J54" i="19"/>
  <c r="J58" i="19"/>
  <c r="G29" i="16"/>
  <c r="G95" i="16"/>
  <c r="G45" i="16"/>
  <c r="J32" i="16"/>
  <c r="J98" i="16"/>
  <c r="J48" i="16"/>
  <c r="G66" i="16"/>
  <c r="G115" i="16"/>
  <c r="G131" i="16"/>
  <c r="I46" i="16"/>
  <c r="I30" i="16"/>
  <c r="I96" i="16"/>
  <c r="J30" i="16"/>
  <c r="J96" i="16"/>
  <c r="J46" i="16"/>
  <c r="H111" i="16"/>
  <c r="H127" i="16"/>
  <c r="H62" i="16"/>
  <c r="J29" i="16"/>
  <c r="J95" i="16"/>
  <c r="J45" i="16"/>
  <c r="J49" i="16"/>
  <c r="J33" i="16"/>
  <c r="J99" i="16"/>
  <c r="K59" i="14"/>
  <c r="I27" i="16"/>
  <c r="I43" i="16"/>
  <c r="G44" i="16"/>
  <c r="G28" i="16"/>
  <c r="G94" i="16"/>
  <c r="H115" i="16"/>
  <c r="H131" i="16"/>
  <c r="H66" i="16"/>
  <c r="G48" i="16"/>
  <c r="G32" i="16"/>
  <c r="G98" i="16"/>
  <c r="J93" i="16"/>
  <c r="J35" i="16"/>
  <c r="J101" i="16"/>
  <c r="J51" i="16"/>
  <c r="J44" i="16"/>
  <c r="J28" i="16"/>
  <c r="J94" i="16"/>
  <c r="H93" i="16"/>
  <c r="L59" i="14"/>
  <c r="I51" i="16"/>
  <c r="I35" i="16"/>
  <c r="I101" i="16"/>
  <c r="V15" i="10"/>
  <c r="U19" i="10"/>
  <c r="U20" i="10"/>
  <c r="U22" i="10"/>
  <c r="U23" i="10"/>
  <c r="U24" i="10"/>
  <c r="U25" i="10"/>
  <c r="U16" i="10"/>
  <c r="H65" i="16"/>
  <c r="H114" i="16"/>
  <c r="H130" i="16"/>
  <c r="H68" i="16"/>
  <c r="H117" i="16"/>
  <c r="H133" i="16"/>
  <c r="N36" i="8"/>
  <c r="G30" i="16"/>
  <c r="G96" i="16"/>
  <c r="G46" i="16"/>
  <c r="G51" i="16"/>
  <c r="G35" i="16"/>
  <c r="G101" i="16"/>
  <c r="I59" i="14"/>
  <c r="G27" i="16"/>
  <c r="G43" i="16"/>
  <c r="H60" i="16"/>
  <c r="H109" i="16"/>
  <c r="J109" i="16"/>
  <c r="J60" i="16"/>
  <c r="H55" i="16"/>
  <c r="H56" i="16"/>
  <c r="J55" i="16"/>
  <c r="J56" i="16"/>
  <c r="I113" i="16"/>
  <c r="I129" i="16"/>
  <c r="I64" i="16"/>
  <c r="G65" i="16"/>
  <c r="G114" i="16"/>
  <c r="G130" i="16"/>
  <c r="I93" i="16"/>
  <c r="I104" i="16"/>
  <c r="I38" i="16"/>
  <c r="I39" i="16"/>
  <c r="J114" i="16"/>
  <c r="J130" i="16"/>
  <c r="J65" i="16"/>
  <c r="H64" i="16"/>
  <c r="H113" i="16"/>
  <c r="H129" i="16"/>
  <c r="V19" i="10"/>
  <c r="V20" i="10"/>
  <c r="V22" i="10"/>
  <c r="V23" i="10"/>
  <c r="V24" i="10"/>
  <c r="V25" i="10"/>
  <c r="V16" i="10"/>
  <c r="J110" i="16"/>
  <c r="J126" i="16"/>
  <c r="J61" i="16"/>
  <c r="H61" i="16"/>
  <c r="H110" i="16"/>
  <c r="H126" i="16"/>
  <c r="I109" i="16"/>
  <c r="I60" i="16"/>
  <c r="I55" i="16"/>
  <c r="G117" i="16"/>
  <c r="G133" i="16"/>
  <c r="G68" i="16"/>
  <c r="J68" i="16"/>
  <c r="J117" i="16"/>
  <c r="J133" i="16"/>
  <c r="J112" i="16"/>
  <c r="J128" i="16"/>
  <c r="J63" i="16"/>
  <c r="G111" i="16"/>
  <c r="G127" i="16"/>
  <c r="G62" i="16"/>
  <c r="H104" i="16"/>
  <c r="J115" i="16"/>
  <c r="J131" i="16"/>
  <c r="J66" i="16"/>
  <c r="G93" i="16"/>
  <c r="G104" i="16"/>
  <c r="G38" i="16"/>
  <c r="G39" i="16"/>
  <c r="G63" i="16"/>
  <c r="G112" i="16"/>
  <c r="G128" i="16"/>
  <c r="G110" i="16"/>
  <c r="G126" i="16"/>
  <c r="G61" i="16"/>
  <c r="J111" i="16"/>
  <c r="J127" i="16"/>
  <c r="J62" i="16"/>
  <c r="I61" i="16"/>
  <c r="I110" i="16"/>
  <c r="I126" i="16"/>
  <c r="H125" i="16"/>
  <c r="I112" i="16"/>
  <c r="I128" i="16"/>
  <c r="I63" i="16"/>
  <c r="J64" i="16"/>
  <c r="J113" i="16"/>
  <c r="J129" i="16"/>
  <c r="G113" i="16"/>
  <c r="G129" i="16"/>
  <c r="G64" i="16"/>
  <c r="J125" i="16"/>
  <c r="I117" i="16"/>
  <c r="I133" i="16"/>
  <c r="I68" i="16"/>
  <c r="J38" i="16"/>
  <c r="J39" i="16"/>
  <c r="G109" i="16"/>
  <c r="G60" i="16"/>
  <c r="G55" i="16"/>
  <c r="H38" i="16"/>
  <c r="H39" i="16"/>
  <c r="J104" i="16"/>
  <c r="H70" i="16"/>
  <c r="H71" i="16"/>
  <c r="H120" i="16"/>
  <c r="J136" i="16"/>
  <c r="G70" i="16"/>
  <c r="G71" i="16"/>
  <c r="J70" i="16"/>
  <c r="J71" i="16"/>
  <c r="I70" i="16"/>
  <c r="I71" i="16"/>
  <c r="I56" i="16"/>
  <c r="I125" i="16"/>
  <c r="I136" i="16"/>
  <c r="I120" i="16"/>
  <c r="H136" i="16"/>
  <c r="G125" i="16"/>
  <c r="G136" i="16"/>
  <c r="G120" i="16"/>
  <c r="G56" i="16"/>
  <c r="J120" i="16"/>
  <c r="J137" i="16"/>
  <c r="H137" i="16"/>
  <c r="I137" i="16"/>
  <c r="G137" i="16"/>
  <c r="O67" i="4"/>
  <c r="Q67" i="5" s="1"/>
  <c r="P67" i="4"/>
  <c r="R67" i="5" s="1"/>
  <c r="I26" i="24" l="1"/>
  <c r="I27" i="24" s="1"/>
  <c r="S58" i="10"/>
  <c r="R58" i="10"/>
  <c r="S65" i="10"/>
  <c r="R73" i="10"/>
  <c r="R82" i="10"/>
  <c r="R90" i="10"/>
  <c r="M82" i="16" s="1"/>
  <c r="R85" i="10"/>
  <c r="R92" i="10"/>
  <c r="M85" i="16" s="1"/>
  <c r="R81" i="10"/>
  <c r="R80" i="10"/>
  <c r="R88" i="10"/>
  <c r="M80" i="16" s="1"/>
  <c r="R76" i="10"/>
  <c r="R72" i="10"/>
  <c r="R75" i="10"/>
  <c r="R86" i="10"/>
  <c r="M89" i="25" s="1"/>
  <c r="R87" i="10"/>
  <c r="M79" i="16" s="1"/>
  <c r="R79" i="10"/>
  <c r="R74" i="10"/>
  <c r="R91" i="10"/>
  <c r="M83" i="16" s="1"/>
  <c r="S42" i="10"/>
  <c r="S49" i="10"/>
  <c r="P58" i="10"/>
  <c r="T58" i="10"/>
  <c r="S41" i="10"/>
  <c r="S40" i="10"/>
  <c r="S53" i="10"/>
  <c r="S47" i="10"/>
  <c r="S59" i="10"/>
  <c r="U58" i="10"/>
  <c r="S55" i="10"/>
  <c r="Q90" i="10"/>
  <c r="S54" i="10"/>
  <c r="S60" i="10"/>
  <c r="S44" i="10"/>
  <c r="Q58" i="10"/>
  <c r="J10" i="24"/>
  <c r="J26" i="24" s="1"/>
  <c r="J27" i="24" s="1"/>
  <c r="C27" i="28"/>
  <c r="L69" i="18"/>
  <c r="P41" i="11"/>
  <c r="R23" i="11"/>
  <c r="T23" i="11"/>
  <c r="T43" i="10"/>
  <c r="T56" i="10"/>
  <c r="T49" i="10"/>
  <c r="T55" i="10"/>
  <c r="M77" i="16"/>
  <c r="T41" i="10"/>
  <c r="Q78" i="10"/>
  <c r="S73" i="10"/>
  <c r="S75" i="10"/>
  <c r="S76" i="10"/>
  <c r="S79" i="10"/>
  <c r="S86" i="10"/>
  <c r="N89" i="25" s="1"/>
  <c r="S80" i="10"/>
  <c r="S74" i="10"/>
  <c r="S85" i="10"/>
  <c r="S91" i="10"/>
  <c r="S90" i="10"/>
  <c r="N82" i="16" s="1"/>
  <c r="T65" i="10"/>
  <c r="S72" i="10"/>
  <c r="S92" i="10"/>
  <c r="N85" i="16" s="1"/>
  <c r="S88" i="10"/>
  <c r="N80" i="16" s="1"/>
  <c r="S81" i="10"/>
  <c r="S82" i="10"/>
  <c r="S87" i="10"/>
  <c r="N79" i="16" s="1"/>
  <c r="M84" i="16"/>
  <c r="S45" i="22"/>
  <c r="R89" i="10"/>
  <c r="M81" i="16" s="1"/>
  <c r="M37" i="8"/>
  <c r="M183" i="5"/>
  <c r="K56" i="25" s="1"/>
  <c r="K70" i="16"/>
  <c r="K55" i="16"/>
  <c r="M36" i="8"/>
  <c r="L50" i="16"/>
  <c r="L67" i="16" s="1"/>
  <c r="L44" i="16"/>
  <c r="L61" i="16" s="1"/>
  <c r="L45" i="16"/>
  <c r="L62" i="16" s="1"/>
  <c r="L43" i="16"/>
  <c r="L46" i="16"/>
  <c r="L63" i="16" s="1"/>
  <c r="I46" i="10"/>
  <c r="S78" i="10"/>
  <c r="L98" i="16"/>
  <c r="L114" i="16" s="1"/>
  <c r="L82" i="16"/>
  <c r="H46" i="10"/>
  <c r="R78" i="10"/>
  <c r="P90" i="10"/>
  <c r="T78" i="10"/>
  <c r="P78" i="10"/>
  <c r="M100" i="24"/>
  <c r="M99" i="24" s="1"/>
  <c r="M101" i="24" s="1"/>
  <c r="O100" i="24"/>
  <c r="O99" i="24" s="1"/>
  <c r="O101" i="24" s="1"/>
  <c r="Q89" i="10"/>
  <c r="L81" i="16" s="1"/>
  <c r="L88" i="16" s="1"/>
  <c r="S89" i="10"/>
  <c r="N81" i="16" s="1"/>
  <c r="P89" i="10"/>
  <c r="P100" i="24"/>
  <c r="P99" i="24" s="1"/>
  <c r="P101" i="24" s="1"/>
  <c r="Q100" i="24"/>
  <c r="Q99" i="24" s="1"/>
  <c r="Q101" i="24" s="1"/>
  <c r="S77" i="10"/>
  <c r="R77" i="10"/>
  <c r="P77" i="10"/>
  <c r="Q77" i="10"/>
  <c r="T77" i="10"/>
  <c r="G45" i="10"/>
  <c r="L97" i="16"/>
  <c r="H57" i="10"/>
  <c r="V57" i="10" s="1"/>
  <c r="Q25" i="8"/>
  <c r="Q31" i="8" s="1"/>
  <c r="R15" i="8"/>
  <c r="R20" i="8" s="1"/>
  <c r="R25" i="8"/>
  <c r="R31" i="8" s="1"/>
  <c r="R21" i="8"/>
  <c r="P20" i="8"/>
  <c r="P21" i="8"/>
  <c r="P25" i="8"/>
  <c r="N100" i="24"/>
  <c r="N99" i="24" s="1"/>
  <c r="N101" i="24" s="1"/>
  <c r="Q41" i="11"/>
  <c r="S41" i="11"/>
  <c r="Q23" i="11"/>
  <c r="O15" i="8"/>
  <c r="O20" i="8" s="1"/>
  <c r="O25" i="8"/>
  <c r="S23" i="11"/>
  <c r="Q21" i="8"/>
  <c r="Q20" i="8"/>
  <c r="S21" i="8"/>
  <c r="S15" i="8"/>
  <c r="S20" i="8" s="1"/>
  <c r="S25" i="8"/>
  <c r="C29" i="29" l="1"/>
  <c r="H29" i="29" s="1"/>
  <c r="H27" i="28"/>
  <c r="S57" i="10"/>
  <c r="Q57" i="10"/>
  <c r="P57" i="10"/>
  <c r="N77" i="16"/>
  <c r="U65" i="10"/>
  <c r="T86" i="10"/>
  <c r="O89" i="25" s="1"/>
  <c r="T72" i="10"/>
  <c r="T88" i="10"/>
  <c r="O80" i="16" s="1"/>
  <c r="T75" i="10"/>
  <c r="T74" i="10"/>
  <c r="T79" i="10"/>
  <c r="T91" i="10"/>
  <c r="T80" i="10"/>
  <c r="T73" i="10"/>
  <c r="T81" i="10"/>
  <c r="T82" i="10"/>
  <c r="T87" i="10"/>
  <c r="O79" i="16" s="1"/>
  <c r="T90" i="10"/>
  <c r="O82" i="16" s="1"/>
  <c r="T85" i="10"/>
  <c r="T92" i="10"/>
  <c r="O85" i="16" s="1"/>
  <c r="T76" i="10"/>
  <c r="T89" i="10"/>
  <c r="O81" i="16" s="1"/>
  <c r="N84" i="16"/>
  <c r="N83" i="16"/>
  <c r="K71" i="16"/>
  <c r="K56" i="16"/>
  <c r="L55" i="16"/>
  <c r="L60" i="16"/>
  <c r="L70" i="16" s="1"/>
  <c r="K98" i="16"/>
  <c r="K114" i="16" s="1"/>
  <c r="K82" i="16"/>
  <c r="L130" i="16"/>
  <c r="L89" i="16"/>
  <c r="S46" i="10"/>
  <c r="U46" i="10"/>
  <c r="P46" i="10"/>
  <c r="V46" i="10"/>
  <c r="R46" i="10"/>
  <c r="Q46" i="10"/>
  <c r="T46" i="10"/>
  <c r="R36" i="8"/>
  <c r="Q36" i="8"/>
  <c r="T57" i="10"/>
  <c r="R57" i="10"/>
  <c r="K81" i="16"/>
  <c r="K97" i="16"/>
  <c r="L113" i="16"/>
  <c r="L129" i="16" s="1"/>
  <c r="L104" i="16"/>
  <c r="N31" i="22" s="1"/>
  <c r="N32" i="22" s="1"/>
  <c r="U57" i="10"/>
  <c r="U45" i="10"/>
  <c r="V45" i="10"/>
  <c r="R45" i="10"/>
  <c r="Q45" i="10"/>
  <c r="P45" i="10"/>
  <c r="S45" i="10"/>
  <c r="T45" i="10"/>
  <c r="P31" i="8"/>
  <c r="P36" i="8" s="1"/>
  <c r="S31" i="8"/>
  <c r="S36" i="8" s="1"/>
  <c r="O31" i="8"/>
  <c r="O36" i="8" s="1"/>
  <c r="J27" i="28" l="1"/>
  <c r="K27" i="28"/>
  <c r="J29" i="29"/>
  <c r="K29" i="29"/>
  <c r="O19" i="29"/>
  <c r="C21" i="29" s="1"/>
  <c r="P19" i="29"/>
  <c r="D21" i="29" s="1"/>
  <c r="O77" i="16"/>
  <c r="O84" i="16"/>
  <c r="O83" i="16"/>
  <c r="U86" i="10"/>
  <c r="P89" i="25" s="1"/>
  <c r="U92" i="10"/>
  <c r="P85" i="16" s="1"/>
  <c r="U73" i="10"/>
  <c r="U75" i="10"/>
  <c r="U76" i="10"/>
  <c r="U82" i="10"/>
  <c r="V65" i="10"/>
  <c r="U90" i="10"/>
  <c r="P82" i="16" s="1"/>
  <c r="U91" i="10"/>
  <c r="U87" i="10"/>
  <c r="P79" i="16" s="1"/>
  <c r="U80" i="10"/>
  <c r="U74" i="10"/>
  <c r="U79" i="10"/>
  <c r="U81" i="10"/>
  <c r="U88" i="10"/>
  <c r="P80" i="16" s="1"/>
  <c r="U72" i="10"/>
  <c r="U85" i="10"/>
  <c r="U89" i="10"/>
  <c r="P81" i="16" s="1"/>
  <c r="U77" i="10"/>
  <c r="U78" i="10"/>
  <c r="L56" i="16"/>
  <c r="L71" i="16"/>
  <c r="K130" i="16"/>
  <c r="K88" i="16"/>
  <c r="K89" i="16" s="1"/>
  <c r="K113" i="16"/>
  <c r="K129" i="16" s="1"/>
  <c r="K104" i="16"/>
  <c r="M31" i="22" s="1"/>
  <c r="M32" i="22" s="1"/>
  <c r="L109" i="16"/>
  <c r="L115" i="16"/>
  <c r="L131" i="16" s="1"/>
  <c r="L116" i="16"/>
  <c r="L132" i="16" s="1"/>
  <c r="L112" i="16"/>
  <c r="L128" i="16" s="1"/>
  <c r="L111" i="16"/>
  <c r="L127" i="16" s="1"/>
  <c r="L110" i="16"/>
  <c r="L126" i="16" s="1"/>
  <c r="S70" i="11"/>
  <c r="Q68" i="11"/>
  <c r="P77" i="16" l="1"/>
  <c r="Q19" i="29"/>
  <c r="P84" i="16"/>
  <c r="P83" i="16"/>
  <c r="V82" i="10"/>
  <c r="V88" i="10"/>
  <c r="Q80" i="16" s="1"/>
  <c r="V92" i="10"/>
  <c r="Q85" i="16" s="1"/>
  <c r="V76" i="10"/>
  <c r="V90" i="10"/>
  <c r="Q82" i="16" s="1"/>
  <c r="V79" i="10"/>
  <c r="V81" i="10"/>
  <c r="V74" i="10"/>
  <c r="V87" i="10"/>
  <c r="Q79" i="16" s="1"/>
  <c r="V85" i="10"/>
  <c r="V73" i="10"/>
  <c r="V75" i="10"/>
  <c r="V80" i="10"/>
  <c r="V86" i="10"/>
  <c r="Q89" i="25" s="1"/>
  <c r="V91" i="10"/>
  <c r="V72" i="10"/>
  <c r="V77" i="10"/>
  <c r="V89" i="10"/>
  <c r="Q81" i="16" s="1"/>
  <c r="V78" i="10"/>
  <c r="K109" i="16"/>
  <c r="K116" i="16"/>
  <c r="K132" i="16" s="1"/>
  <c r="K111" i="16"/>
  <c r="K127" i="16" s="1"/>
  <c r="K115" i="16"/>
  <c r="K131" i="16" s="1"/>
  <c r="K110" i="16"/>
  <c r="K126" i="16" s="1"/>
  <c r="K112" i="16"/>
  <c r="K128" i="16" s="1"/>
  <c r="L120" i="16"/>
  <c r="L125" i="16"/>
  <c r="L136" i="16" s="1"/>
  <c r="P70" i="11"/>
  <c r="P68" i="11"/>
  <c r="T70" i="11"/>
  <c r="Q70" i="11"/>
  <c r="R70" i="11"/>
  <c r="R68" i="11"/>
  <c r="S68" i="11"/>
  <c r="Q77" i="16" l="1"/>
  <c r="T16" i="29"/>
  <c r="T15" i="29"/>
  <c r="T14" i="29"/>
  <c r="T18" i="29"/>
  <c r="T17" i="29"/>
  <c r="E21" i="29"/>
  <c r="R19" i="29"/>
  <c r="F21" i="29" s="1"/>
  <c r="Q84" i="16"/>
  <c r="Q83" i="16"/>
  <c r="K120" i="16"/>
  <c r="K125" i="16"/>
  <c r="K136" i="16" s="1"/>
  <c r="L137" i="16"/>
  <c r="T68" i="11"/>
  <c r="M21" i="4"/>
  <c r="O21" i="5" s="1"/>
  <c r="S19" i="29" l="1"/>
  <c r="G21" i="29" s="1"/>
  <c r="H21" i="29" s="1"/>
  <c r="K137" i="16"/>
  <c r="M18" i="4"/>
  <c r="O18" i="5" s="1"/>
  <c r="P17" i="4"/>
  <c r="R17" i="5" s="1"/>
  <c r="Q17" i="4"/>
  <c r="S17" i="5" s="1"/>
  <c r="Q18" i="4"/>
  <c r="S18" i="5" s="1"/>
  <c r="P18" i="4"/>
  <c r="R18" i="5" s="1"/>
  <c r="N21" i="4"/>
  <c r="P21" i="5" s="1"/>
  <c r="N18" i="4"/>
  <c r="P18" i="5" s="1"/>
  <c r="Q15" i="4"/>
  <c r="S15" i="5" s="1"/>
  <c r="N15" i="4"/>
  <c r="P15" i="5" s="1"/>
  <c r="O22" i="4"/>
  <c r="Q22" i="5" s="1"/>
  <c r="N22" i="4"/>
  <c r="P22" i="5" s="1"/>
  <c r="O15" i="4"/>
  <c r="Q15" i="5" s="1"/>
  <c r="O21" i="4"/>
  <c r="Q21" i="5" s="1"/>
  <c r="M15" i="4"/>
  <c r="O15" i="5" s="1"/>
  <c r="O18" i="4"/>
  <c r="Q18" i="5" s="1"/>
  <c r="M22" i="4"/>
  <c r="O22" i="5" s="1"/>
  <c r="Q21" i="4"/>
  <c r="S21" i="5" s="1"/>
  <c r="O17" i="4"/>
  <c r="Q17" i="5" s="1"/>
  <c r="Q22" i="4"/>
  <c r="S22" i="5" s="1"/>
  <c r="P22" i="4"/>
  <c r="R22" i="5" s="1"/>
  <c r="P15" i="4"/>
  <c r="R15" i="5" s="1"/>
  <c r="P21" i="4"/>
  <c r="R21" i="5" s="1"/>
  <c r="M17" i="4"/>
  <c r="O17" i="5" s="1"/>
  <c r="N17" i="4"/>
  <c r="P17" i="5" s="1"/>
  <c r="K21" i="29" l="1"/>
  <c r="J21" i="29"/>
  <c r="T19" i="29"/>
  <c r="F25" i="27" s="1"/>
  <c r="Q71" i="11"/>
  <c r="S71" i="11"/>
  <c r="R71" i="11"/>
  <c r="T71" i="11"/>
  <c r="P71" i="11"/>
  <c r="Q14" i="4"/>
  <c r="S14" i="5" s="1"/>
  <c r="P16" i="4"/>
  <c r="R16" i="5" s="1"/>
  <c r="P12" i="4"/>
  <c r="R12" i="5" s="1"/>
  <c r="N11" i="4"/>
  <c r="P11" i="5" s="1"/>
  <c r="N14" i="4"/>
  <c r="P14" i="5" s="1"/>
  <c r="O13" i="4"/>
  <c r="Q13" i="5" s="1"/>
  <c r="M13" i="4"/>
  <c r="O13" i="5" s="1"/>
  <c r="M16" i="4"/>
  <c r="O16" i="5" s="1"/>
  <c r="N24" i="4"/>
  <c r="P24" i="5" s="1"/>
  <c r="M12" i="4"/>
  <c r="O12" i="5" s="1"/>
  <c r="O23" i="4"/>
  <c r="Q23" i="5" s="1"/>
  <c r="M23" i="4"/>
  <c r="O23" i="5" s="1"/>
  <c r="P14" i="4"/>
  <c r="R14" i="5" s="1"/>
  <c r="P13" i="4"/>
  <c r="R13" i="5" s="1"/>
  <c r="O16" i="4"/>
  <c r="Q16" i="5" s="1"/>
  <c r="Q24" i="4"/>
  <c r="S24" i="5" s="1"/>
  <c r="Q12" i="4"/>
  <c r="S12" i="5" s="1"/>
  <c r="O11" i="4"/>
  <c r="Q11" i="5" s="1"/>
  <c r="M14" i="4"/>
  <c r="O14" i="5" s="1"/>
  <c r="O14" i="4"/>
  <c r="Q14" i="5" s="1"/>
  <c r="N13" i="4"/>
  <c r="P13" i="5" s="1"/>
  <c r="Q13" i="4"/>
  <c r="S13" i="5" s="1"/>
  <c r="Q16" i="4"/>
  <c r="S16" i="5" s="1"/>
  <c r="M24" i="4"/>
  <c r="O24" i="5" s="1"/>
  <c r="N12" i="4"/>
  <c r="P12" i="5" s="1"/>
  <c r="P23" i="4"/>
  <c r="R23" i="5" s="1"/>
  <c r="P11" i="4"/>
  <c r="R11" i="5" s="1"/>
  <c r="O24" i="4"/>
  <c r="Q24" i="5" s="1"/>
  <c r="M11" i="4"/>
  <c r="O11" i="5" s="1"/>
  <c r="Q11" i="4"/>
  <c r="S11" i="5" s="1"/>
  <c r="N16" i="4"/>
  <c r="P16" i="5" s="1"/>
  <c r="P24" i="4"/>
  <c r="R24" i="5" s="1"/>
  <c r="O12" i="4"/>
  <c r="Q12" i="5" s="1"/>
  <c r="N23" i="4"/>
  <c r="P23" i="5" s="1"/>
  <c r="Q23" i="4"/>
  <c r="S23" i="5" s="1"/>
  <c r="H25" i="27" l="1"/>
  <c r="G25" i="27"/>
  <c r="Q66" i="11"/>
  <c r="T75" i="11"/>
  <c r="S66" i="11"/>
  <c r="S67" i="11"/>
  <c r="P65" i="11"/>
  <c r="T74" i="11"/>
  <c r="R65" i="11"/>
  <c r="Q69" i="11"/>
  <c r="P64" i="11"/>
  <c r="R75" i="11"/>
  <c r="S64" i="11"/>
  <c r="S74" i="11"/>
  <c r="P75" i="11"/>
  <c r="T66" i="11"/>
  <c r="P67" i="11"/>
  <c r="R69" i="11"/>
  <c r="P74" i="11"/>
  <c r="R74" i="11"/>
  <c r="P66" i="11"/>
  <c r="Q67" i="11"/>
  <c r="S69" i="11"/>
  <c r="T67" i="11"/>
  <c r="S75" i="11"/>
  <c r="Q65" i="11"/>
  <c r="Q74" i="11"/>
  <c r="T64" i="11"/>
  <c r="T69" i="11"/>
  <c r="R64" i="11"/>
  <c r="Q75" i="11"/>
  <c r="R66" i="11"/>
  <c r="Q64" i="11"/>
  <c r="S65" i="11"/>
  <c r="R67" i="11"/>
  <c r="T65" i="11"/>
  <c r="P69" i="11"/>
  <c r="M9" i="4"/>
  <c r="O9" i="5" s="1"/>
  <c r="G22" i="18" s="1"/>
  <c r="G84" i="18" s="1"/>
  <c r="N9" i="4"/>
  <c r="P9" i="5" s="1"/>
  <c r="O9" i="4"/>
  <c r="Q9" i="5" s="1"/>
  <c r="P9" i="4"/>
  <c r="R9" i="5" s="1"/>
  <c r="Q9" i="4"/>
  <c r="S9" i="5" s="1"/>
  <c r="K22" i="18" l="1"/>
  <c r="K84" i="18" s="1"/>
  <c r="H22" i="18"/>
  <c r="H16" i="18" s="1"/>
  <c r="I22" i="18"/>
  <c r="I84" i="18" s="1"/>
  <c r="J22" i="18"/>
  <c r="J16" i="18" s="1"/>
  <c r="T59" i="11"/>
  <c r="T63" i="11"/>
  <c r="Q59" i="11"/>
  <c r="Q63" i="11"/>
  <c r="R59" i="11"/>
  <c r="R63" i="11"/>
  <c r="M32" i="16"/>
  <c r="M30" i="16"/>
  <c r="M33" i="16"/>
  <c r="D14" i="27" s="1"/>
  <c r="G16" i="18"/>
  <c r="G17" i="18"/>
  <c r="G21" i="18"/>
  <c r="G20" i="18"/>
  <c r="O94" i="5"/>
  <c r="M39" i="25" s="1"/>
  <c r="M34" i="16"/>
  <c r="M27" i="16"/>
  <c r="M28" i="16"/>
  <c r="M29" i="16"/>
  <c r="G19" i="18"/>
  <c r="G14" i="18"/>
  <c r="M31" i="16"/>
  <c r="M35" i="16"/>
  <c r="G13" i="18"/>
  <c r="G18" i="18"/>
  <c r="Q94" i="5"/>
  <c r="O39" i="25" s="1"/>
  <c r="O33" i="16"/>
  <c r="F14" i="27" s="1"/>
  <c r="O31" i="16"/>
  <c r="O28" i="16"/>
  <c r="I21" i="18"/>
  <c r="I83" i="18" s="1"/>
  <c r="I19" i="18"/>
  <c r="I81" i="18" s="1"/>
  <c r="I20" i="18"/>
  <c r="I82" i="18" s="1"/>
  <c r="O29" i="16"/>
  <c r="O35" i="16"/>
  <c r="O34" i="16"/>
  <c r="O27" i="16"/>
  <c r="I18" i="18"/>
  <c r="I80" i="18" s="1"/>
  <c r="I13" i="18"/>
  <c r="I14" i="18"/>
  <c r="I17" i="18"/>
  <c r="I79" i="18" s="1"/>
  <c r="O30" i="16"/>
  <c r="O32" i="16"/>
  <c r="P34" i="16"/>
  <c r="J20" i="18"/>
  <c r="J82" i="18" s="1"/>
  <c r="J19" i="18"/>
  <c r="J81" i="18" s="1"/>
  <c r="J18" i="18"/>
  <c r="J80" i="18" s="1"/>
  <c r="J17" i="18"/>
  <c r="J79" i="18" s="1"/>
  <c r="P35" i="16"/>
  <c r="P27" i="16"/>
  <c r="P31" i="16"/>
  <c r="P32" i="16"/>
  <c r="P29" i="16"/>
  <c r="J21" i="18"/>
  <c r="J83" i="18" s="1"/>
  <c r="J14" i="18"/>
  <c r="R94" i="5"/>
  <c r="P39" i="25" s="1"/>
  <c r="P28" i="16"/>
  <c r="P33" i="16"/>
  <c r="G14" i="27" s="1"/>
  <c r="P30" i="16"/>
  <c r="J13" i="18"/>
  <c r="Q29" i="16"/>
  <c r="Q28" i="16"/>
  <c r="K21" i="18"/>
  <c r="K83" i="18" s="1"/>
  <c r="K19" i="18"/>
  <c r="K81" i="18" s="1"/>
  <c r="K17" i="18"/>
  <c r="K79" i="18" s="1"/>
  <c r="Q35" i="16"/>
  <c r="Q31" i="16"/>
  <c r="Q33" i="16"/>
  <c r="H14" i="27" s="1"/>
  <c r="Q34" i="16"/>
  <c r="K18" i="18"/>
  <c r="K80" i="18" s="1"/>
  <c r="K14" i="18"/>
  <c r="Q32" i="16"/>
  <c r="Q27" i="16"/>
  <c r="K13" i="18"/>
  <c r="Q30" i="16"/>
  <c r="K20" i="18"/>
  <c r="K82" i="18" s="1"/>
  <c r="S94" i="5"/>
  <c r="Q39" i="25" s="1"/>
  <c r="S59" i="11"/>
  <c r="S63" i="11"/>
  <c r="N32" i="16"/>
  <c r="N35" i="16"/>
  <c r="N27" i="16"/>
  <c r="N28" i="16"/>
  <c r="N33" i="16"/>
  <c r="E14" i="27" s="1"/>
  <c r="H19" i="18"/>
  <c r="H81" i="18" s="1"/>
  <c r="H14" i="18"/>
  <c r="H20" i="18"/>
  <c r="H82" i="18" s="1"/>
  <c r="N31" i="16"/>
  <c r="P94" i="5"/>
  <c r="N39" i="25" s="1"/>
  <c r="H18" i="18"/>
  <c r="H80" i="18" s="1"/>
  <c r="H21" i="18"/>
  <c r="H83" i="18" s="1"/>
  <c r="N30" i="16"/>
  <c r="N34" i="16"/>
  <c r="N29" i="16"/>
  <c r="H17" i="18"/>
  <c r="H79" i="18" s="1"/>
  <c r="H13" i="18"/>
  <c r="P59" i="11"/>
  <c r="P63" i="11"/>
  <c r="K16" i="18" l="1"/>
  <c r="K78" i="18" s="1"/>
  <c r="I16" i="18"/>
  <c r="I78" i="18" s="1"/>
  <c r="J84" i="18"/>
  <c r="H84" i="18"/>
  <c r="I14" i="27"/>
  <c r="J78" i="18"/>
  <c r="P38" i="16"/>
  <c r="P93" i="16"/>
  <c r="G75" i="18"/>
  <c r="M93" i="16"/>
  <c r="M38" i="16"/>
  <c r="M96" i="16"/>
  <c r="D11" i="27" s="1"/>
  <c r="H75" i="18"/>
  <c r="H78" i="18"/>
  <c r="N93" i="16"/>
  <c r="N38" i="16"/>
  <c r="Q96" i="16"/>
  <c r="H11" i="27" s="1"/>
  <c r="K76" i="18"/>
  <c r="Q47" i="16"/>
  <c r="Q64" i="16" s="1"/>
  <c r="Q97" i="16"/>
  <c r="G23" i="28" s="1"/>
  <c r="G24" i="29" s="1"/>
  <c r="J75" i="18"/>
  <c r="P94" i="16"/>
  <c r="P95" i="16"/>
  <c r="P101" i="16"/>
  <c r="P117" i="16" s="1"/>
  <c r="P133" i="16" s="1"/>
  <c r="P51" i="16"/>
  <c r="P68" i="16" s="1"/>
  <c r="O96" i="16"/>
  <c r="F11" i="27" s="1"/>
  <c r="I75" i="18"/>
  <c r="O101" i="16"/>
  <c r="O117" i="16" s="1"/>
  <c r="O133" i="16" s="1"/>
  <c r="O51" i="16"/>
  <c r="O68" i="16" s="1"/>
  <c r="O99" i="16"/>
  <c r="M51" i="16"/>
  <c r="M68" i="16" s="1"/>
  <c r="M101" i="16"/>
  <c r="M117" i="16" s="1"/>
  <c r="M133" i="16" s="1"/>
  <c r="G81" i="18"/>
  <c r="M100" i="16"/>
  <c r="G79" i="18"/>
  <c r="M98" i="16"/>
  <c r="C24" i="28" s="1"/>
  <c r="M48" i="16"/>
  <c r="M65" i="16" s="1"/>
  <c r="N100" i="16"/>
  <c r="N94" i="16"/>
  <c r="P12" i="16"/>
  <c r="S77" i="11"/>
  <c r="Q48" i="16"/>
  <c r="Q65" i="16" s="1"/>
  <c r="Q98" i="16"/>
  <c r="G24" i="28" s="1"/>
  <c r="G25" i="29" s="1"/>
  <c r="Q95" i="16"/>
  <c r="O98" i="16"/>
  <c r="E24" i="28" s="1"/>
  <c r="E25" i="29" s="1"/>
  <c r="O48" i="16"/>
  <c r="O65" i="16" s="1"/>
  <c r="O100" i="16"/>
  <c r="O97" i="16"/>
  <c r="E23" i="28" s="1"/>
  <c r="E24" i="29" s="1"/>
  <c r="O47" i="16"/>
  <c r="O64" i="16" s="1"/>
  <c r="G76" i="18"/>
  <c r="G83" i="18"/>
  <c r="N12" i="16"/>
  <c r="Q77" i="11"/>
  <c r="N96" i="16"/>
  <c r="E11" i="27" s="1"/>
  <c r="N97" i="16"/>
  <c r="D23" i="28" s="1"/>
  <c r="D24" i="29" s="1"/>
  <c r="N47" i="16"/>
  <c r="N64" i="16" s="1"/>
  <c r="N101" i="16"/>
  <c r="N117" i="16" s="1"/>
  <c r="N133" i="16" s="1"/>
  <c r="N51" i="16"/>
  <c r="N68" i="16" s="1"/>
  <c r="K75" i="18"/>
  <c r="Q101" i="16"/>
  <c r="Q117" i="16" s="1"/>
  <c r="Q133" i="16" s="1"/>
  <c r="Q51" i="16"/>
  <c r="Q68" i="16" s="1"/>
  <c r="P96" i="16"/>
  <c r="G11" i="27" s="1"/>
  <c r="P98" i="16"/>
  <c r="F24" i="28" s="1"/>
  <c r="F25" i="29" s="1"/>
  <c r="P48" i="16"/>
  <c r="P65" i="16" s="1"/>
  <c r="O95" i="16"/>
  <c r="M97" i="16"/>
  <c r="C23" i="28" s="1"/>
  <c r="M47" i="16"/>
  <c r="M64" i="16" s="1"/>
  <c r="M95" i="16"/>
  <c r="G78" i="18"/>
  <c r="R77" i="11"/>
  <c r="O12" i="16"/>
  <c r="T77" i="11"/>
  <c r="Q12" i="16"/>
  <c r="H76" i="18"/>
  <c r="Q99" i="16"/>
  <c r="P77" i="11"/>
  <c r="M12" i="16"/>
  <c r="N95" i="16"/>
  <c r="N99" i="16"/>
  <c r="N48" i="16"/>
  <c r="N65" i="16" s="1"/>
  <c r="N98" i="16"/>
  <c r="D24" i="28" s="1"/>
  <c r="D25" i="29" s="1"/>
  <c r="Q38" i="16"/>
  <c r="Q93" i="16"/>
  <c r="Q100" i="16"/>
  <c r="Q94" i="16"/>
  <c r="P99" i="16"/>
  <c r="J76" i="18"/>
  <c r="P47" i="16"/>
  <c r="P64" i="16" s="1"/>
  <c r="P97" i="16"/>
  <c r="F23" i="28" s="1"/>
  <c r="F24" i="29" s="1"/>
  <c r="P100" i="16"/>
  <c r="I76" i="18"/>
  <c r="O38" i="16"/>
  <c r="O93" i="16"/>
  <c r="O94" i="16"/>
  <c r="G80" i="18"/>
  <c r="M94" i="16"/>
  <c r="G82" i="18"/>
  <c r="M99" i="16"/>
  <c r="F9" i="27" l="1"/>
  <c r="E21" i="28"/>
  <c r="D10" i="27"/>
  <c r="C22" i="28"/>
  <c r="D9" i="27"/>
  <c r="C21" i="28"/>
  <c r="H9" i="27"/>
  <c r="G21" i="28"/>
  <c r="E8" i="27"/>
  <c r="D20" i="28"/>
  <c r="H10" i="27"/>
  <c r="G22" i="28"/>
  <c r="G20" i="29" s="1"/>
  <c r="C25" i="29"/>
  <c r="H24" i="28"/>
  <c r="G9" i="27"/>
  <c r="F21" i="28"/>
  <c r="D8" i="27"/>
  <c r="C20" i="28"/>
  <c r="G8" i="27"/>
  <c r="F20" i="28"/>
  <c r="F22" i="29" s="1"/>
  <c r="H8" i="27"/>
  <c r="G20" i="28"/>
  <c r="G22" i="29" s="1"/>
  <c r="F8" i="27"/>
  <c r="E20" i="28"/>
  <c r="E10" i="27"/>
  <c r="D22" i="28"/>
  <c r="D20" i="29" s="1"/>
  <c r="G10" i="27"/>
  <c r="F22" i="28"/>
  <c r="H25" i="29"/>
  <c r="C24" i="29"/>
  <c r="H24" i="29" s="1"/>
  <c r="H23" i="28"/>
  <c r="F10" i="27"/>
  <c r="E22" i="28"/>
  <c r="E20" i="29" s="1"/>
  <c r="E9" i="27"/>
  <c r="D21" i="28"/>
  <c r="I11" i="27"/>
  <c r="N113" i="16"/>
  <c r="N129" i="16" s="1"/>
  <c r="E12" i="27"/>
  <c r="M113" i="16"/>
  <c r="M129" i="16" s="1"/>
  <c r="D12" i="27"/>
  <c r="O113" i="16"/>
  <c r="O129" i="16" s="1"/>
  <c r="F12" i="27"/>
  <c r="M114" i="16"/>
  <c r="M130" i="16" s="1"/>
  <c r="D13" i="27"/>
  <c r="N114" i="16"/>
  <c r="N130" i="16" s="1"/>
  <c r="E13" i="27"/>
  <c r="P114" i="16"/>
  <c r="P130" i="16" s="1"/>
  <c r="G13" i="27"/>
  <c r="O114" i="16"/>
  <c r="O130" i="16" s="1"/>
  <c r="F13" i="27"/>
  <c r="P113" i="16"/>
  <c r="P129" i="16" s="1"/>
  <c r="G12" i="27"/>
  <c r="Q114" i="16"/>
  <c r="Q130" i="16" s="1"/>
  <c r="H13" i="27"/>
  <c r="Q113" i="16"/>
  <c r="Q129" i="16" s="1"/>
  <c r="H12" i="27"/>
  <c r="O23" i="25"/>
  <c r="J32" i="18"/>
  <c r="J33" i="18"/>
  <c r="P22" i="16"/>
  <c r="P23" i="16" s="1"/>
  <c r="P78" i="16"/>
  <c r="P104" i="16"/>
  <c r="R31" i="22" s="1"/>
  <c r="O104" i="16"/>
  <c r="Q31" i="22" s="1"/>
  <c r="N96" i="24"/>
  <c r="N95" i="24" s="1"/>
  <c r="Q22" i="16"/>
  <c r="Q23" i="16" s="1"/>
  <c r="K32" i="18"/>
  <c r="Q78" i="16"/>
  <c r="K33" i="18"/>
  <c r="M96" i="24"/>
  <c r="M95" i="24" s="1"/>
  <c r="N23" i="25"/>
  <c r="R133" i="16"/>
  <c r="N39" i="16"/>
  <c r="P26" i="22"/>
  <c r="P47" i="22" s="1"/>
  <c r="P48" i="22" s="1"/>
  <c r="P12" i="22" s="1"/>
  <c r="P20" i="22" s="1"/>
  <c r="R26" i="22"/>
  <c r="R47" i="22" s="1"/>
  <c r="R48" i="22" s="1"/>
  <c r="R12" i="22" s="1"/>
  <c r="R20" i="22" s="1"/>
  <c r="P39" i="16"/>
  <c r="O96" i="24"/>
  <c r="O95" i="24" s="1"/>
  <c r="Q96" i="24"/>
  <c r="Q95" i="24" s="1"/>
  <c r="M104" i="16"/>
  <c r="O31" i="22" s="1"/>
  <c r="Q26" i="22"/>
  <c r="Q47" i="22" s="1"/>
  <c r="Q48" i="22" s="1"/>
  <c r="Q12" i="22" s="1"/>
  <c r="Q20" i="22" s="1"/>
  <c r="O39" i="16"/>
  <c r="Q104" i="16"/>
  <c r="S31" i="22" s="1"/>
  <c r="G33" i="18"/>
  <c r="M78" i="16"/>
  <c r="G32" i="18"/>
  <c r="M22" i="16"/>
  <c r="M23" i="16" s="1"/>
  <c r="Q23" i="25"/>
  <c r="H33" i="18"/>
  <c r="N78" i="16"/>
  <c r="N22" i="16"/>
  <c r="N23" i="16" s="1"/>
  <c r="H32" i="18"/>
  <c r="N104" i="16"/>
  <c r="P31" i="22" s="1"/>
  <c r="O26" i="22"/>
  <c r="O47" i="22" s="1"/>
  <c r="O48" i="22" s="1"/>
  <c r="O12" i="22" s="1"/>
  <c r="O20" i="22" s="1"/>
  <c r="M39" i="16"/>
  <c r="S26" i="22"/>
  <c r="S47" i="22" s="1"/>
  <c r="S48" i="22" s="1"/>
  <c r="S12" i="22" s="1"/>
  <c r="S20" i="22" s="1"/>
  <c r="Q39" i="16"/>
  <c r="M23" i="25"/>
  <c r="O78" i="16"/>
  <c r="I32" i="18"/>
  <c r="I33" i="18"/>
  <c r="O22" i="16"/>
  <c r="O23" i="16" s="1"/>
  <c r="P23" i="25"/>
  <c r="P96" i="24"/>
  <c r="P95" i="24" s="1"/>
  <c r="I8" i="27" l="1"/>
  <c r="I10" i="27"/>
  <c r="F27" i="27" s="1"/>
  <c r="J23" i="28"/>
  <c r="K23" i="28"/>
  <c r="C20" i="29"/>
  <c r="H22" i="28"/>
  <c r="J24" i="29"/>
  <c r="K24" i="29"/>
  <c r="C22" i="29"/>
  <c r="J24" i="28"/>
  <c r="K24" i="28"/>
  <c r="K25" i="29"/>
  <c r="J25" i="29"/>
  <c r="H20" i="28"/>
  <c r="D22" i="29"/>
  <c r="C23" i="29"/>
  <c r="H21" i="28"/>
  <c r="E23" i="29"/>
  <c r="D23" i="29"/>
  <c r="G23" i="29"/>
  <c r="F20" i="29"/>
  <c r="E22" i="29"/>
  <c r="F23" i="29"/>
  <c r="I9" i="27"/>
  <c r="F26" i="27" s="1"/>
  <c r="Q88" i="16"/>
  <c r="K49" i="26" s="1"/>
  <c r="H17" i="27"/>
  <c r="N88" i="16"/>
  <c r="N89" i="16" s="1"/>
  <c r="E17" i="27"/>
  <c r="P88" i="16"/>
  <c r="P89" i="16" s="1"/>
  <c r="G17" i="27"/>
  <c r="O88" i="16"/>
  <c r="O89" i="16" s="1"/>
  <c r="F17" i="27"/>
  <c r="M88" i="16"/>
  <c r="G49" i="26" s="1"/>
  <c r="D17" i="27"/>
  <c r="R130" i="16"/>
  <c r="R129" i="16"/>
  <c r="S32" i="22"/>
  <c r="Q109" i="16" s="1"/>
  <c r="Q125" i="16" s="1"/>
  <c r="I12" i="27"/>
  <c r="Q104" i="24"/>
  <c r="Q103" i="24" s="1"/>
  <c r="Q105" i="24" s="1"/>
  <c r="H15" i="27"/>
  <c r="H16" i="27" s="1"/>
  <c r="O104" i="24"/>
  <c r="O108" i="24" s="1"/>
  <c r="O107" i="24" s="1"/>
  <c r="O109" i="24" s="1"/>
  <c r="F15" i="27"/>
  <c r="F16" i="27" s="1"/>
  <c r="I13" i="27"/>
  <c r="F29" i="27" s="1"/>
  <c r="N104" i="24"/>
  <c r="N108" i="24" s="1"/>
  <c r="N107" i="24" s="1"/>
  <c r="E15" i="27"/>
  <c r="E16" i="27" s="1"/>
  <c r="M104" i="24"/>
  <c r="M103" i="24" s="1"/>
  <c r="M105" i="24" s="1"/>
  <c r="D15" i="27"/>
  <c r="P104" i="24"/>
  <c r="P103" i="24" s="1"/>
  <c r="P105" i="24" s="1"/>
  <c r="G15" i="27"/>
  <c r="G16" i="27" s="1"/>
  <c r="Q32" i="22"/>
  <c r="O111" i="16" s="1"/>
  <c r="O127" i="16" s="1"/>
  <c r="R32" i="22"/>
  <c r="P112" i="16" s="1"/>
  <c r="P128" i="16" s="1"/>
  <c r="O32" i="22"/>
  <c r="M111" i="16" s="1"/>
  <c r="M127" i="16" s="1"/>
  <c r="P32" i="22"/>
  <c r="N111" i="16" s="1"/>
  <c r="N127" i="16" s="1"/>
  <c r="I48" i="18"/>
  <c r="J48" i="18"/>
  <c r="S142" i="5"/>
  <c r="S123" i="5"/>
  <c r="S153" i="5"/>
  <c r="S155" i="5"/>
  <c r="S130" i="5"/>
  <c r="S149" i="5"/>
  <c r="S122" i="5"/>
  <c r="S146" i="5"/>
  <c r="S137" i="5"/>
  <c r="S166" i="5"/>
  <c r="S145" i="5"/>
  <c r="S162" i="5"/>
  <c r="S141" i="5"/>
  <c r="S154" i="5"/>
  <c r="S116" i="5"/>
  <c r="S140" i="5"/>
  <c r="S134" i="5"/>
  <c r="S124" i="5"/>
  <c r="S143" i="5"/>
  <c r="S117" i="5"/>
  <c r="S164" i="5"/>
  <c r="S127" i="5"/>
  <c r="S152" i="5"/>
  <c r="S163" i="5"/>
  <c r="S119" i="5"/>
  <c r="S120" i="5"/>
  <c r="S136" i="5"/>
  <c r="S133" i="5"/>
  <c r="S161" i="5"/>
  <c r="S158" i="5"/>
  <c r="S156" i="5"/>
  <c r="S167" i="5"/>
  <c r="S160" i="5"/>
  <c r="S37" i="8" s="1"/>
  <c r="S147" i="5"/>
  <c r="S168" i="5"/>
  <c r="S151" i="5"/>
  <c r="S118" i="5"/>
  <c r="S135" i="5"/>
  <c r="S128" i="5"/>
  <c r="S125" i="5"/>
  <c r="S132" i="5"/>
  <c r="S159" i="5"/>
  <c r="S150" i="5"/>
  <c r="S99" i="5"/>
  <c r="S144" i="5"/>
  <c r="S139" i="5"/>
  <c r="S157" i="5"/>
  <c r="S121" i="5"/>
  <c r="S27" i="22"/>
  <c r="S126" i="5"/>
  <c r="S169" i="5"/>
  <c r="S129" i="5"/>
  <c r="S115" i="5"/>
  <c r="S148" i="5"/>
  <c r="S108" i="5"/>
  <c r="S109" i="5"/>
  <c r="S165" i="5"/>
  <c r="S131" i="5"/>
  <c r="S114" i="5"/>
  <c r="S138" i="5"/>
  <c r="S110" i="5"/>
  <c r="S104" i="5"/>
  <c r="S106" i="5"/>
  <c r="S107" i="5"/>
  <c r="S111" i="5"/>
  <c r="S112" i="5"/>
  <c r="S102" i="5"/>
  <c r="S100" i="5"/>
  <c r="S105" i="5"/>
  <c r="S103" i="5"/>
  <c r="S101" i="5"/>
  <c r="S113" i="5"/>
  <c r="S98" i="5"/>
  <c r="R118" i="5"/>
  <c r="R138" i="5"/>
  <c r="R129" i="5"/>
  <c r="R148" i="5"/>
  <c r="R136" i="5"/>
  <c r="R159" i="5"/>
  <c r="R132" i="5"/>
  <c r="R140" i="5"/>
  <c r="R128" i="5"/>
  <c r="R144" i="5"/>
  <c r="R154" i="5"/>
  <c r="R126" i="5"/>
  <c r="R160" i="5"/>
  <c r="R37" i="8" s="1"/>
  <c r="R169" i="5"/>
  <c r="R163" i="5"/>
  <c r="R142" i="5"/>
  <c r="R162" i="5"/>
  <c r="R117" i="5"/>
  <c r="R120" i="5"/>
  <c r="R131" i="5"/>
  <c r="R125" i="5"/>
  <c r="R153" i="5"/>
  <c r="R27" i="22"/>
  <c r="R155" i="5"/>
  <c r="R124" i="5"/>
  <c r="R152" i="5"/>
  <c r="R121" i="5"/>
  <c r="R149" i="5"/>
  <c r="R127" i="5"/>
  <c r="R119" i="5"/>
  <c r="R164" i="5"/>
  <c r="R123" i="5"/>
  <c r="R141" i="5"/>
  <c r="R147" i="5"/>
  <c r="R114" i="5"/>
  <c r="R133" i="5"/>
  <c r="R122" i="5"/>
  <c r="R165" i="5"/>
  <c r="R158" i="5"/>
  <c r="R135" i="5"/>
  <c r="R143" i="5"/>
  <c r="R150" i="5"/>
  <c r="R157" i="5"/>
  <c r="R166" i="5"/>
  <c r="R116" i="5"/>
  <c r="R130" i="5"/>
  <c r="R168" i="5"/>
  <c r="R134" i="5"/>
  <c r="R167" i="5"/>
  <c r="R146" i="5"/>
  <c r="R109" i="5"/>
  <c r="R115" i="5"/>
  <c r="R137" i="5"/>
  <c r="R161" i="5"/>
  <c r="R139" i="5"/>
  <c r="R156" i="5"/>
  <c r="R151" i="5"/>
  <c r="R145" i="5"/>
  <c r="R108" i="5"/>
  <c r="R99" i="5"/>
  <c r="R110" i="5"/>
  <c r="R111" i="5"/>
  <c r="R107" i="5"/>
  <c r="R106" i="5"/>
  <c r="R104" i="5"/>
  <c r="R105" i="5"/>
  <c r="R101" i="5"/>
  <c r="R103" i="5"/>
  <c r="R112" i="5"/>
  <c r="R100" i="5"/>
  <c r="R102" i="5"/>
  <c r="R113" i="5"/>
  <c r="R98" i="5"/>
  <c r="Q89" i="16"/>
  <c r="O157" i="5"/>
  <c r="O132" i="5"/>
  <c r="O154" i="5"/>
  <c r="O137" i="5"/>
  <c r="O135" i="5"/>
  <c r="O138" i="5"/>
  <c r="O130" i="5"/>
  <c r="O160" i="5"/>
  <c r="O37" i="8" s="1"/>
  <c r="O131" i="5"/>
  <c r="O118" i="5"/>
  <c r="O142" i="5"/>
  <c r="O99" i="5"/>
  <c r="O109" i="5"/>
  <c r="O165" i="5"/>
  <c r="O134" i="5"/>
  <c r="O163" i="5"/>
  <c r="O141" i="5"/>
  <c r="O161" i="5"/>
  <c r="O127" i="5"/>
  <c r="O168" i="5"/>
  <c r="O144" i="5"/>
  <c r="O124" i="5"/>
  <c r="O148" i="5"/>
  <c r="O122" i="5"/>
  <c r="O150" i="5"/>
  <c r="O149" i="5"/>
  <c r="O139" i="5"/>
  <c r="O117" i="5"/>
  <c r="O146" i="5"/>
  <c r="O155" i="5"/>
  <c r="O147" i="5"/>
  <c r="O152" i="5"/>
  <c r="O153" i="5"/>
  <c r="O136" i="5"/>
  <c r="O108" i="5"/>
  <c r="O164" i="5"/>
  <c r="O27" i="22"/>
  <c r="O143" i="5"/>
  <c r="O121" i="5"/>
  <c r="O169" i="5"/>
  <c r="O120" i="5"/>
  <c r="O126" i="5"/>
  <c r="O129" i="5"/>
  <c r="O140" i="5"/>
  <c r="O119" i="5"/>
  <c r="O159" i="5"/>
  <c r="O123" i="5"/>
  <c r="O156" i="5"/>
  <c r="O145" i="5"/>
  <c r="O115" i="5"/>
  <c r="O114" i="5"/>
  <c r="O158" i="5"/>
  <c r="O162" i="5"/>
  <c r="O125" i="5"/>
  <c r="O133" i="5"/>
  <c r="O166" i="5"/>
  <c r="O167" i="5"/>
  <c r="O151" i="5"/>
  <c r="O128" i="5"/>
  <c r="O116" i="5"/>
  <c r="O110" i="5"/>
  <c r="O107" i="5"/>
  <c r="O106" i="5"/>
  <c r="O111" i="5"/>
  <c r="O104" i="5"/>
  <c r="O112" i="5"/>
  <c r="O100" i="5"/>
  <c r="O101" i="5"/>
  <c r="O102" i="5"/>
  <c r="O105" i="5"/>
  <c r="O103" i="5"/>
  <c r="O113" i="5"/>
  <c r="O98" i="5"/>
  <c r="K11" i="18"/>
  <c r="Q126" i="5"/>
  <c r="Q164" i="5"/>
  <c r="Q159" i="5"/>
  <c r="Q133" i="5"/>
  <c r="Q150" i="5"/>
  <c r="Q158" i="5"/>
  <c r="Q131" i="5"/>
  <c r="Q132" i="5"/>
  <c r="Q145" i="5"/>
  <c r="Q119" i="5"/>
  <c r="Q134" i="5"/>
  <c r="Q147" i="5"/>
  <c r="Q153" i="5"/>
  <c r="Q122" i="5"/>
  <c r="Q149" i="5"/>
  <c r="Q151" i="5"/>
  <c r="Q99" i="5"/>
  <c r="Q157" i="5"/>
  <c r="Q167" i="5"/>
  <c r="Q116" i="5"/>
  <c r="Q125" i="5"/>
  <c r="Q121" i="5"/>
  <c r="Q27" i="22"/>
  <c r="Q143" i="5"/>
  <c r="Q118" i="5"/>
  <c r="Q141" i="5"/>
  <c r="Q152" i="5"/>
  <c r="Q136" i="5"/>
  <c r="Q117" i="5"/>
  <c r="Q168" i="5"/>
  <c r="Q162" i="5"/>
  <c r="Q148" i="5"/>
  <c r="Q128" i="5"/>
  <c r="Q144" i="5"/>
  <c r="Q160" i="5"/>
  <c r="Q37" i="8" s="1"/>
  <c r="Q123" i="5"/>
  <c r="Q142" i="5"/>
  <c r="Q135" i="5"/>
  <c r="Q114" i="5"/>
  <c r="Q130" i="5"/>
  <c r="Q154" i="5"/>
  <c r="Q115" i="5"/>
  <c r="Q120" i="5"/>
  <c r="Q127" i="5"/>
  <c r="Q163" i="5"/>
  <c r="Q129" i="5"/>
  <c r="Q124" i="5"/>
  <c r="Q161" i="5"/>
  <c r="Q138" i="5"/>
  <c r="Q109" i="5"/>
  <c r="Q139" i="5"/>
  <c r="Q166" i="5"/>
  <c r="Q146" i="5"/>
  <c r="Q155" i="5"/>
  <c r="Q108" i="5"/>
  <c r="Q169" i="5"/>
  <c r="Q137" i="5"/>
  <c r="Q156" i="5"/>
  <c r="Q165" i="5"/>
  <c r="Q140" i="5"/>
  <c r="Q111" i="5"/>
  <c r="Q107" i="5"/>
  <c r="Q106" i="5"/>
  <c r="Q110" i="5"/>
  <c r="Q104" i="5"/>
  <c r="Q113" i="5"/>
  <c r="Q112" i="5"/>
  <c r="Q100" i="5"/>
  <c r="Q103" i="5"/>
  <c r="Q105" i="5"/>
  <c r="Q101" i="5"/>
  <c r="Q102" i="5"/>
  <c r="Q98" i="5"/>
  <c r="M97" i="24"/>
  <c r="K48" i="18"/>
  <c r="N97" i="24"/>
  <c r="P97" i="24"/>
  <c r="G48" i="18"/>
  <c r="Q97" i="24"/>
  <c r="O97" i="24"/>
  <c r="P119" i="5"/>
  <c r="P128" i="5"/>
  <c r="P115" i="5"/>
  <c r="P27" i="22"/>
  <c r="P136" i="5"/>
  <c r="P117" i="5"/>
  <c r="P166" i="5"/>
  <c r="P127" i="5"/>
  <c r="P168" i="5"/>
  <c r="P121" i="5"/>
  <c r="P167" i="5"/>
  <c r="P123" i="5"/>
  <c r="P122" i="5"/>
  <c r="P137" i="5"/>
  <c r="P154" i="5"/>
  <c r="P146" i="5"/>
  <c r="P149" i="5"/>
  <c r="P99" i="5"/>
  <c r="P163" i="5"/>
  <c r="P140" i="5"/>
  <c r="P138" i="5"/>
  <c r="P143" i="5"/>
  <c r="P131" i="5"/>
  <c r="P147" i="5"/>
  <c r="P155" i="5"/>
  <c r="P116" i="5"/>
  <c r="P160" i="5"/>
  <c r="P37" i="8" s="1"/>
  <c r="P133" i="5"/>
  <c r="P134" i="5"/>
  <c r="P159" i="5"/>
  <c r="P124" i="5"/>
  <c r="P153" i="5"/>
  <c r="P164" i="5"/>
  <c r="P162" i="5"/>
  <c r="P156" i="5"/>
  <c r="P108" i="5"/>
  <c r="P132" i="5"/>
  <c r="P126" i="5"/>
  <c r="P109" i="5"/>
  <c r="P130" i="5"/>
  <c r="P157" i="5"/>
  <c r="P151" i="5"/>
  <c r="P141" i="5"/>
  <c r="P148" i="5"/>
  <c r="P145" i="5"/>
  <c r="P165" i="5"/>
  <c r="P125" i="5"/>
  <c r="P144" i="5"/>
  <c r="P152" i="5"/>
  <c r="P120" i="5"/>
  <c r="P169" i="5"/>
  <c r="P139" i="5"/>
  <c r="P129" i="5"/>
  <c r="P161" i="5"/>
  <c r="P150" i="5"/>
  <c r="P142" i="5"/>
  <c r="P114" i="5"/>
  <c r="P158" i="5"/>
  <c r="P135" i="5"/>
  <c r="P118" i="5"/>
  <c r="P106" i="5"/>
  <c r="P107" i="5"/>
  <c r="P110" i="5"/>
  <c r="P111" i="5"/>
  <c r="P104" i="5"/>
  <c r="P112" i="5"/>
  <c r="P102" i="5"/>
  <c r="P100" i="5"/>
  <c r="P105" i="5"/>
  <c r="P103" i="5"/>
  <c r="P101" i="5"/>
  <c r="P113" i="5"/>
  <c r="P98" i="5"/>
  <c r="H48" i="18"/>
  <c r="D26" i="28" s="1"/>
  <c r="M89" i="16"/>
  <c r="Q111" i="16"/>
  <c r="Q127" i="16" s="1"/>
  <c r="Q110" i="16" l="1"/>
  <c r="Q126" i="16" s="1"/>
  <c r="J49" i="26"/>
  <c r="H26" i="27"/>
  <c r="G26" i="27"/>
  <c r="H29" i="27"/>
  <c r="G29" i="27"/>
  <c r="F28" i="27"/>
  <c r="G28" i="27" s="1"/>
  <c r="H27" i="27"/>
  <c r="G27" i="27"/>
  <c r="F24" i="27"/>
  <c r="I49" i="26"/>
  <c r="H49" i="26"/>
  <c r="G11" i="18"/>
  <c r="H19" i="27"/>
  <c r="D28" i="29"/>
  <c r="D31" i="29" s="1"/>
  <c r="J49" i="18"/>
  <c r="F26" i="28"/>
  <c r="G15" i="18"/>
  <c r="G77" i="18" s="1"/>
  <c r="K49" i="18"/>
  <c r="G26" i="28"/>
  <c r="I49" i="18"/>
  <c r="E26" i="28"/>
  <c r="G49" i="18"/>
  <c r="C26" i="28"/>
  <c r="L48" i="18"/>
  <c r="Q108" i="24"/>
  <c r="Q107" i="24" s="1"/>
  <c r="Q109" i="24" s="1"/>
  <c r="D31" i="28"/>
  <c r="H22" i="29"/>
  <c r="K22" i="29" s="1"/>
  <c r="J22" i="28"/>
  <c r="K22" i="28"/>
  <c r="H20" i="29"/>
  <c r="Q115" i="16"/>
  <c r="Q131" i="16" s="1"/>
  <c r="Q116" i="16"/>
  <c r="Q132" i="16" s="1"/>
  <c r="Q112" i="16"/>
  <c r="Q128" i="16" s="1"/>
  <c r="H23" i="29"/>
  <c r="J21" i="28"/>
  <c r="K21" i="28"/>
  <c r="J20" i="28"/>
  <c r="K20" i="28"/>
  <c r="H11" i="18"/>
  <c r="H73" i="18" s="1"/>
  <c r="K15" i="18"/>
  <c r="K12" i="18" s="1"/>
  <c r="O103" i="24"/>
  <c r="O105" i="24" s="1"/>
  <c r="N103" i="24"/>
  <c r="N105" i="24" s="1"/>
  <c r="H49" i="18"/>
  <c r="F19" i="27"/>
  <c r="I17" i="27"/>
  <c r="F32" i="27" s="1"/>
  <c r="P116" i="16"/>
  <c r="P132" i="16" s="1"/>
  <c r="G19" i="27"/>
  <c r="E19" i="27"/>
  <c r="O109" i="16"/>
  <c r="O125" i="16" s="1"/>
  <c r="O115" i="16"/>
  <c r="O131" i="16" s="1"/>
  <c r="M115" i="16"/>
  <c r="M131" i="16" s="1"/>
  <c r="N109" i="24"/>
  <c r="M112" i="16"/>
  <c r="M128" i="16" s="1"/>
  <c r="M110" i="16"/>
  <c r="M126" i="16" s="1"/>
  <c r="M109" i="16"/>
  <c r="M125" i="16" s="1"/>
  <c r="P108" i="24"/>
  <c r="P107" i="24" s="1"/>
  <c r="P109" i="24" s="1"/>
  <c r="I15" i="18"/>
  <c r="I77" i="18" s="1"/>
  <c r="P109" i="16"/>
  <c r="P125" i="16" s="1"/>
  <c r="N116" i="16"/>
  <c r="N132" i="16" s="1"/>
  <c r="J11" i="18"/>
  <c r="J73" i="18" s="1"/>
  <c r="O110" i="16"/>
  <c r="O126" i="16" s="1"/>
  <c r="J15" i="18"/>
  <c r="J77" i="18" s="1"/>
  <c r="P110" i="16"/>
  <c r="P126" i="16" s="1"/>
  <c r="M108" i="24"/>
  <c r="M107" i="24" s="1"/>
  <c r="M109" i="24" s="1"/>
  <c r="P111" i="16"/>
  <c r="P127" i="16" s="1"/>
  <c r="R127" i="16" s="1"/>
  <c r="I11" i="18"/>
  <c r="I73" i="18" s="1"/>
  <c r="N110" i="16"/>
  <c r="N126" i="16" s="1"/>
  <c r="N112" i="16"/>
  <c r="N128" i="16" s="1"/>
  <c r="P115" i="16"/>
  <c r="P131" i="16" s="1"/>
  <c r="N109" i="16"/>
  <c r="N125" i="16" s="1"/>
  <c r="H15" i="18"/>
  <c r="H77" i="18" s="1"/>
  <c r="O116" i="16"/>
  <c r="O132" i="16" s="1"/>
  <c r="O112" i="16"/>
  <c r="O128" i="16" s="1"/>
  <c r="M116" i="16"/>
  <c r="M132" i="16" s="1"/>
  <c r="I15" i="27"/>
  <c r="F30" i="27" s="1"/>
  <c r="D16" i="27"/>
  <c r="N115" i="16"/>
  <c r="N131" i="16" s="1"/>
  <c r="K73" i="18"/>
  <c r="P183" i="5"/>
  <c r="N56" i="25" s="1"/>
  <c r="R183" i="5"/>
  <c r="P56" i="25" s="1"/>
  <c r="N50" i="16"/>
  <c r="N67" i="16" s="1"/>
  <c r="N46" i="16"/>
  <c r="N63" i="16" s="1"/>
  <c r="N49" i="16"/>
  <c r="N66" i="16" s="1"/>
  <c r="N44" i="16"/>
  <c r="N61" i="16" s="1"/>
  <c r="N43" i="16"/>
  <c r="N45" i="16"/>
  <c r="N62" i="16" s="1"/>
  <c r="Q183" i="5"/>
  <c r="O56" i="25" s="1"/>
  <c r="S183" i="5"/>
  <c r="Q56" i="25" s="1"/>
  <c r="Q45" i="16"/>
  <c r="Q62" i="16" s="1"/>
  <c r="Q50" i="16"/>
  <c r="Q67" i="16" s="1"/>
  <c r="Q44" i="16"/>
  <c r="Q61" i="16" s="1"/>
  <c r="Q46" i="16"/>
  <c r="Q63" i="16" s="1"/>
  <c r="Q49" i="16"/>
  <c r="Q66" i="16" s="1"/>
  <c r="Q43" i="16"/>
  <c r="O49" i="16"/>
  <c r="O66" i="16" s="1"/>
  <c r="O50" i="16"/>
  <c r="O67" i="16" s="1"/>
  <c r="O46" i="16"/>
  <c r="O63" i="16" s="1"/>
  <c r="O44" i="16"/>
  <c r="O61" i="16" s="1"/>
  <c r="O45" i="16"/>
  <c r="O62" i="16" s="1"/>
  <c r="O43" i="16"/>
  <c r="O183" i="5"/>
  <c r="M56" i="25" s="1"/>
  <c r="M43" i="16"/>
  <c r="M49" i="16"/>
  <c r="M66" i="16" s="1"/>
  <c r="M44" i="16"/>
  <c r="M61" i="16" s="1"/>
  <c r="M50" i="16"/>
  <c r="M67" i="16" s="1"/>
  <c r="M46" i="16"/>
  <c r="M63" i="16" s="1"/>
  <c r="M45" i="16"/>
  <c r="M62" i="16" s="1"/>
  <c r="P43" i="16"/>
  <c r="P45" i="16"/>
  <c r="P62" i="16" s="1"/>
  <c r="P50" i="16"/>
  <c r="P67" i="16" s="1"/>
  <c r="P46" i="16"/>
  <c r="P63" i="16" s="1"/>
  <c r="P49" i="16"/>
  <c r="P66" i="16" s="1"/>
  <c r="P44" i="16"/>
  <c r="P61" i="16" s="1"/>
  <c r="H32" i="27" l="1"/>
  <c r="G32" i="27"/>
  <c r="F31" i="27"/>
  <c r="G24" i="27"/>
  <c r="H30" i="27"/>
  <c r="G30" i="27"/>
  <c r="H24" i="27"/>
  <c r="H28" i="27"/>
  <c r="D19" i="27"/>
  <c r="I16" i="27"/>
  <c r="N113" i="24"/>
  <c r="Q113" i="24"/>
  <c r="G73" i="18"/>
  <c r="F28" i="29"/>
  <c r="F31" i="29" s="1"/>
  <c r="F31" i="28"/>
  <c r="P113" i="24"/>
  <c r="C28" i="29"/>
  <c r="C31" i="29" s="1"/>
  <c r="C31" i="28"/>
  <c r="G28" i="29"/>
  <c r="G31" i="29" s="1"/>
  <c r="G31" i="28"/>
  <c r="Q136" i="16"/>
  <c r="K90" i="26" s="1"/>
  <c r="O113" i="24"/>
  <c r="E28" i="29"/>
  <c r="E31" i="29" s="1"/>
  <c r="E31" i="28"/>
  <c r="H26" i="28"/>
  <c r="J22" i="29"/>
  <c r="J20" i="29"/>
  <c r="K20" i="29"/>
  <c r="Q120" i="16"/>
  <c r="G25" i="28" s="1"/>
  <c r="K77" i="18"/>
  <c r="R131" i="16"/>
  <c r="J23" i="29"/>
  <c r="K23" i="29"/>
  <c r="R128" i="16"/>
  <c r="P120" i="16"/>
  <c r="F25" i="28" s="1"/>
  <c r="M136" i="16"/>
  <c r="G90" i="26" s="1"/>
  <c r="P136" i="16"/>
  <c r="J90" i="26" s="1"/>
  <c r="R126" i="16"/>
  <c r="G12" i="18"/>
  <c r="M74" i="24" s="1"/>
  <c r="N120" i="16"/>
  <c r="D25" i="28" s="1"/>
  <c r="I12" i="18"/>
  <c r="O74" i="24" s="1"/>
  <c r="H12" i="18"/>
  <c r="N74" i="24" s="1"/>
  <c r="R132" i="16"/>
  <c r="M120" i="16"/>
  <c r="G28" i="26" s="1"/>
  <c r="O120" i="16"/>
  <c r="E25" i="28" s="1"/>
  <c r="J12" i="18"/>
  <c r="P78" i="24" s="1"/>
  <c r="N136" i="16"/>
  <c r="H90" i="26" s="1"/>
  <c r="M113" i="24"/>
  <c r="O136" i="16"/>
  <c r="I90" i="26" s="1"/>
  <c r="Q75" i="24"/>
  <c r="Q53" i="24"/>
  <c r="K74" i="18"/>
  <c r="Q32" i="24"/>
  <c r="Q31" i="24"/>
  <c r="Q77" i="24"/>
  <c r="K27" i="18"/>
  <c r="M55" i="16"/>
  <c r="M60" i="16"/>
  <c r="M70" i="16" s="1"/>
  <c r="O55" i="16"/>
  <c r="O60" i="16"/>
  <c r="O70" i="16" s="1"/>
  <c r="Q60" i="16"/>
  <c r="Q70" i="16" s="1"/>
  <c r="Q55" i="16"/>
  <c r="N55" i="16"/>
  <c r="N60" i="16"/>
  <c r="N70" i="16" s="1"/>
  <c r="Q54" i="24"/>
  <c r="Q74" i="24"/>
  <c r="P60" i="16"/>
  <c r="P70" i="16" s="1"/>
  <c r="P55" i="16"/>
  <c r="Q56" i="24"/>
  <c r="R125" i="16"/>
  <c r="Q76" i="24"/>
  <c r="Q52" i="24"/>
  <c r="Q78" i="24"/>
  <c r="Q55" i="24"/>
  <c r="P76" i="24" l="1"/>
  <c r="G31" i="27"/>
  <c r="F34" i="27"/>
  <c r="G34" i="27" s="1"/>
  <c r="P55" i="24"/>
  <c r="M78" i="24"/>
  <c r="O77" i="24"/>
  <c r="M53" i="24"/>
  <c r="M55" i="24"/>
  <c r="G74" i="18"/>
  <c r="G89" i="18" s="1"/>
  <c r="H28" i="26"/>
  <c r="H31" i="29"/>
  <c r="K31" i="29" s="1"/>
  <c r="I74" i="18"/>
  <c r="I89" i="18" s="1"/>
  <c r="Q137" i="16"/>
  <c r="H28" i="29"/>
  <c r="M31" i="24"/>
  <c r="M75" i="24"/>
  <c r="M54" i="24"/>
  <c r="G27" i="18"/>
  <c r="G28" i="18" s="1"/>
  <c r="M32" i="24"/>
  <c r="M77" i="24"/>
  <c r="M52" i="24"/>
  <c r="K26" i="28"/>
  <c r="J26" i="28"/>
  <c r="H31" i="28"/>
  <c r="K28" i="26"/>
  <c r="M76" i="24"/>
  <c r="J28" i="26"/>
  <c r="P32" i="24"/>
  <c r="M56" i="24"/>
  <c r="O78" i="24"/>
  <c r="I28" i="26"/>
  <c r="O76" i="24"/>
  <c r="O56" i="24"/>
  <c r="O54" i="24"/>
  <c r="O32" i="24"/>
  <c r="P53" i="24"/>
  <c r="P56" i="24"/>
  <c r="P14" i="24" s="1"/>
  <c r="J98" i="18" s="1"/>
  <c r="E26" i="29"/>
  <c r="E27" i="29" s="1"/>
  <c r="E30" i="29" s="1"/>
  <c r="E28" i="28"/>
  <c r="E30" i="28" s="1"/>
  <c r="P52" i="24"/>
  <c r="J74" i="18"/>
  <c r="J89" i="18" s="1"/>
  <c r="M137" i="16"/>
  <c r="C25" i="28"/>
  <c r="D26" i="29"/>
  <c r="D27" i="29" s="1"/>
  <c r="D30" i="29" s="1"/>
  <c r="D28" i="28"/>
  <c r="D30" i="28" s="1"/>
  <c r="P54" i="24"/>
  <c r="P74" i="24"/>
  <c r="N53" i="24"/>
  <c r="J27" i="18"/>
  <c r="J28" i="18" s="1"/>
  <c r="P31" i="24"/>
  <c r="P75" i="24"/>
  <c r="K89" i="18"/>
  <c r="P77" i="24"/>
  <c r="F26" i="29"/>
  <c r="F27" i="29" s="1"/>
  <c r="F30" i="29" s="1"/>
  <c r="F28" i="28"/>
  <c r="F30" i="28" s="1"/>
  <c r="G26" i="29"/>
  <c r="G27" i="29" s="1"/>
  <c r="G30" i="29" s="1"/>
  <c r="G28" i="28"/>
  <c r="G30" i="28" s="1"/>
  <c r="O137" i="16"/>
  <c r="H27" i="18"/>
  <c r="O53" i="24"/>
  <c r="O55" i="24"/>
  <c r="O13" i="24" s="1"/>
  <c r="I97" i="18" s="1"/>
  <c r="O75" i="24"/>
  <c r="O31" i="24"/>
  <c r="O47" i="24" s="1"/>
  <c r="O48" i="24" s="1"/>
  <c r="P137" i="16"/>
  <c r="O52" i="24"/>
  <c r="N76" i="24"/>
  <c r="I27" i="18"/>
  <c r="I28" i="18" s="1"/>
  <c r="N54" i="24"/>
  <c r="N31" i="24"/>
  <c r="N77" i="24"/>
  <c r="N78" i="24"/>
  <c r="H74" i="18"/>
  <c r="H89" i="18" s="1"/>
  <c r="N52" i="24"/>
  <c r="N32" i="24"/>
  <c r="N56" i="24"/>
  <c r="N14" i="24" s="1"/>
  <c r="H98" i="18" s="1"/>
  <c r="N55" i="24"/>
  <c r="N75" i="24"/>
  <c r="R136" i="16"/>
  <c r="N137" i="16"/>
  <c r="I19" i="27"/>
  <c r="H31" i="27"/>
  <c r="Q13" i="24"/>
  <c r="K97" i="18" s="1"/>
  <c r="Q12" i="24"/>
  <c r="K96" i="18" s="1"/>
  <c r="Q68" i="24"/>
  <c r="Q69" i="24" s="1"/>
  <c r="O71" i="16"/>
  <c r="O56" i="16"/>
  <c r="Q47" i="24"/>
  <c r="Q48" i="24" s="1"/>
  <c r="Q10" i="24"/>
  <c r="Q14" i="24"/>
  <c r="K98" i="18" s="1"/>
  <c r="N56" i="16"/>
  <c r="N71" i="16"/>
  <c r="Q56" i="16"/>
  <c r="Q71" i="16"/>
  <c r="K28" i="18"/>
  <c r="Q121" i="25"/>
  <c r="Q11" i="24"/>
  <c r="K95" i="18" s="1"/>
  <c r="P56" i="16"/>
  <c r="P71" i="16"/>
  <c r="M71" i="16"/>
  <c r="M56" i="16"/>
  <c r="Q90" i="24"/>
  <c r="Q91" i="24" s="1"/>
  <c r="P12" i="24" l="1"/>
  <c r="J96" i="18" s="1"/>
  <c r="M14" i="24"/>
  <c r="G98" i="18" s="1"/>
  <c r="J90" i="18"/>
  <c r="G51" i="27"/>
  <c r="H90" i="18"/>
  <c r="E51" i="27"/>
  <c r="K90" i="18"/>
  <c r="H51" i="27"/>
  <c r="G90" i="18"/>
  <c r="D51" i="27"/>
  <c r="I90" i="18"/>
  <c r="F51" i="27"/>
  <c r="M47" i="24"/>
  <c r="M48" i="24" s="1"/>
  <c r="M13" i="24"/>
  <c r="G97" i="18" s="1"/>
  <c r="J31" i="29"/>
  <c r="M11" i="24"/>
  <c r="G95" i="18" s="1"/>
  <c r="M10" i="24"/>
  <c r="G94" i="18" s="1"/>
  <c r="M12" i="24"/>
  <c r="G96" i="18" s="1"/>
  <c r="M121" i="25"/>
  <c r="P10" i="24"/>
  <c r="J94" i="18" s="1"/>
  <c r="O12" i="24"/>
  <c r="I96" i="18" s="1"/>
  <c r="P11" i="24"/>
  <c r="J95" i="18" s="1"/>
  <c r="M68" i="24"/>
  <c r="M69" i="24" s="1"/>
  <c r="M90" i="24"/>
  <c r="M91" i="24" s="1"/>
  <c r="J28" i="29"/>
  <c r="K28" i="29"/>
  <c r="J31" i="28"/>
  <c r="K31" i="28"/>
  <c r="H28" i="18"/>
  <c r="O90" i="24"/>
  <c r="O91" i="24" s="1"/>
  <c r="P47" i="24"/>
  <c r="P48" i="24" s="1"/>
  <c r="N121" i="25"/>
  <c r="N10" i="24"/>
  <c r="H94" i="18" s="1"/>
  <c r="O68" i="24"/>
  <c r="O69" i="24" s="1"/>
  <c r="P90" i="24"/>
  <c r="P91" i="24" s="1"/>
  <c r="O14" i="24"/>
  <c r="I98" i="18" s="1"/>
  <c r="P121" i="25"/>
  <c r="P68" i="24"/>
  <c r="P69" i="24" s="1"/>
  <c r="P13" i="24"/>
  <c r="J97" i="18" s="1"/>
  <c r="L27" i="18"/>
  <c r="N13" i="24"/>
  <c r="H97" i="18" s="1"/>
  <c r="N12" i="24"/>
  <c r="H96" i="18" s="1"/>
  <c r="H25" i="28"/>
  <c r="C26" i="29"/>
  <c r="C28" i="28"/>
  <c r="O11" i="24"/>
  <c r="I95" i="18" s="1"/>
  <c r="L89" i="18"/>
  <c r="O10" i="24"/>
  <c r="I94" i="18" s="1"/>
  <c r="N11" i="24"/>
  <c r="H95" i="18" s="1"/>
  <c r="N47" i="24"/>
  <c r="N48" i="24" s="1"/>
  <c r="N68" i="24"/>
  <c r="N69" i="24" s="1"/>
  <c r="N90" i="24"/>
  <c r="N91" i="24" s="1"/>
  <c r="O121" i="25"/>
  <c r="H34" i="27"/>
  <c r="K94" i="18"/>
  <c r="K110" i="18" s="1"/>
  <c r="Q26" i="24"/>
  <c r="I51" i="27" l="1"/>
  <c r="D53" i="27"/>
  <c r="D52" i="27"/>
  <c r="E53" i="27"/>
  <c r="E52" i="27"/>
  <c r="F53" i="27"/>
  <c r="F52" i="27"/>
  <c r="H52" i="27"/>
  <c r="H53" i="27"/>
  <c r="G52" i="27"/>
  <c r="G53" i="27"/>
  <c r="M26" i="24"/>
  <c r="M27" i="24" s="1"/>
  <c r="G110" i="18"/>
  <c r="P26" i="24"/>
  <c r="P27" i="24" s="1"/>
  <c r="J110" i="18"/>
  <c r="N26" i="24"/>
  <c r="H111" i="26" s="1"/>
  <c r="I110" i="18"/>
  <c r="C30" i="28"/>
  <c r="H30" i="28" s="1"/>
  <c r="H28" i="28"/>
  <c r="K25" i="28"/>
  <c r="J25" i="28"/>
  <c r="O26" i="24"/>
  <c r="O27" i="24" s="1"/>
  <c r="H26" i="29"/>
  <c r="C27" i="29"/>
  <c r="H27" i="29" s="1"/>
  <c r="I27" i="29" s="1"/>
  <c r="H110" i="18"/>
  <c r="K111" i="18"/>
  <c r="K111" i="26"/>
  <c r="Q27" i="24"/>
  <c r="G111" i="26" l="1"/>
  <c r="I53" i="27"/>
  <c r="I52" i="27"/>
  <c r="G111" i="18"/>
  <c r="I111" i="18"/>
  <c r="J111" i="26"/>
  <c r="J111" i="18"/>
  <c r="H111" i="18"/>
  <c r="N27" i="24"/>
  <c r="L110" i="18"/>
  <c r="I111" i="26"/>
  <c r="C30" i="29"/>
  <c r="H30" i="29" s="1"/>
  <c r="K26" i="29"/>
  <c r="J26" i="29"/>
  <c r="I30" i="28"/>
  <c r="K30" i="28"/>
  <c r="J30" i="28"/>
  <c r="K28" i="28"/>
  <c r="J28" i="28"/>
  <c r="J27" i="29" l="1"/>
  <c r="K27" i="29"/>
  <c r="I30" i="29"/>
  <c r="J30" i="29"/>
  <c r="K30" i="29"/>
</calcChain>
</file>

<file path=xl/comments1.xml><?xml version="1.0" encoding="utf-8"?>
<comments xmlns="http://schemas.openxmlformats.org/spreadsheetml/2006/main">
  <authors>
    <author>Author</author>
  </authors>
  <commentList>
    <comment ref="G61" authorId="0" shapeId="0">
      <text>
        <r>
          <rPr>
            <sz val="9"/>
            <color indexed="81"/>
            <rFont val="Tahoma"/>
            <family val="2"/>
          </rPr>
          <t>Re-map SCADA to Repex</t>
        </r>
      </text>
    </comment>
  </commentList>
</comments>
</file>

<file path=xl/sharedStrings.xml><?xml version="1.0" encoding="utf-8"?>
<sst xmlns="http://schemas.openxmlformats.org/spreadsheetml/2006/main" count="25618" uniqueCount="2519">
  <si>
    <t>&lt; Insert Sheet Description (if required) &gt;</t>
  </si>
  <si>
    <t>Model Information</t>
  </si>
  <si>
    <t>Model Name</t>
  </si>
  <si>
    <t>Entity</t>
  </si>
  <si>
    <t>Model Author</t>
  </si>
  <si>
    <t>Jethro Youl</t>
  </si>
  <si>
    <t>Version</t>
  </si>
  <si>
    <t>v1.0</t>
  </si>
  <si>
    <t>Dollars</t>
  </si>
  <si>
    <t>End of Sheet</t>
  </si>
  <si>
    <t>Powercor</t>
  </si>
  <si>
    <t>Model Mapping</t>
  </si>
  <si>
    <t>IT Project MG</t>
  </si>
  <si>
    <t>PNS MG</t>
  </si>
  <si>
    <t>AMI Project MG</t>
  </si>
  <si>
    <t>IT AMI MG</t>
  </si>
  <si>
    <t>CSG MG</t>
  </si>
  <si>
    <t>CHEDS AMI BAU MG</t>
  </si>
  <si>
    <t>CHEDS Finance MG</t>
  </si>
  <si>
    <t>Corporate OH</t>
  </si>
  <si>
    <t>Local OH</t>
  </si>
  <si>
    <t>Direct OH</t>
  </si>
  <si>
    <t>System Control OH</t>
  </si>
  <si>
    <t>PNS Corporate OH</t>
  </si>
  <si>
    <t>PNS Fleet &amp; Property OH</t>
  </si>
  <si>
    <t>Exclude</t>
  </si>
  <si>
    <t>Corporate Services Fee</t>
  </si>
  <si>
    <t>Capex Function Code Regulatory Segments</t>
  </si>
  <si>
    <t>SCS</t>
  </si>
  <si>
    <t>Metering Capex</t>
  </si>
  <si>
    <t>Metering Services</t>
  </si>
  <si>
    <t>Metering Opex</t>
  </si>
  <si>
    <t>Connection Services</t>
  </si>
  <si>
    <t>Negotiated Capex</t>
  </si>
  <si>
    <t>Fee Based Opex</t>
  </si>
  <si>
    <t>Ancillary Network Services</t>
  </si>
  <si>
    <t>Public lighting Capex</t>
  </si>
  <si>
    <t>Public Lighting</t>
  </si>
  <si>
    <t>Quoted Opex</t>
  </si>
  <si>
    <t>VBRC</t>
  </si>
  <si>
    <t>Maintenance Function Code Regulatory Segments</t>
  </si>
  <si>
    <t>Maintenance</t>
  </si>
  <si>
    <t>Public Lighting Opex</t>
  </si>
  <si>
    <t>Emergency</t>
  </si>
  <si>
    <t>Vegetation Management</t>
  </si>
  <si>
    <t>Account Mapping - Labour, Materials, Contract</t>
  </si>
  <si>
    <t>Buildings-In Service</t>
  </si>
  <si>
    <t>Materials</t>
  </si>
  <si>
    <t>MV &amp; Plant-In Serv</t>
  </si>
  <si>
    <t>Gen Assets-In Serv</t>
  </si>
  <si>
    <t>Met Infrastructure</t>
  </si>
  <si>
    <t>Intangible- Software</t>
  </si>
  <si>
    <t>Intan- software Met</t>
  </si>
  <si>
    <t>PFIT Revenue</t>
  </si>
  <si>
    <t>Revenue</t>
  </si>
  <si>
    <t>Distr Tariff Revenu</t>
  </si>
  <si>
    <t>Rev:Non CIS O/V</t>
  </si>
  <si>
    <t>Revenue: Trans Tari</t>
  </si>
  <si>
    <t>NtwTariffRev-Bal Ad</t>
  </si>
  <si>
    <t>Rev: Mtr Provision</t>
  </si>
  <si>
    <t>Bring fwd fee</t>
  </si>
  <si>
    <t>PMS Rev:Meter Read</t>
  </si>
  <si>
    <t>ES Rev: Meter Prov</t>
  </si>
  <si>
    <t>Meter Read</t>
  </si>
  <si>
    <t>M Factor Current Yr</t>
  </si>
  <si>
    <t>Rev:Serv Truck Acty</t>
  </si>
  <si>
    <t>Covering Low Voltage</t>
  </si>
  <si>
    <t>Supply abolishment</t>
  </si>
  <si>
    <t>Truck appointment AH</t>
  </si>
  <si>
    <t>Elect Test&amp; Service</t>
  </si>
  <si>
    <t>Rev:National Proj</t>
  </si>
  <si>
    <t>Contracts</t>
  </si>
  <si>
    <t>Cust Request MtrTes</t>
  </si>
  <si>
    <t>Asset Damage</t>
  </si>
  <si>
    <t>Powercor Project Co</t>
  </si>
  <si>
    <t>Batton Rental</t>
  </si>
  <si>
    <t>PCA Proj Cont'n Opt</t>
  </si>
  <si>
    <t>Isolations &amp;Shutdow</t>
  </si>
  <si>
    <t>RevSpecial Read Act</t>
  </si>
  <si>
    <t>PV Installation</t>
  </si>
  <si>
    <t>Rev:New Connections</t>
  </si>
  <si>
    <t>Rev:Reserve Capacit</t>
  </si>
  <si>
    <t>Meter Recovery</t>
  </si>
  <si>
    <t>Serv to Elect Busi</t>
  </si>
  <si>
    <t>Rev:Joint used pole</t>
  </si>
  <si>
    <t>Cus Req Supply Enhan</t>
  </si>
  <si>
    <t>External Consulting</t>
  </si>
  <si>
    <t>Rev: Regulated Fees</t>
  </si>
  <si>
    <t>Cust Conts: Contest</t>
  </si>
  <si>
    <t>Rev:Asset Relocatio</t>
  </si>
  <si>
    <t>Rev:Pit Level Chang</t>
  </si>
  <si>
    <t>Cust Conts: Unmet S</t>
  </si>
  <si>
    <t>Cust Conts: Gifted</t>
  </si>
  <si>
    <t>Cust Cont: Netw HV</t>
  </si>
  <si>
    <t>CCO-NW HV Cont Opt</t>
  </si>
  <si>
    <t>Property Rentals</t>
  </si>
  <si>
    <t>Fibre Optic Charges</t>
  </si>
  <si>
    <t>Rev:Sale of Mat-Ext</t>
  </si>
  <si>
    <t>Refunds &amp; Grants</t>
  </si>
  <si>
    <t>WDV-Sale of Land</t>
  </si>
  <si>
    <t>Proceeds-Sale Land</t>
  </si>
  <si>
    <t>WDV-Sale Bldgs</t>
  </si>
  <si>
    <t>Proceeds-Sale Bldgs</t>
  </si>
  <si>
    <t>WDV-Sale Distn</t>
  </si>
  <si>
    <t>Procs-Sale Dist Ass</t>
  </si>
  <si>
    <t>WDV-Sale MV&amp;Pl</t>
  </si>
  <si>
    <t>Procs-Sale MVeh</t>
  </si>
  <si>
    <t>WDV-Sale Other</t>
  </si>
  <si>
    <t>Procs-Sale Other FA</t>
  </si>
  <si>
    <t>Interest Received</t>
  </si>
  <si>
    <t>Bad Debts Recovered</t>
  </si>
  <si>
    <t>Unregulated Pub Lig</t>
  </si>
  <si>
    <t>Unregulated EE PL</t>
  </si>
  <si>
    <t>Telecommunications</t>
  </si>
  <si>
    <t>Tele NW Acc Fee Int</t>
  </si>
  <si>
    <t>SLA Revenue</t>
  </si>
  <si>
    <t>M'ent Fee-NETW SVCS</t>
  </si>
  <si>
    <t>M'ent Fee-CITIPOWER</t>
  </si>
  <si>
    <t>M'ent Fee-PAL</t>
  </si>
  <si>
    <t>M'mnt Fee-Silk</t>
  </si>
  <si>
    <t>Well Trans Rev &amp; Mgt</t>
  </si>
  <si>
    <t>M'mnt Fee-TOA</t>
  </si>
  <si>
    <t>Sundry Revenue</t>
  </si>
  <si>
    <t>Lease Incentive Rev</t>
  </si>
  <si>
    <t>IntInIntCo</t>
  </si>
  <si>
    <t>Rev: Duct Rent</t>
  </si>
  <si>
    <t>Rev:Lease Finance</t>
  </si>
  <si>
    <t>Revenue-Capital Proj</t>
  </si>
  <si>
    <t>Rev: Capital Prj Int</t>
  </si>
  <si>
    <t>Rev - AMI Eff Carry</t>
  </si>
  <si>
    <t>AIMRO Prj Mgt Ex Ser</t>
  </si>
  <si>
    <t>AIMRO Provision</t>
  </si>
  <si>
    <t>Sals: AASB 1028 Oncost Expenses</t>
  </si>
  <si>
    <t>Labour</t>
  </si>
  <si>
    <t>Sals: Ordinary Time</t>
  </si>
  <si>
    <t>Salaries- o/s employees working in Aust</t>
  </si>
  <si>
    <t>Sals: Overtime</t>
  </si>
  <si>
    <t>Sals: Sacrifice FBT</t>
  </si>
  <si>
    <t>Sals: Sacrifice No FBT</t>
  </si>
  <si>
    <t>Sals: Bonuses</t>
  </si>
  <si>
    <t>Redundancy/Termination in Lieu</t>
  </si>
  <si>
    <t>Sals: Living Away From Home Allowance</t>
  </si>
  <si>
    <t>Sals: Superannuation Employer Contr</t>
  </si>
  <si>
    <t>Sals: Employ Cont AF</t>
  </si>
  <si>
    <t>Sals: Super Employer Control Adjustment</t>
  </si>
  <si>
    <t>Sals: Payroll Tax Payments</t>
  </si>
  <si>
    <t>Sals: Annual Leave Provision Expense</t>
  </si>
  <si>
    <t>Sals: Long Service Leave Provision Exp</t>
  </si>
  <si>
    <t>Sals: LSL Prov Exp</t>
  </si>
  <si>
    <t>Sals: WorkCover Levy</t>
  </si>
  <si>
    <t>Sals: WorkCover Recoupments</t>
  </si>
  <si>
    <t>Sals: Sick Leave Expense</t>
  </si>
  <si>
    <t>Sals: WorkCover Leave Expense</t>
  </si>
  <si>
    <t>Salaries - Other Paid Leave Expense</t>
  </si>
  <si>
    <t>Employee Related Costs</t>
  </si>
  <si>
    <t>Sals: Oncost Credits</t>
  </si>
  <si>
    <t>PTY - Reimbursement From Trust</t>
  </si>
  <si>
    <t>TRUST - Reimbursable To PTY</t>
  </si>
  <si>
    <t>Travel: Australia</t>
  </si>
  <si>
    <t>Travel:Aus Emp reimb</t>
  </si>
  <si>
    <t>Domestic Hotel</t>
  </si>
  <si>
    <t>International Hotel</t>
  </si>
  <si>
    <t>Employee meal travel</t>
  </si>
  <si>
    <t>Booking fees</t>
  </si>
  <si>
    <t>Travel: Aust: Spouse</t>
  </si>
  <si>
    <t>Seminar/ course fees</t>
  </si>
  <si>
    <t>Travel: Overseas</t>
  </si>
  <si>
    <t>Travel: OS: Spouse</t>
  </si>
  <si>
    <t>Employee Ent: NonFBT</t>
  </si>
  <si>
    <t>Employee Ent: FBT</t>
  </si>
  <si>
    <t>Non Employee Ent</t>
  </si>
  <si>
    <t>Educ Exps: Non FBT</t>
  </si>
  <si>
    <t>HECS Fees: FBT</t>
  </si>
  <si>
    <t>Car Park: Non-P FBT</t>
  </si>
  <si>
    <t>Car Pk:Non-PermNoFBT</t>
  </si>
  <si>
    <t>Car Park: Perm</t>
  </si>
  <si>
    <t>Awards/Gifts: NonFBT</t>
  </si>
  <si>
    <t>Awards/Gifts: FBT</t>
  </si>
  <si>
    <t>Employee Reloc Costs</t>
  </si>
  <si>
    <t>Emp Reloc Reimbursed</t>
  </si>
  <si>
    <t>In-house Refreshment</t>
  </si>
  <si>
    <t>Staff Amenities</t>
  </si>
  <si>
    <t>OH&amp;Safety Exp</t>
  </si>
  <si>
    <t>OH&amp;S Fitness Reimb</t>
  </si>
  <si>
    <t>SPI Pwrnet Trans Chg</t>
  </si>
  <si>
    <t>CrossBorderChrgs-AGL</t>
  </si>
  <si>
    <t>Cross Brder Chg-Alin</t>
  </si>
  <si>
    <t>Vencorp Trans Chgs</t>
  </si>
  <si>
    <t>Avoid TUOS- Emb Gen</t>
  </si>
  <si>
    <t>Prior Yr K Fact TUOS</t>
  </si>
  <si>
    <t>Curr Yr K Fact TUOS</t>
  </si>
  <si>
    <t>ESTA-Cross Boun Chgs</t>
  </si>
  <si>
    <t>Prem Solar Feed InCs</t>
  </si>
  <si>
    <t>Crrnt Yr PFIT K Fact</t>
  </si>
  <si>
    <t>Pr Year PFIT K Fact</t>
  </si>
  <si>
    <t>Material Expense - Sales to third partie</t>
  </si>
  <si>
    <t>Channel Communications</t>
  </si>
  <si>
    <t>Router Maintenance</t>
  </si>
  <si>
    <t>WAN Interconnect</t>
  </si>
  <si>
    <t>Managed WAN</t>
  </si>
  <si>
    <t>SCADA Communications</t>
  </si>
  <si>
    <t>Telco: SCADA Support (Intra Group)</t>
  </si>
  <si>
    <t>Trunk Mobile Radio</t>
  </si>
  <si>
    <t>Telco: Trunk Mobile Radio Charges (Intra</t>
  </si>
  <si>
    <t>Remote Access</t>
  </si>
  <si>
    <t>Internet Access - Internal</t>
  </si>
  <si>
    <t>Telco: Internal Telephony (Intra Group)</t>
  </si>
  <si>
    <t>Telephone MACs</t>
  </si>
  <si>
    <t>Telephony - Voice &amp; Lines Internal</t>
  </si>
  <si>
    <t>Telco - Supply Telephone Charges (FBT)</t>
  </si>
  <si>
    <t>Mobiles- Phone Charges</t>
  </si>
  <si>
    <t>Mobile Phone Hardware</t>
  </si>
  <si>
    <t>&gt;&gt;&gt; No valid master record</t>
  </si>
  <si>
    <t>Telco: Network Access Fee</t>
  </si>
  <si>
    <t>Mobiles: Data</t>
  </si>
  <si>
    <t>Billing Service Provider</t>
  </si>
  <si>
    <t>Telco: Doubtful Debts Expense</t>
  </si>
  <si>
    <t>Tele Off-net Charges</t>
  </si>
  <si>
    <t>Telco-Location Charges</t>
  </si>
  <si>
    <t>Eng &amp; Tech Services</t>
  </si>
  <si>
    <t>Materials &amp; Supplies - Distribution</t>
  </si>
  <si>
    <t>M &amp; S-Conduits</t>
  </si>
  <si>
    <t>M &amp; S-Gen hardware</t>
  </si>
  <si>
    <t>Materials &amp; Supplies- Telecommunications</t>
  </si>
  <si>
    <t>Materials &amp; Supplies - Transmission</t>
  </si>
  <si>
    <t>Materials &amp; Supplies - Petroleum</t>
  </si>
  <si>
    <t>Materials &amp; Supplies - Motor Vechicles &amp;</t>
  </si>
  <si>
    <t>Capital Purchases - Motor Vehicles &amp; Pla</t>
  </si>
  <si>
    <t>Materials &amp; Supplies - Administration &amp;</t>
  </si>
  <si>
    <t>Capital Purchases - Equipment</t>
  </si>
  <si>
    <t>Capital Purchases - Computer Hardware</t>
  </si>
  <si>
    <t>Customer Fibre Cost</t>
  </si>
  <si>
    <t>Customer Tail Installation</t>
  </si>
  <si>
    <t>Capital Purchases - Software &amp; Upgrades</t>
  </si>
  <si>
    <t>COMPUTER SUPPLIES</t>
  </si>
  <si>
    <t>Capital Purchases - Communications Equip</t>
  </si>
  <si>
    <t>Materials - Stock Write Off</t>
  </si>
  <si>
    <t>Materials - Scrapped/Obsolete</t>
  </si>
  <si>
    <t>Gain/Loss - Price Variance</t>
  </si>
  <si>
    <t>Materials &amp; Supplies - Stock Revaluation</t>
  </si>
  <si>
    <t>Materials &amp; Supplies - Stores Recovery I</t>
  </si>
  <si>
    <t>Stores Recovery  - Telco</t>
  </si>
  <si>
    <t>Maintenance Services</t>
  </si>
  <si>
    <t>Line Insp Services</t>
  </si>
  <si>
    <t>Engineer &amp; Dsgn Serv</t>
  </si>
  <si>
    <t>Local Service Agents</t>
  </si>
  <si>
    <t>MDA Services</t>
  </si>
  <si>
    <t>Mtr Data Agents Serv</t>
  </si>
  <si>
    <t>Road Mgt Auth Chrges</t>
  </si>
  <si>
    <t>Elec. Inspec. CSG</t>
  </si>
  <si>
    <t>Construct'n Services</t>
  </si>
  <si>
    <t>Contracts-Contestabl</t>
  </si>
  <si>
    <t>NS:Field SubContUmb</t>
  </si>
  <si>
    <t>NS:Field SubCont-CPN</t>
  </si>
  <si>
    <t>NETW Generator Hire</t>
  </si>
  <si>
    <t>Tree Clear Services</t>
  </si>
  <si>
    <t>NS: Civil Works CPS</t>
  </si>
  <si>
    <t>NS: Pole to Pit CPS</t>
  </si>
  <si>
    <t>NS:UR RP Pck Wks CPS</t>
  </si>
  <si>
    <t>NS: Traffic Mgmt CPS</t>
  </si>
  <si>
    <t>NS: Waste Disp CPS</t>
  </si>
  <si>
    <t>NS: Other CPS</t>
  </si>
  <si>
    <t>VBRC Contract AR</t>
  </si>
  <si>
    <t>VBRC Contract Damper</t>
  </si>
  <si>
    <t>VBRC Contract Sites</t>
  </si>
  <si>
    <t>NS:Field Packaged Work-PCN</t>
  </si>
  <si>
    <t>NS: Asset Solutions Design Sub Contract</t>
  </si>
  <si>
    <t>NS: Civil Contracts- PCN</t>
  </si>
  <si>
    <t>NS: AIMRO Contract Cost</t>
  </si>
  <si>
    <t>NS: LSA CPS</t>
  </si>
  <si>
    <t>NS: LSA Fault Retention</t>
  </si>
  <si>
    <t>NS: Connect Services CPN</t>
  </si>
  <si>
    <t>NS: Field Packaged Work CPN</t>
  </si>
  <si>
    <t>MV Fleet Mgmt Fee</t>
  </si>
  <si>
    <t>Novated Lease: MV's</t>
  </si>
  <si>
    <t>Hire: Veh/Rent FBT</t>
  </si>
  <si>
    <t>Hire Vehicles No FBT</t>
  </si>
  <si>
    <t>Personal Car mileage</t>
  </si>
  <si>
    <t>MV Rego &amp; Licences</t>
  </si>
  <si>
    <t>Consult Serv:Ded</t>
  </si>
  <si>
    <t>AMI Consulting</t>
  </si>
  <si>
    <t>Consult Serv:Non Ded</t>
  </si>
  <si>
    <t>Legal Fees:Deductibl</t>
  </si>
  <si>
    <t>Easement considn exp</t>
  </si>
  <si>
    <t>Property valuatn exp</t>
  </si>
  <si>
    <t>Fin Auditing Serv</t>
  </si>
  <si>
    <t>Admin Services</t>
  </si>
  <si>
    <t>LSA Reliability Rete</t>
  </si>
  <si>
    <t>Tech Services</t>
  </si>
  <si>
    <t>Training Services</t>
  </si>
  <si>
    <t>Storage Services</t>
  </si>
  <si>
    <t>Hire: Plant &amp; Equip</t>
  </si>
  <si>
    <t>Lease: Plant &amp; Equip</t>
  </si>
  <si>
    <t>Bank Fees (no tax)</t>
  </si>
  <si>
    <t>Bank Fees (tax)</t>
  </si>
  <si>
    <t>Insurance Premiums</t>
  </si>
  <si>
    <t>InFil Insure Premium</t>
  </si>
  <si>
    <t>Subs: Deductible</t>
  </si>
  <si>
    <t>Subs: Non Deductible</t>
  </si>
  <si>
    <t>Site Restoration</t>
  </si>
  <si>
    <t>Taxi Charges FBT</t>
  </si>
  <si>
    <t>Taxi Charges Non FBT</t>
  </si>
  <si>
    <t>Post &amp; Courier Chgs</t>
  </si>
  <si>
    <t>Corp Credit Card</t>
  </si>
  <si>
    <t>Corp CCard-Personal</t>
  </si>
  <si>
    <t>Contract/Temp Staff</t>
  </si>
  <si>
    <t>External Recruitment</t>
  </si>
  <si>
    <t>Stationery/Printing</t>
  </si>
  <si>
    <t>Property Services</t>
  </si>
  <si>
    <t>Lease: Land &amp; Build</t>
  </si>
  <si>
    <t>Lease: Office Space</t>
  </si>
  <si>
    <t>Utilities</t>
  </si>
  <si>
    <t>IT Prof Services</t>
  </si>
  <si>
    <t>Operational Support</t>
  </si>
  <si>
    <t>IT Data Network Chgs</t>
  </si>
  <si>
    <t>IT Software Contract</t>
  </si>
  <si>
    <t>IT CSC Service Agree</t>
  </si>
  <si>
    <t>IT Hardware Contract</t>
  </si>
  <si>
    <t>IT Repairs and Maint</t>
  </si>
  <si>
    <t>Siemens</t>
  </si>
  <si>
    <t>Telephony Contract</t>
  </si>
  <si>
    <t>Phone/Fax Calls</t>
  </si>
  <si>
    <t>Mobile Phone Chg FBT</t>
  </si>
  <si>
    <t>Mobile Ph Chg No FBT</t>
  </si>
  <si>
    <t>InternetCh</t>
  </si>
  <si>
    <t>Phone Cost Reim: FBT</t>
  </si>
  <si>
    <t>Trunk Mob Radio Chgs</t>
  </si>
  <si>
    <t>Advertising Services</t>
  </si>
  <si>
    <t>Agency Collect Fees</t>
  </si>
  <si>
    <t>Telco-Router Maint C</t>
  </si>
  <si>
    <t>Telco-WAN Intercon C</t>
  </si>
  <si>
    <t>Managed WAN Chrges</t>
  </si>
  <si>
    <t>Telco - SCADA</t>
  </si>
  <si>
    <t>Telco - TMR</t>
  </si>
  <si>
    <t>Telco - Remote Acc</t>
  </si>
  <si>
    <t>Telco - Internet Acc</t>
  </si>
  <si>
    <t>Telco - Int Telephon</t>
  </si>
  <si>
    <t>Telco - Telephone MA</t>
  </si>
  <si>
    <t>Telco - Telephony</t>
  </si>
  <si>
    <t>Telco - Mobile</t>
  </si>
  <si>
    <t>Telco:Mob Phone Hard</t>
  </si>
  <si>
    <t>Market'g &amp; Promotion</t>
  </si>
  <si>
    <t>Damage Pmt</t>
  </si>
  <si>
    <t>Royalties</t>
  </si>
  <si>
    <t>Dividends Paid</t>
  </si>
  <si>
    <t>Misc Admin Exps</t>
  </si>
  <si>
    <t>Acc Rec Receipt Diff</t>
  </si>
  <si>
    <t>Directors Fees</t>
  </si>
  <si>
    <t>Emp'ee Reim: MV Exp</t>
  </si>
  <si>
    <t>DivndDistr</t>
  </si>
  <si>
    <t>Mgt FeePAL</t>
  </si>
  <si>
    <t>Management Fee - Servco</t>
  </si>
  <si>
    <t>AMI Project Mgmt Fee</t>
  </si>
  <si>
    <t>Corp ohds to capital</t>
  </si>
  <si>
    <t>corp Fee Allocation</t>
  </si>
  <si>
    <t>Dept Ohds Allocation</t>
  </si>
  <si>
    <t>DepOHOffse</t>
  </si>
  <si>
    <t>G'teed Svc Level Pmt</t>
  </si>
  <si>
    <t>Supply Rest GSL (R)</t>
  </si>
  <si>
    <t>GSL Payments-MAIFI</t>
  </si>
  <si>
    <t>Bad Debts</t>
  </si>
  <si>
    <t>Doubtful Debts</t>
  </si>
  <si>
    <t>Disc Payments</t>
  </si>
  <si>
    <t>Donation: Deductible</t>
  </si>
  <si>
    <t>Donation: Non Deduct</t>
  </si>
  <si>
    <t>CKI Scholarship</t>
  </si>
  <si>
    <t>Sponsorship</t>
  </si>
  <si>
    <t>Realised FX +/-</t>
  </si>
  <si>
    <t>Unreal G/L FX Fwds</t>
  </si>
  <si>
    <t>Deprn Buildings</t>
  </si>
  <si>
    <t>Deprn Distbn Assets</t>
  </si>
  <si>
    <t>Deprn M/V &amp; Plant</t>
  </si>
  <si>
    <t>Deprn Other Assets</t>
  </si>
  <si>
    <t>Deprn Metering</t>
  </si>
  <si>
    <t>Amort- Intell Propty</t>
  </si>
  <si>
    <t>Amort-Software</t>
  </si>
  <si>
    <t>Amort-Software Met</t>
  </si>
  <si>
    <t>Income Tax Exp</t>
  </si>
  <si>
    <t>Income Tax Exp - NPV</t>
  </si>
  <si>
    <t>Ind Compliance Fees</t>
  </si>
  <si>
    <t>Chief Elec Ins Fees</t>
  </si>
  <si>
    <t>Permits &amp; Licenc FBT</t>
  </si>
  <si>
    <t>Permits &amp; Lic No FBT</t>
  </si>
  <si>
    <t>Tolls/CitiLink FBT</t>
  </si>
  <si>
    <t>Tolls/CitiLink NoFBT</t>
  </si>
  <si>
    <t>Penalties &amp; Fines</t>
  </si>
  <si>
    <t>Land Tax</t>
  </si>
  <si>
    <t>Govt Chgs &amp; Levies</t>
  </si>
  <si>
    <t>Fringe Benefits Tax</t>
  </si>
  <si>
    <t>Int Exp: Sec Dep</t>
  </si>
  <si>
    <t>Int Exp: S/Term Borr</t>
  </si>
  <si>
    <t>Int Exp: Bank Odraft</t>
  </si>
  <si>
    <t>Amort Bank Debt Exps</t>
  </si>
  <si>
    <t>Int Exp: Other</t>
  </si>
  <si>
    <t>IntXIntCo</t>
  </si>
  <si>
    <t>Int Exp Pa</t>
  </si>
  <si>
    <t>Amortisation - Ambac</t>
  </si>
  <si>
    <t>Water Rates</t>
  </si>
  <si>
    <t>Council Rates</t>
  </si>
  <si>
    <t>Proj Trf - EN OH</t>
  </si>
  <si>
    <t>Project Tsf-Lab &amp; OH</t>
  </si>
  <si>
    <t>Project Transfers</t>
  </si>
  <si>
    <t>NS: Corp fee Adjust</t>
  </si>
  <si>
    <t>NS Margin Adjust</t>
  </si>
  <si>
    <t>NS Flt&amp;Prop O/Hs adj</t>
  </si>
  <si>
    <t>Corp O/Hs to Cap Adj</t>
  </si>
  <si>
    <t>CHED IT Project Cost</t>
  </si>
  <si>
    <t>CHED IT Proj Margin</t>
  </si>
  <si>
    <t>IT Tele Costs Recov</t>
  </si>
  <si>
    <t>CP Sys Ctrl OH</t>
  </si>
  <si>
    <t>PAL Sys Ctrl OH</t>
  </si>
  <si>
    <t>Local OH Alloc</t>
  </si>
  <si>
    <t>NETW:Trf CP 2 PAL</t>
  </si>
  <si>
    <t>PAL S Compli Trf CP</t>
  </si>
  <si>
    <t>CP NS FinTrf  ServCo</t>
  </si>
  <si>
    <t>CP MA&amp;Tax Trf ServCo</t>
  </si>
  <si>
    <t>CP N Fin Trf CPNetw</t>
  </si>
  <si>
    <t>CP Prop Trf toServCo</t>
  </si>
  <si>
    <t>CP C AdminTrf ServCo</t>
  </si>
  <si>
    <t>CP: Fin BO Trf  SCo</t>
  </si>
  <si>
    <t>CP Reg Trf to ServCo</t>
  </si>
  <si>
    <t>CP CSLS Trf to ServC</t>
  </si>
  <si>
    <t>CP CEO Trf to ServCo</t>
  </si>
  <si>
    <t>CP IT Trf to ServCo</t>
  </si>
  <si>
    <t>CPEng &amp; Tech StdsPAL</t>
  </si>
  <si>
    <t>E&amp;T Stds Shared Serv</t>
  </si>
  <si>
    <t>Safety Compl Shared</t>
  </si>
  <si>
    <t>CP:CUST Trfs ServC</t>
  </si>
  <si>
    <t>CP AIMRO Trf ServCo</t>
  </si>
  <si>
    <t>CP SDEV trf SCo</t>
  </si>
  <si>
    <t>PAL Shrd Grad Trf CP</t>
  </si>
  <si>
    <t>CP ADes Trf PAL(Net)</t>
  </si>
  <si>
    <t>CPN OH Pool to PCN</t>
  </si>
  <si>
    <t>CP FIN IT Trf to SCo</t>
  </si>
  <si>
    <t>EN Overheads Allocations</t>
  </si>
  <si>
    <t>EN Eng Stds Alloc</t>
  </si>
  <si>
    <t>PAL: Fin BO Trf  SCo</t>
  </si>
  <si>
    <t>PAL: Ceo BO trf SCo</t>
  </si>
  <si>
    <t>PAL: Hr BO trf SCo</t>
  </si>
  <si>
    <t>PAL: Reg BO trf SCo</t>
  </si>
  <si>
    <t>PAL: Csls BO trf SCo</t>
  </si>
  <si>
    <t>PAL: Cust BO trf SCo</t>
  </si>
  <si>
    <t>PAL IT BO trf SCo</t>
  </si>
  <si>
    <t>Cust Trf Netw MgtFee</t>
  </si>
  <si>
    <t>PAL Prop Tfr to SCo</t>
  </si>
  <si>
    <t>Cust Transfer (PMS) trf Management Fee</t>
  </si>
  <si>
    <t>PAL AIMROtrf to SCo</t>
  </si>
  <si>
    <t>CustTrf(ESRev) MFee</t>
  </si>
  <si>
    <t>Cust Trf(SpcRd) MFee</t>
  </si>
  <si>
    <t>Cust Trf(PVIns) MFee</t>
  </si>
  <si>
    <t>PAL SDEV trf SCo</t>
  </si>
  <si>
    <t>PCN Egy Mtr Alloc</t>
  </si>
  <si>
    <t>PAL: SpecRead Rev</t>
  </si>
  <si>
    <t>CP: SpecRead Rev</t>
  </si>
  <si>
    <t>CP EMS trf PAL EMS</t>
  </si>
  <si>
    <t>CP PV Rev trf ACS</t>
  </si>
  <si>
    <t>PAL PV Rev trf ACS</t>
  </si>
  <si>
    <t>Depot Costs Transfer</t>
  </si>
  <si>
    <t>AIWM Dispatch Trf</t>
  </si>
  <si>
    <t>PAL Net Serv Trf CP</t>
  </si>
  <si>
    <t>HR:BusPerform2CP</t>
  </si>
  <si>
    <t>PAL Salaries Trf PNS</t>
  </si>
  <si>
    <t>CP Salaries Trf PNS</t>
  </si>
  <si>
    <t>CS SpecRead</t>
  </si>
  <si>
    <t>CS: MDC</t>
  </si>
  <si>
    <t>CS:MDP</t>
  </si>
  <si>
    <t>CS:Billing</t>
  </si>
  <si>
    <t>CS:Credit</t>
  </si>
  <si>
    <t>CS:Rev Protection</t>
  </si>
  <si>
    <t>CS:Claims</t>
  </si>
  <si>
    <t>CS:Call Cntre</t>
  </si>
  <si>
    <t>Cust Serv Corp OH-Other Cust Resp</t>
  </si>
  <si>
    <t>CS:Retail Relations</t>
  </si>
  <si>
    <t>Cust Serv Corp OH-Customer Relations</t>
  </si>
  <si>
    <t>CS:Bus Improve</t>
  </si>
  <si>
    <t>CS:Gen Mgr</t>
  </si>
  <si>
    <t>CS:AMI Transfer</t>
  </si>
  <si>
    <t>CS: LNSP(CP)</t>
  </si>
  <si>
    <t>CS: LNSP(PAL)</t>
  </si>
  <si>
    <t>CS:PMPD</t>
  </si>
  <si>
    <t>CS:CorpOH-MDC</t>
  </si>
  <si>
    <t>CS:CorpOH-SCo</t>
  </si>
  <si>
    <t>CS Corp OH-SpecRead</t>
  </si>
  <si>
    <t>CS Corp OH-MDC</t>
  </si>
  <si>
    <t>CS Corp OH-Cust Care</t>
  </si>
  <si>
    <t>CS:Con Serv Mgmt</t>
  </si>
  <si>
    <t>Connections ACS, PM</t>
  </si>
  <si>
    <t>Corp Services Fee</t>
  </si>
  <si>
    <t>REG Trf to AIMRO</t>
  </si>
  <si>
    <t>DRMF Monthly Charge</t>
  </si>
  <si>
    <t>Non Reg IT Sup Trf</t>
  </si>
  <si>
    <t>Vect CP FIN Trf SCo</t>
  </si>
  <si>
    <t>FIN:Mgt Fee-Fin Acct</t>
  </si>
  <si>
    <t>HR:ServCoMgt Fee Trf</t>
  </si>
  <si>
    <t>CSLS:ServCoMgtFeeTrf</t>
  </si>
  <si>
    <t>FIN:ServCoMgtFeeTrf</t>
  </si>
  <si>
    <t>CEO:ServCoMgt FeeTrf</t>
  </si>
  <si>
    <t>REG:ServCoMgtFeeTrf</t>
  </si>
  <si>
    <t>REG:SCoMgt FeeTrf</t>
  </si>
  <si>
    <t>FIN Vector SCoTrf</t>
  </si>
  <si>
    <t>AM:ServCoMgt Fee Trf</t>
  </si>
  <si>
    <t>HR_ADV:ServCoMgt Trf</t>
  </si>
  <si>
    <t>SDEV:ServCoMgtFeeTrf</t>
  </si>
  <si>
    <t>FRCMDM Trf2Trf Price</t>
  </si>
  <si>
    <t>GISOMS Trf2Trf Price</t>
  </si>
  <si>
    <t>SAPBI Trf2Trf Price</t>
  </si>
  <si>
    <t>IT O/H Trf2Trf Price</t>
  </si>
  <si>
    <t>Infra Trf2Trf Price</t>
  </si>
  <si>
    <t>Sev&amp;Sec Trf2Trf Prce</t>
  </si>
  <si>
    <t>IT AIM Trf2Trf Price</t>
  </si>
  <si>
    <t>Sev&amp;Sec Trf 2 MOE</t>
  </si>
  <si>
    <t>ITPrgINF Trf2TrfPri</t>
  </si>
  <si>
    <t>ITPrgCAM Trf2TrfPri</t>
  </si>
  <si>
    <t>ITPrgSNW Trf2TrfPri</t>
  </si>
  <si>
    <t>ITPrgDAS Trf2TrfPri</t>
  </si>
  <si>
    <t>ITPrgPS Trf2TrfPri</t>
  </si>
  <si>
    <t>ITPrgSecG Trf2TrfPri</t>
  </si>
  <si>
    <t>ITPrgMOE Trf2TrfPri</t>
  </si>
  <si>
    <t>ITCoreApp Trf2TrfPri</t>
  </si>
  <si>
    <t>AMI Mgt Fee(exc Mat)</t>
  </si>
  <si>
    <t>AMI Mgt Fee(Inc Mat)</t>
  </si>
  <si>
    <t>IT Corp Tele Trf</t>
  </si>
  <si>
    <t>IT AMI Sup Cost Trf</t>
  </si>
  <si>
    <t>IT 660 Tele Trf</t>
  </si>
  <si>
    <t>SCo IT Trf 68123660</t>
  </si>
  <si>
    <t>P&amp;C IT Trf 68123660</t>
  </si>
  <si>
    <t>Assess Cyc Fix AMI</t>
  </si>
  <si>
    <t>NS: EST Engineer Plant</t>
  </si>
  <si>
    <t>NS: EST Drafting - Design</t>
  </si>
  <si>
    <t>NS: EST Communication Engineer</t>
  </si>
  <si>
    <t>NS: EST Materials Procurement</t>
  </si>
  <si>
    <t>NS: EST Civil Supervision</t>
  </si>
  <si>
    <t>NS: EST Survey</t>
  </si>
  <si>
    <t>NS: EST Materials Co-ordinator</t>
  </si>
  <si>
    <t>NS: EST Engineering Design</t>
  </si>
  <si>
    <t>NS: EST Design General</t>
  </si>
  <si>
    <t>NS: EST Project Manager</t>
  </si>
  <si>
    <t>NS: EST Estimator</t>
  </si>
  <si>
    <t>Plugging of holes</t>
  </si>
  <si>
    <t>Safety Calling Card</t>
  </si>
  <si>
    <t>PAL Material Revenue - Transitional</t>
  </si>
  <si>
    <t>Material Costs (PAL)</t>
  </si>
  <si>
    <t>Contractual Revenue (PAL)</t>
  </si>
  <si>
    <t>Opex Fault Unit Price</t>
  </si>
  <si>
    <t>Capex Fault Unit Price</t>
  </si>
  <si>
    <t>Fault PMO Opex</t>
  </si>
  <si>
    <t>Fault PMO Capex</t>
  </si>
  <si>
    <t>NC Meter Int 1 Ph No</t>
  </si>
  <si>
    <t>NC Meter Accum M Ph</t>
  </si>
  <si>
    <t>NC Meter Accum 1 Ph</t>
  </si>
  <si>
    <t>Live Line Worker T/Time</t>
  </si>
  <si>
    <t>Live Line Worker OT T/Time</t>
  </si>
  <si>
    <t>New Connection - CT Metering</t>
  </si>
  <si>
    <t>Labour (50%)/ Materials (50%)</t>
  </si>
  <si>
    <t>New Connection - OH - Multi Phase</t>
  </si>
  <si>
    <t>New Connection - OH - Single Phase</t>
  </si>
  <si>
    <t>New Connection - UG - Multi Phase</t>
  </si>
  <si>
    <t>New Connection - UG - Single Phase</t>
  </si>
  <si>
    <t>NT 1 GIS Operator</t>
  </si>
  <si>
    <t>NT 1 GIS Operator (O/T)</t>
  </si>
  <si>
    <t>Quote Allocation Adjustment $1/unit</t>
  </si>
  <si>
    <t>Fault Work Normal Time</t>
  </si>
  <si>
    <t>Fault Work After Hours (incl Specl Read)</t>
  </si>
  <si>
    <t>Single Man Fault Work - N/T</t>
  </si>
  <si>
    <t>Single Man Fault Work - A/H</t>
  </si>
  <si>
    <t>Stand-down time Faults</t>
  </si>
  <si>
    <t>Apmt inc LD Complex Mats</t>
  </si>
  <si>
    <t>Apmt inc LD Simple Mats</t>
  </si>
  <si>
    <t>Mtr/ts replacement M ph Mats</t>
  </si>
  <si>
    <t>Mtr/ts replace 1 ph Mats</t>
  </si>
  <si>
    <t>N/C OH M Ph Mats</t>
  </si>
  <si>
    <t>N/C OH 1 Ph Mats</t>
  </si>
  <si>
    <t>N/C UG M Ph Mats</t>
  </si>
  <si>
    <t>N/C UG 1 Ph Mats</t>
  </si>
  <si>
    <t>N/C URD 1 Ph Mats</t>
  </si>
  <si>
    <t>N/C URD M Ph Mats</t>
  </si>
  <si>
    <t>CIMR Interval 1 Ph Non OP</t>
  </si>
  <si>
    <t>CIMR Interval 1 Ph OP</t>
  </si>
  <si>
    <t>CIMR Interval M Ph DC</t>
  </si>
  <si>
    <t>CIMR Interval M Ph CT</t>
  </si>
  <si>
    <t>Mtr Reading/Special</t>
  </si>
  <si>
    <t>MR Interval 1 Ph Non OP</t>
  </si>
  <si>
    <t>MR Accum M Ph CT</t>
  </si>
  <si>
    <t>MR Accum M Ph DC</t>
  </si>
  <si>
    <t>MR Accum 1 Ph OP</t>
  </si>
  <si>
    <t>CIMR Accum 1 Ph Non OP</t>
  </si>
  <si>
    <t>CIMR Accum 1 Ph OP</t>
  </si>
  <si>
    <t>CIMR Accum M Ph DC</t>
  </si>
  <si>
    <t>CIMR Accum M Ph CT</t>
  </si>
  <si>
    <t>Metering &amp; Servicing</t>
  </si>
  <si>
    <t>Metering &amp; Servicing OT</t>
  </si>
  <si>
    <t>Single Man Metering &amp; Servicing</t>
  </si>
  <si>
    <t>Single Man Metering &amp; Servicing - O/T</t>
  </si>
  <si>
    <t>CTST-Special Metering</t>
  </si>
  <si>
    <t>Special Metering</t>
  </si>
  <si>
    <t>CTST - Special Metering OT</t>
  </si>
  <si>
    <t>Special Metering OT</t>
  </si>
  <si>
    <t>Specialist Metering - Enquiries</t>
  </si>
  <si>
    <t>Avail Allow Tfr</t>
  </si>
  <si>
    <t>Int Peak Pd Plan Tfr</t>
  </si>
  <si>
    <t>Unit Flts Fixed Tfr</t>
  </si>
  <si>
    <t>OpexFault Unit Pr CP</t>
  </si>
  <si>
    <t>Capex FaultUnitPr CP</t>
  </si>
  <si>
    <t>Abolishment</t>
  </si>
  <si>
    <t>Appmt - Increased Load - Complex</t>
  </si>
  <si>
    <t>Appmt - Increased Load - Simple</t>
  </si>
  <si>
    <t>Appt Labour Only Service Truck Visit</t>
  </si>
  <si>
    <t>Appmt - Non Capital Complex</t>
  </si>
  <si>
    <t>Meter/Time Switch Replmt - Multi Phase</t>
  </si>
  <si>
    <t>Meter/Time Switch Replmt - Simple</t>
  </si>
  <si>
    <t>L13 CF 42W(1.5m out)</t>
  </si>
  <si>
    <t>L14 CF 42W(4.5m out)</t>
  </si>
  <si>
    <t>L15 T5 2x14W(1.5m ou</t>
  </si>
  <si>
    <t>L16 T5 2x14W(4.5m ou</t>
  </si>
  <si>
    <t>L17 T5 2x24W(1.5m ou</t>
  </si>
  <si>
    <t>L18 T5 2x24W(4.5m ou</t>
  </si>
  <si>
    <t>Labour (50%)/ Contracts (50%)</t>
  </si>
  <si>
    <t>L19 CF 32W(1.5m out)</t>
  </si>
  <si>
    <t>L20 CF 32W(4.5m out)</t>
  </si>
  <si>
    <t>NC BTS</t>
  </si>
  <si>
    <t>UnMetered Supplies</t>
  </si>
  <si>
    <t>125 W MV WML   L7</t>
  </si>
  <si>
    <t>Service Replacement - Multi Phase</t>
  </si>
  <si>
    <t>80 W MV (0.6m Out)   L1</t>
  </si>
  <si>
    <t>CTST Logisitics</t>
  </si>
  <si>
    <t>Logistics</t>
  </si>
  <si>
    <t>CTST Logistics OT</t>
  </si>
  <si>
    <t>Logistics OT</t>
  </si>
  <si>
    <t>PV Install PAL</t>
  </si>
  <si>
    <t>Spare Equipment</t>
  </si>
  <si>
    <t>NC Meter AMI 2e + C</t>
  </si>
  <si>
    <t>NC Metr AMI Ins 2e+C</t>
  </si>
  <si>
    <t>MCT or Equivalent</t>
  </si>
  <si>
    <t>P 00-Pit Install in Soil&lt;5m wood pole</t>
  </si>
  <si>
    <t>P 01</t>
  </si>
  <si>
    <t>P 02</t>
  </si>
  <si>
    <t>P 03</t>
  </si>
  <si>
    <t>P 04</t>
  </si>
  <si>
    <t>P 05</t>
  </si>
  <si>
    <t>P 07</t>
  </si>
  <si>
    <t>P 08</t>
  </si>
  <si>
    <t>P09</t>
  </si>
  <si>
    <t>P 10</t>
  </si>
  <si>
    <t>P 11</t>
  </si>
  <si>
    <t>P12</t>
  </si>
  <si>
    <t>150 W HPS (6.0m)   L5</t>
  </si>
  <si>
    <t>Standard CT job</t>
  </si>
  <si>
    <t>P 13</t>
  </si>
  <si>
    <t>P14</t>
  </si>
  <si>
    <t>P15</t>
  </si>
  <si>
    <t>P16</t>
  </si>
  <si>
    <t>P17</t>
  </si>
  <si>
    <t>P18</t>
  </si>
  <si>
    <t>P19</t>
  </si>
  <si>
    <t>P20</t>
  </si>
  <si>
    <t>P21</t>
  </si>
  <si>
    <t>NC AMI 1Ph 1e</t>
  </si>
  <si>
    <t>NC AMI 1Ph 1e + C</t>
  </si>
  <si>
    <t>NC AMI 3Ph</t>
  </si>
  <si>
    <t>NC AMI 3 Ph CT</t>
  </si>
  <si>
    <t>NC AMI Inst  1Ph 1e</t>
  </si>
  <si>
    <t>NC AMI Inst 1Ph 1e + C</t>
  </si>
  <si>
    <t>NC AMI Inst 3Ph</t>
  </si>
  <si>
    <t>NC AMI Inst 3 Ph CT</t>
  </si>
  <si>
    <t>CIMR AMI 1Ph 1e</t>
  </si>
  <si>
    <t>CIMR AMI 1Ph 2e + C</t>
  </si>
  <si>
    <t>CIMR AMI 3Ph</t>
  </si>
  <si>
    <t>CIMR AMI 3 Ph + 3 Ph ext C</t>
  </si>
  <si>
    <t>CIMR AMI 3 Ph CT</t>
  </si>
  <si>
    <t>AMI 1Ph 1e</t>
  </si>
  <si>
    <t>AMI 1Ph 2e+C</t>
  </si>
  <si>
    <t>AMI 3Ph</t>
  </si>
  <si>
    <t>AMI 3 Ph+3 Ph ext C</t>
  </si>
  <si>
    <t>AMI 3 Ph CT</t>
  </si>
  <si>
    <t>AMI Inst 1P NOP</t>
  </si>
  <si>
    <t>AMI Inst 1P A &amp; C</t>
  </si>
  <si>
    <t>AMI Inst 1P 2M + TS</t>
  </si>
  <si>
    <t>AMI Inst 1P 2e + c</t>
  </si>
  <si>
    <t>AMI Inst Slab heating</t>
  </si>
  <si>
    <t>AMI Inst Climate Saver 1</t>
  </si>
  <si>
    <t>AMI Inst Climate Saver 2</t>
  </si>
  <si>
    <t>AMI Inst 3P DC</t>
  </si>
  <si>
    <t>AMI Inst 3P A &amp; C</t>
  </si>
  <si>
    <t>AMI Inst 3P CT</t>
  </si>
  <si>
    <t>AMI Inst Special isolation</t>
  </si>
  <si>
    <t>AMI Inst Install contactor</t>
  </si>
  <si>
    <t>AMI Inst Remove T/S</t>
  </si>
  <si>
    <t>AMI Complex Meter Board Repl</t>
  </si>
  <si>
    <t>AMI Complex Asbestos removal</t>
  </si>
  <si>
    <t>AMI Complex Rewiring</t>
  </si>
  <si>
    <t>AMI Comms Mesh</t>
  </si>
  <si>
    <t>AMI Comms 3G</t>
  </si>
  <si>
    <t>AMI Comms PSTN</t>
  </si>
  <si>
    <t>AMI Comms Satellite</t>
  </si>
  <si>
    <t>AMI Comms Inst Mesh Concentrator</t>
  </si>
  <si>
    <t>AMI Comms Inst 3G Antenna</t>
  </si>
  <si>
    <t>AMI Comms Inst PSTN</t>
  </si>
  <si>
    <t>AMI Comms Inst Satellite</t>
  </si>
  <si>
    <t>AMI Comms Inst Mesh Repeater</t>
  </si>
  <si>
    <t>AMI Comms Supply IHD</t>
  </si>
  <si>
    <t>AMI Comms Install IHD</t>
  </si>
  <si>
    <t>CTST Base Design</t>
  </si>
  <si>
    <t>Base Design</t>
  </si>
  <si>
    <t>CTST Base Design OT</t>
  </si>
  <si>
    <t>Base Design OT</t>
  </si>
  <si>
    <t>AMI Install Pol Heat</t>
  </si>
  <si>
    <t>AMI Install CT Compl</t>
  </si>
  <si>
    <t>AMI Install Varied</t>
  </si>
  <si>
    <t>AMI Install Unknown</t>
  </si>
  <si>
    <t>CTST General Design</t>
  </si>
  <si>
    <t>General Design</t>
  </si>
  <si>
    <t>CTST General Design OT</t>
  </si>
  <si>
    <t>GEneral Design OT</t>
  </si>
  <si>
    <t>To reallocate profit between PCS streams</t>
  </si>
  <si>
    <t>CTST Engineers</t>
  </si>
  <si>
    <t>Engineers</t>
  </si>
  <si>
    <t>CTST Engineers OT</t>
  </si>
  <si>
    <t>Engineers - Overtime</t>
  </si>
  <si>
    <t>NC Ant Low mtr mount</t>
  </si>
  <si>
    <t>NC Ant Low ext lead</t>
  </si>
  <si>
    <t>NC Ant Sup High Prof</t>
  </si>
  <si>
    <t>NC Ant Inst Low mtr</t>
  </si>
  <si>
    <t>NC Ant Inst Low ext</t>
  </si>
  <si>
    <t>NC Ant Install High</t>
  </si>
  <si>
    <t>CTST Survey</t>
  </si>
  <si>
    <t>Survey</t>
  </si>
  <si>
    <t>CTST Survey OT</t>
  </si>
  <si>
    <t>Survey OT</t>
  </si>
  <si>
    <t>NC Meter AMI 3Ph + C</t>
  </si>
  <si>
    <t>NC Mtr AMI Ins 3Ph+C</t>
  </si>
  <si>
    <t>CTST Estimator</t>
  </si>
  <si>
    <t>Estimator</t>
  </si>
  <si>
    <t>CTST Estimator OT</t>
  </si>
  <si>
    <t>Estimator OT</t>
  </si>
  <si>
    <t>NS:NC CT&gt;160 T1-Met</t>
  </si>
  <si>
    <t>NS:NC CT&lt;160 -Met</t>
  </si>
  <si>
    <t>NS:NC 3Phase DC-Met</t>
  </si>
  <si>
    <t>NS:NC 2Phase DC-Met</t>
  </si>
  <si>
    <t>NS:NC 1Phase OP-Met</t>
  </si>
  <si>
    <t>NS:NC 1Phase Peak-Met</t>
  </si>
  <si>
    <t>NS:NC CY&gt;160T1-Serv</t>
  </si>
  <si>
    <t>NS:NC CY&lt;160-Serv</t>
  </si>
  <si>
    <t>NS:NC 3Phase DC-Serv</t>
  </si>
  <si>
    <t>NS:NC 2Phase DC-Serv</t>
  </si>
  <si>
    <t>NS:NC 1Phase OP-Serv</t>
  </si>
  <si>
    <t>NS:AA CT&gt;160 T1-Met</t>
  </si>
  <si>
    <t>NS:AA CT&lt;160-Met</t>
  </si>
  <si>
    <t>NS:AA 3 Phase DC- Met</t>
  </si>
  <si>
    <t>NS:AA 2 Phase DC- Met</t>
  </si>
  <si>
    <t>NS:AA 1 Phase OP - Met</t>
  </si>
  <si>
    <t>NS:AA 1 Phase Peak-Met</t>
  </si>
  <si>
    <t>NS:AA CT&gt;160 T1-Serv</t>
  </si>
  <si>
    <t>NS:AA CT&lt;160-Serv</t>
  </si>
  <si>
    <t>NS:AA 3 Phase DC- Serv</t>
  </si>
  <si>
    <t>NS:AA 2 Phase DC- Serv</t>
  </si>
  <si>
    <t>NS:AA 1 Phase OP - Serv</t>
  </si>
  <si>
    <t>NS:AA 1 Phase Peak-Serv</t>
  </si>
  <si>
    <t>NS:NCC CT&gt;160 T1- Met</t>
  </si>
  <si>
    <t>NS:NCC CT&lt;160- Met</t>
  </si>
  <si>
    <t>NS:NCC 3 Phase DC- Met</t>
  </si>
  <si>
    <t>NS:NCC 2 Phase DC- Met</t>
  </si>
  <si>
    <t>NS:NCC 1 Phase OP- Met</t>
  </si>
  <si>
    <t>NS:NCC 1 Phase Peak- Met</t>
  </si>
  <si>
    <t>NS:IMRO CT&gt;160 T1- Met</t>
  </si>
  <si>
    <t>NS:IMRO CT&lt;160- Met</t>
  </si>
  <si>
    <t>NS:IMRO 3 Phase DC- Met</t>
  </si>
  <si>
    <t>NS:IMRO 2 Phase DC- Met</t>
  </si>
  <si>
    <t>NS:IMRO 1 Phase OP- Met</t>
  </si>
  <si>
    <t>NS:IMRO 1 Phase Peak- Met</t>
  </si>
  <si>
    <t>CTST Mat Coordinator</t>
  </si>
  <si>
    <t>Materials Coordinator</t>
  </si>
  <si>
    <t>PCS: Planned Outrages Operator</t>
  </si>
  <si>
    <t>PCS: Planned ACR A/R Operator</t>
  </si>
  <si>
    <t>CTST Mat Coordinator OT</t>
  </si>
  <si>
    <t>Powerbeam Unit Price</t>
  </si>
  <si>
    <t>PAL Existing Pole</t>
  </si>
  <si>
    <t>PAL New Pole</t>
  </si>
  <si>
    <t>PAL Solar Supply</t>
  </si>
  <si>
    <t>PAL Transformer</t>
  </si>
  <si>
    <t>PAL Rep Sup Com Bat</t>
  </si>
  <si>
    <t>PAL Rep Ins Com Bat</t>
  </si>
  <si>
    <t>HP Ant PostMtrInst</t>
  </si>
  <si>
    <t>LP Ant PostMtrInst</t>
  </si>
  <si>
    <t>Materials Coordinator OT</t>
  </si>
  <si>
    <t>3G P2P Mtr-asc w/HP</t>
  </si>
  <si>
    <t>CTST Light FLeet No FBT</t>
  </si>
  <si>
    <t>CTST Light FLeet FBT</t>
  </si>
  <si>
    <t>CTST CPL 1</t>
  </si>
  <si>
    <t>CPL 1</t>
  </si>
  <si>
    <t>CTST CPL 1 OT</t>
  </si>
  <si>
    <t>CPL 1 OT</t>
  </si>
  <si>
    <t>Gen Lineworker</t>
  </si>
  <si>
    <t>CTST PERU</t>
  </si>
  <si>
    <t>CTST Gen Lineworker</t>
  </si>
  <si>
    <t>CTST Gen Lineworker OT</t>
  </si>
  <si>
    <t>Gen Linesworker - Overtime</t>
  </si>
  <si>
    <t>CTST Live Line Worker</t>
  </si>
  <si>
    <t>Live Line Worker</t>
  </si>
  <si>
    <t>CTST Liv Line Worker OT</t>
  </si>
  <si>
    <t>Live Line Worker - Overtime</t>
  </si>
  <si>
    <t>Operating Live Line Stick</t>
  </si>
  <si>
    <t>CTST CPL 2</t>
  </si>
  <si>
    <t>CPL 2</t>
  </si>
  <si>
    <t>CTST CPL 2 OT</t>
  </si>
  <si>
    <t>CPL 2 OT</t>
  </si>
  <si>
    <t>Customer Computer Test 1 Ph</t>
  </si>
  <si>
    <t>Customer Computer Test M Ph</t>
  </si>
  <si>
    <t>HV/PETE Testing - EPV Test Station</t>
  </si>
  <si>
    <t>HV/PETE Testing - Remote Test</t>
  </si>
  <si>
    <t>PETE</t>
  </si>
  <si>
    <t>Metering - Equipment Repairs</t>
  </si>
  <si>
    <t>Meter Data Agent Work</t>
  </si>
  <si>
    <t>IMTE</t>
  </si>
  <si>
    <t>Code Test DC 1 Ph</t>
  </si>
  <si>
    <t>Code Test CT Meter</t>
  </si>
  <si>
    <t>NC Comms Mesh Sup</t>
  </si>
  <si>
    <t>NC Com Sup Mesh Rela</t>
  </si>
  <si>
    <t>NC Com P2P 3G Modem</t>
  </si>
  <si>
    <t>NC Com P2P 3G PSTN</t>
  </si>
  <si>
    <t>NC Com P2P 3G Satell</t>
  </si>
  <si>
    <t>NC Com Inst Mesh Sup</t>
  </si>
  <si>
    <t>NC Com Ins Mes Relay</t>
  </si>
  <si>
    <t>NC Com Ins P2P3G Mod</t>
  </si>
  <si>
    <t>NC Com Ins P2P3GPSTN</t>
  </si>
  <si>
    <t>NC Com Ins P2P3G Sat</t>
  </si>
  <si>
    <t>Standard Fitter/Testers - Discount</t>
  </si>
  <si>
    <t>Standard Fitter/Testes - Base</t>
  </si>
  <si>
    <t>Standard Fitter/Testers - Premium</t>
  </si>
  <si>
    <t>Standard Fitter/Testers - Overtime</t>
  </si>
  <si>
    <t>CTST Tester</t>
  </si>
  <si>
    <t>Tester</t>
  </si>
  <si>
    <t>CTST Tester OT</t>
  </si>
  <si>
    <t>Tester OT</t>
  </si>
  <si>
    <t>AMIRO Meter 1Ph 1e+C</t>
  </si>
  <si>
    <t>CTST Fitter</t>
  </si>
  <si>
    <t>Fitter</t>
  </si>
  <si>
    <t>CTST Fitter OT</t>
  </si>
  <si>
    <t>Fitter OT</t>
  </si>
  <si>
    <t>PAL Misc Trf PNS</t>
  </si>
  <si>
    <t>FMR Inst Int1PhNonOP</t>
  </si>
  <si>
    <t>FMR Inst Int 1 Ph OP</t>
  </si>
  <si>
    <t>FMR Inst Int M Ph DC</t>
  </si>
  <si>
    <t>FMR Inst Int M Ph CT</t>
  </si>
  <si>
    <t>FMRInstAcc1PhNonOP</t>
  </si>
  <si>
    <t>FMR Inst Acc 1 Ph OP</t>
  </si>
  <si>
    <t>FMR Inst Acc M Ph DC</t>
  </si>
  <si>
    <t>FMR Inst Acc M Ph CT</t>
  </si>
  <si>
    <t>FMR Inst AMI 1Ph 1e</t>
  </si>
  <si>
    <t>FMR InstAMI 1Ph 2e+c</t>
  </si>
  <si>
    <t>FMR Inst AMI 3Ph</t>
  </si>
  <si>
    <t>CIMR InstInt1PhNonOP</t>
  </si>
  <si>
    <t>CIMR Inst Int 1Ph OP</t>
  </si>
  <si>
    <t>CIMR Inst Int M PhDC</t>
  </si>
  <si>
    <t>CIMR Inst Int M PhCT</t>
  </si>
  <si>
    <t>CIMRInst Acc1PhNonOP</t>
  </si>
  <si>
    <t>CIMR Inst Acc 1 PhOP</t>
  </si>
  <si>
    <t>CIMR Inst Acc M PhDC</t>
  </si>
  <si>
    <t>CIMR Inst Acc M PhCT</t>
  </si>
  <si>
    <t>CIMR Inst AMI 1PH 1e</t>
  </si>
  <si>
    <t>CIMR Inst AMI1PH2e+c</t>
  </si>
  <si>
    <t>CIMR Inst AMI 3Ph</t>
  </si>
  <si>
    <t>CIMRInsAMI3Ph+1phexc</t>
  </si>
  <si>
    <t>CIMR Inst AMI 3Ph CT</t>
  </si>
  <si>
    <t>CTST Project Manager</t>
  </si>
  <si>
    <t>Project Manager</t>
  </si>
  <si>
    <t>CTST Project Manager OT</t>
  </si>
  <si>
    <t>Project Manager - Overtime</t>
  </si>
  <si>
    <t>CTST Resource Planner</t>
  </si>
  <si>
    <t>Resource Planner</t>
  </si>
  <si>
    <t>CTST Resource Planner OT</t>
  </si>
  <si>
    <t>Resource Planner Overtime</t>
  </si>
  <si>
    <t>CTST Elevating Work Platform</t>
  </si>
  <si>
    <t>N/C Mid Span 1 Ph</t>
  </si>
  <si>
    <t>N/C Mid Span M Ph</t>
  </si>
  <si>
    <t>N/C O/H CT</t>
  </si>
  <si>
    <t>N/C U/G CT</t>
  </si>
  <si>
    <t>NCC Accum 1 Ph OP</t>
  </si>
  <si>
    <t>SVC replace Mid Span</t>
  </si>
  <si>
    <t>SVC replace 1 Ph</t>
  </si>
  <si>
    <t>SVC replace M Ph</t>
  </si>
  <si>
    <t>Fuse on Board</t>
  </si>
  <si>
    <t>Inst Off Peak Load</t>
  </si>
  <si>
    <t>FI/DNP by Truck B/H</t>
  </si>
  <si>
    <t>Tar Chg Reprogram</t>
  </si>
  <si>
    <t>Tar Chg New T/S</t>
  </si>
  <si>
    <t>Tar Chg Alt 1 Ph</t>
  </si>
  <si>
    <t>Tar Chg Alt M Ph</t>
  </si>
  <si>
    <t>FI/DNP by Truck A/H</t>
  </si>
  <si>
    <t>80 W MV (4.5m Out)   L2</t>
  </si>
  <si>
    <t>125 W MV (0.5m)   L3</t>
  </si>
  <si>
    <t>125 W MV (4.5m)   L4</t>
  </si>
  <si>
    <t>250 W HPS (6.0m)   L6</t>
  </si>
  <si>
    <t>250 W MV WML   L8</t>
  </si>
  <si>
    <t>400 W MV WML   L9</t>
  </si>
  <si>
    <t>150 W HPS WML   L10</t>
  </si>
  <si>
    <t>250 W HPS WML   L11</t>
  </si>
  <si>
    <t>400 W HPS WML   L12</t>
  </si>
  <si>
    <t>NS:Fault Meter/Timeswitch</t>
  </si>
  <si>
    <t>NS:FltMet/Tim-InstCP</t>
  </si>
  <si>
    <t>FI/DNPbyTruck A/H CP</t>
  </si>
  <si>
    <t>Meter Reading</t>
  </si>
  <si>
    <t>Special Meter Reading</t>
  </si>
  <si>
    <t>Sub contract Rate:A</t>
  </si>
  <si>
    <t>Sub contract Rate:B</t>
  </si>
  <si>
    <t>Sub contract Rate:C</t>
  </si>
  <si>
    <t>Sub contract Rate:D</t>
  </si>
  <si>
    <t>Sub contract Rate:E</t>
  </si>
  <si>
    <t>Sub contract Rate:F</t>
  </si>
  <si>
    <t>Sub contract Rate:G</t>
  </si>
  <si>
    <t>Sub contract Rate:H</t>
  </si>
  <si>
    <t>Sub contract Rate:I</t>
  </si>
  <si>
    <t>Sub contract Rate:J</t>
  </si>
  <si>
    <t>Sub contract Rate:K</t>
  </si>
  <si>
    <t>Sub contract Rate:L</t>
  </si>
  <si>
    <t>Sub contract Rate:M</t>
  </si>
  <si>
    <t>Sub contract Rate:N</t>
  </si>
  <si>
    <t>Sub contract Rate:O</t>
  </si>
  <si>
    <t>Sub contract Rate:P</t>
  </si>
  <si>
    <t>Sub contract Rate:Q</t>
  </si>
  <si>
    <t>Sub contract Rate:R</t>
  </si>
  <si>
    <t>ESTA Gen L/Work NT</t>
  </si>
  <si>
    <t>ESTA Gen L/Work OT</t>
  </si>
  <si>
    <t>Non Cont/No Quote Gen Lineworker</t>
  </si>
  <si>
    <t>Non Cont/No Quote Live Lineworker</t>
  </si>
  <si>
    <t>Non Cont/No Quote Tester</t>
  </si>
  <si>
    <t>Non Cont/No Quote Fitter</t>
  </si>
  <si>
    <t>Non Cont/No Quote Special Metering</t>
  </si>
  <si>
    <t>Non Cont/No Quote Survey</t>
  </si>
  <si>
    <t>Non Cont/No Quote CPL 2</t>
  </si>
  <si>
    <t>Non Cont/No Quote CPL 1</t>
  </si>
  <si>
    <t>Non Cont/No Quote Materials Coordinator</t>
  </si>
  <si>
    <t>Non Cont/No Quote Base Design</t>
  </si>
  <si>
    <t>Non Cont/No Quote General Design</t>
  </si>
  <si>
    <t>Non Cont/No Quote Engineer</t>
  </si>
  <si>
    <t>Non Cont/No Quote Project Manager</t>
  </si>
  <si>
    <t>Non Cont/No Quote Estimator</t>
  </si>
  <si>
    <t>Non Cont/No Quote Logistics</t>
  </si>
  <si>
    <t>Non Cont/No Quote Resource Planner</t>
  </si>
  <si>
    <t>NC Meter Interval M Ph CT</t>
  </si>
  <si>
    <t>NC Meter Interval M Ph DC</t>
  </si>
  <si>
    <t>NC Meter Interval 1 Ph OP</t>
  </si>
  <si>
    <t>NC Meter Accum 1Ph Non OP</t>
  </si>
  <si>
    <t>Non Cont/No Quote Gen Lineworker OT</t>
  </si>
  <si>
    <t>Non Cont/No Quote Live Lineworker OT</t>
  </si>
  <si>
    <t>Non Cont/No Quote Tester OT</t>
  </si>
  <si>
    <t>Non Cont/No Quote Fitter OT</t>
  </si>
  <si>
    <t>Non Cont/No Quote Special Metering OT</t>
  </si>
  <si>
    <t>Non Cont/NO Quote Survey OT</t>
  </si>
  <si>
    <t>Non Cont/No Quote CPL 2 OT</t>
  </si>
  <si>
    <t>Non Cont/No Quote CPL 1 OT</t>
  </si>
  <si>
    <t>Non Cont/No Quote Material CoordinatorOT</t>
  </si>
  <si>
    <t>Non Cont/No Quote Base Design OT</t>
  </si>
  <si>
    <t>Non Cont/No Quote Engineer OT</t>
  </si>
  <si>
    <t>Non Cont/No quote Project Manager OT</t>
  </si>
  <si>
    <t>Non Cont/No Quote Estimator OT</t>
  </si>
  <si>
    <t>Non Cont/No Quote Logistics OT</t>
  </si>
  <si>
    <t>Non Cont/No Quote Resource Planner OT</t>
  </si>
  <si>
    <t>NC Meter Inst Interval M Ph CT</t>
  </si>
  <si>
    <t>NC Meter Inst Interval M Ph DC</t>
  </si>
  <si>
    <t>NC Meter Inst Interval 1 Ph OP</t>
  </si>
  <si>
    <t>NC Meter Inst Accum 1 Ph Non OP</t>
  </si>
  <si>
    <t>NC Serv 1 PH UG Materials</t>
  </si>
  <si>
    <t>NC Serv 1 PH URD Materials</t>
  </si>
  <si>
    <t>NC Serv 1 PH OH Materials</t>
  </si>
  <si>
    <t>NC Serv M PH UG Materials</t>
  </si>
  <si>
    <t>NC Serv M PH URD Materials</t>
  </si>
  <si>
    <t>NC Serv M PH OH Materials</t>
  </si>
  <si>
    <t>NC Serv 1 PH UG Installation</t>
  </si>
  <si>
    <t>NC Serv 1 PH URD Installation</t>
  </si>
  <si>
    <t>NC Serv 1 PH OH Installation</t>
  </si>
  <si>
    <t>NC Serv M PH UG Installation</t>
  </si>
  <si>
    <t>Faults Cable</t>
  </si>
  <si>
    <t>Faults Conductor</t>
  </si>
  <si>
    <t>Faults Earthing</t>
  </si>
  <si>
    <t>Faults Transformer</t>
  </si>
  <si>
    <t>Faults Fuse</t>
  </si>
  <si>
    <t>Faults Insulators</t>
  </si>
  <si>
    <t>Faults Light</t>
  </si>
  <si>
    <t>Faults LV Fuse</t>
  </si>
  <si>
    <t>Faults Meter</t>
  </si>
  <si>
    <t>Faults Pole</t>
  </si>
  <si>
    <t>Faults Service</t>
  </si>
  <si>
    <t>Faults Switch</t>
  </si>
  <si>
    <t>Faults Cross Arm</t>
  </si>
  <si>
    <t>Faults General</t>
  </si>
  <si>
    <t>Faults Accrual</t>
  </si>
  <si>
    <t>BAPF Fuse</t>
  </si>
  <si>
    <t>Reset Time Switch</t>
  </si>
  <si>
    <t>Service Fuse</t>
  </si>
  <si>
    <t>New Connections - Single Phase URD</t>
  </si>
  <si>
    <t>New Connections - Multi Phase URD</t>
  </si>
  <si>
    <t>Field Administration</t>
  </si>
  <si>
    <t>Field Administration OT</t>
  </si>
  <si>
    <t>Faults Inspect and Minor Repair by site</t>
  </si>
  <si>
    <t>Faults Site Visit Only</t>
  </si>
  <si>
    <t>Faults Repair Earth insp_test_repair</t>
  </si>
  <si>
    <t>Faults EDO HV Fuse CT&amp;L 1 unit</t>
  </si>
  <si>
    <t>Faults EDO HV Fuse CT&amp;L 2 unit</t>
  </si>
  <si>
    <t>Faults EDO HV Fuse CT&amp;L 3 unit</t>
  </si>
  <si>
    <t>Faults EDO HV Fuse Link 1 to 3 units</t>
  </si>
  <si>
    <t>Faults P F HV Fuse Cartridge 1 unit</t>
  </si>
  <si>
    <t>Faults P F HV Fuse Cartridge 2 unit</t>
  </si>
  <si>
    <t>Faults P F HV Fuse Cartridge 3 unit</t>
  </si>
  <si>
    <t>Faults Boric Acid Fuse Link 1 unit</t>
  </si>
  <si>
    <t>Faults Boric Acid Fuse Link 2 unit</t>
  </si>
  <si>
    <t>Faults Boric Acid Fuse Link 3 unit</t>
  </si>
  <si>
    <t>Faults LV Fuse Isolator 1 unit</t>
  </si>
  <si>
    <t>Faults LV Fuse Isolator 2 unit</t>
  </si>
  <si>
    <t>Faults LV Fuse Isolator 3 unit</t>
  </si>
  <si>
    <t>Faults LV ABC S Fuse disconnect 1 unit</t>
  </si>
  <si>
    <t>Faults 1 phase meter</t>
  </si>
  <si>
    <t>Faults 2 phase meter</t>
  </si>
  <si>
    <t>Faults 3 phase meter</t>
  </si>
  <si>
    <t>Faults Time Switch one unit</t>
  </si>
  <si>
    <t>Faults Overhead service 1, 2 or 3 phase</t>
  </si>
  <si>
    <t>Faults Service Fuse 1_2_3 service fuse</t>
  </si>
  <si>
    <t>Faults LV Fuse 1, 2 or 3 replacements</t>
  </si>
  <si>
    <t>Faults Junction Box 1,2 or 3 phase</t>
  </si>
  <si>
    <t>Faults HV Intermediate Cross-arm</t>
  </si>
  <si>
    <t>Field Administration Overtime</t>
  </si>
  <si>
    <t>Internal Contestable Projects</t>
  </si>
  <si>
    <t>Mtr Supply add costs</t>
  </si>
  <si>
    <t>Mtr Inst add costs</t>
  </si>
  <si>
    <t>Comms Sup add costs</t>
  </si>
  <si>
    <t>Comms Inst add costs</t>
  </si>
  <si>
    <t>Difficult sites</t>
  </si>
  <si>
    <t>ECB Rectification PA</t>
  </si>
  <si>
    <t>AMIOpex Prj Mgmt Fee</t>
  </si>
  <si>
    <t>Miscellaneous Transfers</t>
  </si>
  <si>
    <t>Meter Replacement Program</t>
  </si>
  <si>
    <t>AMI Proj O/H Cost - OPEX</t>
  </si>
  <si>
    <t>AMI Proj O/H Cost - CAPEX</t>
  </si>
  <si>
    <t>PCS - E-Trader</t>
  </si>
  <si>
    <t>PCS - Primary Design</t>
  </si>
  <si>
    <t>PCS - Second Design</t>
  </si>
  <si>
    <t>PCS - Design Draft</t>
  </si>
  <si>
    <t>PCS - Design Primary</t>
  </si>
  <si>
    <t>PCS - Design Second</t>
  </si>
  <si>
    <t>NC Serv M PH URD Installation</t>
  </si>
  <si>
    <t>NC Serv M PH OH Installation</t>
  </si>
  <si>
    <t>Fault MR Interval M Ph CT</t>
  </si>
  <si>
    <t>Fault MR Interval M Ph CDC</t>
  </si>
  <si>
    <t>Fault MR Interval 1 Ph OP</t>
  </si>
  <si>
    <t>Fault MR Accum 1 Ph Non OP</t>
  </si>
  <si>
    <t>Abolishment Accum 1 Ph Non OP</t>
  </si>
  <si>
    <t>Replace Service 1 PH UG</t>
  </si>
  <si>
    <t>Replace Service 1 PH URD</t>
  </si>
  <si>
    <t>Replace Service 1 PH OH</t>
  </si>
  <si>
    <t>Replace Service M PH UG</t>
  </si>
  <si>
    <t>Replace Service M PH URD</t>
  </si>
  <si>
    <t>Replace Service M PH OH</t>
  </si>
  <si>
    <t>Service Replace 1 Phase</t>
  </si>
  <si>
    <t>Service Replace M Phase</t>
  </si>
  <si>
    <t>NC Meter Inst Interval 1 Ph Non OP</t>
  </si>
  <si>
    <t>NC Meter Accum M Ph CT</t>
  </si>
  <si>
    <t>NC Meter Accum M Ph DC</t>
  </si>
  <si>
    <t>NC Meter Accum 1 Ph OP</t>
  </si>
  <si>
    <t>Stores Recovery - Distribution Stores</t>
  </si>
  <si>
    <t>Stores Recovery Local Stores</t>
  </si>
  <si>
    <t>Purchase Order Oncost</t>
  </si>
  <si>
    <t>Fault MR AMI 1Ph 1e</t>
  </si>
  <si>
    <t>Flt MR  AMI 1Ph 1e+C</t>
  </si>
  <si>
    <t>Flt MR  AMI 1Ph 2e+C</t>
  </si>
  <si>
    <t>Fault MR AMI 3Ph</t>
  </si>
  <si>
    <t>Flt MRAMI3Ph+1PhintC</t>
  </si>
  <si>
    <t>FMR AMI 3Ph+3Ph extC</t>
  </si>
  <si>
    <t>Fault MR AMI 3 Ph CT</t>
  </si>
  <si>
    <t>Quote vs Actual +/- Operations</t>
  </si>
  <si>
    <t>AMI 3 Ph+1 Ph int C</t>
  </si>
  <si>
    <t>FMR Inst AMI 1Ph1e+C</t>
  </si>
  <si>
    <t>FMR Inst AMI3Ph+1Ph</t>
  </si>
  <si>
    <t>FMR AMI3Ph+3Ph ext C</t>
  </si>
  <si>
    <t>FMR InstAMI3PhCTinst</t>
  </si>
  <si>
    <t>CIMR AMI 1Ph 1e + C</t>
  </si>
  <si>
    <t>CIMR AMI3Ph+1PhintC</t>
  </si>
  <si>
    <t>CIMR AMI3Ph+3PhextC</t>
  </si>
  <si>
    <t>Quote vs Actual +/- Capital</t>
  </si>
  <si>
    <t>CIMR Inst AMI1Ph1e+C</t>
  </si>
  <si>
    <t>CIMR InstAMI3Ph+1Ph</t>
  </si>
  <si>
    <t>Exp single insul mtr</t>
  </si>
  <si>
    <t>CT meter sites with</t>
  </si>
  <si>
    <t>CT meter site withou</t>
  </si>
  <si>
    <t>Cast iron asbestos l</t>
  </si>
  <si>
    <t>ESTA G&amp;B L/WORK NT</t>
  </si>
  <si>
    <t>ESTA G&amp;B L/Work OT</t>
  </si>
  <si>
    <t>PC Serv Capital Labour</t>
  </si>
  <si>
    <t>ESTA LIVE L/Work NT</t>
  </si>
  <si>
    <t>ESTA LIVE L/Work OT</t>
  </si>
  <si>
    <t>ESTA FITTER NT</t>
  </si>
  <si>
    <t>ESTA FITTER OT</t>
  </si>
  <si>
    <t>ESTA TESTER NT</t>
  </si>
  <si>
    <t>ESTA TESTER OT</t>
  </si>
  <si>
    <t>ESTA SUPERVISOR NT</t>
  </si>
  <si>
    <t>ESTA SUPERVISOR OT</t>
  </si>
  <si>
    <t>IT Margin (Capex)</t>
  </si>
  <si>
    <t>Crossarm Project</t>
  </si>
  <si>
    <t>Line taps used for m</t>
  </si>
  <si>
    <t>CBD Metal links (wit</t>
  </si>
  <si>
    <t>Meter isolation requ</t>
  </si>
  <si>
    <t>Nilcrom fusing</t>
  </si>
  <si>
    <t>Large Meter Panels t</t>
  </si>
  <si>
    <t>Northcote area metal</t>
  </si>
  <si>
    <t>Asbestos meter board</t>
  </si>
  <si>
    <t>Customer asbestos de</t>
  </si>
  <si>
    <t>Damp or wet meter bo</t>
  </si>
  <si>
    <t>Additional Design Services</t>
  </si>
  <si>
    <t>Confirm Time Level S</t>
  </si>
  <si>
    <t>Confirm Time Level T</t>
  </si>
  <si>
    <t>Confirm Time Level U</t>
  </si>
  <si>
    <t>Confirm Time Level V</t>
  </si>
  <si>
    <t>Confirm Time Level W</t>
  </si>
  <si>
    <t>Confirm Time Level X</t>
  </si>
  <si>
    <t>Confirm Time Level Y</t>
  </si>
  <si>
    <t>Confirm Time Level Z</t>
  </si>
  <si>
    <t>Confirm Time Level AA</t>
  </si>
  <si>
    <t>Removal Y9</t>
  </si>
  <si>
    <t>Confirm Time Level AB</t>
  </si>
  <si>
    <t>Confirm Time Level AC</t>
  </si>
  <si>
    <t>Confirm Time Level AD</t>
  </si>
  <si>
    <t>Confirm Time Level AE</t>
  </si>
  <si>
    <t>Confirm Time Level AF</t>
  </si>
  <si>
    <t>Confirm Time Level AG</t>
  </si>
  <si>
    <t>Confirm Time Level AH</t>
  </si>
  <si>
    <t>AMI Stock revalue</t>
  </si>
  <si>
    <t>Sub-contracting</t>
  </si>
  <si>
    <t>Meter board replacem</t>
  </si>
  <si>
    <t>Issue of defect noti</t>
  </si>
  <si>
    <t>Ant (meter)- Ext Sup</t>
  </si>
  <si>
    <t>Ant (mtr)- Ext box S</t>
  </si>
  <si>
    <t>Ant (mtr)- HG Sup</t>
  </si>
  <si>
    <t>Ant (mtr)- Ext Inst</t>
  </si>
  <si>
    <t>Ant (mtr)- Ext box I</t>
  </si>
  <si>
    <t>Ant (mtr)- HG Instal</t>
  </si>
  <si>
    <t>AMI Comms Instal Ant</t>
  </si>
  <si>
    <t>PCS - Fibre Optic Cable Layout project</t>
  </si>
  <si>
    <t>PCS - FOC Maintenance NT</t>
  </si>
  <si>
    <t>Net Serv FOC Accrual</t>
  </si>
  <si>
    <t>AMI Comms Instal ZSS</t>
  </si>
  <si>
    <t>AMI Comms Sup Ant</t>
  </si>
  <si>
    <t>AMI Comms Sup ZSS</t>
  </si>
  <si>
    <t>AMI Cpx Prj Mgmt Fee</t>
  </si>
  <si>
    <t>AMI Opx Prj Mgmt Fee</t>
  </si>
  <si>
    <t>PCS Overhead Allocation to lower levels</t>
  </si>
  <si>
    <t>PCS Overhead Allocation</t>
  </si>
  <si>
    <t>IT Project Fee</t>
  </si>
  <si>
    <t>AMI Project Margin</t>
  </si>
  <si>
    <t>AMI Margin</t>
  </si>
  <si>
    <t>CHEDS AMI BAU Margin</t>
  </si>
  <si>
    <t>AMI Rollout Margin</t>
  </si>
  <si>
    <t>Cap of AMI Mgmt Fee</t>
  </si>
  <si>
    <t>AMI UP Act Alloc</t>
  </si>
  <si>
    <t>Fuse Added(per Fuse)</t>
  </si>
  <si>
    <t>Fuse Rmvd (per Fuse)</t>
  </si>
  <si>
    <t>Fuse Upgrd(per fuse)</t>
  </si>
  <si>
    <t>Revisit Fee</t>
  </si>
  <si>
    <t>CIMR InstAMI3Ph+3Ph</t>
  </si>
  <si>
    <t>Process Support</t>
  </si>
  <si>
    <t>Fault AMI Co Mesh AP</t>
  </si>
  <si>
    <t>Fault AMI Mesh Relay</t>
  </si>
  <si>
    <t>Fault AMI Mesh Inst</t>
  </si>
  <si>
    <t>Fault AMI inst mesh</t>
  </si>
  <si>
    <t>Technical Support</t>
  </si>
  <si>
    <t>Fault AMI Com 3G Mod</t>
  </si>
  <si>
    <t>Fault Com P2P PSTN</t>
  </si>
  <si>
    <t>Fault Com P2P Satell</t>
  </si>
  <si>
    <t>Fault Com Ins 3G Mod</t>
  </si>
  <si>
    <t>Fault Inst P2P PSTN</t>
  </si>
  <si>
    <t>Fault Inst P2P Satel</t>
  </si>
  <si>
    <t>Fault AMI LP Ant</t>
  </si>
  <si>
    <t>Fault AMI LP Ext Led</t>
  </si>
  <si>
    <t>Fault AMI HP Antenna</t>
  </si>
  <si>
    <t>Fault AMI In LP Ant</t>
  </si>
  <si>
    <t>Fault AMI Ins LP Ext</t>
  </si>
  <si>
    <t>Fault AMI Ins HP Ant</t>
  </si>
  <si>
    <t>OT 1.5 Process Suppt</t>
  </si>
  <si>
    <t>OT 1.5 Tech. Support</t>
  </si>
  <si>
    <t>OT 1.5 Admin Support</t>
  </si>
  <si>
    <t>NT DMS Project</t>
  </si>
  <si>
    <t>OT DMS Project</t>
  </si>
  <si>
    <t>OT DT Tech. Support</t>
  </si>
  <si>
    <t>OT DT Admin. Support</t>
  </si>
  <si>
    <t>Northern Prop.Alloc.</t>
  </si>
  <si>
    <t>New Connections NETW</t>
  </si>
  <si>
    <t>Local Overhead Adjus</t>
  </si>
  <si>
    <t>Network N/T</t>
  </si>
  <si>
    <t>Netw Des NT-TRDS</t>
  </si>
  <si>
    <t>Netw Des OT-TRDS</t>
  </si>
  <si>
    <t>Cont Des NT-TRDS</t>
  </si>
  <si>
    <t>Cont Des OT-TRDS</t>
  </si>
  <si>
    <t>Netw Des NT-SD</t>
  </si>
  <si>
    <t>Netw Des OT-SD</t>
  </si>
  <si>
    <t>Cont Des NT-SD</t>
  </si>
  <si>
    <t>Cont Des OT-SD</t>
  </si>
  <si>
    <t>NS Dsgn Rev Adj</t>
  </si>
  <si>
    <t>Network Connectn N/T</t>
  </si>
  <si>
    <t>4500/612221</t>
  </si>
  <si>
    <t>CP:Eng Strd NT-TRDS</t>
  </si>
  <si>
    <t>CP:Eng Strd OT-TRDS</t>
  </si>
  <si>
    <t>PAL:Eng Std NT-TRDS</t>
  </si>
  <si>
    <t>PAL:Eng Strd OT-TRDS</t>
  </si>
  <si>
    <t>Netw Distr Des NT</t>
  </si>
  <si>
    <t>Netw Distr Des OT</t>
  </si>
  <si>
    <t>Netw Comp &amp; Audit NT</t>
  </si>
  <si>
    <t>Works Management N/T</t>
  </si>
  <si>
    <t>Asset PerformanceN/T</t>
  </si>
  <si>
    <t>Operations N/T</t>
  </si>
  <si>
    <t>Non Technical N/T</t>
  </si>
  <si>
    <t>Misc Operation Tfr</t>
  </si>
  <si>
    <t>Network O/T</t>
  </si>
  <si>
    <t>Network Connectn O/T</t>
  </si>
  <si>
    <t>PAL-CoIMR AMI 1Ph 1e</t>
  </si>
  <si>
    <t>PAL-CoIMR AMI1Ph1e+C</t>
  </si>
  <si>
    <t>PAL-CoIMR AMI1Ph2e+C</t>
  </si>
  <si>
    <t>PAL-CoIMR AMI 3Ph DC</t>
  </si>
  <si>
    <t>PAL-CoIMRAMI3Ph DC+C</t>
  </si>
  <si>
    <t>PAL-CoIMR AMI 3Ph CT</t>
  </si>
  <si>
    <t>Works Management O/T</t>
  </si>
  <si>
    <t>Asset PerformanceO/T</t>
  </si>
  <si>
    <t>Maintenance O/T</t>
  </si>
  <si>
    <t>Operations O/T</t>
  </si>
  <si>
    <t>Non Technical O/T</t>
  </si>
  <si>
    <t>Cust Prj Non-prod</t>
  </si>
  <si>
    <t>NT 1 GIS Project</t>
  </si>
  <si>
    <t>NT 2 GIS Project</t>
  </si>
  <si>
    <t>NETW:Pln Outrages Op</t>
  </si>
  <si>
    <t>NETW:Pln ACR A/R Op</t>
  </si>
  <si>
    <t>NETW:OpsFaultLAB</t>
  </si>
  <si>
    <t>NT 3 GIS Project</t>
  </si>
  <si>
    <t>CP- CoIMR AMI 1Ph 1e</t>
  </si>
  <si>
    <t>CP-CoIMR AMI 1Ph1e+C</t>
  </si>
  <si>
    <t>CP-CoIMR AMI 1Ph2e+C</t>
  </si>
  <si>
    <t>CP - CoIMR AMI 3PhDC</t>
  </si>
  <si>
    <t>CP- CoIMR AMI3PhDC+C</t>
  </si>
  <si>
    <t>CP - CoIMR AMI 3PhCT</t>
  </si>
  <si>
    <t>Project Consultants</t>
  </si>
  <si>
    <t>CoIMR Ins AMI 1Ph 1e</t>
  </si>
  <si>
    <t>CoIMR InsAMI 1Ph1e+C</t>
  </si>
  <si>
    <t>CoIMR InsAMI 1Ph2e+C</t>
  </si>
  <si>
    <t>CoIMR Ins AMI 3Ph DC</t>
  </si>
  <si>
    <t>CoIMR InsAMI 3PhDC+C</t>
  </si>
  <si>
    <t>CoIMR Ins AMI 3Ph CT</t>
  </si>
  <si>
    <t>Customer Consultants</t>
  </si>
  <si>
    <t>CP Labour Trf Opex</t>
  </si>
  <si>
    <t>CP Labour Trf Capex</t>
  </si>
  <si>
    <t>Cost Transfer</t>
  </si>
  <si>
    <t>Gen Lineworker T/Time</t>
  </si>
  <si>
    <t>Gen Lineworker OT T/Time</t>
  </si>
  <si>
    <t>Vehicle Costs</t>
  </si>
  <si>
    <t>Single Man Fault Travel Time - N/T</t>
  </si>
  <si>
    <t>Single Man Fault Travel Time - A/H</t>
  </si>
  <si>
    <t>Metering &amp; Servicing T/Time</t>
  </si>
  <si>
    <t>Metering &amp; Servicing OT T/Time</t>
  </si>
  <si>
    <t>Single Man Metering &amp; Servicing TTime</t>
  </si>
  <si>
    <t>Single Man Metering &amp; Servicing OH TTime</t>
  </si>
  <si>
    <t>Fault Travel Time - N/T</t>
  </si>
  <si>
    <t>Fault Travel Time - A/H</t>
  </si>
  <si>
    <t>CTST Normal Time Labour Adjustment</t>
  </si>
  <si>
    <t>MRP 1 Ph Meter</t>
  </si>
  <si>
    <t>MRP (Cont) Simple 1 Ph Mt</t>
  </si>
  <si>
    <t>MRP M Ph Meter</t>
  </si>
  <si>
    <t>MRP (Cont) Simple M Ph Meter</t>
  </si>
  <si>
    <t>MRP Wasted Visit</t>
  </si>
  <si>
    <t>MRP (Cont) Wasted Visit</t>
  </si>
  <si>
    <t>MRP Complex 1 Ph Meter</t>
  </si>
  <si>
    <t>MRP (Cont) Complex 1 Ph Meter</t>
  </si>
  <si>
    <t>MRP Complex M Ph Meter</t>
  </si>
  <si>
    <t>MRP (Cont) Complex M Ph Meter</t>
  </si>
  <si>
    <t>MR SM Interval Multi Ph CT</t>
  </si>
  <si>
    <t>MR SM Interval Multi Ph DC</t>
  </si>
  <si>
    <t>MR SM Accum Multi Ph CT</t>
  </si>
  <si>
    <t>Issue of CT's</t>
  </si>
  <si>
    <t>Tag, Disconnections</t>
  </si>
  <si>
    <t>FI/DNP by Truck CP</t>
  </si>
  <si>
    <t>Logging</t>
  </si>
  <si>
    <t>DC Metering</t>
  </si>
  <si>
    <t>Code Test DC Poly Ph</t>
  </si>
  <si>
    <t>Meter Change 1 Phase</t>
  </si>
  <si>
    <t>Code Test LV CT's</t>
  </si>
  <si>
    <t>Inservice Test</t>
  </si>
  <si>
    <t>Wasted Visit</t>
  </si>
  <si>
    <t>*faulty meter</t>
  </si>
  <si>
    <t>NS:CT METER INSPECTION (CP)</t>
  </si>
  <si>
    <t>UMS Audits (CP &amp; PAL)</t>
  </si>
  <si>
    <t>Meter Refurbish</t>
  </si>
  <si>
    <t>Replace Faulty T/S</t>
  </si>
  <si>
    <t>Inst/Replace Fuses</t>
  </si>
  <si>
    <t>Wasted Truck Visitasted Visist</t>
  </si>
  <si>
    <t>Abolishments</t>
  </si>
  <si>
    <t>Replace Faulty CT's</t>
  </si>
  <si>
    <t>Code Test HV CT's</t>
  </si>
  <si>
    <t>CT Testing of CT Units</t>
  </si>
  <si>
    <t>Meter Comms Faults - Fields</t>
  </si>
  <si>
    <t>Fault Meter Board Replacement - PAL</t>
  </si>
  <si>
    <t>Fault Meter Board Replacement - CP</t>
  </si>
  <si>
    <t>Meter Communications  Faults - Office</t>
  </si>
  <si>
    <t>Cust Investig Onsite-No Equip Rep PAL</t>
  </si>
  <si>
    <t>NC SM Interval Multi Ph CT</t>
  </si>
  <si>
    <t>Cust Investig Onsite-No Equip Rep CP</t>
  </si>
  <si>
    <t>Inserv Test Exist In</t>
  </si>
  <si>
    <t>NC SM Accum Multi Ph CT</t>
  </si>
  <si>
    <t>NC SM Instal Int Multi Ph CT</t>
  </si>
  <si>
    <t>NC SM Instal Acc Multi Ph CT</t>
  </si>
  <si>
    <t>Transpositions</t>
  </si>
  <si>
    <t>Meter Program/Timeswitch Reset</t>
  </si>
  <si>
    <t>HV Metr CT/VT Replacement CP</t>
  </si>
  <si>
    <t>HV Metr CT/VT Replacement PAL</t>
  </si>
  <si>
    <t>NS:Flt Metr/Tim-Mat</t>
  </si>
  <si>
    <t>NS:FltMet/Tim-MatCP</t>
  </si>
  <si>
    <t>Cust Upgrade CT tap/meter change</t>
  </si>
  <si>
    <t>Cust Upgradfe inst pot fuses</t>
  </si>
  <si>
    <t>CT's Refurbish</t>
  </si>
  <si>
    <t>PV Install CP</t>
  </si>
  <si>
    <t>New Connections trfs</t>
  </si>
  <si>
    <t>Safety Related Costs Transfers to Prov'n</t>
  </si>
  <si>
    <t>CTST O/Time Labour Adjustment</t>
  </si>
  <si>
    <t>NS General Lineworker Normal Time</t>
  </si>
  <si>
    <t>NS General Lineworker Over Time</t>
  </si>
  <si>
    <t>LSA General Lineworker Normal Time</t>
  </si>
  <si>
    <t>LSA General Lineworker Over Time</t>
  </si>
  <si>
    <t>LSA Mobiblity</t>
  </si>
  <si>
    <t>2005B-Gen Linework</t>
  </si>
  <si>
    <t>NS: General Lineworker N/T CP</t>
  </si>
  <si>
    <t>NS: General Lineworker O/T CP</t>
  </si>
  <si>
    <t>NS Live Lineworker - General</t>
  </si>
  <si>
    <t>NS:Live Lineworker Over Time - General</t>
  </si>
  <si>
    <t>LSA Live Lineworker Normal Time</t>
  </si>
  <si>
    <t>LSA Live Lineworker Over Time</t>
  </si>
  <si>
    <t>2005B-Live Lineworkwe</t>
  </si>
  <si>
    <t>NS: Live Lineworker- General N/T CP</t>
  </si>
  <si>
    <t>NS: Live Lineworker- General O/T CP</t>
  </si>
  <si>
    <t>NS Fitter Normal Time</t>
  </si>
  <si>
    <t>NS Fitter Over Time</t>
  </si>
  <si>
    <t>LSA Fitter Normal Time</t>
  </si>
  <si>
    <t>LSA Fitter Over Time</t>
  </si>
  <si>
    <t>2005B-Fitter</t>
  </si>
  <si>
    <t>NS: Fitter N/T CP</t>
  </si>
  <si>
    <t>NS: Fitter O/T CP</t>
  </si>
  <si>
    <t>NS Construction Co-ordinator Normal Time</t>
  </si>
  <si>
    <t>NS Construction Co-ordinator Over Time</t>
  </si>
  <si>
    <t>2005B-Const Co-ord</t>
  </si>
  <si>
    <t>NS: Construction  Co-ord N/T CP</t>
  </si>
  <si>
    <t>NS: Const Co-ord O/T CP</t>
  </si>
  <si>
    <t>NS Design D/S N/T</t>
  </si>
  <si>
    <t>NS Design D/S O/T</t>
  </si>
  <si>
    <t>CP Network Internal Labour</t>
  </si>
  <si>
    <t>2005B-Design/Survey</t>
  </si>
  <si>
    <t>NS: Design/ Survey N/T CP</t>
  </si>
  <si>
    <t>NS: Design/ Survey O/T CP</t>
  </si>
  <si>
    <t>NS Technical/Project Manager Normal Time</t>
  </si>
  <si>
    <t>NS Technical/Project Manager Over Time</t>
  </si>
  <si>
    <t>2005B-Tech/Proj Mgr</t>
  </si>
  <si>
    <t>NS: Technical/ Project Mgr N/T CP</t>
  </si>
  <si>
    <t>NS: Technical/ Project Mgr O/T CP</t>
  </si>
  <si>
    <t>NS Specialist Metering Normal Time</t>
  </si>
  <si>
    <t>NS Specialist Metering Over Time</t>
  </si>
  <si>
    <t>Cust Metering/Servic</t>
  </si>
  <si>
    <t>2005B-Specialist Metering</t>
  </si>
  <si>
    <t>NS Tester  Normal Time</t>
  </si>
  <si>
    <t>NS Tester  Over Time</t>
  </si>
  <si>
    <t>2005B-Tester</t>
  </si>
  <si>
    <t>NS: Tester N/T CP</t>
  </si>
  <si>
    <t>NS: Tester O/T CP</t>
  </si>
  <si>
    <t>NS: Live Lineworker - Live</t>
  </si>
  <si>
    <t>NS: Live Lineworker O/T  - LIve</t>
  </si>
  <si>
    <t>LSA EWP &amp; Driver Normal Time</t>
  </si>
  <si>
    <t>LSA EWP &amp; Driver Over Time</t>
  </si>
  <si>
    <t>NS:National Projects:Project Mgr NT</t>
  </si>
  <si>
    <t>NS:National Projects:Project Mgr OT</t>
  </si>
  <si>
    <t>NSNP:TAS:PrjMgrNT</t>
  </si>
  <si>
    <t>NSNP:TAS:PrjMgrOT</t>
  </si>
  <si>
    <t>LSA PERU &amp; Driver Normal Time</t>
  </si>
  <si>
    <t>LSA PERU &amp; Driver Over Time</t>
  </si>
  <si>
    <t>NSNP:QLD:PrjMgrNT</t>
  </si>
  <si>
    <t>NSNP:QLD:PrjMgrOT</t>
  </si>
  <si>
    <t>NSNP:QLD:Live LW NT</t>
  </si>
  <si>
    <t>NSNP:QLD:Live LW OT</t>
  </si>
  <si>
    <t>NS General Lineworker NT</t>
  </si>
  <si>
    <t>NS Live Lineworker- General NT</t>
  </si>
  <si>
    <t>NS Fitter NT</t>
  </si>
  <si>
    <t>NS Tester NT</t>
  </si>
  <si>
    <t>NS Construction Co-ordinator NT</t>
  </si>
  <si>
    <t>NS Design / Survey NT</t>
  </si>
  <si>
    <t>NS Technical / Engineer NT</t>
  </si>
  <si>
    <t>NSNP:VICNSW:PrjMgrOT</t>
  </si>
  <si>
    <t>NS: Design Support D/S N/T</t>
  </si>
  <si>
    <t>NS: Design Support D/S O/T</t>
  </si>
  <si>
    <t>NS Gen Lineworker OT</t>
  </si>
  <si>
    <t>NS LiveLinewrkGen OT</t>
  </si>
  <si>
    <t>NS Fitter OT</t>
  </si>
  <si>
    <t>NS Tester OT</t>
  </si>
  <si>
    <t>NS Const Co-ord OT</t>
  </si>
  <si>
    <t>NS Design/Survey OT</t>
  </si>
  <si>
    <t>NS Tech/Engineer OT</t>
  </si>
  <si>
    <t>NSNP:UnpaidProjHours</t>
  </si>
  <si>
    <t>NS:Drafting/GIS D/S/ N/T</t>
  </si>
  <si>
    <t>NS:Drafting/GIS D/S/ O/T</t>
  </si>
  <si>
    <t>NSNP:ProjManagerNT</t>
  </si>
  <si>
    <t>NS:NP:Pr Mgr OT</t>
  </si>
  <si>
    <t>NS:NP: Site Mngr NT</t>
  </si>
  <si>
    <t>NS:NP:SitMgr OT</t>
  </si>
  <si>
    <t>NS:NP:PrjConNT</t>
  </si>
  <si>
    <t>NS:NP:Proj Ctrl OT</t>
  </si>
  <si>
    <t>NS:Survey D/S N/T</t>
  </si>
  <si>
    <t>NS:Survey D/S O/T</t>
  </si>
  <si>
    <t>NS: Packaged Work NT</t>
  </si>
  <si>
    <t>NS Civil Works &amp; Traffic Management</t>
  </si>
  <si>
    <t>NS Packaged Work Over Time</t>
  </si>
  <si>
    <t>NS:NP:ComEngNT</t>
  </si>
  <si>
    <t>NS:NP:ComEngOT</t>
  </si>
  <si>
    <t>NS:NP: OHS&amp;ENT</t>
  </si>
  <si>
    <t>NS:NP:BDEstiNT</t>
  </si>
  <si>
    <t>NS:NP:BDEstimOT</t>
  </si>
  <si>
    <t>NSNP:VICNSW:OHS&amp;ENT</t>
  </si>
  <si>
    <t>NS:NP: OHS&amp;EOT</t>
  </si>
  <si>
    <t>SC Lineworker/Cable Jointer N T</t>
  </si>
  <si>
    <t>SC Lineworker/Cable Jointer O T</t>
  </si>
  <si>
    <t>ETSA Lineworker</t>
  </si>
  <si>
    <t>ETSA Lineworker O/T</t>
  </si>
  <si>
    <t>SC Gen Line CP NT</t>
  </si>
  <si>
    <t>SC Gen Line CP OT</t>
  </si>
  <si>
    <t>SC:Live Lineworker NT</t>
  </si>
  <si>
    <t>SC:Live Lineworker Overtime</t>
  </si>
  <si>
    <t>ETSA Glove &amp; Barrier</t>
  </si>
  <si>
    <t>ETSA Glove &amp; Barrier O/T</t>
  </si>
  <si>
    <t>SC Live Line CP NT</t>
  </si>
  <si>
    <t>SC Live Line CP OT</t>
  </si>
  <si>
    <t>SC Tester N T</t>
  </si>
  <si>
    <t>SC Tester Over Time</t>
  </si>
  <si>
    <t>ETSA Commisioning Officer</t>
  </si>
  <si>
    <t>ETSA Commisioning Officer O/T</t>
  </si>
  <si>
    <t>SC Tester CP NT</t>
  </si>
  <si>
    <t>SC Tester CP OT</t>
  </si>
  <si>
    <t>SC Supervisor N T</t>
  </si>
  <si>
    <t>SC Supervisor Over Time</t>
  </si>
  <si>
    <t>ETSA Work Supervisor</t>
  </si>
  <si>
    <t>ETSA Work Supervisor O/T</t>
  </si>
  <si>
    <t>SC Construct CP NT</t>
  </si>
  <si>
    <t>SC Construct CP OT</t>
  </si>
  <si>
    <t>SC Design/Drafting Normal Time</t>
  </si>
  <si>
    <t>SC Design/Drafting Over Time</t>
  </si>
  <si>
    <t>SC Design CP NT</t>
  </si>
  <si>
    <t>SC Design CP OT</t>
  </si>
  <si>
    <t>SC Engineer Normal Time</t>
  </si>
  <si>
    <t>SC Engineer Over Time</t>
  </si>
  <si>
    <t>SC Engineer (CTST)NT</t>
  </si>
  <si>
    <t>SC Engineer (CTST)OT</t>
  </si>
  <si>
    <t>NS-Meter Provider Invest - PAL</t>
  </si>
  <si>
    <t>NS2-Meter Provider Invest - CP</t>
  </si>
  <si>
    <t>SC Fitter N T</t>
  </si>
  <si>
    <t>SC Fitter Jointer O T</t>
  </si>
  <si>
    <t>SC Fitter(CTST)NT</t>
  </si>
  <si>
    <t>SC Fitter (CTST)OT</t>
  </si>
  <si>
    <t>ETSA Filter</t>
  </si>
  <si>
    <t>ETSA Filter O/T</t>
  </si>
  <si>
    <t>SC Fitter CP NT</t>
  </si>
  <si>
    <t>SC Fitter CP OT</t>
  </si>
  <si>
    <t>NS:AIMRO contract costs</t>
  </si>
  <si>
    <t>NS:Elec Inspection Costs</t>
  </si>
  <si>
    <t>SC Packaged Work (Draft) Normal Time</t>
  </si>
  <si>
    <t>SC Packaged Work (Draft) Over Time</t>
  </si>
  <si>
    <t>NS SPAN:General Lineworker NT</t>
  </si>
  <si>
    <t>NS SPAN:General Lineworker OT</t>
  </si>
  <si>
    <t>NS SPAN: 1Yr App NT</t>
  </si>
  <si>
    <t>NS SPAN: 1Yr App OT</t>
  </si>
  <si>
    <t>NS SPAN: 2Yr App NT</t>
  </si>
  <si>
    <t>NS SPAN: 2Yr App OT</t>
  </si>
  <si>
    <t>NS SPAN: 3Yr App NT</t>
  </si>
  <si>
    <t>NS SPAN: 3Yr App OT</t>
  </si>
  <si>
    <t>NS SPAN: 4Yr App NT</t>
  </si>
  <si>
    <t>NS SPAN: 4Yr App OT</t>
  </si>
  <si>
    <t>NS SPAN:Live Lineworker NT</t>
  </si>
  <si>
    <t>NS SPAN:Live Lineworker OT</t>
  </si>
  <si>
    <t>NS SPAN:Tester NT</t>
  </si>
  <si>
    <t>NS SPAN:Tester OT</t>
  </si>
  <si>
    <t>Customer Projects</t>
  </si>
  <si>
    <t>Administration Customer Projects</t>
  </si>
  <si>
    <t>No Go Zones</t>
  </si>
  <si>
    <t>Cable Locations</t>
  </si>
  <si>
    <t>NS SPAN:Fitter NT</t>
  </si>
  <si>
    <t>NS SPAN:Fitter OT</t>
  </si>
  <si>
    <t>NS SPAN:Construction Co-ordinator NT</t>
  </si>
  <si>
    <t>NS SPAN:Construction Co-ordinator OT</t>
  </si>
  <si>
    <t>BR-NT PNS A2</t>
  </si>
  <si>
    <t>BR-OT PNS A2</t>
  </si>
  <si>
    <t>BR-NT PNS CJ</t>
  </si>
  <si>
    <t>BR-OT PNS CJ</t>
  </si>
  <si>
    <t>BR-NT PNS PO</t>
  </si>
  <si>
    <t>BR-OT PNS PO</t>
  </si>
  <si>
    <t>BR-NT PNS CT</t>
  </si>
  <si>
    <t>BR-OT PNS CT</t>
  </si>
  <si>
    <t>BR-NT PNS FT</t>
  </si>
  <si>
    <t>BR-OT PNS FT</t>
  </si>
  <si>
    <t>CP Contractors Normal Time</t>
  </si>
  <si>
    <t>CP Contractors Over Time</t>
  </si>
  <si>
    <t>BR-NT PNS TA (ZT)</t>
  </si>
  <si>
    <t>BR-OT PNS TA (ZT)</t>
  </si>
  <si>
    <t>BR-NT PNS TA (LW)</t>
  </si>
  <si>
    <t>BR-OT PNS TA (LW)</t>
  </si>
  <si>
    <t>Senior Design NT</t>
  </si>
  <si>
    <t>Senior Design OT</t>
  </si>
  <si>
    <t>Multiple Meter Sites 1 Ph</t>
  </si>
  <si>
    <t>Mutiple Meter Sites M Ph</t>
  </si>
  <si>
    <t>Seperate Meter Sites 1 Ph</t>
  </si>
  <si>
    <t>Seperate Meter Sites M Ph</t>
  </si>
  <si>
    <t>BTS Overhead Service &amp; Meter 1 Ph</t>
  </si>
  <si>
    <t>BTS Overhead Service &amp; Meter M Ph</t>
  </si>
  <si>
    <t>Overhead Service &amp; Meter 1 Ph</t>
  </si>
  <si>
    <t>Overhead Service &amp; Meter M Ph</t>
  </si>
  <si>
    <t>Underground Service &amp; Meter 1 Ph</t>
  </si>
  <si>
    <t>Underground Service &amp; Meter M Ph</t>
  </si>
  <si>
    <t>Current Transformer Meter Host-Inc Meter</t>
  </si>
  <si>
    <t>Current Transformer Metering External</t>
  </si>
  <si>
    <t>Abolishment Service &amp; Meter 1 Ph</t>
  </si>
  <si>
    <t>Abolishment Service &amp; Meter M Ph</t>
  </si>
  <si>
    <t>Abolishment Service &amp; Meter CT</t>
  </si>
  <si>
    <t>Abolishment Metering Only 1 Ph</t>
  </si>
  <si>
    <t>Abolishment Metering Only M Ph</t>
  </si>
  <si>
    <t>Abolishment Metering Only CT</t>
  </si>
  <si>
    <t>Truck Appointments</t>
  </si>
  <si>
    <t>LV Mtr Con:Ins5day TimeSwitch,2 Rate Mtr</t>
  </si>
  <si>
    <t>LV Mtr Con:Con5day TimeSwitch,2 Rate Mtr</t>
  </si>
  <si>
    <t>LV Mtr Con New:Time &amp; Energy Pulses</t>
  </si>
  <si>
    <t>LV Mtr Con Existing:Time&amp;Energy Pulses</t>
  </si>
  <si>
    <t>Meter Test - 1 Ph</t>
  </si>
  <si>
    <t>Additional Meter Test - 1 Ph</t>
  </si>
  <si>
    <t>Meter Test - M Ph</t>
  </si>
  <si>
    <t>Temporary Covers</t>
  </si>
  <si>
    <t>Multiple Meter Sites</t>
  </si>
  <si>
    <t>Seperate Meter Sites</t>
  </si>
  <si>
    <t>Fault MR Interval 1 Ph Non OP</t>
  </si>
  <si>
    <t>Overhead Service &amp; Meter</t>
  </si>
  <si>
    <t>Underground Service &amp; Meter</t>
  </si>
  <si>
    <t>Current Transformer Metering</t>
  </si>
  <si>
    <t>Abolishment Service &amp; Meter</t>
  </si>
  <si>
    <t>Abolishment Metering Only</t>
  </si>
  <si>
    <t>Truck Appointment</t>
  </si>
  <si>
    <t>NS:Engineering D/S N/T</t>
  </si>
  <si>
    <t>NS:Engineering D/S O/T</t>
  </si>
  <si>
    <t>NC Meter Accum 1 Ph Non OP</t>
  </si>
  <si>
    <t>NC Inst Interval M Ph CT</t>
  </si>
  <si>
    <t>NC Inst Interval M Ph DC</t>
  </si>
  <si>
    <t>NC Inst Interval 1 Ph OP</t>
  </si>
  <si>
    <t>NC Inst Accum 1 Ph Non OP</t>
  </si>
  <si>
    <t>NC Service 1 PH UG Materials</t>
  </si>
  <si>
    <t>NC Service 1 PH URD Materials</t>
  </si>
  <si>
    <t>NC Service 1 PH OH Materials</t>
  </si>
  <si>
    <t>NC Service M PH URD Materials</t>
  </si>
  <si>
    <t>NC Service M PH OH Materials</t>
  </si>
  <si>
    <t>NC Service 1 PH UG Installation</t>
  </si>
  <si>
    <t>NC Service 1 PH URD Installation</t>
  </si>
  <si>
    <t>NC Service 1 PH OH Installation</t>
  </si>
  <si>
    <t>NC Service M PH UG Installation</t>
  </si>
  <si>
    <t>NC Service M PH URD Installation</t>
  </si>
  <si>
    <t>NC Service M PH OH Installation</t>
  </si>
  <si>
    <t>Fault MR Interval M Ph DC</t>
  </si>
  <si>
    <t>Wasted Truck Visit</t>
  </si>
  <si>
    <t>Fault MR Accum M Ph CT</t>
  </si>
  <si>
    <t>Fault MR Accum M Ph DC</t>
  </si>
  <si>
    <t>Fault MR Accum 1 Ph OP</t>
  </si>
  <si>
    <t>Standard CT job (New Installation, Inter</t>
  </si>
  <si>
    <t>Cust Comp Testing 1Phase</t>
  </si>
  <si>
    <t>Cust Comp Testing M Phase</t>
  </si>
  <si>
    <t>NC Interval 1 Ph Non OP</t>
  </si>
  <si>
    <t>NC Meter Accum M Ph DCeter</t>
  </si>
  <si>
    <t>NC Accum M Ph CT</t>
  </si>
  <si>
    <t>NC Accum 1 Ph OP</t>
  </si>
  <si>
    <t>NC Inst Interval 1 Ph Non OP</t>
  </si>
  <si>
    <t>NC Meter Inst Accum M Ph DC</t>
  </si>
  <si>
    <t>NC Inst Accum M Ph CT</t>
  </si>
  <si>
    <t>NC Inst Accum 1 Ph OP</t>
  </si>
  <si>
    <t>Abolish M Ph OH Service</t>
  </si>
  <si>
    <t>Abolish 1 Ph OH Service</t>
  </si>
  <si>
    <t>Cust Upgrade CT tap/Meter constant chang</t>
  </si>
  <si>
    <t>Cust Upgrade CT tap/Meter change</t>
  </si>
  <si>
    <t>Code Comp Testing HV CT's</t>
  </si>
  <si>
    <t>AMIRO Meter 3 Ph + 1 ph int cnge</t>
  </si>
  <si>
    <t>FMR AMI 1Ph 1e</t>
  </si>
  <si>
    <t>FMR AMI 1Ph 1e+c</t>
  </si>
  <si>
    <t>FMR AMI 1Ph 2e + C</t>
  </si>
  <si>
    <t>FMR AMI 3Ph</t>
  </si>
  <si>
    <t>FMR AMI 3Ph+1Ph intC</t>
  </si>
  <si>
    <t>FMR AMI 3 Ph CT</t>
  </si>
  <si>
    <t>FMR Inst AMI1Ph2e+C</t>
  </si>
  <si>
    <t>FMR Inst AMI3Ph+3Ph</t>
  </si>
  <si>
    <t>FMR Inst AMI 3 Ph CT</t>
  </si>
  <si>
    <t>CMR AMI 1Ph 2e + C</t>
  </si>
  <si>
    <t>CMR AMI 3Ph+1Ph extC</t>
  </si>
  <si>
    <t>CMR Inst AMI1Ph2e+C</t>
  </si>
  <si>
    <t>CMR Inst AMI3Ph+1Ph</t>
  </si>
  <si>
    <t>CMR Inst AMI 3 Ph CT</t>
  </si>
  <si>
    <t>Repl Serv 1 PH URD</t>
  </si>
  <si>
    <t>Repl Serv M PH URD</t>
  </si>
  <si>
    <t>Fuse on Board-CP</t>
  </si>
  <si>
    <t>NS: Materials Distribution</t>
  </si>
  <si>
    <t>NC AMI Inst 1Ph 1e</t>
  </si>
  <si>
    <t>AMI 1Ph 1e + C</t>
  </si>
  <si>
    <t>AMI 3 Ph + 3 Ph ext C</t>
  </si>
  <si>
    <t>AMIRO Inst Special isolation</t>
  </si>
  <si>
    <t>AMIRO Inst Install contactor</t>
  </si>
  <si>
    <t>AMI Inst RemoveT/S</t>
  </si>
  <si>
    <t>AMI Complex Meter board Repl</t>
  </si>
  <si>
    <t>AMI Comms Inst Mesh concentrator</t>
  </si>
  <si>
    <t>AMI Comms Inst 3G antenna</t>
  </si>
  <si>
    <t>AMI Comms Inst Mesh repeater</t>
  </si>
  <si>
    <t>FMR Inst Acc1PhNonOP</t>
  </si>
  <si>
    <t>FMR Inst AMI1Ph1e+c</t>
  </si>
  <si>
    <t>NS: Materials Transmission</t>
  </si>
  <si>
    <t>CIMR Inst Int 1 PhOP</t>
  </si>
  <si>
    <t>CIMRInstInt1PhNonOP</t>
  </si>
  <si>
    <t>CIMRInst AMI1PH 1e+c</t>
  </si>
  <si>
    <t>CIMRInsAMI3Ph+3phexc</t>
  </si>
  <si>
    <t>AIMRO 1Ph 2e + C</t>
  </si>
  <si>
    <t>Ant (mtr)- Ext Sup</t>
  </si>
  <si>
    <t>AMI Comms InstalPSTN</t>
  </si>
  <si>
    <t>AMI Comms Instal Sat</t>
  </si>
  <si>
    <t>AMI Comms Sup Concen</t>
  </si>
  <si>
    <t>AMI Comms Sup PSTN</t>
  </si>
  <si>
    <t>AMI Comms Sup Sattel</t>
  </si>
  <si>
    <t>AMI Comms Sup 3G ant</t>
  </si>
  <si>
    <t>CompTestSinglePhMetr</t>
  </si>
  <si>
    <t>CompTestMultiPhMetr</t>
  </si>
  <si>
    <t>CodeTestD/CMtrSingle</t>
  </si>
  <si>
    <t>Code Test CT meter</t>
  </si>
  <si>
    <t>Mtr Comm Flt-Office</t>
  </si>
  <si>
    <t>Logging Work</t>
  </si>
  <si>
    <t>CodeTestD/CMtrPolyPh</t>
  </si>
  <si>
    <t>CodeTestCurTrnsfSet3</t>
  </si>
  <si>
    <t>InservTestExistInst</t>
  </si>
  <si>
    <t>Mtr,refurbish, prog,</t>
  </si>
  <si>
    <t>Inst/Repl serv fuses</t>
  </si>
  <si>
    <t>CT's Replacement</t>
  </si>
  <si>
    <t>Mtr Comm Flt-Field</t>
  </si>
  <si>
    <t>Mtr Prog &amp; Timsw res</t>
  </si>
  <si>
    <t>CT,refurb (set 3 LV)</t>
  </si>
  <si>
    <t>CT Meter Inspection</t>
  </si>
  <si>
    <t>UMS Audits CP</t>
  </si>
  <si>
    <t>ECB Rectification CP</t>
  </si>
  <si>
    <t>AMI Mtr Int ClimSav1</t>
  </si>
  <si>
    <t>AMI Mtr Int ClimSav2</t>
  </si>
  <si>
    <t>CP Existing Pole</t>
  </si>
  <si>
    <t>CP New Pole</t>
  </si>
  <si>
    <t>CP Solar Supply</t>
  </si>
  <si>
    <t>CP Transformer</t>
  </si>
  <si>
    <t>CP Rep Sup Com Bat</t>
  </si>
  <si>
    <t>CP Rep Ins Com Bat</t>
  </si>
  <si>
    <t>HP Ant PostMtrInCP</t>
  </si>
  <si>
    <t>LP Ant PostMtrInCP</t>
  </si>
  <si>
    <t>3G P2P Mtr-asc CP</t>
  </si>
  <si>
    <t>325kVA Gen. - Daily</t>
  </si>
  <si>
    <t>325kVA Gen. - Weekly</t>
  </si>
  <si>
    <t>500kVA Gen. - Daily</t>
  </si>
  <si>
    <t>500kVA Gen. - Weekly</t>
  </si>
  <si>
    <t>1250kVA Gen Set Dail</t>
  </si>
  <si>
    <t>1250kVA Gen Set Week</t>
  </si>
  <si>
    <t>Contain. Trans Daily</t>
  </si>
  <si>
    <t>Contain Trans Weekly</t>
  </si>
  <si>
    <t>Fibre Man. Charge</t>
  </si>
  <si>
    <t>NS:Dummy Revenue Transfers</t>
  </si>
  <si>
    <t>NS: Transfer Packaged Work Revenue</t>
  </si>
  <si>
    <t>CSG Trf to AMI</t>
  </si>
  <si>
    <t>Bendigo VIP netw trf</t>
  </si>
  <si>
    <t>Claims/Comp Netw tfr</t>
  </si>
  <si>
    <t>Billing Network Trf</t>
  </si>
  <si>
    <t>Call Centre Netw Trf</t>
  </si>
  <si>
    <t>Cust Res Netw Trf</t>
  </si>
  <si>
    <t>Bendigo Inq Netw Trf</t>
  </si>
  <si>
    <t>E/Mgt Trf to Mrktg</t>
  </si>
  <si>
    <t>CS Corp OH-Mtr Read</t>
  </si>
  <si>
    <t>Data Mgmt Netw Trf</t>
  </si>
  <si>
    <t>CSG Lab Trf 2 IT Prj</t>
  </si>
  <si>
    <t>MTR Lab Trf 2 IT Prj</t>
  </si>
  <si>
    <t>Bus Improv Labour</t>
  </si>
  <si>
    <t>Bus Imp Lab-DWS</t>
  </si>
  <si>
    <t>Energy Mtr Solut Lab</t>
  </si>
  <si>
    <t>BusImp Trf 2 AIMRO</t>
  </si>
  <si>
    <t>Cust Res Trf 2 AIMRO</t>
  </si>
  <si>
    <t>DM-MDP Trf 2 AIMRO</t>
  </si>
  <si>
    <t>DM-MDC Trf 2 AIMRO</t>
  </si>
  <si>
    <t>Conn Serv Trf2AIMRO</t>
  </si>
  <si>
    <t>Cust Serv Trf2AIMRO</t>
  </si>
  <si>
    <t>Rev Prot Netwk Tfr</t>
  </si>
  <si>
    <t>CS:Cust Resp Lab</t>
  </si>
  <si>
    <t>AIMRO Technology</t>
  </si>
  <si>
    <t>AIMRO Mtr Data Anlys</t>
  </si>
  <si>
    <t>AIMRO Project Office</t>
  </si>
  <si>
    <t>CUST Non Billable</t>
  </si>
  <si>
    <t>Credit Netw Tfr</t>
  </si>
  <si>
    <t>GSL Inv Network Trf</t>
  </si>
  <si>
    <t>CSGTrfAMI 310</t>
  </si>
  <si>
    <t>CSGTrfAMI 371</t>
  </si>
  <si>
    <t>CSGTrfAMI 397</t>
  </si>
  <si>
    <t>CSGTrfAMI 531</t>
  </si>
  <si>
    <t>CSGTrfAMI 619</t>
  </si>
  <si>
    <t>CSGTrfAMI 714</t>
  </si>
  <si>
    <t>CSGTrfAMI 800</t>
  </si>
  <si>
    <t>CSGTrfAMI 952</t>
  </si>
  <si>
    <t>PV Install PAL ext</t>
  </si>
  <si>
    <t>PV Install CP ext</t>
  </si>
  <si>
    <t>PV Install PAL int</t>
  </si>
  <si>
    <t>PV Install CP int</t>
  </si>
  <si>
    <t>Use of Sydney office</t>
  </si>
  <si>
    <t>HR&amp;CA Wellington</t>
  </si>
  <si>
    <t>Finance Wellington</t>
  </si>
  <si>
    <t>REG Wellington</t>
  </si>
  <si>
    <t>CSLS Wellington</t>
  </si>
  <si>
    <t>ElectricityNetw-TOA</t>
  </si>
  <si>
    <t>NETW: TRANSCO</t>
  </si>
  <si>
    <t>ORGCHANGE SAL ALLOC</t>
  </si>
  <si>
    <t>E2E Con Design Phase</t>
  </si>
  <si>
    <t>Labour Charged Y2K</t>
  </si>
  <si>
    <t>SPG:ACS/IWM/PMR</t>
  </si>
  <si>
    <t>IT: TOA IT RLTD ACTY</t>
  </si>
  <si>
    <t>PC Charges Margin</t>
  </si>
  <si>
    <t>IT SAPBSG Normal Tim</t>
  </si>
  <si>
    <t>PC Charges</t>
  </si>
  <si>
    <t>IT Non Billable</t>
  </si>
  <si>
    <t>IT Lab Chrg for Bdgt</t>
  </si>
  <si>
    <t>IT Billable</t>
  </si>
  <si>
    <t>SCADABillable inc30%</t>
  </si>
  <si>
    <t>Telco Labour</t>
  </si>
  <si>
    <t>IT GIS/OMS Labour</t>
  </si>
  <si>
    <t>IT Contractors</t>
  </si>
  <si>
    <t>AMI Deployment Stg 2</t>
  </si>
  <si>
    <t>NC Metr Intr 1 Ph No</t>
  </si>
  <si>
    <t>NC Metr Intr 1 Ph OP</t>
  </si>
  <si>
    <t>NC Metr Intr M Ph DC</t>
  </si>
  <si>
    <t>NC Metr Intr M Ph CT</t>
  </si>
  <si>
    <t>NC Metr Acc 1 Ph Non</t>
  </si>
  <si>
    <t>NC Metr Acc 1 Ph OP</t>
  </si>
  <si>
    <t>NC Metr Acc M Ph DC</t>
  </si>
  <si>
    <t>NC Metr Acc M Ph CT</t>
  </si>
  <si>
    <t>NCMet Inst Int1PhNOP</t>
  </si>
  <si>
    <t>NCMet Inst Int1Ph OP</t>
  </si>
  <si>
    <t>NCMet Inst Int MPhDC</t>
  </si>
  <si>
    <t>NCMet Inst Int MPhCT</t>
  </si>
  <si>
    <t>NCMet Inst Acc1PhNOP</t>
  </si>
  <si>
    <t>NCMet Inst Acc1Ph OP</t>
  </si>
  <si>
    <t>NCMet Inst AccMPh DC</t>
  </si>
  <si>
    <t>NCMet Inst AccMPh CT</t>
  </si>
  <si>
    <t>Fault MR Intr 1PhNOP</t>
  </si>
  <si>
    <t>Fault MR Intr 1Ph OP</t>
  </si>
  <si>
    <t>Fault MR Intr MPh DC</t>
  </si>
  <si>
    <t>Fault MR Intr MPh CT</t>
  </si>
  <si>
    <t>Fault MR Acc1PhNOP</t>
  </si>
  <si>
    <t>Fault MR Acc 1 Ph OP</t>
  </si>
  <si>
    <t>Fault MR Acc M Ph DC</t>
  </si>
  <si>
    <t>Fault MR Acc M Ph CT</t>
  </si>
  <si>
    <t>CIMR Intr 1 Ph N OP</t>
  </si>
  <si>
    <t>CIMR Intr 1 Ph OP</t>
  </si>
  <si>
    <t>CIMR Intr M Ph DC</t>
  </si>
  <si>
    <t>CIMR Intr M Ph CT</t>
  </si>
  <si>
    <t>CIMR Acc 1 Ph Non OP</t>
  </si>
  <si>
    <t>Abol Acc 1 Ph Non OP</t>
  </si>
  <si>
    <t>FI/DNP by Truck</t>
  </si>
  <si>
    <t>NC Serv 1 PH UG Mat</t>
  </si>
  <si>
    <t>NC Serv 1 PH URD Mat</t>
  </si>
  <si>
    <t>NC Serv 1 PH OH Mat</t>
  </si>
  <si>
    <t>NC Serv M PH UG Mat</t>
  </si>
  <si>
    <t>NC Serv M PH URD Mat</t>
  </si>
  <si>
    <t>NC Serv M PH OH Mat</t>
  </si>
  <si>
    <t>NC Serv 1 PH UG Inst</t>
  </si>
  <si>
    <t>NC Serv 1 PH URD Ins</t>
  </si>
  <si>
    <t>NC Serv 1 PH OH Inst</t>
  </si>
  <si>
    <t>NC Serv M PH UG Inst</t>
  </si>
  <si>
    <t>NC Serv M PH URD Ins</t>
  </si>
  <si>
    <t>NC Serv M PH OH Inst</t>
  </si>
  <si>
    <t>Replace Serv 1 PH UG</t>
  </si>
  <si>
    <t>Replace Serv M PH UG</t>
  </si>
  <si>
    <t>Serv Replace 1 Phase</t>
  </si>
  <si>
    <t>Serv Replace M Phase</t>
  </si>
  <si>
    <t>Appt Lab Only Serv</t>
  </si>
  <si>
    <t>Cde Tst D/C Metr S P</t>
  </si>
  <si>
    <t>Comp Tst Single Ph M</t>
  </si>
  <si>
    <t>Compl Tst Multi Ph M</t>
  </si>
  <si>
    <t>NCC MR Accum 1Ph OP</t>
  </si>
  <si>
    <t>NS:Flt Metr/Tim-Inst</t>
  </si>
  <si>
    <t>AMI - Program Office</t>
  </si>
  <si>
    <t>AMI - Strategy</t>
  </si>
  <si>
    <t>AMI - Infrastructure</t>
  </si>
  <si>
    <t>AMI - Transformation</t>
  </si>
  <si>
    <t>AMI - Cust Mgmt</t>
  </si>
  <si>
    <t>Mtr Pd Inv AMI-PAL</t>
  </si>
  <si>
    <t>NC Meter AMI 1Ph 1e</t>
  </si>
  <si>
    <t>NC Mtr AMI 1Ph 1e+c</t>
  </si>
  <si>
    <t>NC Meter AMI 3Ph</t>
  </si>
  <si>
    <t>NC Meter AMI 3Ph CT</t>
  </si>
  <si>
    <t>NCMtr Inst AMI 1Ph1e</t>
  </si>
  <si>
    <t>NCMtrAMI Inst1Ph1e+c</t>
  </si>
  <si>
    <t>NC Mtr AMI Inst 3Ph</t>
  </si>
  <si>
    <t>NCMtrAMI Inst 3PhCT</t>
  </si>
  <si>
    <t>Fault MR AMI 1Ph2e+c</t>
  </si>
  <si>
    <t>NCC MR Acc 1Ph NonOP</t>
  </si>
  <si>
    <t>NCC MR Accum M Ph DC</t>
  </si>
  <si>
    <t>NCC MR Accum M Ph CT</t>
  </si>
  <si>
    <t>CIMR AMI 1PH 1e</t>
  </si>
  <si>
    <t>CIMR AMI 1PH 2e + c</t>
  </si>
  <si>
    <t>CIMR AMI3Ph+1ph extc</t>
  </si>
  <si>
    <t>CIMR AMI 3Ph CT</t>
  </si>
  <si>
    <t>AMIRO Meter 1Ph 1e</t>
  </si>
  <si>
    <t>AMIRO Mtr 1Ph 2e+c</t>
  </si>
  <si>
    <t>AMIRO Meter 3 Ph</t>
  </si>
  <si>
    <t>AMIRO Mtr3Ph+1phextc</t>
  </si>
  <si>
    <t>AMIRO Meter 3 Ph CT</t>
  </si>
  <si>
    <t>AMIRO Mtr Inst1PhNOP</t>
  </si>
  <si>
    <t>AMIRO MtrInst 1PhA+C</t>
  </si>
  <si>
    <t>AMIROMtrInst1Ph2M+TS</t>
  </si>
  <si>
    <t>AMIROMtr In 1Ph2e+c</t>
  </si>
  <si>
    <t>AMIROMtr Ins slab Ht</t>
  </si>
  <si>
    <t>AMIRO MtrInst Clm S1</t>
  </si>
  <si>
    <t>AMIRO Mtr Inst 3PhDC</t>
  </si>
  <si>
    <t>AMIROMtrInst 3Ph A+C</t>
  </si>
  <si>
    <t>AMIRO Mtr Inst3PH CT</t>
  </si>
  <si>
    <t>AMI Ramp up Mtr PAL</t>
  </si>
  <si>
    <t>AMI Ramp up Comm PAL</t>
  </si>
  <si>
    <t>AMIRO Mtr In Rmv Tsw</t>
  </si>
  <si>
    <t>AMI De-bug costs PAL</t>
  </si>
  <si>
    <t>New Pole - PAL</t>
  </si>
  <si>
    <t>AMIRO Comm Sup Mesh</t>
  </si>
  <si>
    <t>AMIRO Comms Sup 3G</t>
  </si>
  <si>
    <t>AMIRO Comm Sup PSTN</t>
  </si>
  <si>
    <t>AMIRO Comms Sup Satl</t>
  </si>
  <si>
    <t>AMIRO Com In Mesh C</t>
  </si>
  <si>
    <t>AMIRO Com In 3G Ant</t>
  </si>
  <si>
    <t>AMIRO Com Inst PSTN</t>
  </si>
  <si>
    <t>AMIRO Comms Inst Sat</t>
  </si>
  <si>
    <t>AMIRO Com In Mesh R</t>
  </si>
  <si>
    <t>AMIRO MtrInst Clm S2</t>
  </si>
  <si>
    <t>AMIRO Comms Sup IHD</t>
  </si>
  <si>
    <t>AMIRO Comms Inst IHD</t>
  </si>
  <si>
    <t>AFlt Mtr Brd Rpl-PAL</t>
  </si>
  <si>
    <t>AMtr Comm Flt-Office</t>
  </si>
  <si>
    <t>ACstInvOnNoEqpRepPAL</t>
  </si>
  <si>
    <t>Fuse Upgrd(per Fuse)</t>
  </si>
  <si>
    <t>DO NOT USE</t>
  </si>
  <si>
    <t>Replace Serv 1 PH UR</t>
  </si>
  <si>
    <t>Replace Serv 1 PH OH</t>
  </si>
  <si>
    <t>Replace Serv M PH UR</t>
  </si>
  <si>
    <t>Replace Serv M PH OH</t>
  </si>
  <si>
    <t>PAL A/P Rel Ex Pole</t>
  </si>
  <si>
    <t>PAL A/P Rel New Pole</t>
  </si>
  <si>
    <t>PAL A/P Rel Sol Supp</t>
  </si>
  <si>
    <t>PAL A/P Rel Transfom</t>
  </si>
  <si>
    <t>NC Meter Interval M</t>
  </si>
  <si>
    <t>NC Meter Interval 1</t>
  </si>
  <si>
    <t>NC Meter Inst Interv</t>
  </si>
  <si>
    <t>NC Meter Inst Accum</t>
  </si>
  <si>
    <t>Fault MR Interval M</t>
  </si>
  <si>
    <t>Fault MR Interval 1</t>
  </si>
  <si>
    <t>Fault MR Accum M Ph</t>
  </si>
  <si>
    <t>Fault MR Accum 1 Ph</t>
  </si>
  <si>
    <t>CIMR Interval M Ph C</t>
  </si>
  <si>
    <t>CIMR Interval M Ph D</t>
  </si>
  <si>
    <t>CIMR Interval 1 Ph O</t>
  </si>
  <si>
    <t>CIMR Interval 1 Ph N</t>
  </si>
  <si>
    <t>CIMR Accum 1 Ph Non</t>
  </si>
  <si>
    <t>Abol Accum 1 Ph Non</t>
  </si>
  <si>
    <t>Abolish Service M PH</t>
  </si>
  <si>
    <t>Abolish Service 1 PH</t>
  </si>
  <si>
    <t>NC Service 1 PH UG M</t>
  </si>
  <si>
    <t>NC Service 1 PH URD</t>
  </si>
  <si>
    <t>NC Service 1 PH OH M</t>
  </si>
  <si>
    <t>NC Service M PH UG M</t>
  </si>
  <si>
    <t>NC Service M PH URD</t>
  </si>
  <si>
    <t>NC Service M PH OH M</t>
  </si>
  <si>
    <t>NC Service 1 PH UG I</t>
  </si>
  <si>
    <t>NC Service 1 PH OH I</t>
  </si>
  <si>
    <t>NC Service M PH UG I</t>
  </si>
  <si>
    <t>NC Service M PH OH I</t>
  </si>
  <si>
    <t>Replace Service 1 PH</t>
  </si>
  <si>
    <t>Replace Service M PH</t>
  </si>
  <si>
    <t>Service Replace  1 P</t>
  </si>
  <si>
    <t>Service Replace  M P</t>
  </si>
  <si>
    <t>Appt Labour Only Ser</t>
  </si>
  <si>
    <t>CT's Repl.</t>
  </si>
  <si>
    <t>Cde Tst D/C Metr Pol</t>
  </si>
  <si>
    <t>Cde Tst Cur Trnsf S3</t>
  </si>
  <si>
    <t>Inserv Test on exist</t>
  </si>
  <si>
    <t>Meter,refurb,prg,rpl</t>
  </si>
  <si>
    <t>CT,refurb(set of3LV)</t>
  </si>
  <si>
    <t>Mtr Prog &amp;/or timesw</t>
  </si>
  <si>
    <t>Instal/Repla of serv</t>
  </si>
  <si>
    <t>Meter Comm Faults-Fi</t>
  </si>
  <si>
    <t>Gen Line Work N/T CP</t>
  </si>
  <si>
    <t>Mtr Pd Inv AMI-CP</t>
  </si>
  <si>
    <t>NC Meter AMI 1Ph1e+c</t>
  </si>
  <si>
    <t>NC Mtr In AMI 1Ph 1e</t>
  </si>
  <si>
    <t>NCMtrAMI In 1Ph 1e+c</t>
  </si>
  <si>
    <t>NC Meter AMI Inst3Ph</t>
  </si>
  <si>
    <t>NC Mtr AMI Inst3PhCT</t>
  </si>
  <si>
    <t>Fault MR AMI1Ph1e+c</t>
  </si>
  <si>
    <t>CIMR AMI 1PH 1e + c</t>
  </si>
  <si>
    <t>CIMR AMI3Ph+3ph extc</t>
  </si>
  <si>
    <t>AMIRO Mtr 1Ph 1e+c</t>
  </si>
  <si>
    <t>AMIRO Mtr3Ph+3phExtc</t>
  </si>
  <si>
    <t>AMIROMtr Inst 1PhNOP</t>
  </si>
  <si>
    <t>AMIROMtr Inst 1PhA+C</t>
  </si>
  <si>
    <t>AMIROMtr In 1Ph2M+TS</t>
  </si>
  <si>
    <t>AMIROMtr In 1Ph 2e+c</t>
  </si>
  <si>
    <t>AMIRO Mtr In Slab Ht</t>
  </si>
  <si>
    <t>AMIRO Mtr In 3Ph A+C</t>
  </si>
  <si>
    <t>AMIROMtr Inst 3PH CT</t>
  </si>
  <si>
    <t>AMI Ramp up Mtr CP</t>
  </si>
  <si>
    <t>AMI Ramp up Comm CP</t>
  </si>
  <si>
    <t>AMIRO Mtr In rmv Tsw</t>
  </si>
  <si>
    <t>AMI De-bug costs CP</t>
  </si>
  <si>
    <t>AMIRO Cmpx Asbest Rm</t>
  </si>
  <si>
    <t>New Pole - CP</t>
  </si>
  <si>
    <t>AMIRO Comms Sup Mesh</t>
  </si>
  <si>
    <t>AMIRO Cm Inst Mesh C</t>
  </si>
  <si>
    <t>AMIRO Cm Inst 3G Ant</t>
  </si>
  <si>
    <t>AMIRO Cm Inst Mesh R</t>
  </si>
  <si>
    <t>UMS Audits (CP&amp;PAL)</t>
  </si>
  <si>
    <t>AIMRO Metr 3Ph+1ph</t>
  </si>
  <si>
    <t>AFlt Mtr Brd Rpl-CP</t>
  </si>
  <si>
    <t>ACstInvOnsNoEqpRepCP</t>
  </si>
  <si>
    <t>UMS Audits(CP &amp; PAL)</t>
  </si>
  <si>
    <t>CP A/P Rel Ex Pole</t>
  </si>
  <si>
    <t>CP A/P Rel New Pole</t>
  </si>
  <si>
    <t>CP A/P Rel Sol Supp</t>
  </si>
  <si>
    <t>CP A/P Rel Transform</t>
  </si>
  <si>
    <t>RepAssocMetrEq PAL</t>
  </si>
  <si>
    <t>RepAssocMetrEq CP</t>
  </si>
  <si>
    <t>IT Billable (30%)</t>
  </si>
  <si>
    <t>Stores Recovery O/H</t>
  </si>
  <si>
    <t>Capitalised Fin.Chge</t>
  </si>
  <si>
    <t>Escalation Costs</t>
  </si>
  <si>
    <t>Corporate Overhead</t>
  </si>
  <si>
    <t>Local Overhead</t>
  </si>
  <si>
    <t>Network Services Margin</t>
  </si>
  <si>
    <t>EN NS Margin</t>
  </si>
  <si>
    <t>AMI Project Management Fee Margin</t>
  </si>
  <si>
    <t>IT AMI Support Costs</t>
  </si>
  <si>
    <t>IT Telecom Costs</t>
  </si>
  <si>
    <t>NS: Margin for PAT Stock</t>
  </si>
  <si>
    <t>IT Tele Costs Trf</t>
  </si>
  <si>
    <t>System Overhead</t>
  </si>
  <si>
    <t>Cust Trf Netw MgtFe</t>
  </si>
  <si>
    <t>CSG Margin</t>
  </si>
  <si>
    <t>NS: Contract Overheads</t>
  </si>
  <si>
    <t>Metering Margin</t>
  </si>
  <si>
    <t>Capit AMI mgmt fee</t>
  </si>
  <si>
    <t>CHEDS Finance Margin</t>
  </si>
  <si>
    <t>NS Management Fee</t>
  </si>
  <si>
    <t>Fleet and Property</t>
  </si>
  <si>
    <t>AUC Settlm. of COGS</t>
  </si>
  <si>
    <t>AUC Settlm. of Mats. Vehicles &amp; Plant</t>
  </si>
  <si>
    <t>AUC Settlm. of Mats. Admin. &amp; Tech.</t>
  </si>
  <si>
    <t>AUC Settlm. of Mats. IT &amp; Comms.</t>
  </si>
  <si>
    <t>AUC Settlm. of Mats. Other</t>
  </si>
  <si>
    <t>Int Settlm. of Mats. Dist.&amp; Subtrans</t>
  </si>
  <si>
    <t>Int Settlm. of Mats. NetwServ Mat Trfs</t>
  </si>
  <si>
    <t>Settl Serv Pole Pit</t>
  </si>
  <si>
    <t>Settl Asset Design</t>
  </si>
  <si>
    <t>Settl VBRC Cont Site</t>
  </si>
  <si>
    <t>Settl Civil Works</t>
  </si>
  <si>
    <t>Int Settlm. of Ext.Serv. NS Contracts</t>
  </si>
  <si>
    <t>Settl Unit Rates</t>
  </si>
  <si>
    <t>Settl Traffic M'ment</t>
  </si>
  <si>
    <t>Settl Waste Disp</t>
  </si>
  <si>
    <t>Settl Other CPS</t>
  </si>
  <si>
    <t>Int Settlm. LSA Rate</t>
  </si>
  <si>
    <t>CPS: LSA's</t>
  </si>
  <si>
    <t>New Conn Base</t>
  </si>
  <si>
    <t>New Conn Premium</t>
  </si>
  <si>
    <t>Fault Work N/T</t>
  </si>
  <si>
    <t>Fault Work A/H (S/R)</t>
  </si>
  <si>
    <t>Connect Serv Base</t>
  </si>
  <si>
    <t>Special Reading N/T</t>
  </si>
  <si>
    <t>Metering &amp; Serv N/T</t>
  </si>
  <si>
    <t>Metering &amp; Serv A/H</t>
  </si>
  <si>
    <t>Single Man Metering &amp; Servicing - N/T</t>
  </si>
  <si>
    <t>Single Man Metering &amp; Servicing - A/H</t>
  </si>
  <si>
    <t>Specialist Meter N/T</t>
  </si>
  <si>
    <t>Specialist Meter A/H</t>
  </si>
  <si>
    <t>Invent Mgt/Purch Bas</t>
  </si>
  <si>
    <t>Invent Mgt/Prch Prem</t>
  </si>
  <si>
    <t>Invent Mgt Feild Bas</t>
  </si>
  <si>
    <t>Fleet Management</t>
  </si>
  <si>
    <t>Dsgn/Dfrat/Surv Base</t>
  </si>
  <si>
    <t>Dsgn/Dfrat/Surv Prem</t>
  </si>
  <si>
    <t>Senior Design</t>
  </si>
  <si>
    <t>Snr Conslt Dsgn Prot</t>
  </si>
  <si>
    <t>Field Operns N/T</t>
  </si>
  <si>
    <t>Field Operns A/H</t>
  </si>
  <si>
    <t>Experienced Design/Drafting/Survey-Prem.</t>
  </si>
  <si>
    <t>Experienced Design/Drafting/Survey-O/T</t>
  </si>
  <si>
    <t>Engineers - Discount</t>
  </si>
  <si>
    <t>Engineers - Base</t>
  </si>
  <si>
    <t>Engineers - Premium</t>
  </si>
  <si>
    <t>Senior Drafters/Survey/Design - Discount</t>
  </si>
  <si>
    <t>Senior Drafters/Survey/Design - Base</t>
  </si>
  <si>
    <t>Senior Drafters/Survey/Design - Premium</t>
  </si>
  <si>
    <t>Senior Drafters/Survey/Design - Overtime</t>
  </si>
  <si>
    <t>Senior Engineers - Discount</t>
  </si>
  <si>
    <t>Snr Engineers-Base</t>
  </si>
  <si>
    <t>Snr Engineers-Prem</t>
  </si>
  <si>
    <t>Senior Engineers - Overtime</t>
  </si>
  <si>
    <t>Base Constrn N/T</t>
  </si>
  <si>
    <t>Base Constrn Prem</t>
  </si>
  <si>
    <t>Powerbeam Installn</t>
  </si>
  <si>
    <t>Planned Maintenance</t>
  </si>
  <si>
    <t>Minor Serv Req N/T</t>
  </si>
  <si>
    <t>Minor Serv Req A/H</t>
  </si>
  <si>
    <t>Junior Linesworker - Discount</t>
  </si>
  <si>
    <t>Junior Linesworker - Base</t>
  </si>
  <si>
    <t>Junior Linesworker - Premium</t>
  </si>
  <si>
    <t>Junior Linesworker - Overtime</t>
  </si>
  <si>
    <t>Project Work N/T</t>
  </si>
  <si>
    <t>Project Work A/H</t>
  </si>
  <si>
    <t>Linesworker - Discount</t>
  </si>
  <si>
    <t>Linesworker - Base</t>
  </si>
  <si>
    <t>Linesworker - Premium</t>
  </si>
  <si>
    <t>Linesworker - Overtime</t>
  </si>
  <si>
    <t>L/Line Proj Work N/T</t>
  </si>
  <si>
    <t>L/Line Proj Work A/H</t>
  </si>
  <si>
    <t>Live Line Worker - Premium</t>
  </si>
  <si>
    <t>Field Team Leader - Discount</t>
  </si>
  <si>
    <t>Field Team Leader - Base</t>
  </si>
  <si>
    <t>Field Team Leader - Premium</t>
  </si>
  <si>
    <t>Field Team Leader - Overtime</t>
  </si>
  <si>
    <t>Field Plant N/T</t>
  </si>
  <si>
    <t>Field Plant A/H</t>
  </si>
  <si>
    <t>Field Test N/T</t>
  </si>
  <si>
    <t>Field Test A/H</t>
  </si>
  <si>
    <t>Experienced Fitter/Testers - Discount</t>
  </si>
  <si>
    <t>Experienced Fitter/Testers - Base</t>
  </si>
  <si>
    <t>Experienced Fitter/Testers - Premium</t>
  </si>
  <si>
    <t>Experienced Fitter/Testers - Overtime</t>
  </si>
  <si>
    <t>Senior Fitters/Testers - Discount</t>
  </si>
  <si>
    <t>Senior Fitters/Testers - Base</t>
  </si>
  <si>
    <t>Senior Fitters/Testers - Premium</t>
  </si>
  <si>
    <t>Senior Fitters/Testers - Overtime</t>
  </si>
  <si>
    <t>PrjMgr/Cont Mgt Base</t>
  </si>
  <si>
    <t>Proj Mgr Intermdiate</t>
  </si>
  <si>
    <t>Proj Mgr Senior</t>
  </si>
  <si>
    <t>Manager - Discount</t>
  </si>
  <si>
    <t>Manager - Base</t>
  </si>
  <si>
    <t>Manager - Premium</t>
  </si>
  <si>
    <t>Manager - Overtime</t>
  </si>
  <si>
    <t>Manager working as Project Manager</t>
  </si>
  <si>
    <t>Faults cable</t>
  </si>
  <si>
    <t>Faults conductor</t>
  </si>
  <si>
    <t>Faults earthing</t>
  </si>
  <si>
    <t>Faults transformer</t>
  </si>
  <si>
    <t>Faults fuse</t>
  </si>
  <si>
    <t>Faults insulator</t>
  </si>
  <si>
    <t>Faults light</t>
  </si>
  <si>
    <t>Faults LV fuse</t>
  </si>
  <si>
    <t>Faults meter</t>
  </si>
  <si>
    <t>Faults service</t>
  </si>
  <si>
    <t>Faults switch</t>
  </si>
  <si>
    <t>Faults cross arm</t>
  </si>
  <si>
    <t>Faults general</t>
  </si>
  <si>
    <t>Faults accrual</t>
  </si>
  <si>
    <t>Stores Recovery</t>
  </si>
  <si>
    <t>QvA +/- Operations</t>
  </si>
  <si>
    <t>QvA +/- Capital</t>
  </si>
  <si>
    <t>PC Serv Capital Lab</t>
  </si>
  <si>
    <t>Add Design Services</t>
  </si>
  <si>
    <t>Travel Time Charge</t>
  </si>
  <si>
    <t>Travel Time - A/H</t>
  </si>
  <si>
    <t>Single Man Metering &amp; Servicing TT - N/T</t>
  </si>
  <si>
    <t>Metering &amp; Servicing Travel Time - N/T</t>
  </si>
  <si>
    <t>Metering &amp; Servicing Travel Time - A/H</t>
  </si>
  <si>
    <t>Single Man Metering &amp; Servicing TT - A/H</t>
  </si>
  <si>
    <t>Capit AMI Mgmt Fee</t>
  </si>
  <si>
    <t>Stores Recoveries take-on</t>
  </si>
  <si>
    <t>Historical Capex Source Data</t>
  </si>
  <si>
    <t>Function Code</t>
  </si>
  <si>
    <t>GL Account</t>
  </si>
  <si>
    <t>PROJECTS UP TO 63KVA CAPACITY</t>
  </si>
  <si>
    <t>Salaries - Allowance</t>
  </si>
  <si>
    <t>M &amp; S-Distribution</t>
  </si>
  <si>
    <t>M &amp; S-Transmission</t>
  </si>
  <si>
    <t>M &amp; S-Admin &amp; Gen</t>
  </si>
  <si>
    <t>Cap Purch -Equipment</t>
  </si>
  <si>
    <t>NS:Asset Solution De</t>
  </si>
  <si>
    <t>Proj. Tsf Direct Tax</t>
  </si>
  <si>
    <t>Proj Tsf - EN Direct</t>
  </si>
  <si>
    <t>Stores Recovery Dist</t>
  </si>
  <si>
    <t>Stores Rec Local</t>
  </si>
  <si>
    <t>Purchase OrderOncost</t>
  </si>
  <si>
    <t>BR-NT PNS LW</t>
  </si>
  <si>
    <t>BR-OT PNS LW</t>
  </si>
  <si>
    <t>BR-NT LSA LWFRPOTA</t>
  </si>
  <si>
    <t>BR-OT LSA LWFRPOTA</t>
  </si>
  <si>
    <t>BR-NT PNS GB</t>
  </si>
  <si>
    <t>BR-OT PNS GB</t>
  </si>
  <si>
    <t>BR-NT LSA GB</t>
  </si>
  <si>
    <t>BR-OT LSA GB</t>
  </si>
  <si>
    <t>BR-NT PNS ZT</t>
  </si>
  <si>
    <t>BR-OT PNS ZT</t>
  </si>
  <si>
    <t>NSConstruct Co-or NT</t>
  </si>
  <si>
    <t>NS Tech/Proj Mger NT</t>
  </si>
  <si>
    <t>NS Tech/Proj Mger OT</t>
  </si>
  <si>
    <t>BR-NT PNS TS</t>
  </si>
  <si>
    <t>NS:DesignSup D/S N/T</t>
  </si>
  <si>
    <t>NS:Draft/GIS D/S N/T</t>
  </si>
  <si>
    <t>NS:Draft/GIS D/S O/T</t>
  </si>
  <si>
    <t>BR-NT RES CJ LW PO</t>
  </si>
  <si>
    <t>BR-NT RES GB</t>
  </si>
  <si>
    <t>BR-OT RES GB</t>
  </si>
  <si>
    <t>SC Design/Drafter NT</t>
  </si>
  <si>
    <t>SC Design/Draftin NT</t>
  </si>
  <si>
    <t>SC Design/Draftin OT</t>
  </si>
  <si>
    <t>SC Senior Des/Sur NT</t>
  </si>
  <si>
    <t>SC Senior Des/Sur OT</t>
  </si>
  <si>
    <t>NS:Engineer D/S N/T</t>
  </si>
  <si>
    <t>NS:Engineer D/S O/T</t>
  </si>
  <si>
    <t>Cust Res NT</t>
  </si>
  <si>
    <t>Locl O/Hs to Capital</t>
  </si>
  <si>
    <t>System Control O/H</t>
  </si>
  <si>
    <t>Network Service Corp</t>
  </si>
  <si>
    <t>NS: Fleet&amp;Prop O/Hs</t>
  </si>
  <si>
    <t>RESIDENTIAL SUBDIVISIONS</t>
  </si>
  <si>
    <t>M &amp; S-Petroleum</t>
  </si>
  <si>
    <t>BR-OT PNS TS</t>
  </si>
  <si>
    <t>BR-OT RES CJ LW PO</t>
  </si>
  <si>
    <t>LV CONNECTIONS &gt;63KVA&amp;&lt;200KVA</t>
  </si>
  <si>
    <t>LV CONNECTIONS &gt;200KVA&amp;&lt;500KVA</t>
  </si>
  <si>
    <t>HV CONNECTIONS</t>
  </si>
  <si>
    <t>M &amp; S-MV &amp; Plant</t>
  </si>
  <si>
    <t>NS:Tech/ProjMgrN/TCP</t>
  </si>
  <si>
    <t>BUSINESS SUBDIVISIONS</t>
  </si>
  <si>
    <t>SERVICE PITS</t>
  </si>
  <si>
    <t>Misc Transfers</t>
  </si>
  <si>
    <t>LV CONNECTIONS CAPACITY &gt; 500K</t>
  </si>
  <si>
    <t>NEW CONNECTION SERVICING MAT</t>
  </si>
  <si>
    <t>NS Margin</t>
  </si>
  <si>
    <t>NEW CONNECTIONS SERVICING LAB</t>
  </si>
  <si>
    <t>RECOVERABLE WORKS</t>
  </si>
  <si>
    <t>Taxi Charges</t>
  </si>
  <si>
    <t>CO GENERATION CONNECTIONS</t>
  </si>
  <si>
    <t>ENERGY EFFICIENT PUB LIGHTING</t>
  </si>
  <si>
    <t>PUBLIC LIGHTING - NEW</t>
  </si>
  <si>
    <t>NEW CONNECTION METER AMI</t>
  </si>
  <si>
    <t>NEW CONNECTION MTR INSTAL AMI</t>
  </si>
  <si>
    <t>NC CT</t>
  </si>
  <si>
    <t>REPLACEMENT MTR INSTAL AMI ACS</t>
  </si>
  <si>
    <t>CONSOLIDATED LINE MAINT CAPX</t>
  </si>
  <si>
    <t>PNS Labour Trf-Ext</t>
  </si>
  <si>
    <t>NS:CivWrks&amp;TrafMgmt</t>
  </si>
  <si>
    <t>NS:Mat Distribution</t>
  </si>
  <si>
    <t>REPLACEMNT METER AMI</t>
  </si>
  <si>
    <t>REPLACEMENT MTR INSTALL AMI PM</t>
  </si>
  <si>
    <t>REPLACEMNT MTR INSTALL INTERVA</t>
  </si>
  <si>
    <t>MAINTENANCE RELATED FAULTS</t>
  </si>
  <si>
    <t>Capex Fault Unit P</t>
  </si>
  <si>
    <t>PUBLIC LIGHTING REPLACEMENT</t>
  </si>
  <si>
    <t>FAULTS</t>
  </si>
  <si>
    <t>NSConstruct Co-or OT</t>
  </si>
  <si>
    <t>NS:DesignSup D/S O/T</t>
  </si>
  <si>
    <t>CONDUCTOR CLEARANCE</t>
  </si>
  <si>
    <t>HV SWITCH REPLACEMENT</t>
  </si>
  <si>
    <t>TRANSFORMER &amp; SSTN  REPLACEMEN</t>
  </si>
  <si>
    <t>HV FUSE UNIT&amp;SURGE DIVERT.REPL</t>
  </si>
  <si>
    <t>RECOVERABLE WORKS - ASSET DAMG</t>
  </si>
  <si>
    <t>POLE LIFE EXTENSION - TREATM.</t>
  </si>
  <si>
    <t>POLE REPLACEMENT</t>
  </si>
  <si>
    <t>UG ASSET REPLACEMENT - PLANNED</t>
  </si>
  <si>
    <t>METERING COMMUNICATIONS REPLAC</t>
  </si>
  <si>
    <t>OBSOLETE &amp; DEFECTIVE O/H SERVI</t>
  </si>
  <si>
    <t>SERVICING REPLACEMENT</t>
  </si>
  <si>
    <t>UNPL ASST REPLMT - PRIM PLANT</t>
  </si>
  <si>
    <t>CROSSARM REPLACEMENT</t>
  </si>
  <si>
    <t>SECONDARY SYSTEM PLANT REPL</t>
  </si>
  <si>
    <t>ZONE SUBSTATION PLANT REPLMT.</t>
  </si>
  <si>
    <t>BR-NT RES FT ZT</t>
  </si>
  <si>
    <t>BR-OT RES FT ZT</t>
  </si>
  <si>
    <t>O/H LINE REPLACEMENT - PLANNED</t>
  </si>
  <si>
    <t>LV AUGMENTATION</t>
  </si>
  <si>
    <t>AUGMENTATION OF ZONE SUBSTATN.</t>
  </si>
  <si>
    <t>NET DEV - AUGMENT SUB TRANS DI</t>
  </si>
  <si>
    <t>ENVIRONMENTAL MANAGEMENT</t>
  </si>
  <si>
    <t>RELIABILITY IMPROVE</t>
  </si>
  <si>
    <t>SC Senior Des Eng NT</t>
  </si>
  <si>
    <t>AUTOMATION</t>
  </si>
  <si>
    <t>SUPPLY RELIAB IMPROVE SCHEME</t>
  </si>
  <si>
    <t>POLE FIRE MITIGATION</t>
  </si>
  <si>
    <t>METERING COMMUNICATIONS-MAT</t>
  </si>
  <si>
    <t>METERING COMMUNICATIONS-LAB</t>
  </si>
  <si>
    <t>COMPUTERS</t>
  </si>
  <si>
    <t>Softwares &amp; Upgrades</t>
  </si>
  <si>
    <t>Cap Purch-Comm Equip</t>
  </si>
  <si>
    <t>IT METERING DATA SERVICES</t>
  </si>
  <si>
    <t>GENERAL EQUIPMENT</t>
  </si>
  <si>
    <t>OFFICE FURNITURE</t>
  </si>
  <si>
    <t>PROPERTY</t>
  </si>
  <si>
    <t>Computer Hardware</t>
  </si>
  <si>
    <t>IT Cloud Services</t>
  </si>
  <si>
    <t>MOTOR VEHICLES / PLANT</t>
  </si>
  <si>
    <t>Cap Purch-MV &amp; Plant</t>
  </si>
  <si>
    <t>TELECOMMUNICATIONS</t>
  </si>
  <si>
    <t>000's</t>
  </si>
  <si>
    <t>Proj Trf - OH/Mar</t>
  </si>
  <si>
    <t>Proj Trf - Dir Costs</t>
  </si>
  <si>
    <t>IT SCADA Billable</t>
  </si>
  <si>
    <t>BR-NT PNS SM</t>
  </si>
  <si>
    <t>Parking</t>
  </si>
  <si>
    <t>PNS_BEON_TECH_PRJ__M</t>
  </si>
  <si>
    <t>PNS_BEON_ENGINEER_NT</t>
  </si>
  <si>
    <t>PNS_BEON_SNR DES_ENG</t>
  </si>
  <si>
    <t>Corp O/Hs to Capital</t>
  </si>
  <si>
    <t>ACCELD ROLLOUT AMI METER INST</t>
  </si>
  <si>
    <t>POLE LIFE EXTENSION - STAKING</t>
  </si>
  <si>
    <t>M &amp; S-Telecomm</t>
  </si>
  <si>
    <t>L.VOLT.COM.MULT.EARTH (CMEN)</t>
  </si>
  <si>
    <t>BR-OT PNS SM</t>
  </si>
  <si>
    <t>ENDirect</t>
  </si>
  <si>
    <t>Total</t>
  </si>
  <si>
    <t>OH</t>
  </si>
  <si>
    <t>FC Mapping 1</t>
  </si>
  <si>
    <t>GL Mapping 1</t>
  </si>
  <si>
    <t>GL Mapping 2</t>
  </si>
  <si>
    <t>Rural Projects &lt; 50KVA</t>
  </si>
  <si>
    <t>Urban Projects &lt; 50KVA</t>
  </si>
  <si>
    <t>Medium Density SubDivision</t>
  </si>
  <si>
    <t>Business Supply &gt; 50KVA &lt; 200KVA</t>
  </si>
  <si>
    <t>Business Supply &gt; 200KVA</t>
  </si>
  <si>
    <t>HV Connections</t>
  </si>
  <si>
    <t>Business SubDivisions</t>
  </si>
  <si>
    <t>U/G Service Pits Ex O/H Supply</t>
  </si>
  <si>
    <t>Low Density SubDivisions</t>
  </si>
  <si>
    <t>High Density Residential/Business</t>
  </si>
  <si>
    <t>New Connection Meter Acc.</t>
  </si>
  <si>
    <t>New Connection Meter IMRO</t>
  </si>
  <si>
    <t>New Conn. Service/Materials</t>
  </si>
  <si>
    <t>New Conn. Servicing Labour</t>
  </si>
  <si>
    <t>Recoverable Works</t>
  </si>
  <si>
    <t>CO Generation Projects</t>
  </si>
  <si>
    <t>Energy Efficient Public Lighting - New</t>
  </si>
  <si>
    <t>Public Lighting - New</t>
  </si>
  <si>
    <t>Docklands</t>
  </si>
  <si>
    <t>Major Generation Projects</t>
  </si>
  <si>
    <t>New Conn. Meter Install Acc.</t>
  </si>
  <si>
    <t>New Conn. Meter Install MRIM</t>
  </si>
  <si>
    <t>New Conn. Meter AMI</t>
  </si>
  <si>
    <t>New Conn. Meter Install AMI</t>
  </si>
  <si>
    <t>ACS services</t>
  </si>
  <si>
    <t>Consolidated line maintenance</t>
  </si>
  <si>
    <t>Replacement accumulation meter</t>
  </si>
  <si>
    <t>Replacement MRIM meter</t>
  </si>
  <si>
    <t>Replacement AMI meter &amp; transformers</t>
  </si>
  <si>
    <t>Rollout AMI meter</t>
  </si>
  <si>
    <t>Rollout AMI meter install</t>
  </si>
  <si>
    <t>Replacement Meter Install AMI</t>
  </si>
  <si>
    <t>Replacement Meter &amp; Install IMRO</t>
  </si>
  <si>
    <t>Maintenance Related Fault Capital</t>
  </si>
  <si>
    <t>Public Lighting - Replacement</t>
  </si>
  <si>
    <t>Fault Related Capital</t>
  </si>
  <si>
    <t xml:space="preserve">Conductor Clearance </t>
  </si>
  <si>
    <t xml:space="preserve">HV Switch Replacement </t>
  </si>
  <si>
    <t>Transformer Replacement</t>
  </si>
  <si>
    <t>HV Fuse Unit &amp; Surge Divert. Repl.</t>
  </si>
  <si>
    <t>Recoverable Works - Asset Damage</t>
  </si>
  <si>
    <t>Pole Life Extension - Treatment</t>
  </si>
  <si>
    <t>Pole Replacement</t>
  </si>
  <si>
    <t>Pole Life Extension - Staking</t>
  </si>
  <si>
    <t>OH/UG Line Replacement</t>
  </si>
  <si>
    <t>Replacements Meter &amp; Install Acc</t>
  </si>
  <si>
    <t>Neutral Screen Services</t>
  </si>
  <si>
    <t>Servicing Replacement</t>
  </si>
  <si>
    <t>Bird Cover Replacement</t>
  </si>
  <si>
    <t>Cross-arm Replacement</t>
  </si>
  <si>
    <t>ZSS - Major Plant Replacement</t>
  </si>
  <si>
    <t>Zone SubStation Plant Replacement</t>
  </si>
  <si>
    <t xml:space="preserve">Safety Compliance </t>
  </si>
  <si>
    <t>TV Interference Replacement Capital</t>
  </si>
  <si>
    <t>Augmentation Lines</t>
  </si>
  <si>
    <t>Augmentation of Zone SubStation</t>
  </si>
  <si>
    <t>Network Development - Augment Dist.</t>
  </si>
  <si>
    <t>Environment Management'</t>
  </si>
  <si>
    <t>Bushfire Mitigation Augmentation</t>
  </si>
  <si>
    <t>LV Com. Multi Earth (CMEN)</t>
  </si>
  <si>
    <t>Reliability Improvement - Automation</t>
  </si>
  <si>
    <t>Zone SubStation Automation</t>
  </si>
  <si>
    <t>Augmentation Connection Assets</t>
  </si>
  <si>
    <t>SWER Augmentation</t>
  </si>
  <si>
    <t>Supply Reliability Improvement Scheme</t>
  </si>
  <si>
    <t>Pole Fire Mitigation</t>
  </si>
  <si>
    <t>Metering Communications</t>
  </si>
  <si>
    <t>Communications installation</t>
  </si>
  <si>
    <t>CBD Security Supply</t>
  </si>
  <si>
    <t>Computers</t>
  </si>
  <si>
    <t>IT Metering Data Services</t>
  </si>
  <si>
    <t>General Equipment</t>
  </si>
  <si>
    <t>General Equipment-AMI</t>
  </si>
  <si>
    <t>Office Furniture</t>
  </si>
  <si>
    <t>Office Furniture-AMI</t>
  </si>
  <si>
    <t>Property</t>
  </si>
  <si>
    <t>Property-AMI</t>
  </si>
  <si>
    <t>Motor Vehicles</t>
  </si>
  <si>
    <t>Motor Vehicles-AMI</t>
  </si>
  <si>
    <t>Intellectual Property</t>
  </si>
  <si>
    <t>Communications</t>
  </si>
  <si>
    <t>Testing &amp; Laboratory</t>
  </si>
  <si>
    <t>$000s</t>
  </si>
  <si>
    <t>Flag 1</t>
  </si>
  <si>
    <t>%</t>
  </si>
  <si>
    <t>Connections</t>
  </si>
  <si>
    <t>Replacement</t>
  </si>
  <si>
    <t>Non-network general assets - IT</t>
  </si>
  <si>
    <t>Non-network general assets - Other</t>
  </si>
  <si>
    <t>Capex Inputs - ENDirect</t>
  </si>
  <si>
    <t>Flag 2</t>
  </si>
  <si>
    <t>Asset Class</t>
  </si>
  <si>
    <t>Asset Class Weightings</t>
  </si>
  <si>
    <t>Subtransmission</t>
  </si>
  <si>
    <t>Distribution System Assets</t>
  </si>
  <si>
    <t>SCADA/Network control</t>
  </si>
  <si>
    <t>Distribution system assets</t>
  </si>
  <si>
    <t>Standard metering</t>
  </si>
  <si>
    <t>Public lighting</t>
  </si>
  <si>
    <t>Supervisory cables</t>
  </si>
  <si>
    <t>Old SWER ACRs</t>
  </si>
  <si>
    <t>Land</t>
  </si>
  <si>
    <t>VBRC ENDirect - No Overheads</t>
  </si>
  <si>
    <t>VBRC Augex</t>
  </si>
  <si>
    <t>Armour rods, dampers &amp; spacers</t>
  </si>
  <si>
    <t>REFCL GFNs</t>
  </si>
  <si>
    <t>VBRC Repex</t>
  </si>
  <si>
    <t xml:space="preserve"> </t>
  </si>
  <si>
    <t>VBRC other</t>
  </si>
  <si>
    <t>SWER ACRs</t>
  </si>
  <si>
    <t>$'000</t>
  </si>
  <si>
    <t>Gross Capital Expenditure - No Overheads</t>
  </si>
  <si>
    <t>[spare2]</t>
  </si>
  <si>
    <t>[spare3]</t>
  </si>
  <si>
    <t>[spare4]</t>
  </si>
  <si>
    <t>GROSS CAPITAL EXPENDITURE</t>
  </si>
  <si>
    <t>Gross Capital Expenditure - With Overheads</t>
  </si>
  <si>
    <t>Disposals</t>
  </si>
  <si>
    <t>Customer Contributions</t>
  </si>
  <si>
    <t>Augmentation</t>
  </si>
  <si>
    <t>$M 2018</t>
  </si>
  <si>
    <t>VBRC Calc</t>
  </si>
  <si>
    <t>Inflation</t>
  </si>
  <si>
    <t>Assumptions</t>
  </si>
  <si>
    <t>Labour escalation</t>
  </si>
  <si>
    <t>Materials escalation</t>
  </si>
  <si>
    <t>Contracts escalation</t>
  </si>
  <si>
    <t>Annual capex rate of change</t>
  </si>
  <si>
    <t>Cumulative inflation from 2015 to nominal</t>
  </si>
  <si>
    <t>Cumulative inflation from nominal to 2015</t>
  </si>
  <si>
    <t>Nom_2015</t>
  </si>
  <si>
    <t>Conversion factors (multiply):</t>
  </si>
  <si>
    <t>Cumulative inflation from 2018 to nominal</t>
  </si>
  <si>
    <t>Cumulative inflation from nominal to 2018</t>
  </si>
  <si>
    <t>Nom_2018</t>
  </si>
  <si>
    <t>Flags &amp; Inflation</t>
  </si>
  <si>
    <t>NS:CivilContract-PCN</t>
  </si>
  <si>
    <t>LSA EWP &amp; D NT</t>
  </si>
  <si>
    <t>LSA EWP &amp; D OT</t>
  </si>
  <si>
    <t>NS:Field Pack Wk CPN</t>
  </si>
  <si>
    <t>EN Vector Time Conf</t>
  </si>
  <si>
    <t>NS:FieldPackagedWk-P</t>
  </si>
  <si>
    <t>NS:LiveLinw-GenN/TCP</t>
  </si>
  <si>
    <t>NS: ConstCo-ordN/TCP</t>
  </si>
  <si>
    <t>NS:Tester O/T CP</t>
  </si>
  <si>
    <t>NS:LiveLinwGenO/T CP</t>
  </si>
  <si>
    <t>NS:ConstCo-ordO/T CP</t>
  </si>
  <si>
    <t>Gifted Assets</t>
  </si>
  <si>
    <t>Gross Capex - ENDirect - No Overheads</t>
  </si>
  <si>
    <t>Rebates</t>
  </si>
  <si>
    <t>Cash Contributions</t>
  </si>
  <si>
    <t>TOTAL</t>
  </si>
  <si>
    <t>Gross Capex - With Overheads</t>
  </si>
  <si>
    <t xml:space="preserve">$'000 </t>
  </si>
  <si>
    <t>Total Customer Contributions</t>
  </si>
  <si>
    <t>Net Capital Expenditure - With Overheads</t>
  </si>
  <si>
    <t>Weightings Calculation by Function Code</t>
  </si>
  <si>
    <t>Weightings Calculation by Asset Class</t>
  </si>
  <si>
    <t>Opex</t>
  </si>
  <si>
    <t>Provision Adjustments</t>
  </si>
  <si>
    <t>Provision movements allocated to capital expenditure</t>
  </si>
  <si>
    <t>Gross Capital Expenditure - With Overheads - Provision Adjustments</t>
  </si>
  <si>
    <t>Functional Category</t>
  </si>
  <si>
    <t>Weightings Calculation by Functional Category</t>
  </si>
  <si>
    <t>Capital Expenditure - No Escalation</t>
  </si>
  <si>
    <t xml:space="preserve">Labour </t>
  </si>
  <si>
    <t>Capital Expenditure - With Escalation</t>
  </si>
  <si>
    <t>CP Consolidated Capex</t>
  </si>
  <si>
    <t>NS: Civ Contracts CP</t>
  </si>
  <si>
    <t>NS:GenLinewrk N/T CP</t>
  </si>
  <si>
    <t>NS:GenLinewrk O/T CP</t>
  </si>
  <si>
    <t>NS:Tech/prjMgrO/T CP</t>
  </si>
  <si>
    <t>ACCELD ROLLOUT AMI METER</t>
  </si>
  <si>
    <t>CBD SECURITY SUPPLY</t>
  </si>
  <si>
    <t>TESTING AND LABORATORY</t>
  </si>
  <si>
    <t>NEW CONNECTIONS METER ACCUM</t>
  </si>
  <si>
    <t>NC Service M PH UG</t>
  </si>
  <si>
    <t>UnMetered Supp-CP</t>
  </si>
  <si>
    <t>DOCKLANDS SUPPLY PROJECTS</t>
  </si>
  <si>
    <t>BR-NT RES TS</t>
  </si>
  <si>
    <t>PNS_BEON_DESIGN _NT</t>
  </si>
  <si>
    <t>DMIA</t>
  </si>
  <si>
    <t>Capex real escalation - Annual</t>
  </si>
  <si>
    <t>Capex real escalation - Annual - Blended</t>
  </si>
  <si>
    <t>Capex real escalation - Cumulative</t>
  </si>
  <si>
    <t>Capex real escalation - Cumulative - Blended</t>
  </si>
  <si>
    <t>Capex Inputs - AER Allowance</t>
  </si>
  <si>
    <t>Gross Capex Total</t>
  </si>
  <si>
    <t>Net Capex Total</t>
  </si>
  <si>
    <t>Overheads</t>
  </si>
  <si>
    <t>REFCL</t>
  </si>
  <si>
    <t>161L</t>
  </si>
  <si>
    <t>Standard Control Capitalised Overheads</t>
  </si>
  <si>
    <t>Rate of Change</t>
  </si>
  <si>
    <t>Forecast rate of change</t>
  </si>
  <si>
    <t>Forecast Overhead Pool</t>
  </si>
  <si>
    <t>Capex Base</t>
  </si>
  <si>
    <t>Capex Base - No Escalation</t>
  </si>
  <si>
    <t>Overheads applicable to EN Direct</t>
  </si>
  <si>
    <t>Network Capital Expenditure</t>
  </si>
  <si>
    <t>OH Rate</t>
  </si>
  <si>
    <t>Capex Base - With Escalation</t>
  </si>
  <si>
    <t>Cumulative inflation from 2020 to nominal</t>
  </si>
  <si>
    <t>Cumulative inflation from nominal to 2020</t>
  </si>
  <si>
    <t>Nom_2020</t>
  </si>
  <si>
    <t>BR-OT RES TS</t>
  </si>
  <si>
    <t>LIVE-NT PNS GB</t>
  </si>
  <si>
    <t>LIVE-OT PNS GB</t>
  </si>
  <si>
    <t>IT Overtime</t>
  </si>
  <si>
    <t>VBRC CAPITAL PROGRAMS</t>
  </si>
  <si>
    <t>Average 16-18</t>
  </si>
  <si>
    <t>Nominal to Dec2020</t>
  </si>
  <si>
    <t>Dec2020 to Nominal</t>
  </si>
  <si>
    <t>Nominal to Jun2021</t>
  </si>
  <si>
    <t>$'000 Jun2021</t>
  </si>
  <si>
    <t>$'000 Dec2015</t>
  </si>
  <si>
    <t>Capex Direct - AER Allowance $Jun2021</t>
  </si>
  <si>
    <t>Capex Total - AER Allowance $Jun2021</t>
  </si>
  <si>
    <t>2021/22</t>
  </si>
  <si>
    <t>2022/23</t>
  </si>
  <si>
    <t>2023/24</t>
  </si>
  <si>
    <t>2024/25</t>
  </si>
  <si>
    <t>2025/26</t>
  </si>
  <si>
    <t>$M Jun2021</t>
  </si>
  <si>
    <t>Capital Expenditure - $M Jun2021</t>
  </si>
  <si>
    <t>$'M Jun2021</t>
  </si>
  <si>
    <t>In-house software</t>
  </si>
  <si>
    <t>Actual / Forecast inflation</t>
  </si>
  <si>
    <t>In-house software % of Total Non Network IT</t>
  </si>
  <si>
    <t>Actual</t>
  </si>
  <si>
    <t>Forecast</t>
  </si>
  <si>
    <t>Total immediate deductions</t>
  </si>
  <si>
    <t>Repairs immediate deductions</t>
  </si>
  <si>
    <t>Network overheads immediate deductions</t>
  </si>
  <si>
    <t xml:space="preserve">Embedded overheads immediate deductions </t>
  </si>
  <si>
    <t>Calculations</t>
  </si>
  <si>
    <t>Immediate repair deductions excluding zone substations</t>
  </si>
  <si>
    <t>Repex excluding zone substations</t>
  </si>
  <si>
    <t>Immediate repair deductions for zone substations</t>
  </si>
  <si>
    <t>Repex for zone substations</t>
  </si>
  <si>
    <t>Immediate network overhead deductions</t>
  </si>
  <si>
    <t>Network overheads</t>
  </si>
  <si>
    <t>Immediate embedded overhead deductions</t>
  </si>
  <si>
    <t>Reset RIN</t>
  </si>
  <si>
    <t>Immediate Expensing of Capital Expenditure</t>
  </si>
  <si>
    <t>Proposal capex Model</t>
  </si>
  <si>
    <t>Fixed Overheads</t>
  </si>
  <si>
    <t>Variable Overheads</t>
  </si>
  <si>
    <t>Variable Overheads Rate</t>
  </si>
  <si>
    <t>Network Capital Expenditure (AER less Proposed)</t>
  </si>
  <si>
    <t>Impact on Overheads</t>
  </si>
  <si>
    <t>[CP IR024 MOD 10.05 - Consolidated capex - 20200522 - Public.xlsx]Calc|Overheads</t>
  </si>
  <si>
    <t>Cumulative forecast rate of change</t>
  </si>
  <si>
    <t>Overhead Pool - Average actual 2016 2019</t>
  </si>
  <si>
    <t>Gross Capex</t>
  </si>
  <si>
    <t>Capital contributions</t>
  </si>
  <si>
    <t>Net Capex</t>
  </si>
  <si>
    <t>Includes changes in real price escalation</t>
  </si>
  <si>
    <t>Update for Environmental</t>
  </si>
  <si>
    <t>($2021, inc escalations)</t>
  </si>
  <si>
    <t>After real price escalation change</t>
  </si>
  <si>
    <t>Proposed</t>
  </si>
  <si>
    <t>Capcons</t>
  </si>
  <si>
    <t>Total gross capex</t>
  </si>
  <si>
    <t>Total net capex</t>
  </si>
  <si>
    <t>Net connections</t>
  </si>
  <si>
    <t>Draft</t>
  </si>
  <si>
    <t>Difference ($)</t>
  </si>
  <si>
    <t>Difference (%)</t>
  </si>
  <si>
    <t>Repex</t>
  </si>
  <si>
    <t>DER capex</t>
  </si>
  <si>
    <t>Augex</t>
  </si>
  <si>
    <t>Gross connections</t>
  </si>
  <si>
    <t>ICT capex</t>
  </si>
  <si>
    <t>Other non-network capex</t>
  </si>
  <si>
    <t xml:space="preserve">   less capcons</t>
  </si>
  <si>
    <t xml:space="preserve">   less disposals</t>
  </si>
  <si>
    <t>Solar enablement</t>
  </si>
  <si>
    <t>LV supply quality</t>
  </si>
  <si>
    <t>Digital network devices</t>
  </si>
  <si>
    <t>ICT</t>
  </si>
  <si>
    <t>Digital network</t>
  </si>
  <si>
    <t>DVMS</t>
  </si>
  <si>
    <t>Proposed - not excluding ENV capex</t>
  </si>
  <si>
    <t>Additional minor repairs repex</t>
  </si>
  <si>
    <t>2020/21-2025/26</t>
  </si>
  <si>
    <t>Minor repairs base adjustement - including rate of change</t>
  </si>
  <si>
    <t>CitiPower's initial proposal</t>
  </si>
  <si>
    <t>Forecast Assessed</t>
  </si>
  <si>
    <t>AER draft decision</t>
  </si>
  <si>
    <t>2020–21</t>
  </si>
  <si>
    <t>2021–22</t>
  </si>
  <si>
    <t>2022–23</t>
  </si>
  <si>
    <t>2023–24</t>
  </si>
  <si>
    <t>2024–25</t>
  </si>
  <si>
    <t>Percentage difference (%)</t>
  </si>
  <si>
    <t>Forecast assessed</t>
  </si>
  <si>
    <t>CP MOD 1.21-A - Lines Replacement Capex</t>
  </si>
  <si>
    <t>CP - Environmental Capex</t>
  </si>
  <si>
    <t>CP MOD 1.25 Plant and Stations Replacement Capex</t>
  </si>
  <si>
    <t>CP - Protection Replacement Capex</t>
  </si>
  <si>
    <t>CP MOD 1.23 Network Faults Capex</t>
  </si>
  <si>
    <t>CP MOD 1.18 - Connections Capex</t>
  </si>
  <si>
    <t>CP Confidential MOD 1.16 - Augmentation Capex</t>
  </si>
  <si>
    <t>CP - Network Comms Capex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</si>
</sst>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_(&quot;$&quot;* #,##0.00_);_(&quot;$&quot;* \(#,##0.00\);_(&quot;$&quot;* &quot;-&quot;??_);_(@_)"/>
    <numFmt numFmtId="165" formatCode="&quot;$&quot;#,##0_);[Red]\(&quot;$&quot;#,##0\)"/>
    <numFmt numFmtId="166" formatCode="_(* #,##0.00_);_(* \(#,##0.00\);_(* &quot;-&quot;??_);_(@_)"/>
    <numFmt numFmtId="167" formatCode="#,##0_);\(#,##0\);\-\-_)"/>
    <numFmt numFmtId="168" formatCode="[$-409]mmm\-yy;&quot;nm&quot;;&quot;nm&quot;"/>
    <numFmt numFmtId="169" formatCode="#,##0.0\ ;&quot;(&quot;#,##0.0&quot;)&quot;"/>
    <numFmt numFmtId="170" formatCode="#,##0;[Red]\-#,##0;\ &quot;-&quot;"/>
    <numFmt numFmtId="171" formatCode="0.00%;[Red]\-0.00%;\ &quot;-&quot;"/>
    <numFmt numFmtId="172" formatCode="0_ ;[Red]\-0\ "/>
    <numFmt numFmtId="173" formatCode="#,##0.0000;[Red]\-#,##0.0000;\ &quot;-&quot;"/>
    <numFmt numFmtId="174" formatCode="#,##0.00_);\(#,##0.00\);\-\-_)"/>
    <numFmt numFmtId="175" formatCode="_-* #,##0_-;\-* #,##0_-;_-* &quot;-&quot;??_-;_-@_-"/>
    <numFmt numFmtId="176" formatCode="0.000"/>
    <numFmt numFmtId="177" formatCode="0.00000%"/>
    <numFmt numFmtId="178" formatCode="0.000000%"/>
    <numFmt numFmtId="179" formatCode="0.0%"/>
    <numFmt numFmtId="180" formatCode="#,##0.0000_);\(#,##0.0000\);\-\-_)"/>
    <numFmt numFmtId="181" formatCode="#,##0.0"/>
    <numFmt numFmtId="182" formatCode="#,##0.0_);\(#,##0.0\);\-\-_)"/>
    <numFmt numFmtId="183" formatCode="#,##0.000_);\(#,##0.000\);\-\-_)"/>
    <numFmt numFmtId="184" formatCode="_(&quot;$&quot;* #,##0.000_);_(&quot;$&quot;* \(#,##0.000\);_(&quot;$&quot;* &quot;-&quot;??_);_(@_)"/>
    <numFmt numFmtId="185" formatCode="&quot;$&quot;#,##0.00"/>
  </numFmts>
  <fonts count="35" x14ac:knownFonts="1"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u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5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0"/>
      <color theme="0" tint="-0.34998626667073579"/>
      <name val="Arial"/>
      <family val="2"/>
    </font>
    <font>
      <u/>
      <sz val="10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rgb="FF0000FF"/>
      <name val="Arial"/>
      <family val="2"/>
    </font>
    <font>
      <b/>
      <sz val="10"/>
      <color theme="1"/>
      <name val="Verdana"/>
      <family val="2"/>
    </font>
    <font>
      <b/>
      <sz val="10"/>
      <color indexed="63"/>
      <name val="Arial"/>
      <family val="2"/>
    </font>
    <font>
      <sz val="9"/>
      <color indexed="81"/>
      <name val="Tahoma"/>
      <family val="2"/>
    </font>
    <font>
      <sz val="10"/>
      <name val="Verdana"/>
      <family val="2"/>
    </font>
    <font>
      <b/>
      <sz val="10"/>
      <color indexed="55"/>
      <name val="Arial"/>
      <family val="2"/>
    </font>
    <font>
      <b/>
      <sz val="10"/>
      <color rgb="FF0000FF"/>
      <name val="Arial"/>
      <family val="2"/>
    </font>
    <font>
      <u/>
      <sz val="10"/>
      <color theme="1"/>
      <name val="Verdana"/>
      <family val="2"/>
    </font>
    <font>
      <b/>
      <u/>
      <sz val="10"/>
      <color theme="1"/>
      <name val="Verdana"/>
      <family val="2"/>
    </font>
    <font>
      <i/>
      <sz val="10"/>
      <color theme="1"/>
      <name val="Verdana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u/>
      <sz val="10"/>
      <color theme="10"/>
      <name val="Verdana"/>
      <family val="2"/>
    </font>
    <font>
      <vertAlign val="superscript"/>
      <sz val="8"/>
      <color theme="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65F91"/>
        <bgColor indexed="64"/>
      </patternFill>
    </fill>
    <fill>
      <patternFill patternType="solid">
        <fgColor rgb="FFDBE5F1"/>
        <bgColor indexed="64"/>
      </patternFill>
    </fill>
  </fills>
  <borders count="2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365F91"/>
      </bottom>
      <diagonal/>
    </border>
  </borders>
  <cellStyleXfs count="23">
    <xf numFmtId="0" fontId="0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7" fontId="10" fillId="0" borderId="0" applyFill="0" applyBorder="0">
      <alignment vertical="center"/>
    </xf>
    <xf numFmtId="168" fontId="10" fillId="0" borderId="0" applyFill="0" applyBorder="0">
      <alignment vertical="center"/>
    </xf>
    <xf numFmtId="4" fontId="15" fillId="9" borderId="5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3" borderId="5" applyNumberFormat="0" applyProtection="0">
      <alignment horizontal="left" vertical="center" indent="1"/>
    </xf>
    <xf numFmtId="4" fontId="15" fillId="10" borderId="5" applyNumberFormat="0" applyProtection="0">
      <alignment vertical="center"/>
    </xf>
    <xf numFmtId="4" fontId="15" fillId="9" borderId="5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3" borderId="5" applyNumberFormat="0" applyProtection="0">
      <alignment horizontal="left" vertical="center" indent="1"/>
    </xf>
    <xf numFmtId="4" fontId="15" fillId="10" borderId="5" applyNumberFormat="0" applyProtection="0">
      <alignment vertical="center"/>
    </xf>
    <xf numFmtId="4" fontId="15" fillId="9" borderId="5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0" fontId="22" fillId="14" borderId="0" applyNumberFormat="0">
      <alignment vertical="center"/>
    </xf>
    <xf numFmtId="4" fontId="15" fillId="9" borderId="5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3" borderId="5" applyNumberFormat="0" applyProtection="0">
      <alignment horizontal="left" vertical="center" indent="1"/>
    </xf>
    <xf numFmtId="4" fontId="15" fillId="10" borderId="5" applyNumberFormat="0" applyProtection="0">
      <alignment vertical="center"/>
    </xf>
    <xf numFmtId="164" fontId="2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268">
    <xf numFmtId="0" fontId="0" fillId="0" borderId="0" xfId="0"/>
    <xf numFmtId="0" fontId="3" fillId="2" borderId="0" xfId="3" applyFont="1" applyFill="1"/>
    <xf numFmtId="0" fontId="4" fillId="2" borderId="0" xfId="3" applyFont="1" applyFill="1"/>
    <xf numFmtId="0" fontId="8" fillId="2" borderId="0" xfId="3" applyFont="1" applyFill="1"/>
    <xf numFmtId="0" fontId="9" fillId="2" borderId="0" xfId="3" applyFont="1" applyFill="1"/>
    <xf numFmtId="0" fontId="9" fillId="2" borderId="0" xfId="3" applyFont="1" applyFill="1" applyAlignment="1">
      <alignment horizontal="left" indent="1"/>
    </xf>
    <xf numFmtId="0" fontId="7" fillId="2" borderId="0" xfId="3" applyFont="1" applyFill="1"/>
    <xf numFmtId="0" fontId="0" fillId="2" borderId="0" xfId="0" applyFill="1"/>
    <xf numFmtId="0" fontId="12" fillId="2" borderId="0" xfId="3" applyFont="1" applyFill="1"/>
    <xf numFmtId="0" fontId="12" fillId="2" borderId="0" xfId="0" applyFont="1" applyFill="1"/>
    <xf numFmtId="0" fontId="0" fillId="2" borderId="0" xfId="0" quotePrefix="1" applyFill="1"/>
    <xf numFmtId="0" fontId="8" fillId="2" borderId="0" xfId="3" quotePrefix="1" applyFont="1" applyFill="1"/>
    <xf numFmtId="0" fontId="9" fillId="2" borderId="0" xfId="3" applyNumberFormat="1" applyFont="1" applyFill="1"/>
    <xf numFmtId="0" fontId="0" fillId="4" borderId="0" xfId="0" applyFill="1"/>
    <xf numFmtId="167" fontId="3" fillId="5" borderId="0" xfId="3" applyNumberFormat="1" applyFont="1" applyFill="1"/>
    <xf numFmtId="0" fontId="4" fillId="5" borderId="0" xfId="3" applyFont="1" applyFill="1"/>
    <xf numFmtId="0" fontId="5" fillId="5" borderId="0" xfId="3" applyFont="1" applyFill="1"/>
    <xf numFmtId="0" fontId="6" fillId="5" borderId="0" xfId="3" applyFont="1" applyFill="1"/>
    <xf numFmtId="167" fontId="6" fillId="5" borderId="0" xfId="3" applyNumberFormat="1" applyFont="1" applyFill="1"/>
    <xf numFmtId="14" fontId="6" fillId="5" borderId="0" xfId="3" applyNumberFormat="1" applyFont="1" applyFill="1" applyAlignment="1">
      <alignment horizontal="left" indent="1"/>
    </xf>
    <xf numFmtId="0" fontId="7" fillId="5" borderId="0" xfId="3" applyFont="1" applyFill="1"/>
    <xf numFmtId="0" fontId="0" fillId="5" borderId="0" xfId="0" applyFill="1"/>
    <xf numFmtId="0" fontId="3" fillId="5" borderId="0" xfId="3" applyFont="1" applyFill="1"/>
    <xf numFmtId="0" fontId="6" fillId="5" borderId="0" xfId="3" applyFont="1" applyFill="1" applyAlignment="1">
      <alignment horizontal="left" indent="1"/>
    </xf>
    <xf numFmtId="0" fontId="8" fillId="5" borderId="0" xfId="3" applyFont="1" applyFill="1"/>
    <xf numFmtId="0" fontId="9" fillId="5" borderId="0" xfId="3" applyFont="1" applyFill="1"/>
    <xf numFmtId="0" fontId="9" fillId="5" borderId="0" xfId="3" applyFont="1" applyFill="1" applyAlignment="1">
      <alignment horizontal="left" indent="1"/>
    </xf>
    <xf numFmtId="167" fontId="11" fillId="8" borderId="1" xfId="4" applyFont="1" applyFill="1" applyBorder="1">
      <alignment vertical="center"/>
    </xf>
    <xf numFmtId="167" fontId="10" fillId="8" borderId="1" xfId="4" applyFont="1" applyFill="1" applyBorder="1">
      <alignment vertical="center"/>
    </xf>
    <xf numFmtId="0" fontId="6" fillId="5" borderId="3" xfId="0" applyFont="1" applyFill="1" applyBorder="1" applyAlignment="1">
      <alignment horizontal="centerContinuous"/>
    </xf>
    <xf numFmtId="0" fontId="6" fillId="5" borderId="2" xfId="0" applyFont="1" applyFill="1" applyBorder="1" applyAlignment="1">
      <alignment horizontal="centerContinuous"/>
    </xf>
    <xf numFmtId="0" fontId="6" fillId="5" borderId="4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Continuous"/>
    </xf>
    <xf numFmtId="0" fontId="15" fillId="9" borderId="5" xfId="6" quotePrefix="1" applyNumberFormat="1">
      <alignment horizontal="left" vertical="center" indent="1"/>
    </xf>
    <xf numFmtId="169" fontId="15" fillId="0" borderId="5" xfId="7" applyNumberFormat="1">
      <alignment horizontal="right" vertical="center"/>
    </xf>
    <xf numFmtId="0" fontId="14" fillId="5" borderId="0" xfId="3" applyFont="1" applyFill="1" applyAlignment="1">
      <alignment horizontal="center"/>
    </xf>
    <xf numFmtId="0" fontId="15" fillId="9" borderId="5" xfId="10" quotePrefix="1" applyNumberFormat="1">
      <alignment horizontal="left" vertical="center" indent="1"/>
    </xf>
    <xf numFmtId="169" fontId="15" fillId="0" borderId="5" xfId="11" applyNumberFormat="1">
      <alignment horizontal="right" vertical="center"/>
    </xf>
    <xf numFmtId="0" fontId="6" fillId="5" borderId="6" xfId="3" applyFont="1" applyFill="1" applyBorder="1"/>
    <xf numFmtId="0" fontId="9" fillId="2" borderId="0" xfId="0" applyFont="1" applyFill="1"/>
    <xf numFmtId="0" fontId="9" fillId="0" borderId="0" xfId="0" applyFont="1"/>
    <xf numFmtId="167" fontId="11" fillId="11" borderId="1" xfId="4" applyFont="1" applyFill="1" applyBorder="1">
      <alignment vertical="center"/>
    </xf>
    <xf numFmtId="0" fontId="14" fillId="5" borderId="6" xfId="3" applyFont="1" applyFill="1" applyBorder="1" applyAlignment="1">
      <alignment horizontal="center"/>
    </xf>
    <xf numFmtId="0" fontId="6" fillId="5" borderId="6" xfId="3" applyFont="1" applyFill="1" applyBorder="1" applyAlignment="1">
      <alignment horizontal="center"/>
    </xf>
    <xf numFmtId="167" fontId="10" fillId="2" borderId="0" xfId="4" applyFont="1" applyFill="1" applyBorder="1">
      <alignment vertical="center"/>
    </xf>
    <xf numFmtId="166" fontId="9" fillId="2" borderId="0" xfId="1" applyFont="1" applyFill="1"/>
    <xf numFmtId="9" fontId="9" fillId="2" borderId="0" xfId="2" applyFont="1" applyFill="1"/>
    <xf numFmtId="167" fontId="10" fillId="2" borderId="10" xfId="4" applyFont="1" applyFill="1" applyBorder="1">
      <alignment vertical="center"/>
    </xf>
    <xf numFmtId="9" fontId="9" fillId="2" borderId="10" xfId="2" applyFont="1" applyFill="1" applyBorder="1"/>
    <xf numFmtId="167" fontId="10" fillId="2" borderId="11" xfId="4" applyFont="1" applyFill="1" applyBorder="1">
      <alignment vertical="center"/>
    </xf>
    <xf numFmtId="9" fontId="9" fillId="2" borderId="11" xfId="2" applyFont="1" applyFill="1" applyBorder="1"/>
    <xf numFmtId="167" fontId="10" fillId="2" borderId="12" xfId="4" applyFont="1" applyFill="1" applyBorder="1">
      <alignment vertical="center"/>
    </xf>
    <xf numFmtId="9" fontId="9" fillId="2" borderId="12" xfId="2" applyFont="1" applyFill="1" applyBorder="1"/>
    <xf numFmtId="0" fontId="6" fillId="5" borderId="3" xfId="0" applyFont="1" applyFill="1" applyBorder="1" applyAlignment="1">
      <alignment horizontal="center"/>
    </xf>
    <xf numFmtId="167" fontId="10" fillId="6" borderId="1" xfId="4" applyFont="1" applyFill="1" applyBorder="1">
      <alignment vertical="center"/>
    </xf>
    <xf numFmtId="167" fontId="10" fillId="6" borderId="0" xfId="4" applyFont="1" applyFill="1" applyBorder="1">
      <alignment vertical="center"/>
    </xf>
    <xf numFmtId="0" fontId="17" fillId="2" borderId="0" xfId="0" applyFont="1" applyFill="1"/>
    <xf numFmtId="165" fontId="14" fillId="5" borderId="0" xfId="3" applyNumberFormat="1" applyFont="1" applyFill="1" applyAlignment="1">
      <alignment horizontal="center"/>
    </xf>
    <xf numFmtId="167" fontId="13" fillId="7" borderId="0" xfId="0" applyNumberFormat="1" applyFont="1" applyFill="1"/>
    <xf numFmtId="0" fontId="18" fillId="4" borderId="0" xfId="0" applyFont="1" applyFill="1"/>
    <xf numFmtId="0" fontId="12" fillId="2" borderId="16" xfId="0" applyFont="1" applyFill="1" applyBorder="1"/>
    <xf numFmtId="167" fontId="4" fillId="2" borderId="16" xfId="4" applyFont="1" applyFill="1" applyBorder="1">
      <alignment vertical="center"/>
    </xf>
    <xf numFmtId="0" fontId="9" fillId="4" borderId="0" xfId="0" applyFont="1" applyFill="1"/>
    <xf numFmtId="0" fontId="19" fillId="4" borderId="0" xfId="0" applyFont="1" applyFill="1" applyAlignment="1">
      <alignment horizontal="center"/>
    </xf>
    <xf numFmtId="0" fontId="6" fillId="5" borderId="13" xfId="0" applyFont="1" applyFill="1" applyBorder="1" applyAlignment="1">
      <alignment horizontal="center"/>
    </xf>
    <xf numFmtId="167" fontId="13" fillId="2" borderId="0" xfId="4" applyFont="1" applyFill="1" applyBorder="1">
      <alignment vertical="center"/>
    </xf>
    <xf numFmtId="10" fontId="20" fillId="8" borderId="0" xfId="0" applyNumberFormat="1" applyFont="1" applyFill="1"/>
    <xf numFmtId="170" fontId="10" fillId="2" borderId="0" xfId="0" applyNumberFormat="1" applyFont="1" applyFill="1" applyAlignment="1">
      <alignment horizontal="right"/>
    </xf>
    <xf numFmtId="0" fontId="12" fillId="2" borderId="0" xfId="0" applyFont="1" applyFill="1" applyBorder="1"/>
    <xf numFmtId="0" fontId="12" fillId="2" borderId="18" xfId="0" applyFont="1" applyFill="1" applyBorder="1"/>
    <xf numFmtId="9" fontId="10" fillId="2" borderId="0" xfId="0" applyNumberFormat="1" applyFont="1" applyFill="1"/>
    <xf numFmtId="0" fontId="16" fillId="2" borderId="18" xfId="0" applyFont="1" applyFill="1" applyBorder="1" applyAlignment="1">
      <alignment horizontal="right"/>
    </xf>
    <xf numFmtId="10" fontId="12" fillId="2" borderId="18" xfId="2" applyNumberFormat="1" applyFont="1" applyFill="1" applyBorder="1"/>
    <xf numFmtId="0" fontId="18" fillId="4" borderId="0" xfId="0" applyFont="1" applyFill="1" applyBorder="1"/>
    <xf numFmtId="0" fontId="19" fillId="4" borderId="0" xfId="0" applyFont="1" applyFill="1" applyBorder="1"/>
    <xf numFmtId="0" fontId="9" fillId="2" borderId="0" xfId="0" applyFont="1" applyFill="1" applyAlignment="1">
      <alignment horizontal="right"/>
    </xf>
    <xf numFmtId="172" fontId="9" fillId="2" borderId="0" xfId="0" applyNumberFormat="1" applyFont="1" applyFill="1"/>
    <xf numFmtId="173" fontId="9" fillId="2" borderId="0" xfId="0" applyNumberFormat="1" applyFont="1" applyFill="1"/>
    <xf numFmtId="171" fontId="20" fillId="8" borderId="0" xfId="0" applyNumberFormat="1" applyFont="1" applyFill="1"/>
    <xf numFmtId="0" fontId="18" fillId="6" borderId="17" xfId="0" applyFont="1" applyFill="1" applyBorder="1"/>
    <xf numFmtId="14" fontId="6" fillId="5" borderId="0" xfId="3" applyNumberFormat="1" applyFont="1" applyFill="1" applyBorder="1" applyAlignment="1">
      <alignment horizontal="left" indent="1"/>
    </xf>
    <xf numFmtId="0" fontId="6" fillId="5" borderId="0" xfId="3" applyFont="1" applyFill="1" applyBorder="1" applyAlignment="1">
      <alignment horizontal="left" indent="1"/>
    </xf>
    <xf numFmtId="0" fontId="5" fillId="5" borderId="0" xfId="3" applyFont="1" applyFill="1" applyBorder="1"/>
    <xf numFmtId="0" fontId="6" fillId="5" borderId="0" xfId="0" applyFont="1" applyFill="1" applyBorder="1" applyAlignment="1">
      <alignment horizontal="center"/>
    </xf>
    <xf numFmtId="0" fontId="9" fillId="2" borderId="0" xfId="3" applyFont="1" applyFill="1" applyBorder="1" applyAlignment="1">
      <alignment horizontal="left" indent="1"/>
    </xf>
    <xf numFmtId="165" fontId="14" fillId="5" borderId="0" xfId="3" applyNumberFormat="1" applyFont="1" applyFill="1" applyBorder="1" applyAlignment="1">
      <alignment horizontal="center"/>
    </xf>
    <xf numFmtId="0" fontId="9" fillId="2" borderId="0" xfId="0" applyFont="1" applyFill="1" applyBorder="1"/>
    <xf numFmtId="0" fontId="6" fillId="5" borderId="13" xfId="0" applyFont="1" applyFill="1" applyBorder="1" applyAlignment="1">
      <alignment horizontal="centerContinuous"/>
    </xf>
    <xf numFmtId="167" fontId="11" fillId="11" borderId="10" xfId="4" applyFont="1" applyFill="1" applyBorder="1">
      <alignment vertical="center"/>
    </xf>
    <xf numFmtId="0" fontId="9" fillId="2" borderId="16" xfId="0" applyFont="1" applyFill="1" applyBorder="1"/>
    <xf numFmtId="0" fontId="0" fillId="2" borderId="16" xfId="0" applyFill="1" applyBorder="1"/>
    <xf numFmtId="167" fontId="21" fillId="2" borderId="16" xfId="0" applyNumberFormat="1" applyFont="1" applyFill="1" applyBorder="1"/>
    <xf numFmtId="167" fontId="21" fillId="2" borderId="0" xfId="0" applyNumberFormat="1" applyFont="1" applyFill="1"/>
    <xf numFmtId="167" fontId="10" fillId="2" borderId="17" xfId="4" applyFont="1" applyFill="1" applyBorder="1">
      <alignment vertical="center"/>
    </xf>
    <xf numFmtId="9" fontId="9" fillId="2" borderId="0" xfId="2" applyFont="1" applyFill="1" applyBorder="1"/>
    <xf numFmtId="0" fontId="21" fillId="2" borderId="0" xfId="0" applyFont="1" applyFill="1"/>
    <xf numFmtId="167" fontId="4" fillId="2" borderId="0" xfId="4" applyFont="1" applyFill="1" applyBorder="1">
      <alignment vertical="center"/>
    </xf>
    <xf numFmtId="9" fontId="12" fillId="2" borderId="0" xfId="2" applyFont="1" applyFill="1" applyBorder="1"/>
    <xf numFmtId="166" fontId="12" fillId="2" borderId="0" xfId="1" applyFont="1" applyFill="1"/>
    <xf numFmtId="9" fontId="12" fillId="2" borderId="16" xfId="2" applyFont="1" applyFill="1" applyBorder="1"/>
    <xf numFmtId="167" fontId="20" fillId="8" borderId="1" xfId="4" applyFont="1" applyFill="1" applyBorder="1">
      <alignment vertical="center"/>
    </xf>
    <xf numFmtId="0" fontId="9" fillId="2" borderId="0" xfId="0" applyFont="1" applyFill="1" applyAlignment="1">
      <alignment horizontal="left"/>
    </xf>
    <xf numFmtId="167" fontId="0" fillId="2" borderId="0" xfId="0" applyNumberFormat="1" applyFill="1"/>
    <xf numFmtId="0" fontId="9" fillId="2" borderId="0" xfId="0" applyFont="1" applyFill="1" applyBorder="1" applyAlignment="1">
      <alignment horizontal="left"/>
    </xf>
    <xf numFmtId="167" fontId="10" fillId="2" borderId="0" xfId="4" applyFont="1" applyFill="1" applyBorder="1" applyAlignment="1">
      <alignment horizontal="center" vertical="center"/>
    </xf>
    <xf numFmtId="167" fontId="4" fillId="2" borderId="0" xfId="4" applyFont="1" applyFill="1" applyBorder="1" applyAlignment="1">
      <alignment horizontal="center" vertical="center"/>
    </xf>
    <xf numFmtId="167" fontId="13" fillId="2" borderId="0" xfId="4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9" fontId="9" fillId="2" borderId="0" xfId="2" applyFont="1" applyFill="1" applyBorder="1" applyAlignment="1">
      <alignment horizontal="center"/>
    </xf>
    <xf numFmtId="9" fontId="9" fillId="2" borderId="0" xfId="0" applyNumberFormat="1" applyFont="1" applyFill="1" applyAlignment="1">
      <alignment horizontal="center"/>
    </xf>
    <xf numFmtId="10" fontId="9" fillId="2" borderId="0" xfId="2" applyNumberFormat="1" applyFont="1" applyFill="1" applyBorder="1" applyAlignment="1">
      <alignment horizontal="right"/>
    </xf>
    <xf numFmtId="0" fontId="15" fillId="9" borderId="5" xfId="14" quotePrefix="1" applyNumberFormat="1">
      <alignment horizontal="left" vertical="center" indent="1"/>
    </xf>
    <xf numFmtId="169" fontId="15" fillId="0" borderId="5" xfId="15" applyNumberFormat="1">
      <alignment horizontal="right" vertical="center"/>
    </xf>
    <xf numFmtId="9" fontId="9" fillId="12" borderId="0" xfId="2" applyFont="1" applyFill="1" applyBorder="1"/>
    <xf numFmtId="9" fontId="9" fillId="12" borderId="11" xfId="2" applyFont="1" applyFill="1" applyBorder="1"/>
    <xf numFmtId="167" fontId="11" fillId="13" borderId="1" xfId="4" applyFont="1" applyFill="1" applyBorder="1">
      <alignment vertical="center"/>
    </xf>
    <xf numFmtId="0" fontId="14" fillId="5" borderId="13" xfId="0" applyFont="1" applyFill="1" applyBorder="1" applyAlignment="1">
      <alignment horizontal="centerContinuous"/>
    </xf>
    <xf numFmtId="9" fontId="0" fillId="2" borderId="0" xfId="0" applyNumberFormat="1" applyFill="1"/>
    <xf numFmtId="167" fontId="20" fillId="2" borderId="0" xfId="4" applyFont="1" applyFill="1" applyBorder="1">
      <alignment vertical="center"/>
    </xf>
    <xf numFmtId="167" fontId="10" fillId="2" borderId="0" xfId="4" applyNumberFormat="1" applyFont="1" applyFill="1" applyBorder="1">
      <alignment vertical="center"/>
    </xf>
    <xf numFmtId="0" fontId="9" fillId="2" borderId="0" xfId="3" applyNumberFormat="1" applyFont="1" applyFill="1" applyAlignment="1">
      <alignment horizontal="right"/>
    </xf>
    <xf numFmtId="167" fontId="20" fillId="6" borderId="0" xfId="4" applyFont="1" applyFill="1" applyBorder="1">
      <alignment vertical="center"/>
    </xf>
    <xf numFmtId="167" fontId="11" fillId="6" borderId="1" xfId="4" applyFont="1" applyFill="1" applyBorder="1">
      <alignment vertical="center"/>
    </xf>
    <xf numFmtId="10" fontId="11" fillId="15" borderId="1" xfId="2" applyNumberFormat="1" applyFont="1" applyFill="1" applyBorder="1" applyAlignment="1">
      <alignment vertical="center"/>
    </xf>
    <xf numFmtId="9" fontId="12" fillId="2" borderId="16" xfId="2" applyNumberFormat="1" applyFont="1" applyFill="1" applyBorder="1"/>
    <xf numFmtId="10" fontId="10" fillId="2" borderId="0" xfId="2" applyNumberFormat="1" applyFont="1" applyFill="1" applyBorder="1" applyAlignment="1">
      <alignment vertical="center"/>
    </xf>
    <xf numFmtId="167" fontId="13" fillId="2" borderId="0" xfId="4" applyNumberFormat="1" applyFont="1" applyFill="1" applyBorder="1">
      <alignment vertical="center"/>
    </xf>
    <xf numFmtId="174" fontId="10" fillId="2" borderId="0" xfId="4" applyNumberFormat="1" applyFont="1" applyFill="1" applyBorder="1">
      <alignment vertical="center"/>
    </xf>
    <xf numFmtId="167" fontId="11" fillId="11" borderId="1" xfId="4" applyNumberFormat="1" applyFont="1" applyFill="1" applyBorder="1">
      <alignment vertical="center"/>
    </xf>
    <xf numFmtId="166" fontId="0" fillId="2" borderId="0" xfId="1" applyFont="1" applyFill="1"/>
    <xf numFmtId="175" fontId="0" fillId="2" borderId="0" xfId="1" applyNumberFormat="1" applyFont="1" applyFill="1"/>
    <xf numFmtId="167" fontId="11" fillId="15" borderId="1" xfId="4" applyFont="1" applyFill="1" applyBorder="1">
      <alignment vertical="center"/>
    </xf>
    <xf numFmtId="167" fontId="21" fillId="2" borderId="19" xfId="0" applyNumberFormat="1" applyFont="1" applyFill="1" applyBorder="1"/>
    <xf numFmtId="10" fontId="0" fillId="2" borderId="0" xfId="0" applyNumberFormat="1" applyFill="1"/>
    <xf numFmtId="0" fontId="15" fillId="16" borderId="5" xfId="17" quotePrefix="1" applyNumberFormat="1" applyFill="1">
      <alignment horizontal="left" vertical="center" indent="1"/>
    </xf>
    <xf numFmtId="0" fontId="15" fillId="9" borderId="5" xfId="17" quotePrefix="1" applyNumberFormat="1">
      <alignment horizontal="left" vertical="center" indent="1"/>
    </xf>
    <xf numFmtId="169" fontId="15" fillId="0" borderId="5" xfId="18" applyNumberFormat="1" applyFill="1">
      <alignment horizontal="right" vertical="center"/>
    </xf>
    <xf numFmtId="0" fontId="15" fillId="17" borderId="5" xfId="19" quotePrefix="1" applyNumberFormat="1" applyFill="1">
      <alignment horizontal="left" vertical="center" indent="1"/>
    </xf>
    <xf numFmtId="0" fontId="15" fillId="3" borderId="5" xfId="19" quotePrefix="1" applyNumberFormat="1">
      <alignment horizontal="left" vertical="center" indent="1"/>
    </xf>
    <xf numFmtId="169" fontId="15" fillId="17" borderId="5" xfId="20" applyNumberFormat="1" applyFill="1">
      <alignment vertical="center"/>
    </xf>
    <xf numFmtId="173" fontId="9" fillId="18" borderId="0" xfId="0" applyNumberFormat="1" applyFont="1" applyFill="1"/>
    <xf numFmtId="9" fontId="9" fillId="18" borderId="11" xfId="2" applyFont="1" applyFill="1" applyBorder="1"/>
    <xf numFmtId="167" fontId="10" fillId="18" borderId="0" xfId="4" applyFont="1" applyFill="1" applyBorder="1">
      <alignment vertical="center"/>
    </xf>
    <xf numFmtId="176" fontId="0" fillId="2" borderId="0" xfId="0" applyNumberFormat="1" applyFill="1"/>
    <xf numFmtId="167" fontId="4" fillId="2" borderId="16" xfId="4" applyNumberFormat="1" applyFont="1" applyFill="1" applyBorder="1">
      <alignment vertical="center"/>
    </xf>
    <xf numFmtId="167" fontId="4" fillId="18" borderId="16" xfId="4" applyFont="1" applyFill="1" applyBorder="1">
      <alignment vertical="center"/>
    </xf>
    <xf numFmtId="167" fontId="13" fillId="18" borderId="0" xfId="4" applyFont="1" applyFill="1" applyBorder="1">
      <alignment vertical="center"/>
    </xf>
    <xf numFmtId="10" fontId="9" fillId="18" borderId="0" xfId="2" applyNumberFormat="1" applyFont="1" applyFill="1" applyBorder="1" applyAlignment="1">
      <alignment horizontal="right"/>
    </xf>
    <xf numFmtId="9" fontId="9" fillId="18" borderId="0" xfId="2" applyFont="1" applyFill="1"/>
    <xf numFmtId="0" fontId="9" fillId="18" borderId="0" xfId="0" applyFont="1" applyFill="1"/>
    <xf numFmtId="0" fontId="18" fillId="6" borderId="17" xfId="0" applyFont="1" applyFill="1" applyBorder="1" applyAlignment="1">
      <alignment horizontal="right"/>
    </xf>
    <xf numFmtId="0" fontId="21" fillId="0" borderId="0" xfId="0" applyFont="1"/>
    <xf numFmtId="9" fontId="9" fillId="19" borderId="0" xfId="2" applyFont="1" applyFill="1" applyBorder="1" applyAlignment="1">
      <alignment horizontal="center"/>
    </xf>
    <xf numFmtId="9" fontId="9" fillId="19" borderId="0" xfId="0" applyNumberFormat="1" applyFont="1" applyFill="1" applyAlignment="1">
      <alignment horizontal="center"/>
    </xf>
    <xf numFmtId="177" fontId="9" fillId="2" borderId="0" xfId="0" applyNumberFormat="1" applyFont="1" applyFill="1"/>
    <xf numFmtId="178" fontId="9" fillId="2" borderId="0" xfId="0" applyNumberFormat="1" applyFont="1" applyFill="1"/>
    <xf numFmtId="167" fontId="10" fillId="19" borderId="0" xfId="4" applyFont="1" applyFill="1" applyBorder="1">
      <alignment vertical="center"/>
    </xf>
    <xf numFmtId="0" fontId="24" fillId="20" borderId="0" xfId="0" applyFont="1" applyFill="1"/>
    <xf numFmtId="167" fontId="11" fillId="21" borderId="1" xfId="4" applyFont="1" applyFill="1" applyBorder="1">
      <alignment vertical="center"/>
    </xf>
    <xf numFmtId="0" fontId="0" fillId="12" borderId="0" xfId="0" applyFill="1"/>
    <xf numFmtId="167" fontId="11" fillId="22" borderId="1" xfId="4" applyFont="1" applyFill="1" applyBorder="1">
      <alignment vertical="center"/>
    </xf>
    <xf numFmtId="0" fontId="0" fillId="23" borderId="0" xfId="0" applyFill="1"/>
    <xf numFmtId="0" fontId="21" fillId="12" borderId="0" xfId="0" applyFont="1" applyFill="1"/>
    <xf numFmtId="167" fontId="10" fillId="15" borderId="1" xfId="4" applyFont="1" applyFill="1" applyBorder="1">
      <alignment vertical="center"/>
    </xf>
    <xf numFmtId="10" fontId="10" fillId="20" borderId="0" xfId="2" applyNumberFormat="1" applyFont="1" applyFill="1" applyBorder="1" applyAlignment="1">
      <alignment vertical="center"/>
    </xf>
    <xf numFmtId="9" fontId="9" fillId="19" borderId="0" xfId="2" applyFont="1" applyFill="1" applyBorder="1"/>
    <xf numFmtId="0" fontId="14" fillId="5" borderId="3" xfId="0" applyFont="1" applyFill="1" applyBorder="1" applyAlignment="1">
      <alignment horizontal="center"/>
    </xf>
    <xf numFmtId="0" fontId="1" fillId="2" borderId="0" xfId="3" applyFont="1" applyFill="1"/>
    <xf numFmtId="0" fontId="12" fillId="2" borderId="0" xfId="3" applyFont="1" applyFill="1" applyAlignment="1">
      <alignment horizontal="center"/>
    </xf>
    <xf numFmtId="0" fontId="25" fillId="2" borderId="0" xfId="3" applyFont="1" applyFill="1"/>
    <xf numFmtId="0" fontId="1" fillId="2" borderId="0" xfId="3" applyFont="1" applyFill="1" applyAlignment="1">
      <alignment horizontal="center"/>
    </xf>
    <xf numFmtId="0" fontId="1" fillId="5" borderId="0" xfId="3" applyFont="1" applyFill="1"/>
    <xf numFmtId="0" fontId="1" fillId="2" borderId="0" xfId="0" applyFont="1" applyFill="1"/>
    <xf numFmtId="167" fontId="10" fillId="18" borderId="0" xfId="4" applyFill="1" applyBorder="1">
      <alignment vertical="center"/>
    </xf>
    <xf numFmtId="167" fontId="10" fillId="2" borderId="0" xfId="4" applyFill="1" applyBorder="1">
      <alignment vertical="center"/>
    </xf>
    <xf numFmtId="167" fontId="4" fillId="18" borderId="19" xfId="4" applyFont="1" applyFill="1" applyBorder="1">
      <alignment vertical="center"/>
    </xf>
    <xf numFmtId="167" fontId="4" fillId="2" borderId="19" xfId="4" applyFont="1" applyFill="1" applyBorder="1">
      <alignment vertical="center"/>
    </xf>
    <xf numFmtId="167" fontId="10" fillId="6" borderId="0" xfId="4" applyFill="1" applyBorder="1">
      <alignment vertical="center"/>
    </xf>
    <xf numFmtId="0" fontId="0" fillId="2" borderId="0" xfId="0" applyFill="1" applyAlignment="1">
      <alignment horizontal="left"/>
    </xf>
    <xf numFmtId="9" fontId="0" fillId="2" borderId="0" xfId="2" applyFont="1" applyFill="1"/>
    <xf numFmtId="0" fontId="0" fillId="2" borderId="17" xfId="0" applyFill="1" applyBorder="1"/>
    <xf numFmtId="0" fontId="21" fillId="2" borderId="0" xfId="0" applyFont="1" applyFill="1" applyAlignment="1">
      <alignment horizontal="left"/>
    </xf>
    <xf numFmtId="0" fontId="12" fillId="24" borderId="0" xfId="0" applyFont="1" applyFill="1"/>
    <xf numFmtId="0" fontId="1" fillId="24" borderId="0" xfId="0" applyFont="1" applyFill="1"/>
    <xf numFmtId="0" fontId="20" fillId="24" borderId="0" xfId="0" quotePrefix="1" applyFont="1" applyFill="1"/>
    <xf numFmtId="0" fontId="0" fillId="24" borderId="0" xfId="0" applyFill="1"/>
    <xf numFmtId="0" fontId="18" fillId="0" borderId="0" xfId="0" applyFont="1"/>
    <xf numFmtId="179" fontId="26" fillId="2" borderId="0" xfId="0" applyNumberFormat="1" applyFont="1" applyFill="1" applyAlignment="1">
      <alignment horizontal="center"/>
    </xf>
    <xf numFmtId="0" fontId="1" fillId="2" borderId="0" xfId="0" quotePrefix="1" applyFont="1" applyFill="1"/>
    <xf numFmtId="179" fontId="4" fillId="2" borderId="0" xfId="0" applyNumberFormat="1" applyFont="1" applyFill="1" applyAlignment="1">
      <alignment horizontal="center"/>
    </xf>
    <xf numFmtId="10" fontId="1" fillId="2" borderId="0" xfId="2" applyNumberFormat="1" applyFont="1" applyFill="1"/>
    <xf numFmtId="0" fontId="12" fillId="8" borderId="0" xfId="0" applyFont="1" applyFill="1"/>
    <xf numFmtId="0" fontId="1" fillId="8" borderId="0" xfId="0" applyFont="1" applyFill="1"/>
    <xf numFmtId="0" fontId="0" fillId="8" borderId="0" xfId="0" applyFill="1"/>
    <xf numFmtId="167" fontId="10" fillId="8" borderId="0" xfId="4" applyFill="1" applyBorder="1">
      <alignment vertical="center"/>
    </xf>
    <xf numFmtId="167" fontId="20" fillId="24" borderId="0" xfId="4" applyFont="1" applyFill="1" applyBorder="1">
      <alignment vertical="center"/>
    </xf>
    <xf numFmtId="174" fontId="4" fillId="2" borderId="16" xfId="4" applyNumberFormat="1" applyFont="1" applyFill="1" applyBorder="1">
      <alignment vertical="center"/>
    </xf>
    <xf numFmtId="180" fontId="20" fillId="2" borderId="0" xfId="4" applyNumberFormat="1" applyFont="1" applyFill="1" applyBorder="1">
      <alignment vertical="center"/>
    </xf>
    <xf numFmtId="180" fontId="10" fillId="2" borderId="0" xfId="4" applyNumberFormat="1" applyFont="1" applyFill="1" applyBorder="1">
      <alignment vertical="center"/>
    </xf>
    <xf numFmtId="0" fontId="18" fillId="12" borderId="0" xfId="0" applyFont="1" applyFill="1"/>
    <xf numFmtId="167" fontId="10" fillId="24" borderId="0" xfId="4" applyFont="1" applyFill="1" applyBorder="1">
      <alignment vertical="center"/>
    </xf>
    <xf numFmtId="0" fontId="0" fillId="0" borderId="20" xfId="0" applyBorder="1"/>
    <xf numFmtId="0" fontId="6" fillId="5" borderId="20" xfId="0" applyFont="1" applyFill="1" applyBorder="1" applyAlignment="1">
      <alignment horizontal="center"/>
    </xf>
    <xf numFmtId="164" fontId="0" fillId="0" borderId="20" xfId="21" applyFont="1" applyBorder="1"/>
    <xf numFmtId="0" fontId="6" fillId="5" borderId="21" xfId="0" applyFont="1" applyFill="1" applyBorder="1" applyAlignment="1">
      <alignment horizontal="center"/>
    </xf>
    <xf numFmtId="164" fontId="0" fillId="0" borderId="20" xfId="0" applyNumberFormat="1" applyBorder="1"/>
    <xf numFmtId="0" fontId="21" fillId="0" borderId="20" xfId="0" applyFont="1" applyBorder="1"/>
    <xf numFmtId="174" fontId="0" fillId="2" borderId="0" xfId="0" applyNumberFormat="1" applyFill="1"/>
    <xf numFmtId="0" fontId="0" fillId="2" borderId="0" xfId="0" applyFill="1" applyAlignment="1">
      <alignment horizontal="center" vertical="center"/>
    </xf>
    <xf numFmtId="181" fontId="21" fillId="2" borderId="0" xfId="0" applyNumberFormat="1" applyFont="1" applyFill="1" applyAlignment="1">
      <alignment horizontal="left" vertical="center"/>
    </xf>
    <xf numFmtId="181" fontId="0" fillId="2" borderId="0" xfId="0" applyNumberFormat="1" applyFill="1" applyAlignment="1">
      <alignment horizontal="center" vertical="center"/>
    </xf>
    <xf numFmtId="181" fontId="27" fillId="2" borderId="0" xfId="0" applyNumberFormat="1" applyFont="1" applyFill="1" applyAlignment="1">
      <alignment horizontal="left" vertical="center"/>
    </xf>
    <xf numFmtId="181" fontId="21" fillId="2" borderId="0" xfId="0" applyNumberFormat="1" applyFont="1" applyFill="1" applyAlignment="1">
      <alignment horizontal="center" vertical="center"/>
    </xf>
    <xf numFmtId="181" fontId="0" fillId="2" borderId="0" xfId="0" applyNumberFormat="1" applyFill="1" applyAlignment="1">
      <alignment horizontal="left" vertical="center"/>
    </xf>
    <xf numFmtId="9" fontId="0" fillId="2" borderId="0" xfId="0" applyNumberFormat="1" applyFill="1" applyAlignment="1">
      <alignment horizontal="center" vertical="center"/>
    </xf>
    <xf numFmtId="181" fontId="28" fillId="2" borderId="0" xfId="0" applyNumberFormat="1" applyFont="1" applyFill="1" applyAlignment="1">
      <alignment horizontal="center" vertical="center"/>
    </xf>
    <xf numFmtId="9" fontId="21" fillId="2" borderId="0" xfId="0" applyNumberFormat="1" applyFont="1" applyFill="1" applyAlignment="1">
      <alignment horizontal="center" vertical="center"/>
    </xf>
    <xf numFmtId="181" fontId="29" fillId="2" borderId="0" xfId="0" applyNumberFormat="1" applyFont="1" applyFill="1" applyAlignment="1">
      <alignment horizontal="center" vertical="center"/>
    </xf>
    <xf numFmtId="9" fontId="29" fillId="2" borderId="0" xfId="0" applyNumberFormat="1" applyFont="1" applyFill="1" applyAlignment="1">
      <alignment horizontal="center" vertical="center"/>
    </xf>
    <xf numFmtId="182" fontId="4" fillId="2" borderId="16" xfId="4" applyNumberFormat="1" applyFont="1" applyFill="1" applyBorder="1">
      <alignment vertical="center"/>
    </xf>
    <xf numFmtId="0" fontId="31" fillId="25" borderId="0" xfId="0" applyFont="1" applyFill="1" applyAlignment="1">
      <alignment vertical="center"/>
    </xf>
    <xf numFmtId="0" fontId="31" fillId="25" borderId="0" xfId="0" applyFont="1" applyFill="1" applyAlignment="1">
      <alignment horizontal="right" vertical="center" wrapText="1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/>
    </xf>
    <xf numFmtId="0" fontId="30" fillId="26" borderId="0" xfId="0" applyFont="1" applyFill="1" applyAlignment="1">
      <alignment vertical="center"/>
    </xf>
    <xf numFmtId="9" fontId="30" fillId="0" borderId="0" xfId="2" applyFont="1" applyAlignment="1">
      <alignment horizontal="right" vertical="center" wrapText="1"/>
    </xf>
    <xf numFmtId="9" fontId="30" fillId="26" borderId="0" xfId="2" applyFont="1" applyFill="1" applyAlignment="1">
      <alignment horizontal="right" vertical="center" wrapText="1"/>
    </xf>
    <xf numFmtId="0" fontId="32" fillId="26" borderId="0" xfId="0" applyFont="1" applyFill="1" applyAlignment="1">
      <alignment vertical="center"/>
    </xf>
    <xf numFmtId="9" fontId="32" fillId="26" borderId="0" xfId="2" applyFont="1" applyFill="1" applyAlignment="1">
      <alignment horizontal="right" vertical="center" wrapText="1"/>
    </xf>
    <xf numFmtId="0" fontId="32" fillId="0" borderId="0" xfId="0" applyFont="1" applyAlignment="1">
      <alignment vertical="center"/>
    </xf>
    <xf numFmtId="9" fontId="32" fillId="0" borderId="0" xfId="2" applyFont="1" applyAlignment="1">
      <alignment horizontal="right" vertical="center" wrapText="1"/>
    </xf>
    <xf numFmtId="164" fontId="0" fillId="0" borderId="0" xfId="0" applyNumberFormat="1"/>
    <xf numFmtId="183" fontId="0" fillId="2" borderId="0" xfId="0" applyNumberFormat="1" applyFill="1"/>
    <xf numFmtId="184" fontId="0" fillId="0" borderId="20" xfId="21" applyNumberFormat="1" applyFont="1" applyBorder="1"/>
    <xf numFmtId="164" fontId="0" fillId="0" borderId="20" xfId="0" applyNumberFormat="1" applyBorder="1"/>
    <xf numFmtId="0" fontId="31" fillId="25" borderId="0" xfId="0" applyFont="1" applyFill="1" applyAlignment="1">
      <alignment vertical="center" wrapText="1"/>
    </xf>
    <xf numFmtId="185" fontId="30" fillId="0" borderId="0" xfId="21" applyNumberFormat="1" applyFont="1" applyAlignment="1">
      <alignment horizontal="right" vertical="center" wrapText="1"/>
    </xf>
    <xf numFmtId="185" fontId="30" fillId="0" borderId="0" xfId="21" applyNumberFormat="1" applyFont="1" applyAlignment="1">
      <alignment vertical="center"/>
    </xf>
    <xf numFmtId="185" fontId="30" fillId="26" borderId="0" xfId="21" applyNumberFormat="1" applyFont="1" applyFill="1" applyAlignment="1">
      <alignment vertical="center"/>
    </xf>
    <xf numFmtId="185" fontId="30" fillId="26" borderId="0" xfId="21" applyNumberFormat="1" applyFont="1" applyFill="1" applyAlignment="1">
      <alignment horizontal="right" vertical="center" wrapText="1"/>
    </xf>
    <xf numFmtId="185" fontId="32" fillId="26" borderId="0" xfId="0" applyNumberFormat="1" applyFont="1" applyFill="1" applyAlignment="1">
      <alignment vertical="center"/>
    </xf>
    <xf numFmtId="185" fontId="32" fillId="26" borderId="0" xfId="21" applyNumberFormat="1" applyFont="1" applyFill="1" applyAlignment="1">
      <alignment horizontal="right" vertical="center" wrapText="1"/>
    </xf>
    <xf numFmtId="185" fontId="32" fillId="0" borderId="0" xfId="21" applyNumberFormat="1" applyFont="1" applyAlignment="1">
      <alignment horizontal="right" vertical="center" wrapText="1"/>
    </xf>
    <xf numFmtId="185" fontId="30" fillId="0" borderId="0" xfId="2" applyNumberFormat="1" applyFont="1" applyAlignment="1">
      <alignment horizontal="right" vertical="center" wrapText="1"/>
    </xf>
    <xf numFmtId="185" fontId="30" fillId="26" borderId="0" xfId="2" applyNumberFormat="1" applyFont="1" applyFill="1" applyAlignment="1">
      <alignment horizontal="right" vertical="center" wrapText="1"/>
    </xf>
    <xf numFmtId="185" fontId="32" fillId="26" borderId="0" xfId="2" applyNumberFormat="1" applyFont="1" applyFill="1" applyAlignment="1">
      <alignment horizontal="right" vertical="center" wrapText="1"/>
    </xf>
    <xf numFmtId="185" fontId="32" fillId="0" borderId="0" xfId="2" applyNumberFormat="1" applyFont="1" applyAlignment="1">
      <alignment horizontal="right" vertical="center" wrapText="1"/>
    </xf>
    <xf numFmtId="0" fontId="30" fillId="0" borderId="0" xfId="0" applyFont="1" applyAlignment="1">
      <alignment vertical="center" wrapText="1"/>
    </xf>
    <xf numFmtId="0" fontId="30" fillId="26" borderId="0" xfId="0" applyFont="1" applyFill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4" fillId="0" borderId="0" xfId="0" applyFont="1" applyAlignment="1">
      <alignment horizontal="left" vertical="center" indent="1"/>
    </xf>
    <xf numFmtId="0" fontId="33" fillId="0" borderId="0" xfId="22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9" fontId="30" fillId="0" borderId="22" xfId="2" applyFont="1" applyBorder="1" applyAlignment="1">
      <alignment horizontal="right" vertical="center" wrapText="1"/>
    </xf>
    <xf numFmtId="185" fontId="30" fillId="26" borderId="0" xfId="0" applyNumberFormat="1" applyFont="1" applyFill="1" applyAlignment="1">
      <alignment horizontal="right" vertical="center" wrapText="1"/>
    </xf>
    <xf numFmtId="185" fontId="0" fillId="0" borderId="0" xfId="0" applyNumberFormat="1"/>
    <xf numFmtId="9" fontId="0" fillId="0" borderId="0" xfId="2" applyFont="1"/>
    <xf numFmtId="0" fontId="14" fillId="5" borderId="7" xfId="3" applyFont="1" applyFill="1" applyBorder="1" applyAlignment="1">
      <alignment horizontal="center"/>
    </xf>
    <xf numFmtId="0" fontId="14" fillId="5" borderId="8" xfId="3" applyFont="1" applyFill="1" applyBorder="1" applyAlignment="1">
      <alignment horizontal="center"/>
    </xf>
    <xf numFmtId="0" fontId="14" fillId="5" borderId="9" xfId="3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6" fillId="5" borderId="7" xfId="3" applyFont="1" applyFill="1" applyBorder="1" applyAlignment="1">
      <alignment horizontal="center"/>
    </xf>
    <xf numFmtId="0" fontId="6" fillId="5" borderId="8" xfId="3" applyFont="1" applyFill="1" applyBorder="1" applyAlignment="1">
      <alignment horizontal="center"/>
    </xf>
    <xf numFmtId="0" fontId="6" fillId="5" borderId="9" xfId="3" applyFont="1" applyFill="1" applyBorder="1" applyAlignment="1">
      <alignment horizontal="center"/>
    </xf>
    <xf numFmtId="0" fontId="14" fillId="5" borderId="14" xfId="0" applyFont="1" applyFill="1" applyBorder="1" applyAlignment="1">
      <alignment horizontal="center"/>
    </xf>
    <xf numFmtId="0" fontId="14" fillId="5" borderId="15" xfId="0" applyFont="1" applyFill="1" applyBorder="1" applyAlignment="1">
      <alignment horizontal="center"/>
    </xf>
  </cellXfs>
  <cellStyles count="23">
    <cellStyle name="Comma" xfId="1" builtinId="3"/>
    <cellStyle name="Currency" xfId="21" builtinId="4"/>
    <cellStyle name="Hyperlink" xfId="22" builtinId="8"/>
    <cellStyle name="K_BannerGrp1" xfId="16"/>
    <cellStyle name="K_DateShort" xfId="5"/>
    <cellStyle name="K_Number" xfId="4"/>
    <cellStyle name="Normal" xfId="0" builtinId="0"/>
    <cellStyle name="Normal 42" xfId="3"/>
    <cellStyle name="Percent" xfId="2" builtinId="5"/>
    <cellStyle name="SAPBEXaggData 10" xfId="20"/>
    <cellStyle name="SAPBEXaggData 14" xfId="13"/>
    <cellStyle name="SAPBEXaggData 3" xfId="9"/>
    <cellStyle name="SAPBEXaggItem 10" xfId="19"/>
    <cellStyle name="SAPBEXaggItem 14" xfId="12"/>
    <cellStyle name="SAPBEXaggItem 3" xfId="8"/>
    <cellStyle name="SAPBEXstdData 10" xfId="18"/>
    <cellStyle name="SAPBEXstdData 13" xfId="11"/>
    <cellStyle name="SAPBEXstdData 3" xfId="7"/>
    <cellStyle name="SAPBEXstdData 9" xfId="15"/>
    <cellStyle name="SAPBEXstdItem 10" xfId="17"/>
    <cellStyle name="SAPBEXstdItem 13" xfId="10"/>
    <cellStyle name="SAPBEXstdItem 3" xfId="6"/>
    <cellStyle name="SAPBEXstdItem 9" xfId="14"/>
  </cellStyles>
  <dxfs count="1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FF"/>
      <color rgb="FF0000FF"/>
      <color rgb="FFB5C1DF"/>
      <color rgb="FF629DD1"/>
      <color rgb="FF072B62"/>
      <color rgb="FFCCFFCC"/>
      <color rgb="FF297FD5"/>
      <color rgb="FF8BD6F6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AER\Elec\Vic\eaAER%20Vic%20EDPR%202021-25\Capex\DB%20Subm%20Analysis\CP\aSubmission\20200518\CP%20MOD%209.02%20-%20Rate%20of%20change%20-%20Jan2020%20-%20Publ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ER/VicEDPR%202021-25/2%20CitiPower/1%20Proposal/Public/5%20Models/01%20SCS/Capex/CP%20MOD%206.01%20-%20Augex%20-%20Jan2020%20-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ER/VicEDPR%202021-25/2%20CitiPower/1%20Proposal/Public/5%20Models/01%20SCS/CitiPower%20-%20Model%2010.05%20-%20Consolidated%20Capex%20-%2031%20January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ER/VicEDPR%202021-25/2%20CitiPower/1%20Proposal/Public/5%20Models/01%20SCS/Capex/CP%20MOD%206.04%20-%20Network%20comms%20-%20Jan2020%20-%20Publ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_output"/>
      <sheetName val="Opex_output"/>
      <sheetName val="Price escalation"/>
      <sheetName val="Output growth"/>
      <sheetName val="Productivity"/>
    </sheetNames>
    <sheetDataSet>
      <sheetData sheetId="0">
        <row r="7">
          <cell r="P7">
            <v>2.0036529680365511E-2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"/>
      <sheetName val="Inflation"/>
      <sheetName val="Historical Expenditure"/>
      <sheetName val="Forecast Expenditure"/>
      <sheetName val="Direct Capex"/>
      <sheetName val="CAT RIN 2.3(b) Augex"/>
      <sheetName val="Reset RIN 2.3 Augex (a)"/>
      <sheetName val="Reset RIN 2.3 Augex (b)"/>
      <sheetName val="Reset RIN 3.4 Operational Data"/>
      <sheetName val="Reset RIN 3.5 Physical Assets"/>
      <sheetName val="Reset RIN 3.6 Quality of Servic"/>
      <sheetName val="Reset RIN 3.7 Operating Environ"/>
      <sheetName val="Reset RIN 5.4 MD &amp; Utilisation"/>
    </sheetNames>
    <sheetDataSet>
      <sheetData sheetId="0" refreshError="1"/>
      <sheetData sheetId="1" refreshError="1"/>
      <sheetData sheetId="2">
        <row r="8">
          <cell r="F8">
            <v>6341.5034687960042</v>
          </cell>
          <cell r="G8">
            <v>5773.6076357694965</v>
          </cell>
          <cell r="H8">
            <v>6057.5555522827508</v>
          </cell>
          <cell r="I8">
            <v>5962.9062467783324</v>
          </cell>
          <cell r="J8">
            <v>6057.5555522827508</v>
          </cell>
        </row>
        <row r="21">
          <cell r="F21">
            <v>1401.5374999999999</v>
          </cell>
          <cell r="G21">
            <v>1503.4675</v>
          </cell>
          <cell r="H21">
            <v>1605.3975</v>
          </cell>
          <cell r="I21">
            <v>1656.3625000000002</v>
          </cell>
          <cell r="J21">
            <v>1698.4225000000001</v>
          </cell>
        </row>
      </sheetData>
      <sheetData sheetId="3">
        <row r="10">
          <cell r="K10">
            <v>1.0424380039119834</v>
          </cell>
        </row>
      </sheetData>
      <sheetData sheetId="4" refreshError="1"/>
      <sheetData sheetId="5" refreshError="1"/>
      <sheetData sheetId="6">
        <row r="8">
          <cell r="H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lation"/>
      <sheetName val="Mapping"/>
      <sheetName val="Input|Allowance"/>
      <sheetName val="Input|Historical Data"/>
      <sheetName val="Input|Forecast Data"/>
      <sheetName val="Input|Customer Contributions"/>
      <sheetName val="Input|Provisions"/>
      <sheetName val="Input|VBRC Calc"/>
      <sheetName val="Calc|Weightings"/>
      <sheetName val="Calc|Overheads"/>
      <sheetName val="Calc|Consolidated Capex"/>
      <sheetName val="Output|Functional"/>
      <sheetName val="Output|RFM"/>
      <sheetName val="Output|PTRM"/>
    </sheetNames>
    <sheetDataSet>
      <sheetData sheetId="0" refreshError="1"/>
      <sheetData sheetId="1">
        <row r="85">
          <cell r="R85">
            <v>1.5586325408594759E-2</v>
          </cell>
          <cell r="S85">
            <v>3.3350770024324003E-2</v>
          </cell>
          <cell r="T85">
            <v>5.1345718380880145E-2</v>
          </cell>
          <cell r="U85">
            <v>6.7166999050137899E-2</v>
          </cell>
          <cell r="V85">
            <v>8.1940559907447252E-2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"/>
      <sheetName val="Inflation"/>
      <sheetName val="Historical Expenditure"/>
      <sheetName val="Forecast Expenditure"/>
      <sheetName val="Direct Capex"/>
      <sheetName val="RESET RIN 2.3 Augex (b)"/>
    </sheetNames>
    <sheetDataSet>
      <sheetData sheetId="0" refreshError="1"/>
      <sheetData sheetId="1" refreshError="1"/>
      <sheetData sheetId="2">
        <row r="15">
          <cell r="F15">
            <v>1046115.06</v>
          </cell>
          <cell r="G15">
            <v>1046115.06</v>
          </cell>
          <cell r="H15">
            <v>1046115.06</v>
          </cell>
          <cell r="I15">
            <v>1046115.06</v>
          </cell>
          <cell r="J15">
            <v>1046115.06</v>
          </cell>
        </row>
      </sheetData>
      <sheetData sheetId="3">
        <row r="10">
          <cell r="K10">
            <v>1.0424380039119834</v>
          </cell>
        </row>
      </sheetData>
      <sheetData sheetId="4" refreshError="1"/>
      <sheetData sheetId="5" refreshError="1"/>
      <sheetData sheetId="6">
        <row r="70">
          <cell r="H70">
            <v>3457.6729562553492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14999847407452621"/>
  </sheetPr>
  <dimension ref="A1:L50"/>
  <sheetViews>
    <sheetView topLeftCell="A7" zoomScale="85" zoomScaleNormal="85" workbookViewId="0">
      <selection activeCell="G9" sqref="G9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8" bestFit="1" customWidth="1"/>
    <col min="8" max="8" width="10.25" customWidth="1"/>
    <col min="9" max="9" width="25.25" bestFit="1" customWidth="1"/>
    <col min="10" max="10" width="28" bestFit="1" customWidth="1"/>
    <col min="11" max="11" width="71.25" bestFit="1" customWidth="1"/>
    <col min="12" max="12" width="10.25" customWidth="1"/>
    <col min="13" max="16384" width="9" hidden="1"/>
  </cols>
  <sheetData>
    <row r="1" spans="1:12" s="21" customFormat="1" x14ac:dyDescent="0.2">
      <c r="A1" s="14" t="str">
        <f>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17"/>
      <c r="L1" s="17"/>
    </row>
    <row r="2" spans="1:12" s="21" customFormat="1" x14ac:dyDescent="0.2">
      <c r="A2" s="22" t="str">
        <f ca="1" xml:space="preserve"> "Sheet: " &amp; RIGHT(CELL("filename", $A$1), LEN(CELL("filename", $A$1)) - SEARCH("]", CELL("filename", $A$1)))</f>
        <v>Sheet: Control</v>
      </c>
      <c r="B2" s="22"/>
      <c r="C2" s="15"/>
      <c r="D2" s="16"/>
      <c r="E2" s="17"/>
      <c r="F2" s="17"/>
      <c r="G2" s="17"/>
      <c r="H2" s="23"/>
      <c r="I2" s="20"/>
      <c r="J2" s="20"/>
      <c r="K2" s="17"/>
      <c r="L2" s="17"/>
    </row>
    <row r="3" spans="1:12" s="21" customFormat="1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s="21" customFormat="1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17"/>
      <c r="L4" s="17"/>
    </row>
    <row r="5" spans="1:12" s="21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17"/>
      <c r="L5" s="17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1" customFormat="1" x14ac:dyDescent="0.2">
      <c r="A7" s="22" t="s">
        <v>1</v>
      </c>
      <c r="B7" s="22"/>
      <c r="C7" s="15"/>
      <c r="D7" s="24"/>
      <c r="E7" s="25"/>
      <c r="F7" s="25"/>
      <c r="G7" s="25"/>
      <c r="H7" s="26"/>
      <c r="I7" s="20"/>
      <c r="J7" s="20"/>
      <c r="K7" s="25"/>
      <c r="L7" s="25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4" t="s">
        <v>2</v>
      </c>
      <c r="F9" s="4"/>
      <c r="G9" s="28" t="s">
        <v>2381</v>
      </c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 t="s">
        <v>3</v>
      </c>
      <c r="F10" s="4"/>
      <c r="G10" s="28" t="s">
        <v>10</v>
      </c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3"/>
      <c r="E11" s="4" t="s">
        <v>4</v>
      </c>
      <c r="F11" s="4"/>
      <c r="G11" s="28" t="s">
        <v>5</v>
      </c>
      <c r="H11" s="5"/>
      <c r="I11" s="6"/>
      <c r="J11" s="6"/>
      <c r="K11" s="4"/>
      <c r="L11" s="4"/>
    </row>
    <row r="12" spans="1:12" x14ac:dyDescent="0.2">
      <c r="A12" s="1"/>
      <c r="B12" s="1"/>
      <c r="C12" s="2"/>
      <c r="D12" s="3"/>
      <c r="E12" s="4" t="s">
        <v>6</v>
      </c>
      <c r="F12" s="4"/>
      <c r="G12" s="28" t="s">
        <v>7</v>
      </c>
      <c r="H12" s="5"/>
      <c r="I12" s="6"/>
      <c r="J12" s="6"/>
      <c r="K12" s="4"/>
      <c r="L12" s="4"/>
    </row>
    <row r="13" spans="1:12" x14ac:dyDescent="0.2">
      <c r="A13" s="1"/>
      <c r="B13" s="1"/>
      <c r="C13" s="2"/>
      <c r="D13" s="3"/>
      <c r="E13" s="4" t="s">
        <v>8</v>
      </c>
      <c r="F13" s="4"/>
      <c r="G13" s="27"/>
      <c r="H13" s="5"/>
      <c r="I13" s="6"/>
      <c r="J13" s="6"/>
      <c r="K13" s="4"/>
      <c r="L13" s="4"/>
    </row>
    <row r="14" spans="1:12" x14ac:dyDescent="0.2">
      <c r="A14" s="1"/>
      <c r="B14" s="1"/>
      <c r="C14" s="2"/>
      <c r="D14" s="3"/>
      <c r="E14" s="4"/>
      <c r="F14" s="4"/>
      <c r="G14" s="4"/>
      <c r="H14" s="5"/>
      <c r="I14" s="6"/>
      <c r="J14" s="6"/>
      <c r="K14" s="4"/>
      <c r="L14" s="4"/>
    </row>
    <row r="15" spans="1:12" x14ac:dyDescent="0.2">
      <c r="A15" s="1"/>
      <c r="B15" s="1"/>
      <c r="C15" s="2"/>
      <c r="D15" s="3"/>
      <c r="E15" s="4"/>
      <c r="F15" s="4"/>
      <c r="G15" s="4"/>
      <c r="H15" s="5"/>
      <c r="I15" s="6"/>
      <c r="J15" s="6"/>
      <c r="K15" s="4"/>
      <c r="L15" s="4"/>
    </row>
    <row r="16" spans="1:12" s="21" customFormat="1" x14ac:dyDescent="0.2">
      <c r="A16" s="1"/>
      <c r="B16" s="1"/>
      <c r="C16" s="2"/>
      <c r="D16" s="3"/>
      <c r="E16" s="4"/>
      <c r="F16" s="4"/>
      <c r="G16" s="4"/>
      <c r="H16" s="5"/>
      <c r="I16" s="6"/>
      <c r="J16" s="6"/>
      <c r="K16" s="4"/>
      <c r="L16" s="4"/>
    </row>
    <row r="17" spans="1:12" x14ac:dyDescent="0.2">
      <c r="A17" s="1"/>
      <c r="B17" s="1"/>
      <c r="C17" s="2"/>
      <c r="D17" s="3"/>
      <c r="E17" s="4"/>
      <c r="F17" s="4"/>
      <c r="G17" s="4"/>
      <c r="H17" s="5"/>
      <c r="I17" s="6"/>
      <c r="J17" s="6"/>
      <c r="K17" s="4"/>
      <c r="L17" s="4"/>
    </row>
    <row r="18" spans="1:12" x14ac:dyDescent="0.2">
      <c r="A18" s="1"/>
      <c r="B18" s="1"/>
      <c r="C18" s="2"/>
      <c r="D18" s="3"/>
      <c r="E18" s="4"/>
      <c r="F18" s="4"/>
      <c r="G18" s="4"/>
      <c r="H18" s="5"/>
      <c r="I18" s="6"/>
      <c r="J18" s="6"/>
      <c r="K18" s="4"/>
      <c r="L18" s="4"/>
    </row>
    <row r="19" spans="1:12" x14ac:dyDescent="0.2">
      <c r="A19" s="1"/>
      <c r="B19" s="1"/>
      <c r="C19" s="2"/>
      <c r="D19" s="3"/>
      <c r="E19" s="4"/>
      <c r="F19" s="4"/>
      <c r="G19" s="4"/>
      <c r="H19" s="5"/>
      <c r="I19" s="6"/>
      <c r="J19" s="6"/>
      <c r="K19" s="4"/>
      <c r="L19" s="4"/>
    </row>
    <row r="20" spans="1:12" x14ac:dyDescent="0.2">
      <c r="A20" s="1"/>
      <c r="B20" s="1"/>
      <c r="C20" s="2"/>
      <c r="D20" s="3"/>
      <c r="E20" s="4"/>
      <c r="F20" s="4"/>
      <c r="G20" s="4"/>
      <c r="H20" s="5"/>
      <c r="I20" s="6"/>
      <c r="J20" s="6"/>
      <c r="K20" s="4"/>
      <c r="L20" s="4"/>
    </row>
    <row r="21" spans="1:12" x14ac:dyDescent="0.2">
      <c r="A21" s="1"/>
      <c r="B21" s="1"/>
      <c r="C21" s="2"/>
      <c r="D21" s="3"/>
      <c r="E21" s="4"/>
      <c r="F21" s="4"/>
      <c r="G21" s="4"/>
      <c r="H21" s="5"/>
      <c r="I21" s="6"/>
      <c r="J21" s="6"/>
      <c r="K21" s="4"/>
      <c r="L21" s="4"/>
    </row>
    <row r="22" spans="1:12" x14ac:dyDescent="0.2">
      <c r="A22" s="1"/>
      <c r="B22" s="1"/>
      <c r="C22" s="2"/>
      <c r="D22" s="3"/>
      <c r="E22" s="4"/>
      <c r="F22" s="4"/>
      <c r="G22" s="4"/>
      <c r="H22" s="5"/>
      <c r="I22" s="6"/>
      <c r="J22" s="6"/>
      <c r="K22" s="4"/>
      <c r="L22" s="4"/>
    </row>
    <row r="23" spans="1:12" x14ac:dyDescent="0.2">
      <c r="A23" s="1"/>
      <c r="B23" s="1"/>
      <c r="C23" s="2"/>
      <c r="D23" s="3"/>
      <c r="E23" s="4"/>
      <c r="F23" s="4"/>
      <c r="G23" s="4"/>
      <c r="H23" s="5"/>
      <c r="I23" s="6"/>
      <c r="J23" s="6"/>
      <c r="K23" s="4"/>
      <c r="L23" s="4"/>
    </row>
    <row r="24" spans="1:12" x14ac:dyDescent="0.2">
      <c r="A24" s="1"/>
      <c r="B24" s="1"/>
      <c r="C24" s="2"/>
      <c r="D24" s="3"/>
      <c r="E24" s="4"/>
      <c r="F24" s="4"/>
      <c r="G24" s="4"/>
      <c r="H24" s="5"/>
      <c r="I24" s="6"/>
      <c r="J24" s="6"/>
      <c r="K24" s="4"/>
      <c r="L24" s="4"/>
    </row>
    <row r="25" spans="1:12" x14ac:dyDescent="0.2">
      <c r="A25" s="1"/>
      <c r="B25" s="1"/>
      <c r="C25" s="2"/>
      <c r="D25" s="3"/>
      <c r="E25" s="4"/>
      <c r="F25" s="4"/>
      <c r="G25" s="4"/>
      <c r="H25" s="5"/>
      <c r="I25" s="6"/>
      <c r="J25" s="6"/>
      <c r="K25" s="4"/>
      <c r="L25" s="4"/>
    </row>
    <row r="26" spans="1:12" x14ac:dyDescent="0.2">
      <c r="A26" s="1"/>
      <c r="B26" s="1"/>
      <c r="C26" s="2"/>
      <c r="D26" s="3"/>
      <c r="E26" s="4"/>
      <c r="F26" s="4"/>
      <c r="G26" s="4"/>
      <c r="H26" s="5"/>
      <c r="I26" s="6"/>
      <c r="J26" s="6"/>
      <c r="K26" s="4"/>
      <c r="L26" s="4"/>
    </row>
    <row r="27" spans="1:12" x14ac:dyDescent="0.2">
      <c r="A27" s="1"/>
      <c r="B27" s="1"/>
      <c r="C27" s="2"/>
      <c r="D27" s="3"/>
      <c r="E27" s="4"/>
      <c r="F27" s="4"/>
      <c r="G27" s="4"/>
      <c r="H27" s="5"/>
      <c r="I27" s="6"/>
      <c r="J27" s="6"/>
      <c r="K27" s="4"/>
      <c r="L27" s="4"/>
    </row>
    <row r="28" spans="1:12" x14ac:dyDescent="0.2">
      <c r="A28" s="1"/>
      <c r="B28" s="1"/>
      <c r="C28" s="2"/>
      <c r="D28" s="3"/>
      <c r="E28" s="4"/>
      <c r="F28" s="4"/>
      <c r="G28" s="4"/>
      <c r="H28" s="5"/>
      <c r="I28" s="6"/>
      <c r="J28" s="6"/>
      <c r="K28" s="4"/>
      <c r="L28" s="4"/>
    </row>
    <row r="29" spans="1:12" x14ac:dyDescent="0.2">
      <c r="A29" s="1"/>
      <c r="B29" s="1"/>
      <c r="C29" s="2"/>
      <c r="D29" s="3"/>
      <c r="E29" s="4"/>
      <c r="F29" s="4"/>
      <c r="G29" s="4"/>
      <c r="H29" s="5"/>
      <c r="I29" s="6"/>
      <c r="J29" s="6"/>
      <c r="K29" s="4"/>
      <c r="L29" s="4"/>
    </row>
    <row r="30" spans="1:12" x14ac:dyDescent="0.2">
      <c r="A30" s="1"/>
      <c r="B30" s="1"/>
      <c r="C30" s="2"/>
      <c r="D30" s="3"/>
      <c r="E30" s="4"/>
      <c r="F30" s="4"/>
      <c r="G30" s="4"/>
      <c r="H30" s="5"/>
      <c r="I30" s="6"/>
      <c r="J30" s="6"/>
      <c r="K30" s="4"/>
      <c r="L30" s="4"/>
    </row>
    <row r="31" spans="1:12" s="21" customFormat="1" x14ac:dyDescent="0.2">
      <c r="A31" s="1"/>
      <c r="B31" s="1"/>
      <c r="C31" s="2"/>
      <c r="D31" s="3"/>
      <c r="E31" s="4"/>
      <c r="F31" s="4"/>
      <c r="G31" s="4"/>
      <c r="H31" s="5"/>
      <c r="I31" s="6"/>
      <c r="J31" s="6"/>
      <c r="K31" s="4"/>
      <c r="L31" s="4"/>
    </row>
    <row r="32" spans="1:12" s="7" customFormat="1" x14ac:dyDescent="0.2">
      <c r="A32" s="1"/>
      <c r="B32" s="1"/>
      <c r="C32" s="2"/>
      <c r="D32" s="3"/>
      <c r="E32" s="4"/>
      <c r="F32" s="4"/>
      <c r="G32" s="4"/>
      <c r="H32" s="5"/>
      <c r="I32" s="6"/>
      <c r="J32" s="6"/>
      <c r="K32" s="4"/>
      <c r="L32" s="4"/>
    </row>
    <row r="33" spans="1:12" s="7" customFormat="1" x14ac:dyDescent="0.2">
      <c r="A33" s="1"/>
      <c r="B33" s="1"/>
      <c r="C33" s="2"/>
      <c r="D33" s="3"/>
      <c r="E33" s="4"/>
      <c r="F33" s="4"/>
      <c r="G33" s="4"/>
      <c r="H33" s="5"/>
      <c r="I33" s="6"/>
      <c r="J33" s="6"/>
      <c r="K33" s="4"/>
      <c r="L33" s="4"/>
    </row>
    <row r="34" spans="1:12" s="7" customFormat="1" x14ac:dyDescent="0.2">
      <c r="A34" s="1"/>
      <c r="B34" s="1"/>
      <c r="C34" s="2"/>
      <c r="D34" s="3"/>
      <c r="E34" s="4"/>
      <c r="F34" s="4"/>
      <c r="G34" s="4"/>
      <c r="H34" s="5"/>
      <c r="I34" s="6"/>
      <c r="J34" s="6"/>
      <c r="K34" s="4"/>
      <c r="L34" s="4"/>
    </row>
    <row r="35" spans="1:12" s="7" customFormat="1" x14ac:dyDescent="0.2">
      <c r="A35" s="1"/>
      <c r="B35" s="1"/>
      <c r="C35" s="2"/>
      <c r="D35" s="3"/>
      <c r="E35" s="4"/>
      <c r="F35" s="4"/>
      <c r="G35" s="4"/>
      <c r="H35" s="5"/>
      <c r="I35" s="6"/>
      <c r="J35" s="6"/>
      <c r="K35" s="4"/>
      <c r="L35" s="4"/>
    </row>
    <row r="36" spans="1:12" s="7" customFormat="1" x14ac:dyDescent="0.2"/>
    <row r="37" spans="1:12" s="7" customFormat="1" x14ac:dyDescent="0.2"/>
    <row r="38" spans="1:12" s="7" customFormat="1" x14ac:dyDescent="0.2"/>
    <row r="39" spans="1:12" s="7" customFormat="1" x14ac:dyDescent="0.2"/>
    <row r="40" spans="1:12" s="7" customFormat="1" x14ac:dyDescent="0.2"/>
    <row r="41" spans="1:12" s="7" customFormat="1" x14ac:dyDescent="0.2"/>
    <row r="42" spans="1:12" s="7" customFormat="1" x14ac:dyDescent="0.2"/>
    <row r="43" spans="1:12" s="7" customFormat="1" x14ac:dyDescent="0.2"/>
    <row r="44" spans="1:12" s="7" customFormat="1" x14ac:dyDescent="0.2"/>
    <row r="45" spans="1:12" s="7" customFormat="1" x14ac:dyDescent="0.2"/>
    <row r="46" spans="1:12" s="7" customFormat="1" x14ac:dyDescent="0.2"/>
    <row r="47" spans="1:12" s="7" customFormat="1" x14ac:dyDescent="0.2">
      <c r="A47" s="1"/>
      <c r="B47" s="1"/>
      <c r="C47" s="2"/>
      <c r="D47" s="3"/>
      <c r="E47" s="4"/>
      <c r="F47" s="4"/>
      <c r="G47" s="4"/>
      <c r="H47" s="5"/>
      <c r="I47" s="6"/>
      <c r="J47" s="6"/>
      <c r="K47" s="4"/>
      <c r="L47" s="4"/>
    </row>
    <row r="48" spans="1:12" s="7" customFormat="1" x14ac:dyDescent="0.2">
      <c r="A48" s="22" t="s">
        <v>9</v>
      </c>
      <c r="B48" s="22"/>
      <c r="C48" s="15"/>
      <c r="D48" s="24"/>
      <c r="E48" s="25"/>
      <c r="F48" s="25"/>
      <c r="G48" s="25"/>
      <c r="H48" s="26"/>
      <c r="I48" s="20"/>
      <c r="J48" s="20"/>
      <c r="K48" s="25"/>
      <c r="L48" s="25"/>
    </row>
    <row r="49" s="7" customFormat="1" x14ac:dyDescent="0.2"/>
    <row r="50" s="7" customFormat="1" x14ac:dyDescent="0.2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CCFFCC"/>
  </sheetPr>
  <dimension ref="A1:AR184"/>
  <sheetViews>
    <sheetView zoomScale="70" zoomScaleNormal="70" workbookViewId="0">
      <pane xSplit="8" ySplit="8" topLeftCell="I29" activePane="bottomRight" state="frozen"/>
      <selection activeCell="N50" sqref="N50"/>
      <selection pane="topRight" activeCell="N50" sqref="N50"/>
      <selection pane="bottomLeft" activeCell="N50" sqref="N50"/>
      <selection pane="bottomRight" activeCell="AO68" sqref="AO68"/>
    </sheetView>
  </sheetViews>
  <sheetFormatPr defaultColWidth="0" defaultRowHeight="12.75" zeroHeight="1" outlineLevelCol="1" x14ac:dyDescent="0.2"/>
  <cols>
    <col min="1" max="1" width="2.5" customWidth="1"/>
    <col min="2" max="4" width="2.375" customWidth="1"/>
    <col min="5" max="5" width="3.5" customWidth="1"/>
    <col min="6" max="6" width="30.125" bestFit="1" customWidth="1"/>
    <col min="7" max="8" width="30.125" hidden="1" customWidth="1" outlineLevel="1"/>
    <col min="9" max="9" width="10.25" customWidth="1" collapsed="1"/>
    <col min="10" max="39" width="10.25" hidden="1" customWidth="1" outlineLevel="1"/>
    <col min="40" max="40" width="10.25" customWidth="1" collapsed="1"/>
    <col min="41" max="44" width="10.25" customWidth="1"/>
    <col min="45" max="16384" width="9" hidden="1"/>
  </cols>
  <sheetData>
    <row r="1" spans="1:44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8"/>
      <c r="J1" s="17"/>
      <c r="K1" s="19"/>
      <c r="L1" s="20"/>
      <c r="M1" s="20"/>
      <c r="N1" s="17"/>
      <c r="O1" s="17"/>
      <c r="P1" s="17"/>
      <c r="Q1" s="17"/>
      <c r="R1" s="17"/>
      <c r="S1" s="17"/>
      <c r="T1" s="17"/>
      <c r="U1" s="19"/>
      <c r="V1" s="20"/>
      <c r="W1" s="20"/>
      <c r="X1" s="17"/>
      <c r="Y1" s="17"/>
      <c r="Z1" s="17"/>
      <c r="AA1" s="17"/>
      <c r="AB1" s="17"/>
      <c r="AC1" s="17"/>
      <c r="AD1" s="17"/>
      <c r="AE1" s="19"/>
      <c r="AF1" s="20"/>
      <c r="AG1" s="20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</row>
    <row r="2" spans="1:44" x14ac:dyDescent="0.2">
      <c r="A2" s="22" t="str">
        <f ca="1" xml:space="preserve"> "Sheet: " &amp; RIGHT(CELL("filename", $A$1), LEN(CELL("filename", $A$1)) - SEARCH("]", CELL("filename", $A$1)))</f>
        <v>Sheet: Calc|Weightings</v>
      </c>
      <c r="B2" s="22"/>
      <c r="C2" s="15"/>
      <c r="D2" s="16"/>
      <c r="E2" s="17"/>
      <c r="F2" s="17"/>
      <c r="G2" s="17"/>
      <c r="H2" s="17"/>
      <c r="I2" s="17"/>
      <c r="J2" s="17"/>
      <c r="K2" s="23"/>
      <c r="L2" s="20"/>
      <c r="M2" s="20"/>
      <c r="N2" s="17"/>
      <c r="O2" s="17"/>
      <c r="P2" s="17"/>
      <c r="Q2" s="17"/>
      <c r="R2" s="17"/>
      <c r="S2" s="17"/>
      <c r="T2" s="17"/>
      <c r="U2" s="23"/>
      <c r="V2" s="20"/>
      <c r="W2" s="20"/>
      <c r="X2" s="17"/>
      <c r="Y2" s="17"/>
      <c r="Z2" s="17"/>
      <c r="AA2" s="17"/>
      <c r="AB2" s="17"/>
      <c r="AC2" s="17"/>
      <c r="AD2" s="17"/>
      <c r="AE2" s="23"/>
      <c r="AF2" s="20"/>
      <c r="AG2" s="20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</row>
    <row r="3" spans="1:44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7"/>
      <c r="K3" s="16"/>
      <c r="L3" s="16"/>
      <c r="M3" s="20"/>
      <c r="N3" s="17"/>
      <c r="O3" s="17"/>
      <c r="P3" s="17"/>
      <c r="Q3" s="17"/>
      <c r="R3" s="17"/>
      <c r="S3" s="17"/>
      <c r="T3" s="17"/>
      <c r="U3" s="16"/>
      <c r="V3" s="16"/>
      <c r="W3" s="20"/>
      <c r="X3" s="17"/>
      <c r="Y3" s="17"/>
      <c r="Z3" s="17"/>
      <c r="AA3" s="17"/>
      <c r="AB3" s="17"/>
      <c r="AC3" s="17"/>
      <c r="AD3" s="17"/>
      <c r="AE3" s="16"/>
      <c r="AF3" s="16"/>
      <c r="AG3" s="20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</row>
    <row r="4" spans="1:44" x14ac:dyDescent="0.2">
      <c r="A4" s="22"/>
      <c r="B4" s="22"/>
      <c r="C4" s="15"/>
      <c r="D4" s="16"/>
      <c r="E4" s="17"/>
      <c r="F4" s="17"/>
      <c r="G4" s="17"/>
      <c r="H4" s="17"/>
      <c r="I4" s="17"/>
      <c r="J4" s="263">
        <v>2016</v>
      </c>
      <c r="K4" s="264"/>
      <c r="L4" s="264"/>
      <c r="M4" s="264"/>
      <c r="N4" s="264"/>
      <c r="O4" s="264"/>
      <c r="P4" s="264"/>
      <c r="Q4" s="264"/>
      <c r="R4" s="265"/>
      <c r="S4" s="17"/>
      <c r="T4" s="263">
        <v>2017</v>
      </c>
      <c r="U4" s="264"/>
      <c r="V4" s="264"/>
      <c r="W4" s="264"/>
      <c r="X4" s="264"/>
      <c r="Y4" s="264"/>
      <c r="Z4" s="264"/>
      <c r="AA4" s="264"/>
      <c r="AB4" s="265"/>
      <c r="AC4" s="17"/>
      <c r="AD4" s="263">
        <v>2018</v>
      </c>
      <c r="AE4" s="264"/>
      <c r="AF4" s="264"/>
      <c r="AG4" s="264"/>
      <c r="AH4" s="264"/>
      <c r="AI4" s="264"/>
      <c r="AJ4" s="264"/>
      <c r="AK4" s="264"/>
      <c r="AL4" s="265"/>
      <c r="AM4" s="17"/>
      <c r="AN4" s="258" t="s">
        <v>2424</v>
      </c>
      <c r="AO4" s="259"/>
      <c r="AP4" s="259"/>
      <c r="AQ4" s="260"/>
      <c r="AR4" s="17"/>
    </row>
    <row r="5" spans="1:44" x14ac:dyDescent="0.2">
      <c r="A5" s="22"/>
      <c r="B5" s="22"/>
      <c r="C5" s="22"/>
      <c r="D5" s="22"/>
      <c r="E5" s="266" t="s">
        <v>2068</v>
      </c>
      <c r="F5" s="267"/>
      <c r="G5" s="64" t="s">
        <v>2376</v>
      </c>
      <c r="H5" s="29" t="s">
        <v>2305</v>
      </c>
      <c r="I5" s="20"/>
      <c r="J5" s="42" t="s">
        <v>2208</v>
      </c>
      <c r="K5" s="42" t="s">
        <v>133</v>
      </c>
      <c r="L5" s="42" t="s">
        <v>47</v>
      </c>
      <c r="M5" s="42" t="s">
        <v>71</v>
      </c>
      <c r="N5" s="42" t="s">
        <v>2210</v>
      </c>
      <c r="O5" s="42" t="s">
        <v>133</v>
      </c>
      <c r="P5" s="42" t="s">
        <v>47</v>
      </c>
      <c r="Q5" s="42" t="s">
        <v>71</v>
      </c>
      <c r="R5" s="42" t="s">
        <v>2210</v>
      </c>
      <c r="S5" s="17"/>
      <c r="T5" s="42" t="s">
        <v>2208</v>
      </c>
      <c r="U5" s="42" t="s">
        <v>133</v>
      </c>
      <c r="V5" s="42" t="s">
        <v>47</v>
      </c>
      <c r="W5" s="42" t="s">
        <v>71</v>
      </c>
      <c r="X5" s="42" t="s">
        <v>2210</v>
      </c>
      <c r="Y5" s="42" t="s">
        <v>133</v>
      </c>
      <c r="Z5" s="42" t="s">
        <v>47</v>
      </c>
      <c r="AA5" s="42" t="s">
        <v>71</v>
      </c>
      <c r="AB5" s="42" t="s">
        <v>2210</v>
      </c>
      <c r="AC5" s="17"/>
      <c r="AD5" s="42" t="s">
        <v>2208</v>
      </c>
      <c r="AE5" s="42" t="s">
        <v>133</v>
      </c>
      <c r="AF5" s="42" t="s">
        <v>47</v>
      </c>
      <c r="AG5" s="42" t="s">
        <v>71</v>
      </c>
      <c r="AH5" s="42" t="s">
        <v>2210</v>
      </c>
      <c r="AI5" s="42" t="s">
        <v>133</v>
      </c>
      <c r="AJ5" s="42" t="s">
        <v>47</v>
      </c>
      <c r="AK5" s="42" t="s">
        <v>71</v>
      </c>
      <c r="AL5" s="42" t="s">
        <v>2210</v>
      </c>
      <c r="AM5" s="17"/>
      <c r="AN5" s="42" t="s">
        <v>133</v>
      </c>
      <c r="AO5" s="42" t="s">
        <v>47</v>
      </c>
      <c r="AP5" s="42" t="s">
        <v>71</v>
      </c>
      <c r="AQ5" s="42" t="s">
        <v>2210</v>
      </c>
      <c r="AR5" s="17"/>
    </row>
    <row r="6" spans="1:44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5"/>
      <c r="V6" s="6"/>
      <c r="W6" s="6"/>
      <c r="X6" s="4"/>
      <c r="Y6" s="4"/>
      <c r="Z6" s="4"/>
      <c r="AA6" s="4"/>
      <c r="AB6" s="4"/>
      <c r="AC6" s="4"/>
      <c r="AD6" s="4"/>
      <c r="AE6" s="5"/>
      <c r="AF6" s="6"/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</row>
    <row r="7" spans="1:44" x14ac:dyDescent="0.2">
      <c r="A7" s="22" t="s">
        <v>2370</v>
      </c>
      <c r="B7" s="22"/>
      <c r="C7" s="15"/>
      <c r="D7" s="24"/>
      <c r="E7" s="25"/>
      <c r="F7" s="25"/>
      <c r="G7" s="25"/>
      <c r="H7" s="25"/>
      <c r="I7" s="25"/>
      <c r="J7" s="35" t="s">
        <v>2296</v>
      </c>
      <c r="K7" s="35" t="s">
        <v>2296</v>
      </c>
      <c r="L7" s="35" t="s">
        <v>2296</v>
      </c>
      <c r="M7" s="35" t="s">
        <v>2296</v>
      </c>
      <c r="N7" s="35" t="s">
        <v>2296</v>
      </c>
      <c r="O7" s="35" t="s">
        <v>2298</v>
      </c>
      <c r="P7" s="35" t="s">
        <v>2298</v>
      </c>
      <c r="Q7" s="35" t="s">
        <v>2298</v>
      </c>
      <c r="R7" s="35" t="s">
        <v>2298</v>
      </c>
      <c r="S7" s="25"/>
      <c r="T7" s="35" t="s">
        <v>2296</v>
      </c>
      <c r="U7" s="35" t="s">
        <v>2296</v>
      </c>
      <c r="V7" s="35" t="s">
        <v>2296</v>
      </c>
      <c r="W7" s="35" t="s">
        <v>2296</v>
      </c>
      <c r="X7" s="35" t="s">
        <v>2296</v>
      </c>
      <c r="Y7" s="35" t="s">
        <v>2298</v>
      </c>
      <c r="Z7" s="35" t="s">
        <v>2298</v>
      </c>
      <c r="AA7" s="35" t="s">
        <v>2298</v>
      </c>
      <c r="AB7" s="35" t="s">
        <v>2298</v>
      </c>
      <c r="AC7" s="25"/>
      <c r="AD7" s="35" t="s">
        <v>2296</v>
      </c>
      <c r="AE7" s="35" t="s">
        <v>2296</v>
      </c>
      <c r="AF7" s="35" t="s">
        <v>2296</v>
      </c>
      <c r="AG7" s="35" t="s">
        <v>2296</v>
      </c>
      <c r="AH7" s="35" t="s">
        <v>2296</v>
      </c>
      <c r="AI7" s="35" t="s">
        <v>2298</v>
      </c>
      <c r="AJ7" s="35" t="s">
        <v>2298</v>
      </c>
      <c r="AK7" s="35" t="s">
        <v>2298</v>
      </c>
      <c r="AL7" s="35" t="s">
        <v>2298</v>
      </c>
      <c r="AM7" s="25"/>
      <c r="AN7" s="35" t="s">
        <v>2298</v>
      </c>
      <c r="AO7" s="35" t="s">
        <v>2298</v>
      </c>
      <c r="AP7" s="35" t="s">
        <v>2298</v>
      </c>
      <c r="AQ7" s="35" t="s">
        <v>2298</v>
      </c>
      <c r="AR7" s="25"/>
    </row>
    <row r="8" spans="1:44" s="7" customFormat="1" x14ac:dyDescent="0.2"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</row>
    <row r="9" spans="1:44" s="7" customFormat="1" x14ac:dyDescent="0.2">
      <c r="C9" s="39"/>
      <c r="D9" s="39"/>
      <c r="E9" s="39">
        <v>102</v>
      </c>
      <c r="F9" s="39" t="s">
        <v>2214</v>
      </c>
      <c r="G9" s="39" t="str">
        <f>VLOOKUP(E9,Mapping!$E$11:$G$96,3,0)</f>
        <v>Connections</v>
      </c>
      <c r="H9" s="39" t="str">
        <f>VLOOKUP(E9,Mapping!$E$11:$K$96,7,0)</f>
        <v>SCS</v>
      </c>
      <c r="I9" s="39"/>
      <c r="J9" s="47">
        <f>SUMPRODUCT(--('Input|Historical Data'!$Q$9:$Q$2561=$E9),--('Input|Historical Data'!$AA$9:$AA$2561="SCS"),--('Input|Historical Data'!$Y$9:$Y$2561=J$5),'Input|Historical Data'!$U$9:$U$2561)</f>
        <v>1297.3281499999998</v>
      </c>
      <c r="K9" s="47">
        <f>SUMPRODUCT(--('Input|Historical Data'!$Q$9:$Q$2561=$E9),--('Input|Historical Data'!$AA$9:$AA$2561="SCS"),--('Input|Historical Data'!$Z$9:$Z$2561=K$5),'Input|Historical Data'!$U$9:$U$2561)</f>
        <v>1148.2628599999996</v>
      </c>
      <c r="L9" s="47">
        <f>SUMPRODUCT(--('Input|Historical Data'!$Q$9:$Q$2561=$E9),--('Input|Historical Data'!$AA$9:$AA$2561="SCS"),--('Input|Historical Data'!$Z$9:$Z$2561=L$5),'Input|Historical Data'!$U$9:$U$2561)</f>
        <v>150.37998999999999</v>
      </c>
      <c r="M9" s="47">
        <f>SUMPRODUCT(--('Input|Historical Data'!$Q$9:$Q$2561=$E9),--('Input|Historical Data'!$AA$9:$AA$2561="SCS"),--('Input|Historical Data'!$Z$9:$Z$2561=M$5),'Input|Historical Data'!$U$9:$U$2561)</f>
        <v>-94.355679999999964</v>
      </c>
      <c r="N9" s="47">
        <f>SUMPRODUCT(--('Input|Historical Data'!$Q$9:$Q$2561=$E9),--('Input|Historical Data'!$AA$9:$AA$2561="SCS"),--('Input|Historical Data'!$Y$9:$Y$2561=N$5),'Input|Historical Data'!$U$9:$U$2561)</f>
        <v>339.53951999999998</v>
      </c>
      <c r="O9" s="48">
        <f>IFERROR(K9/SUM($K9:$M9),0)</f>
        <v>0.95347927687380407</v>
      </c>
      <c r="P9" s="48">
        <f t="shared" ref="P9:Q9" si="0">IFERROR(L9/SUM($K9:$M9),0)</f>
        <v>0.12487054063691473</v>
      </c>
      <c r="Q9" s="48">
        <f t="shared" si="0"/>
        <v>-7.8349817510718803E-2</v>
      </c>
      <c r="R9" s="48">
        <f>IFERROR(N9/J9,0)</f>
        <v>0.26172215564735879</v>
      </c>
      <c r="S9" s="39"/>
      <c r="T9" s="47">
        <f>SUMPRODUCT(--('Input|Historical Data'!$AC$9:$AC$2668=$E9),--('Input|Historical Data'!$AM$9:$AM$2668="SCS"),--('Input|Historical Data'!$AK$9:$AK$2668=T$5),'Input|Historical Data'!$AG$9:$AG$2668)</f>
        <v>1993.3969599999996</v>
      </c>
      <c r="U9" s="47">
        <f>SUMPRODUCT(--('Input|Historical Data'!$AC$9:$AC$2668=$E9),--('Input|Historical Data'!$AM$9:$AM$2668="SCS"),--('Input|Historical Data'!$AL$9:$AL$2668=U$5),'Input|Historical Data'!$AG$9:$AG$2668)</f>
        <v>1098.6679700000002</v>
      </c>
      <c r="V9" s="47">
        <f>SUMPRODUCT(--('Input|Historical Data'!$AC$9:$AC$2668=$E9),--('Input|Historical Data'!$AM$9:$AM$2668="SCS"),--('Input|Historical Data'!$AL$9:$AL$2668=V$5),'Input|Historical Data'!$AG$9:$AG$2668)</f>
        <v>175.53018</v>
      </c>
      <c r="W9" s="47">
        <f>SUMPRODUCT(--('Input|Historical Data'!$AC$9:$AC$2668=$E9),--('Input|Historical Data'!$AM$9:$AM$2668="SCS"),--('Input|Historical Data'!$AL$9:$AL$2668=W$5),'Input|Historical Data'!$AG$9:$AG$2668)</f>
        <v>616.62693999999999</v>
      </c>
      <c r="X9" s="47">
        <f>SUMPRODUCT(--('Input|Historical Data'!$AC$9:$AC$2668=$E9),--('Input|Historical Data'!$AM$9:$AM$2668="SCS"),--('Input|Historical Data'!$AK$9:$AK$2668=X$5),'Input|Historical Data'!$AG$9:$AG$2668)</f>
        <v>348.60731000000004</v>
      </c>
      <c r="Y9" s="48">
        <f>IFERROR(U9/SUM($U9:$W9),0)</f>
        <v>0.58105214269184469</v>
      </c>
      <c r="Z9" s="48">
        <f t="shared" ref="Z9:AA9" si="1">IFERROR(V9/SUM($U9:$W9),0)</f>
        <v>9.2832584530597687E-2</v>
      </c>
      <c r="AA9" s="48">
        <f t="shared" si="1"/>
        <v>0.32611527277755759</v>
      </c>
      <c r="AB9" s="48">
        <f>IFERROR(X9/T9,0)</f>
        <v>0.1748810282122634</v>
      </c>
      <c r="AC9" s="39"/>
      <c r="AD9" s="47">
        <f>SUMPRODUCT(--('Input|Historical Data'!$AO$9:$AO$2668=$E9),--('Input|Historical Data'!$AY$9:$AY$2668="SCS"),--('Input|Historical Data'!$AW$9:$AW$2668=AD$5),'Input|Historical Data'!$AS$9:$AS$2668)</f>
        <v>3169.1645999999987</v>
      </c>
      <c r="AE9" s="47">
        <f>SUMPRODUCT(--('Input|Historical Data'!$AO$9:$AO$2668=$E9),--('Input|Historical Data'!$AY$9:$AY$2668="SCS"),--('Input|Historical Data'!$AX$9:$AX$2668=AE$5),'Input|Historical Data'!$AS$9:$AS$2668)</f>
        <v>949.51096999999993</v>
      </c>
      <c r="AF9" s="47">
        <f>SUMPRODUCT(--('Input|Historical Data'!$AO$9:$AO$2668=$E9),--('Input|Historical Data'!$AY$9:$AY$2668="SCS"),--('Input|Historical Data'!$AX$9:$AX$2668=AF$5),'Input|Historical Data'!$AS$9:$AS$2668)</f>
        <v>220.81437000000003</v>
      </c>
      <c r="AG9" s="47">
        <f>SUMPRODUCT(--('Input|Historical Data'!$AO$9:$AO$2668=$E9),--('Input|Historical Data'!$AY$9:$AY$2668="SCS"),--('Input|Historical Data'!$AX$9:$AX$2668=AG$5),'Input|Historical Data'!$AS$9:$AS$2668)</f>
        <v>1838.7589999999998</v>
      </c>
      <c r="AH9" s="47">
        <f>SUMPRODUCT(--('Input|Historical Data'!$AO$9:$AO$2668=$E9),--('Input|Historical Data'!$AY$9:$AY$2668="SCS"),--('Input|Historical Data'!$AW$9:$AW$2668=AH$5),'Input|Historical Data'!$AS$9:$AS$2668)</f>
        <v>481.53708999999998</v>
      </c>
      <c r="AI9" s="48">
        <f>IFERROR(AE9/SUM($AE9:$AG9),0)</f>
        <v>0.31554814113319274</v>
      </c>
      <c r="AJ9" s="48">
        <f t="shared" ref="AJ9:AJ72" si="2">IFERROR(AF9/SUM($AE9:$AG9),0)</f>
        <v>7.3382579233389006E-2</v>
      </c>
      <c r="AK9" s="48">
        <f t="shared" ref="AK9:AK72" si="3">IFERROR(AG9/SUM($AE9:$AG9),0)</f>
        <v>0.61106927963341839</v>
      </c>
      <c r="AL9" s="48">
        <f>IFERROR(AH9/AD9,0)</f>
        <v>0.15194448720019155</v>
      </c>
      <c r="AM9" s="39"/>
      <c r="AN9" s="48">
        <f>IFERROR(SUM(K9,U9,AE9)/SUM($K9:$M9,$U9:$W9,$AE9:$AG9),0)</f>
        <v>0.52364660076642999</v>
      </c>
      <c r="AO9" s="48">
        <f t="shared" ref="AO9:AP9" si="4">IFERROR(SUM(L9,V9,AF9)/SUM($K9:$M9,$U9:$W9,$AE9:$AG9),0)</f>
        <v>8.9565355742310143E-2</v>
      </c>
      <c r="AP9" s="48">
        <f t="shared" si="4"/>
        <v>0.38678804349125967</v>
      </c>
      <c r="AQ9" s="48">
        <f>IFERROR(SUM(N9,X9,AH9)/SUM(J9,T9,AD9),0)</f>
        <v>0.18106871363288343</v>
      </c>
      <c r="AR9" s="45"/>
    </row>
    <row r="10" spans="1:44" s="7" customFormat="1" x14ac:dyDescent="0.2">
      <c r="C10" s="39"/>
      <c r="D10" s="39"/>
      <c r="E10" s="39">
        <v>103</v>
      </c>
      <c r="F10" s="39" t="s">
        <v>2215</v>
      </c>
      <c r="G10" s="39" t="str">
        <f>VLOOKUP(E10,Mapping!$E$11:$G$96,3,0)</f>
        <v>Connections</v>
      </c>
      <c r="H10" s="39" t="str">
        <f>VLOOKUP(E10,Mapping!$E$11:$K$96,7,0)</f>
        <v>SCS</v>
      </c>
      <c r="I10" s="39"/>
      <c r="J10" s="49">
        <f>SUMPRODUCT(--('Input|Historical Data'!$Q$9:$Q$2561=$E10),--('Input|Historical Data'!$AA$9:$AA$2561="SCS"),--('Input|Historical Data'!$Y$9:$Y$2561=J$5),'Input|Historical Data'!$U$9:$U$2561)</f>
        <v>0</v>
      </c>
      <c r="K10" s="49">
        <f>SUMPRODUCT(--('Input|Historical Data'!$Q$9:$Q$2561=$E10),--('Input|Historical Data'!$AA$9:$AA$2561="SCS"),--('Input|Historical Data'!$Z$9:$Z$2561=K$5),'Input|Historical Data'!$U$9:$U$2561)</f>
        <v>0</v>
      </c>
      <c r="L10" s="49">
        <f>SUMPRODUCT(--('Input|Historical Data'!$Q$9:$Q$2561=$E10),--('Input|Historical Data'!$AA$9:$AA$2561="SCS"),--('Input|Historical Data'!$Z$9:$Z$2561=L$5),'Input|Historical Data'!$U$9:$U$2561)</f>
        <v>0</v>
      </c>
      <c r="M10" s="49">
        <f>SUMPRODUCT(--('Input|Historical Data'!$Q$9:$Q$2561=$E10),--('Input|Historical Data'!$AA$9:$AA$2561="SCS"),--('Input|Historical Data'!$Z$9:$Z$2561=M$5),'Input|Historical Data'!$U$9:$U$2561)</f>
        <v>0</v>
      </c>
      <c r="N10" s="49">
        <f>SUMPRODUCT(--('Input|Historical Data'!$Q$9:$Q$2561=$E10),--('Input|Historical Data'!$AA$9:$AA$2561="SCS"),--('Input|Historical Data'!$Y$9:$Y$2561=N$5),'Input|Historical Data'!$U$9:$U$2561)</f>
        <v>0</v>
      </c>
      <c r="O10" s="50">
        <f t="shared" ref="O10:O74" si="5">IFERROR(K10/SUM($K10:$M10),0)</f>
        <v>0</v>
      </c>
      <c r="P10" s="50">
        <f t="shared" ref="P10:P74" si="6">IFERROR(L10/SUM($K10:$M10),0)</f>
        <v>0</v>
      </c>
      <c r="Q10" s="50">
        <f t="shared" ref="Q10:Q74" si="7">IFERROR(M10/SUM($K10:$M10),0)</f>
        <v>0</v>
      </c>
      <c r="R10" s="50">
        <f t="shared" ref="R10:R74" si="8">IFERROR(N10/J10,0)</f>
        <v>0</v>
      </c>
      <c r="S10" s="39"/>
      <c r="T10" s="49">
        <f>SUMPRODUCT(--('Input|Historical Data'!$AC$9:$AC$2668=$E10),--('Input|Historical Data'!$AM$9:$AM$2668="SCS"),--('Input|Historical Data'!$AK$9:$AK$2668=T$5),'Input|Historical Data'!$AG$9:$AG$2668)</f>
        <v>0</v>
      </c>
      <c r="U10" s="49">
        <f>SUMPRODUCT(--('Input|Historical Data'!$AC$9:$AC$2668=$E10),--('Input|Historical Data'!$AM$9:$AM$2668="SCS"),--('Input|Historical Data'!$AL$9:$AL$2668=U$5),'Input|Historical Data'!$AG$9:$AG$2668)</f>
        <v>0</v>
      </c>
      <c r="V10" s="49">
        <f>SUMPRODUCT(--('Input|Historical Data'!$AC$9:$AC$2668=$E10),--('Input|Historical Data'!$AM$9:$AM$2668="SCS"),--('Input|Historical Data'!$AL$9:$AL$2668=V$5),'Input|Historical Data'!$AG$9:$AG$2668)</f>
        <v>0</v>
      </c>
      <c r="W10" s="49">
        <f>SUMPRODUCT(--('Input|Historical Data'!$AC$9:$AC$2668=$E10),--('Input|Historical Data'!$AM$9:$AM$2668="SCS"),--('Input|Historical Data'!$AL$9:$AL$2668=W$5),'Input|Historical Data'!$AG$9:$AG$2668)</f>
        <v>0</v>
      </c>
      <c r="X10" s="49">
        <f>SUMPRODUCT(--('Input|Historical Data'!$AC$9:$AC$2668=$E10),--('Input|Historical Data'!$AM$9:$AM$2668="SCS"),--('Input|Historical Data'!$AK$9:$AK$2668=X$5),'Input|Historical Data'!$AG$9:$AG$2668)</f>
        <v>0</v>
      </c>
      <c r="Y10" s="50">
        <f t="shared" ref="Y10:Y74" si="9">IFERROR(U10/SUM($U10:$W10),0)</f>
        <v>0</v>
      </c>
      <c r="Z10" s="50">
        <f t="shared" ref="Z10:Z74" si="10">IFERROR(V10/SUM($U10:$W10),0)</f>
        <v>0</v>
      </c>
      <c r="AA10" s="50">
        <f t="shared" ref="AA10:AA74" si="11">IFERROR(W10/SUM($U10:$W10),0)</f>
        <v>0</v>
      </c>
      <c r="AB10" s="50">
        <f t="shared" ref="AB10:AB74" si="12">IFERROR(X10/T10,0)</f>
        <v>0</v>
      </c>
      <c r="AC10" s="39"/>
      <c r="AD10" s="49">
        <f>SUMPRODUCT(--('Input|Historical Data'!$AO$9:$AO$2668=$E10),--('Input|Historical Data'!$AY$9:$AY$2668="SCS"),--('Input|Historical Data'!$AW$9:$AW$2668=AD$5),'Input|Historical Data'!$AS$9:$AS$2668)</f>
        <v>0</v>
      </c>
      <c r="AE10" s="49">
        <f>SUMPRODUCT(--('Input|Historical Data'!$AO$9:$AO$2668=$E10),--('Input|Historical Data'!$AY$9:$AY$2668="SCS"),--('Input|Historical Data'!$AX$9:$AX$2668=AE$5),'Input|Historical Data'!$AS$9:$AS$2668)</f>
        <v>0</v>
      </c>
      <c r="AF10" s="49">
        <f>SUMPRODUCT(--('Input|Historical Data'!$AO$9:$AO$2668=$E10),--('Input|Historical Data'!$AY$9:$AY$2668="SCS"),--('Input|Historical Data'!$AX$9:$AX$2668=AF$5),'Input|Historical Data'!$AS$9:$AS$2668)</f>
        <v>0</v>
      </c>
      <c r="AG10" s="49">
        <f>SUMPRODUCT(--('Input|Historical Data'!$AO$9:$AO$2668=$E10),--('Input|Historical Data'!$AY$9:$AY$2668="SCS"),--('Input|Historical Data'!$AX$9:$AX$2668=AG$5),'Input|Historical Data'!$AS$9:$AS$2668)</f>
        <v>0</v>
      </c>
      <c r="AH10" s="49">
        <f>SUMPRODUCT(--('Input|Historical Data'!$AO$9:$AO$2668=$E10),--('Input|Historical Data'!$AY$9:$AY$2668="SCS"),--('Input|Historical Data'!$AW$9:$AW$2668=AH$5),'Input|Historical Data'!$AS$9:$AS$2668)</f>
        <v>0</v>
      </c>
      <c r="AI10" s="50">
        <f t="shared" ref="AI10:AI73" si="13">IFERROR(AE10/SUM($AE10:$AG10),0)</f>
        <v>0</v>
      </c>
      <c r="AJ10" s="50">
        <f t="shared" si="2"/>
        <v>0</v>
      </c>
      <c r="AK10" s="50">
        <f t="shared" si="3"/>
        <v>0</v>
      </c>
      <c r="AL10" s="50">
        <f t="shared" ref="AL10:AL74" si="14">IFERROR(AH10/AD10,0)</f>
        <v>0</v>
      </c>
      <c r="AM10" s="39"/>
      <c r="AN10" s="50">
        <f t="shared" ref="AN10:AN73" si="15">IFERROR(SUM(K10,U10,AE10)/SUM($K10:$M10,$U10:$W10,$AE10:$AG10),0)</f>
        <v>0</v>
      </c>
      <c r="AO10" s="50">
        <f t="shared" ref="AO10:AO73" si="16">IFERROR(SUM(L10,V10,AF10)/SUM($K10:$M10,$U10:$W10,$AE10:$AG10),0)</f>
        <v>0</v>
      </c>
      <c r="AP10" s="50">
        <f t="shared" ref="AP10:AP73" si="17">IFERROR(SUM(M10,W10,AG10)/SUM($K10:$M10,$U10:$W10,$AE10:$AG10),0)</f>
        <v>0</v>
      </c>
      <c r="AQ10" s="50">
        <f t="shared" ref="AQ10:AQ73" si="18">IFERROR(SUM(N10,X10,AH10)/SUM(J10,T10,AD10),0)</f>
        <v>0</v>
      </c>
      <c r="AR10" s="45"/>
    </row>
    <row r="11" spans="1:44" s="7" customFormat="1" x14ac:dyDescent="0.2">
      <c r="C11" s="39"/>
      <c r="D11" s="39"/>
      <c r="E11" s="39">
        <v>104</v>
      </c>
      <c r="F11" s="39" t="s">
        <v>2216</v>
      </c>
      <c r="G11" s="39" t="str">
        <f>VLOOKUP(E11,Mapping!$E$11:$G$96,3,0)</f>
        <v>Connections</v>
      </c>
      <c r="H11" s="39" t="str">
        <f>VLOOKUP(E11,Mapping!$E$11:$K$96,7,0)</f>
        <v>SCS</v>
      </c>
      <c r="I11" s="39"/>
      <c r="J11" s="49">
        <f>SUMPRODUCT(--('Input|Historical Data'!$Q$9:$Q$2561=$E11),--('Input|Historical Data'!$AA$9:$AA$2561="SCS"),--('Input|Historical Data'!$Y$9:$Y$2561=J$5),'Input|Historical Data'!$U$9:$U$2561)</f>
        <v>0.26301999999999998</v>
      </c>
      <c r="K11" s="49">
        <f>SUMPRODUCT(--('Input|Historical Data'!$Q$9:$Q$2561=$E11),--('Input|Historical Data'!$AA$9:$AA$2561="SCS"),--('Input|Historical Data'!$Z$9:$Z$2561=K$5),'Input|Historical Data'!$U$9:$U$2561)</f>
        <v>0.24879999999999999</v>
      </c>
      <c r="L11" s="49">
        <f>SUMPRODUCT(--('Input|Historical Data'!$Q$9:$Q$2561=$E11),--('Input|Historical Data'!$AA$9:$AA$2561="SCS"),--('Input|Historical Data'!$Z$9:$Z$2561=L$5),'Input|Historical Data'!$U$9:$U$2561)</f>
        <v>0</v>
      </c>
      <c r="M11" s="49">
        <f>SUMPRODUCT(--('Input|Historical Data'!$Q$9:$Q$2561=$E11),--('Input|Historical Data'!$AA$9:$AA$2561="SCS"),--('Input|Historical Data'!$Z$9:$Z$2561=M$5),'Input|Historical Data'!$U$9:$U$2561)</f>
        <v>0</v>
      </c>
      <c r="N11" s="49">
        <f>SUMPRODUCT(--('Input|Historical Data'!$Q$9:$Q$2561=$E11),--('Input|Historical Data'!$AA$9:$AA$2561="SCS"),--('Input|Historical Data'!$Y$9:$Y$2561=N$5),'Input|Historical Data'!$U$9:$U$2561)</f>
        <v>5.1209999999999999E-2</v>
      </c>
      <c r="O11" s="50">
        <f t="shared" si="5"/>
        <v>1</v>
      </c>
      <c r="P11" s="50">
        <f t="shared" si="6"/>
        <v>0</v>
      </c>
      <c r="Q11" s="50">
        <f t="shared" si="7"/>
        <v>0</v>
      </c>
      <c r="R11" s="50">
        <f t="shared" si="8"/>
        <v>0.19470002281195348</v>
      </c>
      <c r="S11" s="39"/>
      <c r="T11" s="49">
        <f>SUMPRODUCT(--('Input|Historical Data'!$AC$9:$AC$2668=$E11),--('Input|Historical Data'!$AM$9:$AM$2668="SCS"),--('Input|Historical Data'!$AK$9:$AK$2668=T$5),'Input|Historical Data'!$AG$9:$AG$2668)</f>
        <v>137.68698999999998</v>
      </c>
      <c r="U11" s="49">
        <f>SUMPRODUCT(--('Input|Historical Data'!$AC$9:$AC$2668=$E11),--('Input|Historical Data'!$AM$9:$AM$2668="SCS"),--('Input|Historical Data'!$AL$9:$AL$2668=U$5),'Input|Historical Data'!$AG$9:$AG$2668)</f>
        <v>16.192489999999999</v>
      </c>
      <c r="V11" s="49">
        <f>SUMPRODUCT(--('Input|Historical Data'!$AC$9:$AC$2668=$E11),--('Input|Historical Data'!$AM$9:$AM$2668="SCS"),--('Input|Historical Data'!$AL$9:$AL$2668=V$5),'Input|Historical Data'!$AG$9:$AG$2668)</f>
        <v>30.231100000000001</v>
      </c>
      <c r="W11" s="49">
        <f>SUMPRODUCT(--('Input|Historical Data'!$AC$9:$AC$2668=$E11),--('Input|Historical Data'!$AM$9:$AM$2668="SCS"),--('Input|Historical Data'!$AL$9:$AL$2668=W$5),'Input|Historical Data'!$AG$9:$AG$2668)</f>
        <v>87.111930000000001</v>
      </c>
      <c r="X11" s="49">
        <f>SUMPRODUCT(--('Input|Historical Data'!$AC$9:$AC$2668=$E11),--('Input|Historical Data'!$AM$9:$AM$2668="SCS"),--('Input|Historical Data'!$AK$9:$AK$2668=X$5),'Input|Historical Data'!$AG$9:$AG$2668)</f>
        <v>22.48798</v>
      </c>
      <c r="Y11" s="50">
        <f t="shared" si="9"/>
        <v>0.12125979664436845</v>
      </c>
      <c r="Z11" s="50">
        <f t="shared" si="10"/>
        <v>0.2263899522763681</v>
      </c>
      <c r="AA11" s="50">
        <f t="shared" si="11"/>
        <v>0.65235025107926337</v>
      </c>
      <c r="AB11" s="50">
        <f t="shared" si="12"/>
        <v>0.16332683284019792</v>
      </c>
      <c r="AC11" s="39"/>
      <c r="AD11" s="49">
        <f>SUMPRODUCT(--('Input|Historical Data'!$AO$9:$AO$2668=$E11),--('Input|Historical Data'!$AY$9:$AY$2668="SCS"),--('Input|Historical Data'!$AW$9:$AW$2668=AD$5),'Input|Historical Data'!$AS$9:$AS$2668)</f>
        <v>12.947660000000001</v>
      </c>
      <c r="AE11" s="49">
        <f>SUMPRODUCT(--('Input|Historical Data'!$AO$9:$AO$2668=$E11),--('Input|Historical Data'!$AY$9:$AY$2668="SCS"),--('Input|Historical Data'!$AX$9:$AX$2668=AE$5),'Input|Historical Data'!$AS$9:$AS$2668)</f>
        <v>0.61451999999999996</v>
      </c>
      <c r="AF11" s="49">
        <f>SUMPRODUCT(--('Input|Historical Data'!$AO$9:$AO$2668=$E11),--('Input|Historical Data'!$AY$9:$AY$2668="SCS"),--('Input|Historical Data'!$AX$9:$AX$2668=AF$5),'Input|Historical Data'!$AS$9:$AS$2668)</f>
        <v>0</v>
      </c>
      <c r="AG11" s="49">
        <f>SUMPRODUCT(--('Input|Historical Data'!$AO$9:$AO$2668=$E11),--('Input|Historical Data'!$AY$9:$AY$2668="SCS"),--('Input|Historical Data'!$AX$9:$AX$2668=AG$5),'Input|Historical Data'!$AS$9:$AS$2668)</f>
        <v>11.607510000000001</v>
      </c>
      <c r="AH11" s="49">
        <f>SUMPRODUCT(--('Input|Historical Data'!$AO$9:$AO$2668=$E11),--('Input|Historical Data'!$AY$9:$AY$2668="SCS"),--('Input|Historical Data'!$AW$9:$AW$2668=AH$5),'Input|Historical Data'!$AS$9:$AS$2668)</f>
        <v>2.04718</v>
      </c>
      <c r="AI11" s="50">
        <f t="shared" si="13"/>
        <v>5.027969985346132E-2</v>
      </c>
      <c r="AJ11" s="50">
        <f t="shared" si="2"/>
        <v>0</v>
      </c>
      <c r="AK11" s="50">
        <f t="shared" si="3"/>
        <v>0.94972030014653863</v>
      </c>
      <c r="AL11" s="50">
        <f t="shared" si="14"/>
        <v>0.15811196772235292</v>
      </c>
      <c r="AM11" s="39"/>
      <c r="AN11" s="50">
        <f t="shared" si="15"/>
        <v>0.11681553576265688</v>
      </c>
      <c r="AO11" s="50">
        <f t="shared" si="16"/>
        <v>0.20705332336573035</v>
      </c>
      <c r="AP11" s="50">
        <f t="shared" si="17"/>
        <v>0.67613114087161286</v>
      </c>
      <c r="AQ11" s="50">
        <f t="shared" si="18"/>
        <v>0.16293405988309828</v>
      </c>
      <c r="AR11" s="45"/>
    </row>
    <row r="12" spans="1:44" s="7" customFormat="1" x14ac:dyDescent="0.2">
      <c r="C12" s="39"/>
      <c r="D12" s="39"/>
      <c r="E12" s="39">
        <v>105</v>
      </c>
      <c r="F12" s="39" t="s">
        <v>2217</v>
      </c>
      <c r="G12" s="39" t="str">
        <f>VLOOKUP(E12,Mapping!$E$11:$G$96,3,0)</f>
        <v>Connections</v>
      </c>
      <c r="H12" s="39" t="str">
        <f>VLOOKUP(E12,Mapping!$E$11:$K$96,7,0)</f>
        <v>SCS</v>
      </c>
      <c r="I12" s="39"/>
      <c r="J12" s="49">
        <f>SUMPRODUCT(--('Input|Historical Data'!$Q$9:$Q$2561=$E12),--('Input|Historical Data'!$AA$9:$AA$2561="SCS"),--('Input|Historical Data'!$Y$9:$Y$2561=J$5),'Input|Historical Data'!$U$9:$U$2561)</f>
        <v>5962.4112999999998</v>
      </c>
      <c r="K12" s="49">
        <f>SUMPRODUCT(--('Input|Historical Data'!$Q$9:$Q$2561=$E12),--('Input|Historical Data'!$AA$9:$AA$2561="SCS"),--('Input|Historical Data'!$Z$9:$Z$2561=K$5),'Input|Historical Data'!$U$9:$U$2561)</f>
        <v>2471.4488199999996</v>
      </c>
      <c r="L12" s="49">
        <f>SUMPRODUCT(--('Input|Historical Data'!$Q$9:$Q$2561=$E12),--('Input|Historical Data'!$AA$9:$AA$2561="SCS"),--('Input|Historical Data'!$Z$9:$Z$2561=L$5),'Input|Historical Data'!$U$9:$U$2561)</f>
        <v>605.45875000000001</v>
      </c>
      <c r="M12" s="49">
        <f>SUMPRODUCT(--('Input|Historical Data'!$Q$9:$Q$2561=$E12),--('Input|Historical Data'!$AA$9:$AA$2561="SCS"),--('Input|Historical Data'!$Z$9:$Z$2561=M$5),'Input|Historical Data'!$U$9:$U$2561)</f>
        <v>2596.0827300000001</v>
      </c>
      <c r="N12" s="49">
        <f>SUMPRODUCT(--('Input|Historical Data'!$Q$9:$Q$2561=$E12),--('Input|Historical Data'!$AA$9:$AA$2561="SCS"),--('Input|Historical Data'!$Y$9:$Y$2561=N$5),'Input|Historical Data'!$U$9:$U$2561)</f>
        <v>1005.3783299999999</v>
      </c>
      <c r="O12" s="50">
        <f t="shared" si="5"/>
        <v>0.43565186776363779</v>
      </c>
      <c r="P12" s="50">
        <f t="shared" si="6"/>
        <v>0.10672656182754271</v>
      </c>
      <c r="Q12" s="50">
        <f t="shared" si="7"/>
        <v>0.45762157040881957</v>
      </c>
      <c r="R12" s="50">
        <f t="shared" si="8"/>
        <v>0.16861941912662079</v>
      </c>
      <c r="S12" s="39"/>
      <c r="T12" s="49">
        <f>SUMPRODUCT(--('Input|Historical Data'!$AC$9:$AC$2668=$E12),--('Input|Historical Data'!$AM$9:$AM$2668="SCS"),--('Input|Historical Data'!$AK$9:$AK$2668=T$5),'Input|Historical Data'!$AG$9:$AG$2668)</f>
        <v>6666.4311699999989</v>
      </c>
      <c r="U12" s="49">
        <f>SUMPRODUCT(--('Input|Historical Data'!$AC$9:$AC$2668=$E12),--('Input|Historical Data'!$AM$9:$AM$2668="SCS"),--('Input|Historical Data'!$AL$9:$AL$2668=U$5),'Input|Historical Data'!$AG$9:$AG$2668)</f>
        <v>2370.3331399999993</v>
      </c>
      <c r="V12" s="49">
        <f>SUMPRODUCT(--('Input|Historical Data'!$AC$9:$AC$2668=$E12),--('Input|Historical Data'!$AM$9:$AM$2668="SCS"),--('Input|Historical Data'!$AL$9:$AL$2668=V$5),'Input|Historical Data'!$AG$9:$AG$2668)</f>
        <v>850.12004999999999</v>
      </c>
      <c r="W12" s="49">
        <f>SUMPRODUCT(--('Input|Historical Data'!$AC$9:$AC$2668=$E12),--('Input|Historical Data'!$AM$9:$AM$2668="SCS"),--('Input|Historical Data'!$AL$9:$AL$2668=W$5),'Input|Historical Data'!$AG$9:$AG$2668)</f>
        <v>3120.7392600000003</v>
      </c>
      <c r="X12" s="49">
        <f>SUMPRODUCT(--('Input|Historical Data'!$AC$9:$AC$2668=$E12),--('Input|Historical Data'!$AM$9:$AM$2668="SCS"),--('Input|Historical Data'!$AK$9:$AK$2668=X$5),'Input|Historical Data'!$AG$9:$AG$2668)</f>
        <v>1171.3370199999999</v>
      </c>
      <c r="Y12" s="50">
        <f t="shared" si="9"/>
        <v>0.37379927492974913</v>
      </c>
      <c r="Z12" s="50">
        <f t="shared" si="10"/>
        <v>0.1340631208882487</v>
      </c>
      <c r="AA12" s="50">
        <f t="shared" si="11"/>
        <v>0.49213760418200214</v>
      </c>
      <c r="AB12" s="50">
        <f t="shared" si="12"/>
        <v>0.17570675975343492</v>
      </c>
      <c r="AC12" s="39"/>
      <c r="AD12" s="49">
        <f>SUMPRODUCT(--('Input|Historical Data'!$AO$9:$AO$2668=$E12),--('Input|Historical Data'!$AY$9:$AY$2668="SCS"),--('Input|Historical Data'!$AW$9:$AW$2668=AD$5),'Input|Historical Data'!$AS$9:$AS$2668)</f>
        <v>6770.0460099999991</v>
      </c>
      <c r="AE12" s="49">
        <f>SUMPRODUCT(--('Input|Historical Data'!$AO$9:$AO$2668=$E12),--('Input|Historical Data'!$AY$9:$AY$2668="SCS"),--('Input|Historical Data'!$AX$9:$AX$2668=AE$5),'Input|Historical Data'!$AS$9:$AS$2668)</f>
        <v>2228.4786900000004</v>
      </c>
      <c r="AF12" s="49">
        <f>SUMPRODUCT(--('Input|Historical Data'!$AO$9:$AO$2668=$E12),--('Input|Historical Data'!$AY$9:$AY$2668="SCS"),--('Input|Historical Data'!$AX$9:$AX$2668=AF$5),'Input|Historical Data'!$AS$9:$AS$2668)</f>
        <v>900.70199999999988</v>
      </c>
      <c r="AG12" s="49">
        <f>SUMPRODUCT(--('Input|Historical Data'!$AO$9:$AO$2668=$E12),--('Input|Historical Data'!$AY$9:$AY$2668="SCS"),--('Input|Historical Data'!$AX$9:$AX$2668=AG$5),'Input|Historical Data'!$AS$9:$AS$2668)</f>
        <v>3329.6444599999991</v>
      </c>
      <c r="AH12" s="49">
        <f>SUMPRODUCT(--('Input|Historical Data'!$AO$9:$AO$2668=$E12),--('Input|Historical Data'!$AY$9:$AY$2668="SCS"),--('Input|Historical Data'!$AW$9:$AW$2668=AH$5),'Input|Historical Data'!$AS$9:$AS$2668)</f>
        <v>991.87023999999997</v>
      </c>
      <c r="AI12" s="50">
        <f t="shared" si="13"/>
        <v>0.34502849020460025</v>
      </c>
      <c r="AJ12" s="50">
        <f t="shared" si="2"/>
        <v>0.13945291582943689</v>
      </c>
      <c r="AK12" s="50">
        <f t="shared" si="3"/>
        <v>0.51551859396596289</v>
      </c>
      <c r="AL12" s="50">
        <f t="shared" si="14"/>
        <v>0.14650864093610497</v>
      </c>
      <c r="AM12" s="39"/>
      <c r="AN12" s="50">
        <f t="shared" si="15"/>
        <v>0.38273467365322783</v>
      </c>
      <c r="AO12" s="50">
        <f t="shared" si="16"/>
        <v>0.12755263315834994</v>
      </c>
      <c r="AP12" s="50">
        <f t="shared" si="17"/>
        <v>0.48971269318842231</v>
      </c>
      <c r="AQ12" s="50">
        <f t="shared" si="18"/>
        <v>0.16333851257853099</v>
      </c>
      <c r="AR12" s="45"/>
    </row>
    <row r="13" spans="1:44" s="7" customFormat="1" x14ac:dyDescent="0.2">
      <c r="C13" s="39"/>
      <c r="D13" s="39"/>
      <c r="E13" s="39">
        <v>106</v>
      </c>
      <c r="F13" s="39" t="s">
        <v>2218</v>
      </c>
      <c r="G13" s="39" t="str">
        <f>VLOOKUP(E13,Mapping!$E$11:$G$96,3,0)</f>
        <v>Connections</v>
      </c>
      <c r="H13" s="39" t="str">
        <f>VLOOKUP(E13,Mapping!$E$11:$K$96,7,0)</f>
        <v>SCS</v>
      </c>
      <c r="I13" s="39"/>
      <c r="J13" s="49">
        <f>SUMPRODUCT(--('Input|Historical Data'!$Q$9:$Q$2561=$E13),--('Input|Historical Data'!$AA$9:$AA$2561="SCS"),--('Input|Historical Data'!$Y$9:$Y$2561=J$5),'Input|Historical Data'!$U$9:$U$2561)</f>
        <v>8676.2001000000055</v>
      </c>
      <c r="K13" s="49">
        <f>SUMPRODUCT(--('Input|Historical Data'!$Q$9:$Q$2561=$E13),--('Input|Historical Data'!$AA$9:$AA$2561="SCS"),--('Input|Historical Data'!$Z$9:$Z$2561=K$5),'Input|Historical Data'!$U$9:$U$2561)</f>
        <v>2032.45658</v>
      </c>
      <c r="L13" s="49">
        <f>SUMPRODUCT(--('Input|Historical Data'!$Q$9:$Q$2561=$E13),--('Input|Historical Data'!$AA$9:$AA$2561="SCS"),--('Input|Historical Data'!$Z$9:$Z$2561=L$5),'Input|Historical Data'!$U$9:$U$2561)</f>
        <v>1764.2627299999999</v>
      </c>
      <c r="M13" s="49">
        <f>SUMPRODUCT(--('Input|Historical Data'!$Q$9:$Q$2561=$E13),--('Input|Historical Data'!$AA$9:$AA$2561="SCS"),--('Input|Historical Data'!$Z$9:$Z$2561=M$5),'Input|Historical Data'!$U$9:$U$2561)</f>
        <v>4524.0613200000007</v>
      </c>
      <c r="N13" s="49">
        <f>SUMPRODUCT(--('Input|Historical Data'!$Q$9:$Q$2561=$E13),--('Input|Historical Data'!$AA$9:$AA$2561="SCS"),--('Input|Historical Data'!$Y$9:$Y$2561=N$5),'Input|Historical Data'!$U$9:$U$2561)</f>
        <v>1444.1447000000001</v>
      </c>
      <c r="O13" s="50">
        <f t="shared" si="5"/>
        <v>0.2442627285079621</v>
      </c>
      <c r="P13" s="50">
        <f t="shared" si="6"/>
        <v>0.21203091494072951</v>
      </c>
      <c r="Q13" s="50">
        <f t="shared" si="7"/>
        <v>0.54370635655130839</v>
      </c>
      <c r="R13" s="50">
        <f t="shared" si="8"/>
        <v>0.16644898496520374</v>
      </c>
      <c r="S13" s="39"/>
      <c r="T13" s="49">
        <f>SUMPRODUCT(--('Input|Historical Data'!$AC$9:$AC$2668=$E13),--('Input|Historical Data'!$AM$9:$AM$2668="SCS"),--('Input|Historical Data'!$AK$9:$AK$2668=T$5),'Input|Historical Data'!$AG$9:$AG$2668)</f>
        <v>7419.8683900000024</v>
      </c>
      <c r="U13" s="49">
        <f>SUMPRODUCT(--('Input|Historical Data'!$AC$9:$AC$2668=$E13),--('Input|Historical Data'!$AM$9:$AM$2668="SCS"),--('Input|Historical Data'!$AL$9:$AL$2668=U$5),'Input|Historical Data'!$AG$9:$AG$2668)</f>
        <v>1975.35805</v>
      </c>
      <c r="V13" s="49">
        <f>SUMPRODUCT(--('Input|Historical Data'!$AC$9:$AC$2668=$E13),--('Input|Historical Data'!$AM$9:$AM$2668="SCS"),--('Input|Historical Data'!$AL$9:$AL$2668=V$5),'Input|Historical Data'!$AG$9:$AG$2668)</f>
        <v>1310.98739</v>
      </c>
      <c r="W13" s="49">
        <f>SUMPRODUCT(--('Input|Historical Data'!$AC$9:$AC$2668=$E13),--('Input|Historical Data'!$AM$9:$AM$2668="SCS"),--('Input|Historical Data'!$AL$9:$AL$2668=W$5),'Input|Historical Data'!$AG$9:$AG$2668)</f>
        <v>3793.91453</v>
      </c>
      <c r="X13" s="49">
        <f>SUMPRODUCT(--('Input|Historical Data'!$AC$9:$AC$2668=$E13),--('Input|Historical Data'!$AM$9:$AM$2668="SCS"),--('Input|Historical Data'!$AK$9:$AK$2668=X$5),'Input|Historical Data'!$AG$9:$AG$2668)</f>
        <v>1285.94139</v>
      </c>
      <c r="Y13" s="50">
        <f t="shared" si="9"/>
        <v>0.27899512989210196</v>
      </c>
      <c r="Z13" s="50">
        <f t="shared" si="10"/>
        <v>0.18516091154206588</v>
      </c>
      <c r="AA13" s="50">
        <f t="shared" si="11"/>
        <v>0.53584395856583211</v>
      </c>
      <c r="AB13" s="50">
        <f t="shared" si="12"/>
        <v>0.17331053900270049</v>
      </c>
      <c r="AC13" s="39"/>
      <c r="AD13" s="49">
        <f>SUMPRODUCT(--('Input|Historical Data'!$AO$9:$AO$2668=$E13),--('Input|Historical Data'!$AY$9:$AY$2668="SCS"),--('Input|Historical Data'!$AW$9:$AW$2668=AD$5),'Input|Historical Data'!$AS$9:$AS$2668)</f>
        <v>10110.601899999998</v>
      </c>
      <c r="AE13" s="49">
        <f>SUMPRODUCT(--('Input|Historical Data'!$AO$9:$AO$2668=$E13),--('Input|Historical Data'!$AY$9:$AY$2668="SCS"),--('Input|Historical Data'!$AX$9:$AX$2668=AE$5),'Input|Historical Data'!$AS$9:$AS$2668)</f>
        <v>2126.3408999999997</v>
      </c>
      <c r="AF13" s="49">
        <f>SUMPRODUCT(--('Input|Historical Data'!$AO$9:$AO$2668=$E13),--('Input|Historical Data'!$AY$9:$AY$2668="SCS"),--('Input|Historical Data'!$AX$9:$AX$2668=AF$5),'Input|Historical Data'!$AS$9:$AS$2668)</f>
        <v>1534.69031</v>
      </c>
      <c r="AG13" s="49">
        <f>SUMPRODUCT(--('Input|Historical Data'!$AO$9:$AO$2668=$E13),--('Input|Historical Data'!$AY$9:$AY$2668="SCS"),--('Input|Historical Data'!$AX$9:$AX$2668=AG$5),'Input|Historical Data'!$AS$9:$AS$2668)</f>
        <v>5989.0782200000003</v>
      </c>
      <c r="AH13" s="49">
        <f>SUMPRODUCT(--('Input|Historical Data'!$AO$9:$AO$2668=$E13),--('Input|Historical Data'!$AY$9:$AY$2668="SCS"),--('Input|Historical Data'!$AW$9:$AW$2668=AH$5),'Input|Historical Data'!$AS$9:$AS$2668)</f>
        <v>1481.82305</v>
      </c>
      <c r="AI13" s="50">
        <f t="shared" si="13"/>
        <v>0.22034370857906424</v>
      </c>
      <c r="AJ13" s="50">
        <f t="shared" si="2"/>
        <v>0.15903346186199671</v>
      </c>
      <c r="AK13" s="50">
        <f t="shared" si="3"/>
        <v>0.62062282955893899</v>
      </c>
      <c r="AL13" s="50">
        <f t="shared" si="14"/>
        <v>0.14656130907498199</v>
      </c>
      <c r="AM13" s="39"/>
      <c r="AN13" s="50">
        <f t="shared" si="15"/>
        <v>0.24486522665243085</v>
      </c>
      <c r="AO13" s="50">
        <f t="shared" si="16"/>
        <v>0.18402110978854727</v>
      </c>
      <c r="AP13" s="50">
        <f t="shared" si="17"/>
        <v>0.57111366355902193</v>
      </c>
      <c r="AQ13" s="50">
        <f t="shared" si="18"/>
        <v>0.16071897258673457</v>
      </c>
      <c r="AR13" s="45"/>
    </row>
    <row r="14" spans="1:44" s="7" customFormat="1" x14ac:dyDescent="0.2">
      <c r="C14" s="39"/>
      <c r="D14" s="39"/>
      <c r="E14" s="39">
        <v>107</v>
      </c>
      <c r="F14" s="39" t="s">
        <v>2219</v>
      </c>
      <c r="G14" s="39" t="str">
        <f>VLOOKUP(E14,Mapping!$E$11:$G$96,3,0)</f>
        <v>Connections</v>
      </c>
      <c r="H14" s="39" t="str">
        <f>VLOOKUP(E14,Mapping!$E$11:$K$96,7,0)</f>
        <v>SCS</v>
      </c>
      <c r="I14" s="39"/>
      <c r="J14" s="49">
        <f>SUMPRODUCT(--('Input|Historical Data'!$Q$9:$Q$2561=$E14),--('Input|Historical Data'!$AA$9:$AA$2561="SCS"),--('Input|Historical Data'!$Y$9:$Y$2561=J$5),'Input|Historical Data'!$U$9:$U$2561)</f>
        <v>4049.0620100000006</v>
      </c>
      <c r="K14" s="49">
        <f>SUMPRODUCT(--('Input|Historical Data'!$Q$9:$Q$2561=$E14),--('Input|Historical Data'!$AA$9:$AA$2561="SCS"),--('Input|Historical Data'!$Z$9:$Z$2561=K$5),'Input|Historical Data'!$U$9:$U$2561)</f>
        <v>741.37492999999995</v>
      </c>
      <c r="L14" s="49">
        <f>SUMPRODUCT(--('Input|Historical Data'!$Q$9:$Q$2561=$E14),--('Input|Historical Data'!$AA$9:$AA$2561="SCS"),--('Input|Historical Data'!$Z$9:$Z$2561=L$5),'Input|Historical Data'!$U$9:$U$2561)</f>
        <v>389.07701000000003</v>
      </c>
      <c r="M14" s="49">
        <f>SUMPRODUCT(--('Input|Historical Data'!$Q$9:$Q$2561=$E14),--('Input|Historical Data'!$AA$9:$AA$2561="SCS"),--('Input|Historical Data'!$Z$9:$Z$2561=M$5),'Input|Historical Data'!$U$9:$U$2561)</f>
        <v>2736.6194299999997</v>
      </c>
      <c r="N14" s="49">
        <f>SUMPRODUCT(--('Input|Historical Data'!$Q$9:$Q$2561=$E14),--('Input|Historical Data'!$AA$9:$AA$2561="SCS"),--('Input|Historical Data'!$Y$9:$Y$2561=N$5),'Input|Historical Data'!$U$9:$U$2561)</f>
        <v>679.67791</v>
      </c>
      <c r="O14" s="50">
        <f t="shared" si="5"/>
        <v>0.19171482992308983</v>
      </c>
      <c r="P14" s="50">
        <f t="shared" si="6"/>
        <v>0.10061283404759092</v>
      </c>
      <c r="Q14" s="50">
        <f t="shared" si="7"/>
        <v>0.70767233602931923</v>
      </c>
      <c r="R14" s="50">
        <f t="shared" si="8"/>
        <v>0.16786058309835564</v>
      </c>
      <c r="S14" s="39"/>
      <c r="T14" s="49">
        <f>SUMPRODUCT(--('Input|Historical Data'!$AC$9:$AC$2668=$E14),--('Input|Historical Data'!$AM$9:$AM$2668="SCS"),--('Input|Historical Data'!$AK$9:$AK$2668=T$5),'Input|Historical Data'!$AG$9:$AG$2668)</f>
        <v>2428.190399999999</v>
      </c>
      <c r="U14" s="49">
        <f>SUMPRODUCT(--('Input|Historical Data'!$AC$9:$AC$2668=$E14),--('Input|Historical Data'!$AM$9:$AM$2668="SCS"),--('Input|Historical Data'!$AL$9:$AL$2668=U$5),'Input|Historical Data'!$AG$9:$AG$2668)</f>
        <v>538.35011999999995</v>
      </c>
      <c r="V14" s="49">
        <f>SUMPRODUCT(--('Input|Historical Data'!$AC$9:$AC$2668=$E14),--('Input|Historical Data'!$AM$9:$AM$2668="SCS"),--('Input|Historical Data'!$AL$9:$AL$2668=V$5),'Input|Historical Data'!$AG$9:$AG$2668)</f>
        <v>655.51864999999998</v>
      </c>
      <c r="W14" s="49">
        <f>SUMPRODUCT(--('Input|Historical Data'!$AC$9:$AC$2668=$E14),--('Input|Historical Data'!$AM$9:$AM$2668="SCS"),--('Input|Historical Data'!$AL$9:$AL$2668=W$5),'Input|Historical Data'!$AG$9:$AG$2668)</f>
        <v>1139.1541400000001</v>
      </c>
      <c r="X14" s="49">
        <f>SUMPRODUCT(--('Input|Historical Data'!$AC$9:$AC$2668=$E14),--('Input|Historical Data'!$AM$9:$AM$2668="SCS"),--('Input|Historical Data'!$AK$9:$AK$2668=X$5),'Input|Historical Data'!$AG$9:$AG$2668)</f>
        <v>409.05009999999999</v>
      </c>
      <c r="Y14" s="50">
        <f t="shared" si="9"/>
        <v>0.23075217894024019</v>
      </c>
      <c r="Z14" s="50">
        <f t="shared" si="10"/>
        <v>0.28097394465792019</v>
      </c>
      <c r="AA14" s="50">
        <f t="shared" si="11"/>
        <v>0.48827387640183956</v>
      </c>
      <c r="AB14" s="50">
        <f t="shared" si="12"/>
        <v>0.16845882431624809</v>
      </c>
      <c r="AC14" s="39"/>
      <c r="AD14" s="49">
        <f>SUMPRODUCT(--('Input|Historical Data'!$AO$9:$AO$2668=$E14),--('Input|Historical Data'!$AY$9:$AY$2668="SCS"),--('Input|Historical Data'!$AW$9:$AW$2668=AD$5),'Input|Historical Data'!$AS$9:$AS$2668)</f>
        <v>1369.54179</v>
      </c>
      <c r="AE14" s="49">
        <f>SUMPRODUCT(--('Input|Historical Data'!$AO$9:$AO$2668=$E14),--('Input|Historical Data'!$AY$9:$AY$2668="SCS"),--('Input|Historical Data'!$AX$9:$AX$2668=AE$5),'Input|Historical Data'!$AS$9:$AS$2668)</f>
        <v>369.79303000000004</v>
      </c>
      <c r="AF14" s="49">
        <f>SUMPRODUCT(--('Input|Historical Data'!$AO$9:$AO$2668=$E14),--('Input|Historical Data'!$AY$9:$AY$2668="SCS"),--('Input|Historical Data'!$AX$9:$AX$2668=AF$5),'Input|Historical Data'!$AS$9:$AS$2668)</f>
        <v>185.67753000000002</v>
      </c>
      <c r="AG14" s="49">
        <f>SUMPRODUCT(--('Input|Historical Data'!$AO$9:$AO$2668=$E14),--('Input|Historical Data'!$AY$9:$AY$2668="SCS"),--('Input|Historical Data'!$AX$9:$AX$2668=AG$5),'Input|Historical Data'!$AS$9:$AS$2668)</f>
        <v>754.03354000000013</v>
      </c>
      <c r="AH14" s="49">
        <f>SUMPRODUCT(--('Input|Historical Data'!$AO$9:$AO$2668=$E14),--('Input|Historical Data'!$AY$9:$AY$2668="SCS"),--('Input|Historical Data'!$AW$9:$AW$2668=AH$5),'Input|Historical Data'!$AS$9:$AS$2668)</f>
        <v>178.98361</v>
      </c>
      <c r="AI14" s="50">
        <f t="shared" si="13"/>
        <v>0.28239165497839985</v>
      </c>
      <c r="AJ14" s="50">
        <f t="shared" si="2"/>
        <v>0.14179224792041506</v>
      </c>
      <c r="AK14" s="50">
        <f t="shared" si="3"/>
        <v>0.5758160971011852</v>
      </c>
      <c r="AL14" s="50">
        <f t="shared" si="14"/>
        <v>0.13068868092006158</v>
      </c>
      <c r="AM14" s="39"/>
      <c r="AN14" s="50">
        <f t="shared" si="15"/>
        <v>0.21965463351450229</v>
      </c>
      <c r="AO14" s="50">
        <f t="shared" si="16"/>
        <v>0.16382676246396016</v>
      </c>
      <c r="AP14" s="50">
        <f t="shared" si="17"/>
        <v>0.61651860402153758</v>
      </c>
      <c r="AQ14" s="50">
        <f t="shared" si="18"/>
        <v>0.16155790348114396</v>
      </c>
      <c r="AR14" s="45"/>
    </row>
    <row r="15" spans="1:44" s="7" customFormat="1" x14ac:dyDescent="0.2">
      <c r="C15" s="39"/>
      <c r="D15" s="39"/>
      <c r="E15" s="39">
        <v>108</v>
      </c>
      <c r="F15" s="39" t="s">
        <v>2220</v>
      </c>
      <c r="G15" s="39" t="str">
        <f>VLOOKUP(E15,Mapping!$E$11:$G$96,3,0)</f>
        <v>Connections</v>
      </c>
      <c r="H15" s="39" t="str">
        <f>VLOOKUP(E15,Mapping!$E$11:$K$96,7,0)</f>
        <v>SCS</v>
      </c>
      <c r="I15" s="39"/>
      <c r="J15" s="49">
        <f>SUMPRODUCT(--('Input|Historical Data'!$Q$9:$Q$2561=$E15),--('Input|Historical Data'!$AA$9:$AA$2561="SCS"),--('Input|Historical Data'!$Y$9:$Y$2561=J$5),'Input|Historical Data'!$U$9:$U$2561)</f>
        <v>0</v>
      </c>
      <c r="K15" s="49">
        <f>SUMPRODUCT(--('Input|Historical Data'!$Q$9:$Q$2561=$E15),--('Input|Historical Data'!$AA$9:$AA$2561="SCS"),--('Input|Historical Data'!$Z$9:$Z$2561=K$5),'Input|Historical Data'!$U$9:$U$2561)</f>
        <v>0</v>
      </c>
      <c r="L15" s="49">
        <f>SUMPRODUCT(--('Input|Historical Data'!$Q$9:$Q$2561=$E15),--('Input|Historical Data'!$AA$9:$AA$2561="SCS"),--('Input|Historical Data'!$Z$9:$Z$2561=L$5),'Input|Historical Data'!$U$9:$U$2561)</f>
        <v>0</v>
      </c>
      <c r="M15" s="49">
        <f>SUMPRODUCT(--('Input|Historical Data'!$Q$9:$Q$2561=$E15),--('Input|Historical Data'!$AA$9:$AA$2561="SCS"),--('Input|Historical Data'!$Z$9:$Z$2561=M$5),'Input|Historical Data'!$U$9:$U$2561)</f>
        <v>0</v>
      </c>
      <c r="N15" s="49">
        <f>SUMPRODUCT(--('Input|Historical Data'!$Q$9:$Q$2561=$E15),--('Input|Historical Data'!$AA$9:$AA$2561="SCS"),--('Input|Historical Data'!$Y$9:$Y$2561=N$5),'Input|Historical Data'!$U$9:$U$2561)</f>
        <v>0</v>
      </c>
      <c r="O15" s="50">
        <f t="shared" si="5"/>
        <v>0</v>
      </c>
      <c r="P15" s="50">
        <f t="shared" si="6"/>
        <v>0</v>
      </c>
      <c r="Q15" s="50">
        <f t="shared" si="7"/>
        <v>0</v>
      </c>
      <c r="R15" s="50">
        <f t="shared" si="8"/>
        <v>0</v>
      </c>
      <c r="S15" s="39"/>
      <c r="T15" s="49">
        <f>SUMPRODUCT(--('Input|Historical Data'!$AC$9:$AC$2668=$E15),--('Input|Historical Data'!$AM$9:$AM$2668="SCS"),--('Input|Historical Data'!$AK$9:$AK$2668=T$5),'Input|Historical Data'!$AG$9:$AG$2668)</f>
        <v>0</v>
      </c>
      <c r="U15" s="49">
        <f>SUMPRODUCT(--('Input|Historical Data'!$AC$9:$AC$2668=$E15),--('Input|Historical Data'!$AM$9:$AM$2668="SCS"),--('Input|Historical Data'!$AL$9:$AL$2668=U$5),'Input|Historical Data'!$AG$9:$AG$2668)</f>
        <v>0</v>
      </c>
      <c r="V15" s="49">
        <f>SUMPRODUCT(--('Input|Historical Data'!$AC$9:$AC$2668=$E15),--('Input|Historical Data'!$AM$9:$AM$2668="SCS"),--('Input|Historical Data'!$AL$9:$AL$2668=V$5),'Input|Historical Data'!$AG$9:$AG$2668)</f>
        <v>0</v>
      </c>
      <c r="W15" s="49">
        <f>SUMPRODUCT(--('Input|Historical Data'!$AC$9:$AC$2668=$E15),--('Input|Historical Data'!$AM$9:$AM$2668="SCS"),--('Input|Historical Data'!$AL$9:$AL$2668=W$5),'Input|Historical Data'!$AG$9:$AG$2668)</f>
        <v>0</v>
      </c>
      <c r="X15" s="49">
        <f>SUMPRODUCT(--('Input|Historical Data'!$AC$9:$AC$2668=$E15),--('Input|Historical Data'!$AM$9:$AM$2668="SCS"),--('Input|Historical Data'!$AK$9:$AK$2668=X$5),'Input|Historical Data'!$AG$9:$AG$2668)</f>
        <v>0</v>
      </c>
      <c r="Y15" s="50">
        <f t="shared" si="9"/>
        <v>0</v>
      </c>
      <c r="Z15" s="50">
        <f t="shared" si="10"/>
        <v>0</v>
      </c>
      <c r="AA15" s="50">
        <f t="shared" si="11"/>
        <v>0</v>
      </c>
      <c r="AB15" s="50">
        <f t="shared" si="12"/>
        <v>0</v>
      </c>
      <c r="AC15" s="39"/>
      <c r="AD15" s="49">
        <f>SUMPRODUCT(--('Input|Historical Data'!$AO$9:$AO$2668=$E15),--('Input|Historical Data'!$AY$9:$AY$2668="SCS"),--('Input|Historical Data'!$AW$9:$AW$2668=AD$5),'Input|Historical Data'!$AS$9:$AS$2668)</f>
        <v>0</v>
      </c>
      <c r="AE15" s="49">
        <f>SUMPRODUCT(--('Input|Historical Data'!$AO$9:$AO$2668=$E15),--('Input|Historical Data'!$AY$9:$AY$2668="SCS"),--('Input|Historical Data'!$AX$9:$AX$2668=AE$5),'Input|Historical Data'!$AS$9:$AS$2668)</f>
        <v>0</v>
      </c>
      <c r="AF15" s="49">
        <f>SUMPRODUCT(--('Input|Historical Data'!$AO$9:$AO$2668=$E15),--('Input|Historical Data'!$AY$9:$AY$2668="SCS"),--('Input|Historical Data'!$AX$9:$AX$2668=AF$5),'Input|Historical Data'!$AS$9:$AS$2668)</f>
        <v>0</v>
      </c>
      <c r="AG15" s="49">
        <f>SUMPRODUCT(--('Input|Historical Data'!$AO$9:$AO$2668=$E15),--('Input|Historical Data'!$AY$9:$AY$2668="SCS"),--('Input|Historical Data'!$AX$9:$AX$2668=AG$5),'Input|Historical Data'!$AS$9:$AS$2668)</f>
        <v>0</v>
      </c>
      <c r="AH15" s="49">
        <f>SUMPRODUCT(--('Input|Historical Data'!$AO$9:$AO$2668=$E15),--('Input|Historical Data'!$AY$9:$AY$2668="SCS"),--('Input|Historical Data'!$AW$9:$AW$2668=AH$5),'Input|Historical Data'!$AS$9:$AS$2668)</f>
        <v>0</v>
      </c>
      <c r="AI15" s="50">
        <f t="shared" si="13"/>
        <v>0</v>
      </c>
      <c r="AJ15" s="50">
        <f t="shared" si="2"/>
        <v>0</v>
      </c>
      <c r="AK15" s="50">
        <f t="shared" si="3"/>
        <v>0</v>
      </c>
      <c r="AL15" s="50">
        <f t="shared" si="14"/>
        <v>0</v>
      </c>
      <c r="AM15" s="39"/>
      <c r="AN15" s="50">
        <f t="shared" si="15"/>
        <v>0</v>
      </c>
      <c r="AO15" s="50">
        <f t="shared" si="16"/>
        <v>0</v>
      </c>
      <c r="AP15" s="50">
        <f t="shared" si="17"/>
        <v>0</v>
      </c>
      <c r="AQ15" s="50">
        <f t="shared" si="18"/>
        <v>0</v>
      </c>
      <c r="AR15" s="45"/>
    </row>
    <row r="16" spans="1:44" s="7" customFormat="1" x14ac:dyDescent="0.2">
      <c r="C16" s="39"/>
      <c r="D16" s="39"/>
      <c r="E16" s="39">
        <v>109</v>
      </c>
      <c r="F16" s="39" t="s">
        <v>2221</v>
      </c>
      <c r="G16" s="39" t="str">
        <f>VLOOKUP(E16,Mapping!$E$11:$G$96,3,0)</f>
        <v>Connections</v>
      </c>
      <c r="H16" s="39" t="str">
        <f>VLOOKUP(E16,Mapping!$E$11:$K$96,7,0)</f>
        <v>SCS</v>
      </c>
      <c r="I16" s="39"/>
      <c r="J16" s="49">
        <f>SUMPRODUCT(--('Input|Historical Data'!$Q$9:$Q$2561=$E16),--('Input|Historical Data'!$AA$9:$AA$2561="SCS"),--('Input|Historical Data'!$Y$9:$Y$2561=J$5),'Input|Historical Data'!$U$9:$U$2561)</f>
        <v>3597.7309499999997</v>
      </c>
      <c r="K16" s="49">
        <f>SUMPRODUCT(--('Input|Historical Data'!$Q$9:$Q$2561=$E16),--('Input|Historical Data'!$AA$9:$AA$2561="SCS"),--('Input|Historical Data'!$Z$9:$Z$2561=K$5),'Input|Historical Data'!$U$9:$U$2561)</f>
        <v>546.84066000000007</v>
      </c>
      <c r="L16" s="49">
        <f>SUMPRODUCT(--('Input|Historical Data'!$Q$9:$Q$2561=$E16),--('Input|Historical Data'!$AA$9:$AA$2561="SCS"),--('Input|Historical Data'!$Z$9:$Z$2561=L$5),'Input|Historical Data'!$U$9:$U$2561)</f>
        <v>42.927250000000001</v>
      </c>
      <c r="M16" s="49">
        <f>SUMPRODUCT(--('Input|Historical Data'!$Q$9:$Q$2561=$E16),--('Input|Historical Data'!$AA$9:$AA$2561="SCS"),--('Input|Historical Data'!$Z$9:$Z$2561=M$5),'Input|Historical Data'!$U$9:$U$2561)</f>
        <v>2816.0457999999999</v>
      </c>
      <c r="N16" s="49">
        <f>SUMPRODUCT(--('Input|Historical Data'!$Q$9:$Q$2561=$E16),--('Input|Historical Data'!$AA$9:$AA$2561="SCS"),--('Input|Historical Data'!$Y$9:$Y$2561=N$5),'Input|Historical Data'!$U$9:$U$2561)</f>
        <v>642.12905999999998</v>
      </c>
      <c r="O16" s="50">
        <f t="shared" si="5"/>
        <v>0.16056094271815005</v>
      </c>
      <c r="P16" s="50">
        <f t="shared" si="6"/>
        <v>1.2604109811983816E-2</v>
      </c>
      <c r="Q16" s="50">
        <f t="shared" si="7"/>
        <v>0.82683494746986619</v>
      </c>
      <c r="R16" s="50">
        <f t="shared" si="8"/>
        <v>0.17848167884816402</v>
      </c>
      <c r="S16" s="39"/>
      <c r="T16" s="49">
        <f>SUMPRODUCT(--('Input|Historical Data'!$AC$9:$AC$2668=$E16),--('Input|Historical Data'!$AM$9:$AM$2668="SCS"),--('Input|Historical Data'!$AK$9:$AK$2668=T$5),'Input|Historical Data'!$AG$9:$AG$2668)</f>
        <v>5853.801550000001</v>
      </c>
      <c r="U16" s="49">
        <f>SUMPRODUCT(--('Input|Historical Data'!$AC$9:$AC$2668=$E16),--('Input|Historical Data'!$AM$9:$AM$2668="SCS"),--('Input|Historical Data'!$AL$9:$AL$2668=U$5),'Input|Historical Data'!$AG$9:$AG$2668)</f>
        <v>505.11736999999994</v>
      </c>
      <c r="V16" s="49">
        <f>SUMPRODUCT(--('Input|Historical Data'!$AC$9:$AC$2668=$E16),--('Input|Historical Data'!$AM$9:$AM$2668="SCS"),--('Input|Historical Data'!$AL$9:$AL$2668=V$5),'Input|Historical Data'!$AG$9:$AG$2668)</f>
        <v>14.189170000000001</v>
      </c>
      <c r="W16" s="49">
        <f>SUMPRODUCT(--('Input|Historical Data'!$AC$9:$AC$2668=$E16),--('Input|Historical Data'!$AM$9:$AM$2668="SCS"),--('Input|Historical Data'!$AL$9:$AL$2668=W$5),'Input|Historical Data'!$AG$9:$AG$2668)</f>
        <v>5018.4287900000008</v>
      </c>
      <c r="X16" s="49">
        <f>SUMPRODUCT(--('Input|Historical Data'!$AC$9:$AC$2668=$E16),--('Input|Historical Data'!$AM$9:$AM$2668="SCS"),--('Input|Historical Data'!$AK$9:$AK$2668=X$5),'Input|Historical Data'!$AG$9:$AG$2668)</f>
        <v>964.31759</v>
      </c>
      <c r="Y16" s="50">
        <f t="shared" si="9"/>
        <v>9.121370739110421E-2</v>
      </c>
      <c r="Z16" s="50">
        <f t="shared" si="10"/>
        <v>2.5622694394822221E-3</v>
      </c>
      <c r="AA16" s="50">
        <f t="shared" si="11"/>
        <v>0.90622402316941364</v>
      </c>
      <c r="AB16" s="50">
        <f t="shared" si="12"/>
        <v>0.16473356361047117</v>
      </c>
      <c r="AC16" s="39"/>
      <c r="AD16" s="49">
        <f>SUMPRODUCT(--('Input|Historical Data'!$AO$9:$AO$2668=$E16),--('Input|Historical Data'!$AY$9:$AY$2668="SCS"),--('Input|Historical Data'!$AW$9:$AW$2668=AD$5),'Input|Historical Data'!$AS$9:$AS$2668)</f>
        <v>5093.4909600000001</v>
      </c>
      <c r="AE16" s="49">
        <f>SUMPRODUCT(--('Input|Historical Data'!$AO$9:$AO$2668=$E16),--('Input|Historical Data'!$AY$9:$AY$2668="SCS"),--('Input|Historical Data'!$AX$9:$AX$2668=AE$5),'Input|Historical Data'!$AS$9:$AS$2668)</f>
        <v>595.49217999999996</v>
      </c>
      <c r="AF16" s="49">
        <f>SUMPRODUCT(--('Input|Historical Data'!$AO$9:$AO$2668=$E16),--('Input|Historical Data'!$AY$9:$AY$2668="SCS"),--('Input|Historical Data'!$AX$9:$AX$2668=AF$5),'Input|Historical Data'!$AS$9:$AS$2668)</f>
        <v>13.677390000000001</v>
      </c>
      <c r="AG16" s="49">
        <f>SUMPRODUCT(--('Input|Historical Data'!$AO$9:$AO$2668=$E16),--('Input|Historical Data'!$AY$9:$AY$2668="SCS"),--('Input|Historical Data'!$AX$9:$AX$2668=AG$5),'Input|Historical Data'!$AS$9:$AS$2668)</f>
        <v>4208.2322699999995</v>
      </c>
      <c r="AH16" s="49">
        <f>SUMPRODUCT(--('Input|Historical Data'!$AO$9:$AO$2668=$E16),--('Input|Historical Data'!$AY$9:$AY$2668="SCS"),--('Input|Historical Data'!$AW$9:$AW$2668=AH$5),'Input|Historical Data'!$AS$9:$AS$2668)</f>
        <v>719.07272</v>
      </c>
      <c r="AI16" s="50">
        <f t="shared" si="13"/>
        <v>0.12361272731194872</v>
      </c>
      <c r="AJ16" s="50">
        <f t="shared" si="2"/>
        <v>2.8391631950719729E-3</v>
      </c>
      <c r="AK16" s="50">
        <f t="shared" si="3"/>
        <v>0.87354810949297934</v>
      </c>
      <c r="AL16" s="50">
        <f t="shared" si="14"/>
        <v>0.14117482992450428</v>
      </c>
      <c r="AM16" s="39"/>
      <c r="AN16" s="50">
        <f t="shared" si="15"/>
        <v>0.11971921303740603</v>
      </c>
      <c r="AO16" s="50">
        <f t="shared" si="16"/>
        <v>5.1445434706762069E-3</v>
      </c>
      <c r="AP16" s="50">
        <f t="shared" si="17"/>
        <v>0.87513624349191776</v>
      </c>
      <c r="AQ16" s="50">
        <f t="shared" si="18"/>
        <v>0.15988419519537853</v>
      </c>
      <c r="AR16" s="45"/>
    </row>
    <row r="17" spans="3:44" s="7" customFormat="1" x14ac:dyDescent="0.2">
      <c r="C17" s="39"/>
      <c r="D17" s="39"/>
      <c r="E17" s="39">
        <v>110</v>
      </c>
      <c r="F17" s="39" t="s">
        <v>2222</v>
      </c>
      <c r="G17" s="39" t="str">
        <f>VLOOKUP(E17,Mapping!$E$11:$G$96,3,0)</f>
        <v>Connections</v>
      </c>
      <c r="H17" s="39" t="str">
        <f>VLOOKUP(E17,Mapping!$E$11:$K$96,7,0)</f>
        <v>SCS</v>
      </c>
      <c r="I17" s="39"/>
      <c r="J17" s="49">
        <f>SUMPRODUCT(--('Input|Historical Data'!$Q$9:$Q$2561=$E17),--('Input|Historical Data'!$AA$9:$AA$2561="SCS"),--('Input|Historical Data'!$Y$9:$Y$2561=J$5),'Input|Historical Data'!$U$9:$U$2561)</f>
        <v>0</v>
      </c>
      <c r="K17" s="49">
        <f>SUMPRODUCT(--('Input|Historical Data'!$Q$9:$Q$2561=$E17),--('Input|Historical Data'!$AA$9:$AA$2561="SCS"),--('Input|Historical Data'!$Z$9:$Z$2561=K$5),'Input|Historical Data'!$U$9:$U$2561)</f>
        <v>0</v>
      </c>
      <c r="L17" s="49">
        <f>SUMPRODUCT(--('Input|Historical Data'!$Q$9:$Q$2561=$E17),--('Input|Historical Data'!$AA$9:$AA$2561="SCS"),--('Input|Historical Data'!$Z$9:$Z$2561=L$5),'Input|Historical Data'!$U$9:$U$2561)</f>
        <v>0</v>
      </c>
      <c r="M17" s="49">
        <f>SUMPRODUCT(--('Input|Historical Data'!$Q$9:$Q$2561=$E17),--('Input|Historical Data'!$AA$9:$AA$2561="SCS"),--('Input|Historical Data'!$Z$9:$Z$2561=M$5),'Input|Historical Data'!$U$9:$U$2561)</f>
        <v>0</v>
      </c>
      <c r="N17" s="49">
        <f>SUMPRODUCT(--('Input|Historical Data'!$Q$9:$Q$2561=$E17),--('Input|Historical Data'!$AA$9:$AA$2561="SCS"),--('Input|Historical Data'!$Y$9:$Y$2561=N$5),'Input|Historical Data'!$U$9:$U$2561)</f>
        <v>0</v>
      </c>
      <c r="O17" s="50">
        <f t="shared" si="5"/>
        <v>0</v>
      </c>
      <c r="P17" s="50">
        <f t="shared" si="6"/>
        <v>0</v>
      </c>
      <c r="Q17" s="50">
        <f t="shared" si="7"/>
        <v>0</v>
      </c>
      <c r="R17" s="50">
        <f t="shared" si="8"/>
        <v>0</v>
      </c>
      <c r="S17" s="39"/>
      <c r="T17" s="49">
        <f>SUMPRODUCT(--('Input|Historical Data'!$AC$9:$AC$2668=$E17),--('Input|Historical Data'!$AM$9:$AM$2668="SCS"),--('Input|Historical Data'!$AK$9:$AK$2668=T$5),'Input|Historical Data'!$AG$9:$AG$2668)</f>
        <v>0</v>
      </c>
      <c r="U17" s="49">
        <f>SUMPRODUCT(--('Input|Historical Data'!$AC$9:$AC$2668=$E17),--('Input|Historical Data'!$AM$9:$AM$2668="SCS"),--('Input|Historical Data'!$AL$9:$AL$2668=U$5),'Input|Historical Data'!$AG$9:$AG$2668)</f>
        <v>0</v>
      </c>
      <c r="V17" s="49">
        <f>SUMPRODUCT(--('Input|Historical Data'!$AC$9:$AC$2668=$E17),--('Input|Historical Data'!$AM$9:$AM$2668="SCS"),--('Input|Historical Data'!$AL$9:$AL$2668=V$5),'Input|Historical Data'!$AG$9:$AG$2668)</f>
        <v>0</v>
      </c>
      <c r="W17" s="49">
        <f>SUMPRODUCT(--('Input|Historical Data'!$AC$9:$AC$2668=$E17),--('Input|Historical Data'!$AM$9:$AM$2668="SCS"),--('Input|Historical Data'!$AL$9:$AL$2668=W$5),'Input|Historical Data'!$AG$9:$AG$2668)</f>
        <v>0</v>
      </c>
      <c r="X17" s="49">
        <f>SUMPRODUCT(--('Input|Historical Data'!$AC$9:$AC$2668=$E17),--('Input|Historical Data'!$AM$9:$AM$2668="SCS"),--('Input|Historical Data'!$AK$9:$AK$2668=X$5),'Input|Historical Data'!$AG$9:$AG$2668)</f>
        <v>0</v>
      </c>
      <c r="Y17" s="50">
        <f t="shared" si="9"/>
        <v>0</v>
      </c>
      <c r="Z17" s="50">
        <f t="shared" si="10"/>
        <v>0</v>
      </c>
      <c r="AA17" s="50">
        <f t="shared" si="11"/>
        <v>0</v>
      </c>
      <c r="AB17" s="50">
        <f t="shared" si="12"/>
        <v>0</v>
      </c>
      <c r="AC17" s="39"/>
      <c r="AD17" s="49">
        <f>SUMPRODUCT(--('Input|Historical Data'!$AO$9:$AO$2668=$E17),--('Input|Historical Data'!$AY$9:$AY$2668="SCS"),--('Input|Historical Data'!$AW$9:$AW$2668=AD$5),'Input|Historical Data'!$AS$9:$AS$2668)</f>
        <v>0</v>
      </c>
      <c r="AE17" s="49">
        <f>SUMPRODUCT(--('Input|Historical Data'!$AO$9:$AO$2668=$E17),--('Input|Historical Data'!$AY$9:$AY$2668="SCS"),--('Input|Historical Data'!$AX$9:$AX$2668=AE$5),'Input|Historical Data'!$AS$9:$AS$2668)</f>
        <v>0</v>
      </c>
      <c r="AF17" s="49">
        <f>SUMPRODUCT(--('Input|Historical Data'!$AO$9:$AO$2668=$E17),--('Input|Historical Data'!$AY$9:$AY$2668="SCS"),--('Input|Historical Data'!$AX$9:$AX$2668=AF$5),'Input|Historical Data'!$AS$9:$AS$2668)</f>
        <v>0</v>
      </c>
      <c r="AG17" s="49">
        <f>SUMPRODUCT(--('Input|Historical Data'!$AO$9:$AO$2668=$E17),--('Input|Historical Data'!$AY$9:$AY$2668="SCS"),--('Input|Historical Data'!$AX$9:$AX$2668=AG$5),'Input|Historical Data'!$AS$9:$AS$2668)</f>
        <v>0</v>
      </c>
      <c r="AH17" s="49">
        <f>SUMPRODUCT(--('Input|Historical Data'!$AO$9:$AO$2668=$E17),--('Input|Historical Data'!$AY$9:$AY$2668="SCS"),--('Input|Historical Data'!$AW$9:$AW$2668=AH$5),'Input|Historical Data'!$AS$9:$AS$2668)</f>
        <v>0</v>
      </c>
      <c r="AI17" s="50">
        <f t="shared" si="13"/>
        <v>0</v>
      </c>
      <c r="AJ17" s="50">
        <f t="shared" si="2"/>
        <v>0</v>
      </c>
      <c r="AK17" s="50">
        <f t="shared" si="3"/>
        <v>0</v>
      </c>
      <c r="AL17" s="50">
        <f t="shared" si="14"/>
        <v>0</v>
      </c>
      <c r="AM17" s="39"/>
      <c r="AN17" s="50">
        <f t="shared" si="15"/>
        <v>0</v>
      </c>
      <c r="AO17" s="50">
        <f t="shared" si="16"/>
        <v>0</v>
      </c>
      <c r="AP17" s="50">
        <f t="shared" si="17"/>
        <v>0</v>
      </c>
      <c r="AQ17" s="50">
        <f t="shared" si="18"/>
        <v>0</v>
      </c>
      <c r="AR17" s="45"/>
    </row>
    <row r="18" spans="3:44" s="7" customFormat="1" x14ac:dyDescent="0.2">
      <c r="C18" s="39"/>
      <c r="D18" s="39"/>
      <c r="E18" s="39">
        <v>111</v>
      </c>
      <c r="F18" s="39" t="s">
        <v>2223</v>
      </c>
      <c r="G18" s="39" t="str">
        <f>VLOOKUP(E18,Mapping!$E$11:$G$96,3,0)</f>
        <v>Connections</v>
      </c>
      <c r="H18" s="39" t="str">
        <f>VLOOKUP(E18,Mapping!$E$11:$K$96,7,0)</f>
        <v>SCS</v>
      </c>
      <c r="I18" s="39"/>
      <c r="J18" s="49">
        <f>SUMPRODUCT(--('Input|Historical Data'!$Q$9:$Q$2561=$E18),--('Input|Historical Data'!$AA$9:$AA$2561="SCS"),--('Input|Historical Data'!$Y$9:$Y$2561=J$5),'Input|Historical Data'!$U$9:$U$2561)</f>
        <v>18503.858509999991</v>
      </c>
      <c r="K18" s="49">
        <f>SUMPRODUCT(--('Input|Historical Data'!$Q$9:$Q$2561=$E18),--('Input|Historical Data'!$AA$9:$AA$2561="SCS"),--('Input|Historical Data'!$Z$9:$Z$2561=K$5),'Input|Historical Data'!$U$9:$U$2561)</f>
        <v>2637.1283800000001</v>
      </c>
      <c r="L18" s="49">
        <f>SUMPRODUCT(--('Input|Historical Data'!$Q$9:$Q$2561=$E18),--('Input|Historical Data'!$AA$9:$AA$2561="SCS"),--('Input|Historical Data'!$Z$9:$Z$2561=L$5),'Input|Historical Data'!$U$9:$U$2561)</f>
        <v>5278.4958800000004</v>
      </c>
      <c r="M18" s="49">
        <f>SUMPRODUCT(--('Input|Historical Data'!$Q$9:$Q$2561=$E18),--('Input|Historical Data'!$AA$9:$AA$2561="SCS"),--('Input|Historical Data'!$Z$9:$Z$2561=M$5),'Input|Historical Data'!$U$9:$U$2561)</f>
        <v>9899.5010999999977</v>
      </c>
      <c r="N18" s="49">
        <f>SUMPRODUCT(--('Input|Historical Data'!$Q$9:$Q$2561=$E18),--('Input|Historical Data'!$AA$9:$AA$2561="SCS"),--('Input|Historical Data'!$Y$9:$Y$2561=N$5),'Input|Historical Data'!$U$9:$U$2561)</f>
        <v>2849.1731</v>
      </c>
      <c r="O18" s="50">
        <f t="shared" si="5"/>
        <v>0.14802749499148068</v>
      </c>
      <c r="P18" s="50">
        <f t="shared" si="6"/>
        <v>0.29629294059595668</v>
      </c>
      <c r="Q18" s="50">
        <f t="shared" si="7"/>
        <v>0.55567956441256272</v>
      </c>
      <c r="R18" s="50">
        <f t="shared" si="8"/>
        <v>0.15397724201469812</v>
      </c>
      <c r="S18" s="39"/>
      <c r="T18" s="49">
        <f>SUMPRODUCT(--('Input|Historical Data'!$AC$9:$AC$2668=$E18),--('Input|Historical Data'!$AM$9:$AM$2668="SCS"),--('Input|Historical Data'!$AK$9:$AK$2668=T$5),'Input|Historical Data'!$AG$9:$AG$2668)</f>
        <v>18161.944850000003</v>
      </c>
      <c r="U18" s="49">
        <f>SUMPRODUCT(--('Input|Historical Data'!$AC$9:$AC$2668=$E18),--('Input|Historical Data'!$AM$9:$AM$2668="SCS"),--('Input|Historical Data'!$AL$9:$AL$2668=U$5),'Input|Historical Data'!$AG$9:$AG$2668)</f>
        <v>3662.9694400000003</v>
      </c>
      <c r="V18" s="49">
        <f>SUMPRODUCT(--('Input|Historical Data'!$AC$9:$AC$2668=$E18),--('Input|Historical Data'!$AM$9:$AM$2668="SCS"),--('Input|Historical Data'!$AL$9:$AL$2668=V$5),'Input|Historical Data'!$AG$9:$AG$2668)</f>
        <v>6507.2147700000005</v>
      </c>
      <c r="W18" s="49">
        <f>SUMPRODUCT(--('Input|Historical Data'!$AC$9:$AC$2668=$E18),--('Input|Historical Data'!$AM$9:$AM$2668="SCS"),--('Input|Historical Data'!$AL$9:$AL$2668=W$5),'Input|Historical Data'!$AG$9:$AG$2668)</f>
        <v>7360.1947200000022</v>
      </c>
      <c r="X18" s="49">
        <f>SUMPRODUCT(--('Input|Historical Data'!$AC$9:$AC$2668=$E18),--('Input|Historical Data'!$AM$9:$AM$2668="SCS"),--('Input|Historical Data'!$AK$9:$AK$2668=X$5),'Input|Historical Data'!$AG$9:$AG$2668)</f>
        <v>3050.7288000000003</v>
      </c>
      <c r="Y18" s="50">
        <f t="shared" si="9"/>
        <v>0.20894981532495599</v>
      </c>
      <c r="Z18" s="50">
        <f t="shared" si="10"/>
        <v>0.37119646962474412</v>
      </c>
      <c r="AA18" s="50">
        <f t="shared" si="11"/>
        <v>0.41985371505029989</v>
      </c>
      <c r="AB18" s="50">
        <f t="shared" si="12"/>
        <v>0.16797368482263614</v>
      </c>
      <c r="AC18" s="39"/>
      <c r="AD18" s="49">
        <f>SUMPRODUCT(--('Input|Historical Data'!$AO$9:$AO$2668=$E18),--('Input|Historical Data'!$AY$9:$AY$2668="SCS"),--('Input|Historical Data'!$AW$9:$AW$2668=AD$5),'Input|Historical Data'!$AS$9:$AS$2668)</f>
        <v>25022.054329999999</v>
      </c>
      <c r="AE18" s="49">
        <f>SUMPRODUCT(--('Input|Historical Data'!$AO$9:$AO$2668=$E18),--('Input|Historical Data'!$AY$9:$AY$2668="SCS"),--('Input|Historical Data'!$AX$9:$AX$2668=AE$5),'Input|Historical Data'!$AS$9:$AS$2668)</f>
        <v>5115.6081500000009</v>
      </c>
      <c r="AF18" s="49">
        <f>SUMPRODUCT(--('Input|Historical Data'!$AO$9:$AO$2668=$E18),--('Input|Historical Data'!$AY$9:$AY$2668="SCS"),--('Input|Historical Data'!$AX$9:$AX$2668=AF$5),'Input|Historical Data'!$AS$9:$AS$2668)</f>
        <v>9161.2278200000001</v>
      </c>
      <c r="AG18" s="49">
        <f>SUMPRODUCT(--('Input|Historical Data'!$AO$9:$AO$2668=$E18),--('Input|Historical Data'!$AY$9:$AY$2668="SCS"),--('Input|Historical Data'!$AX$9:$AX$2668=AG$5),'Input|Historical Data'!$AS$9:$AS$2668)</f>
        <v>9930.5148800000024</v>
      </c>
      <c r="AH18" s="49">
        <f>SUMPRODUCT(--('Input|Historical Data'!$AO$9:$AO$2668=$E18),--('Input|Historical Data'!$AY$9:$AY$2668="SCS"),--('Input|Historical Data'!$AW$9:$AW$2668=AH$5),'Input|Historical Data'!$AS$9:$AS$2668)</f>
        <v>3586.7040700000002</v>
      </c>
      <c r="AI18" s="50">
        <f t="shared" si="13"/>
        <v>0.21132457581577954</v>
      </c>
      <c r="AJ18" s="50">
        <f t="shared" si="2"/>
        <v>0.3784481778599908</v>
      </c>
      <c r="AK18" s="50">
        <f t="shared" si="3"/>
        <v>0.41022724632422969</v>
      </c>
      <c r="AL18" s="50">
        <f t="shared" si="14"/>
        <v>0.14334171058448023</v>
      </c>
      <c r="AM18" s="39"/>
      <c r="AN18" s="50">
        <f t="shared" si="15"/>
        <v>0.19169032186892396</v>
      </c>
      <c r="AO18" s="50">
        <f t="shared" si="16"/>
        <v>0.35173693050915578</v>
      </c>
      <c r="AP18" s="50">
        <f t="shared" si="17"/>
        <v>0.45657274762192035</v>
      </c>
      <c r="AQ18" s="50">
        <f t="shared" si="18"/>
        <v>0.15378400750554583</v>
      </c>
      <c r="AR18" s="45"/>
    </row>
    <row r="19" spans="3:44" s="7" customFormat="1" x14ac:dyDescent="0.2">
      <c r="C19" s="39"/>
      <c r="D19" s="39"/>
      <c r="E19" s="39">
        <v>112</v>
      </c>
      <c r="F19" s="39" t="s">
        <v>2224</v>
      </c>
      <c r="G19" s="39" t="str">
        <f>VLOOKUP(E19,Mapping!$E$11:$G$96,3,0)</f>
        <v>Metering Capex</v>
      </c>
      <c r="H19" s="39" t="str">
        <f>VLOOKUP(E19,Mapping!$E$11:$K$96,7,0)</f>
        <v>Metering Services</v>
      </c>
      <c r="I19" s="39"/>
      <c r="J19" s="49">
        <f>SUMPRODUCT(--('Input|Historical Data'!$Q$9:$Q$2561=$E19),--('Input|Historical Data'!$AA$9:$AA$2561="SCS"),--('Input|Historical Data'!$Y$9:$Y$2561=J$5),'Input|Historical Data'!$U$9:$U$2561)</f>
        <v>0</v>
      </c>
      <c r="K19" s="49">
        <f>SUMPRODUCT(--('Input|Historical Data'!$Q$9:$Q$2561=$E19),--('Input|Historical Data'!$AA$9:$AA$2561="SCS"),--('Input|Historical Data'!$Z$9:$Z$2561=K$5),'Input|Historical Data'!$U$9:$U$2561)</f>
        <v>0</v>
      </c>
      <c r="L19" s="49">
        <f>SUMPRODUCT(--('Input|Historical Data'!$Q$9:$Q$2561=$E19),--('Input|Historical Data'!$AA$9:$AA$2561="SCS"),--('Input|Historical Data'!$Z$9:$Z$2561=L$5),'Input|Historical Data'!$U$9:$U$2561)</f>
        <v>0</v>
      </c>
      <c r="M19" s="49">
        <f>SUMPRODUCT(--('Input|Historical Data'!$Q$9:$Q$2561=$E19),--('Input|Historical Data'!$AA$9:$AA$2561="SCS"),--('Input|Historical Data'!$Z$9:$Z$2561=M$5),'Input|Historical Data'!$U$9:$U$2561)</f>
        <v>0</v>
      </c>
      <c r="N19" s="49">
        <f>SUMPRODUCT(--('Input|Historical Data'!$Q$9:$Q$2561=$E19),--('Input|Historical Data'!$AA$9:$AA$2561="SCS"),--('Input|Historical Data'!$Y$9:$Y$2561=N$5),'Input|Historical Data'!$U$9:$U$2561)</f>
        <v>0</v>
      </c>
      <c r="O19" s="50">
        <f t="shared" si="5"/>
        <v>0</v>
      </c>
      <c r="P19" s="50">
        <f t="shared" si="6"/>
        <v>0</v>
      </c>
      <c r="Q19" s="50">
        <f t="shared" si="7"/>
        <v>0</v>
      </c>
      <c r="R19" s="50">
        <f t="shared" si="8"/>
        <v>0</v>
      </c>
      <c r="S19" s="39"/>
      <c r="T19" s="49">
        <f>SUMPRODUCT(--('Input|Historical Data'!$AC$9:$AC$2668=$E19),--('Input|Historical Data'!$AM$9:$AM$2668="SCS"),--('Input|Historical Data'!$AK$9:$AK$2668=T$5),'Input|Historical Data'!$AG$9:$AG$2668)</f>
        <v>0</v>
      </c>
      <c r="U19" s="49">
        <f>SUMPRODUCT(--('Input|Historical Data'!$AC$9:$AC$2668=$E19),--('Input|Historical Data'!$AM$9:$AM$2668="SCS"),--('Input|Historical Data'!$AL$9:$AL$2668=U$5),'Input|Historical Data'!$AG$9:$AG$2668)</f>
        <v>0</v>
      </c>
      <c r="V19" s="49">
        <f>SUMPRODUCT(--('Input|Historical Data'!$AC$9:$AC$2668=$E19),--('Input|Historical Data'!$AM$9:$AM$2668="SCS"),--('Input|Historical Data'!$AL$9:$AL$2668=V$5),'Input|Historical Data'!$AG$9:$AG$2668)</f>
        <v>0</v>
      </c>
      <c r="W19" s="49">
        <f>SUMPRODUCT(--('Input|Historical Data'!$AC$9:$AC$2668=$E19),--('Input|Historical Data'!$AM$9:$AM$2668="SCS"),--('Input|Historical Data'!$AL$9:$AL$2668=W$5),'Input|Historical Data'!$AG$9:$AG$2668)</f>
        <v>0</v>
      </c>
      <c r="X19" s="49">
        <f>SUMPRODUCT(--('Input|Historical Data'!$AC$9:$AC$2668=$E19),--('Input|Historical Data'!$AM$9:$AM$2668="SCS"),--('Input|Historical Data'!$AK$9:$AK$2668=X$5),'Input|Historical Data'!$AG$9:$AG$2668)</f>
        <v>0</v>
      </c>
      <c r="Y19" s="50">
        <f t="shared" si="9"/>
        <v>0</v>
      </c>
      <c r="Z19" s="50">
        <f t="shared" si="10"/>
        <v>0</v>
      </c>
      <c r="AA19" s="50">
        <f t="shared" si="11"/>
        <v>0</v>
      </c>
      <c r="AB19" s="50">
        <f t="shared" si="12"/>
        <v>0</v>
      </c>
      <c r="AC19" s="39"/>
      <c r="AD19" s="49">
        <f>SUMPRODUCT(--('Input|Historical Data'!$AO$9:$AO$2668=$E19),--('Input|Historical Data'!$AY$9:$AY$2668="SCS"),--('Input|Historical Data'!$AW$9:$AW$2668=AD$5),'Input|Historical Data'!$AS$9:$AS$2668)</f>
        <v>0</v>
      </c>
      <c r="AE19" s="49">
        <f>SUMPRODUCT(--('Input|Historical Data'!$AO$9:$AO$2668=$E19),--('Input|Historical Data'!$AY$9:$AY$2668="SCS"),--('Input|Historical Data'!$AX$9:$AX$2668=AE$5),'Input|Historical Data'!$AS$9:$AS$2668)</f>
        <v>0</v>
      </c>
      <c r="AF19" s="49">
        <f>SUMPRODUCT(--('Input|Historical Data'!$AO$9:$AO$2668=$E19),--('Input|Historical Data'!$AY$9:$AY$2668="SCS"),--('Input|Historical Data'!$AX$9:$AX$2668=AF$5),'Input|Historical Data'!$AS$9:$AS$2668)</f>
        <v>0</v>
      </c>
      <c r="AG19" s="49">
        <f>SUMPRODUCT(--('Input|Historical Data'!$AO$9:$AO$2668=$E19),--('Input|Historical Data'!$AY$9:$AY$2668="SCS"),--('Input|Historical Data'!$AX$9:$AX$2668=AG$5),'Input|Historical Data'!$AS$9:$AS$2668)</f>
        <v>0</v>
      </c>
      <c r="AH19" s="49">
        <f>SUMPRODUCT(--('Input|Historical Data'!$AO$9:$AO$2668=$E19),--('Input|Historical Data'!$AY$9:$AY$2668="SCS"),--('Input|Historical Data'!$AW$9:$AW$2668=AH$5),'Input|Historical Data'!$AS$9:$AS$2668)</f>
        <v>0</v>
      </c>
      <c r="AI19" s="50">
        <f t="shared" si="13"/>
        <v>0</v>
      </c>
      <c r="AJ19" s="50">
        <f t="shared" si="2"/>
        <v>0</v>
      </c>
      <c r="AK19" s="50">
        <f t="shared" si="3"/>
        <v>0</v>
      </c>
      <c r="AL19" s="50">
        <f t="shared" si="14"/>
        <v>0</v>
      </c>
      <c r="AM19" s="39"/>
      <c r="AN19" s="50">
        <f t="shared" si="15"/>
        <v>0</v>
      </c>
      <c r="AO19" s="50">
        <f t="shared" si="16"/>
        <v>0</v>
      </c>
      <c r="AP19" s="50">
        <f t="shared" si="17"/>
        <v>0</v>
      </c>
      <c r="AQ19" s="50">
        <f t="shared" si="18"/>
        <v>0</v>
      </c>
      <c r="AR19" s="45"/>
    </row>
    <row r="20" spans="3:44" s="7" customFormat="1" x14ac:dyDescent="0.2">
      <c r="C20" s="39"/>
      <c r="D20" s="39"/>
      <c r="E20" s="39">
        <v>113</v>
      </c>
      <c r="F20" s="39" t="s">
        <v>2225</v>
      </c>
      <c r="G20" s="39" t="str">
        <f>VLOOKUP(E20,Mapping!$E$11:$G$96,3,0)</f>
        <v>Metering Capex</v>
      </c>
      <c r="H20" s="39" t="str">
        <f>VLOOKUP(E20,Mapping!$E$11:$K$96,7,0)</f>
        <v>Metering Services</v>
      </c>
      <c r="I20" s="39"/>
      <c r="J20" s="49">
        <f>SUMPRODUCT(--('Input|Historical Data'!$Q$9:$Q$2561=$E20),--('Input|Historical Data'!$AA$9:$AA$2561="SCS"),--('Input|Historical Data'!$Y$9:$Y$2561=J$5),'Input|Historical Data'!$U$9:$U$2561)</f>
        <v>0</v>
      </c>
      <c r="K20" s="49">
        <f>SUMPRODUCT(--('Input|Historical Data'!$Q$9:$Q$2561=$E20),--('Input|Historical Data'!$AA$9:$AA$2561="SCS"),--('Input|Historical Data'!$Z$9:$Z$2561=K$5),'Input|Historical Data'!$U$9:$U$2561)</f>
        <v>0</v>
      </c>
      <c r="L20" s="49">
        <f>SUMPRODUCT(--('Input|Historical Data'!$Q$9:$Q$2561=$E20),--('Input|Historical Data'!$AA$9:$AA$2561="SCS"),--('Input|Historical Data'!$Z$9:$Z$2561=L$5),'Input|Historical Data'!$U$9:$U$2561)</f>
        <v>0</v>
      </c>
      <c r="M20" s="49">
        <f>SUMPRODUCT(--('Input|Historical Data'!$Q$9:$Q$2561=$E20),--('Input|Historical Data'!$AA$9:$AA$2561="SCS"),--('Input|Historical Data'!$Z$9:$Z$2561=M$5),'Input|Historical Data'!$U$9:$U$2561)</f>
        <v>0</v>
      </c>
      <c r="N20" s="49">
        <f>SUMPRODUCT(--('Input|Historical Data'!$Q$9:$Q$2561=$E20),--('Input|Historical Data'!$AA$9:$AA$2561="SCS"),--('Input|Historical Data'!$Y$9:$Y$2561=N$5),'Input|Historical Data'!$U$9:$U$2561)</f>
        <v>0</v>
      </c>
      <c r="O20" s="50">
        <f t="shared" si="5"/>
        <v>0</v>
      </c>
      <c r="P20" s="50">
        <f t="shared" si="6"/>
        <v>0</v>
      </c>
      <c r="Q20" s="50">
        <f t="shared" si="7"/>
        <v>0</v>
      </c>
      <c r="R20" s="50">
        <f t="shared" si="8"/>
        <v>0</v>
      </c>
      <c r="S20" s="39"/>
      <c r="T20" s="49">
        <f>SUMPRODUCT(--('Input|Historical Data'!$AC$9:$AC$2668=$E20),--('Input|Historical Data'!$AM$9:$AM$2668="SCS"),--('Input|Historical Data'!$AK$9:$AK$2668=T$5),'Input|Historical Data'!$AG$9:$AG$2668)</f>
        <v>0</v>
      </c>
      <c r="U20" s="49">
        <f>SUMPRODUCT(--('Input|Historical Data'!$AC$9:$AC$2668=$E20),--('Input|Historical Data'!$AM$9:$AM$2668="SCS"),--('Input|Historical Data'!$AL$9:$AL$2668=U$5),'Input|Historical Data'!$AG$9:$AG$2668)</f>
        <v>0</v>
      </c>
      <c r="V20" s="49">
        <f>SUMPRODUCT(--('Input|Historical Data'!$AC$9:$AC$2668=$E20),--('Input|Historical Data'!$AM$9:$AM$2668="SCS"),--('Input|Historical Data'!$AL$9:$AL$2668=V$5),'Input|Historical Data'!$AG$9:$AG$2668)</f>
        <v>0</v>
      </c>
      <c r="W20" s="49">
        <f>SUMPRODUCT(--('Input|Historical Data'!$AC$9:$AC$2668=$E20),--('Input|Historical Data'!$AM$9:$AM$2668="SCS"),--('Input|Historical Data'!$AL$9:$AL$2668=W$5),'Input|Historical Data'!$AG$9:$AG$2668)</f>
        <v>0</v>
      </c>
      <c r="X20" s="49">
        <f>SUMPRODUCT(--('Input|Historical Data'!$AC$9:$AC$2668=$E20),--('Input|Historical Data'!$AM$9:$AM$2668="SCS"),--('Input|Historical Data'!$AK$9:$AK$2668=X$5),'Input|Historical Data'!$AG$9:$AG$2668)</f>
        <v>0</v>
      </c>
      <c r="Y20" s="50">
        <f t="shared" si="9"/>
        <v>0</v>
      </c>
      <c r="Z20" s="50">
        <f t="shared" si="10"/>
        <v>0</v>
      </c>
      <c r="AA20" s="50">
        <f t="shared" si="11"/>
        <v>0</v>
      </c>
      <c r="AB20" s="50">
        <f t="shared" si="12"/>
        <v>0</v>
      </c>
      <c r="AC20" s="39"/>
      <c r="AD20" s="49">
        <f>SUMPRODUCT(--('Input|Historical Data'!$AO$9:$AO$2668=$E20),--('Input|Historical Data'!$AY$9:$AY$2668="SCS"),--('Input|Historical Data'!$AW$9:$AW$2668=AD$5),'Input|Historical Data'!$AS$9:$AS$2668)</f>
        <v>0</v>
      </c>
      <c r="AE20" s="49">
        <f>SUMPRODUCT(--('Input|Historical Data'!$AO$9:$AO$2668=$E20),--('Input|Historical Data'!$AY$9:$AY$2668="SCS"),--('Input|Historical Data'!$AX$9:$AX$2668=AE$5),'Input|Historical Data'!$AS$9:$AS$2668)</f>
        <v>0</v>
      </c>
      <c r="AF20" s="49">
        <f>SUMPRODUCT(--('Input|Historical Data'!$AO$9:$AO$2668=$E20),--('Input|Historical Data'!$AY$9:$AY$2668="SCS"),--('Input|Historical Data'!$AX$9:$AX$2668=AF$5),'Input|Historical Data'!$AS$9:$AS$2668)</f>
        <v>0</v>
      </c>
      <c r="AG20" s="49">
        <f>SUMPRODUCT(--('Input|Historical Data'!$AO$9:$AO$2668=$E20),--('Input|Historical Data'!$AY$9:$AY$2668="SCS"),--('Input|Historical Data'!$AX$9:$AX$2668=AG$5),'Input|Historical Data'!$AS$9:$AS$2668)</f>
        <v>0</v>
      </c>
      <c r="AH20" s="49">
        <f>SUMPRODUCT(--('Input|Historical Data'!$AO$9:$AO$2668=$E20),--('Input|Historical Data'!$AY$9:$AY$2668="SCS"),--('Input|Historical Data'!$AW$9:$AW$2668=AH$5),'Input|Historical Data'!$AS$9:$AS$2668)</f>
        <v>0</v>
      </c>
      <c r="AI20" s="50">
        <f t="shared" si="13"/>
        <v>0</v>
      </c>
      <c r="AJ20" s="50">
        <f t="shared" si="2"/>
        <v>0</v>
      </c>
      <c r="AK20" s="50">
        <f t="shared" si="3"/>
        <v>0</v>
      </c>
      <c r="AL20" s="50">
        <f t="shared" si="14"/>
        <v>0</v>
      </c>
      <c r="AM20" s="39"/>
      <c r="AN20" s="50">
        <f t="shared" si="15"/>
        <v>0</v>
      </c>
      <c r="AO20" s="50">
        <f t="shared" si="16"/>
        <v>0</v>
      </c>
      <c r="AP20" s="50">
        <f t="shared" si="17"/>
        <v>0</v>
      </c>
      <c r="AQ20" s="50">
        <f t="shared" si="18"/>
        <v>0</v>
      </c>
      <c r="AR20" s="45"/>
    </row>
    <row r="21" spans="3:44" s="7" customFormat="1" x14ac:dyDescent="0.2">
      <c r="C21" s="39"/>
      <c r="D21" s="39"/>
      <c r="E21" s="39">
        <v>114</v>
      </c>
      <c r="F21" s="39" t="s">
        <v>2226</v>
      </c>
      <c r="G21" s="39" t="str">
        <f>VLOOKUP(E21,Mapping!$E$11:$G$96,3,0)</f>
        <v>Metering Opex</v>
      </c>
      <c r="H21" s="39" t="str">
        <f>VLOOKUP(E21,Mapping!$E$11:$K$96,7,0)</f>
        <v>Connection Services</v>
      </c>
      <c r="I21" s="39"/>
      <c r="J21" s="49">
        <f>SUMPRODUCT(--('Input|Historical Data'!$Q$9:$Q$2561=$E21),--('Input|Historical Data'!$AA$9:$AA$2561="SCS"),--('Input|Historical Data'!$Y$9:$Y$2561=J$5),'Input|Historical Data'!$U$9:$U$2561)</f>
        <v>0</v>
      </c>
      <c r="K21" s="49">
        <f>SUMPRODUCT(--('Input|Historical Data'!$Q$9:$Q$2561=$E21),--('Input|Historical Data'!$AA$9:$AA$2561="SCS"),--('Input|Historical Data'!$Z$9:$Z$2561=K$5),'Input|Historical Data'!$U$9:$U$2561)</f>
        <v>0</v>
      </c>
      <c r="L21" s="49">
        <f>SUMPRODUCT(--('Input|Historical Data'!$Q$9:$Q$2561=$E21),--('Input|Historical Data'!$AA$9:$AA$2561="SCS"),--('Input|Historical Data'!$Z$9:$Z$2561=L$5),'Input|Historical Data'!$U$9:$U$2561)</f>
        <v>0</v>
      </c>
      <c r="M21" s="49">
        <f>SUMPRODUCT(--('Input|Historical Data'!$Q$9:$Q$2561=$E21),--('Input|Historical Data'!$AA$9:$AA$2561="SCS"),--('Input|Historical Data'!$Z$9:$Z$2561=M$5),'Input|Historical Data'!$U$9:$U$2561)</f>
        <v>0</v>
      </c>
      <c r="N21" s="49">
        <f>SUMPRODUCT(--('Input|Historical Data'!$Q$9:$Q$2561=$E21),--('Input|Historical Data'!$AA$9:$AA$2561="SCS"),--('Input|Historical Data'!$Y$9:$Y$2561=N$5),'Input|Historical Data'!$U$9:$U$2561)</f>
        <v>0</v>
      </c>
      <c r="O21" s="50">
        <f t="shared" si="5"/>
        <v>0</v>
      </c>
      <c r="P21" s="50">
        <f t="shared" si="6"/>
        <v>0</v>
      </c>
      <c r="Q21" s="50">
        <f t="shared" si="7"/>
        <v>0</v>
      </c>
      <c r="R21" s="50">
        <f t="shared" si="8"/>
        <v>0</v>
      </c>
      <c r="S21" s="39"/>
      <c r="T21" s="49">
        <f>SUMPRODUCT(--('Input|Historical Data'!$AC$9:$AC$2668=$E21),--('Input|Historical Data'!$AM$9:$AM$2668="SCS"),--('Input|Historical Data'!$AK$9:$AK$2668=T$5),'Input|Historical Data'!$AG$9:$AG$2668)</f>
        <v>0</v>
      </c>
      <c r="U21" s="49">
        <f>SUMPRODUCT(--('Input|Historical Data'!$AC$9:$AC$2668=$E21),--('Input|Historical Data'!$AM$9:$AM$2668="SCS"),--('Input|Historical Data'!$AL$9:$AL$2668=U$5),'Input|Historical Data'!$AG$9:$AG$2668)</f>
        <v>0</v>
      </c>
      <c r="V21" s="49">
        <f>SUMPRODUCT(--('Input|Historical Data'!$AC$9:$AC$2668=$E21),--('Input|Historical Data'!$AM$9:$AM$2668="SCS"),--('Input|Historical Data'!$AL$9:$AL$2668=V$5),'Input|Historical Data'!$AG$9:$AG$2668)</f>
        <v>0</v>
      </c>
      <c r="W21" s="49">
        <f>SUMPRODUCT(--('Input|Historical Data'!$AC$9:$AC$2668=$E21),--('Input|Historical Data'!$AM$9:$AM$2668="SCS"),--('Input|Historical Data'!$AL$9:$AL$2668=W$5),'Input|Historical Data'!$AG$9:$AG$2668)</f>
        <v>0</v>
      </c>
      <c r="X21" s="49">
        <f>SUMPRODUCT(--('Input|Historical Data'!$AC$9:$AC$2668=$E21),--('Input|Historical Data'!$AM$9:$AM$2668="SCS"),--('Input|Historical Data'!$AK$9:$AK$2668=X$5),'Input|Historical Data'!$AG$9:$AG$2668)</f>
        <v>0</v>
      </c>
      <c r="Y21" s="50">
        <f t="shared" si="9"/>
        <v>0</v>
      </c>
      <c r="Z21" s="50">
        <f t="shared" si="10"/>
        <v>0</v>
      </c>
      <c r="AA21" s="50">
        <f t="shared" si="11"/>
        <v>0</v>
      </c>
      <c r="AB21" s="50">
        <f t="shared" si="12"/>
        <v>0</v>
      </c>
      <c r="AC21" s="39"/>
      <c r="AD21" s="49">
        <f>SUMPRODUCT(--('Input|Historical Data'!$AO$9:$AO$2668=$E21),--('Input|Historical Data'!$AY$9:$AY$2668="SCS"),--('Input|Historical Data'!$AW$9:$AW$2668=AD$5),'Input|Historical Data'!$AS$9:$AS$2668)</f>
        <v>0</v>
      </c>
      <c r="AE21" s="49">
        <f>SUMPRODUCT(--('Input|Historical Data'!$AO$9:$AO$2668=$E21),--('Input|Historical Data'!$AY$9:$AY$2668="SCS"),--('Input|Historical Data'!$AX$9:$AX$2668=AE$5),'Input|Historical Data'!$AS$9:$AS$2668)</f>
        <v>0</v>
      </c>
      <c r="AF21" s="49">
        <f>SUMPRODUCT(--('Input|Historical Data'!$AO$9:$AO$2668=$E21),--('Input|Historical Data'!$AY$9:$AY$2668="SCS"),--('Input|Historical Data'!$AX$9:$AX$2668=AF$5),'Input|Historical Data'!$AS$9:$AS$2668)</f>
        <v>0</v>
      </c>
      <c r="AG21" s="49">
        <f>SUMPRODUCT(--('Input|Historical Data'!$AO$9:$AO$2668=$E21),--('Input|Historical Data'!$AY$9:$AY$2668="SCS"),--('Input|Historical Data'!$AX$9:$AX$2668=AG$5),'Input|Historical Data'!$AS$9:$AS$2668)</f>
        <v>0</v>
      </c>
      <c r="AH21" s="49">
        <f>SUMPRODUCT(--('Input|Historical Data'!$AO$9:$AO$2668=$E21),--('Input|Historical Data'!$AY$9:$AY$2668="SCS"),--('Input|Historical Data'!$AW$9:$AW$2668=AH$5),'Input|Historical Data'!$AS$9:$AS$2668)</f>
        <v>0</v>
      </c>
      <c r="AI21" s="50">
        <f t="shared" si="13"/>
        <v>0</v>
      </c>
      <c r="AJ21" s="50">
        <f t="shared" si="2"/>
        <v>0</v>
      </c>
      <c r="AK21" s="50">
        <f t="shared" si="3"/>
        <v>0</v>
      </c>
      <c r="AL21" s="50">
        <f t="shared" si="14"/>
        <v>0</v>
      </c>
      <c r="AM21" s="39"/>
      <c r="AN21" s="50">
        <f t="shared" si="15"/>
        <v>0</v>
      </c>
      <c r="AO21" s="50">
        <f t="shared" si="16"/>
        <v>0</v>
      </c>
      <c r="AP21" s="50">
        <f t="shared" si="17"/>
        <v>0</v>
      </c>
      <c r="AQ21" s="50">
        <f t="shared" si="18"/>
        <v>0</v>
      </c>
      <c r="AR21" s="45"/>
    </row>
    <row r="22" spans="3:44" s="7" customFormat="1" x14ac:dyDescent="0.2">
      <c r="C22" s="39"/>
      <c r="D22" s="39"/>
      <c r="E22" s="39">
        <v>115</v>
      </c>
      <c r="F22" s="39" t="s">
        <v>2227</v>
      </c>
      <c r="G22" s="39" t="str">
        <f>VLOOKUP(E22,Mapping!$E$11:$G$96,3,0)</f>
        <v>Metering Opex</v>
      </c>
      <c r="H22" s="39" t="str">
        <f>VLOOKUP(E22,Mapping!$E$11:$K$96,7,0)</f>
        <v>Connection Services</v>
      </c>
      <c r="I22" s="39"/>
      <c r="J22" s="49">
        <f>SUMPRODUCT(--('Input|Historical Data'!$Q$9:$Q$2561=$E22),--('Input|Historical Data'!$AA$9:$AA$2561="SCS"),--('Input|Historical Data'!$Y$9:$Y$2561=J$5),'Input|Historical Data'!$U$9:$U$2561)</f>
        <v>0</v>
      </c>
      <c r="K22" s="49">
        <f>SUMPRODUCT(--('Input|Historical Data'!$Q$9:$Q$2561=$E22),--('Input|Historical Data'!$AA$9:$AA$2561="SCS"),--('Input|Historical Data'!$Z$9:$Z$2561=K$5),'Input|Historical Data'!$U$9:$U$2561)</f>
        <v>0</v>
      </c>
      <c r="L22" s="49">
        <f>SUMPRODUCT(--('Input|Historical Data'!$Q$9:$Q$2561=$E22),--('Input|Historical Data'!$AA$9:$AA$2561="SCS"),--('Input|Historical Data'!$Z$9:$Z$2561=L$5),'Input|Historical Data'!$U$9:$U$2561)</f>
        <v>0</v>
      </c>
      <c r="M22" s="49">
        <f>SUMPRODUCT(--('Input|Historical Data'!$Q$9:$Q$2561=$E22),--('Input|Historical Data'!$AA$9:$AA$2561="SCS"),--('Input|Historical Data'!$Z$9:$Z$2561=M$5),'Input|Historical Data'!$U$9:$U$2561)</f>
        <v>0</v>
      </c>
      <c r="N22" s="49">
        <f>SUMPRODUCT(--('Input|Historical Data'!$Q$9:$Q$2561=$E22),--('Input|Historical Data'!$AA$9:$AA$2561="SCS"),--('Input|Historical Data'!$Y$9:$Y$2561=N$5),'Input|Historical Data'!$U$9:$U$2561)</f>
        <v>0</v>
      </c>
      <c r="O22" s="50">
        <f t="shared" si="5"/>
        <v>0</v>
      </c>
      <c r="P22" s="50">
        <f t="shared" si="6"/>
        <v>0</v>
      </c>
      <c r="Q22" s="50">
        <f t="shared" si="7"/>
        <v>0</v>
      </c>
      <c r="R22" s="50">
        <f t="shared" si="8"/>
        <v>0</v>
      </c>
      <c r="S22" s="39"/>
      <c r="T22" s="49">
        <f>SUMPRODUCT(--('Input|Historical Data'!$AC$9:$AC$2668=$E22),--('Input|Historical Data'!$AM$9:$AM$2668="SCS"),--('Input|Historical Data'!$AK$9:$AK$2668=T$5),'Input|Historical Data'!$AG$9:$AG$2668)</f>
        <v>0</v>
      </c>
      <c r="U22" s="49">
        <f>SUMPRODUCT(--('Input|Historical Data'!$AC$9:$AC$2668=$E22),--('Input|Historical Data'!$AM$9:$AM$2668="SCS"),--('Input|Historical Data'!$AL$9:$AL$2668=U$5),'Input|Historical Data'!$AG$9:$AG$2668)</f>
        <v>0</v>
      </c>
      <c r="V22" s="49">
        <f>SUMPRODUCT(--('Input|Historical Data'!$AC$9:$AC$2668=$E22),--('Input|Historical Data'!$AM$9:$AM$2668="SCS"),--('Input|Historical Data'!$AL$9:$AL$2668=V$5),'Input|Historical Data'!$AG$9:$AG$2668)</f>
        <v>0</v>
      </c>
      <c r="W22" s="49">
        <f>SUMPRODUCT(--('Input|Historical Data'!$AC$9:$AC$2668=$E22),--('Input|Historical Data'!$AM$9:$AM$2668="SCS"),--('Input|Historical Data'!$AL$9:$AL$2668=W$5),'Input|Historical Data'!$AG$9:$AG$2668)</f>
        <v>0</v>
      </c>
      <c r="X22" s="49">
        <f>SUMPRODUCT(--('Input|Historical Data'!$AC$9:$AC$2668=$E22),--('Input|Historical Data'!$AM$9:$AM$2668="SCS"),--('Input|Historical Data'!$AK$9:$AK$2668=X$5),'Input|Historical Data'!$AG$9:$AG$2668)</f>
        <v>0</v>
      </c>
      <c r="Y22" s="50">
        <f t="shared" si="9"/>
        <v>0</v>
      </c>
      <c r="Z22" s="50">
        <f t="shared" si="10"/>
        <v>0</v>
      </c>
      <c r="AA22" s="50">
        <f t="shared" si="11"/>
        <v>0</v>
      </c>
      <c r="AB22" s="50">
        <f t="shared" si="12"/>
        <v>0</v>
      </c>
      <c r="AC22" s="39"/>
      <c r="AD22" s="49">
        <f>SUMPRODUCT(--('Input|Historical Data'!$AO$9:$AO$2668=$E22),--('Input|Historical Data'!$AY$9:$AY$2668="SCS"),--('Input|Historical Data'!$AW$9:$AW$2668=AD$5),'Input|Historical Data'!$AS$9:$AS$2668)</f>
        <v>0</v>
      </c>
      <c r="AE22" s="49">
        <f>SUMPRODUCT(--('Input|Historical Data'!$AO$9:$AO$2668=$E22),--('Input|Historical Data'!$AY$9:$AY$2668="SCS"),--('Input|Historical Data'!$AX$9:$AX$2668=AE$5),'Input|Historical Data'!$AS$9:$AS$2668)</f>
        <v>0</v>
      </c>
      <c r="AF22" s="49">
        <f>SUMPRODUCT(--('Input|Historical Data'!$AO$9:$AO$2668=$E22),--('Input|Historical Data'!$AY$9:$AY$2668="SCS"),--('Input|Historical Data'!$AX$9:$AX$2668=AF$5),'Input|Historical Data'!$AS$9:$AS$2668)</f>
        <v>0</v>
      </c>
      <c r="AG22" s="49">
        <f>SUMPRODUCT(--('Input|Historical Data'!$AO$9:$AO$2668=$E22),--('Input|Historical Data'!$AY$9:$AY$2668="SCS"),--('Input|Historical Data'!$AX$9:$AX$2668=AG$5),'Input|Historical Data'!$AS$9:$AS$2668)</f>
        <v>0</v>
      </c>
      <c r="AH22" s="49">
        <f>SUMPRODUCT(--('Input|Historical Data'!$AO$9:$AO$2668=$E22),--('Input|Historical Data'!$AY$9:$AY$2668="SCS"),--('Input|Historical Data'!$AW$9:$AW$2668=AH$5),'Input|Historical Data'!$AS$9:$AS$2668)</f>
        <v>0</v>
      </c>
      <c r="AI22" s="50">
        <f t="shared" si="13"/>
        <v>0</v>
      </c>
      <c r="AJ22" s="50">
        <f t="shared" si="2"/>
        <v>0</v>
      </c>
      <c r="AK22" s="50">
        <f t="shared" si="3"/>
        <v>0</v>
      </c>
      <c r="AL22" s="50">
        <f t="shared" si="14"/>
        <v>0</v>
      </c>
      <c r="AM22" s="39"/>
      <c r="AN22" s="50">
        <f t="shared" si="15"/>
        <v>0</v>
      </c>
      <c r="AO22" s="50">
        <f t="shared" si="16"/>
        <v>0</v>
      </c>
      <c r="AP22" s="50">
        <f t="shared" si="17"/>
        <v>0</v>
      </c>
      <c r="AQ22" s="50">
        <f t="shared" si="18"/>
        <v>0</v>
      </c>
      <c r="AR22" s="45"/>
    </row>
    <row r="23" spans="3:44" s="7" customFormat="1" x14ac:dyDescent="0.2">
      <c r="C23" s="39"/>
      <c r="D23" s="39"/>
      <c r="E23" s="39">
        <v>116</v>
      </c>
      <c r="F23" s="39" t="s">
        <v>2228</v>
      </c>
      <c r="G23" s="39" t="str">
        <f>VLOOKUP(E23,Mapping!$E$11:$G$96,3,0)</f>
        <v>Connections</v>
      </c>
      <c r="H23" s="39" t="str">
        <f>VLOOKUP(E23,Mapping!$E$11:$K$96,7,0)</f>
        <v>SCS</v>
      </c>
      <c r="I23" s="39"/>
      <c r="J23" s="49">
        <f>SUMPRODUCT(--('Input|Historical Data'!$Q$9:$Q$2561=$E23),--('Input|Historical Data'!$AA$9:$AA$2561="SCS"),--('Input|Historical Data'!$Y$9:$Y$2561=J$5),'Input|Historical Data'!$U$9:$U$2561)</f>
        <v>20145.680699999986</v>
      </c>
      <c r="K23" s="49">
        <f>SUMPRODUCT(--('Input|Historical Data'!$Q$9:$Q$2561=$E23),--('Input|Historical Data'!$AA$9:$AA$2561="SCS"),--('Input|Historical Data'!$Z$9:$Z$2561=K$5),'Input|Historical Data'!$U$9:$U$2561)</f>
        <v>5874.8563100000019</v>
      </c>
      <c r="L23" s="49">
        <f>SUMPRODUCT(--('Input|Historical Data'!$Q$9:$Q$2561=$E23),--('Input|Historical Data'!$AA$9:$AA$2561="SCS"),--('Input|Historical Data'!$Z$9:$Z$2561=L$5),'Input|Historical Data'!$U$9:$U$2561)</f>
        <v>1485.52863</v>
      </c>
      <c r="M23" s="49">
        <f>SUMPRODUCT(--('Input|Historical Data'!$Q$9:$Q$2561=$E23),--('Input|Historical Data'!$AA$9:$AA$2561="SCS"),--('Input|Historical Data'!$Z$9:$Z$2561=M$5),'Input|Historical Data'!$U$9:$U$2561)</f>
        <v>11773.817509999997</v>
      </c>
      <c r="N23" s="49">
        <f>SUMPRODUCT(--('Input|Historical Data'!$Q$9:$Q$2561=$E23),--('Input|Historical Data'!$AA$9:$AA$2561="SCS"),--('Input|Historical Data'!$Y$9:$Y$2561=N$5),'Input|Historical Data'!$U$9:$U$2561)</f>
        <v>3647.49386</v>
      </c>
      <c r="O23" s="50">
        <f t="shared" si="5"/>
        <v>0.3070342924065802</v>
      </c>
      <c r="P23" s="50">
        <f t="shared" si="6"/>
        <v>7.7637342548343327E-2</v>
      </c>
      <c r="Q23" s="50">
        <f t="shared" si="7"/>
        <v>0.6153283650450766</v>
      </c>
      <c r="R23" s="50">
        <f t="shared" si="8"/>
        <v>0.18105587566470277</v>
      </c>
      <c r="S23" s="39"/>
      <c r="T23" s="49">
        <f>SUMPRODUCT(--('Input|Historical Data'!$AC$9:$AC$2668=$E23),--('Input|Historical Data'!$AM$9:$AM$2668="SCS"),--('Input|Historical Data'!$AK$9:$AK$2668=T$5),'Input|Historical Data'!$AG$9:$AG$2668)</f>
        <v>23331.175219999986</v>
      </c>
      <c r="U23" s="49">
        <f>SUMPRODUCT(--('Input|Historical Data'!$AC$9:$AC$2668=$E23),--('Input|Historical Data'!$AM$9:$AM$2668="SCS"),--('Input|Historical Data'!$AL$9:$AL$2668=U$5),'Input|Historical Data'!$AG$9:$AG$2668)</f>
        <v>6843.6944099999973</v>
      </c>
      <c r="V23" s="49">
        <f>SUMPRODUCT(--('Input|Historical Data'!$AC$9:$AC$2668=$E23),--('Input|Historical Data'!$AM$9:$AM$2668="SCS"),--('Input|Historical Data'!$AL$9:$AL$2668=V$5),'Input|Historical Data'!$AG$9:$AG$2668)</f>
        <v>3449.8830499999999</v>
      </c>
      <c r="W23" s="49">
        <f>SUMPRODUCT(--('Input|Historical Data'!$AC$9:$AC$2668=$E23),--('Input|Historical Data'!$AM$9:$AM$2668="SCS"),--('Input|Historical Data'!$AL$9:$AL$2668=W$5),'Input|Historical Data'!$AG$9:$AG$2668)</f>
        <v>11914.367199999997</v>
      </c>
      <c r="X23" s="49">
        <f>SUMPRODUCT(--('Input|Historical Data'!$AC$9:$AC$2668=$E23),--('Input|Historical Data'!$AM$9:$AM$2668="SCS"),--('Input|Historical Data'!$AK$9:$AK$2668=X$5),'Input|Historical Data'!$AG$9:$AG$2668)</f>
        <v>4068.0112800000002</v>
      </c>
      <c r="Y23" s="50">
        <f t="shared" si="9"/>
        <v>0.3081642409856401</v>
      </c>
      <c r="Z23" s="50">
        <f t="shared" si="10"/>
        <v>0.15534454461307184</v>
      </c>
      <c r="AA23" s="50">
        <f t="shared" si="11"/>
        <v>0.53649121440128811</v>
      </c>
      <c r="AB23" s="50">
        <f t="shared" si="12"/>
        <v>0.17435946717818196</v>
      </c>
      <c r="AC23" s="39"/>
      <c r="AD23" s="49">
        <f>SUMPRODUCT(--('Input|Historical Data'!$AO$9:$AO$2668=$E23),--('Input|Historical Data'!$AY$9:$AY$2668="SCS"),--('Input|Historical Data'!$AW$9:$AW$2668=AD$5),'Input|Historical Data'!$AS$9:$AS$2668)</f>
        <v>25563.996109999996</v>
      </c>
      <c r="AE23" s="49">
        <f>SUMPRODUCT(--('Input|Historical Data'!$AO$9:$AO$2668=$E23),--('Input|Historical Data'!$AY$9:$AY$2668="SCS"),--('Input|Historical Data'!$AX$9:$AX$2668=AE$5),'Input|Historical Data'!$AS$9:$AS$2668)</f>
        <v>6673.5386300000018</v>
      </c>
      <c r="AF23" s="49">
        <f>SUMPRODUCT(--('Input|Historical Data'!$AO$9:$AO$2668=$E23),--('Input|Historical Data'!$AY$9:$AY$2668="SCS"),--('Input|Historical Data'!$AX$9:$AX$2668=AF$5),'Input|Historical Data'!$AS$9:$AS$2668)</f>
        <v>6750.5180599999994</v>
      </c>
      <c r="AG23" s="49">
        <f>SUMPRODUCT(--('Input|Historical Data'!$AO$9:$AO$2668=$E23),--('Input|Historical Data'!$AY$9:$AY$2668="SCS"),--('Input|Historical Data'!$AX$9:$AX$2668=AG$5),'Input|Historical Data'!$AS$9:$AS$2668)</f>
        <v>11100.237670000002</v>
      </c>
      <c r="AH23" s="49">
        <f>SUMPRODUCT(--('Input|Historical Data'!$AO$9:$AO$2668=$E23),--('Input|Historical Data'!$AY$9:$AY$2668="SCS"),--('Input|Historical Data'!$AW$9:$AW$2668=AH$5),'Input|Historical Data'!$AS$9:$AS$2668)</f>
        <v>3629.6396800000002</v>
      </c>
      <c r="AI23" s="50">
        <f t="shared" si="13"/>
        <v>0.27211949636703026</v>
      </c>
      <c r="AJ23" s="50">
        <f t="shared" si="2"/>
        <v>0.27525840135936119</v>
      </c>
      <c r="AK23" s="50">
        <f t="shared" si="3"/>
        <v>0.4526221022736085</v>
      </c>
      <c r="AL23" s="50">
        <f t="shared" si="14"/>
        <v>0.14198248444343081</v>
      </c>
      <c r="AM23" s="39"/>
      <c r="AN23" s="50">
        <f t="shared" si="15"/>
        <v>0.29441531859334569</v>
      </c>
      <c r="AO23" s="50">
        <f t="shared" si="16"/>
        <v>0.17741856822981028</v>
      </c>
      <c r="AP23" s="50">
        <f t="shared" si="17"/>
        <v>0.52816611317684414</v>
      </c>
      <c r="AQ23" s="50">
        <f t="shared" si="18"/>
        <v>0.1643250986397192</v>
      </c>
      <c r="AR23" s="45"/>
    </row>
    <row r="24" spans="3:44" s="7" customFormat="1" x14ac:dyDescent="0.2">
      <c r="C24" s="39"/>
      <c r="D24" s="39"/>
      <c r="E24" s="39">
        <v>118</v>
      </c>
      <c r="F24" s="39" t="s">
        <v>2229</v>
      </c>
      <c r="G24" s="39" t="str">
        <f>VLOOKUP(E24,Mapping!$E$11:$G$96,3,0)</f>
        <v>Connections</v>
      </c>
      <c r="H24" s="39" t="str">
        <f>VLOOKUP(E24,Mapping!$E$11:$K$96,7,0)</f>
        <v>SCS</v>
      </c>
      <c r="I24" s="39"/>
      <c r="J24" s="49">
        <f>SUMPRODUCT(--('Input|Historical Data'!$Q$9:$Q$2561=$E24),--('Input|Historical Data'!$AA$9:$AA$2561="SCS"),--('Input|Historical Data'!$Y$9:$Y$2561=J$5),'Input|Historical Data'!$U$9:$U$2561)</f>
        <v>21.381309999999996</v>
      </c>
      <c r="K24" s="49">
        <f>SUMPRODUCT(--('Input|Historical Data'!$Q$9:$Q$2561=$E24),--('Input|Historical Data'!$AA$9:$AA$2561="SCS"),--('Input|Historical Data'!$Z$9:$Z$2561=K$5),'Input|Historical Data'!$U$9:$U$2561)</f>
        <v>24.61806</v>
      </c>
      <c r="L24" s="49">
        <f>SUMPRODUCT(--('Input|Historical Data'!$Q$9:$Q$2561=$E24),--('Input|Historical Data'!$AA$9:$AA$2561="SCS"),--('Input|Historical Data'!$Z$9:$Z$2561=L$5),'Input|Historical Data'!$U$9:$U$2561)</f>
        <v>-0.67907999999999991</v>
      </c>
      <c r="M24" s="49">
        <f>SUMPRODUCT(--('Input|Historical Data'!$Q$9:$Q$2561=$E24),--('Input|Historical Data'!$AA$9:$AA$2561="SCS"),--('Input|Historical Data'!$Z$9:$Z$2561=M$5),'Input|Historical Data'!$U$9:$U$2561)</f>
        <v>-3.4613099999999997</v>
      </c>
      <c r="N24" s="49">
        <f>SUMPRODUCT(--('Input|Historical Data'!$Q$9:$Q$2561=$E24),--('Input|Historical Data'!$AA$9:$AA$2561="SCS"),--('Input|Historical Data'!$Y$9:$Y$2561=N$5),'Input|Historical Data'!$U$9:$U$2561)</f>
        <v>3.5534000000000003</v>
      </c>
      <c r="O24" s="50">
        <f t="shared" si="5"/>
        <v>1.2021904835852908</v>
      </c>
      <c r="P24" s="50">
        <f t="shared" si="6"/>
        <v>-3.3161975947458865E-2</v>
      </c>
      <c r="Q24" s="50">
        <f t="shared" si="7"/>
        <v>-0.16902850763783184</v>
      </c>
      <c r="R24" s="50">
        <f t="shared" si="8"/>
        <v>0.16619187505349303</v>
      </c>
      <c r="S24" s="39"/>
      <c r="T24" s="49">
        <f>SUMPRODUCT(--('Input|Historical Data'!$AC$9:$AC$2668=$E24),--('Input|Historical Data'!$AM$9:$AM$2668="SCS"),--('Input|Historical Data'!$AK$9:$AK$2668=T$5),'Input|Historical Data'!$AG$9:$AG$2668)</f>
        <v>40.859830000000002</v>
      </c>
      <c r="U24" s="49">
        <f>SUMPRODUCT(--('Input|Historical Data'!$AC$9:$AC$2668=$E24),--('Input|Historical Data'!$AM$9:$AM$2668="SCS"),--('Input|Historical Data'!$AL$9:$AL$2668=U$5),'Input|Historical Data'!$AG$9:$AG$2668)</f>
        <v>42.314910000000005</v>
      </c>
      <c r="V24" s="49">
        <f>SUMPRODUCT(--('Input|Historical Data'!$AC$9:$AC$2668=$E24),--('Input|Historical Data'!$AM$9:$AM$2668="SCS"),--('Input|Historical Data'!$AL$9:$AL$2668=V$5),'Input|Historical Data'!$AG$9:$AG$2668)</f>
        <v>0</v>
      </c>
      <c r="W24" s="49">
        <f>SUMPRODUCT(--('Input|Historical Data'!$AC$9:$AC$2668=$E24),--('Input|Historical Data'!$AM$9:$AM$2668="SCS"),--('Input|Historical Data'!$AL$9:$AL$2668=W$5),'Input|Historical Data'!$AG$9:$AG$2668)</f>
        <v>-4.04155</v>
      </c>
      <c r="X24" s="49">
        <f>SUMPRODUCT(--('Input|Historical Data'!$AC$9:$AC$2668=$E24),--('Input|Historical Data'!$AM$9:$AM$2668="SCS"),--('Input|Historical Data'!$AK$9:$AK$2668=X$5),'Input|Historical Data'!$AG$9:$AG$2668)</f>
        <v>7.4188900000000002</v>
      </c>
      <c r="Y24" s="50">
        <f t="shared" si="9"/>
        <v>1.1055969478509333</v>
      </c>
      <c r="Z24" s="50">
        <f t="shared" si="10"/>
        <v>0</v>
      </c>
      <c r="AA24" s="50">
        <f t="shared" si="11"/>
        <v>-0.10559694785093338</v>
      </c>
      <c r="AB24" s="50">
        <f t="shared" si="12"/>
        <v>0.18156928210420845</v>
      </c>
      <c r="AC24" s="39"/>
      <c r="AD24" s="49">
        <f>SUMPRODUCT(--('Input|Historical Data'!$AO$9:$AO$2668=$E24),--('Input|Historical Data'!$AY$9:$AY$2668="SCS"),--('Input|Historical Data'!$AW$9:$AW$2668=AD$5),'Input|Historical Data'!$AS$9:$AS$2668)</f>
        <v>8.8829499999999992</v>
      </c>
      <c r="AE24" s="49">
        <f>SUMPRODUCT(--('Input|Historical Data'!$AO$9:$AO$2668=$E24),--('Input|Historical Data'!$AY$9:$AY$2668="SCS"),--('Input|Historical Data'!$AX$9:$AX$2668=AE$5),'Input|Historical Data'!$AS$9:$AS$2668)</f>
        <v>8.5377399999999994</v>
      </c>
      <c r="AF24" s="49">
        <f>SUMPRODUCT(--('Input|Historical Data'!$AO$9:$AO$2668=$E24),--('Input|Historical Data'!$AY$9:$AY$2668="SCS"),--('Input|Historical Data'!$AX$9:$AX$2668=AF$5),'Input|Historical Data'!$AS$9:$AS$2668)</f>
        <v>0</v>
      </c>
      <c r="AG24" s="49">
        <f>SUMPRODUCT(--('Input|Historical Data'!$AO$9:$AO$2668=$E24),--('Input|Historical Data'!$AY$9:$AY$2668="SCS"),--('Input|Historical Data'!$AX$9:$AX$2668=AG$5),'Input|Historical Data'!$AS$9:$AS$2668)</f>
        <v>-0.13156000000000001</v>
      </c>
      <c r="AH24" s="49">
        <f>SUMPRODUCT(--('Input|Historical Data'!$AO$9:$AO$2668=$E24),--('Input|Historical Data'!$AY$9:$AY$2668="SCS"),--('Input|Historical Data'!$AW$9:$AW$2668=AH$5),'Input|Historical Data'!$AS$9:$AS$2668)</f>
        <v>0.62473999999999996</v>
      </c>
      <c r="AI24" s="50">
        <f t="shared" si="13"/>
        <v>1.015650390546003</v>
      </c>
      <c r="AJ24" s="50">
        <f t="shared" si="2"/>
        <v>0</v>
      </c>
      <c r="AK24" s="50">
        <f t="shared" si="3"/>
        <v>-1.5650390546003062E-2</v>
      </c>
      <c r="AL24" s="50">
        <f t="shared" si="14"/>
        <v>7.0330239391193247E-2</v>
      </c>
      <c r="AM24" s="39"/>
      <c r="AN24" s="50">
        <f t="shared" si="15"/>
        <v>1.1237916226716387</v>
      </c>
      <c r="AO24" s="50">
        <f t="shared" si="16"/>
        <v>-1.0111795889078772E-2</v>
      </c>
      <c r="AP24" s="50">
        <f t="shared" si="17"/>
        <v>-0.1136798267825599</v>
      </c>
      <c r="AQ24" s="50">
        <f t="shared" si="18"/>
        <v>0.16305347456818078</v>
      </c>
      <c r="AR24" s="45"/>
    </row>
    <row r="25" spans="3:44" s="7" customFormat="1" x14ac:dyDescent="0.2">
      <c r="C25" s="39"/>
      <c r="D25" s="39"/>
      <c r="E25" s="39">
        <v>119</v>
      </c>
      <c r="F25" s="39" t="s">
        <v>2230</v>
      </c>
      <c r="G25" s="39" t="str">
        <f>VLOOKUP(E25,Mapping!$E$11:$G$96,3,0)</f>
        <v>Negotiated Capex</v>
      </c>
      <c r="H25" s="39" t="str">
        <f>VLOOKUP(E25,Mapping!$E$11:$K$96,7,0)</f>
        <v>Negotiated Capex</v>
      </c>
      <c r="I25" s="39"/>
      <c r="J25" s="49">
        <f>SUMPRODUCT(--('Input|Historical Data'!$Q$9:$Q$2561=$E25),--('Input|Historical Data'!$AA$9:$AA$2561="SCS"),--('Input|Historical Data'!$Y$9:$Y$2561=J$5),'Input|Historical Data'!$U$9:$U$2561)</f>
        <v>0</v>
      </c>
      <c r="K25" s="49">
        <f>SUMPRODUCT(--('Input|Historical Data'!$Q$9:$Q$2561=$E25),--('Input|Historical Data'!$AA$9:$AA$2561="SCS"),--('Input|Historical Data'!$Z$9:$Z$2561=K$5),'Input|Historical Data'!$U$9:$U$2561)</f>
        <v>0</v>
      </c>
      <c r="L25" s="49">
        <f>SUMPRODUCT(--('Input|Historical Data'!$Q$9:$Q$2561=$E25),--('Input|Historical Data'!$AA$9:$AA$2561="SCS"),--('Input|Historical Data'!$Z$9:$Z$2561=L$5),'Input|Historical Data'!$U$9:$U$2561)</f>
        <v>0</v>
      </c>
      <c r="M25" s="49">
        <f>SUMPRODUCT(--('Input|Historical Data'!$Q$9:$Q$2561=$E25),--('Input|Historical Data'!$AA$9:$AA$2561="SCS"),--('Input|Historical Data'!$Z$9:$Z$2561=M$5),'Input|Historical Data'!$U$9:$U$2561)</f>
        <v>0</v>
      </c>
      <c r="N25" s="49">
        <f>SUMPRODUCT(--('Input|Historical Data'!$Q$9:$Q$2561=$E25),--('Input|Historical Data'!$AA$9:$AA$2561="SCS"),--('Input|Historical Data'!$Y$9:$Y$2561=N$5),'Input|Historical Data'!$U$9:$U$2561)</f>
        <v>0</v>
      </c>
      <c r="O25" s="50">
        <f t="shared" si="5"/>
        <v>0</v>
      </c>
      <c r="P25" s="50">
        <f t="shared" si="6"/>
        <v>0</v>
      </c>
      <c r="Q25" s="50">
        <f t="shared" si="7"/>
        <v>0</v>
      </c>
      <c r="R25" s="50">
        <f t="shared" si="8"/>
        <v>0</v>
      </c>
      <c r="S25" s="39"/>
      <c r="T25" s="49">
        <f>SUMPRODUCT(--('Input|Historical Data'!$AC$9:$AC$2668=$E25),--('Input|Historical Data'!$AM$9:$AM$2668="SCS"),--('Input|Historical Data'!$AK$9:$AK$2668=T$5),'Input|Historical Data'!$AG$9:$AG$2668)</f>
        <v>0</v>
      </c>
      <c r="U25" s="49">
        <f>SUMPRODUCT(--('Input|Historical Data'!$AC$9:$AC$2668=$E25),--('Input|Historical Data'!$AM$9:$AM$2668="SCS"),--('Input|Historical Data'!$AL$9:$AL$2668=U$5),'Input|Historical Data'!$AG$9:$AG$2668)</f>
        <v>0</v>
      </c>
      <c r="V25" s="49">
        <f>SUMPRODUCT(--('Input|Historical Data'!$AC$9:$AC$2668=$E25),--('Input|Historical Data'!$AM$9:$AM$2668="SCS"),--('Input|Historical Data'!$AL$9:$AL$2668=V$5),'Input|Historical Data'!$AG$9:$AG$2668)</f>
        <v>0</v>
      </c>
      <c r="W25" s="49">
        <f>SUMPRODUCT(--('Input|Historical Data'!$AC$9:$AC$2668=$E25),--('Input|Historical Data'!$AM$9:$AM$2668="SCS"),--('Input|Historical Data'!$AL$9:$AL$2668=W$5),'Input|Historical Data'!$AG$9:$AG$2668)</f>
        <v>0</v>
      </c>
      <c r="X25" s="49">
        <f>SUMPRODUCT(--('Input|Historical Data'!$AC$9:$AC$2668=$E25),--('Input|Historical Data'!$AM$9:$AM$2668="SCS"),--('Input|Historical Data'!$AK$9:$AK$2668=X$5),'Input|Historical Data'!$AG$9:$AG$2668)</f>
        <v>0</v>
      </c>
      <c r="Y25" s="50">
        <f t="shared" si="9"/>
        <v>0</v>
      </c>
      <c r="Z25" s="50">
        <f t="shared" si="10"/>
        <v>0</v>
      </c>
      <c r="AA25" s="50">
        <f t="shared" si="11"/>
        <v>0</v>
      </c>
      <c r="AB25" s="50">
        <f t="shared" si="12"/>
        <v>0</v>
      </c>
      <c r="AC25" s="39"/>
      <c r="AD25" s="49">
        <f>SUMPRODUCT(--('Input|Historical Data'!$AO$9:$AO$2668=$E25),--('Input|Historical Data'!$AY$9:$AY$2668="SCS"),--('Input|Historical Data'!$AW$9:$AW$2668=AD$5),'Input|Historical Data'!$AS$9:$AS$2668)</f>
        <v>0</v>
      </c>
      <c r="AE25" s="49">
        <f>SUMPRODUCT(--('Input|Historical Data'!$AO$9:$AO$2668=$E25),--('Input|Historical Data'!$AY$9:$AY$2668="SCS"),--('Input|Historical Data'!$AX$9:$AX$2668=AE$5),'Input|Historical Data'!$AS$9:$AS$2668)</f>
        <v>0</v>
      </c>
      <c r="AF25" s="49">
        <f>SUMPRODUCT(--('Input|Historical Data'!$AO$9:$AO$2668=$E25),--('Input|Historical Data'!$AY$9:$AY$2668="SCS"),--('Input|Historical Data'!$AX$9:$AX$2668=AF$5),'Input|Historical Data'!$AS$9:$AS$2668)</f>
        <v>0</v>
      </c>
      <c r="AG25" s="49">
        <f>SUMPRODUCT(--('Input|Historical Data'!$AO$9:$AO$2668=$E25),--('Input|Historical Data'!$AY$9:$AY$2668="SCS"),--('Input|Historical Data'!$AX$9:$AX$2668=AG$5),'Input|Historical Data'!$AS$9:$AS$2668)</f>
        <v>0</v>
      </c>
      <c r="AH25" s="49">
        <f>SUMPRODUCT(--('Input|Historical Data'!$AO$9:$AO$2668=$E25),--('Input|Historical Data'!$AY$9:$AY$2668="SCS"),--('Input|Historical Data'!$AW$9:$AW$2668=AH$5),'Input|Historical Data'!$AS$9:$AS$2668)</f>
        <v>0</v>
      </c>
      <c r="AI25" s="50">
        <f t="shared" si="13"/>
        <v>0</v>
      </c>
      <c r="AJ25" s="50">
        <f t="shared" si="2"/>
        <v>0</v>
      </c>
      <c r="AK25" s="50">
        <f t="shared" si="3"/>
        <v>0</v>
      </c>
      <c r="AL25" s="50">
        <f t="shared" si="14"/>
        <v>0</v>
      </c>
      <c r="AM25" s="39"/>
      <c r="AN25" s="50">
        <f t="shared" si="15"/>
        <v>0</v>
      </c>
      <c r="AO25" s="50">
        <f t="shared" si="16"/>
        <v>0</v>
      </c>
      <c r="AP25" s="50">
        <f t="shared" si="17"/>
        <v>0</v>
      </c>
      <c r="AQ25" s="50">
        <f t="shared" si="18"/>
        <v>0</v>
      </c>
      <c r="AR25" s="45"/>
    </row>
    <row r="26" spans="3:44" s="7" customFormat="1" x14ac:dyDescent="0.2">
      <c r="C26" s="39"/>
      <c r="D26" s="39"/>
      <c r="E26" s="39">
        <v>120</v>
      </c>
      <c r="F26" s="39" t="s">
        <v>2231</v>
      </c>
      <c r="G26" s="39" t="str">
        <f>VLOOKUP(E26,Mapping!$E$11:$G$96,3,0)</f>
        <v>Negotiated Capex</v>
      </c>
      <c r="H26" s="39" t="str">
        <f>VLOOKUP(E26,Mapping!$E$11:$K$96,7,0)</f>
        <v>Negotiated Capex</v>
      </c>
      <c r="I26" s="39"/>
      <c r="J26" s="49">
        <f>SUMPRODUCT(--('Input|Historical Data'!$Q$9:$Q$2561=$E26),--('Input|Historical Data'!$AA$9:$AA$2561="SCS"),--('Input|Historical Data'!$Y$9:$Y$2561=J$5),'Input|Historical Data'!$U$9:$U$2561)</f>
        <v>0</v>
      </c>
      <c r="K26" s="49">
        <f>SUMPRODUCT(--('Input|Historical Data'!$Q$9:$Q$2561=$E26),--('Input|Historical Data'!$AA$9:$AA$2561="SCS"),--('Input|Historical Data'!$Z$9:$Z$2561=K$5),'Input|Historical Data'!$U$9:$U$2561)</f>
        <v>0</v>
      </c>
      <c r="L26" s="49">
        <f>SUMPRODUCT(--('Input|Historical Data'!$Q$9:$Q$2561=$E26),--('Input|Historical Data'!$AA$9:$AA$2561="SCS"),--('Input|Historical Data'!$Z$9:$Z$2561=L$5),'Input|Historical Data'!$U$9:$U$2561)</f>
        <v>0</v>
      </c>
      <c r="M26" s="49">
        <f>SUMPRODUCT(--('Input|Historical Data'!$Q$9:$Q$2561=$E26),--('Input|Historical Data'!$AA$9:$AA$2561="SCS"),--('Input|Historical Data'!$Z$9:$Z$2561=M$5),'Input|Historical Data'!$U$9:$U$2561)</f>
        <v>0</v>
      </c>
      <c r="N26" s="49">
        <f>SUMPRODUCT(--('Input|Historical Data'!$Q$9:$Q$2561=$E26),--('Input|Historical Data'!$AA$9:$AA$2561="SCS"),--('Input|Historical Data'!$Y$9:$Y$2561=N$5),'Input|Historical Data'!$U$9:$U$2561)</f>
        <v>0</v>
      </c>
      <c r="O26" s="50">
        <f t="shared" si="5"/>
        <v>0</v>
      </c>
      <c r="P26" s="50">
        <f t="shared" si="6"/>
        <v>0</v>
      </c>
      <c r="Q26" s="50">
        <f t="shared" si="7"/>
        <v>0</v>
      </c>
      <c r="R26" s="50">
        <f t="shared" si="8"/>
        <v>0</v>
      </c>
      <c r="S26" s="39"/>
      <c r="T26" s="49">
        <f>SUMPRODUCT(--('Input|Historical Data'!$AC$9:$AC$2668=$E26),--('Input|Historical Data'!$AM$9:$AM$2668="SCS"),--('Input|Historical Data'!$AK$9:$AK$2668=T$5),'Input|Historical Data'!$AG$9:$AG$2668)</f>
        <v>0</v>
      </c>
      <c r="U26" s="49">
        <f>SUMPRODUCT(--('Input|Historical Data'!$AC$9:$AC$2668=$E26),--('Input|Historical Data'!$AM$9:$AM$2668="SCS"),--('Input|Historical Data'!$AL$9:$AL$2668=U$5),'Input|Historical Data'!$AG$9:$AG$2668)</f>
        <v>0</v>
      </c>
      <c r="V26" s="49">
        <f>SUMPRODUCT(--('Input|Historical Data'!$AC$9:$AC$2668=$E26),--('Input|Historical Data'!$AM$9:$AM$2668="SCS"),--('Input|Historical Data'!$AL$9:$AL$2668=V$5),'Input|Historical Data'!$AG$9:$AG$2668)</f>
        <v>0</v>
      </c>
      <c r="W26" s="49">
        <f>SUMPRODUCT(--('Input|Historical Data'!$AC$9:$AC$2668=$E26),--('Input|Historical Data'!$AM$9:$AM$2668="SCS"),--('Input|Historical Data'!$AL$9:$AL$2668=W$5),'Input|Historical Data'!$AG$9:$AG$2668)</f>
        <v>0</v>
      </c>
      <c r="X26" s="49">
        <f>SUMPRODUCT(--('Input|Historical Data'!$AC$9:$AC$2668=$E26),--('Input|Historical Data'!$AM$9:$AM$2668="SCS"),--('Input|Historical Data'!$AK$9:$AK$2668=X$5),'Input|Historical Data'!$AG$9:$AG$2668)</f>
        <v>0</v>
      </c>
      <c r="Y26" s="50">
        <f t="shared" si="9"/>
        <v>0</v>
      </c>
      <c r="Z26" s="50">
        <f t="shared" si="10"/>
        <v>0</v>
      </c>
      <c r="AA26" s="50">
        <f t="shared" si="11"/>
        <v>0</v>
      </c>
      <c r="AB26" s="50">
        <f t="shared" si="12"/>
        <v>0</v>
      </c>
      <c r="AC26" s="39"/>
      <c r="AD26" s="49">
        <f>SUMPRODUCT(--('Input|Historical Data'!$AO$9:$AO$2668=$E26),--('Input|Historical Data'!$AY$9:$AY$2668="SCS"),--('Input|Historical Data'!$AW$9:$AW$2668=AD$5),'Input|Historical Data'!$AS$9:$AS$2668)</f>
        <v>0</v>
      </c>
      <c r="AE26" s="49">
        <f>SUMPRODUCT(--('Input|Historical Data'!$AO$9:$AO$2668=$E26),--('Input|Historical Data'!$AY$9:$AY$2668="SCS"),--('Input|Historical Data'!$AX$9:$AX$2668=AE$5),'Input|Historical Data'!$AS$9:$AS$2668)</f>
        <v>0</v>
      </c>
      <c r="AF26" s="49">
        <f>SUMPRODUCT(--('Input|Historical Data'!$AO$9:$AO$2668=$E26),--('Input|Historical Data'!$AY$9:$AY$2668="SCS"),--('Input|Historical Data'!$AX$9:$AX$2668=AF$5),'Input|Historical Data'!$AS$9:$AS$2668)</f>
        <v>0</v>
      </c>
      <c r="AG26" s="49">
        <f>SUMPRODUCT(--('Input|Historical Data'!$AO$9:$AO$2668=$E26),--('Input|Historical Data'!$AY$9:$AY$2668="SCS"),--('Input|Historical Data'!$AX$9:$AX$2668=AG$5),'Input|Historical Data'!$AS$9:$AS$2668)</f>
        <v>0</v>
      </c>
      <c r="AH26" s="49">
        <f>SUMPRODUCT(--('Input|Historical Data'!$AO$9:$AO$2668=$E26),--('Input|Historical Data'!$AY$9:$AY$2668="SCS"),--('Input|Historical Data'!$AW$9:$AW$2668=AH$5),'Input|Historical Data'!$AS$9:$AS$2668)</f>
        <v>0</v>
      </c>
      <c r="AI26" s="50">
        <f t="shared" si="13"/>
        <v>0</v>
      </c>
      <c r="AJ26" s="50">
        <f t="shared" si="2"/>
        <v>0</v>
      </c>
      <c r="AK26" s="50">
        <f t="shared" si="3"/>
        <v>0</v>
      </c>
      <c r="AL26" s="50">
        <f t="shared" si="14"/>
        <v>0</v>
      </c>
      <c r="AM26" s="39"/>
      <c r="AN26" s="50">
        <f t="shared" si="15"/>
        <v>0</v>
      </c>
      <c r="AO26" s="50">
        <f t="shared" si="16"/>
        <v>0</v>
      </c>
      <c r="AP26" s="50">
        <f t="shared" si="17"/>
        <v>0</v>
      </c>
      <c r="AQ26" s="50">
        <f t="shared" si="18"/>
        <v>0</v>
      </c>
      <c r="AR26" s="45"/>
    </row>
    <row r="27" spans="3:44" s="7" customFormat="1" x14ac:dyDescent="0.2">
      <c r="C27" s="39"/>
      <c r="D27" s="39"/>
      <c r="E27" s="39">
        <v>121</v>
      </c>
      <c r="F27" s="39" t="s">
        <v>2232</v>
      </c>
      <c r="G27" s="39" t="str">
        <f>VLOOKUP(E27,Mapping!$E$11:$G$96,3,0)</f>
        <v>Connections</v>
      </c>
      <c r="H27" s="39" t="str">
        <f>VLOOKUP(E27,Mapping!$E$11:$K$96,7,0)</f>
        <v>SCS</v>
      </c>
      <c r="I27" s="39"/>
      <c r="J27" s="49">
        <f>SUMPRODUCT(--('Input|Historical Data'!$Q$9:$Q$2561=$E27),--('Input|Historical Data'!$AA$9:$AA$2561="SCS"),--('Input|Historical Data'!$Y$9:$Y$2561=J$5),'Input|Historical Data'!$U$9:$U$2561)</f>
        <v>18.751659999999998</v>
      </c>
      <c r="K27" s="49">
        <f>SUMPRODUCT(--('Input|Historical Data'!$Q$9:$Q$2561=$E27),--('Input|Historical Data'!$AA$9:$AA$2561="SCS"),--('Input|Historical Data'!$Z$9:$Z$2561=K$5),'Input|Historical Data'!$U$9:$U$2561)</f>
        <v>17.933869999999999</v>
      </c>
      <c r="L27" s="49">
        <f>SUMPRODUCT(--('Input|Historical Data'!$Q$9:$Q$2561=$E27),--('Input|Historical Data'!$AA$9:$AA$2561="SCS"),--('Input|Historical Data'!$Z$9:$Z$2561=L$5),'Input|Historical Data'!$U$9:$U$2561)</f>
        <v>0</v>
      </c>
      <c r="M27" s="49">
        <f>SUMPRODUCT(--('Input|Historical Data'!$Q$9:$Q$2561=$E27),--('Input|Historical Data'!$AA$9:$AA$2561="SCS"),--('Input|Historical Data'!$Z$9:$Z$2561=M$5),'Input|Historical Data'!$U$9:$U$2561)</f>
        <v>0</v>
      </c>
      <c r="N27" s="49">
        <f>SUMPRODUCT(--('Input|Historical Data'!$Q$9:$Q$2561=$E27),--('Input|Historical Data'!$AA$9:$AA$2561="SCS"),--('Input|Historical Data'!$Y$9:$Y$2561=N$5),'Input|Historical Data'!$U$9:$U$2561)</f>
        <v>3.4936500000000001</v>
      </c>
      <c r="O27" s="50">
        <f t="shared" si="5"/>
        <v>1</v>
      </c>
      <c r="P27" s="50">
        <f t="shared" si="6"/>
        <v>0</v>
      </c>
      <c r="Q27" s="50">
        <f t="shared" si="7"/>
        <v>0</v>
      </c>
      <c r="R27" s="50">
        <f t="shared" si="8"/>
        <v>0.18631150522140444</v>
      </c>
      <c r="S27" s="39"/>
      <c r="T27" s="49">
        <f>SUMPRODUCT(--('Input|Historical Data'!$AC$9:$AC$2668=$E27),--('Input|Historical Data'!$AM$9:$AM$2668="SCS"),--('Input|Historical Data'!$AK$9:$AK$2668=T$5),'Input|Historical Data'!$AG$9:$AG$2668)</f>
        <v>554.65237000000002</v>
      </c>
      <c r="U27" s="49">
        <f>SUMPRODUCT(--('Input|Historical Data'!$AC$9:$AC$2668=$E27),--('Input|Historical Data'!$AM$9:$AM$2668="SCS"),--('Input|Historical Data'!$AL$9:$AL$2668=U$5),'Input|Historical Data'!$AG$9:$AG$2668)</f>
        <v>71.077460000000002</v>
      </c>
      <c r="V27" s="49">
        <f>SUMPRODUCT(--('Input|Historical Data'!$AC$9:$AC$2668=$E27),--('Input|Historical Data'!$AM$9:$AM$2668="SCS"),--('Input|Historical Data'!$AL$9:$AL$2668=V$5),'Input|Historical Data'!$AG$9:$AG$2668)</f>
        <v>225.33750999999998</v>
      </c>
      <c r="W27" s="49">
        <f>SUMPRODUCT(--('Input|Historical Data'!$AC$9:$AC$2668=$E27),--('Input|Historical Data'!$AM$9:$AM$2668="SCS"),--('Input|Historical Data'!$AL$9:$AL$2668=W$5),'Input|Historical Data'!$AG$9:$AG$2668)</f>
        <v>239.81328000000002</v>
      </c>
      <c r="X27" s="49">
        <f>SUMPRODUCT(--('Input|Historical Data'!$AC$9:$AC$2668=$E27),--('Input|Historical Data'!$AM$9:$AM$2668="SCS"),--('Input|Historical Data'!$AK$9:$AK$2668=X$5),'Input|Historical Data'!$AG$9:$AG$2668)</f>
        <v>80.55189</v>
      </c>
      <c r="Y27" s="50">
        <f t="shared" si="9"/>
        <v>0.13255075613789463</v>
      </c>
      <c r="Z27" s="50">
        <f t="shared" si="10"/>
        <v>0.42022685302387552</v>
      </c>
      <c r="AA27" s="50">
        <f t="shared" si="11"/>
        <v>0.44722239083822984</v>
      </c>
      <c r="AB27" s="50">
        <f t="shared" si="12"/>
        <v>0.14522950654659603</v>
      </c>
      <c r="AC27" s="39"/>
      <c r="AD27" s="49">
        <f>SUMPRODUCT(--('Input|Historical Data'!$AO$9:$AO$2668=$E27),--('Input|Historical Data'!$AY$9:$AY$2668="SCS"),--('Input|Historical Data'!$AW$9:$AW$2668=AD$5),'Input|Historical Data'!$AS$9:$AS$2668)</f>
        <v>10.46959</v>
      </c>
      <c r="AE27" s="49">
        <f>SUMPRODUCT(--('Input|Historical Data'!$AO$9:$AO$2668=$E27),--('Input|Historical Data'!$AY$9:$AY$2668="SCS"),--('Input|Historical Data'!$AX$9:$AX$2668=AE$5),'Input|Historical Data'!$AS$9:$AS$2668)</f>
        <v>2.4188200000000002</v>
      </c>
      <c r="AF27" s="49">
        <f>SUMPRODUCT(--('Input|Historical Data'!$AO$9:$AO$2668=$E27),--('Input|Historical Data'!$AY$9:$AY$2668="SCS"),--('Input|Historical Data'!$AX$9:$AX$2668=AF$5),'Input|Historical Data'!$AS$9:$AS$2668)</f>
        <v>0</v>
      </c>
      <c r="AG27" s="49">
        <f>SUMPRODUCT(--('Input|Historical Data'!$AO$9:$AO$2668=$E27),--('Input|Historical Data'!$AY$9:$AY$2668="SCS"),--('Input|Historical Data'!$AX$9:$AX$2668=AG$5),'Input|Historical Data'!$AS$9:$AS$2668)</f>
        <v>7.4640000000000004</v>
      </c>
      <c r="AH27" s="49">
        <f>SUMPRODUCT(--('Input|Historical Data'!$AO$9:$AO$2668=$E27),--('Input|Historical Data'!$AY$9:$AY$2668="SCS"),--('Input|Historical Data'!$AW$9:$AW$2668=AH$5),'Input|Historical Data'!$AS$9:$AS$2668)</f>
        <v>1.3712599999999999</v>
      </c>
      <c r="AI27" s="50">
        <f t="shared" si="13"/>
        <v>0.24474998026878969</v>
      </c>
      <c r="AJ27" s="50">
        <f t="shared" si="2"/>
        <v>0</v>
      </c>
      <c r="AK27" s="50">
        <f t="shared" si="3"/>
        <v>0.75525001973121031</v>
      </c>
      <c r="AL27" s="50">
        <f t="shared" si="14"/>
        <v>0.13097552053136749</v>
      </c>
      <c r="AM27" s="39"/>
      <c r="AN27" s="50">
        <f t="shared" si="15"/>
        <v>0.16209727898631623</v>
      </c>
      <c r="AO27" s="50">
        <f t="shared" si="16"/>
        <v>0.39950275947870389</v>
      </c>
      <c r="AP27" s="50">
        <f t="shared" si="17"/>
        <v>0.43839996153497984</v>
      </c>
      <c r="AQ27" s="50">
        <f t="shared" si="18"/>
        <v>0.14629330230744111</v>
      </c>
      <c r="AR27" s="45"/>
    </row>
    <row r="28" spans="3:44" s="7" customFormat="1" x14ac:dyDescent="0.2">
      <c r="C28" s="39"/>
      <c r="D28" s="39"/>
      <c r="E28" s="39">
        <v>122</v>
      </c>
      <c r="F28" s="39" t="s">
        <v>2233</v>
      </c>
      <c r="G28" s="39" t="str">
        <f>VLOOKUP(E28,Mapping!$E$11:$G$96,3,0)</f>
        <v>Connections</v>
      </c>
      <c r="H28" s="39" t="str">
        <f>VLOOKUP(E28,Mapping!$E$11:$K$96,7,0)</f>
        <v>SCS</v>
      </c>
      <c r="I28" s="39"/>
      <c r="J28" s="49">
        <f>SUMPRODUCT(--('Input|Historical Data'!$Q$9:$Q$2561=$E28),--('Input|Historical Data'!$AA$9:$AA$2561="SCS"),--('Input|Historical Data'!$Y$9:$Y$2561=J$5),'Input|Historical Data'!$U$9:$U$2561)</f>
        <v>0</v>
      </c>
      <c r="K28" s="49">
        <f>SUMPRODUCT(--('Input|Historical Data'!$Q$9:$Q$2561=$E28),--('Input|Historical Data'!$AA$9:$AA$2561="SCS"),--('Input|Historical Data'!$Z$9:$Z$2561=K$5),'Input|Historical Data'!$U$9:$U$2561)</f>
        <v>0</v>
      </c>
      <c r="L28" s="49">
        <f>SUMPRODUCT(--('Input|Historical Data'!$Q$9:$Q$2561=$E28),--('Input|Historical Data'!$AA$9:$AA$2561="SCS"),--('Input|Historical Data'!$Z$9:$Z$2561=L$5),'Input|Historical Data'!$U$9:$U$2561)</f>
        <v>0</v>
      </c>
      <c r="M28" s="49">
        <f>SUMPRODUCT(--('Input|Historical Data'!$Q$9:$Q$2561=$E28),--('Input|Historical Data'!$AA$9:$AA$2561="SCS"),--('Input|Historical Data'!$Z$9:$Z$2561=M$5),'Input|Historical Data'!$U$9:$U$2561)</f>
        <v>0</v>
      </c>
      <c r="N28" s="49">
        <f>SUMPRODUCT(--('Input|Historical Data'!$Q$9:$Q$2561=$E28),--('Input|Historical Data'!$AA$9:$AA$2561="SCS"),--('Input|Historical Data'!$Y$9:$Y$2561=N$5),'Input|Historical Data'!$U$9:$U$2561)</f>
        <v>0</v>
      </c>
      <c r="O28" s="50">
        <f t="shared" si="5"/>
        <v>0</v>
      </c>
      <c r="P28" s="50">
        <f t="shared" si="6"/>
        <v>0</v>
      </c>
      <c r="Q28" s="50">
        <f t="shared" si="7"/>
        <v>0</v>
      </c>
      <c r="R28" s="50">
        <f t="shared" si="8"/>
        <v>0</v>
      </c>
      <c r="S28" s="39"/>
      <c r="T28" s="49">
        <f>SUMPRODUCT(--('Input|Historical Data'!$AC$9:$AC$2668=$E28),--('Input|Historical Data'!$AM$9:$AM$2668="SCS"),--('Input|Historical Data'!$AK$9:$AK$2668=T$5),'Input|Historical Data'!$AG$9:$AG$2668)</f>
        <v>0</v>
      </c>
      <c r="U28" s="49">
        <f>SUMPRODUCT(--('Input|Historical Data'!$AC$9:$AC$2668=$E28),--('Input|Historical Data'!$AM$9:$AM$2668="SCS"),--('Input|Historical Data'!$AL$9:$AL$2668=U$5),'Input|Historical Data'!$AG$9:$AG$2668)</f>
        <v>0</v>
      </c>
      <c r="V28" s="49">
        <f>SUMPRODUCT(--('Input|Historical Data'!$AC$9:$AC$2668=$E28),--('Input|Historical Data'!$AM$9:$AM$2668="SCS"),--('Input|Historical Data'!$AL$9:$AL$2668=V$5),'Input|Historical Data'!$AG$9:$AG$2668)</f>
        <v>0</v>
      </c>
      <c r="W28" s="49">
        <f>SUMPRODUCT(--('Input|Historical Data'!$AC$9:$AC$2668=$E28),--('Input|Historical Data'!$AM$9:$AM$2668="SCS"),--('Input|Historical Data'!$AL$9:$AL$2668=W$5),'Input|Historical Data'!$AG$9:$AG$2668)</f>
        <v>0</v>
      </c>
      <c r="X28" s="49">
        <f>SUMPRODUCT(--('Input|Historical Data'!$AC$9:$AC$2668=$E28),--('Input|Historical Data'!$AM$9:$AM$2668="SCS"),--('Input|Historical Data'!$AK$9:$AK$2668=X$5),'Input|Historical Data'!$AG$9:$AG$2668)</f>
        <v>0</v>
      </c>
      <c r="Y28" s="50">
        <f t="shared" si="9"/>
        <v>0</v>
      </c>
      <c r="Z28" s="50">
        <f t="shared" si="10"/>
        <v>0</v>
      </c>
      <c r="AA28" s="50">
        <f t="shared" si="11"/>
        <v>0</v>
      </c>
      <c r="AB28" s="50">
        <f t="shared" si="12"/>
        <v>0</v>
      </c>
      <c r="AC28" s="39"/>
      <c r="AD28" s="49">
        <f>SUMPRODUCT(--('Input|Historical Data'!$AO$9:$AO$2668=$E28),--('Input|Historical Data'!$AY$9:$AY$2668="SCS"),--('Input|Historical Data'!$AW$9:$AW$2668=AD$5),'Input|Historical Data'!$AS$9:$AS$2668)</f>
        <v>0</v>
      </c>
      <c r="AE28" s="49">
        <f>SUMPRODUCT(--('Input|Historical Data'!$AO$9:$AO$2668=$E28),--('Input|Historical Data'!$AY$9:$AY$2668="SCS"),--('Input|Historical Data'!$AX$9:$AX$2668=AE$5),'Input|Historical Data'!$AS$9:$AS$2668)</f>
        <v>0</v>
      </c>
      <c r="AF28" s="49">
        <f>SUMPRODUCT(--('Input|Historical Data'!$AO$9:$AO$2668=$E28),--('Input|Historical Data'!$AY$9:$AY$2668="SCS"),--('Input|Historical Data'!$AX$9:$AX$2668=AF$5),'Input|Historical Data'!$AS$9:$AS$2668)</f>
        <v>0</v>
      </c>
      <c r="AG28" s="49">
        <f>SUMPRODUCT(--('Input|Historical Data'!$AO$9:$AO$2668=$E28),--('Input|Historical Data'!$AY$9:$AY$2668="SCS"),--('Input|Historical Data'!$AX$9:$AX$2668=AG$5),'Input|Historical Data'!$AS$9:$AS$2668)</f>
        <v>0</v>
      </c>
      <c r="AH28" s="49">
        <f>SUMPRODUCT(--('Input|Historical Data'!$AO$9:$AO$2668=$E28),--('Input|Historical Data'!$AY$9:$AY$2668="SCS"),--('Input|Historical Data'!$AW$9:$AW$2668=AH$5),'Input|Historical Data'!$AS$9:$AS$2668)</f>
        <v>0</v>
      </c>
      <c r="AI28" s="50">
        <f t="shared" si="13"/>
        <v>0</v>
      </c>
      <c r="AJ28" s="50">
        <f t="shared" si="2"/>
        <v>0</v>
      </c>
      <c r="AK28" s="50">
        <f t="shared" si="3"/>
        <v>0</v>
      </c>
      <c r="AL28" s="50">
        <f t="shared" si="14"/>
        <v>0</v>
      </c>
      <c r="AM28" s="39"/>
      <c r="AN28" s="50">
        <f t="shared" si="15"/>
        <v>0</v>
      </c>
      <c r="AO28" s="50">
        <f t="shared" si="16"/>
        <v>0</v>
      </c>
      <c r="AP28" s="50">
        <f t="shared" si="17"/>
        <v>0</v>
      </c>
      <c r="AQ28" s="50">
        <f t="shared" si="18"/>
        <v>0</v>
      </c>
      <c r="AR28" s="45"/>
    </row>
    <row r="29" spans="3:44" s="7" customFormat="1" x14ac:dyDescent="0.2">
      <c r="C29" s="39"/>
      <c r="D29" s="39"/>
      <c r="E29" s="39">
        <v>123</v>
      </c>
      <c r="F29" s="39" t="s">
        <v>2234</v>
      </c>
      <c r="G29" s="39" t="str">
        <f>VLOOKUP(E29,Mapping!$E$11:$G$96,3,0)</f>
        <v>Metering Opex</v>
      </c>
      <c r="H29" s="39" t="str">
        <f>VLOOKUP(E29,Mapping!$E$11:$K$96,7,0)</f>
        <v>Connection Services</v>
      </c>
      <c r="I29" s="39"/>
      <c r="J29" s="49">
        <f>SUMPRODUCT(--('Input|Historical Data'!$Q$9:$Q$2561=$E29),--('Input|Historical Data'!$AA$9:$AA$2561="SCS"),--('Input|Historical Data'!$Y$9:$Y$2561=J$5),'Input|Historical Data'!$U$9:$U$2561)</f>
        <v>0</v>
      </c>
      <c r="K29" s="49">
        <f>SUMPRODUCT(--('Input|Historical Data'!$Q$9:$Q$2561=$E29),--('Input|Historical Data'!$AA$9:$AA$2561="SCS"),--('Input|Historical Data'!$Z$9:$Z$2561=K$5),'Input|Historical Data'!$U$9:$U$2561)</f>
        <v>0</v>
      </c>
      <c r="L29" s="49">
        <f>SUMPRODUCT(--('Input|Historical Data'!$Q$9:$Q$2561=$E29),--('Input|Historical Data'!$AA$9:$AA$2561="SCS"),--('Input|Historical Data'!$Z$9:$Z$2561=L$5),'Input|Historical Data'!$U$9:$U$2561)</f>
        <v>0</v>
      </c>
      <c r="M29" s="49">
        <f>SUMPRODUCT(--('Input|Historical Data'!$Q$9:$Q$2561=$E29),--('Input|Historical Data'!$AA$9:$AA$2561="SCS"),--('Input|Historical Data'!$Z$9:$Z$2561=M$5),'Input|Historical Data'!$U$9:$U$2561)</f>
        <v>0</v>
      </c>
      <c r="N29" s="49">
        <f>SUMPRODUCT(--('Input|Historical Data'!$Q$9:$Q$2561=$E29),--('Input|Historical Data'!$AA$9:$AA$2561="SCS"),--('Input|Historical Data'!$Y$9:$Y$2561=N$5),'Input|Historical Data'!$U$9:$U$2561)</f>
        <v>0</v>
      </c>
      <c r="O29" s="50">
        <f t="shared" si="5"/>
        <v>0</v>
      </c>
      <c r="P29" s="50">
        <f t="shared" si="6"/>
        <v>0</v>
      </c>
      <c r="Q29" s="50">
        <f t="shared" si="7"/>
        <v>0</v>
      </c>
      <c r="R29" s="50">
        <f t="shared" si="8"/>
        <v>0</v>
      </c>
      <c r="S29" s="39"/>
      <c r="T29" s="49">
        <f>SUMPRODUCT(--('Input|Historical Data'!$AC$9:$AC$2668=$E29),--('Input|Historical Data'!$AM$9:$AM$2668="SCS"),--('Input|Historical Data'!$AK$9:$AK$2668=T$5),'Input|Historical Data'!$AG$9:$AG$2668)</f>
        <v>0</v>
      </c>
      <c r="U29" s="49">
        <f>SUMPRODUCT(--('Input|Historical Data'!$AC$9:$AC$2668=$E29),--('Input|Historical Data'!$AM$9:$AM$2668="SCS"),--('Input|Historical Data'!$AL$9:$AL$2668=U$5),'Input|Historical Data'!$AG$9:$AG$2668)</f>
        <v>0</v>
      </c>
      <c r="V29" s="49">
        <f>SUMPRODUCT(--('Input|Historical Data'!$AC$9:$AC$2668=$E29),--('Input|Historical Data'!$AM$9:$AM$2668="SCS"),--('Input|Historical Data'!$AL$9:$AL$2668=V$5),'Input|Historical Data'!$AG$9:$AG$2668)</f>
        <v>0</v>
      </c>
      <c r="W29" s="49">
        <f>SUMPRODUCT(--('Input|Historical Data'!$AC$9:$AC$2668=$E29),--('Input|Historical Data'!$AM$9:$AM$2668="SCS"),--('Input|Historical Data'!$AL$9:$AL$2668=W$5),'Input|Historical Data'!$AG$9:$AG$2668)</f>
        <v>0</v>
      </c>
      <c r="X29" s="49">
        <f>SUMPRODUCT(--('Input|Historical Data'!$AC$9:$AC$2668=$E29),--('Input|Historical Data'!$AM$9:$AM$2668="SCS"),--('Input|Historical Data'!$AK$9:$AK$2668=X$5),'Input|Historical Data'!$AG$9:$AG$2668)</f>
        <v>0</v>
      </c>
      <c r="Y29" s="50">
        <f t="shared" si="9"/>
        <v>0</v>
      </c>
      <c r="Z29" s="50">
        <f t="shared" si="10"/>
        <v>0</v>
      </c>
      <c r="AA29" s="50">
        <f t="shared" si="11"/>
        <v>0</v>
      </c>
      <c r="AB29" s="50">
        <f t="shared" si="12"/>
        <v>0</v>
      </c>
      <c r="AC29" s="39"/>
      <c r="AD29" s="49">
        <f>SUMPRODUCT(--('Input|Historical Data'!$AO$9:$AO$2668=$E29),--('Input|Historical Data'!$AY$9:$AY$2668="SCS"),--('Input|Historical Data'!$AW$9:$AW$2668=AD$5),'Input|Historical Data'!$AS$9:$AS$2668)</f>
        <v>0</v>
      </c>
      <c r="AE29" s="49">
        <f>SUMPRODUCT(--('Input|Historical Data'!$AO$9:$AO$2668=$E29),--('Input|Historical Data'!$AY$9:$AY$2668="SCS"),--('Input|Historical Data'!$AX$9:$AX$2668=AE$5),'Input|Historical Data'!$AS$9:$AS$2668)</f>
        <v>0</v>
      </c>
      <c r="AF29" s="49">
        <f>SUMPRODUCT(--('Input|Historical Data'!$AO$9:$AO$2668=$E29),--('Input|Historical Data'!$AY$9:$AY$2668="SCS"),--('Input|Historical Data'!$AX$9:$AX$2668=AF$5),'Input|Historical Data'!$AS$9:$AS$2668)</f>
        <v>0</v>
      </c>
      <c r="AG29" s="49">
        <f>SUMPRODUCT(--('Input|Historical Data'!$AO$9:$AO$2668=$E29),--('Input|Historical Data'!$AY$9:$AY$2668="SCS"),--('Input|Historical Data'!$AX$9:$AX$2668=AG$5),'Input|Historical Data'!$AS$9:$AS$2668)</f>
        <v>0</v>
      </c>
      <c r="AH29" s="49">
        <f>SUMPRODUCT(--('Input|Historical Data'!$AO$9:$AO$2668=$E29),--('Input|Historical Data'!$AY$9:$AY$2668="SCS"),--('Input|Historical Data'!$AW$9:$AW$2668=AH$5),'Input|Historical Data'!$AS$9:$AS$2668)</f>
        <v>0</v>
      </c>
      <c r="AI29" s="50">
        <f t="shared" si="13"/>
        <v>0</v>
      </c>
      <c r="AJ29" s="50">
        <f t="shared" si="2"/>
        <v>0</v>
      </c>
      <c r="AK29" s="50">
        <f t="shared" si="3"/>
        <v>0</v>
      </c>
      <c r="AL29" s="50">
        <f t="shared" si="14"/>
        <v>0</v>
      </c>
      <c r="AM29" s="39"/>
      <c r="AN29" s="50">
        <f t="shared" si="15"/>
        <v>0</v>
      </c>
      <c r="AO29" s="50">
        <f t="shared" si="16"/>
        <v>0</v>
      </c>
      <c r="AP29" s="50">
        <f t="shared" si="17"/>
        <v>0</v>
      </c>
      <c r="AQ29" s="50">
        <f t="shared" si="18"/>
        <v>0</v>
      </c>
      <c r="AR29" s="45"/>
    </row>
    <row r="30" spans="3:44" s="7" customFormat="1" x14ac:dyDescent="0.2">
      <c r="C30" s="39"/>
      <c r="D30" s="39"/>
      <c r="E30" s="39">
        <v>124</v>
      </c>
      <c r="F30" s="39" t="s">
        <v>2235</v>
      </c>
      <c r="G30" s="39" t="str">
        <f>VLOOKUP(E30,Mapping!$E$11:$G$96,3,0)</f>
        <v>Metering Opex</v>
      </c>
      <c r="H30" s="39" t="str">
        <f>VLOOKUP(E30,Mapping!$E$11:$K$96,7,0)</f>
        <v>Connection Services</v>
      </c>
      <c r="I30" s="39"/>
      <c r="J30" s="49">
        <f>SUMPRODUCT(--('Input|Historical Data'!$Q$9:$Q$2561=$E30),--('Input|Historical Data'!$AA$9:$AA$2561="SCS"),--('Input|Historical Data'!$Y$9:$Y$2561=J$5),'Input|Historical Data'!$U$9:$U$2561)</f>
        <v>0</v>
      </c>
      <c r="K30" s="49">
        <f>SUMPRODUCT(--('Input|Historical Data'!$Q$9:$Q$2561=$E30),--('Input|Historical Data'!$AA$9:$AA$2561="SCS"),--('Input|Historical Data'!$Z$9:$Z$2561=K$5),'Input|Historical Data'!$U$9:$U$2561)</f>
        <v>0</v>
      </c>
      <c r="L30" s="49">
        <f>SUMPRODUCT(--('Input|Historical Data'!$Q$9:$Q$2561=$E30),--('Input|Historical Data'!$AA$9:$AA$2561="SCS"),--('Input|Historical Data'!$Z$9:$Z$2561=L$5),'Input|Historical Data'!$U$9:$U$2561)</f>
        <v>0</v>
      </c>
      <c r="M30" s="49">
        <f>SUMPRODUCT(--('Input|Historical Data'!$Q$9:$Q$2561=$E30),--('Input|Historical Data'!$AA$9:$AA$2561="SCS"),--('Input|Historical Data'!$Z$9:$Z$2561=M$5),'Input|Historical Data'!$U$9:$U$2561)</f>
        <v>0</v>
      </c>
      <c r="N30" s="49">
        <f>SUMPRODUCT(--('Input|Historical Data'!$Q$9:$Q$2561=$E30),--('Input|Historical Data'!$AA$9:$AA$2561="SCS"),--('Input|Historical Data'!$Y$9:$Y$2561=N$5),'Input|Historical Data'!$U$9:$U$2561)</f>
        <v>0</v>
      </c>
      <c r="O30" s="50">
        <f t="shared" si="5"/>
        <v>0</v>
      </c>
      <c r="P30" s="50">
        <f t="shared" si="6"/>
        <v>0</v>
      </c>
      <c r="Q30" s="50">
        <f t="shared" si="7"/>
        <v>0</v>
      </c>
      <c r="R30" s="50">
        <f t="shared" si="8"/>
        <v>0</v>
      </c>
      <c r="S30" s="39"/>
      <c r="T30" s="49">
        <f>SUMPRODUCT(--('Input|Historical Data'!$AC$9:$AC$2668=$E30),--('Input|Historical Data'!$AM$9:$AM$2668="SCS"),--('Input|Historical Data'!$AK$9:$AK$2668=T$5),'Input|Historical Data'!$AG$9:$AG$2668)</f>
        <v>0</v>
      </c>
      <c r="U30" s="49">
        <f>SUMPRODUCT(--('Input|Historical Data'!$AC$9:$AC$2668=$E30),--('Input|Historical Data'!$AM$9:$AM$2668="SCS"),--('Input|Historical Data'!$AL$9:$AL$2668=U$5),'Input|Historical Data'!$AG$9:$AG$2668)</f>
        <v>0</v>
      </c>
      <c r="V30" s="49">
        <f>SUMPRODUCT(--('Input|Historical Data'!$AC$9:$AC$2668=$E30),--('Input|Historical Data'!$AM$9:$AM$2668="SCS"),--('Input|Historical Data'!$AL$9:$AL$2668=V$5),'Input|Historical Data'!$AG$9:$AG$2668)</f>
        <v>0</v>
      </c>
      <c r="W30" s="49">
        <f>SUMPRODUCT(--('Input|Historical Data'!$AC$9:$AC$2668=$E30),--('Input|Historical Data'!$AM$9:$AM$2668="SCS"),--('Input|Historical Data'!$AL$9:$AL$2668=W$5),'Input|Historical Data'!$AG$9:$AG$2668)</f>
        <v>0</v>
      </c>
      <c r="X30" s="49">
        <f>SUMPRODUCT(--('Input|Historical Data'!$AC$9:$AC$2668=$E30),--('Input|Historical Data'!$AM$9:$AM$2668="SCS"),--('Input|Historical Data'!$AK$9:$AK$2668=X$5),'Input|Historical Data'!$AG$9:$AG$2668)</f>
        <v>0</v>
      </c>
      <c r="Y30" s="50">
        <f t="shared" si="9"/>
        <v>0</v>
      </c>
      <c r="Z30" s="50">
        <f t="shared" si="10"/>
        <v>0</v>
      </c>
      <c r="AA30" s="50">
        <f t="shared" si="11"/>
        <v>0</v>
      </c>
      <c r="AB30" s="50">
        <f t="shared" si="12"/>
        <v>0</v>
      </c>
      <c r="AC30" s="39"/>
      <c r="AD30" s="49">
        <f>SUMPRODUCT(--('Input|Historical Data'!$AO$9:$AO$2668=$E30),--('Input|Historical Data'!$AY$9:$AY$2668="SCS"),--('Input|Historical Data'!$AW$9:$AW$2668=AD$5),'Input|Historical Data'!$AS$9:$AS$2668)</f>
        <v>0</v>
      </c>
      <c r="AE30" s="49">
        <f>SUMPRODUCT(--('Input|Historical Data'!$AO$9:$AO$2668=$E30),--('Input|Historical Data'!$AY$9:$AY$2668="SCS"),--('Input|Historical Data'!$AX$9:$AX$2668=AE$5),'Input|Historical Data'!$AS$9:$AS$2668)</f>
        <v>0</v>
      </c>
      <c r="AF30" s="49">
        <f>SUMPRODUCT(--('Input|Historical Data'!$AO$9:$AO$2668=$E30),--('Input|Historical Data'!$AY$9:$AY$2668="SCS"),--('Input|Historical Data'!$AX$9:$AX$2668=AF$5),'Input|Historical Data'!$AS$9:$AS$2668)</f>
        <v>0</v>
      </c>
      <c r="AG30" s="49">
        <f>SUMPRODUCT(--('Input|Historical Data'!$AO$9:$AO$2668=$E30),--('Input|Historical Data'!$AY$9:$AY$2668="SCS"),--('Input|Historical Data'!$AX$9:$AX$2668=AG$5),'Input|Historical Data'!$AS$9:$AS$2668)</f>
        <v>0</v>
      </c>
      <c r="AH30" s="49">
        <f>SUMPRODUCT(--('Input|Historical Data'!$AO$9:$AO$2668=$E30),--('Input|Historical Data'!$AY$9:$AY$2668="SCS"),--('Input|Historical Data'!$AW$9:$AW$2668=AH$5),'Input|Historical Data'!$AS$9:$AS$2668)</f>
        <v>0</v>
      </c>
      <c r="AI30" s="50">
        <f t="shared" si="13"/>
        <v>0</v>
      </c>
      <c r="AJ30" s="50">
        <f t="shared" si="2"/>
        <v>0</v>
      </c>
      <c r="AK30" s="50">
        <f t="shared" si="3"/>
        <v>0</v>
      </c>
      <c r="AL30" s="50">
        <f t="shared" si="14"/>
        <v>0</v>
      </c>
      <c r="AM30" s="39"/>
      <c r="AN30" s="50">
        <f t="shared" si="15"/>
        <v>0</v>
      </c>
      <c r="AO30" s="50">
        <f t="shared" si="16"/>
        <v>0</v>
      </c>
      <c r="AP30" s="50">
        <f t="shared" si="17"/>
        <v>0</v>
      </c>
      <c r="AQ30" s="50">
        <f t="shared" si="18"/>
        <v>0</v>
      </c>
      <c r="AR30" s="45"/>
    </row>
    <row r="31" spans="3:44" s="7" customFormat="1" x14ac:dyDescent="0.2">
      <c r="C31" s="39"/>
      <c r="D31" s="39"/>
      <c r="E31" s="39">
        <v>125</v>
      </c>
      <c r="F31" s="39" t="s">
        <v>2236</v>
      </c>
      <c r="G31" s="39" t="str">
        <f>VLOOKUP(E31,Mapping!$E$11:$G$96,3,0)</f>
        <v>Metering Capex</v>
      </c>
      <c r="H31" s="39" t="str">
        <f>VLOOKUP(E31,Mapping!$E$11:$K$96,7,0)</f>
        <v>Metering Services</v>
      </c>
      <c r="I31" s="39"/>
      <c r="J31" s="49">
        <f>SUMPRODUCT(--('Input|Historical Data'!$Q$9:$Q$2561=$E31),--('Input|Historical Data'!$AA$9:$AA$2561="SCS"),--('Input|Historical Data'!$Y$9:$Y$2561=J$5),'Input|Historical Data'!$U$9:$U$2561)</f>
        <v>0</v>
      </c>
      <c r="K31" s="49">
        <f>SUMPRODUCT(--('Input|Historical Data'!$Q$9:$Q$2561=$E31),--('Input|Historical Data'!$AA$9:$AA$2561="SCS"),--('Input|Historical Data'!$Z$9:$Z$2561=K$5),'Input|Historical Data'!$U$9:$U$2561)</f>
        <v>0</v>
      </c>
      <c r="L31" s="49">
        <f>SUMPRODUCT(--('Input|Historical Data'!$Q$9:$Q$2561=$E31),--('Input|Historical Data'!$AA$9:$AA$2561="SCS"),--('Input|Historical Data'!$Z$9:$Z$2561=L$5),'Input|Historical Data'!$U$9:$U$2561)</f>
        <v>0</v>
      </c>
      <c r="M31" s="49">
        <f>SUMPRODUCT(--('Input|Historical Data'!$Q$9:$Q$2561=$E31),--('Input|Historical Data'!$AA$9:$AA$2561="SCS"),--('Input|Historical Data'!$Z$9:$Z$2561=M$5),'Input|Historical Data'!$U$9:$U$2561)</f>
        <v>0</v>
      </c>
      <c r="N31" s="49">
        <f>SUMPRODUCT(--('Input|Historical Data'!$Q$9:$Q$2561=$E31),--('Input|Historical Data'!$AA$9:$AA$2561="SCS"),--('Input|Historical Data'!$Y$9:$Y$2561=N$5),'Input|Historical Data'!$U$9:$U$2561)</f>
        <v>0</v>
      </c>
      <c r="O31" s="50">
        <f t="shared" si="5"/>
        <v>0</v>
      </c>
      <c r="P31" s="50">
        <f t="shared" si="6"/>
        <v>0</v>
      </c>
      <c r="Q31" s="50">
        <f t="shared" si="7"/>
        <v>0</v>
      </c>
      <c r="R31" s="50">
        <f t="shared" si="8"/>
        <v>0</v>
      </c>
      <c r="S31" s="39"/>
      <c r="T31" s="49">
        <f>SUMPRODUCT(--('Input|Historical Data'!$AC$9:$AC$2668=$E31),--('Input|Historical Data'!$AM$9:$AM$2668="SCS"),--('Input|Historical Data'!$AK$9:$AK$2668=T$5),'Input|Historical Data'!$AG$9:$AG$2668)</f>
        <v>0</v>
      </c>
      <c r="U31" s="49">
        <f>SUMPRODUCT(--('Input|Historical Data'!$AC$9:$AC$2668=$E31),--('Input|Historical Data'!$AM$9:$AM$2668="SCS"),--('Input|Historical Data'!$AL$9:$AL$2668=U$5),'Input|Historical Data'!$AG$9:$AG$2668)</f>
        <v>0</v>
      </c>
      <c r="V31" s="49">
        <f>SUMPRODUCT(--('Input|Historical Data'!$AC$9:$AC$2668=$E31),--('Input|Historical Data'!$AM$9:$AM$2668="SCS"),--('Input|Historical Data'!$AL$9:$AL$2668=V$5),'Input|Historical Data'!$AG$9:$AG$2668)</f>
        <v>0</v>
      </c>
      <c r="W31" s="49">
        <f>SUMPRODUCT(--('Input|Historical Data'!$AC$9:$AC$2668=$E31),--('Input|Historical Data'!$AM$9:$AM$2668="SCS"),--('Input|Historical Data'!$AL$9:$AL$2668=W$5),'Input|Historical Data'!$AG$9:$AG$2668)</f>
        <v>0</v>
      </c>
      <c r="X31" s="49">
        <f>SUMPRODUCT(--('Input|Historical Data'!$AC$9:$AC$2668=$E31),--('Input|Historical Data'!$AM$9:$AM$2668="SCS"),--('Input|Historical Data'!$AK$9:$AK$2668=X$5),'Input|Historical Data'!$AG$9:$AG$2668)</f>
        <v>0</v>
      </c>
      <c r="Y31" s="50">
        <f t="shared" si="9"/>
        <v>0</v>
      </c>
      <c r="Z31" s="50">
        <f t="shared" si="10"/>
        <v>0</v>
      </c>
      <c r="AA31" s="50">
        <f t="shared" si="11"/>
        <v>0</v>
      </c>
      <c r="AB31" s="50">
        <f t="shared" si="12"/>
        <v>0</v>
      </c>
      <c r="AC31" s="39"/>
      <c r="AD31" s="49">
        <f>SUMPRODUCT(--('Input|Historical Data'!$AO$9:$AO$2668=$E31),--('Input|Historical Data'!$AY$9:$AY$2668="SCS"),--('Input|Historical Data'!$AW$9:$AW$2668=AD$5),'Input|Historical Data'!$AS$9:$AS$2668)</f>
        <v>0</v>
      </c>
      <c r="AE31" s="49">
        <f>SUMPRODUCT(--('Input|Historical Data'!$AO$9:$AO$2668=$E31),--('Input|Historical Data'!$AY$9:$AY$2668="SCS"),--('Input|Historical Data'!$AX$9:$AX$2668=AE$5),'Input|Historical Data'!$AS$9:$AS$2668)</f>
        <v>0</v>
      </c>
      <c r="AF31" s="49">
        <f>SUMPRODUCT(--('Input|Historical Data'!$AO$9:$AO$2668=$E31),--('Input|Historical Data'!$AY$9:$AY$2668="SCS"),--('Input|Historical Data'!$AX$9:$AX$2668=AF$5),'Input|Historical Data'!$AS$9:$AS$2668)</f>
        <v>0</v>
      </c>
      <c r="AG31" s="49">
        <f>SUMPRODUCT(--('Input|Historical Data'!$AO$9:$AO$2668=$E31),--('Input|Historical Data'!$AY$9:$AY$2668="SCS"),--('Input|Historical Data'!$AX$9:$AX$2668=AG$5),'Input|Historical Data'!$AS$9:$AS$2668)</f>
        <v>0</v>
      </c>
      <c r="AH31" s="49">
        <f>SUMPRODUCT(--('Input|Historical Data'!$AO$9:$AO$2668=$E31),--('Input|Historical Data'!$AY$9:$AY$2668="SCS"),--('Input|Historical Data'!$AW$9:$AW$2668=AH$5),'Input|Historical Data'!$AS$9:$AS$2668)</f>
        <v>0</v>
      </c>
      <c r="AI31" s="50">
        <f t="shared" si="13"/>
        <v>0</v>
      </c>
      <c r="AJ31" s="50">
        <f t="shared" si="2"/>
        <v>0</v>
      </c>
      <c r="AK31" s="50">
        <f t="shared" si="3"/>
        <v>0</v>
      </c>
      <c r="AL31" s="50">
        <f t="shared" si="14"/>
        <v>0</v>
      </c>
      <c r="AM31" s="39"/>
      <c r="AN31" s="50">
        <f t="shared" si="15"/>
        <v>0</v>
      </c>
      <c r="AO31" s="50">
        <f t="shared" si="16"/>
        <v>0</v>
      </c>
      <c r="AP31" s="50">
        <f t="shared" si="17"/>
        <v>0</v>
      </c>
      <c r="AQ31" s="50">
        <f t="shared" si="18"/>
        <v>0</v>
      </c>
      <c r="AR31" s="45"/>
    </row>
    <row r="32" spans="3:44" s="7" customFormat="1" x14ac:dyDescent="0.2">
      <c r="C32" s="39"/>
      <c r="D32" s="39"/>
      <c r="E32" s="39">
        <v>126</v>
      </c>
      <c r="F32" s="39" t="s">
        <v>2237</v>
      </c>
      <c r="G32" s="39" t="str">
        <f>VLOOKUP(E32,Mapping!$E$11:$G$96,3,0)</f>
        <v>Metering Opex</v>
      </c>
      <c r="H32" s="39" t="str">
        <f>VLOOKUP(E32,Mapping!$E$11:$K$96,7,0)</f>
        <v>Connection Services</v>
      </c>
      <c r="I32" s="39"/>
      <c r="J32" s="49">
        <f>SUMPRODUCT(--('Input|Historical Data'!$Q$9:$Q$2561=$E32),--('Input|Historical Data'!$AA$9:$AA$2561="SCS"),--('Input|Historical Data'!$Y$9:$Y$2561=J$5),'Input|Historical Data'!$U$9:$U$2561)</f>
        <v>0</v>
      </c>
      <c r="K32" s="49">
        <f>SUMPRODUCT(--('Input|Historical Data'!$Q$9:$Q$2561=$E32),--('Input|Historical Data'!$AA$9:$AA$2561="SCS"),--('Input|Historical Data'!$Z$9:$Z$2561=K$5),'Input|Historical Data'!$U$9:$U$2561)</f>
        <v>0</v>
      </c>
      <c r="L32" s="49">
        <f>SUMPRODUCT(--('Input|Historical Data'!$Q$9:$Q$2561=$E32),--('Input|Historical Data'!$AA$9:$AA$2561="SCS"),--('Input|Historical Data'!$Z$9:$Z$2561=L$5),'Input|Historical Data'!$U$9:$U$2561)</f>
        <v>0</v>
      </c>
      <c r="M32" s="49">
        <f>SUMPRODUCT(--('Input|Historical Data'!$Q$9:$Q$2561=$E32),--('Input|Historical Data'!$AA$9:$AA$2561="SCS"),--('Input|Historical Data'!$Z$9:$Z$2561=M$5),'Input|Historical Data'!$U$9:$U$2561)</f>
        <v>0</v>
      </c>
      <c r="N32" s="49">
        <f>SUMPRODUCT(--('Input|Historical Data'!$Q$9:$Q$2561=$E32),--('Input|Historical Data'!$AA$9:$AA$2561="SCS"),--('Input|Historical Data'!$Y$9:$Y$2561=N$5),'Input|Historical Data'!$U$9:$U$2561)</f>
        <v>0</v>
      </c>
      <c r="O32" s="50">
        <f t="shared" si="5"/>
        <v>0</v>
      </c>
      <c r="P32" s="50">
        <f t="shared" si="6"/>
        <v>0</v>
      </c>
      <c r="Q32" s="50">
        <f t="shared" si="7"/>
        <v>0</v>
      </c>
      <c r="R32" s="50">
        <f t="shared" si="8"/>
        <v>0</v>
      </c>
      <c r="S32" s="39"/>
      <c r="T32" s="49">
        <f>SUMPRODUCT(--('Input|Historical Data'!$AC$9:$AC$2668=$E32),--('Input|Historical Data'!$AM$9:$AM$2668="SCS"),--('Input|Historical Data'!$AK$9:$AK$2668=T$5),'Input|Historical Data'!$AG$9:$AG$2668)</f>
        <v>0</v>
      </c>
      <c r="U32" s="49">
        <f>SUMPRODUCT(--('Input|Historical Data'!$AC$9:$AC$2668=$E32),--('Input|Historical Data'!$AM$9:$AM$2668="SCS"),--('Input|Historical Data'!$AL$9:$AL$2668=U$5),'Input|Historical Data'!$AG$9:$AG$2668)</f>
        <v>0</v>
      </c>
      <c r="V32" s="49">
        <f>SUMPRODUCT(--('Input|Historical Data'!$AC$9:$AC$2668=$E32),--('Input|Historical Data'!$AM$9:$AM$2668="SCS"),--('Input|Historical Data'!$AL$9:$AL$2668=V$5),'Input|Historical Data'!$AG$9:$AG$2668)</f>
        <v>0</v>
      </c>
      <c r="W32" s="49">
        <f>SUMPRODUCT(--('Input|Historical Data'!$AC$9:$AC$2668=$E32),--('Input|Historical Data'!$AM$9:$AM$2668="SCS"),--('Input|Historical Data'!$AL$9:$AL$2668=W$5),'Input|Historical Data'!$AG$9:$AG$2668)</f>
        <v>0</v>
      </c>
      <c r="X32" s="49">
        <f>SUMPRODUCT(--('Input|Historical Data'!$AC$9:$AC$2668=$E32),--('Input|Historical Data'!$AM$9:$AM$2668="SCS"),--('Input|Historical Data'!$AK$9:$AK$2668=X$5),'Input|Historical Data'!$AG$9:$AG$2668)</f>
        <v>0</v>
      </c>
      <c r="Y32" s="50">
        <f t="shared" si="9"/>
        <v>0</v>
      </c>
      <c r="Z32" s="50">
        <f t="shared" si="10"/>
        <v>0</v>
      </c>
      <c r="AA32" s="50">
        <f t="shared" si="11"/>
        <v>0</v>
      </c>
      <c r="AB32" s="50">
        <f t="shared" si="12"/>
        <v>0</v>
      </c>
      <c r="AC32" s="39"/>
      <c r="AD32" s="49">
        <f>SUMPRODUCT(--('Input|Historical Data'!$AO$9:$AO$2668=$E32),--('Input|Historical Data'!$AY$9:$AY$2668="SCS"),--('Input|Historical Data'!$AW$9:$AW$2668=AD$5),'Input|Historical Data'!$AS$9:$AS$2668)</f>
        <v>0</v>
      </c>
      <c r="AE32" s="49">
        <f>SUMPRODUCT(--('Input|Historical Data'!$AO$9:$AO$2668=$E32),--('Input|Historical Data'!$AY$9:$AY$2668="SCS"),--('Input|Historical Data'!$AX$9:$AX$2668=AE$5),'Input|Historical Data'!$AS$9:$AS$2668)</f>
        <v>0</v>
      </c>
      <c r="AF32" s="49">
        <f>SUMPRODUCT(--('Input|Historical Data'!$AO$9:$AO$2668=$E32),--('Input|Historical Data'!$AY$9:$AY$2668="SCS"),--('Input|Historical Data'!$AX$9:$AX$2668=AF$5),'Input|Historical Data'!$AS$9:$AS$2668)</f>
        <v>0</v>
      </c>
      <c r="AG32" s="49">
        <f>SUMPRODUCT(--('Input|Historical Data'!$AO$9:$AO$2668=$E32),--('Input|Historical Data'!$AY$9:$AY$2668="SCS"),--('Input|Historical Data'!$AX$9:$AX$2668=AG$5),'Input|Historical Data'!$AS$9:$AS$2668)</f>
        <v>0</v>
      </c>
      <c r="AH32" s="49">
        <f>SUMPRODUCT(--('Input|Historical Data'!$AO$9:$AO$2668=$E32),--('Input|Historical Data'!$AY$9:$AY$2668="SCS"),--('Input|Historical Data'!$AW$9:$AW$2668=AH$5),'Input|Historical Data'!$AS$9:$AS$2668)</f>
        <v>0</v>
      </c>
      <c r="AI32" s="50">
        <f t="shared" si="13"/>
        <v>0</v>
      </c>
      <c r="AJ32" s="50">
        <f t="shared" si="2"/>
        <v>0</v>
      </c>
      <c r="AK32" s="50">
        <f t="shared" si="3"/>
        <v>0</v>
      </c>
      <c r="AL32" s="50">
        <f t="shared" si="14"/>
        <v>0</v>
      </c>
      <c r="AM32" s="39"/>
      <c r="AN32" s="50">
        <f t="shared" si="15"/>
        <v>0</v>
      </c>
      <c r="AO32" s="50">
        <f t="shared" si="16"/>
        <v>0</v>
      </c>
      <c r="AP32" s="50">
        <f t="shared" si="17"/>
        <v>0</v>
      </c>
      <c r="AQ32" s="50">
        <f t="shared" si="18"/>
        <v>0</v>
      </c>
      <c r="AR32" s="45"/>
    </row>
    <row r="33" spans="3:44" s="7" customFormat="1" x14ac:dyDescent="0.2">
      <c r="C33" s="39"/>
      <c r="D33" s="39"/>
      <c r="E33" s="39">
        <v>130</v>
      </c>
      <c r="F33" s="39" t="s">
        <v>2238</v>
      </c>
      <c r="G33" s="39" t="str">
        <f>VLOOKUP(E33,Mapping!$E$11:$G$96,3,0)</f>
        <v>Fee Based Opex</v>
      </c>
      <c r="H33" s="39" t="str">
        <f>VLOOKUP(E33,Mapping!$E$11:$K$96,7,0)</f>
        <v>Ancillary Network Services</v>
      </c>
      <c r="I33" s="39"/>
      <c r="J33" s="49">
        <f>SUMPRODUCT(--('Input|Historical Data'!$Q$9:$Q$2561=$E33),--('Input|Historical Data'!$AA$9:$AA$2561="SCS"),--('Input|Historical Data'!$Y$9:$Y$2561=J$5),'Input|Historical Data'!$U$9:$U$2561)</f>
        <v>0</v>
      </c>
      <c r="K33" s="49">
        <f>SUMPRODUCT(--('Input|Historical Data'!$Q$9:$Q$2561=$E33),--('Input|Historical Data'!$AA$9:$AA$2561="SCS"),--('Input|Historical Data'!$Z$9:$Z$2561=K$5),'Input|Historical Data'!$U$9:$U$2561)</f>
        <v>0</v>
      </c>
      <c r="L33" s="49">
        <f>SUMPRODUCT(--('Input|Historical Data'!$Q$9:$Q$2561=$E33),--('Input|Historical Data'!$AA$9:$AA$2561="SCS"),--('Input|Historical Data'!$Z$9:$Z$2561=L$5),'Input|Historical Data'!$U$9:$U$2561)</f>
        <v>0</v>
      </c>
      <c r="M33" s="49">
        <f>SUMPRODUCT(--('Input|Historical Data'!$Q$9:$Q$2561=$E33),--('Input|Historical Data'!$AA$9:$AA$2561="SCS"),--('Input|Historical Data'!$Z$9:$Z$2561=M$5),'Input|Historical Data'!$U$9:$U$2561)</f>
        <v>0</v>
      </c>
      <c r="N33" s="49">
        <f>SUMPRODUCT(--('Input|Historical Data'!$Q$9:$Q$2561=$E33),--('Input|Historical Data'!$AA$9:$AA$2561="SCS"),--('Input|Historical Data'!$Y$9:$Y$2561=N$5),'Input|Historical Data'!$U$9:$U$2561)</f>
        <v>0</v>
      </c>
      <c r="O33" s="50">
        <f t="shared" si="5"/>
        <v>0</v>
      </c>
      <c r="P33" s="50">
        <f t="shared" si="6"/>
        <v>0</v>
      </c>
      <c r="Q33" s="50">
        <f t="shared" si="7"/>
        <v>0</v>
      </c>
      <c r="R33" s="50">
        <f t="shared" si="8"/>
        <v>0</v>
      </c>
      <c r="S33" s="39"/>
      <c r="T33" s="49">
        <f>SUMPRODUCT(--('Input|Historical Data'!$AC$9:$AC$2668=$E33),--('Input|Historical Data'!$AM$9:$AM$2668="SCS"),--('Input|Historical Data'!$AK$9:$AK$2668=T$5),'Input|Historical Data'!$AG$9:$AG$2668)</f>
        <v>0</v>
      </c>
      <c r="U33" s="49">
        <f>SUMPRODUCT(--('Input|Historical Data'!$AC$9:$AC$2668=$E33),--('Input|Historical Data'!$AM$9:$AM$2668="SCS"),--('Input|Historical Data'!$AL$9:$AL$2668=U$5),'Input|Historical Data'!$AG$9:$AG$2668)</f>
        <v>0</v>
      </c>
      <c r="V33" s="49">
        <f>SUMPRODUCT(--('Input|Historical Data'!$AC$9:$AC$2668=$E33),--('Input|Historical Data'!$AM$9:$AM$2668="SCS"),--('Input|Historical Data'!$AL$9:$AL$2668=V$5),'Input|Historical Data'!$AG$9:$AG$2668)</f>
        <v>0</v>
      </c>
      <c r="W33" s="49">
        <f>SUMPRODUCT(--('Input|Historical Data'!$AC$9:$AC$2668=$E33),--('Input|Historical Data'!$AM$9:$AM$2668="SCS"),--('Input|Historical Data'!$AL$9:$AL$2668=W$5),'Input|Historical Data'!$AG$9:$AG$2668)</f>
        <v>0</v>
      </c>
      <c r="X33" s="49">
        <f>SUMPRODUCT(--('Input|Historical Data'!$AC$9:$AC$2668=$E33),--('Input|Historical Data'!$AM$9:$AM$2668="SCS"),--('Input|Historical Data'!$AK$9:$AK$2668=X$5),'Input|Historical Data'!$AG$9:$AG$2668)</f>
        <v>0</v>
      </c>
      <c r="Y33" s="50">
        <f t="shared" si="9"/>
        <v>0</v>
      </c>
      <c r="Z33" s="50">
        <f t="shared" si="10"/>
        <v>0</v>
      </c>
      <c r="AA33" s="50">
        <f t="shared" si="11"/>
        <v>0</v>
      </c>
      <c r="AB33" s="50">
        <f t="shared" si="12"/>
        <v>0</v>
      </c>
      <c r="AC33" s="39"/>
      <c r="AD33" s="49">
        <f>SUMPRODUCT(--('Input|Historical Data'!$AO$9:$AO$2668=$E33),--('Input|Historical Data'!$AY$9:$AY$2668="SCS"),--('Input|Historical Data'!$AW$9:$AW$2668=AD$5),'Input|Historical Data'!$AS$9:$AS$2668)</f>
        <v>0</v>
      </c>
      <c r="AE33" s="49">
        <f>SUMPRODUCT(--('Input|Historical Data'!$AO$9:$AO$2668=$E33),--('Input|Historical Data'!$AY$9:$AY$2668="SCS"),--('Input|Historical Data'!$AX$9:$AX$2668=AE$5),'Input|Historical Data'!$AS$9:$AS$2668)</f>
        <v>0</v>
      </c>
      <c r="AF33" s="49">
        <f>SUMPRODUCT(--('Input|Historical Data'!$AO$9:$AO$2668=$E33),--('Input|Historical Data'!$AY$9:$AY$2668="SCS"),--('Input|Historical Data'!$AX$9:$AX$2668=AF$5),'Input|Historical Data'!$AS$9:$AS$2668)</f>
        <v>0</v>
      </c>
      <c r="AG33" s="49">
        <f>SUMPRODUCT(--('Input|Historical Data'!$AO$9:$AO$2668=$E33),--('Input|Historical Data'!$AY$9:$AY$2668="SCS"),--('Input|Historical Data'!$AX$9:$AX$2668=AG$5),'Input|Historical Data'!$AS$9:$AS$2668)</f>
        <v>0</v>
      </c>
      <c r="AH33" s="49">
        <f>SUMPRODUCT(--('Input|Historical Data'!$AO$9:$AO$2668=$E33),--('Input|Historical Data'!$AY$9:$AY$2668="SCS"),--('Input|Historical Data'!$AW$9:$AW$2668=AH$5),'Input|Historical Data'!$AS$9:$AS$2668)</f>
        <v>0</v>
      </c>
      <c r="AI33" s="50">
        <f t="shared" si="13"/>
        <v>0</v>
      </c>
      <c r="AJ33" s="50">
        <f t="shared" si="2"/>
        <v>0</v>
      </c>
      <c r="AK33" s="50">
        <f t="shared" si="3"/>
        <v>0</v>
      </c>
      <c r="AL33" s="50">
        <f t="shared" si="14"/>
        <v>0</v>
      </c>
      <c r="AM33" s="39"/>
      <c r="AN33" s="50">
        <f t="shared" si="15"/>
        <v>0</v>
      </c>
      <c r="AO33" s="50">
        <f t="shared" si="16"/>
        <v>0</v>
      </c>
      <c r="AP33" s="50">
        <f t="shared" si="17"/>
        <v>0</v>
      </c>
      <c r="AQ33" s="50">
        <f t="shared" si="18"/>
        <v>0</v>
      </c>
      <c r="AR33" s="45"/>
    </row>
    <row r="34" spans="3:44" s="7" customFormat="1" x14ac:dyDescent="0.2">
      <c r="C34" s="39"/>
      <c r="D34" s="39"/>
      <c r="E34" s="39">
        <v>131</v>
      </c>
      <c r="F34" s="39" t="s">
        <v>2239</v>
      </c>
      <c r="G34" s="39" t="str">
        <f>VLOOKUP(E34,Mapping!$E$11:$G$96,3,0)</f>
        <v>Replacement</v>
      </c>
      <c r="H34" s="39" t="str">
        <f>VLOOKUP(E34,Mapping!$E$11:$K$96,7,0)</f>
        <v>SCS</v>
      </c>
      <c r="I34" s="39"/>
      <c r="J34" s="49">
        <f>SUMPRODUCT(--('Input|Historical Data'!$Q$9:$Q$2561=$E34),--('Input|Historical Data'!$AA$9:$AA$2561="SCS"),--('Input|Historical Data'!$Y$9:$Y$2561=J$5),'Input|Historical Data'!$U$9:$U$2561)</f>
        <v>4883.8012400000016</v>
      </c>
      <c r="K34" s="49">
        <f>SUMPRODUCT(--('Input|Historical Data'!$Q$9:$Q$2561=$E34),--('Input|Historical Data'!$AA$9:$AA$2561="SCS"),--('Input|Historical Data'!$Z$9:$Z$2561=K$5),'Input|Historical Data'!$U$9:$U$2561)</f>
        <v>3410.8923799999993</v>
      </c>
      <c r="L34" s="49">
        <f>SUMPRODUCT(--('Input|Historical Data'!$Q$9:$Q$2561=$E34),--('Input|Historical Data'!$AA$9:$AA$2561="SCS"),--('Input|Historical Data'!$Z$9:$Z$2561=L$5),'Input|Historical Data'!$U$9:$U$2561)</f>
        <v>16.177499999999981</v>
      </c>
      <c r="M34" s="49">
        <f>SUMPRODUCT(--('Input|Historical Data'!$Q$9:$Q$2561=$E34),--('Input|Historical Data'!$AA$9:$AA$2561="SCS"),--('Input|Historical Data'!$Z$9:$Z$2561=M$5),'Input|Historical Data'!$U$9:$U$2561)</f>
        <v>1209.4636200000002</v>
      </c>
      <c r="N34" s="49">
        <f>SUMPRODUCT(--('Input|Historical Data'!$Q$9:$Q$2561=$E34),--('Input|Historical Data'!$AA$9:$AA$2561="SCS"),--('Input|Historical Data'!$Y$9:$Y$2561=N$5),'Input|Historical Data'!$U$9:$U$2561)</f>
        <v>899.94867999999997</v>
      </c>
      <c r="O34" s="50">
        <f t="shared" si="5"/>
        <v>0.73565571779002559</v>
      </c>
      <c r="P34" s="50">
        <f t="shared" si="6"/>
        <v>3.4891368734853274E-3</v>
      </c>
      <c r="Q34" s="50">
        <f t="shared" si="7"/>
        <v>0.26085514533648907</v>
      </c>
      <c r="R34" s="50">
        <f t="shared" si="8"/>
        <v>0.18427217566290632</v>
      </c>
      <c r="S34" s="39"/>
      <c r="T34" s="49">
        <f>SUMPRODUCT(--('Input|Historical Data'!$AC$9:$AC$2668=$E34),--('Input|Historical Data'!$AM$9:$AM$2668="SCS"),--('Input|Historical Data'!$AK$9:$AK$2668=T$5),'Input|Historical Data'!$AG$9:$AG$2668)</f>
        <v>4460.6827700000003</v>
      </c>
      <c r="U34" s="49">
        <f>SUMPRODUCT(--('Input|Historical Data'!$AC$9:$AC$2668=$E34),--('Input|Historical Data'!$AM$9:$AM$2668="SCS"),--('Input|Historical Data'!$AL$9:$AL$2668=U$5),'Input|Historical Data'!$AG$9:$AG$2668)</f>
        <v>2757.74728</v>
      </c>
      <c r="V34" s="49">
        <f>SUMPRODUCT(--('Input|Historical Data'!$AC$9:$AC$2668=$E34),--('Input|Historical Data'!$AM$9:$AM$2668="SCS"),--('Input|Historical Data'!$AL$9:$AL$2668=V$5),'Input|Historical Data'!$AG$9:$AG$2668)</f>
        <v>263.50495999999998</v>
      </c>
      <c r="W34" s="49">
        <f>SUMPRODUCT(--('Input|Historical Data'!$AC$9:$AC$2668=$E34),--('Input|Historical Data'!$AM$9:$AM$2668="SCS"),--('Input|Historical Data'!$AL$9:$AL$2668=W$5),'Input|Historical Data'!$AG$9:$AG$2668)</f>
        <v>1244.7752399999999</v>
      </c>
      <c r="X34" s="49">
        <f>SUMPRODUCT(--('Input|Historical Data'!$AC$9:$AC$2668=$E34),--('Input|Historical Data'!$AM$9:$AM$2668="SCS"),--('Input|Historical Data'!$AK$9:$AK$2668=X$5),'Input|Historical Data'!$AG$9:$AG$2668)</f>
        <v>807.09567000000004</v>
      </c>
      <c r="Y34" s="50">
        <f t="shared" si="9"/>
        <v>0.64644386210095395</v>
      </c>
      <c r="Z34" s="50">
        <f t="shared" si="10"/>
        <v>6.1768228459700404E-2</v>
      </c>
      <c r="AA34" s="50">
        <f t="shared" si="11"/>
        <v>0.29178790943934568</v>
      </c>
      <c r="AB34" s="50">
        <f t="shared" si="12"/>
        <v>0.18093545576207831</v>
      </c>
      <c r="AC34" s="39"/>
      <c r="AD34" s="49">
        <f>SUMPRODUCT(--('Input|Historical Data'!$AO$9:$AO$2668=$E34),--('Input|Historical Data'!$AY$9:$AY$2668="SCS"),--('Input|Historical Data'!$AW$9:$AW$2668=AD$5),'Input|Historical Data'!$AS$9:$AS$2668)</f>
        <v>3004.6051466049935</v>
      </c>
      <c r="AE34" s="49">
        <f>SUMPRODUCT(--('Input|Historical Data'!$AO$9:$AO$2668=$E34),--('Input|Historical Data'!$AY$9:$AY$2668="SCS"),--('Input|Historical Data'!$AX$9:$AX$2668=AE$5),'Input|Historical Data'!$AS$9:$AS$2668)</f>
        <v>2187.386270973861</v>
      </c>
      <c r="AF34" s="49">
        <f>SUMPRODUCT(--('Input|Historical Data'!$AO$9:$AO$2668=$E34),--('Input|Historical Data'!$AY$9:$AY$2668="SCS"),--('Input|Historical Data'!$AX$9:$AX$2668=AF$5),'Input|Historical Data'!$AS$9:$AS$2668)</f>
        <v>175.49585000000002</v>
      </c>
      <c r="AG34" s="49">
        <f>SUMPRODUCT(--('Input|Historical Data'!$AO$9:$AO$2668=$E34),--('Input|Historical Data'!$AY$9:$AY$2668="SCS"),--('Input|Historical Data'!$AX$9:$AX$2668=AG$5),'Input|Historical Data'!$AS$9:$AS$2668)</f>
        <v>490.54027006672732</v>
      </c>
      <c r="AH34" s="49">
        <f>SUMPRODUCT(--('Input|Historical Data'!$AO$9:$AO$2668=$E34),--('Input|Historical Data'!$AY$9:$AY$2668="SCS"),--('Input|Historical Data'!$AW$9:$AW$2668=AH$5),'Input|Historical Data'!$AS$9:$AS$2668)</f>
        <v>462.57743367225169</v>
      </c>
      <c r="AI34" s="50">
        <f t="shared" si="13"/>
        <v>0.76658341149981779</v>
      </c>
      <c r="AJ34" s="50">
        <f t="shared" si="2"/>
        <v>6.1503635266561454E-2</v>
      </c>
      <c r="AK34" s="50">
        <f t="shared" si="3"/>
        <v>0.17191295323362088</v>
      </c>
      <c r="AL34" s="50">
        <f t="shared" si="14"/>
        <v>0.15395614768048102</v>
      </c>
      <c r="AM34" s="39"/>
      <c r="AN34" s="50">
        <f t="shared" si="15"/>
        <v>0.71078919280865083</v>
      </c>
      <c r="AO34" s="50">
        <f t="shared" si="16"/>
        <v>3.8718863036271013E-2</v>
      </c>
      <c r="AP34" s="50">
        <f t="shared" si="17"/>
        <v>0.25049194415507831</v>
      </c>
      <c r="AQ34" s="50">
        <f t="shared" si="18"/>
        <v>0.17569083485900774</v>
      </c>
      <c r="AR34" s="45"/>
    </row>
    <row r="35" spans="3:44" s="7" customFormat="1" x14ac:dyDescent="0.2">
      <c r="C35" s="39"/>
      <c r="D35" s="39"/>
      <c r="E35" s="39">
        <v>132</v>
      </c>
      <c r="F35" s="39" t="s">
        <v>2240</v>
      </c>
      <c r="G35" s="39" t="str">
        <f>VLOOKUP(E35,Mapping!$E$11:$G$96,3,0)</f>
        <v>Metering Capex</v>
      </c>
      <c r="H35" s="39" t="str">
        <f>VLOOKUP(E35,Mapping!$E$11:$K$96,7,0)</f>
        <v>Metering Services</v>
      </c>
      <c r="I35" s="39"/>
      <c r="J35" s="49">
        <f>SUMPRODUCT(--('Input|Historical Data'!$Q$9:$Q$2561=$E35),--('Input|Historical Data'!$AA$9:$AA$2561="SCS"),--('Input|Historical Data'!$Y$9:$Y$2561=J$5),'Input|Historical Data'!$U$9:$U$2561)</f>
        <v>0</v>
      </c>
      <c r="K35" s="49">
        <f>SUMPRODUCT(--('Input|Historical Data'!$Q$9:$Q$2561=$E35),--('Input|Historical Data'!$AA$9:$AA$2561="SCS"),--('Input|Historical Data'!$Z$9:$Z$2561=K$5),'Input|Historical Data'!$U$9:$U$2561)</f>
        <v>0</v>
      </c>
      <c r="L35" s="49">
        <f>SUMPRODUCT(--('Input|Historical Data'!$Q$9:$Q$2561=$E35),--('Input|Historical Data'!$AA$9:$AA$2561="SCS"),--('Input|Historical Data'!$Z$9:$Z$2561=L$5),'Input|Historical Data'!$U$9:$U$2561)</f>
        <v>0</v>
      </c>
      <c r="M35" s="49">
        <f>SUMPRODUCT(--('Input|Historical Data'!$Q$9:$Q$2561=$E35),--('Input|Historical Data'!$AA$9:$AA$2561="SCS"),--('Input|Historical Data'!$Z$9:$Z$2561=M$5),'Input|Historical Data'!$U$9:$U$2561)</f>
        <v>0</v>
      </c>
      <c r="N35" s="49">
        <f>SUMPRODUCT(--('Input|Historical Data'!$Q$9:$Q$2561=$E35),--('Input|Historical Data'!$AA$9:$AA$2561="SCS"),--('Input|Historical Data'!$Y$9:$Y$2561=N$5),'Input|Historical Data'!$U$9:$U$2561)</f>
        <v>0</v>
      </c>
      <c r="O35" s="50">
        <f t="shared" si="5"/>
        <v>0</v>
      </c>
      <c r="P35" s="50">
        <f t="shared" si="6"/>
        <v>0</v>
      </c>
      <c r="Q35" s="50">
        <f t="shared" si="7"/>
        <v>0</v>
      </c>
      <c r="R35" s="50">
        <f t="shared" si="8"/>
        <v>0</v>
      </c>
      <c r="S35" s="39"/>
      <c r="T35" s="49">
        <f>SUMPRODUCT(--('Input|Historical Data'!$AC$9:$AC$2668=$E35),--('Input|Historical Data'!$AM$9:$AM$2668="SCS"),--('Input|Historical Data'!$AK$9:$AK$2668=T$5),'Input|Historical Data'!$AG$9:$AG$2668)</f>
        <v>0</v>
      </c>
      <c r="U35" s="49">
        <f>SUMPRODUCT(--('Input|Historical Data'!$AC$9:$AC$2668=$E35),--('Input|Historical Data'!$AM$9:$AM$2668="SCS"),--('Input|Historical Data'!$AL$9:$AL$2668=U$5),'Input|Historical Data'!$AG$9:$AG$2668)</f>
        <v>0</v>
      </c>
      <c r="V35" s="49">
        <f>SUMPRODUCT(--('Input|Historical Data'!$AC$9:$AC$2668=$E35),--('Input|Historical Data'!$AM$9:$AM$2668="SCS"),--('Input|Historical Data'!$AL$9:$AL$2668=V$5),'Input|Historical Data'!$AG$9:$AG$2668)</f>
        <v>0</v>
      </c>
      <c r="W35" s="49">
        <f>SUMPRODUCT(--('Input|Historical Data'!$AC$9:$AC$2668=$E35),--('Input|Historical Data'!$AM$9:$AM$2668="SCS"),--('Input|Historical Data'!$AL$9:$AL$2668=W$5),'Input|Historical Data'!$AG$9:$AG$2668)</f>
        <v>0</v>
      </c>
      <c r="X35" s="49">
        <f>SUMPRODUCT(--('Input|Historical Data'!$AC$9:$AC$2668=$E35),--('Input|Historical Data'!$AM$9:$AM$2668="SCS"),--('Input|Historical Data'!$AK$9:$AK$2668=X$5),'Input|Historical Data'!$AG$9:$AG$2668)</f>
        <v>0</v>
      </c>
      <c r="Y35" s="50">
        <f t="shared" si="9"/>
        <v>0</v>
      </c>
      <c r="Z35" s="50">
        <f t="shared" si="10"/>
        <v>0</v>
      </c>
      <c r="AA35" s="50">
        <f t="shared" si="11"/>
        <v>0</v>
      </c>
      <c r="AB35" s="50">
        <f t="shared" si="12"/>
        <v>0</v>
      </c>
      <c r="AC35" s="39"/>
      <c r="AD35" s="49">
        <f>SUMPRODUCT(--('Input|Historical Data'!$AO$9:$AO$2668=$E35),--('Input|Historical Data'!$AY$9:$AY$2668="SCS"),--('Input|Historical Data'!$AW$9:$AW$2668=AD$5),'Input|Historical Data'!$AS$9:$AS$2668)</f>
        <v>0</v>
      </c>
      <c r="AE35" s="49">
        <f>SUMPRODUCT(--('Input|Historical Data'!$AO$9:$AO$2668=$E35),--('Input|Historical Data'!$AY$9:$AY$2668="SCS"),--('Input|Historical Data'!$AX$9:$AX$2668=AE$5),'Input|Historical Data'!$AS$9:$AS$2668)</f>
        <v>0</v>
      </c>
      <c r="AF35" s="49">
        <f>SUMPRODUCT(--('Input|Historical Data'!$AO$9:$AO$2668=$E35),--('Input|Historical Data'!$AY$9:$AY$2668="SCS"),--('Input|Historical Data'!$AX$9:$AX$2668=AF$5),'Input|Historical Data'!$AS$9:$AS$2668)</f>
        <v>0</v>
      </c>
      <c r="AG35" s="49">
        <f>SUMPRODUCT(--('Input|Historical Data'!$AO$9:$AO$2668=$E35),--('Input|Historical Data'!$AY$9:$AY$2668="SCS"),--('Input|Historical Data'!$AX$9:$AX$2668=AG$5),'Input|Historical Data'!$AS$9:$AS$2668)</f>
        <v>0</v>
      </c>
      <c r="AH35" s="49">
        <f>SUMPRODUCT(--('Input|Historical Data'!$AO$9:$AO$2668=$E35),--('Input|Historical Data'!$AY$9:$AY$2668="SCS"),--('Input|Historical Data'!$AW$9:$AW$2668=AH$5),'Input|Historical Data'!$AS$9:$AS$2668)</f>
        <v>0</v>
      </c>
      <c r="AI35" s="50">
        <f t="shared" si="13"/>
        <v>0</v>
      </c>
      <c r="AJ35" s="50">
        <f t="shared" si="2"/>
        <v>0</v>
      </c>
      <c r="AK35" s="50">
        <f t="shared" si="3"/>
        <v>0</v>
      </c>
      <c r="AL35" s="50">
        <f t="shared" si="14"/>
        <v>0</v>
      </c>
      <c r="AM35" s="39"/>
      <c r="AN35" s="50">
        <f t="shared" si="15"/>
        <v>0</v>
      </c>
      <c r="AO35" s="50">
        <f t="shared" si="16"/>
        <v>0</v>
      </c>
      <c r="AP35" s="50">
        <f t="shared" si="17"/>
        <v>0</v>
      </c>
      <c r="AQ35" s="50">
        <f t="shared" si="18"/>
        <v>0</v>
      </c>
      <c r="AR35" s="45"/>
    </row>
    <row r="36" spans="3:44" s="7" customFormat="1" x14ac:dyDescent="0.2">
      <c r="C36" s="39"/>
      <c r="D36" s="39"/>
      <c r="E36" s="39">
        <v>133</v>
      </c>
      <c r="F36" s="39" t="s">
        <v>2241</v>
      </c>
      <c r="G36" s="39" t="str">
        <f>VLOOKUP(E36,Mapping!$E$11:$G$96,3,0)</f>
        <v>Metering Capex</v>
      </c>
      <c r="H36" s="39" t="str">
        <f>VLOOKUP(E36,Mapping!$E$11:$K$96,7,0)</f>
        <v>Metering Services</v>
      </c>
      <c r="I36" s="39"/>
      <c r="J36" s="49">
        <f>SUMPRODUCT(--('Input|Historical Data'!$Q$9:$Q$2561=$E36),--('Input|Historical Data'!$AA$9:$AA$2561="SCS"),--('Input|Historical Data'!$Y$9:$Y$2561=J$5),'Input|Historical Data'!$U$9:$U$2561)</f>
        <v>0</v>
      </c>
      <c r="K36" s="49">
        <f>SUMPRODUCT(--('Input|Historical Data'!$Q$9:$Q$2561=$E36),--('Input|Historical Data'!$AA$9:$AA$2561="SCS"),--('Input|Historical Data'!$Z$9:$Z$2561=K$5),'Input|Historical Data'!$U$9:$U$2561)</f>
        <v>0</v>
      </c>
      <c r="L36" s="49">
        <f>SUMPRODUCT(--('Input|Historical Data'!$Q$9:$Q$2561=$E36),--('Input|Historical Data'!$AA$9:$AA$2561="SCS"),--('Input|Historical Data'!$Z$9:$Z$2561=L$5),'Input|Historical Data'!$U$9:$U$2561)</f>
        <v>0</v>
      </c>
      <c r="M36" s="49">
        <f>SUMPRODUCT(--('Input|Historical Data'!$Q$9:$Q$2561=$E36),--('Input|Historical Data'!$AA$9:$AA$2561="SCS"),--('Input|Historical Data'!$Z$9:$Z$2561=M$5),'Input|Historical Data'!$U$9:$U$2561)</f>
        <v>0</v>
      </c>
      <c r="N36" s="49">
        <f>SUMPRODUCT(--('Input|Historical Data'!$Q$9:$Q$2561=$E36),--('Input|Historical Data'!$AA$9:$AA$2561="SCS"),--('Input|Historical Data'!$Y$9:$Y$2561=N$5),'Input|Historical Data'!$U$9:$U$2561)</f>
        <v>0</v>
      </c>
      <c r="O36" s="50">
        <f t="shared" si="5"/>
        <v>0</v>
      </c>
      <c r="P36" s="50">
        <f t="shared" si="6"/>
        <v>0</v>
      </c>
      <c r="Q36" s="50">
        <f t="shared" si="7"/>
        <v>0</v>
      </c>
      <c r="R36" s="50">
        <f t="shared" si="8"/>
        <v>0</v>
      </c>
      <c r="S36" s="39"/>
      <c r="T36" s="49">
        <f>SUMPRODUCT(--('Input|Historical Data'!$AC$9:$AC$2668=$E36),--('Input|Historical Data'!$AM$9:$AM$2668="SCS"),--('Input|Historical Data'!$AK$9:$AK$2668=T$5),'Input|Historical Data'!$AG$9:$AG$2668)</f>
        <v>0</v>
      </c>
      <c r="U36" s="49">
        <f>SUMPRODUCT(--('Input|Historical Data'!$AC$9:$AC$2668=$E36),--('Input|Historical Data'!$AM$9:$AM$2668="SCS"),--('Input|Historical Data'!$AL$9:$AL$2668=U$5),'Input|Historical Data'!$AG$9:$AG$2668)</f>
        <v>0</v>
      </c>
      <c r="V36" s="49">
        <f>SUMPRODUCT(--('Input|Historical Data'!$AC$9:$AC$2668=$E36),--('Input|Historical Data'!$AM$9:$AM$2668="SCS"),--('Input|Historical Data'!$AL$9:$AL$2668=V$5),'Input|Historical Data'!$AG$9:$AG$2668)</f>
        <v>0</v>
      </c>
      <c r="W36" s="49">
        <f>SUMPRODUCT(--('Input|Historical Data'!$AC$9:$AC$2668=$E36),--('Input|Historical Data'!$AM$9:$AM$2668="SCS"),--('Input|Historical Data'!$AL$9:$AL$2668=W$5),'Input|Historical Data'!$AG$9:$AG$2668)</f>
        <v>0</v>
      </c>
      <c r="X36" s="49">
        <f>SUMPRODUCT(--('Input|Historical Data'!$AC$9:$AC$2668=$E36),--('Input|Historical Data'!$AM$9:$AM$2668="SCS"),--('Input|Historical Data'!$AK$9:$AK$2668=X$5),'Input|Historical Data'!$AG$9:$AG$2668)</f>
        <v>0</v>
      </c>
      <c r="Y36" s="50">
        <f t="shared" si="9"/>
        <v>0</v>
      </c>
      <c r="Z36" s="50">
        <f t="shared" si="10"/>
        <v>0</v>
      </c>
      <c r="AA36" s="50">
        <f t="shared" si="11"/>
        <v>0</v>
      </c>
      <c r="AB36" s="50">
        <f t="shared" si="12"/>
        <v>0</v>
      </c>
      <c r="AC36" s="39"/>
      <c r="AD36" s="49">
        <f>SUMPRODUCT(--('Input|Historical Data'!$AO$9:$AO$2668=$E36),--('Input|Historical Data'!$AY$9:$AY$2668="SCS"),--('Input|Historical Data'!$AW$9:$AW$2668=AD$5),'Input|Historical Data'!$AS$9:$AS$2668)</f>
        <v>0</v>
      </c>
      <c r="AE36" s="49">
        <f>SUMPRODUCT(--('Input|Historical Data'!$AO$9:$AO$2668=$E36),--('Input|Historical Data'!$AY$9:$AY$2668="SCS"),--('Input|Historical Data'!$AX$9:$AX$2668=AE$5),'Input|Historical Data'!$AS$9:$AS$2668)</f>
        <v>0</v>
      </c>
      <c r="AF36" s="49">
        <f>SUMPRODUCT(--('Input|Historical Data'!$AO$9:$AO$2668=$E36),--('Input|Historical Data'!$AY$9:$AY$2668="SCS"),--('Input|Historical Data'!$AX$9:$AX$2668=AF$5),'Input|Historical Data'!$AS$9:$AS$2668)</f>
        <v>0</v>
      </c>
      <c r="AG36" s="49">
        <f>SUMPRODUCT(--('Input|Historical Data'!$AO$9:$AO$2668=$E36),--('Input|Historical Data'!$AY$9:$AY$2668="SCS"),--('Input|Historical Data'!$AX$9:$AX$2668=AG$5),'Input|Historical Data'!$AS$9:$AS$2668)</f>
        <v>0</v>
      </c>
      <c r="AH36" s="49">
        <f>SUMPRODUCT(--('Input|Historical Data'!$AO$9:$AO$2668=$E36),--('Input|Historical Data'!$AY$9:$AY$2668="SCS"),--('Input|Historical Data'!$AW$9:$AW$2668=AH$5),'Input|Historical Data'!$AS$9:$AS$2668)</f>
        <v>0</v>
      </c>
      <c r="AI36" s="50">
        <f t="shared" si="13"/>
        <v>0</v>
      </c>
      <c r="AJ36" s="50">
        <f t="shared" si="2"/>
        <v>0</v>
      </c>
      <c r="AK36" s="50">
        <f t="shared" si="3"/>
        <v>0</v>
      </c>
      <c r="AL36" s="50">
        <f t="shared" si="14"/>
        <v>0</v>
      </c>
      <c r="AM36" s="39"/>
      <c r="AN36" s="50">
        <f t="shared" si="15"/>
        <v>0</v>
      </c>
      <c r="AO36" s="50">
        <f t="shared" si="16"/>
        <v>0</v>
      </c>
      <c r="AP36" s="50">
        <f t="shared" si="17"/>
        <v>0</v>
      </c>
      <c r="AQ36" s="50">
        <f t="shared" si="18"/>
        <v>0</v>
      </c>
      <c r="AR36" s="45"/>
    </row>
    <row r="37" spans="3:44" s="7" customFormat="1" x14ac:dyDescent="0.2">
      <c r="C37" s="39"/>
      <c r="D37" s="39"/>
      <c r="E37" s="39">
        <v>134</v>
      </c>
      <c r="F37" s="39" t="s">
        <v>2242</v>
      </c>
      <c r="G37" s="39" t="str">
        <f>VLOOKUP(E37,Mapping!$E$11:$G$96,3,0)</f>
        <v>Metering Capex</v>
      </c>
      <c r="H37" s="39" t="str">
        <f>VLOOKUP(E37,Mapping!$E$11:$K$96,7,0)</f>
        <v>Metering Services</v>
      </c>
      <c r="I37" s="39"/>
      <c r="J37" s="49">
        <f>SUMPRODUCT(--('Input|Historical Data'!$Q$9:$Q$2561=$E37),--('Input|Historical Data'!$AA$9:$AA$2561="SCS"),--('Input|Historical Data'!$Y$9:$Y$2561=J$5),'Input|Historical Data'!$U$9:$U$2561)</f>
        <v>0</v>
      </c>
      <c r="K37" s="49">
        <f>SUMPRODUCT(--('Input|Historical Data'!$Q$9:$Q$2561=$E37),--('Input|Historical Data'!$AA$9:$AA$2561="SCS"),--('Input|Historical Data'!$Z$9:$Z$2561=K$5),'Input|Historical Data'!$U$9:$U$2561)</f>
        <v>0</v>
      </c>
      <c r="L37" s="49">
        <f>SUMPRODUCT(--('Input|Historical Data'!$Q$9:$Q$2561=$E37),--('Input|Historical Data'!$AA$9:$AA$2561="SCS"),--('Input|Historical Data'!$Z$9:$Z$2561=L$5),'Input|Historical Data'!$U$9:$U$2561)</f>
        <v>0</v>
      </c>
      <c r="M37" s="49">
        <f>SUMPRODUCT(--('Input|Historical Data'!$Q$9:$Q$2561=$E37),--('Input|Historical Data'!$AA$9:$AA$2561="SCS"),--('Input|Historical Data'!$Z$9:$Z$2561=M$5),'Input|Historical Data'!$U$9:$U$2561)</f>
        <v>0</v>
      </c>
      <c r="N37" s="49">
        <f>SUMPRODUCT(--('Input|Historical Data'!$Q$9:$Q$2561=$E37),--('Input|Historical Data'!$AA$9:$AA$2561="SCS"),--('Input|Historical Data'!$Y$9:$Y$2561=N$5),'Input|Historical Data'!$U$9:$U$2561)</f>
        <v>0</v>
      </c>
      <c r="O37" s="50">
        <f t="shared" si="5"/>
        <v>0</v>
      </c>
      <c r="P37" s="50">
        <f t="shared" si="6"/>
        <v>0</v>
      </c>
      <c r="Q37" s="50">
        <f t="shared" si="7"/>
        <v>0</v>
      </c>
      <c r="R37" s="50">
        <f t="shared" si="8"/>
        <v>0</v>
      </c>
      <c r="S37" s="39"/>
      <c r="T37" s="49">
        <f>SUMPRODUCT(--('Input|Historical Data'!$AC$9:$AC$2668=$E37),--('Input|Historical Data'!$AM$9:$AM$2668="SCS"),--('Input|Historical Data'!$AK$9:$AK$2668=T$5),'Input|Historical Data'!$AG$9:$AG$2668)</f>
        <v>0</v>
      </c>
      <c r="U37" s="49">
        <f>SUMPRODUCT(--('Input|Historical Data'!$AC$9:$AC$2668=$E37),--('Input|Historical Data'!$AM$9:$AM$2668="SCS"),--('Input|Historical Data'!$AL$9:$AL$2668=U$5),'Input|Historical Data'!$AG$9:$AG$2668)</f>
        <v>0</v>
      </c>
      <c r="V37" s="49">
        <f>SUMPRODUCT(--('Input|Historical Data'!$AC$9:$AC$2668=$E37),--('Input|Historical Data'!$AM$9:$AM$2668="SCS"),--('Input|Historical Data'!$AL$9:$AL$2668=V$5),'Input|Historical Data'!$AG$9:$AG$2668)</f>
        <v>0</v>
      </c>
      <c r="W37" s="49">
        <f>SUMPRODUCT(--('Input|Historical Data'!$AC$9:$AC$2668=$E37),--('Input|Historical Data'!$AM$9:$AM$2668="SCS"),--('Input|Historical Data'!$AL$9:$AL$2668=W$5),'Input|Historical Data'!$AG$9:$AG$2668)</f>
        <v>0</v>
      </c>
      <c r="X37" s="49">
        <f>SUMPRODUCT(--('Input|Historical Data'!$AC$9:$AC$2668=$E37),--('Input|Historical Data'!$AM$9:$AM$2668="SCS"),--('Input|Historical Data'!$AK$9:$AK$2668=X$5),'Input|Historical Data'!$AG$9:$AG$2668)</f>
        <v>0</v>
      </c>
      <c r="Y37" s="50">
        <f t="shared" si="9"/>
        <v>0</v>
      </c>
      <c r="Z37" s="50">
        <f t="shared" si="10"/>
        <v>0</v>
      </c>
      <c r="AA37" s="50">
        <f t="shared" si="11"/>
        <v>0</v>
      </c>
      <c r="AB37" s="50">
        <f t="shared" si="12"/>
        <v>0</v>
      </c>
      <c r="AC37" s="39"/>
      <c r="AD37" s="49">
        <f>SUMPRODUCT(--('Input|Historical Data'!$AO$9:$AO$2668=$E37),--('Input|Historical Data'!$AY$9:$AY$2668="SCS"),--('Input|Historical Data'!$AW$9:$AW$2668=AD$5),'Input|Historical Data'!$AS$9:$AS$2668)</f>
        <v>0</v>
      </c>
      <c r="AE37" s="49">
        <f>SUMPRODUCT(--('Input|Historical Data'!$AO$9:$AO$2668=$E37),--('Input|Historical Data'!$AY$9:$AY$2668="SCS"),--('Input|Historical Data'!$AX$9:$AX$2668=AE$5),'Input|Historical Data'!$AS$9:$AS$2668)</f>
        <v>0</v>
      </c>
      <c r="AF37" s="49">
        <f>SUMPRODUCT(--('Input|Historical Data'!$AO$9:$AO$2668=$E37),--('Input|Historical Data'!$AY$9:$AY$2668="SCS"),--('Input|Historical Data'!$AX$9:$AX$2668=AF$5),'Input|Historical Data'!$AS$9:$AS$2668)</f>
        <v>0</v>
      </c>
      <c r="AG37" s="49">
        <f>SUMPRODUCT(--('Input|Historical Data'!$AO$9:$AO$2668=$E37),--('Input|Historical Data'!$AY$9:$AY$2668="SCS"),--('Input|Historical Data'!$AX$9:$AX$2668=AG$5),'Input|Historical Data'!$AS$9:$AS$2668)</f>
        <v>0</v>
      </c>
      <c r="AH37" s="49">
        <f>SUMPRODUCT(--('Input|Historical Data'!$AO$9:$AO$2668=$E37),--('Input|Historical Data'!$AY$9:$AY$2668="SCS"),--('Input|Historical Data'!$AW$9:$AW$2668=AH$5),'Input|Historical Data'!$AS$9:$AS$2668)</f>
        <v>0</v>
      </c>
      <c r="AI37" s="50">
        <f t="shared" si="13"/>
        <v>0</v>
      </c>
      <c r="AJ37" s="50">
        <f t="shared" si="2"/>
        <v>0</v>
      </c>
      <c r="AK37" s="50">
        <f t="shared" si="3"/>
        <v>0</v>
      </c>
      <c r="AL37" s="50">
        <f t="shared" si="14"/>
        <v>0</v>
      </c>
      <c r="AM37" s="39"/>
      <c r="AN37" s="50">
        <f t="shared" si="15"/>
        <v>0</v>
      </c>
      <c r="AO37" s="50">
        <f t="shared" si="16"/>
        <v>0</v>
      </c>
      <c r="AP37" s="50">
        <f t="shared" si="17"/>
        <v>0</v>
      </c>
      <c r="AQ37" s="50">
        <f t="shared" si="18"/>
        <v>0</v>
      </c>
      <c r="AR37" s="45"/>
    </row>
    <row r="38" spans="3:44" s="7" customFormat="1" x14ac:dyDescent="0.2">
      <c r="C38" s="39"/>
      <c r="D38" s="39"/>
      <c r="E38" s="39">
        <v>135</v>
      </c>
      <c r="F38" s="39" t="s">
        <v>2243</v>
      </c>
      <c r="G38" s="39" t="str">
        <f>VLOOKUP(E38,Mapping!$E$11:$G$96,3,0)</f>
        <v>Metering Capex</v>
      </c>
      <c r="H38" s="39" t="str">
        <f>VLOOKUP(E38,Mapping!$E$11:$K$96,7,0)</f>
        <v>Metering Services</v>
      </c>
      <c r="I38" s="39"/>
      <c r="J38" s="49">
        <f>SUMPRODUCT(--('Input|Historical Data'!$Q$9:$Q$2561=$E38),--('Input|Historical Data'!$AA$9:$AA$2561="SCS"),--('Input|Historical Data'!$Y$9:$Y$2561=J$5),'Input|Historical Data'!$U$9:$U$2561)</f>
        <v>0</v>
      </c>
      <c r="K38" s="49">
        <f>SUMPRODUCT(--('Input|Historical Data'!$Q$9:$Q$2561=$E38),--('Input|Historical Data'!$AA$9:$AA$2561="SCS"),--('Input|Historical Data'!$Z$9:$Z$2561=K$5),'Input|Historical Data'!$U$9:$U$2561)</f>
        <v>0</v>
      </c>
      <c r="L38" s="49">
        <f>SUMPRODUCT(--('Input|Historical Data'!$Q$9:$Q$2561=$E38),--('Input|Historical Data'!$AA$9:$AA$2561="SCS"),--('Input|Historical Data'!$Z$9:$Z$2561=L$5),'Input|Historical Data'!$U$9:$U$2561)</f>
        <v>0</v>
      </c>
      <c r="M38" s="49">
        <f>SUMPRODUCT(--('Input|Historical Data'!$Q$9:$Q$2561=$E38),--('Input|Historical Data'!$AA$9:$AA$2561="SCS"),--('Input|Historical Data'!$Z$9:$Z$2561=M$5),'Input|Historical Data'!$U$9:$U$2561)</f>
        <v>0</v>
      </c>
      <c r="N38" s="49">
        <f>SUMPRODUCT(--('Input|Historical Data'!$Q$9:$Q$2561=$E38),--('Input|Historical Data'!$AA$9:$AA$2561="SCS"),--('Input|Historical Data'!$Y$9:$Y$2561=N$5),'Input|Historical Data'!$U$9:$U$2561)</f>
        <v>0</v>
      </c>
      <c r="O38" s="50">
        <f t="shared" si="5"/>
        <v>0</v>
      </c>
      <c r="P38" s="50">
        <f t="shared" si="6"/>
        <v>0</v>
      </c>
      <c r="Q38" s="50">
        <f t="shared" si="7"/>
        <v>0</v>
      </c>
      <c r="R38" s="50">
        <f t="shared" si="8"/>
        <v>0</v>
      </c>
      <c r="S38" s="39"/>
      <c r="T38" s="49">
        <f>SUMPRODUCT(--('Input|Historical Data'!$AC$9:$AC$2668=$E38),--('Input|Historical Data'!$AM$9:$AM$2668="SCS"),--('Input|Historical Data'!$AK$9:$AK$2668=T$5),'Input|Historical Data'!$AG$9:$AG$2668)</f>
        <v>0</v>
      </c>
      <c r="U38" s="49">
        <f>SUMPRODUCT(--('Input|Historical Data'!$AC$9:$AC$2668=$E38),--('Input|Historical Data'!$AM$9:$AM$2668="SCS"),--('Input|Historical Data'!$AL$9:$AL$2668=U$5),'Input|Historical Data'!$AG$9:$AG$2668)</f>
        <v>0</v>
      </c>
      <c r="V38" s="49">
        <f>SUMPRODUCT(--('Input|Historical Data'!$AC$9:$AC$2668=$E38),--('Input|Historical Data'!$AM$9:$AM$2668="SCS"),--('Input|Historical Data'!$AL$9:$AL$2668=V$5),'Input|Historical Data'!$AG$9:$AG$2668)</f>
        <v>0</v>
      </c>
      <c r="W38" s="49">
        <f>SUMPRODUCT(--('Input|Historical Data'!$AC$9:$AC$2668=$E38),--('Input|Historical Data'!$AM$9:$AM$2668="SCS"),--('Input|Historical Data'!$AL$9:$AL$2668=W$5),'Input|Historical Data'!$AG$9:$AG$2668)</f>
        <v>0</v>
      </c>
      <c r="X38" s="49">
        <f>SUMPRODUCT(--('Input|Historical Data'!$AC$9:$AC$2668=$E38),--('Input|Historical Data'!$AM$9:$AM$2668="SCS"),--('Input|Historical Data'!$AK$9:$AK$2668=X$5),'Input|Historical Data'!$AG$9:$AG$2668)</f>
        <v>0</v>
      </c>
      <c r="Y38" s="50">
        <f t="shared" si="9"/>
        <v>0</v>
      </c>
      <c r="Z38" s="50">
        <f t="shared" si="10"/>
        <v>0</v>
      </c>
      <c r="AA38" s="50">
        <f t="shared" si="11"/>
        <v>0</v>
      </c>
      <c r="AB38" s="50">
        <f t="shared" si="12"/>
        <v>0</v>
      </c>
      <c r="AC38" s="39"/>
      <c r="AD38" s="49">
        <f>SUMPRODUCT(--('Input|Historical Data'!$AO$9:$AO$2668=$E38),--('Input|Historical Data'!$AY$9:$AY$2668="SCS"),--('Input|Historical Data'!$AW$9:$AW$2668=AD$5),'Input|Historical Data'!$AS$9:$AS$2668)</f>
        <v>0</v>
      </c>
      <c r="AE38" s="49">
        <f>SUMPRODUCT(--('Input|Historical Data'!$AO$9:$AO$2668=$E38),--('Input|Historical Data'!$AY$9:$AY$2668="SCS"),--('Input|Historical Data'!$AX$9:$AX$2668=AE$5),'Input|Historical Data'!$AS$9:$AS$2668)</f>
        <v>0</v>
      </c>
      <c r="AF38" s="49">
        <f>SUMPRODUCT(--('Input|Historical Data'!$AO$9:$AO$2668=$E38),--('Input|Historical Data'!$AY$9:$AY$2668="SCS"),--('Input|Historical Data'!$AX$9:$AX$2668=AF$5),'Input|Historical Data'!$AS$9:$AS$2668)</f>
        <v>0</v>
      </c>
      <c r="AG38" s="49">
        <f>SUMPRODUCT(--('Input|Historical Data'!$AO$9:$AO$2668=$E38),--('Input|Historical Data'!$AY$9:$AY$2668="SCS"),--('Input|Historical Data'!$AX$9:$AX$2668=AG$5),'Input|Historical Data'!$AS$9:$AS$2668)</f>
        <v>0</v>
      </c>
      <c r="AH38" s="49">
        <f>SUMPRODUCT(--('Input|Historical Data'!$AO$9:$AO$2668=$E38),--('Input|Historical Data'!$AY$9:$AY$2668="SCS"),--('Input|Historical Data'!$AW$9:$AW$2668=AH$5),'Input|Historical Data'!$AS$9:$AS$2668)</f>
        <v>0</v>
      </c>
      <c r="AI38" s="50">
        <f t="shared" si="13"/>
        <v>0</v>
      </c>
      <c r="AJ38" s="50">
        <f t="shared" si="2"/>
        <v>0</v>
      </c>
      <c r="AK38" s="50">
        <f t="shared" si="3"/>
        <v>0</v>
      </c>
      <c r="AL38" s="50">
        <f t="shared" si="14"/>
        <v>0</v>
      </c>
      <c r="AM38" s="39"/>
      <c r="AN38" s="50">
        <f t="shared" si="15"/>
        <v>0</v>
      </c>
      <c r="AO38" s="50">
        <f t="shared" si="16"/>
        <v>0</v>
      </c>
      <c r="AP38" s="50">
        <f t="shared" si="17"/>
        <v>0</v>
      </c>
      <c r="AQ38" s="50">
        <f t="shared" si="18"/>
        <v>0</v>
      </c>
      <c r="AR38" s="45"/>
    </row>
    <row r="39" spans="3:44" s="7" customFormat="1" x14ac:dyDescent="0.2">
      <c r="C39" s="39"/>
      <c r="D39" s="39"/>
      <c r="E39" s="39">
        <v>136</v>
      </c>
      <c r="F39" s="39" t="s">
        <v>2244</v>
      </c>
      <c r="G39" s="39" t="str">
        <f>VLOOKUP(E39,Mapping!$E$11:$G$96,3,0)</f>
        <v>Metering Capex</v>
      </c>
      <c r="H39" s="39" t="str">
        <f>VLOOKUP(E39,Mapping!$E$11:$K$96,7,0)</f>
        <v>Metering Services</v>
      </c>
      <c r="I39" s="39"/>
      <c r="J39" s="49">
        <f>SUMPRODUCT(--('Input|Historical Data'!$Q$9:$Q$2561=$E39),--('Input|Historical Data'!$AA$9:$AA$2561="SCS"),--('Input|Historical Data'!$Y$9:$Y$2561=J$5),'Input|Historical Data'!$U$9:$U$2561)</f>
        <v>0</v>
      </c>
      <c r="K39" s="49">
        <f>SUMPRODUCT(--('Input|Historical Data'!$Q$9:$Q$2561=$E39),--('Input|Historical Data'!$AA$9:$AA$2561="SCS"),--('Input|Historical Data'!$Z$9:$Z$2561=K$5),'Input|Historical Data'!$U$9:$U$2561)</f>
        <v>0</v>
      </c>
      <c r="L39" s="49">
        <f>SUMPRODUCT(--('Input|Historical Data'!$Q$9:$Q$2561=$E39),--('Input|Historical Data'!$AA$9:$AA$2561="SCS"),--('Input|Historical Data'!$Z$9:$Z$2561=L$5),'Input|Historical Data'!$U$9:$U$2561)</f>
        <v>0</v>
      </c>
      <c r="M39" s="49">
        <f>SUMPRODUCT(--('Input|Historical Data'!$Q$9:$Q$2561=$E39),--('Input|Historical Data'!$AA$9:$AA$2561="SCS"),--('Input|Historical Data'!$Z$9:$Z$2561=M$5),'Input|Historical Data'!$U$9:$U$2561)</f>
        <v>0</v>
      </c>
      <c r="N39" s="49">
        <f>SUMPRODUCT(--('Input|Historical Data'!$Q$9:$Q$2561=$E39),--('Input|Historical Data'!$AA$9:$AA$2561="SCS"),--('Input|Historical Data'!$Y$9:$Y$2561=N$5),'Input|Historical Data'!$U$9:$U$2561)</f>
        <v>0</v>
      </c>
      <c r="O39" s="50">
        <f t="shared" si="5"/>
        <v>0</v>
      </c>
      <c r="P39" s="50">
        <f t="shared" si="6"/>
        <v>0</v>
      </c>
      <c r="Q39" s="50">
        <f t="shared" si="7"/>
        <v>0</v>
      </c>
      <c r="R39" s="50">
        <f t="shared" si="8"/>
        <v>0</v>
      </c>
      <c r="S39" s="39"/>
      <c r="T39" s="49">
        <f>SUMPRODUCT(--('Input|Historical Data'!$AC$9:$AC$2668=$E39),--('Input|Historical Data'!$AM$9:$AM$2668="SCS"),--('Input|Historical Data'!$AK$9:$AK$2668=T$5),'Input|Historical Data'!$AG$9:$AG$2668)</f>
        <v>0</v>
      </c>
      <c r="U39" s="49">
        <f>SUMPRODUCT(--('Input|Historical Data'!$AC$9:$AC$2668=$E39),--('Input|Historical Data'!$AM$9:$AM$2668="SCS"),--('Input|Historical Data'!$AL$9:$AL$2668=U$5),'Input|Historical Data'!$AG$9:$AG$2668)</f>
        <v>0</v>
      </c>
      <c r="V39" s="49">
        <f>SUMPRODUCT(--('Input|Historical Data'!$AC$9:$AC$2668=$E39),--('Input|Historical Data'!$AM$9:$AM$2668="SCS"),--('Input|Historical Data'!$AL$9:$AL$2668=V$5),'Input|Historical Data'!$AG$9:$AG$2668)</f>
        <v>0</v>
      </c>
      <c r="W39" s="49">
        <f>SUMPRODUCT(--('Input|Historical Data'!$AC$9:$AC$2668=$E39),--('Input|Historical Data'!$AM$9:$AM$2668="SCS"),--('Input|Historical Data'!$AL$9:$AL$2668=W$5),'Input|Historical Data'!$AG$9:$AG$2668)</f>
        <v>0</v>
      </c>
      <c r="X39" s="49">
        <f>SUMPRODUCT(--('Input|Historical Data'!$AC$9:$AC$2668=$E39),--('Input|Historical Data'!$AM$9:$AM$2668="SCS"),--('Input|Historical Data'!$AK$9:$AK$2668=X$5),'Input|Historical Data'!$AG$9:$AG$2668)</f>
        <v>0</v>
      </c>
      <c r="Y39" s="50">
        <f t="shared" si="9"/>
        <v>0</v>
      </c>
      <c r="Z39" s="50">
        <f t="shared" si="10"/>
        <v>0</v>
      </c>
      <c r="AA39" s="50">
        <f t="shared" si="11"/>
        <v>0</v>
      </c>
      <c r="AB39" s="50">
        <f t="shared" si="12"/>
        <v>0</v>
      </c>
      <c r="AC39" s="39"/>
      <c r="AD39" s="49">
        <f>SUMPRODUCT(--('Input|Historical Data'!$AO$9:$AO$2668=$E39),--('Input|Historical Data'!$AY$9:$AY$2668="SCS"),--('Input|Historical Data'!$AW$9:$AW$2668=AD$5),'Input|Historical Data'!$AS$9:$AS$2668)</f>
        <v>0</v>
      </c>
      <c r="AE39" s="49">
        <f>SUMPRODUCT(--('Input|Historical Data'!$AO$9:$AO$2668=$E39),--('Input|Historical Data'!$AY$9:$AY$2668="SCS"),--('Input|Historical Data'!$AX$9:$AX$2668=AE$5),'Input|Historical Data'!$AS$9:$AS$2668)</f>
        <v>0</v>
      </c>
      <c r="AF39" s="49">
        <f>SUMPRODUCT(--('Input|Historical Data'!$AO$9:$AO$2668=$E39),--('Input|Historical Data'!$AY$9:$AY$2668="SCS"),--('Input|Historical Data'!$AX$9:$AX$2668=AF$5),'Input|Historical Data'!$AS$9:$AS$2668)</f>
        <v>0</v>
      </c>
      <c r="AG39" s="49">
        <f>SUMPRODUCT(--('Input|Historical Data'!$AO$9:$AO$2668=$E39),--('Input|Historical Data'!$AY$9:$AY$2668="SCS"),--('Input|Historical Data'!$AX$9:$AX$2668=AG$5),'Input|Historical Data'!$AS$9:$AS$2668)</f>
        <v>0</v>
      </c>
      <c r="AH39" s="49">
        <f>SUMPRODUCT(--('Input|Historical Data'!$AO$9:$AO$2668=$E39),--('Input|Historical Data'!$AY$9:$AY$2668="SCS"),--('Input|Historical Data'!$AW$9:$AW$2668=AH$5),'Input|Historical Data'!$AS$9:$AS$2668)</f>
        <v>0</v>
      </c>
      <c r="AI39" s="50">
        <f t="shared" si="13"/>
        <v>0</v>
      </c>
      <c r="AJ39" s="50">
        <f t="shared" si="2"/>
        <v>0</v>
      </c>
      <c r="AK39" s="50">
        <f t="shared" si="3"/>
        <v>0</v>
      </c>
      <c r="AL39" s="50">
        <f t="shared" si="14"/>
        <v>0</v>
      </c>
      <c r="AM39" s="39"/>
      <c r="AN39" s="50">
        <f t="shared" si="15"/>
        <v>0</v>
      </c>
      <c r="AO39" s="50">
        <f t="shared" si="16"/>
        <v>0</v>
      </c>
      <c r="AP39" s="50">
        <f t="shared" si="17"/>
        <v>0</v>
      </c>
      <c r="AQ39" s="50">
        <f t="shared" si="18"/>
        <v>0</v>
      </c>
      <c r="AR39" s="45"/>
    </row>
    <row r="40" spans="3:44" s="7" customFormat="1" x14ac:dyDescent="0.2">
      <c r="C40" s="39"/>
      <c r="D40" s="39"/>
      <c r="E40" s="39">
        <v>137</v>
      </c>
      <c r="F40" s="39" t="s">
        <v>2245</v>
      </c>
      <c r="G40" s="39" t="str">
        <f>VLOOKUP(E40,Mapping!$E$11:$G$96,3,0)</f>
        <v>Metering Capex</v>
      </c>
      <c r="H40" s="39" t="str">
        <f>VLOOKUP(E40,Mapping!$E$11:$K$96,7,0)</f>
        <v>Metering Services</v>
      </c>
      <c r="I40" s="39"/>
      <c r="J40" s="49">
        <f>SUMPRODUCT(--('Input|Historical Data'!$Q$9:$Q$2561=$E40),--('Input|Historical Data'!$AA$9:$AA$2561="SCS"),--('Input|Historical Data'!$Y$9:$Y$2561=J$5),'Input|Historical Data'!$U$9:$U$2561)</f>
        <v>0</v>
      </c>
      <c r="K40" s="49">
        <f>SUMPRODUCT(--('Input|Historical Data'!$Q$9:$Q$2561=$E40),--('Input|Historical Data'!$AA$9:$AA$2561="SCS"),--('Input|Historical Data'!$Z$9:$Z$2561=K$5),'Input|Historical Data'!$U$9:$U$2561)</f>
        <v>0</v>
      </c>
      <c r="L40" s="49">
        <f>SUMPRODUCT(--('Input|Historical Data'!$Q$9:$Q$2561=$E40),--('Input|Historical Data'!$AA$9:$AA$2561="SCS"),--('Input|Historical Data'!$Z$9:$Z$2561=L$5),'Input|Historical Data'!$U$9:$U$2561)</f>
        <v>0</v>
      </c>
      <c r="M40" s="49">
        <f>SUMPRODUCT(--('Input|Historical Data'!$Q$9:$Q$2561=$E40),--('Input|Historical Data'!$AA$9:$AA$2561="SCS"),--('Input|Historical Data'!$Z$9:$Z$2561=M$5),'Input|Historical Data'!$U$9:$U$2561)</f>
        <v>0</v>
      </c>
      <c r="N40" s="49">
        <f>SUMPRODUCT(--('Input|Historical Data'!$Q$9:$Q$2561=$E40),--('Input|Historical Data'!$AA$9:$AA$2561="SCS"),--('Input|Historical Data'!$Y$9:$Y$2561=N$5),'Input|Historical Data'!$U$9:$U$2561)</f>
        <v>0</v>
      </c>
      <c r="O40" s="50">
        <f t="shared" si="5"/>
        <v>0</v>
      </c>
      <c r="P40" s="50">
        <f t="shared" si="6"/>
        <v>0</v>
      </c>
      <c r="Q40" s="50">
        <f t="shared" si="7"/>
        <v>0</v>
      </c>
      <c r="R40" s="50">
        <f t="shared" si="8"/>
        <v>0</v>
      </c>
      <c r="S40" s="39"/>
      <c r="T40" s="49">
        <f>SUMPRODUCT(--('Input|Historical Data'!$AC$9:$AC$2668=$E40),--('Input|Historical Data'!$AM$9:$AM$2668="SCS"),--('Input|Historical Data'!$AK$9:$AK$2668=T$5),'Input|Historical Data'!$AG$9:$AG$2668)</f>
        <v>0</v>
      </c>
      <c r="U40" s="49">
        <f>SUMPRODUCT(--('Input|Historical Data'!$AC$9:$AC$2668=$E40),--('Input|Historical Data'!$AM$9:$AM$2668="SCS"),--('Input|Historical Data'!$AL$9:$AL$2668=U$5),'Input|Historical Data'!$AG$9:$AG$2668)</f>
        <v>0</v>
      </c>
      <c r="V40" s="49">
        <f>SUMPRODUCT(--('Input|Historical Data'!$AC$9:$AC$2668=$E40),--('Input|Historical Data'!$AM$9:$AM$2668="SCS"),--('Input|Historical Data'!$AL$9:$AL$2668=V$5),'Input|Historical Data'!$AG$9:$AG$2668)</f>
        <v>0</v>
      </c>
      <c r="W40" s="49">
        <f>SUMPRODUCT(--('Input|Historical Data'!$AC$9:$AC$2668=$E40),--('Input|Historical Data'!$AM$9:$AM$2668="SCS"),--('Input|Historical Data'!$AL$9:$AL$2668=W$5),'Input|Historical Data'!$AG$9:$AG$2668)</f>
        <v>0</v>
      </c>
      <c r="X40" s="49">
        <f>SUMPRODUCT(--('Input|Historical Data'!$AC$9:$AC$2668=$E40),--('Input|Historical Data'!$AM$9:$AM$2668="SCS"),--('Input|Historical Data'!$AK$9:$AK$2668=X$5),'Input|Historical Data'!$AG$9:$AG$2668)</f>
        <v>0</v>
      </c>
      <c r="Y40" s="50">
        <f t="shared" si="9"/>
        <v>0</v>
      </c>
      <c r="Z40" s="50">
        <f t="shared" si="10"/>
        <v>0</v>
      </c>
      <c r="AA40" s="50">
        <f t="shared" si="11"/>
        <v>0</v>
      </c>
      <c r="AB40" s="50">
        <f t="shared" si="12"/>
        <v>0</v>
      </c>
      <c r="AC40" s="39"/>
      <c r="AD40" s="49">
        <f>SUMPRODUCT(--('Input|Historical Data'!$AO$9:$AO$2668=$E40),--('Input|Historical Data'!$AY$9:$AY$2668="SCS"),--('Input|Historical Data'!$AW$9:$AW$2668=AD$5),'Input|Historical Data'!$AS$9:$AS$2668)</f>
        <v>0</v>
      </c>
      <c r="AE40" s="49">
        <f>SUMPRODUCT(--('Input|Historical Data'!$AO$9:$AO$2668=$E40),--('Input|Historical Data'!$AY$9:$AY$2668="SCS"),--('Input|Historical Data'!$AX$9:$AX$2668=AE$5),'Input|Historical Data'!$AS$9:$AS$2668)</f>
        <v>0</v>
      </c>
      <c r="AF40" s="49">
        <f>SUMPRODUCT(--('Input|Historical Data'!$AO$9:$AO$2668=$E40),--('Input|Historical Data'!$AY$9:$AY$2668="SCS"),--('Input|Historical Data'!$AX$9:$AX$2668=AF$5),'Input|Historical Data'!$AS$9:$AS$2668)</f>
        <v>0</v>
      </c>
      <c r="AG40" s="49">
        <f>SUMPRODUCT(--('Input|Historical Data'!$AO$9:$AO$2668=$E40),--('Input|Historical Data'!$AY$9:$AY$2668="SCS"),--('Input|Historical Data'!$AX$9:$AX$2668=AG$5),'Input|Historical Data'!$AS$9:$AS$2668)</f>
        <v>0</v>
      </c>
      <c r="AH40" s="49">
        <f>SUMPRODUCT(--('Input|Historical Data'!$AO$9:$AO$2668=$E40),--('Input|Historical Data'!$AY$9:$AY$2668="SCS"),--('Input|Historical Data'!$AW$9:$AW$2668=AH$5),'Input|Historical Data'!$AS$9:$AS$2668)</f>
        <v>0</v>
      </c>
      <c r="AI40" s="50">
        <f t="shared" si="13"/>
        <v>0</v>
      </c>
      <c r="AJ40" s="50">
        <f t="shared" si="2"/>
        <v>0</v>
      </c>
      <c r="AK40" s="50">
        <f t="shared" si="3"/>
        <v>0</v>
      </c>
      <c r="AL40" s="50">
        <f t="shared" si="14"/>
        <v>0</v>
      </c>
      <c r="AM40" s="39"/>
      <c r="AN40" s="50">
        <f t="shared" si="15"/>
        <v>0</v>
      </c>
      <c r="AO40" s="50">
        <f t="shared" si="16"/>
        <v>0</v>
      </c>
      <c r="AP40" s="50">
        <f t="shared" si="17"/>
        <v>0</v>
      </c>
      <c r="AQ40" s="50">
        <f t="shared" si="18"/>
        <v>0</v>
      </c>
      <c r="AR40" s="45"/>
    </row>
    <row r="41" spans="3:44" s="7" customFormat="1" x14ac:dyDescent="0.2">
      <c r="C41" s="39"/>
      <c r="D41" s="39"/>
      <c r="E41" s="39">
        <v>138</v>
      </c>
      <c r="F41" s="39" t="s">
        <v>2246</v>
      </c>
      <c r="G41" s="39" t="str">
        <f>VLOOKUP(E41,Mapping!$E$11:$G$96,3,0)</f>
        <v>Metering Capex</v>
      </c>
      <c r="H41" s="39" t="str">
        <f>VLOOKUP(E41,Mapping!$E$11:$K$96,7,0)</f>
        <v>Metering Services</v>
      </c>
      <c r="I41" s="39"/>
      <c r="J41" s="49">
        <f>SUMPRODUCT(--('Input|Historical Data'!$Q$9:$Q$2561=$E41),--('Input|Historical Data'!$AA$9:$AA$2561="SCS"),--('Input|Historical Data'!$Y$9:$Y$2561=J$5),'Input|Historical Data'!$U$9:$U$2561)</f>
        <v>0</v>
      </c>
      <c r="K41" s="49">
        <f>SUMPRODUCT(--('Input|Historical Data'!$Q$9:$Q$2561=$E41),--('Input|Historical Data'!$AA$9:$AA$2561="SCS"),--('Input|Historical Data'!$Z$9:$Z$2561=K$5),'Input|Historical Data'!$U$9:$U$2561)</f>
        <v>0</v>
      </c>
      <c r="L41" s="49">
        <f>SUMPRODUCT(--('Input|Historical Data'!$Q$9:$Q$2561=$E41),--('Input|Historical Data'!$AA$9:$AA$2561="SCS"),--('Input|Historical Data'!$Z$9:$Z$2561=L$5),'Input|Historical Data'!$U$9:$U$2561)</f>
        <v>0</v>
      </c>
      <c r="M41" s="49">
        <f>SUMPRODUCT(--('Input|Historical Data'!$Q$9:$Q$2561=$E41),--('Input|Historical Data'!$AA$9:$AA$2561="SCS"),--('Input|Historical Data'!$Z$9:$Z$2561=M$5),'Input|Historical Data'!$U$9:$U$2561)</f>
        <v>0</v>
      </c>
      <c r="N41" s="49">
        <f>SUMPRODUCT(--('Input|Historical Data'!$Q$9:$Q$2561=$E41),--('Input|Historical Data'!$AA$9:$AA$2561="SCS"),--('Input|Historical Data'!$Y$9:$Y$2561=N$5),'Input|Historical Data'!$U$9:$U$2561)</f>
        <v>0</v>
      </c>
      <c r="O41" s="50">
        <f t="shared" si="5"/>
        <v>0</v>
      </c>
      <c r="P41" s="50">
        <f t="shared" si="6"/>
        <v>0</v>
      </c>
      <c r="Q41" s="50">
        <f t="shared" si="7"/>
        <v>0</v>
      </c>
      <c r="R41" s="50">
        <f t="shared" si="8"/>
        <v>0</v>
      </c>
      <c r="S41" s="39"/>
      <c r="T41" s="49">
        <f>SUMPRODUCT(--('Input|Historical Data'!$AC$9:$AC$2668=$E41),--('Input|Historical Data'!$AM$9:$AM$2668="SCS"),--('Input|Historical Data'!$AK$9:$AK$2668=T$5),'Input|Historical Data'!$AG$9:$AG$2668)</f>
        <v>0</v>
      </c>
      <c r="U41" s="49">
        <f>SUMPRODUCT(--('Input|Historical Data'!$AC$9:$AC$2668=$E41),--('Input|Historical Data'!$AM$9:$AM$2668="SCS"),--('Input|Historical Data'!$AL$9:$AL$2668=U$5),'Input|Historical Data'!$AG$9:$AG$2668)</f>
        <v>0</v>
      </c>
      <c r="V41" s="49">
        <f>SUMPRODUCT(--('Input|Historical Data'!$AC$9:$AC$2668=$E41),--('Input|Historical Data'!$AM$9:$AM$2668="SCS"),--('Input|Historical Data'!$AL$9:$AL$2668=V$5),'Input|Historical Data'!$AG$9:$AG$2668)</f>
        <v>0</v>
      </c>
      <c r="W41" s="49">
        <f>SUMPRODUCT(--('Input|Historical Data'!$AC$9:$AC$2668=$E41),--('Input|Historical Data'!$AM$9:$AM$2668="SCS"),--('Input|Historical Data'!$AL$9:$AL$2668=W$5),'Input|Historical Data'!$AG$9:$AG$2668)</f>
        <v>0</v>
      </c>
      <c r="X41" s="49">
        <f>SUMPRODUCT(--('Input|Historical Data'!$AC$9:$AC$2668=$E41),--('Input|Historical Data'!$AM$9:$AM$2668="SCS"),--('Input|Historical Data'!$AK$9:$AK$2668=X$5),'Input|Historical Data'!$AG$9:$AG$2668)</f>
        <v>0</v>
      </c>
      <c r="Y41" s="50">
        <f t="shared" si="9"/>
        <v>0</v>
      </c>
      <c r="Z41" s="50">
        <f t="shared" si="10"/>
        <v>0</v>
      </c>
      <c r="AA41" s="50">
        <f t="shared" si="11"/>
        <v>0</v>
      </c>
      <c r="AB41" s="50">
        <f t="shared" si="12"/>
        <v>0</v>
      </c>
      <c r="AC41" s="39"/>
      <c r="AD41" s="49">
        <f>SUMPRODUCT(--('Input|Historical Data'!$AO$9:$AO$2668=$E41),--('Input|Historical Data'!$AY$9:$AY$2668="SCS"),--('Input|Historical Data'!$AW$9:$AW$2668=AD$5),'Input|Historical Data'!$AS$9:$AS$2668)</f>
        <v>0</v>
      </c>
      <c r="AE41" s="49">
        <f>SUMPRODUCT(--('Input|Historical Data'!$AO$9:$AO$2668=$E41),--('Input|Historical Data'!$AY$9:$AY$2668="SCS"),--('Input|Historical Data'!$AX$9:$AX$2668=AE$5),'Input|Historical Data'!$AS$9:$AS$2668)</f>
        <v>0</v>
      </c>
      <c r="AF41" s="49">
        <f>SUMPRODUCT(--('Input|Historical Data'!$AO$9:$AO$2668=$E41),--('Input|Historical Data'!$AY$9:$AY$2668="SCS"),--('Input|Historical Data'!$AX$9:$AX$2668=AF$5),'Input|Historical Data'!$AS$9:$AS$2668)</f>
        <v>0</v>
      </c>
      <c r="AG41" s="49">
        <f>SUMPRODUCT(--('Input|Historical Data'!$AO$9:$AO$2668=$E41),--('Input|Historical Data'!$AY$9:$AY$2668="SCS"),--('Input|Historical Data'!$AX$9:$AX$2668=AG$5),'Input|Historical Data'!$AS$9:$AS$2668)</f>
        <v>0</v>
      </c>
      <c r="AH41" s="49">
        <f>SUMPRODUCT(--('Input|Historical Data'!$AO$9:$AO$2668=$E41),--('Input|Historical Data'!$AY$9:$AY$2668="SCS"),--('Input|Historical Data'!$AW$9:$AW$2668=AH$5),'Input|Historical Data'!$AS$9:$AS$2668)</f>
        <v>0</v>
      </c>
      <c r="AI41" s="50">
        <f t="shared" si="13"/>
        <v>0</v>
      </c>
      <c r="AJ41" s="50">
        <f t="shared" si="2"/>
        <v>0</v>
      </c>
      <c r="AK41" s="50">
        <f t="shared" si="3"/>
        <v>0</v>
      </c>
      <c r="AL41" s="50">
        <f t="shared" si="14"/>
        <v>0</v>
      </c>
      <c r="AM41" s="39"/>
      <c r="AN41" s="50">
        <f t="shared" si="15"/>
        <v>0</v>
      </c>
      <c r="AO41" s="50">
        <f t="shared" si="16"/>
        <v>0</v>
      </c>
      <c r="AP41" s="50">
        <f t="shared" si="17"/>
        <v>0</v>
      </c>
      <c r="AQ41" s="50">
        <f t="shared" si="18"/>
        <v>0</v>
      </c>
      <c r="AR41" s="45"/>
    </row>
    <row r="42" spans="3:44" s="7" customFormat="1" x14ac:dyDescent="0.2">
      <c r="C42" s="39"/>
      <c r="D42" s="39"/>
      <c r="E42" s="39">
        <v>139</v>
      </c>
      <c r="F42" s="39" t="s">
        <v>2247</v>
      </c>
      <c r="G42" s="39" t="str">
        <f>VLOOKUP(E42,Mapping!$E$11:$G$96,3,0)</f>
        <v>Replacement</v>
      </c>
      <c r="H42" s="39" t="str">
        <f>VLOOKUP(E42,Mapping!$E$11:$K$96,7,0)</f>
        <v>SCS</v>
      </c>
      <c r="I42" s="39"/>
      <c r="J42" s="49">
        <f>SUMPRODUCT(--('Input|Historical Data'!$Q$9:$Q$2561=$E42),--('Input|Historical Data'!$AA$9:$AA$2561="SCS"),--('Input|Historical Data'!$Y$9:$Y$2561=J$5),'Input|Historical Data'!$U$9:$U$2561)</f>
        <v>37.071459999999995</v>
      </c>
      <c r="K42" s="49">
        <f>SUMPRODUCT(--('Input|Historical Data'!$Q$9:$Q$2561=$E42),--('Input|Historical Data'!$AA$9:$AA$2561="SCS"),--('Input|Historical Data'!$Z$9:$Z$2561=K$5),'Input|Historical Data'!$U$9:$U$2561)</f>
        <v>1.0801499999999999</v>
      </c>
      <c r="L42" s="49">
        <f>SUMPRODUCT(--('Input|Historical Data'!$Q$9:$Q$2561=$E42),--('Input|Historical Data'!$AA$9:$AA$2561="SCS"),--('Input|Historical Data'!$Z$9:$Z$2561=L$5),'Input|Historical Data'!$U$9:$U$2561)</f>
        <v>-0.98834999999999995</v>
      </c>
      <c r="M42" s="49">
        <f>SUMPRODUCT(--('Input|Historical Data'!$Q$9:$Q$2561=$E42),--('Input|Historical Data'!$AA$9:$AA$2561="SCS"),--('Input|Historical Data'!$Z$9:$Z$2561=M$5),'Input|Historical Data'!$U$9:$U$2561)</f>
        <v>34.894849999999998</v>
      </c>
      <c r="N42" s="49">
        <f>SUMPRODUCT(--('Input|Historical Data'!$Q$9:$Q$2561=$E42),--('Input|Historical Data'!$AA$9:$AA$2561="SCS"),--('Input|Historical Data'!$Y$9:$Y$2561=N$5),'Input|Historical Data'!$U$9:$U$2561)</f>
        <v>5.2117300000000002</v>
      </c>
      <c r="O42" s="50">
        <f t="shared" si="5"/>
        <v>3.0873204493714033E-2</v>
      </c>
      <c r="P42" s="50">
        <f t="shared" si="6"/>
        <v>-2.8249346536464624E-2</v>
      </c>
      <c r="Q42" s="50">
        <f t="shared" si="7"/>
        <v>0.9973761420427506</v>
      </c>
      <c r="R42" s="50">
        <f t="shared" si="8"/>
        <v>0.14058604651664652</v>
      </c>
      <c r="S42" s="39"/>
      <c r="T42" s="49">
        <f>SUMPRODUCT(--('Input|Historical Data'!$AC$9:$AC$2668=$E42),--('Input|Historical Data'!$AM$9:$AM$2668="SCS"),--('Input|Historical Data'!$AK$9:$AK$2668=T$5),'Input|Historical Data'!$AG$9:$AG$2668)</f>
        <v>-2375.8502201834858</v>
      </c>
      <c r="U42" s="49">
        <f>SUMPRODUCT(--('Input|Historical Data'!$AC$9:$AC$2668=$E42),--('Input|Historical Data'!$AM$9:$AM$2668="SCS"),--('Input|Historical Data'!$AL$9:$AL$2668=U$5),'Input|Historical Data'!$AG$9:$AG$2668)</f>
        <v>0</v>
      </c>
      <c r="V42" s="49">
        <f>SUMPRODUCT(--('Input|Historical Data'!$AC$9:$AC$2668=$E42),--('Input|Historical Data'!$AM$9:$AM$2668="SCS"),--('Input|Historical Data'!$AL$9:$AL$2668=V$5),'Input|Historical Data'!$AG$9:$AG$2668)</f>
        <v>0</v>
      </c>
      <c r="W42" s="49">
        <f>SUMPRODUCT(--('Input|Historical Data'!$AC$9:$AC$2668=$E42),--('Input|Historical Data'!$AM$9:$AM$2668="SCS"),--('Input|Historical Data'!$AL$9:$AL$2668=W$5),'Input|Historical Data'!$AG$9:$AG$2668)</f>
        <v>-2375.8502201834858</v>
      </c>
      <c r="X42" s="49">
        <f>SUMPRODUCT(--('Input|Historical Data'!$AC$9:$AC$2668=$E42),--('Input|Historical Data'!$AM$9:$AM$2668="SCS"),--('Input|Historical Data'!$AK$9:$AK$2668=X$5),'Input|Historical Data'!$AG$9:$AG$2668)</f>
        <v>0</v>
      </c>
      <c r="Y42" s="50">
        <f t="shared" si="9"/>
        <v>0</v>
      </c>
      <c r="Z42" s="50">
        <f t="shared" si="10"/>
        <v>0</v>
      </c>
      <c r="AA42" s="50">
        <f t="shared" si="11"/>
        <v>1</v>
      </c>
      <c r="AB42" s="50">
        <f t="shared" si="12"/>
        <v>0</v>
      </c>
      <c r="AC42" s="39"/>
      <c r="AD42" s="49">
        <f>SUMPRODUCT(--('Input|Historical Data'!$AO$9:$AO$2668=$E42),--('Input|Historical Data'!$AY$9:$AY$2668="SCS"),--('Input|Historical Data'!$AW$9:$AW$2668=AD$5),'Input|Historical Data'!$AS$9:$AS$2668)</f>
        <v>0</v>
      </c>
      <c r="AE42" s="49">
        <f>SUMPRODUCT(--('Input|Historical Data'!$AO$9:$AO$2668=$E42),--('Input|Historical Data'!$AY$9:$AY$2668="SCS"),--('Input|Historical Data'!$AX$9:$AX$2668=AE$5),'Input|Historical Data'!$AS$9:$AS$2668)</f>
        <v>0</v>
      </c>
      <c r="AF42" s="49">
        <f>SUMPRODUCT(--('Input|Historical Data'!$AO$9:$AO$2668=$E42),--('Input|Historical Data'!$AY$9:$AY$2668="SCS"),--('Input|Historical Data'!$AX$9:$AX$2668=AF$5),'Input|Historical Data'!$AS$9:$AS$2668)</f>
        <v>0</v>
      </c>
      <c r="AG42" s="49">
        <f>SUMPRODUCT(--('Input|Historical Data'!$AO$9:$AO$2668=$E42),--('Input|Historical Data'!$AY$9:$AY$2668="SCS"),--('Input|Historical Data'!$AX$9:$AX$2668=AG$5),'Input|Historical Data'!$AS$9:$AS$2668)</f>
        <v>0</v>
      </c>
      <c r="AH42" s="49">
        <f>SUMPRODUCT(--('Input|Historical Data'!$AO$9:$AO$2668=$E42),--('Input|Historical Data'!$AY$9:$AY$2668="SCS"),--('Input|Historical Data'!$AW$9:$AW$2668=AH$5),'Input|Historical Data'!$AS$9:$AS$2668)</f>
        <v>0</v>
      </c>
      <c r="AI42" s="50">
        <f t="shared" si="13"/>
        <v>0</v>
      </c>
      <c r="AJ42" s="50">
        <f t="shared" si="2"/>
        <v>0</v>
      </c>
      <c r="AK42" s="50">
        <f t="shared" si="3"/>
        <v>0</v>
      </c>
      <c r="AL42" s="50">
        <f t="shared" si="14"/>
        <v>0</v>
      </c>
      <c r="AM42" s="39"/>
      <c r="AN42" s="50">
        <f t="shared" si="15"/>
        <v>-4.6143227386606455E-4</v>
      </c>
      <c r="AO42" s="50">
        <f t="shared" si="16"/>
        <v>4.2221597729530613E-4</v>
      </c>
      <c r="AP42" s="50">
        <f t="shared" si="17"/>
        <v>1.0000392162965706</v>
      </c>
      <c r="AQ42" s="50">
        <f t="shared" si="18"/>
        <v>-2.2283980377823857E-3</v>
      </c>
      <c r="AR42" s="45"/>
    </row>
    <row r="43" spans="3:44" s="7" customFormat="1" x14ac:dyDescent="0.2">
      <c r="C43" s="39"/>
      <c r="D43" s="39"/>
      <c r="E43" s="39">
        <v>140</v>
      </c>
      <c r="F43" s="39" t="s">
        <v>2248</v>
      </c>
      <c r="G43" s="39" t="str">
        <f>VLOOKUP(E43,Mapping!$E$11:$G$96,3,0)</f>
        <v>Public lighting Capex</v>
      </c>
      <c r="H43" s="39" t="str">
        <f>VLOOKUP(E43,Mapping!$E$11:$K$96,7,0)</f>
        <v>Public Lighting</v>
      </c>
      <c r="I43" s="39"/>
      <c r="J43" s="49">
        <f>SUMPRODUCT(--('Input|Historical Data'!$Q$9:$Q$2561=$E43),--('Input|Historical Data'!$AA$9:$AA$2561="SCS"),--('Input|Historical Data'!$Y$9:$Y$2561=J$5),'Input|Historical Data'!$U$9:$U$2561)</f>
        <v>0</v>
      </c>
      <c r="K43" s="49">
        <f>SUMPRODUCT(--('Input|Historical Data'!$Q$9:$Q$2561=$E43),--('Input|Historical Data'!$AA$9:$AA$2561="SCS"),--('Input|Historical Data'!$Z$9:$Z$2561=K$5),'Input|Historical Data'!$U$9:$U$2561)</f>
        <v>0</v>
      </c>
      <c r="L43" s="49">
        <f>SUMPRODUCT(--('Input|Historical Data'!$Q$9:$Q$2561=$E43),--('Input|Historical Data'!$AA$9:$AA$2561="SCS"),--('Input|Historical Data'!$Z$9:$Z$2561=L$5),'Input|Historical Data'!$U$9:$U$2561)</f>
        <v>0</v>
      </c>
      <c r="M43" s="49">
        <f>SUMPRODUCT(--('Input|Historical Data'!$Q$9:$Q$2561=$E43),--('Input|Historical Data'!$AA$9:$AA$2561="SCS"),--('Input|Historical Data'!$Z$9:$Z$2561=M$5),'Input|Historical Data'!$U$9:$U$2561)</f>
        <v>0</v>
      </c>
      <c r="N43" s="49">
        <f>SUMPRODUCT(--('Input|Historical Data'!$Q$9:$Q$2561=$E43),--('Input|Historical Data'!$AA$9:$AA$2561="SCS"),--('Input|Historical Data'!$Y$9:$Y$2561=N$5),'Input|Historical Data'!$U$9:$U$2561)</f>
        <v>0</v>
      </c>
      <c r="O43" s="50">
        <f t="shared" si="5"/>
        <v>0</v>
      </c>
      <c r="P43" s="50">
        <f t="shared" si="6"/>
        <v>0</v>
      </c>
      <c r="Q43" s="50">
        <f t="shared" si="7"/>
        <v>0</v>
      </c>
      <c r="R43" s="50">
        <f t="shared" si="8"/>
        <v>0</v>
      </c>
      <c r="S43" s="39"/>
      <c r="T43" s="49">
        <f>SUMPRODUCT(--('Input|Historical Data'!$AC$9:$AC$2668=$E43),--('Input|Historical Data'!$AM$9:$AM$2668="SCS"),--('Input|Historical Data'!$AK$9:$AK$2668=T$5),'Input|Historical Data'!$AG$9:$AG$2668)</f>
        <v>0</v>
      </c>
      <c r="U43" s="49">
        <f>SUMPRODUCT(--('Input|Historical Data'!$AC$9:$AC$2668=$E43),--('Input|Historical Data'!$AM$9:$AM$2668="SCS"),--('Input|Historical Data'!$AL$9:$AL$2668=U$5),'Input|Historical Data'!$AG$9:$AG$2668)</f>
        <v>0</v>
      </c>
      <c r="V43" s="49">
        <f>SUMPRODUCT(--('Input|Historical Data'!$AC$9:$AC$2668=$E43),--('Input|Historical Data'!$AM$9:$AM$2668="SCS"),--('Input|Historical Data'!$AL$9:$AL$2668=V$5),'Input|Historical Data'!$AG$9:$AG$2668)</f>
        <v>0</v>
      </c>
      <c r="W43" s="49">
        <f>SUMPRODUCT(--('Input|Historical Data'!$AC$9:$AC$2668=$E43),--('Input|Historical Data'!$AM$9:$AM$2668="SCS"),--('Input|Historical Data'!$AL$9:$AL$2668=W$5),'Input|Historical Data'!$AG$9:$AG$2668)</f>
        <v>0</v>
      </c>
      <c r="X43" s="49">
        <f>SUMPRODUCT(--('Input|Historical Data'!$AC$9:$AC$2668=$E43),--('Input|Historical Data'!$AM$9:$AM$2668="SCS"),--('Input|Historical Data'!$AK$9:$AK$2668=X$5),'Input|Historical Data'!$AG$9:$AG$2668)</f>
        <v>0</v>
      </c>
      <c r="Y43" s="50">
        <f t="shared" si="9"/>
        <v>0</v>
      </c>
      <c r="Z43" s="50">
        <f t="shared" si="10"/>
        <v>0</v>
      </c>
      <c r="AA43" s="50">
        <f t="shared" si="11"/>
        <v>0</v>
      </c>
      <c r="AB43" s="50">
        <f t="shared" si="12"/>
        <v>0</v>
      </c>
      <c r="AC43" s="39"/>
      <c r="AD43" s="49">
        <f>SUMPRODUCT(--('Input|Historical Data'!$AO$9:$AO$2668=$E43),--('Input|Historical Data'!$AY$9:$AY$2668="SCS"),--('Input|Historical Data'!$AW$9:$AW$2668=AD$5),'Input|Historical Data'!$AS$9:$AS$2668)</f>
        <v>0</v>
      </c>
      <c r="AE43" s="49">
        <f>SUMPRODUCT(--('Input|Historical Data'!$AO$9:$AO$2668=$E43),--('Input|Historical Data'!$AY$9:$AY$2668="SCS"),--('Input|Historical Data'!$AX$9:$AX$2668=AE$5),'Input|Historical Data'!$AS$9:$AS$2668)</f>
        <v>0</v>
      </c>
      <c r="AF43" s="49">
        <f>SUMPRODUCT(--('Input|Historical Data'!$AO$9:$AO$2668=$E43),--('Input|Historical Data'!$AY$9:$AY$2668="SCS"),--('Input|Historical Data'!$AX$9:$AX$2668=AF$5),'Input|Historical Data'!$AS$9:$AS$2668)</f>
        <v>0</v>
      </c>
      <c r="AG43" s="49">
        <f>SUMPRODUCT(--('Input|Historical Data'!$AO$9:$AO$2668=$E43),--('Input|Historical Data'!$AY$9:$AY$2668="SCS"),--('Input|Historical Data'!$AX$9:$AX$2668=AG$5),'Input|Historical Data'!$AS$9:$AS$2668)</f>
        <v>0</v>
      </c>
      <c r="AH43" s="49">
        <f>SUMPRODUCT(--('Input|Historical Data'!$AO$9:$AO$2668=$E43),--('Input|Historical Data'!$AY$9:$AY$2668="SCS"),--('Input|Historical Data'!$AW$9:$AW$2668=AH$5),'Input|Historical Data'!$AS$9:$AS$2668)</f>
        <v>0</v>
      </c>
      <c r="AI43" s="50">
        <f t="shared" si="13"/>
        <v>0</v>
      </c>
      <c r="AJ43" s="50">
        <f t="shared" si="2"/>
        <v>0</v>
      </c>
      <c r="AK43" s="50">
        <f t="shared" si="3"/>
        <v>0</v>
      </c>
      <c r="AL43" s="50">
        <f t="shared" si="14"/>
        <v>0</v>
      </c>
      <c r="AM43" s="39"/>
      <c r="AN43" s="50">
        <f t="shared" si="15"/>
        <v>0</v>
      </c>
      <c r="AO43" s="50">
        <f t="shared" si="16"/>
        <v>0</v>
      </c>
      <c r="AP43" s="50">
        <f t="shared" si="17"/>
        <v>0</v>
      </c>
      <c r="AQ43" s="50">
        <f t="shared" si="18"/>
        <v>0</v>
      </c>
      <c r="AR43" s="45"/>
    </row>
    <row r="44" spans="3:44" s="7" customFormat="1" x14ac:dyDescent="0.2">
      <c r="C44" s="39"/>
      <c r="D44" s="39"/>
      <c r="E44" s="39">
        <v>141</v>
      </c>
      <c r="F44" s="39" t="s">
        <v>2249</v>
      </c>
      <c r="G44" s="39" t="str">
        <f>VLOOKUP(E44,Mapping!$E$11:$G$96,3,0)</f>
        <v>Replacement</v>
      </c>
      <c r="H44" s="39" t="str">
        <f>VLOOKUP(E44,Mapping!$E$11:$K$96,7,0)</f>
        <v>SCS</v>
      </c>
      <c r="I44" s="39"/>
      <c r="J44" s="49">
        <f>SUMPRODUCT(--('Input|Historical Data'!$Q$9:$Q$2561=$E44),--('Input|Historical Data'!$AA$9:$AA$2561="SCS"),--('Input|Historical Data'!$Y$9:$Y$2561=J$5),'Input|Historical Data'!$U$9:$U$2561)</f>
        <v>3516.778710000001</v>
      </c>
      <c r="K44" s="49">
        <f>SUMPRODUCT(--('Input|Historical Data'!$Q$9:$Q$2561=$E44),--('Input|Historical Data'!$AA$9:$AA$2561="SCS"),--('Input|Historical Data'!$Z$9:$Z$2561=K$5),'Input|Historical Data'!$U$9:$U$2561)</f>
        <v>1282.9699500000002</v>
      </c>
      <c r="L44" s="49">
        <f>SUMPRODUCT(--('Input|Historical Data'!$Q$9:$Q$2561=$E44),--('Input|Historical Data'!$AA$9:$AA$2561="SCS"),--('Input|Historical Data'!$Z$9:$Z$2561=L$5),'Input|Historical Data'!$U$9:$U$2561)</f>
        <v>370.58499</v>
      </c>
      <c r="M44" s="49">
        <f>SUMPRODUCT(--('Input|Historical Data'!$Q$9:$Q$2561=$E44),--('Input|Historical Data'!$AA$9:$AA$2561="SCS"),--('Input|Historical Data'!$Z$9:$Z$2561=M$5),'Input|Historical Data'!$U$9:$U$2561)</f>
        <v>1720.8017200000004</v>
      </c>
      <c r="N44" s="49">
        <f>SUMPRODUCT(--('Input|Historical Data'!$Q$9:$Q$2561=$E44),--('Input|Historical Data'!$AA$9:$AA$2561="SCS"),--('Input|Historical Data'!$Y$9:$Y$2561=N$5),'Input|Historical Data'!$U$9:$U$2561)</f>
        <v>592.57126999999991</v>
      </c>
      <c r="O44" s="50">
        <f t="shared" si="5"/>
        <v>0.3802117201208956</v>
      </c>
      <c r="P44" s="50">
        <f t="shared" si="6"/>
        <v>0.10982389454942797</v>
      </c>
      <c r="Q44" s="50">
        <f t="shared" si="7"/>
        <v>0.50996438532967647</v>
      </c>
      <c r="R44" s="50">
        <f t="shared" si="8"/>
        <v>0.16849831020502276</v>
      </c>
      <c r="S44" s="39"/>
      <c r="T44" s="49">
        <f>SUMPRODUCT(--('Input|Historical Data'!$AC$9:$AC$2668=$E44),--('Input|Historical Data'!$AM$9:$AM$2668="SCS"),--('Input|Historical Data'!$AK$9:$AK$2668=T$5),'Input|Historical Data'!$AG$9:$AG$2668)</f>
        <v>5251.1993300000013</v>
      </c>
      <c r="U44" s="49">
        <f>SUMPRODUCT(--('Input|Historical Data'!$AC$9:$AC$2668=$E44),--('Input|Historical Data'!$AM$9:$AM$2668="SCS"),--('Input|Historical Data'!$AL$9:$AL$2668=U$5),'Input|Historical Data'!$AG$9:$AG$2668)</f>
        <v>1922.8517200000003</v>
      </c>
      <c r="V44" s="49">
        <f>SUMPRODUCT(--('Input|Historical Data'!$AC$9:$AC$2668=$E44),--('Input|Historical Data'!$AM$9:$AM$2668="SCS"),--('Input|Historical Data'!$AL$9:$AL$2668=V$5),'Input|Historical Data'!$AG$9:$AG$2668)</f>
        <v>343.21388999999999</v>
      </c>
      <c r="W44" s="49">
        <f>SUMPRODUCT(--('Input|Historical Data'!$AC$9:$AC$2668=$E44),--('Input|Historical Data'!$AM$9:$AM$2668="SCS"),--('Input|Historical Data'!$AL$9:$AL$2668=W$5),'Input|Historical Data'!$AG$9:$AG$2668)</f>
        <v>2746.4497200000001</v>
      </c>
      <c r="X44" s="49">
        <f>SUMPRODUCT(--('Input|Historical Data'!$AC$9:$AC$2668=$E44),--('Input|Historical Data'!$AM$9:$AM$2668="SCS"),--('Input|Historical Data'!$AK$9:$AK$2668=X$5),'Input|Historical Data'!$AG$9:$AG$2668)</f>
        <v>884.43767000000003</v>
      </c>
      <c r="Y44" s="50">
        <f t="shared" si="9"/>
        <v>0.38361014249506548</v>
      </c>
      <c r="Z44" s="50">
        <f t="shared" si="10"/>
        <v>6.8471389592737658E-2</v>
      </c>
      <c r="AA44" s="50">
        <f t="shared" si="11"/>
        <v>0.54791846791219689</v>
      </c>
      <c r="AB44" s="50">
        <f t="shared" si="12"/>
        <v>0.16842584225421126</v>
      </c>
      <c r="AC44" s="39"/>
      <c r="AD44" s="49">
        <f>SUMPRODUCT(--('Input|Historical Data'!$AO$9:$AO$2668=$E44),--('Input|Historical Data'!$AY$9:$AY$2668="SCS"),--('Input|Historical Data'!$AW$9:$AW$2668=AD$5),'Input|Historical Data'!$AS$9:$AS$2668)</f>
        <v>5590.7185400000008</v>
      </c>
      <c r="AE44" s="49">
        <f>SUMPRODUCT(--('Input|Historical Data'!$AO$9:$AO$2668=$E44),--('Input|Historical Data'!$AY$9:$AY$2668="SCS"),--('Input|Historical Data'!$AX$9:$AX$2668=AE$5),'Input|Historical Data'!$AS$9:$AS$2668)</f>
        <v>1627.9890300000002</v>
      </c>
      <c r="AF44" s="49">
        <f>SUMPRODUCT(--('Input|Historical Data'!$AO$9:$AO$2668=$E44),--('Input|Historical Data'!$AY$9:$AY$2668="SCS"),--('Input|Historical Data'!$AX$9:$AX$2668=AF$5),'Input|Historical Data'!$AS$9:$AS$2668)</f>
        <v>772.01325000000008</v>
      </c>
      <c r="AG44" s="49">
        <f>SUMPRODUCT(--('Input|Historical Data'!$AO$9:$AO$2668=$E44),--('Input|Historical Data'!$AY$9:$AY$2668="SCS"),--('Input|Historical Data'!$AX$9:$AX$2668=AG$5),'Input|Historical Data'!$AS$9:$AS$2668)</f>
        <v>2951.3789200000001</v>
      </c>
      <c r="AH44" s="49">
        <f>SUMPRODUCT(--('Input|Historical Data'!$AO$9:$AO$2668=$E44),--('Input|Historical Data'!$AY$9:$AY$2668="SCS"),--('Input|Historical Data'!$AW$9:$AW$2668=AH$5),'Input|Historical Data'!$AS$9:$AS$2668)</f>
        <v>823.03899999999999</v>
      </c>
      <c r="AI44" s="50">
        <f t="shared" si="13"/>
        <v>0.30421847540967561</v>
      </c>
      <c r="AJ44" s="50">
        <f t="shared" si="2"/>
        <v>0.14426429759853401</v>
      </c>
      <c r="AK44" s="50">
        <f t="shared" si="3"/>
        <v>0.55151722699179051</v>
      </c>
      <c r="AL44" s="50">
        <f t="shared" si="14"/>
        <v>0.14721524507295261</v>
      </c>
      <c r="AM44" s="39"/>
      <c r="AN44" s="50">
        <f t="shared" si="15"/>
        <v>0.35185045967259532</v>
      </c>
      <c r="AO44" s="50">
        <f t="shared" si="16"/>
        <v>0.10815145924676323</v>
      </c>
      <c r="AP44" s="50">
        <f t="shared" si="17"/>
        <v>0.53999808108064129</v>
      </c>
      <c r="AQ44" s="50">
        <f t="shared" si="18"/>
        <v>0.16018500893762874</v>
      </c>
      <c r="AR44" s="45"/>
    </row>
    <row r="45" spans="3:44" s="7" customFormat="1" x14ac:dyDescent="0.2">
      <c r="C45" s="39"/>
      <c r="D45" s="39"/>
      <c r="E45" s="39">
        <v>142</v>
      </c>
      <c r="F45" s="39" t="s">
        <v>2250</v>
      </c>
      <c r="G45" s="39" t="str">
        <f>VLOOKUP(E45,Mapping!$E$11:$G$96,3,0)</f>
        <v>Replacement</v>
      </c>
      <c r="H45" s="39" t="str">
        <f>VLOOKUP(E45,Mapping!$E$11:$K$96,7,0)</f>
        <v>SCS</v>
      </c>
      <c r="I45" s="39"/>
      <c r="J45" s="49">
        <f>SUMPRODUCT(--('Input|Historical Data'!$Q$9:$Q$2561=$E45),--('Input|Historical Data'!$AA$9:$AA$2561="SCS"),--('Input|Historical Data'!$Y$9:$Y$2561=J$5),'Input|Historical Data'!$U$9:$U$2561)</f>
        <v>15.124810000000002</v>
      </c>
      <c r="K45" s="49">
        <f>SUMPRODUCT(--('Input|Historical Data'!$Q$9:$Q$2561=$E45),--('Input|Historical Data'!$AA$9:$AA$2561="SCS"),--('Input|Historical Data'!$Z$9:$Z$2561=K$5),'Input|Historical Data'!$U$9:$U$2561)</f>
        <v>11.21307</v>
      </c>
      <c r="L45" s="49">
        <f>SUMPRODUCT(--('Input|Historical Data'!$Q$9:$Q$2561=$E45),--('Input|Historical Data'!$AA$9:$AA$2561="SCS"),--('Input|Historical Data'!$Z$9:$Z$2561=L$5),'Input|Historical Data'!$U$9:$U$2561)</f>
        <v>1.1176600000000001</v>
      </c>
      <c r="M45" s="49">
        <f>SUMPRODUCT(--('Input|Historical Data'!$Q$9:$Q$2561=$E45),--('Input|Historical Data'!$AA$9:$AA$2561="SCS"),--('Input|Historical Data'!$Z$9:$Z$2561=M$5),'Input|Historical Data'!$U$9:$U$2561)</f>
        <v>2.0539000000000001</v>
      </c>
      <c r="N45" s="49">
        <f>SUMPRODUCT(--('Input|Historical Data'!$Q$9:$Q$2561=$E45),--('Input|Historical Data'!$AA$9:$AA$2561="SCS"),--('Input|Historical Data'!$Y$9:$Y$2561=N$5),'Input|Historical Data'!$U$9:$U$2561)</f>
        <v>1.9668400000000001</v>
      </c>
      <c r="O45" s="50">
        <f t="shared" si="5"/>
        <v>0.77951744327104688</v>
      </c>
      <c r="P45" s="50">
        <f t="shared" si="6"/>
        <v>7.7698209825348308E-2</v>
      </c>
      <c r="Q45" s="50">
        <f t="shared" si="7"/>
        <v>0.14278434690360475</v>
      </c>
      <c r="R45" s="50">
        <f t="shared" si="8"/>
        <v>0.13004064183285607</v>
      </c>
      <c r="S45" s="39"/>
      <c r="T45" s="49">
        <f>SUMPRODUCT(--('Input|Historical Data'!$AC$9:$AC$2668=$E45),--('Input|Historical Data'!$AM$9:$AM$2668="SCS"),--('Input|Historical Data'!$AK$9:$AK$2668=T$5),'Input|Historical Data'!$AG$9:$AG$2668)</f>
        <v>-23.824540000000002</v>
      </c>
      <c r="U45" s="49">
        <f>SUMPRODUCT(--('Input|Historical Data'!$AC$9:$AC$2668=$E45),--('Input|Historical Data'!$AM$9:$AM$2668="SCS"),--('Input|Historical Data'!$AL$9:$AL$2668=U$5),'Input|Historical Data'!$AG$9:$AG$2668)</f>
        <v>0</v>
      </c>
      <c r="V45" s="49">
        <f>SUMPRODUCT(--('Input|Historical Data'!$AC$9:$AC$2668=$E45),--('Input|Historical Data'!$AM$9:$AM$2668="SCS"),--('Input|Historical Data'!$AL$9:$AL$2668=V$5),'Input|Historical Data'!$AG$9:$AG$2668)</f>
        <v>0</v>
      </c>
      <c r="W45" s="49">
        <f>SUMPRODUCT(--('Input|Historical Data'!$AC$9:$AC$2668=$E45),--('Input|Historical Data'!$AM$9:$AM$2668="SCS"),--('Input|Historical Data'!$AL$9:$AL$2668=W$5),'Input|Historical Data'!$AG$9:$AG$2668)</f>
        <v>-27.670100000000001</v>
      </c>
      <c r="X45" s="49">
        <f>SUMPRODUCT(--('Input|Historical Data'!$AC$9:$AC$2668=$E45),--('Input|Historical Data'!$AM$9:$AM$2668="SCS"),--('Input|Historical Data'!$AK$9:$AK$2668=X$5),'Input|Historical Data'!$AG$9:$AG$2668)</f>
        <v>-3.0409500000000018</v>
      </c>
      <c r="Y45" s="50">
        <f t="shared" si="9"/>
        <v>0</v>
      </c>
      <c r="Z45" s="50">
        <f t="shared" si="10"/>
        <v>0</v>
      </c>
      <c r="AA45" s="50">
        <f t="shared" si="11"/>
        <v>1</v>
      </c>
      <c r="AB45" s="50">
        <f t="shared" si="12"/>
        <v>0.12763940038296653</v>
      </c>
      <c r="AC45" s="39"/>
      <c r="AD45" s="49">
        <f>SUMPRODUCT(--('Input|Historical Data'!$AO$9:$AO$2668=$E45),--('Input|Historical Data'!$AY$9:$AY$2668="SCS"),--('Input|Historical Data'!$AW$9:$AW$2668=AD$5),'Input|Historical Data'!$AS$9:$AS$2668)</f>
        <v>0</v>
      </c>
      <c r="AE45" s="49">
        <f>SUMPRODUCT(--('Input|Historical Data'!$AO$9:$AO$2668=$E45),--('Input|Historical Data'!$AY$9:$AY$2668="SCS"),--('Input|Historical Data'!$AX$9:$AX$2668=AE$5),'Input|Historical Data'!$AS$9:$AS$2668)</f>
        <v>0</v>
      </c>
      <c r="AF45" s="49">
        <f>SUMPRODUCT(--('Input|Historical Data'!$AO$9:$AO$2668=$E45),--('Input|Historical Data'!$AY$9:$AY$2668="SCS"),--('Input|Historical Data'!$AX$9:$AX$2668=AF$5),'Input|Historical Data'!$AS$9:$AS$2668)</f>
        <v>0</v>
      </c>
      <c r="AG45" s="49">
        <f>SUMPRODUCT(--('Input|Historical Data'!$AO$9:$AO$2668=$E45),--('Input|Historical Data'!$AY$9:$AY$2668="SCS"),--('Input|Historical Data'!$AX$9:$AX$2668=AG$5),'Input|Historical Data'!$AS$9:$AS$2668)</f>
        <v>0</v>
      </c>
      <c r="AH45" s="49">
        <f>SUMPRODUCT(--('Input|Historical Data'!$AO$9:$AO$2668=$E45),--('Input|Historical Data'!$AY$9:$AY$2668="SCS"),--('Input|Historical Data'!$AW$9:$AW$2668=AH$5),'Input|Historical Data'!$AS$9:$AS$2668)</f>
        <v>0</v>
      </c>
      <c r="AI45" s="50">
        <f t="shared" si="13"/>
        <v>0</v>
      </c>
      <c r="AJ45" s="50">
        <f t="shared" si="2"/>
        <v>0</v>
      </c>
      <c r="AK45" s="50">
        <f t="shared" si="3"/>
        <v>0</v>
      </c>
      <c r="AL45" s="50">
        <f t="shared" si="14"/>
        <v>0</v>
      </c>
      <c r="AM45" s="39"/>
      <c r="AN45" s="50">
        <f t="shared" si="15"/>
        <v>-0.84401003502322458</v>
      </c>
      <c r="AO45" s="50">
        <f t="shared" si="16"/>
        <v>-8.4126493078528652E-2</v>
      </c>
      <c r="AP45" s="50">
        <f t="shared" si="17"/>
        <v>1.9281365281017535</v>
      </c>
      <c r="AQ45" s="50">
        <f t="shared" si="18"/>
        <v>0.12346475120492263</v>
      </c>
      <c r="AR45" s="45"/>
    </row>
    <row r="46" spans="3:44" s="7" customFormat="1" x14ac:dyDescent="0.2">
      <c r="C46" s="39"/>
      <c r="D46" s="39"/>
      <c r="E46" s="39">
        <v>143</v>
      </c>
      <c r="F46" s="39" t="s">
        <v>2251</v>
      </c>
      <c r="G46" s="39" t="str">
        <f>VLOOKUP(E46,Mapping!$E$11:$G$96,3,0)</f>
        <v>Replacement</v>
      </c>
      <c r="H46" s="39" t="str">
        <f>VLOOKUP(E46,Mapping!$E$11:$K$96,7,0)</f>
        <v>SCS</v>
      </c>
      <c r="I46" s="39"/>
      <c r="J46" s="49">
        <f>SUMPRODUCT(--('Input|Historical Data'!$Q$9:$Q$2561=$E46),--('Input|Historical Data'!$AA$9:$AA$2561="SCS"),--('Input|Historical Data'!$Y$9:$Y$2561=J$5),'Input|Historical Data'!$U$9:$U$2561)</f>
        <v>1614.537250000001</v>
      </c>
      <c r="K46" s="49">
        <f>SUMPRODUCT(--('Input|Historical Data'!$Q$9:$Q$2561=$E46),--('Input|Historical Data'!$AA$9:$AA$2561="SCS"),--('Input|Historical Data'!$Z$9:$Z$2561=K$5),'Input|Historical Data'!$U$9:$U$2561)</f>
        <v>546.64209000000005</v>
      </c>
      <c r="L46" s="49">
        <f>SUMPRODUCT(--('Input|Historical Data'!$Q$9:$Q$2561=$E46),--('Input|Historical Data'!$AA$9:$AA$2561="SCS"),--('Input|Historical Data'!$Z$9:$Z$2561=L$5),'Input|Historical Data'!$U$9:$U$2561)</f>
        <v>516.6931800000001</v>
      </c>
      <c r="M46" s="49">
        <f>SUMPRODUCT(--('Input|Historical Data'!$Q$9:$Q$2561=$E46),--('Input|Historical Data'!$AA$9:$AA$2561="SCS"),--('Input|Historical Data'!$Z$9:$Z$2561=M$5),'Input|Historical Data'!$U$9:$U$2561)</f>
        <v>506.42288000000002</v>
      </c>
      <c r="N46" s="49">
        <f>SUMPRODUCT(--('Input|Historical Data'!$Q$9:$Q$2561=$E46),--('Input|Historical Data'!$AA$9:$AA$2561="SCS"),--('Input|Historical Data'!$Y$9:$Y$2561=N$5),'Input|Historical Data'!$U$9:$U$2561)</f>
        <v>256.32668999999999</v>
      </c>
      <c r="O46" s="50">
        <f t="shared" si="5"/>
        <v>0.34823331861662893</v>
      </c>
      <c r="P46" s="50">
        <f t="shared" si="6"/>
        <v>0.32915464079609974</v>
      </c>
      <c r="Q46" s="50">
        <f t="shared" si="7"/>
        <v>0.32261204058727133</v>
      </c>
      <c r="R46" s="50">
        <f t="shared" si="8"/>
        <v>0.15876170710833698</v>
      </c>
      <c r="S46" s="39"/>
      <c r="T46" s="49">
        <f>SUMPRODUCT(--('Input|Historical Data'!$AC$9:$AC$2668=$E46),--('Input|Historical Data'!$AM$9:$AM$2668="SCS"),--('Input|Historical Data'!$AK$9:$AK$2668=T$5),'Input|Historical Data'!$AG$9:$AG$2668)</f>
        <v>776.28256999999974</v>
      </c>
      <c r="U46" s="49">
        <f>SUMPRODUCT(--('Input|Historical Data'!$AC$9:$AC$2668=$E46),--('Input|Historical Data'!$AM$9:$AM$2668="SCS"),--('Input|Historical Data'!$AL$9:$AL$2668=U$5),'Input|Historical Data'!$AG$9:$AG$2668)</f>
        <v>445.43210000000005</v>
      </c>
      <c r="V46" s="49">
        <f>SUMPRODUCT(--('Input|Historical Data'!$AC$9:$AC$2668=$E46),--('Input|Historical Data'!$AM$9:$AM$2668="SCS"),--('Input|Historical Data'!$AL$9:$AL$2668=V$5),'Input|Historical Data'!$AG$9:$AG$2668)</f>
        <v>168.21177</v>
      </c>
      <c r="W46" s="49">
        <f>SUMPRODUCT(--('Input|Historical Data'!$AC$9:$AC$2668=$E46),--('Input|Historical Data'!$AM$9:$AM$2668="SCS"),--('Input|Historical Data'!$AL$9:$AL$2668=W$5),'Input|Historical Data'!$AG$9:$AG$2668)</f>
        <v>132.41137999999998</v>
      </c>
      <c r="X46" s="49">
        <f>SUMPRODUCT(--('Input|Historical Data'!$AC$9:$AC$2668=$E46),--('Input|Historical Data'!$AM$9:$AM$2668="SCS"),--('Input|Historical Data'!$AK$9:$AK$2668=X$5),'Input|Historical Data'!$AG$9:$AG$2668)</f>
        <v>132.44241</v>
      </c>
      <c r="Y46" s="50">
        <f t="shared" si="9"/>
        <v>0.59704974933156763</v>
      </c>
      <c r="Z46" s="50">
        <f t="shared" si="10"/>
        <v>0.22546824782748995</v>
      </c>
      <c r="AA46" s="50">
        <f t="shared" si="11"/>
        <v>0.17748200284094234</v>
      </c>
      <c r="AB46" s="50">
        <f t="shared" si="12"/>
        <v>0.17061108302354391</v>
      </c>
      <c r="AC46" s="39"/>
      <c r="AD46" s="49">
        <f>SUMPRODUCT(--('Input|Historical Data'!$AO$9:$AO$2668=$E46),--('Input|Historical Data'!$AY$9:$AY$2668="SCS"),--('Input|Historical Data'!$AW$9:$AW$2668=AD$5),'Input|Historical Data'!$AS$9:$AS$2668)</f>
        <v>700.48606000000029</v>
      </c>
      <c r="AE46" s="49">
        <f>SUMPRODUCT(--('Input|Historical Data'!$AO$9:$AO$2668=$E46),--('Input|Historical Data'!$AY$9:$AY$2668="SCS"),--('Input|Historical Data'!$AX$9:$AX$2668=AE$5),'Input|Historical Data'!$AS$9:$AS$2668)</f>
        <v>278.50085000000001</v>
      </c>
      <c r="AF46" s="49">
        <f>SUMPRODUCT(--('Input|Historical Data'!$AO$9:$AO$2668=$E46),--('Input|Historical Data'!$AY$9:$AY$2668="SCS"),--('Input|Historical Data'!$AX$9:$AX$2668=AF$5),'Input|Historical Data'!$AS$9:$AS$2668)</f>
        <v>218.89855</v>
      </c>
      <c r="AG46" s="49">
        <f>SUMPRODUCT(--('Input|Historical Data'!$AO$9:$AO$2668=$E46),--('Input|Historical Data'!$AY$9:$AY$2668="SCS"),--('Input|Historical Data'!$AX$9:$AX$2668=AG$5),'Input|Historical Data'!$AS$9:$AS$2668)</f>
        <v>177.65503999999999</v>
      </c>
      <c r="AH46" s="49">
        <f>SUMPRODUCT(--('Input|Historical Data'!$AO$9:$AO$2668=$E46),--('Input|Historical Data'!$AY$9:$AY$2668="SCS"),--('Input|Historical Data'!$AW$9:$AW$2668=AH$5),'Input|Historical Data'!$AS$9:$AS$2668)</f>
        <v>102.18425000000001</v>
      </c>
      <c r="AI46" s="50">
        <f t="shared" si="13"/>
        <v>0.4125605780772289</v>
      </c>
      <c r="AJ46" s="50">
        <f t="shared" si="2"/>
        <v>0.32426799533382816</v>
      </c>
      <c r="AK46" s="50">
        <f t="shared" si="3"/>
        <v>0.26317142658894294</v>
      </c>
      <c r="AL46" s="50">
        <f t="shared" si="14"/>
        <v>0.14587620772924442</v>
      </c>
      <c r="AM46" s="39"/>
      <c r="AN46" s="50">
        <f t="shared" si="15"/>
        <v>0.42481818253794867</v>
      </c>
      <c r="AO46" s="50">
        <f t="shared" si="16"/>
        <v>0.30218770883570706</v>
      </c>
      <c r="AP46" s="50">
        <f t="shared" si="17"/>
        <v>0.27299410862634438</v>
      </c>
      <c r="AQ46" s="50">
        <f t="shared" si="18"/>
        <v>0.15881746066487601</v>
      </c>
      <c r="AR46" s="45"/>
    </row>
    <row r="47" spans="3:44" s="7" customFormat="1" x14ac:dyDescent="0.2">
      <c r="C47" s="39"/>
      <c r="D47" s="39"/>
      <c r="E47" s="39">
        <v>144</v>
      </c>
      <c r="F47" s="39" t="s">
        <v>2252</v>
      </c>
      <c r="G47" s="39" t="str">
        <f>VLOOKUP(E47,Mapping!$E$11:$G$96,3,0)</f>
        <v>Replacement</v>
      </c>
      <c r="H47" s="39" t="str">
        <f>VLOOKUP(E47,Mapping!$E$11:$K$96,7,0)</f>
        <v>SCS</v>
      </c>
      <c r="I47" s="39"/>
      <c r="J47" s="49">
        <f>SUMPRODUCT(--('Input|Historical Data'!$Q$9:$Q$2561=$E47),--('Input|Historical Data'!$AA$9:$AA$2561="SCS"),--('Input|Historical Data'!$Y$9:$Y$2561=J$5),'Input|Historical Data'!$U$9:$U$2561)</f>
        <v>258.86517000000003</v>
      </c>
      <c r="K47" s="49">
        <f>SUMPRODUCT(--('Input|Historical Data'!$Q$9:$Q$2561=$E47),--('Input|Historical Data'!$AA$9:$AA$2561="SCS"),--('Input|Historical Data'!$Z$9:$Z$2561=K$5),'Input|Historical Data'!$U$9:$U$2561)</f>
        <v>103.68575999999999</v>
      </c>
      <c r="L47" s="49">
        <f>SUMPRODUCT(--('Input|Historical Data'!$Q$9:$Q$2561=$E47),--('Input|Historical Data'!$AA$9:$AA$2561="SCS"),--('Input|Historical Data'!$Z$9:$Z$2561=L$5),'Input|Historical Data'!$U$9:$U$2561)</f>
        <v>5.8605499999999999</v>
      </c>
      <c r="M47" s="49">
        <f>SUMPRODUCT(--('Input|Historical Data'!$Q$9:$Q$2561=$E47),--('Input|Historical Data'!$AA$9:$AA$2561="SCS"),--('Input|Historical Data'!$Z$9:$Z$2561=M$5),'Input|Historical Data'!$U$9:$U$2561)</f>
        <v>145.57383999999999</v>
      </c>
      <c r="N47" s="49">
        <f>SUMPRODUCT(--('Input|Historical Data'!$Q$9:$Q$2561=$E47),--('Input|Historical Data'!$AA$9:$AA$2561="SCS"),--('Input|Historical Data'!$Y$9:$Y$2561=N$5),'Input|Historical Data'!$U$9:$U$2561)</f>
        <v>17.778059999999996</v>
      </c>
      <c r="O47" s="50">
        <f t="shared" si="5"/>
        <v>0.40641932830472233</v>
      </c>
      <c r="P47" s="50">
        <f t="shared" si="6"/>
        <v>2.29717252831656E-2</v>
      </c>
      <c r="Q47" s="50">
        <f t="shared" si="7"/>
        <v>0.57060894641211213</v>
      </c>
      <c r="R47" s="50">
        <f t="shared" si="8"/>
        <v>6.8676910068666219E-2</v>
      </c>
      <c r="S47" s="39"/>
      <c r="T47" s="49">
        <f>SUMPRODUCT(--('Input|Historical Data'!$AC$9:$AC$2668=$E47),--('Input|Historical Data'!$AM$9:$AM$2668="SCS"),--('Input|Historical Data'!$AK$9:$AK$2668=T$5),'Input|Historical Data'!$AG$9:$AG$2668)</f>
        <v>200.50545</v>
      </c>
      <c r="U47" s="49">
        <f>SUMPRODUCT(--('Input|Historical Data'!$AC$9:$AC$2668=$E47),--('Input|Historical Data'!$AM$9:$AM$2668="SCS"),--('Input|Historical Data'!$AL$9:$AL$2668=U$5),'Input|Historical Data'!$AG$9:$AG$2668)</f>
        <v>67.103149999999999</v>
      </c>
      <c r="V47" s="49">
        <f>SUMPRODUCT(--('Input|Historical Data'!$AC$9:$AC$2668=$E47),--('Input|Historical Data'!$AM$9:$AM$2668="SCS"),--('Input|Historical Data'!$AL$9:$AL$2668=V$5),'Input|Historical Data'!$AG$9:$AG$2668)</f>
        <v>81.37754000000001</v>
      </c>
      <c r="W47" s="49">
        <f>SUMPRODUCT(--('Input|Historical Data'!$AC$9:$AC$2668=$E47),--('Input|Historical Data'!$AM$9:$AM$2668="SCS"),--('Input|Historical Data'!$AL$9:$AL$2668=W$5),'Input|Historical Data'!$AG$9:$AG$2668)</f>
        <v>48.335589999999996</v>
      </c>
      <c r="X47" s="49">
        <f>SUMPRODUCT(--('Input|Historical Data'!$AC$9:$AC$2668=$E47),--('Input|Historical Data'!$AM$9:$AM$2668="SCS"),--('Input|Historical Data'!$AK$9:$AK$2668=X$5),'Input|Historical Data'!$AG$9:$AG$2668)</f>
        <v>33.612459999999999</v>
      </c>
      <c r="Y47" s="50">
        <f t="shared" si="9"/>
        <v>0.34094308661864758</v>
      </c>
      <c r="Z47" s="50">
        <f t="shared" si="10"/>
        <v>0.41346955648181138</v>
      </c>
      <c r="AA47" s="50">
        <f t="shared" si="11"/>
        <v>0.245587356899541</v>
      </c>
      <c r="AB47" s="50">
        <f t="shared" si="12"/>
        <v>0.16763863525904157</v>
      </c>
      <c r="AC47" s="39"/>
      <c r="AD47" s="49">
        <f>SUMPRODUCT(--('Input|Historical Data'!$AO$9:$AO$2668=$E47),--('Input|Historical Data'!$AY$9:$AY$2668="SCS"),--('Input|Historical Data'!$AW$9:$AW$2668=AD$5),'Input|Historical Data'!$AS$9:$AS$2668)</f>
        <v>644.84803999999974</v>
      </c>
      <c r="AE47" s="49">
        <f>SUMPRODUCT(--('Input|Historical Data'!$AO$9:$AO$2668=$E47),--('Input|Historical Data'!$AY$9:$AY$2668="SCS"),--('Input|Historical Data'!$AX$9:$AX$2668=AE$5),'Input|Historical Data'!$AS$9:$AS$2668)</f>
        <v>138.66404000000006</v>
      </c>
      <c r="AF47" s="49">
        <f>SUMPRODUCT(--('Input|Historical Data'!$AO$9:$AO$2668=$E47),--('Input|Historical Data'!$AY$9:$AY$2668="SCS"),--('Input|Historical Data'!$AX$9:$AX$2668=AF$5),'Input|Historical Data'!$AS$9:$AS$2668)</f>
        <v>287.81671</v>
      </c>
      <c r="AG47" s="49">
        <f>SUMPRODUCT(--('Input|Historical Data'!$AO$9:$AO$2668=$E47),--('Input|Historical Data'!$AY$9:$AY$2668="SCS"),--('Input|Historical Data'!$AX$9:$AX$2668=AG$5),'Input|Historical Data'!$AS$9:$AS$2668)</f>
        <v>207.26800999999998</v>
      </c>
      <c r="AH47" s="49">
        <f>SUMPRODUCT(--('Input|Historical Data'!$AO$9:$AO$2668=$E47),--('Input|Historical Data'!$AY$9:$AY$2668="SCS"),--('Input|Historical Data'!$AW$9:$AW$2668=AH$5),'Input|Historical Data'!$AS$9:$AS$2668)</f>
        <v>73.016819999999996</v>
      </c>
      <c r="AI47" s="50">
        <f t="shared" si="13"/>
        <v>0.21879970226687315</v>
      </c>
      <c r="AJ47" s="50">
        <f t="shared" si="2"/>
        <v>0.45414954342474767</v>
      </c>
      <c r="AK47" s="50">
        <f t="shared" si="3"/>
        <v>0.32705075430837915</v>
      </c>
      <c r="AL47" s="50">
        <f t="shared" si="14"/>
        <v>0.11323104897705825</v>
      </c>
      <c r="AM47" s="39"/>
      <c r="AN47" s="50">
        <f t="shared" si="15"/>
        <v>0.28503009237880456</v>
      </c>
      <c r="AO47" s="50">
        <f t="shared" si="16"/>
        <v>0.34545446825151954</v>
      </c>
      <c r="AP47" s="50">
        <f t="shared" si="17"/>
        <v>0.36951543936967574</v>
      </c>
      <c r="AQ47" s="50">
        <f t="shared" si="18"/>
        <v>0.11266549326380702</v>
      </c>
      <c r="AR47" s="45"/>
    </row>
    <row r="48" spans="3:44" s="7" customFormat="1" x14ac:dyDescent="0.2">
      <c r="C48" s="39"/>
      <c r="D48" s="39"/>
      <c r="E48" s="39">
        <v>145</v>
      </c>
      <c r="F48" s="39" t="s">
        <v>2253</v>
      </c>
      <c r="G48" s="39" t="str">
        <f>VLOOKUP(E48,Mapping!$E$11:$G$96,3,0)</f>
        <v>Replacement</v>
      </c>
      <c r="H48" s="39" t="str">
        <f>VLOOKUP(E48,Mapping!$E$11:$K$96,7,0)</f>
        <v>SCS</v>
      </c>
      <c r="I48" s="39"/>
      <c r="J48" s="49">
        <f>SUMPRODUCT(--('Input|Historical Data'!$Q$9:$Q$2561=$E48),--('Input|Historical Data'!$AA$9:$AA$2561="SCS"),--('Input|Historical Data'!$Y$9:$Y$2561=J$5),'Input|Historical Data'!$U$9:$U$2561)</f>
        <v>301.12913000000003</v>
      </c>
      <c r="K48" s="49">
        <f>SUMPRODUCT(--('Input|Historical Data'!$Q$9:$Q$2561=$E48),--('Input|Historical Data'!$AA$9:$AA$2561="SCS"),--('Input|Historical Data'!$Z$9:$Z$2561=K$5),'Input|Historical Data'!$U$9:$U$2561)</f>
        <v>225.21691999999999</v>
      </c>
      <c r="L48" s="49">
        <f>SUMPRODUCT(--('Input|Historical Data'!$Q$9:$Q$2561=$E48),--('Input|Historical Data'!$AA$9:$AA$2561="SCS"),--('Input|Historical Data'!$Z$9:$Z$2561=L$5),'Input|Historical Data'!$U$9:$U$2561)</f>
        <v>28.469370000000001</v>
      </c>
      <c r="M48" s="49">
        <f>SUMPRODUCT(--('Input|Historical Data'!$Q$9:$Q$2561=$E48),--('Input|Historical Data'!$AA$9:$AA$2561="SCS"),--('Input|Historical Data'!$Z$9:$Z$2561=M$5),'Input|Historical Data'!$U$9:$U$2561)</f>
        <v>33.957329999999992</v>
      </c>
      <c r="N48" s="49">
        <f>SUMPRODUCT(--('Input|Historical Data'!$Q$9:$Q$2561=$E48),--('Input|Historical Data'!$AA$9:$AA$2561="SCS"),--('Input|Historical Data'!$Y$9:$Y$2561=N$5),'Input|Historical Data'!$U$9:$U$2561)</f>
        <v>53.901299999999999</v>
      </c>
      <c r="O48" s="50">
        <f t="shared" si="5"/>
        <v>0.78297206800554098</v>
      </c>
      <c r="P48" s="50">
        <f t="shared" si="6"/>
        <v>9.8974453179250077E-2</v>
      </c>
      <c r="Q48" s="50">
        <f t="shared" si="7"/>
        <v>0.11805347881520888</v>
      </c>
      <c r="R48" s="50">
        <f t="shared" si="8"/>
        <v>0.1789972959441021</v>
      </c>
      <c r="S48" s="39"/>
      <c r="T48" s="49">
        <f>SUMPRODUCT(--('Input|Historical Data'!$AC$9:$AC$2668=$E48),--('Input|Historical Data'!$AM$9:$AM$2668="SCS"),--('Input|Historical Data'!$AK$9:$AK$2668=T$5),'Input|Historical Data'!$AG$9:$AG$2668)</f>
        <v>309.70606000000004</v>
      </c>
      <c r="U48" s="49">
        <f>SUMPRODUCT(--('Input|Historical Data'!$AC$9:$AC$2668=$E48),--('Input|Historical Data'!$AM$9:$AM$2668="SCS"),--('Input|Historical Data'!$AL$9:$AL$2668=U$5),'Input|Historical Data'!$AG$9:$AG$2668)</f>
        <v>169.04112000000003</v>
      </c>
      <c r="V48" s="49">
        <f>SUMPRODUCT(--('Input|Historical Data'!$AC$9:$AC$2668=$E48),--('Input|Historical Data'!$AM$9:$AM$2668="SCS"),--('Input|Historical Data'!$AL$9:$AL$2668=V$5),'Input|Historical Data'!$AG$9:$AG$2668)</f>
        <v>37.43533</v>
      </c>
      <c r="W48" s="49">
        <f>SUMPRODUCT(--('Input|Historical Data'!$AC$9:$AC$2668=$E48),--('Input|Historical Data'!$AM$9:$AM$2668="SCS"),--('Input|Historical Data'!$AL$9:$AL$2668=W$5),'Input|Historical Data'!$AG$9:$AG$2668)</f>
        <v>79.211930000000009</v>
      </c>
      <c r="X48" s="49">
        <f>SUMPRODUCT(--('Input|Historical Data'!$AC$9:$AC$2668=$E48),--('Input|Historical Data'!$AM$9:$AM$2668="SCS"),--('Input|Historical Data'!$AK$9:$AK$2668=X$5),'Input|Historical Data'!$AG$9:$AG$2668)</f>
        <v>53.049399999999999</v>
      </c>
      <c r="Y48" s="50">
        <f t="shared" si="9"/>
        <v>0.59169756921860106</v>
      </c>
      <c r="Z48" s="50">
        <f t="shared" si="10"/>
        <v>0.13103553599204837</v>
      </c>
      <c r="AA48" s="50">
        <f t="shared" si="11"/>
        <v>0.27726689478935052</v>
      </c>
      <c r="AB48" s="50">
        <f t="shared" si="12"/>
        <v>0.1712895123847431</v>
      </c>
      <c r="AC48" s="39"/>
      <c r="AD48" s="49">
        <f>SUMPRODUCT(--('Input|Historical Data'!$AO$9:$AO$2668=$E48),--('Input|Historical Data'!$AY$9:$AY$2668="SCS"),--('Input|Historical Data'!$AW$9:$AW$2668=AD$5),'Input|Historical Data'!$AS$9:$AS$2668)</f>
        <v>617.54866000000004</v>
      </c>
      <c r="AE48" s="49">
        <f>SUMPRODUCT(--('Input|Historical Data'!$AO$9:$AO$2668=$E48),--('Input|Historical Data'!$AY$9:$AY$2668="SCS"),--('Input|Historical Data'!$AX$9:$AX$2668=AE$5),'Input|Historical Data'!$AS$9:$AS$2668)</f>
        <v>284.30403999999999</v>
      </c>
      <c r="AF48" s="49">
        <f>SUMPRODUCT(--('Input|Historical Data'!$AO$9:$AO$2668=$E48),--('Input|Historical Data'!$AY$9:$AY$2668="SCS"),--('Input|Historical Data'!$AX$9:$AX$2668=AF$5),'Input|Historical Data'!$AS$9:$AS$2668)</f>
        <v>103.39314999999999</v>
      </c>
      <c r="AG48" s="49">
        <f>SUMPRODUCT(--('Input|Historical Data'!$AO$9:$AO$2668=$E48),--('Input|Historical Data'!$AY$9:$AY$2668="SCS"),--('Input|Historical Data'!$AX$9:$AX$2668=AG$5),'Input|Historical Data'!$AS$9:$AS$2668)</f>
        <v>206.61621999999997</v>
      </c>
      <c r="AH48" s="49">
        <f>SUMPRODUCT(--('Input|Historical Data'!$AO$9:$AO$2668=$E48),--('Input|Historical Data'!$AY$9:$AY$2668="SCS"),--('Input|Historical Data'!$AW$9:$AW$2668=AH$5),'Input|Historical Data'!$AS$9:$AS$2668)</f>
        <v>90.685230000000004</v>
      </c>
      <c r="AI48" s="50">
        <f t="shared" si="13"/>
        <v>0.47837392731892081</v>
      </c>
      <c r="AJ48" s="50">
        <f t="shared" si="2"/>
        <v>0.17397075055062278</v>
      </c>
      <c r="AK48" s="50">
        <f t="shared" si="3"/>
        <v>0.34765532213045636</v>
      </c>
      <c r="AL48" s="50">
        <f t="shared" si="14"/>
        <v>0.14684710027546655</v>
      </c>
      <c r="AM48" s="39"/>
      <c r="AN48" s="50">
        <f t="shared" si="15"/>
        <v>0.58113711079462038</v>
      </c>
      <c r="AO48" s="50">
        <f t="shared" si="16"/>
        <v>0.14499080675528025</v>
      </c>
      <c r="AP48" s="50">
        <f t="shared" si="17"/>
        <v>0.27387208245009931</v>
      </c>
      <c r="AQ48" s="50">
        <f t="shared" si="18"/>
        <v>0.16089101952944104</v>
      </c>
      <c r="AR48" s="45"/>
    </row>
    <row r="49" spans="3:44" s="7" customFormat="1" x14ac:dyDescent="0.2">
      <c r="C49" s="39"/>
      <c r="D49" s="39"/>
      <c r="E49" s="39">
        <v>146</v>
      </c>
      <c r="F49" s="39" t="s">
        <v>2254</v>
      </c>
      <c r="G49" s="39" t="str">
        <f>VLOOKUP(E49,Mapping!$E$11:$G$96,3,0)</f>
        <v>Quoted Opex</v>
      </c>
      <c r="H49" s="39" t="str">
        <f>VLOOKUP(E49,Mapping!$E$11:$K$96,7,0)</f>
        <v>Ancillary Network Services</v>
      </c>
      <c r="I49" s="39"/>
      <c r="J49" s="49">
        <f>SUMPRODUCT(--('Input|Historical Data'!$Q$9:$Q$2561=$E49),--('Input|Historical Data'!$AA$9:$AA$2561="SCS"),--('Input|Historical Data'!$Y$9:$Y$2561=J$5),'Input|Historical Data'!$U$9:$U$2561)</f>
        <v>0</v>
      </c>
      <c r="K49" s="49">
        <f>SUMPRODUCT(--('Input|Historical Data'!$Q$9:$Q$2561=$E49),--('Input|Historical Data'!$AA$9:$AA$2561="SCS"),--('Input|Historical Data'!$Z$9:$Z$2561=K$5),'Input|Historical Data'!$U$9:$U$2561)</f>
        <v>0</v>
      </c>
      <c r="L49" s="49">
        <f>SUMPRODUCT(--('Input|Historical Data'!$Q$9:$Q$2561=$E49),--('Input|Historical Data'!$AA$9:$AA$2561="SCS"),--('Input|Historical Data'!$Z$9:$Z$2561=L$5),'Input|Historical Data'!$U$9:$U$2561)</f>
        <v>0</v>
      </c>
      <c r="M49" s="49">
        <f>SUMPRODUCT(--('Input|Historical Data'!$Q$9:$Q$2561=$E49),--('Input|Historical Data'!$AA$9:$AA$2561="SCS"),--('Input|Historical Data'!$Z$9:$Z$2561=M$5),'Input|Historical Data'!$U$9:$U$2561)</f>
        <v>0</v>
      </c>
      <c r="N49" s="49">
        <f>SUMPRODUCT(--('Input|Historical Data'!$Q$9:$Q$2561=$E49),--('Input|Historical Data'!$AA$9:$AA$2561="SCS"),--('Input|Historical Data'!$Y$9:$Y$2561=N$5),'Input|Historical Data'!$U$9:$U$2561)</f>
        <v>0</v>
      </c>
      <c r="O49" s="50">
        <f t="shared" si="5"/>
        <v>0</v>
      </c>
      <c r="P49" s="50">
        <f t="shared" si="6"/>
        <v>0</v>
      </c>
      <c r="Q49" s="50">
        <f t="shared" si="7"/>
        <v>0</v>
      </c>
      <c r="R49" s="50">
        <f t="shared" si="8"/>
        <v>0</v>
      </c>
      <c r="S49" s="39"/>
      <c r="T49" s="49">
        <f>SUMPRODUCT(--('Input|Historical Data'!$AC$9:$AC$2668=$E49),--('Input|Historical Data'!$AM$9:$AM$2668="SCS"),--('Input|Historical Data'!$AK$9:$AK$2668=T$5),'Input|Historical Data'!$AG$9:$AG$2668)</f>
        <v>0</v>
      </c>
      <c r="U49" s="49">
        <f>SUMPRODUCT(--('Input|Historical Data'!$AC$9:$AC$2668=$E49),--('Input|Historical Data'!$AM$9:$AM$2668="SCS"),--('Input|Historical Data'!$AL$9:$AL$2668=U$5),'Input|Historical Data'!$AG$9:$AG$2668)</f>
        <v>0</v>
      </c>
      <c r="V49" s="49">
        <f>SUMPRODUCT(--('Input|Historical Data'!$AC$9:$AC$2668=$E49),--('Input|Historical Data'!$AM$9:$AM$2668="SCS"),--('Input|Historical Data'!$AL$9:$AL$2668=V$5),'Input|Historical Data'!$AG$9:$AG$2668)</f>
        <v>0</v>
      </c>
      <c r="W49" s="49">
        <f>SUMPRODUCT(--('Input|Historical Data'!$AC$9:$AC$2668=$E49),--('Input|Historical Data'!$AM$9:$AM$2668="SCS"),--('Input|Historical Data'!$AL$9:$AL$2668=W$5),'Input|Historical Data'!$AG$9:$AG$2668)</f>
        <v>0</v>
      </c>
      <c r="X49" s="49">
        <f>SUMPRODUCT(--('Input|Historical Data'!$AC$9:$AC$2668=$E49),--('Input|Historical Data'!$AM$9:$AM$2668="SCS"),--('Input|Historical Data'!$AK$9:$AK$2668=X$5),'Input|Historical Data'!$AG$9:$AG$2668)</f>
        <v>0</v>
      </c>
      <c r="Y49" s="50">
        <f t="shared" si="9"/>
        <v>0</v>
      </c>
      <c r="Z49" s="50">
        <f t="shared" si="10"/>
        <v>0</v>
      </c>
      <c r="AA49" s="50">
        <f t="shared" si="11"/>
        <v>0</v>
      </c>
      <c r="AB49" s="50">
        <f t="shared" si="12"/>
        <v>0</v>
      </c>
      <c r="AC49" s="39"/>
      <c r="AD49" s="49">
        <f>SUMPRODUCT(--('Input|Historical Data'!$AO$9:$AO$2668=$E49),--('Input|Historical Data'!$AY$9:$AY$2668="SCS"),--('Input|Historical Data'!$AW$9:$AW$2668=AD$5),'Input|Historical Data'!$AS$9:$AS$2668)</f>
        <v>0</v>
      </c>
      <c r="AE49" s="49">
        <f>SUMPRODUCT(--('Input|Historical Data'!$AO$9:$AO$2668=$E49),--('Input|Historical Data'!$AY$9:$AY$2668="SCS"),--('Input|Historical Data'!$AX$9:$AX$2668=AE$5),'Input|Historical Data'!$AS$9:$AS$2668)</f>
        <v>0</v>
      </c>
      <c r="AF49" s="49">
        <f>SUMPRODUCT(--('Input|Historical Data'!$AO$9:$AO$2668=$E49),--('Input|Historical Data'!$AY$9:$AY$2668="SCS"),--('Input|Historical Data'!$AX$9:$AX$2668=AF$5),'Input|Historical Data'!$AS$9:$AS$2668)</f>
        <v>0</v>
      </c>
      <c r="AG49" s="49">
        <f>SUMPRODUCT(--('Input|Historical Data'!$AO$9:$AO$2668=$E49),--('Input|Historical Data'!$AY$9:$AY$2668="SCS"),--('Input|Historical Data'!$AX$9:$AX$2668=AG$5),'Input|Historical Data'!$AS$9:$AS$2668)</f>
        <v>0</v>
      </c>
      <c r="AH49" s="49">
        <f>SUMPRODUCT(--('Input|Historical Data'!$AO$9:$AO$2668=$E49),--('Input|Historical Data'!$AY$9:$AY$2668="SCS"),--('Input|Historical Data'!$AW$9:$AW$2668=AH$5),'Input|Historical Data'!$AS$9:$AS$2668)</f>
        <v>0</v>
      </c>
      <c r="AI49" s="50">
        <f t="shared" si="13"/>
        <v>0</v>
      </c>
      <c r="AJ49" s="50">
        <f t="shared" si="2"/>
        <v>0</v>
      </c>
      <c r="AK49" s="50">
        <f t="shared" si="3"/>
        <v>0</v>
      </c>
      <c r="AL49" s="50">
        <f t="shared" si="14"/>
        <v>0</v>
      </c>
      <c r="AM49" s="39"/>
      <c r="AN49" s="50">
        <f t="shared" si="15"/>
        <v>0</v>
      </c>
      <c r="AO49" s="50">
        <f t="shared" si="16"/>
        <v>0</v>
      </c>
      <c r="AP49" s="50">
        <f t="shared" si="17"/>
        <v>0</v>
      </c>
      <c r="AQ49" s="50">
        <f t="shared" si="18"/>
        <v>0</v>
      </c>
      <c r="AR49" s="45"/>
    </row>
    <row r="50" spans="3:44" s="7" customFormat="1" x14ac:dyDescent="0.2">
      <c r="C50" s="39"/>
      <c r="D50" s="39"/>
      <c r="E50" s="39">
        <v>147</v>
      </c>
      <c r="F50" s="39" t="s">
        <v>2255</v>
      </c>
      <c r="G50" s="39" t="str">
        <f>VLOOKUP(E50,Mapping!$E$11:$G$96,3,0)</f>
        <v>Replacement</v>
      </c>
      <c r="H50" s="39" t="str">
        <f>VLOOKUP(E50,Mapping!$E$11:$K$96,7,0)</f>
        <v>SCS</v>
      </c>
      <c r="I50" s="39"/>
      <c r="J50" s="49">
        <f>SUMPRODUCT(--('Input|Historical Data'!$Q$9:$Q$2561=$E50),--('Input|Historical Data'!$AA$9:$AA$2561="SCS"),--('Input|Historical Data'!$Y$9:$Y$2561=J$5),'Input|Historical Data'!$U$9:$U$2561)</f>
        <v>0</v>
      </c>
      <c r="K50" s="49">
        <f>SUMPRODUCT(--('Input|Historical Data'!$Q$9:$Q$2561=$E50),--('Input|Historical Data'!$AA$9:$AA$2561="SCS"),--('Input|Historical Data'!$Z$9:$Z$2561=K$5),'Input|Historical Data'!$U$9:$U$2561)</f>
        <v>0</v>
      </c>
      <c r="L50" s="49">
        <f>SUMPRODUCT(--('Input|Historical Data'!$Q$9:$Q$2561=$E50),--('Input|Historical Data'!$AA$9:$AA$2561="SCS"),--('Input|Historical Data'!$Z$9:$Z$2561=L$5),'Input|Historical Data'!$U$9:$U$2561)</f>
        <v>0</v>
      </c>
      <c r="M50" s="49">
        <f>SUMPRODUCT(--('Input|Historical Data'!$Q$9:$Q$2561=$E50),--('Input|Historical Data'!$AA$9:$AA$2561="SCS"),--('Input|Historical Data'!$Z$9:$Z$2561=M$5),'Input|Historical Data'!$U$9:$U$2561)</f>
        <v>0</v>
      </c>
      <c r="N50" s="49">
        <f>SUMPRODUCT(--('Input|Historical Data'!$Q$9:$Q$2561=$E50),--('Input|Historical Data'!$AA$9:$AA$2561="SCS"),--('Input|Historical Data'!$Y$9:$Y$2561=N$5),'Input|Historical Data'!$U$9:$U$2561)</f>
        <v>0</v>
      </c>
      <c r="O50" s="50">
        <f t="shared" si="5"/>
        <v>0</v>
      </c>
      <c r="P50" s="50">
        <f t="shared" si="6"/>
        <v>0</v>
      </c>
      <c r="Q50" s="50">
        <f t="shared" si="7"/>
        <v>0</v>
      </c>
      <c r="R50" s="50">
        <f t="shared" si="8"/>
        <v>0</v>
      </c>
      <c r="S50" s="39"/>
      <c r="T50" s="49">
        <f>SUMPRODUCT(--('Input|Historical Data'!$AC$9:$AC$2668=$E50),--('Input|Historical Data'!$AM$9:$AM$2668="SCS"),--('Input|Historical Data'!$AK$9:$AK$2668=T$5),'Input|Historical Data'!$AG$9:$AG$2668)</f>
        <v>0</v>
      </c>
      <c r="U50" s="49">
        <f>SUMPRODUCT(--('Input|Historical Data'!$AC$9:$AC$2668=$E50),--('Input|Historical Data'!$AM$9:$AM$2668="SCS"),--('Input|Historical Data'!$AL$9:$AL$2668=U$5),'Input|Historical Data'!$AG$9:$AG$2668)</f>
        <v>0</v>
      </c>
      <c r="V50" s="49">
        <f>SUMPRODUCT(--('Input|Historical Data'!$AC$9:$AC$2668=$E50),--('Input|Historical Data'!$AM$9:$AM$2668="SCS"),--('Input|Historical Data'!$AL$9:$AL$2668=V$5),'Input|Historical Data'!$AG$9:$AG$2668)</f>
        <v>0</v>
      </c>
      <c r="W50" s="49">
        <f>SUMPRODUCT(--('Input|Historical Data'!$AC$9:$AC$2668=$E50),--('Input|Historical Data'!$AM$9:$AM$2668="SCS"),--('Input|Historical Data'!$AL$9:$AL$2668=W$5),'Input|Historical Data'!$AG$9:$AG$2668)</f>
        <v>0</v>
      </c>
      <c r="X50" s="49">
        <f>SUMPRODUCT(--('Input|Historical Data'!$AC$9:$AC$2668=$E50),--('Input|Historical Data'!$AM$9:$AM$2668="SCS"),--('Input|Historical Data'!$AK$9:$AK$2668=X$5),'Input|Historical Data'!$AG$9:$AG$2668)</f>
        <v>0</v>
      </c>
      <c r="Y50" s="50">
        <f t="shared" si="9"/>
        <v>0</v>
      </c>
      <c r="Z50" s="50">
        <f t="shared" si="10"/>
        <v>0</v>
      </c>
      <c r="AA50" s="50">
        <f t="shared" si="11"/>
        <v>0</v>
      </c>
      <c r="AB50" s="50">
        <f t="shared" si="12"/>
        <v>0</v>
      </c>
      <c r="AC50" s="39"/>
      <c r="AD50" s="49">
        <f>SUMPRODUCT(--('Input|Historical Data'!$AO$9:$AO$2668=$E50),--('Input|Historical Data'!$AY$9:$AY$2668="SCS"),--('Input|Historical Data'!$AW$9:$AW$2668=AD$5),'Input|Historical Data'!$AS$9:$AS$2668)</f>
        <v>0</v>
      </c>
      <c r="AE50" s="49">
        <f>SUMPRODUCT(--('Input|Historical Data'!$AO$9:$AO$2668=$E50),--('Input|Historical Data'!$AY$9:$AY$2668="SCS"),--('Input|Historical Data'!$AX$9:$AX$2668=AE$5),'Input|Historical Data'!$AS$9:$AS$2668)</f>
        <v>0</v>
      </c>
      <c r="AF50" s="49">
        <f>SUMPRODUCT(--('Input|Historical Data'!$AO$9:$AO$2668=$E50),--('Input|Historical Data'!$AY$9:$AY$2668="SCS"),--('Input|Historical Data'!$AX$9:$AX$2668=AF$5),'Input|Historical Data'!$AS$9:$AS$2668)</f>
        <v>0</v>
      </c>
      <c r="AG50" s="49">
        <f>SUMPRODUCT(--('Input|Historical Data'!$AO$9:$AO$2668=$E50),--('Input|Historical Data'!$AY$9:$AY$2668="SCS"),--('Input|Historical Data'!$AX$9:$AX$2668=AG$5),'Input|Historical Data'!$AS$9:$AS$2668)</f>
        <v>0</v>
      </c>
      <c r="AH50" s="49">
        <f>SUMPRODUCT(--('Input|Historical Data'!$AO$9:$AO$2668=$E50),--('Input|Historical Data'!$AY$9:$AY$2668="SCS"),--('Input|Historical Data'!$AW$9:$AW$2668=AH$5),'Input|Historical Data'!$AS$9:$AS$2668)</f>
        <v>0</v>
      </c>
      <c r="AI50" s="50">
        <f t="shared" si="13"/>
        <v>0</v>
      </c>
      <c r="AJ50" s="50">
        <f t="shared" si="2"/>
        <v>0</v>
      </c>
      <c r="AK50" s="50">
        <f t="shared" si="3"/>
        <v>0</v>
      </c>
      <c r="AL50" s="50">
        <f t="shared" si="14"/>
        <v>0</v>
      </c>
      <c r="AM50" s="39"/>
      <c r="AN50" s="50">
        <f t="shared" si="15"/>
        <v>0</v>
      </c>
      <c r="AO50" s="50">
        <f t="shared" si="16"/>
        <v>0</v>
      </c>
      <c r="AP50" s="50">
        <f t="shared" si="17"/>
        <v>0</v>
      </c>
      <c r="AQ50" s="50">
        <f t="shared" si="18"/>
        <v>0</v>
      </c>
      <c r="AR50" s="45"/>
    </row>
    <row r="51" spans="3:44" s="7" customFormat="1" x14ac:dyDescent="0.2">
      <c r="C51" s="39"/>
      <c r="D51" s="39"/>
      <c r="E51" s="39">
        <v>148</v>
      </c>
      <c r="F51" s="39" t="s">
        <v>2256</v>
      </c>
      <c r="G51" s="39" t="str">
        <f>VLOOKUP(E51,Mapping!$E$11:$G$96,3,0)</f>
        <v>Replacement</v>
      </c>
      <c r="H51" s="39" t="str">
        <f>VLOOKUP(E51,Mapping!$E$11:$K$96,7,0)</f>
        <v>SCS</v>
      </c>
      <c r="I51" s="39"/>
      <c r="J51" s="49">
        <f>SUMPRODUCT(--('Input|Historical Data'!$Q$9:$Q$2561=$E51),--('Input|Historical Data'!$AA$9:$AA$2561="SCS"),--('Input|Historical Data'!$Y$9:$Y$2561=J$5),'Input|Historical Data'!$U$9:$U$2561)</f>
        <v>391.96057000000002</v>
      </c>
      <c r="K51" s="49">
        <f>SUMPRODUCT(--('Input|Historical Data'!$Q$9:$Q$2561=$E51),--('Input|Historical Data'!$AA$9:$AA$2561="SCS"),--('Input|Historical Data'!$Z$9:$Z$2561=K$5),'Input|Historical Data'!$U$9:$U$2561)</f>
        <v>191.17692000000005</v>
      </c>
      <c r="L51" s="49">
        <f>SUMPRODUCT(--('Input|Historical Data'!$Q$9:$Q$2561=$E51),--('Input|Historical Data'!$AA$9:$AA$2561="SCS"),--('Input|Historical Data'!$Z$9:$Z$2561=L$5),'Input|Historical Data'!$U$9:$U$2561)</f>
        <v>16.604329999999997</v>
      </c>
      <c r="M51" s="49">
        <f>SUMPRODUCT(--('Input|Historical Data'!$Q$9:$Q$2561=$E51),--('Input|Historical Data'!$AA$9:$AA$2561="SCS"),--('Input|Historical Data'!$Z$9:$Z$2561=M$5),'Input|Historical Data'!$U$9:$U$2561)</f>
        <v>165.31314999999998</v>
      </c>
      <c r="N51" s="49">
        <f>SUMPRODUCT(--('Input|Historical Data'!$Q$9:$Q$2561=$E51),--('Input|Historical Data'!$AA$9:$AA$2561="SCS"),--('Input|Historical Data'!$Y$9:$Y$2561=N$5),'Input|Historical Data'!$U$9:$U$2561)</f>
        <v>58.184709999999995</v>
      </c>
      <c r="O51" s="50">
        <f t="shared" si="5"/>
        <v>0.51240897745986003</v>
      </c>
      <c r="P51" s="50">
        <f t="shared" si="6"/>
        <v>4.4504366723274312E-2</v>
      </c>
      <c r="Q51" s="50">
        <f t="shared" si="7"/>
        <v>0.44308665581686552</v>
      </c>
      <c r="R51" s="50">
        <f t="shared" si="8"/>
        <v>0.14844531428250549</v>
      </c>
      <c r="S51" s="39"/>
      <c r="T51" s="49">
        <f>SUMPRODUCT(--('Input|Historical Data'!$AC$9:$AC$2668=$E51),--('Input|Historical Data'!$AM$9:$AM$2668="SCS"),--('Input|Historical Data'!$AK$9:$AK$2668=T$5),'Input|Historical Data'!$AG$9:$AG$2668)</f>
        <v>1785.229</v>
      </c>
      <c r="U51" s="49">
        <f>SUMPRODUCT(--('Input|Historical Data'!$AC$9:$AC$2668=$E51),--('Input|Historical Data'!$AM$9:$AM$2668="SCS"),--('Input|Historical Data'!$AL$9:$AL$2668=U$5),'Input|Historical Data'!$AG$9:$AG$2668)</f>
        <v>3.3252000000000002</v>
      </c>
      <c r="V51" s="49">
        <f>SUMPRODUCT(--('Input|Historical Data'!$AC$9:$AC$2668=$E51),--('Input|Historical Data'!$AM$9:$AM$2668="SCS"),--('Input|Historical Data'!$AL$9:$AL$2668=V$5),'Input|Historical Data'!$AG$9:$AG$2668)</f>
        <v>0</v>
      </c>
      <c r="W51" s="49">
        <f>SUMPRODUCT(--('Input|Historical Data'!$AC$9:$AC$2668=$E51),--('Input|Historical Data'!$AM$9:$AM$2668="SCS"),--('Input|Historical Data'!$AL$9:$AL$2668=W$5),'Input|Historical Data'!$AG$9:$AG$2668)</f>
        <v>1780.72909</v>
      </c>
      <c r="X51" s="49">
        <f>SUMPRODUCT(--('Input|Historical Data'!$AC$9:$AC$2668=$E51),--('Input|Historical Data'!$AM$9:$AM$2668="SCS"),--('Input|Historical Data'!$AK$9:$AK$2668=X$5),'Input|Historical Data'!$AG$9:$AG$2668)</f>
        <v>208.68550000000002</v>
      </c>
      <c r="Y51" s="50">
        <f t="shared" si="9"/>
        <v>1.863844625490629E-3</v>
      </c>
      <c r="Z51" s="50">
        <f t="shared" si="10"/>
        <v>0</v>
      </c>
      <c r="AA51" s="50">
        <f t="shared" si="11"/>
        <v>0.99813615537450939</v>
      </c>
      <c r="AB51" s="50">
        <f t="shared" si="12"/>
        <v>0.11689564756118123</v>
      </c>
      <c r="AC51" s="39"/>
      <c r="AD51" s="49">
        <f>SUMPRODUCT(--('Input|Historical Data'!$AO$9:$AO$2668=$E51),--('Input|Historical Data'!$AY$9:$AY$2668="SCS"),--('Input|Historical Data'!$AW$9:$AW$2668=AD$5),'Input|Historical Data'!$AS$9:$AS$2668)</f>
        <v>29.306890000000067</v>
      </c>
      <c r="AE51" s="49">
        <f>SUMPRODUCT(--('Input|Historical Data'!$AO$9:$AO$2668=$E51),--('Input|Historical Data'!$AY$9:$AY$2668="SCS"),--('Input|Historical Data'!$AX$9:$AX$2668=AE$5),'Input|Historical Data'!$AS$9:$AS$2668)</f>
        <v>25.162700000000001</v>
      </c>
      <c r="AF51" s="49">
        <f>SUMPRODUCT(--('Input|Historical Data'!$AO$9:$AO$2668=$E51),--('Input|Historical Data'!$AY$9:$AY$2668="SCS"),--('Input|Historical Data'!$AX$9:$AX$2668=AF$5),'Input|Historical Data'!$AS$9:$AS$2668)</f>
        <v>0</v>
      </c>
      <c r="AG51" s="49">
        <f>SUMPRODUCT(--('Input|Historical Data'!$AO$9:$AO$2668=$E51),--('Input|Historical Data'!$AY$9:$AY$2668="SCS"),--('Input|Historical Data'!$AX$9:$AX$2668=AG$5),'Input|Historical Data'!$AS$9:$AS$2668)</f>
        <v>2.6679400000000442</v>
      </c>
      <c r="AH51" s="49">
        <f>SUMPRODUCT(--('Input|Historical Data'!$AO$9:$AO$2668=$E51),--('Input|Historical Data'!$AY$9:$AY$2668="SCS"),--('Input|Historical Data'!$AW$9:$AW$2668=AH$5),'Input|Historical Data'!$AS$9:$AS$2668)</f>
        <v>4.1730200000000082</v>
      </c>
      <c r="AI51" s="50">
        <f t="shared" si="13"/>
        <v>0.90413659190014894</v>
      </c>
      <c r="AJ51" s="50">
        <f t="shared" si="2"/>
        <v>0</v>
      </c>
      <c r="AK51" s="50">
        <f t="shared" si="3"/>
        <v>9.5863408099851097E-2</v>
      </c>
      <c r="AL51" s="50">
        <f t="shared" si="14"/>
        <v>0.14239040717046397</v>
      </c>
      <c r="AM51" s="39"/>
      <c r="AN51" s="50">
        <f t="shared" si="15"/>
        <v>0.10053404944567601</v>
      </c>
      <c r="AO51" s="50">
        <f t="shared" si="16"/>
        <v>7.5993075870424811E-3</v>
      </c>
      <c r="AP51" s="50">
        <f t="shared" si="17"/>
        <v>0.89186664296728146</v>
      </c>
      <c r="AQ51" s="50">
        <f t="shared" si="18"/>
        <v>0.12283873321963092</v>
      </c>
      <c r="AR51" s="45"/>
    </row>
    <row r="52" spans="3:44" s="7" customFormat="1" x14ac:dyDescent="0.2">
      <c r="C52" s="39"/>
      <c r="D52" s="39"/>
      <c r="E52" s="39">
        <v>149</v>
      </c>
      <c r="F52" s="39" t="s">
        <v>2257</v>
      </c>
      <c r="G52" s="39" t="str">
        <f>VLOOKUP(E52,Mapping!$E$11:$G$96,3,0)</f>
        <v>Replacement</v>
      </c>
      <c r="H52" s="39" t="str">
        <f>VLOOKUP(E52,Mapping!$E$11:$K$96,7,0)</f>
        <v>SCS</v>
      </c>
      <c r="I52" s="39"/>
      <c r="J52" s="49">
        <f>SUMPRODUCT(--('Input|Historical Data'!$Q$9:$Q$2561=$E52),--('Input|Historical Data'!$AA$9:$AA$2561="SCS"),--('Input|Historical Data'!$Y$9:$Y$2561=J$5),'Input|Historical Data'!$U$9:$U$2561)</f>
        <v>0</v>
      </c>
      <c r="K52" s="49">
        <f>SUMPRODUCT(--('Input|Historical Data'!$Q$9:$Q$2561=$E52),--('Input|Historical Data'!$AA$9:$AA$2561="SCS"),--('Input|Historical Data'!$Z$9:$Z$2561=K$5),'Input|Historical Data'!$U$9:$U$2561)</f>
        <v>0</v>
      </c>
      <c r="L52" s="49">
        <f>SUMPRODUCT(--('Input|Historical Data'!$Q$9:$Q$2561=$E52),--('Input|Historical Data'!$AA$9:$AA$2561="SCS"),--('Input|Historical Data'!$Z$9:$Z$2561=L$5),'Input|Historical Data'!$U$9:$U$2561)</f>
        <v>0</v>
      </c>
      <c r="M52" s="49">
        <f>SUMPRODUCT(--('Input|Historical Data'!$Q$9:$Q$2561=$E52),--('Input|Historical Data'!$AA$9:$AA$2561="SCS"),--('Input|Historical Data'!$Z$9:$Z$2561=M$5),'Input|Historical Data'!$U$9:$U$2561)</f>
        <v>0</v>
      </c>
      <c r="N52" s="49">
        <f>SUMPRODUCT(--('Input|Historical Data'!$Q$9:$Q$2561=$E52),--('Input|Historical Data'!$AA$9:$AA$2561="SCS"),--('Input|Historical Data'!$Y$9:$Y$2561=N$5),'Input|Historical Data'!$U$9:$U$2561)</f>
        <v>0</v>
      </c>
      <c r="O52" s="50">
        <f t="shared" si="5"/>
        <v>0</v>
      </c>
      <c r="P52" s="50">
        <f t="shared" si="6"/>
        <v>0</v>
      </c>
      <c r="Q52" s="50">
        <f t="shared" si="7"/>
        <v>0</v>
      </c>
      <c r="R52" s="50">
        <f t="shared" si="8"/>
        <v>0</v>
      </c>
      <c r="S52" s="39"/>
      <c r="T52" s="49">
        <f>SUMPRODUCT(--('Input|Historical Data'!$AC$9:$AC$2668=$E52),--('Input|Historical Data'!$AM$9:$AM$2668="SCS"),--('Input|Historical Data'!$AK$9:$AK$2668=T$5),'Input|Historical Data'!$AG$9:$AG$2668)</f>
        <v>0</v>
      </c>
      <c r="U52" s="49">
        <f>SUMPRODUCT(--('Input|Historical Data'!$AC$9:$AC$2668=$E52),--('Input|Historical Data'!$AM$9:$AM$2668="SCS"),--('Input|Historical Data'!$AL$9:$AL$2668=U$5),'Input|Historical Data'!$AG$9:$AG$2668)</f>
        <v>0</v>
      </c>
      <c r="V52" s="49">
        <f>SUMPRODUCT(--('Input|Historical Data'!$AC$9:$AC$2668=$E52),--('Input|Historical Data'!$AM$9:$AM$2668="SCS"),--('Input|Historical Data'!$AL$9:$AL$2668=V$5),'Input|Historical Data'!$AG$9:$AG$2668)</f>
        <v>0</v>
      </c>
      <c r="W52" s="49">
        <f>SUMPRODUCT(--('Input|Historical Data'!$AC$9:$AC$2668=$E52),--('Input|Historical Data'!$AM$9:$AM$2668="SCS"),--('Input|Historical Data'!$AL$9:$AL$2668=W$5),'Input|Historical Data'!$AG$9:$AG$2668)</f>
        <v>0</v>
      </c>
      <c r="X52" s="49">
        <f>SUMPRODUCT(--('Input|Historical Data'!$AC$9:$AC$2668=$E52),--('Input|Historical Data'!$AM$9:$AM$2668="SCS"),--('Input|Historical Data'!$AK$9:$AK$2668=X$5),'Input|Historical Data'!$AG$9:$AG$2668)</f>
        <v>0</v>
      </c>
      <c r="Y52" s="50">
        <f t="shared" si="9"/>
        <v>0</v>
      </c>
      <c r="Z52" s="50">
        <f t="shared" si="10"/>
        <v>0</v>
      </c>
      <c r="AA52" s="50">
        <f t="shared" si="11"/>
        <v>0</v>
      </c>
      <c r="AB52" s="50">
        <f t="shared" si="12"/>
        <v>0</v>
      </c>
      <c r="AC52" s="39"/>
      <c r="AD52" s="49">
        <f>SUMPRODUCT(--('Input|Historical Data'!$AO$9:$AO$2668=$E52),--('Input|Historical Data'!$AY$9:$AY$2668="SCS"),--('Input|Historical Data'!$AW$9:$AW$2668=AD$5),'Input|Historical Data'!$AS$9:$AS$2668)</f>
        <v>0</v>
      </c>
      <c r="AE52" s="49">
        <f>SUMPRODUCT(--('Input|Historical Data'!$AO$9:$AO$2668=$E52),--('Input|Historical Data'!$AY$9:$AY$2668="SCS"),--('Input|Historical Data'!$AX$9:$AX$2668=AE$5),'Input|Historical Data'!$AS$9:$AS$2668)</f>
        <v>0</v>
      </c>
      <c r="AF52" s="49">
        <f>SUMPRODUCT(--('Input|Historical Data'!$AO$9:$AO$2668=$E52),--('Input|Historical Data'!$AY$9:$AY$2668="SCS"),--('Input|Historical Data'!$AX$9:$AX$2668=AF$5),'Input|Historical Data'!$AS$9:$AS$2668)</f>
        <v>0</v>
      </c>
      <c r="AG52" s="49">
        <f>SUMPRODUCT(--('Input|Historical Data'!$AO$9:$AO$2668=$E52),--('Input|Historical Data'!$AY$9:$AY$2668="SCS"),--('Input|Historical Data'!$AX$9:$AX$2668=AG$5),'Input|Historical Data'!$AS$9:$AS$2668)</f>
        <v>0</v>
      </c>
      <c r="AH52" s="49">
        <f>SUMPRODUCT(--('Input|Historical Data'!$AO$9:$AO$2668=$E52),--('Input|Historical Data'!$AY$9:$AY$2668="SCS"),--('Input|Historical Data'!$AW$9:$AW$2668=AH$5),'Input|Historical Data'!$AS$9:$AS$2668)</f>
        <v>0</v>
      </c>
      <c r="AI52" s="50">
        <f t="shared" si="13"/>
        <v>0</v>
      </c>
      <c r="AJ52" s="50">
        <f t="shared" si="2"/>
        <v>0</v>
      </c>
      <c r="AK52" s="50">
        <f t="shared" si="3"/>
        <v>0</v>
      </c>
      <c r="AL52" s="50">
        <f t="shared" si="14"/>
        <v>0</v>
      </c>
      <c r="AM52" s="39"/>
      <c r="AN52" s="50">
        <f t="shared" si="15"/>
        <v>0</v>
      </c>
      <c r="AO52" s="50">
        <f t="shared" si="16"/>
        <v>0</v>
      </c>
      <c r="AP52" s="50">
        <f t="shared" si="17"/>
        <v>0</v>
      </c>
      <c r="AQ52" s="50">
        <f t="shared" si="18"/>
        <v>0</v>
      </c>
      <c r="AR52" s="45"/>
    </row>
    <row r="53" spans="3:44" s="7" customFormat="1" x14ac:dyDescent="0.2">
      <c r="C53" s="39"/>
      <c r="D53" s="39"/>
      <c r="E53" s="39">
        <v>150</v>
      </c>
      <c r="F53" s="39" t="s">
        <v>2258</v>
      </c>
      <c r="G53" s="39" t="str">
        <f>VLOOKUP(E53,Mapping!$E$11:$G$96,3,0)</f>
        <v>Replacement</v>
      </c>
      <c r="H53" s="39" t="str">
        <f>VLOOKUP(E53,Mapping!$E$11:$K$96,7,0)</f>
        <v>SCS</v>
      </c>
      <c r="I53" s="39"/>
      <c r="J53" s="49">
        <f>SUMPRODUCT(--('Input|Historical Data'!$Q$9:$Q$2561=$E53),--('Input|Historical Data'!$AA$9:$AA$2561="SCS"),--('Input|Historical Data'!$Y$9:$Y$2561=J$5),'Input|Historical Data'!$U$9:$U$2561)</f>
        <v>929.90697999999998</v>
      </c>
      <c r="K53" s="49">
        <f>SUMPRODUCT(--('Input|Historical Data'!$Q$9:$Q$2561=$E53),--('Input|Historical Data'!$AA$9:$AA$2561="SCS"),--('Input|Historical Data'!$Z$9:$Z$2561=K$5),'Input|Historical Data'!$U$9:$U$2561)</f>
        <v>418.73194000000001</v>
      </c>
      <c r="L53" s="49">
        <f>SUMPRODUCT(--('Input|Historical Data'!$Q$9:$Q$2561=$E53),--('Input|Historical Data'!$AA$9:$AA$2561="SCS"),--('Input|Historical Data'!$Z$9:$Z$2561=L$5),'Input|Historical Data'!$U$9:$U$2561)</f>
        <v>61.119759999999999</v>
      </c>
      <c r="M53" s="49">
        <f>SUMPRODUCT(--('Input|Historical Data'!$Q$9:$Q$2561=$E53),--('Input|Historical Data'!$AA$9:$AA$2561="SCS"),--('Input|Historical Data'!$Z$9:$Z$2561=M$5),'Input|Historical Data'!$U$9:$U$2561)</f>
        <v>406.99701999999991</v>
      </c>
      <c r="N53" s="49">
        <f>SUMPRODUCT(--('Input|Historical Data'!$Q$9:$Q$2561=$E53),--('Input|Historical Data'!$AA$9:$AA$2561="SCS"),--('Input|Historical Data'!$Y$9:$Y$2561=N$5),'Input|Historical Data'!$U$9:$U$2561)</f>
        <v>137.95017000000001</v>
      </c>
      <c r="O53" s="50">
        <f t="shared" si="5"/>
        <v>0.47215712280669475</v>
      </c>
      <c r="P53" s="50">
        <f t="shared" si="6"/>
        <v>6.8917909697157817E-2</v>
      </c>
      <c r="Q53" s="50">
        <f t="shared" si="7"/>
        <v>0.45892496749614742</v>
      </c>
      <c r="R53" s="50">
        <f t="shared" si="8"/>
        <v>0.14834835415473493</v>
      </c>
      <c r="S53" s="39"/>
      <c r="T53" s="49">
        <f>SUMPRODUCT(--('Input|Historical Data'!$AC$9:$AC$2668=$E53),--('Input|Historical Data'!$AM$9:$AM$2668="SCS"),--('Input|Historical Data'!$AK$9:$AK$2668=T$5),'Input|Historical Data'!$AG$9:$AG$2668)</f>
        <v>1412.0497600000003</v>
      </c>
      <c r="U53" s="49">
        <f>SUMPRODUCT(--('Input|Historical Data'!$AC$9:$AC$2668=$E53),--('Input|Historical Data'!$AM$9:$AM$2668="SCS"),--('Input|Historical Data'!$AL$9:$AL$2668=U$5),'Input|Historical Data'!$AG$9:$AG$2668)</f>
        <v>305.21690999999998</v>
      </c>
      <c r="V53" s="49">
        <f>SUMPRODUCT(--('Input|Historical Data'!$AC$9:$AC$2668=$E53),--('Input|Historical Data'!$AM$9:$AM$2668="SCS"),--('Input|Historical Data'!$AL$9:$AL$2668=V$5),'Input|Historical Data'!$AG$9:$AG$2668)</f>
        <v>132.66874999999999</v>
      </c>
      <c r="W53" s="49">
        <f>SUMPRODUCT(--('Input|Historical Data'!$AC$9:$AC$2668=$E53),--('Input|Historical Data'!$AM$9:$AM$2668="SCS"),--('Input|Historical Data'!$AL$9:$AL$2668=W$5),'Input|Historical Data'!$AG$9:$AG$2668)</f>
        <v>908.22923999999989</v>
      </c>
      <c r="X53" s="49">
        <f>SUMPRODUCT(--('Input|Historical Data'!$AC$9:$AC$2668=$E53),--('Input|Historical Data'!$AM$9:$AM$2668="SCS"),--('Input|Historical Data'!$AK$9:$AK$2668=X$5),'Input|Historical Data'!$AG$9:$AG$2668)</f>
        <v>238.79611</v>
      </c>
      <c r="Y53" s="50">
        <f t="shared" si="9"/>
        <v>0.22673912160098669</v>
      </c>
      <c r="Z53" s="50">
        <f t="shared" si="10"/>
        <v>9.855677995986821E-2</v>
      </c>
      <c r="AA53" s="50">
        <f t="shared" si="11"/>
        <v>0.67470409843914514</v>
      </c>
      <c r="AB53" s="50">
        <f t="shared" si="12"/>
        <v>0.16911309839392624</v>
      </c>
      <c r="AC53" s="39"/>
      <c r="AD53" s="49">
        <f>SUMPRODUCT(--('Input|Historical Data'!$AO$9:$AO$2668=$E53),--('Input|Historical Data'!$AY$9:$AY$2668="SCS"),--('Input|Historical Data'!$AW$9:$AW$2668=AD$5),'Input|Historical Data'!$AS$9:$AS$2668)</f>
        <v>1759.1395799999998</v>
      </c>
      <c r="AE53" s="49">
        <f>SUMPRODUCT(--('Input|Historical Data'!$AO$9:$AO$2668=$E53),--('Input|Historical Data'!$AY$9:$AY$2668="SCS"),--('Input|Historical Data'!$AX$9:$AX$2668=AE$5),'Input|Historical Data'!$AS$9:$AS$2668)</f>
        <v>407.10219999999993</v>
      </c>
      <c r="AF53" s="49">
        <f>SUMPRODUCT(--('Input|Historical Data'!$AO$9:$AO$2668=$E53),--('Input|Historical Data'!$AY$9:$AY$2668="SCS"),--('Input|Historical Data'!$AX$9:$AX$2668=AF$5),'Input|Historical Data'!$AS$9:$AS$2668)</f>
        <v>85.238650000000007</v>
      </c>
      <c r="AG53" s="49">
        <f>SUMPRODUCT(--('Input|Historical Data'!$AO$9:$AO$2668=$E53),--('Input|Historical Data'!$AY$9:$AY$2668="SCS"),--('Input|Historical Data'!$AX$9:$AX$2668=AG$5),'Input|Historical Data'!$AS$9:$AS$2668)</f>
        <v>1194.9381900000001</v>
      </c>
      <c r="AH53" s="49">
        <f>SUMPRODUCT(--('Input|Historical Data'!$AO$9:$AO$2668=$E53),--('Input|Historical Data'!$AY$9:$AY$2668="SCS"),--('Input|Historical Data'!$AW$9:$AW$2668=AH$5),'Input|Historical Data'!$AS$9:$AS$2668)</f>
        <v>245.94467</v>
      </c>
      <c r="AI53" s="50">
        <f t="shared" si="13"/>
        <v>0.24127734082443172</v>
      </c>
      <c r="AJ53" s="50">
        <f t="shared" si="2"/>
        <v>5.0518407435441157E-2</v>
      </c>
      <c r="AK53" s="50">
        <f t="shared" si="3"/>
        <v>0.70820425174012724</v>
      </c>
      <c r="AL53" s="50">
        <f t="shared" si="14"/>
        <v>0.13980963921009612</v>
      </c>
      <c r="AM53" s="39"/>
      <c r="AN53" s="50">
        <f t="shared" si="15"/>
        <v>0.28851557112538539</v>
      </c>
      <c r="AO53" s="50">
        <f t="shared" si="16"/>
        <v>7.1175991947396433E-2</v>
      </c>
      <c r="AP53" s="50">
        <f t="shared" si="17"/>
        <v>0.64030843692721828</v>
      </c>
      <c r="AQ53" s="50">
        <f t="shared" si="18"/>
        <v>0.15183524146050781</v>
      </c>
      <c r="AR53" s="45"/>
    </row>
    <row r="54" spans="3:44" s="7" customFormat="1" x14ac:dyDescent="0.2">
      <c r="C54" s="39"/>
      <c r="D54" s="39"/>
      <c r="E54" s="39">
        <v>151</v>
      </c>
      <c r="F54" s="39" t="s">
        <v>2259</v>
      </c>
      <c r="G54" s="39" t="str">
        <f>VLOOKUP(E54,Mapping!$E$11:$G$96,3,0)</f>
        <v>Metering Capex</v>
      </c>
      <c r="H54" s="39" t="str">
        <f>VLOOKUP(E54,Mapping!$E$11:$K$96,7,0)</f>
        <v>Metering Services</v>
      </c>
      <c r="I54" s="39"/>
      <c r="J54" s="49">
        <f>SUMPRODUCT(--('Input|Historical Data'!$Q$9:$Q$2561=$E54),--('Input|Historical Data'!$AA$9:$AA$2561="SCS"),--('Input|Historical Data'!$Y$9:$Y$2561=J$5),'Input|Historical Data'!$U$9:$U$2561)</f>
        <v>0</v>
      </c>
      <c r="K54" s="49">
        <f>SUMPRODUCT(--('Input|Historical Data'!$Q$9:$Q$2561=$E54),--('Input|Historical Data'!$AA$9:$AA$2561="SCS"),--('Input|Historical Data'!$Z$9:$Z$2561=K$5),'Input|Historical Data'!$U$9:$U$2561)</f>
        <v>0</v>
      </c>
      <c r="L54" s="49">
        <f>SUMPRODUCT(--('Input|Historical Data'!$Q$9:$Q$2561=$E54),--('Input|Historical Data'!$AA$9:$AA$2561="SCS"),--('Input|Historical Data'!$Z$9:$Z$2561=L$5),'Input|Historical Data'!$U$9:$U$2561)</f>
        <v>0</v>
      </c>
      <c r="M54" s="49">
        <f>SUMPRODUCT(--('Input|Historical Data'!$Q$9:$Q$2561=$E54),--('Input|Historical Data'!$AA$9:$AA$2561="SCS"),--('Input|Historical Data'!$Z$9:$Z$2561=M$5),'Input|Historical Data'!$U$9:$U$2561)</f>
        <v>0</v>
      </c>
      <c r="N54" s="49">
        <f>SUMPRODUCT(--('Input|Historical Data'!$Q$9:$Q$2561=$E54),--('Input|Historical Data'!$AA$9:$AA$2561="SCS"),--('Input|Historical Data'!$Y$9:$Y$2561=N$5),'Input|Historical Data'!$U$9:$U$2561)</f>
        <v>0</v>
      </c>
      <c r="O54" s="50">
        <f t="shared" si="5"/>
        <v>0</v>
      </c>
      <c r="P54" s="50">
        <f t="shared" si="6"/>
        <v>0</v>
      </c>
      <c r="Q54" s="50">
        <f t="shared" si="7"/>
        <v>0</v>
      </c>
      <c r="R54" s="50">
        <f t="shared" si="8"/>
        <v>0</v>
      </c>
      <c r="S54" s="39"/>
      <c r="T54" s="49">
        <f>SUMPRODUCT(--('Input|Historical Data'!$AC$9:$AC$2668=$E54),--('Input|Historical Data'!$AM$9:$AM$2668="SCS"),--('Input|Historical Data'!$AK$9:$AK$2668=T$5),'Input|Historical Data'!$AG$9:$AG$2668)</f>
        <v>0</v>
      </c>
      <c r="U54" s="49">
        <f>SUMPRODUCT(--('Input|Historical Data'!$AC$9:$AC$2668=$E54),--('Input|Historical Data'!$AM$9:$AM$2668="SCS"),--('Input|Historical Data'!$AL$9:$AL$2668=U$5),'Input|Historical Data'!$AG$9:$AG$2668)</f>
        <v>0</v>
      </c>
      <c r="V54" s="49">
        <f>SUMPRODUCT(--('Input|Historical Data'!$AC$9:$AC$2668=$E54),--('Input|Historical Data'!$AM$9:$AM$2668="SCS"),--('Input|Historical Data'!$AL$9:$AL$2668=V$5),'Input|Historical Data'!$AG$9:$AG$2668)</f>
        <v>0</v>
      </c>
      <c r="W54" s="49">
        <f>SUMPRODUCT(--('Input|Historical Data'!$AC$9:$AC$2668=$E54),--('Input|Historical Data'!$AM$9:$AM$2668="SCS"),--('Input|Historical Data'!$AL$9:$AL$2668=W$5),'Input|Historical Data'!$AG$9:$AG$2668)</f>
        <v>0</v>
      </c>
      <c r="X54" s="49">
        <f>SUMPRODUCT(--('Input|Historical Data'!$AC$9:$AC$2668=$E54),--('Input|Historical Data'!$AM$9:$AM$2668="SCS"),--('Input|Historical Data'!$AK$9:$AK$2668=X$5),'Input|Historical Data'!$AG$9:$AG$2668)</f>
        <v>0</v>
      </c>
      <c r="Y54" s="50">
        <f t="shared" si="9"/>
        <v>0</v>
      </c>
      <c r="Z54" s="50">
        <f t="shared" si="10"/>
        <v>0</v>
      </c>
      <c r="AA54" s="50">
        <f t="shared" si="11"/>
        <v>0</v>
      </c>
      <c r="AB54" s="50">
        <f t="shared" si="12"/>
        <v>0</v>
      </c>
      <c r="AC54" s="39"/>
      <c r="AD54" s="49">
        <f>SUMPRODUCT(--('Input|Historical Data'!$AO$9:$AO$2668=$E54),--('Input|Historical Data'!$AY$9:$AY$2668="SCS"),--('Input|Historical Data'!$AW$9:$AW$2668=AD$5),'Input|Historical Data'!$AS$9:$AS$2668)</f>
        <v>0</v>
      </c>
      <c r="AE54" s="49">
        <f>SUMPRODUCT(--('Input|Historical Data'!$AO$9:$AO$2668=$E54),--('Input|Historical Data'!$AY$9:$AY$2668="SCS"),--('Input|Historical Data'!$AX$9:$AX$2668=AE$5),'Input|Historical Data'!$AS$9:$AS$2668)</f>
        <v>0</v>
      </c>
      <c r="AF54" s="49">
        <f>SUMPRODUCT(--('Input|Historical Data'!$AO$9:$AO$2668=$E54),--('Input|Historical Data'!$AY$9:$AY$2668="SCS"),--('Input|Historical Data'!$AX$9:$AX$2668=AF$5),'Input|Historical Data'!$AS$9:$AS$2668)</f>
        <v>0</v>
      </c>
      <c r="AG54" s="49">
        <f>SUMPRODUCT(--('Input|Historical Data'!$AO$9:$AO$2668=$E54),--('Input|Historical Data'!$AY$9:$AY$2668="SCS"),--('Input|Historical Data'!$AX$9:$AX$2668=AG$5),'Input|Historical Data'!$AS$9:$AS$2668)</f>
        <v>0</v>
      </c>
      <c r="AH54" s="49">
        <f>SUMPRODUCT(--('Input|Historical Data'!$AO$9:$AO$2668=$E54),--('Input|Historical Data'!$AY$9:$AY$2668="SCS"),--('Input|Historical Data'!$AW$9:$AW$2668=AH$5),'Input|Historical Data'!$AS$9:$AS$2668)</f>
        <v>0</v>
      </c>
      <c r="AI54" s="50">
        <f t="shared" si="13"/>
        <v>0</v>
      </c>
      <c r="AJ54" s="50">
        <f t="shared" si="2"/>
        <v>0</v>
      </c>
      <c r="AK54" s="50">
        <f t="shared" si="3"/>
        <v>0</v>
      </c>
      <c r="AL54" s="50">
        <f t="shared" si="14"/>
        <v>0</v>
      </c>
      <c r="AM54" s="39"/>
      <c r="AN54" s="50">
        <f t="shared" si="15"/>
        <v>0</v>
      </c>
      <c r="AO54" s="50">
        <f t="shared" si="16"/>
        <v>0</v>
      </c>
      <c r="AP54" s="50">
        <f t="shared" si="17"/>
        <v>0</v>
      </c>
      <c r="AQ54" s="50">
        <f t="shared" si="18"/>
        <v>0</v>
      </c>
      <c r="AR54" s="45"/>
    </row>
    <row r="55" spans="3:44" s="7" customFormat="1" x14ac:dyDescent="0.2">
      <c r="C55" s="39"/>
      <c r="D55" s="39"/>
      <c r="E55" s="39">
        <v>152</v>
      </c>
      <c r="F55" s="39" t="s">
        <v>2260</v>
      </c>
      <c r="G55" s="39" t="str">
        <f>VLOOKUP(E55,Mapping!$E$11:$G$96,3,0)</f>
        <v>Replacement</v>
      </c>
      <c r="H55" s="39" t="str">
        <f>VLOOKUP(E55,Mapping!$E$11:$K$96,7,0)</f>
        <v>SCS</v>
      </c>
      <c r="I55" s="39"/>
      <c r="J55" s="49">
        <f>SUMPRODUCT(--('Input|Historical Data'!$Q$9:$Q$2561=$E55),--('Input|Historical Data'!$AA$9:$AA$2561="SCS"),--('Input|Historical Data'!$Y$9:$Y$2561=J$5),'Input|Historical Data'!$U$9:$U$2561)</f>
        <v>1.2603899999999999</v>
      </c>
      <c r="K55" s="49">
        <f>SUMPRODUCT(--('Input|Historical Data'!$Q$9:$Q$2561=$E55),--('Input|Historical Data'!$AA$9:$AA$2561="SCS"),--('Input|Historical Data'!$Z$9:$Z$2561=K$5),'Input|Historical Data'!$U$9:$U$2561)</f>
        <v>0.93440999999999996</v>
      </c>
      <c r="L55" s="49">
        <f>SUMPRODUCT(--('Input|Historical Data'!$Q$9:$Q$2561=$E55),--('Input|Historical Data'!$AA$9:$AA$2561="SCS"),--('Input|Historical Data'!$Z$9:$Z$2561=L$5),'Input|Historical Data'!$U$9:$U$2561)</f>
        <v>9.3140000000000001E-2</v>
      </c>
      <c r="M55" s="49">
        <f>SUMPRODUCT(--('Input|Historical Data'!$Q$9:$Q$2561=$E55),--('Input|Historical Data'!$AA$9:$AA$2561="SCS"),--('Input|Historical Data'!$Z$9:$Z$2561=M$5),'Input|Historical Data'!$U$9:$U$2561)</f>
        <v>0.17116000000000001</v>
      </c>
      <c r="N55" s="49">
        <f>SUMPRODUCT(--('Input|Historical Data'!$Q$9:$Q$2561=$E55),--('Input|Historical Data'!$AA$9:$AA$2561="SCS"),--('Input|Historical Data'!$Y$9:$Y$2561=N$5),'Input|Historical Data'!$U$9:$U$2561)</f>
        <v>0.16391</v>
      </c>
      <c r="O55" s="50">
        <f t="shared" si="5"/>
        <v>0.77951297644968343</v>
      </c>
      <c r="P55" s="50">
        <f t="shared" si="6"/>
        <v>7.7700194375620465E-2</v>
      </c>
      <c r="Q55" s="50">
        <f t="shared" si="7"/>
        <v>0.14278682917469615</v>
      </c>
      <c r="R55" s="50">
        <f t="shared" si="8"/>
        <v>0.13004704892929966</v>
      </c>
      <c r="S55" s="39"/>
      <c r="T55" s="49">
        <f>SUMPRODUCT(--('Input|Historical Data'!$AC$9:$AC$2668=$E55),--('Input|Historical Data'!$AM$9:$AM$2668="SCS"),--('Input|Historical Data'!$AK$9:$AK$2668=T$5),'Input|Historical Data'!$AG$9:$AG$2668)</f>
        <v>-1.9853700000000001</v>
      </c>
      <c r="U55" s="49">
        <f>SUMPRODUCT(--('Input|Historical Data'!$AC$9:$AC$2668=$E55),--('Input|Historical Data'!$AM$9:$AM$2668="SCS"),--('Input|Historical Data'!$AL$9:$AL$2668=U$5),'Input|Historical Data'!$AG$9:$AG$2668)</f>
        <v>0</v>
      </c>
      <c r="V55" s="49">
        <f>SUMPRODUCT(--('Input|Historical Data'!$AC$9:$AC$2668=$E55),--('Input|Historical Data'!$AM$9:$AM$2668="SCS"),--('Input|Historical Data'!$AL$9:$AL$2668=V$5),'Input|Historical Data'!$AG$9:$AG$2668)</f>
        <v>0</v>
      </c>
      <c r="W55" s="49">
        <f>SUMPRODUCT(--('Input|Historical Data'!$AC$9:$AC$2668=$E55),--('Input|Historical Data'!$AM$9:$AM$2668="SCS"),--('Input|Historical Data'!$AL$9:$AL$2668=W$5),'Input|Historical Data'!$AG$9:$AG$2668)</f>
        <v>-2.3058399999999999</v>
      </c>
      <c r="X55" s="49">
        <f>SUMPRODUCT(--('Input|Historical Data'!$AC$9:$AC$2668=$E55),--('Input|Historical Data'!$AM$9:$AM$2668="SCS"),--('Input|Historical Data'!$AK$9:$AK$2668=X$5),'Input|Historical Data'!$AG$9:$AG$2668)</f>
        <v>-0.2534099999999998</v>
      </c>
      <c r="Y55" s="50">
        <f t="shared" si="9"/>
        <v>0</v>
      </c>
      <c r="Z55" s="50">
        <f t="shared" si="10"/>
        <v>0</v>
      </c>
      <c r="AA55" s="50">
        <f t="shared" si="11"/>
        <v>1</v>
      </c>
      <c r="AB55" s="50">
        <f t="shared" si="12"/>
        <v>0.12763867692168199</v>
      </c>
      <c r="AC55" s="39"/>
      <c r="AD55" s="49">
        <f>SUMPRODUCT(--('Input|Historical Data'!$AO$9:$AO$2668=$E55),--('Input|Historical Data'!$AY$9:$AY$2668="SCS"),--('Input|Historical Data'!$AW$9:$AW$2668=AD$5),'Input|Historical Data'!$AS$9:$AS$2668)</f>
        <v>0</v>
      </c>
      <c r="AE55" s="49">
        <f>SUMPRODUCT(--('Input|Historical Data'!$AO$9:$AO$2668=$E55),--('Input|Historical Data'!$AY$9:$AY$2668="SCS"),--('Input|Historical Data'!$AX$9:$AX$2668=AE$5),'Input|Historical Data'!$AS$9:$AS$2668)</f>
        <v>0</v>
      </c>
      <c r="AF55" s="49">
        <f>SUMPRODUCT(--('Input|Historical Data'!$AO$9:$AO$2668=$E55),--('Input|Historical Data'!$AY$9:$AY$2668="SCS"),--('Input|Historical Data'!$AX$9:$AX$2668=AF$5),'Input|Historical Data'!$AS$9:$AS$2668)</f>
        <v>0</v>
      </c>
      <c r="AG55" s="49">
        <f>SUMPRODUCT(--('Input|Historical Data'!$AO$9:$AO$2668=$E55),--('Input|Historical Data'!$AY$9:$AY$2668="SCS"),--('Input|Historical Data'!$AX$9:$AX$2668=AG$5),'Input|Historical Data'!$AS$9:$AS$2668)</f>
        <v>0</v>
      </c>
      <c r="AH55" s="49">
        <f>SUMPRODUCT(--('Input|Historical Data'!$AO$9:$AO$2668=$E55),--('Input|Historical Data'!$AY$9:$AY$2668="SCS"),--('Input|Historical Data'!$AW$9:$AW$2668=AH$5),'Input|Historical Data'!$AS$9:$AS$2668)</f>
        <v>0</v>
      </c>
      <c r="AI55" s="50">
        <f t="shared" si="13"/>
        <v>0</v>
      </c>
      <c r="AJ55" s="50">
        <f t="shared" si="2"/>
        <v>0</v>
      </c>
      <c r="AK55" s="50">
        <f t="shared" si="3"/>
        <v>0</v>
      </c>
      <c r="AL55" s="50">
        <f t="shared" si="14"/>
        <v>0</v>
      </c>
      <c r="AM55" s="39"/>
      <c r="AN55" s="50">
        <f t="shared" si="15"/>
        <v>-0.84399302701579759</v>
      </c>
      <c r="AO55" s="50">
        <f t="shared" si="16"/>
        <v>-8.4127428576589933E-2</v>
      </c>
      <c r="AP55" s="50">
        <f t="shared" si="17"/>
        <v>1.9281204555923874</v>
      </c>
      <c r="AQ55" s="50">
        <f t="shared" si="18"/>
        <v>0.1234516814256942</v>
      </c>
      <c r="AR55" s="45"/>
    </row>
    <row r="56" spans="3:44" s="7" customFormat="1" x14ac:dyDescent="0.2">
      <c r="C56" s="39"/>
      <c r="D56" s="39"/>
      <c r="E56" s="39">
        <v>153</v>
      </c>
      <c r="F56" s="39" t="s">
        <v>2261</v>
      </c>
      <c r="G56" s="39" t="str">
        <f>VLOOKUP(E56,Mapping!$E$11:$G$96,3,0)</f>
        <v>Fee Based Opex</v>
      </c>
      <c r="H56" s="39" t="str">
        <f>VLOOKUP(E56,Mapping!$E$11:$K$96,7,0)</f>
        <v>Ancillary Network Services</v>
      </c>
      <c r="I56" s="39"/>
      <c r="J56" s="49">
        <f>SUMPRODUCT(--('Input|Historical Data'!$Q$9:$Q$2561=$E56),--('Input|Historical Data'!$AA$9:$AA$2561="SCS"),--('Input|Historical Data'!$Y$9:$Y$2561=J$5),'Input|Historical Data'!$U$9:$U$2561)</f>
        <v>0</v>
      </c>
      <c r="K56" s="49">
        <f>SUMPRODUCT(--('Input|Historical Data'!$Q$9:$Q$2561=$E56),--('Input|Historical Data'!$AA$9:$AA$2561="SCS"),--('Input|Historical Data'!$Z$9:$Z$2561=K$5),'Input|Historical Data'!$U$9:$U$2561)</f>
        <v>0</v>
      </c>
      <c r="L56" s="49">
        <f>SUMPRODUCT(--('Input|Historical Data'!$Q$9:$Q$2561=$E56),--('Input|Historical Data'!$AA$9:$AA$2561="SCS"),--('Input|Historical Data'!$Z$9:$Z$2561=L$5),'Input|Historical Data'!$U$9:$U$2561)</f>
        <v>0</v>
      </c>
      <c r="M56" s="49">
        <f>SUMPRODUCT(--('Input|Historical Data'!$Q$9:$Q$2561=$E56),--('Input|Historical Data'!$AA$9:$AA$2561="SCS"),--('Input|Historical Data'!$Z$9:$Z$2561=M$5),'Input|Historical Data'!$U$9:$U$2561)</f>
        <v>0</v>
      </c>
      <c r="N56" s="49">
        <f>SUMPRODUCT(--('Input|Historical Data'!$Q$9:$Q$2561=$E56),--('Input|Historical Data'!$AA$9:$AA$2561="SCS"),--('Input|Historical Data'!$Y$9:$Y$2561=N$5),'Input|Historical Data'!$U$9:$U$2561)</f>
        <v>0</v>
      </c>
      <c r="O56" s="50">
        <f t="shared" si="5"/>
        <v>0</v>
      </c>
      <c r="P56" s="50">
        <f t="shared" si="6"/>
        <v>0</v>
      </c>
      <c r="Q56" s="50">
        <f t="shared" si="7"/>
        <v>0</v>
      </c>
      <c r="R56" s="50">
        <f t="shared" si="8"/>
        <v>0</v>
      </c>
      <c r="S56" s="39"/>
      <c r="T56" s="49">
        <f>SUMPRODUCT(--('Input|Historical Data'!$AC$9:$AC$2668=$E56),--('Input|Historical Data'!$AM$9:$AM$2668="SCS"),--('Input|Historical Data'!$AK$9:$AK$2668=T$5),'Input|Historical Data'!$AG$9:$AG$2668)</f>
        <v>0</v>
      </c>
      <c r="U56" s="49">
        <f>SUMPRODUCT(--('Input|Historical Data'!$AC$9:$AC$2668=$E56),--('Input|Historical Data'!$AM$9:$AM$2668="SCS"),--('Input|Historical Data'!$AL$9:$AL$2668=U$5),'Input|Historical Data'!$AG$9:$AG$2668)</f>
        <v>0</v>
      </c>
      <c r="V56" s="49">
        <f>SUMPRODUCT(--('Input|Historical Data'!$AC$9:$AC$2668=$E56),--('Input|Historical Data'!$AM$9:$AM$2668="SCS"),--('Input|Historical Data'!$AL$9:$AL$2668=V$5),'Input|Historical Data'!$AG$9:$AG$2668)</f>
        <v>0</v>
      </c>
      <c r="W56" s="49">
        <f>SUMPRODUCT(--('Input|Historical Data'!$AC$9:$AC$2668=$E56),--('Input|Historical Data'!$AM$9:$AM$2668="SCS"),--('Input|Historical Data'!$AL$9:$AL$2668=W$5),'Input|Historical Data'!$AG$9:$AG$2668)</f>
        <v>0</v>
      </c>
      <c r="X56" s="49">
        <f>SUMPRODUCT(--('Input|Historical Data'!$AC$9:$AC$2668=$E56),--('Input|Historical Data'!$AM$9:$AM$2668="SCS"),--('Input|Historical Data'!$AK$9:$AK$2668=X$5),'Input|Historical Data'!$AG$9:$AG$2668)</f>
        <v>0</v>
      </c>
      <c r="Y56" s="50">
        <f t="shared" si="9"/>
        <v>0</v>
      </c>
      <c r="Z56" s="50">
        <f t="shared" si="10"/>
        <v>0</v>
      </c>
      <c r="AA56" s="50">
        <f t="shared" si="11"/>
        <v>0</v>
      </c>
      <c r="AB56" s="50">
        <f t="shared" si="12"/>
        <v>0</v>
      </c>
      <c r="AC56" s="39"/>
      <c r="AD56" s="49">
        <f>SUMPRODUCT(--('Input|Historical Data'!$AO$9:$AO$2668=$E56),--('Input|Historical Data'!$AY$9:$AY$2668="SCS"),--('Input|Historical Data'!$AW$9:$AW$2668=AD$5),'Input|Historical Data'!$AS$9:$AS$2668)</f>
        <v>0</v>
      </c>
      <c r="AE56" s="49">
        <f>SUMPRODUCT(--('Input|Historical Data'!$AO$9:$AO$2668=$E56),--('Input|Historical Data'!$AY$9:$AY$2668="SCS"),--('Input|Historical Data'!$AX$9:$AX$2668=AE$5),'Input|Historical Data'!$AS$9:$AS$2668)</f>
        <v>0</v>
      </c>
      <c r="AF56" s="49">
        <f>SUMPRODUCT(--('Input|Historical Data'!$AO$9:$AO$2668=$E56),--('Input|Historical Data'!$AY$9:$AY$2668="SCS"),--('Input|Historical Data'!$AX$9:$AX$2668=AF$5),'Input|Historical Data'!$AS$9:$AS$2668)</f>
        <v>0</v>
      </c>
      <c r="AG56" s="49">
        <f>SUMPRODUCT(--('Input|Historical Data'!$AO$9:$AO$2668=$E56),--('Input|Historical Data'!$AY$9:$AY$2668="SCS"),--('Input|Historical Data'!$AX$9:$AX$2668=AG$5),'Input|Historical Data'!$AS$9:$AS$2668)</f>
        <v>0</v>
      </c>
      <c r="AH56" s="49">
        <f>SUMPRODUCT(--('Input|Historical Data'!$AO$9:$AO$2668=$E56),--('Input|Historical Data'!$AY$9:$AY$2668="SCS"),--('Input|Historical Data'!$AW$9:$AW$2668=AH$5),'Input|Historical Data'!$AS$9:$AS$2668)</f>
        <v>0</v>
      </c>
      <c r="AI56" s="50">
        <f t="shared" si="13"/>
        <v>0</v>
      </c>
      <c r="AJ56" s="50">
        <f t="shared" si="2"/>
        <v>0</v>
      </c>
      <c r="AK56" s="50">
        <f t="shared" si="3"/>
        <v>0</v>
      </c>
      <c r="AL56" s="50">
        <f t="shared" si="14"/>
        <v>0</v>
      </c>
      <c r="AM56" s="39"/>
      <c r="AN56" s="50">
        <f t="shared" si="15"/>
        <v>0</v>
      </c>
      <c r="AO56" s="50">
        <f t="shared" si="16"/>
        <v>0</v>
      </c>
      <c r="AP56" s="50">
        <f t="shared" si="17"/>
        <v>0</v>
      </c>
      <c r="AQ56" s="50">
        <f t="shared" si="18"/>
        <v>0</v>
      </c>
      <c r="AR56" s="45"/>
    </row>
    <row r="57" spans="3:44" s="7" customFormat="1" x14ac:dyDescent="0.2">
      <c r="C57" s="39"/>
      <c r="D57" s="39"/>
      <c r="E57" s="39">
        <v>154</v>
      </c>
      <c r="F57" s="39" t="s">
        <v>2262</v>
      </c>
      <c r="G57" s="39" t="str">
        <f>VLOOKUP(E57,Mapping!$E$11:$G$96,3,0)</f>
        <v>Replacement</v>
      </c>
      <c r="H57" s="39" t="str">
        <f>VLOOKUP(E57,Mapping!$E$11:$K$96,7,0)</f>
        <v>SCS</v>
      </c>
      <c r="I57" s="39"/>
      <c r="J57" s="49">
        <f>SUMPRODUCT(--('Input|Historical Data'!$Q$9:$Q$2561=$E57),--('Input|Historical Data'!$AA$9:$AA$2561="SCS"),--('Input|Historical Data'!$Y$9:$Y$2561=J$5),'Input|Historical Data'!$U$9:$U$2561)</f>
        <v>0</v>
      </c>
      <c r="K57" s="49">
        <f>SUMPRODUCT(--('Input|Historical Data'!$Q$9:$Q$2561=$E57),--('Input|Historical Data'!$AA$9:$AA$2561="SCS"),--('Input|Historical Data'!$Z$9:$Z$2561=K$5),'Input|Historical Data'!$U$9:$U$2561)</f>
        <v>0</v>
      </c>
      <c r="L57" s="49">
        <f>SUMPRODUCT(--('Input|Historical Data'!$Q$9:$Q$2561=$E57),--('Input|Historical Data'!$AA$9:$AA$2561="SCS"),--('Input|Historical Data'!$Z$9:$Z$2561=L$5),'Input|Historical Data'!$U$9:$U$2561)</f>
        <v>0</v>
      </c>
      <c r="M57" s="49">
        <f>SUMPRODUCT(--('Input|Historical Data'!$Q$9:$Q$2561=$E57),--('Input|Historical Data'!$AA$9:$AA$2561="SCS"),--('Input|Historical Data'!$Z$9:$Z$2561=M$5),'Input|Historical Data'!$U$9:$U$2561)</f>
        <v>0</v>
      </c>
      <c r="N57" s="49">
        <f>SUMPRODUCT(--('Input|Historical Data'!$Q$9:$Q$2561=$E57),--('Input|Historical Data'!$AA$9:$AA$2561="SCS"),--('Input|Historical Data'!$Y$9:$Y$2561=N$5),'Input|Historical Data'!$U$9:$U$2561)</f>
        <v>0</v>
      </c>
      <c r="O57" s="50">
        <f t="shared" si="5"/>
        <v>0</v>
      </c>
      <c r="P57" s="50">
        <f t="shared" si="6"/>
        <v>0</v>
      </c>
      <c r="Q57" s="50">
        <f t="shared" si="7"/>
        <v>0</v>
      </c>
      <c r="R57" s="50">
        <f t="shared" si="8"/>
        <v>0</v>
      </c>
      <c r="S57" s="39"/>
      <c r="T57" s="49">
        <f>SUMPRODUCT(--('Input|Historical Data'!$AC$9:$AC$2668=$E57),--('Input|Historical Data'!$AM$9:$AM$2668="SCS"),--('Input|Historical Data'!$AK$9:$AK$2668=T$5),'Input|Historical Data'!$AG$9:$AG$2668)</f>
        <v>0</v>
      </c>
      <c r="U57" s="49">
        <f>SUMPRODUCT(--('Input|Historical Data'!$AC$9:$AC$2668=$E57),--('Input|Historical Data'!$AM$9:$AM$2668="SCS"),--('Input|Historical Data'!$AL$9:$AL$2668=U$5),'Input|Historical Data'!$AG$9:$AG$2668)</f>
        <v>0</v>
      </c>
      <c r="V57" s="49">
        <f>SUMPRODUCT(--('Input|Historical Data'!$AC$9:$AC$2668=$E57),--('Input|Historical Data'!$AM$9:$AM$2668="SCS"),--('Input|Historical Data'!$AL$9:$AL$2668=V$5),'Input|Historical Data'!$AG$9:$AG$2668)</f>
        <v>0</v>
      </c>
      <c r="W57" s="49">
        <f>SUMPRODUCT(--('Input|Historical Data'!$AC$9:$AC$2668=$E57),--('Input|Historical Data'!$AM$9:$AM$2668="SCS"),--('Input|Historical Data'!$AL$9:$AL$2668=W$5),'Input|Historical Data'!$AG$9:$AG$2668)</f>
        <v>0</v>
      </c>
      <c r="X57" s="49">
        <f>SUMPRODUCT(--('Input|Historical Data'!$AC$9:$AC$2668=$E57),--('Input|Historical Data'!$AM$9:$AM$2668="SCS"),--('Input|Historical Data'!$AK$9:$AK$2668=X$5),'Input|Historical Data'!$AG$9:$AG$2668)</f>
        <v>0</v>
      </c>
      <c r="Y57" s="50">
        <f t="shared" si="9"/>
        <v>0</v>
      </c>
      <c r="Z57" s="50">
        <f t="shared" si="10"/>
        <v>0</v>
      </c>
      <c r="AA57" s="50">
        <f t="shared" si="11"/>
        <v>0</v>
      </c>
      <c r="AB57" s="50">
        <f t="shared" si="12"/>
        <v>0</v>
      </c>
      <c r="AC57" s="39"/>
      <c r="AD57" s="49">
        <f>SUMPRODUCT(--('Input|Historical Data'!$AO$9:$AO$2668=$E57),--('Input|Historical Data'!$AY$9:$AY$2668="SCS"),--('Input|Historical Data'!$AW$9:$AW$2668=AD$5),'Input|Historical Data'!$AS$9:$AS$2668)</f>
        <v>0</v>
      </c>
      <c r="AE57" s="49">
        <f>SUMPRODUCT(--('Input|Historical Data'!$AO$9:$AO$2668=$E57),--('Input|Historical Data'!$AY$9:$AY$2668="SCS"),--('Input|Historical Data'!$AX$9:$AX$2668=AE$5),'Input|Historical Data'!$AS$9:$AS$2668)</f>
        <v>0</v>
      </c>
      <c r="AF57" s="49">
        <f>SUMPRODUCT(--('Input|Historical Data'!$AO$9:$AO$2668=$E57),--('Input|Historical Data'!$AY$9:$AY$2668="SCS"),--('Input|Historical Data'!$AX$9:$AX$2668=AF$5),'Input|Historical Data'!$AS$9:$AS$2668)</f>
        <v>0</v>
      </c>
      <c r="AG57" s="49">
        <f>SUMPRODUCT(--('Input|Historical Data'!$AO$9:$AO$2668=$E57),--('Input|Historical Data'!$AY$9:$AY$2668="SCS"),--('Input|Historical Data'!$AX$9:$AX$2668=AG$5),'Input|Historical Data'!$AS$9:$AS$2668)</f>
        <v>0</v>
      </c>
      <c r="AH57" s="49">
        <f>SUMPRODUCT(--('Input|Historical Data'!$AO$9:$AO$2668=$E57),--('Input|Historical Data'!$AY$9:$AY$2668="SCS"),--('Input|Historical Data'!$AW$9:$AW$2668=AH$5),'Input|Historical Data'!$AS$9:$AS$2668)</f>
        <v>0</v>
      </c>
      <c r="AI57" s="50">
        <f t="shared" si="13"/>
        <v>0</v>
      </c>
      <c r="AJ57" s="50">
        <f t="shared" si="2"/>
        <v>0</v>
      </c>
      <c r="AK57" s="50">
        <f t="shared" si="3"/>
        <v>0</v>
      </c>
      <c r="AL57" s="50">
        <f t="shared" si="14"/>
        <v>0</v>
      </c>
      <c r="AM57" s="39"/>
      <c r="AN57" s="50">
        <f t="shared" si="15"/>
        <v>0</v>
      </c>
      <c r="AO57" s="50">
        <f t="shared" si="16"/>
        <v>0</v>
      </c>
      <c r="AP57" s="50">
        <f t="shared" si="17"/>
        <v>0</v>
      </c>
      <c r="AQ57" s="50">
        <f t="shared" si="18"/>
        <v>0</v>
      </c>
      <c r="AR57" s="45"/>
    </row>
    <row r="58" spans="3:44" s="7" customFormat="1" x14ac:dyDescent="0.2">
      <c r="C58" s="39"/>
      <c r="D58" s="39"/>
      <c r="E58" s="39">
        <v>155</v>
      </c>
      <c r="F58" s="39" t="s">
        <v>2263</v>
      </c>
      <c r="G58" s="39" t="str">
        <f>VLOOKUP(E58,Mapping!$E$11:$G$96,3,0)</f>
        <v>Replacement</v>
      </c>
      <c r="H58" s="39" t="str">
        <f>VLOOKUP(E58,Mapping!$E$11:$K$96,7,0)</f>
        <v>SCS</v>
      </c>
      <c r="I58" s="39"/>
      <c r="J58" s="49">
        <f>SUMPRODUCT(--('Input|Historical Data'!$Q$9:$Q$2561=$E58),--('Input|Historical Data'!$AA$9:$AA$2561="SCS"),--('Input|Historical Data'!$Y$9:$Y$2561=J$5),'Input|Historical Data'!$U$9:$U$2561)</f>
        <v>78.144900000000007</v>
      </c>
      <c r="K58" s="49">
        <f>SUMPRODUCT(--('Input|Historical Data'!$Q$9:$Q$2561=$E58),--('Input|Historical Data'!$AA$9:$AA$2561="SCS"),--('Input|Historical Data'!$Z$9:$Z$2561=K$5),'Input|Historical Data'!$U$9:$U$2561)</f>
        <v>57.934219999999996</v>
      </c>
      <c r="L58" s="49">
        <f>SUMPRODUCT(--('Input|Historical Data'!$Q$9:$Q$2561=$E58),--('Input|Historical Data'!$AA$9:$AA$2561="SCS"),--('Input|Historical Data'!$Z$9:$Z$2561=L$5),'Input|Historical Data'!$U$9:$U$2561)</f>
        <v>5.7745800000000003</v>
      </c>
      <c r="M58" s="49">
        <f>SUMPRODUCT(--('Input|Historical Data'!$Q$9:$Q$2561=$E58),--('Input|Historical Data'!$AA$9:$AA$2561="SCS"),--('Input|Historical Data'!$Z$9:$Z$2561=M$5),'Input|Historical Data'!$U$9:$U$2561)</f>
        <v>10.61185</v>
      </c>
      <c r="N58" s="49">
        <f>SUMPRODUCT(--('Input|Historical Data'!$Q$9:$Q$2561=$E58),--('Input|Historical Data'!$AA$9:$AA$2561="SCS"),--('Input|Historical Data'!$Y$9:$Y$2561=N$5),'Input|Historical Data'!$U$9:$U$2561)</f>
        <v>10.162090000000001</v>
      </c>
      <c r="O58" s="50">
        <f t="shared" si="5"/>
        <v>0.77951713285607693</v>
      </c>
      <c r="P58" s="50">
        <f t="shared" si="6"/>
        <v>7.7698190206894044E-2</v>
      </c>
      <c r="Q58" s="50">
        <f t="shared" si="7"/>
        <v>0.14278467693702895</v>
      </c>
      <c r="R58" s="50">
        <f t="shared" si="8"/>
        <v>0.13004162779656767</v>
      </c>
      <c r="S58" s="39"/>
      <c r="T58" s="49">
        <f>SUMPRODUCT(--('Input|Historical Data'!$AC$9:$AC$2668=$E58),--('Input|Historical Data'!$AM$9:$AM$2668="SCS"),--('Input|Historical Data'!$AK$9:$AK$2668=T$5),'Input|Historical Data'!$AG$9:$AG$2668)</f>
        <v>-123.09343999999999</v>
      </c>
      <c r="U58" s="49">
        <f>SUMPRODUCT(--('Input|Historical Data'!$AC$9:$AC$2668=$E58),--('Input|Historical Data'!$AM$9:$AM$2668="SCS"),--('Input|Historical Data'!$AL$9:$AL$2668=U$5),'Input|Historical Data'!$AG$9:$AG$2668)</f>
        <v>0</v>
      </c>
      <c r="V58" s="49">
        <f>SUMPRODUCT(--('Input|Historical Data'!$AC$9:$AC$2668=$E58),--('Input|Historical Data'!$AM$9:$AM$2668="SCS"),--('Input|Historical Data'!$AL$9:$AL$2668=V$5),'Input|Historical Data'!$AG$9:$AG$2668)</f>
        <v>0</v>
      </c>
      <c r="W58" s="49">
        <f>SUMPRODUCT(--('Input|Historical Data'!$AC$9:$AC$2668=$E58),--('Input|Historical Data'!$AM$9:$AM$2668="SCS"),--('Input|Historical Data'!$AL$9:$AL$2668=W$5),'Input|Historical Data'!$AG$9:$AG$2668)</f>
        <v>-142.96216000000001</v>
      </c>
      <c r="X58" s="49">
        <f>SUMPRODUCT(--('Input|Historical Data'!$AC$9:$AC$2668=$E58),--('Input|Historical Data'!$AM$9:$AM$2668="SCS"),--('Input|Historical Data'!$AK$9:$AK$2668=X$5),'Input|Historical Data'!$AG$9:$AG$2668)</f>
        <v>-15.71155000000001</v>
      </c>
      <c r="Y58" s="50">
        <f t="shared" si="9"/>
        <v>0</v>
      </c>
      <c r="Z58" s="50">
        <f t="shared" si="10"/>
        <v>0</v>
      </c>
      <c r="AA58" s="50">
        <f t="shared" si="11"/>
        <v>1</v>
      </c>
      <c r="AB58" s="50">
        <f t="shared" si="12"/>
        <v>0.12763921456740515</v>
      </c>
      <c r="AC58" s="39"/>
      <c r="AD58" s="49">
        <f>SUMPRODUCT(--('Input|Historical Data'!$AO$9:$AO$2668=$E58),--('Input|Historical Data'!$AY$9:$AY$2668="SCS"),--('Input|Historical Data'!$AW$9:$AW$2668=AD$5),'Input|Historical Data'!$AS$9:$AS$2668)</f>
        <v>0</v>
      </c>
      <c r="AE58" s="49">
        <f>SUMPRODUCT(--('Input|Historical Data'!$AO$9:$AO$2668=$E58),--('Input|Historical Data'!$AY$9:$AY$2668="SCS"),--('Input|Historical Data'!$AX$9:$AX$2668=AE$5),'Input|Historical Data'!$AS$9:$AS$2668)</f>
        <v>0</v>
      </c>
      <c r="AF58" s="49">
        <f>SUMPRODUCT(--('Input|Historical Data'!$AO$9:$AO$2668=$E58),--('Input|Historical Data'!$AY$9:$AY$2668="SCS"),--('Input|Historical Data'!$AX$9:$AX$2668=AF$5),'Input|Historical Data'!$AS$9:$AS$2668)</f>
        <v>0</v>
      </c>
      <c r="AG58" s="49">
        <f>SUMPRODUCT(--('Input|Historical Data'!$AO$9:$AO$2668=$E58),--('Input|Historical Data'!$AY$9:$AY$2668="SCS"),--('Input|Historical Data'!$AX$9:$AX$2668=AG$5),'Input|Historical Data'!$AS$9:$AS$2668)</f>
        <v>0</v>
      </c>
      <c r="AH58" s="49">
        <f>SUMPRODUCT(--('Input|Historical Data'!$AO$9:$AO$2668=$E58),--('Input|Historical Data'!$AY$9:$AY$2668="SCS"),--('Input|Historical Data'!$AW$9:$AW$2668=AH$5),'Input|Historical Data'!$AS$9:$AS$2668)</f>
        <v>0</v>
      </c>
      <c r="AI58" s="50">
        <f t="shared" si="13"/>
        <v>0</v>
      </c>
      <c r="AJ58" s="50">
        <f t="shared" si="2"/>
        <v>0</v>
      </c>
      <c r="AK58" s="50">
        <f t="shared" si="3"/>
        <v>0</v>
      </c>
      <c r="AL58" s="50">
        <f t="shared" si="14"/>
        <v>0</v>
      </c>
      <c r="AM58" s="39"/>
      <c r="AN58" s="50">
        <f t="shared" si="15"/>
        <v>-0.84401144438693132</v>
      </c>
      <c r="AO58" s="50">
        <f t="shared" si="16"/>
        <v>-8.4126645815338255E-2</v>
      </c>
      <c r="AP58" s="50">
        <f t="shared" si="17"/>
        <v>1.9281380902022696</v>
      </c>
      <c r="AQ58" s="50">
        <f t="shared" si="18"/>
        <v>0.12346251958350618</v>
      </c>
      <c r="AR58" s="45"/>
    </row>
    <row r="59" spans="3:44" s="7" customFormat="1" x14ac:dyDescent="0.2">
      <c r="C59" s="39"/>
      <c r="D59" s="39"/>
      <c r="E59" s="39">
        <v>156</v>
      </c>
      <c r="F59" s="39" t="s">
        <v>2264</v>
      </c>
      <c r="G59" s="39" t="str">
        <f>VLOOKUP(E59,Mapping!$E$11:$G$96,3,0)</f>
        <v>Replacement</v>
      </c>
      <c r="H59" s="39" t="str">
        <f>VLOOKUP(E59,Mapping!$E$11:$K$96,7,0)</f>
        <v>SCADA/Network control</v>
      </c>
      <c r="I59" s="39"/>
      <c r="J59" s="49">
        <f>SUMPRODUCT(--('Input|Historical Data'!$Q$9:$Q$2561=$E59),--('Input|Historical Data'!$AA$9:$AA$2561="SCS"),--('Input|Historical Data'!$Y$9:$Y$2561=J$5),'Input|Historical Data'!$U$9:$U$2561)</f>
        <v>2688.1724399999998</v>
      </c>
      <c r="K59" s="49">
        <f>SUMPRODUCT(--('Input|Historical Data'!$Q$9:$Q$2561=$E59),--('Input|Historical Data'!$AA$9:$AA$2561="SCS"),--('Input|Historical Data'!$Z$9:$Z$2561=K$5),'Input|Historical Data'!$U$9:$U$2561)</f>
        <v>2233.2674499999998</v>
      </c>
      <c r="L59" s="49">
        <f>SUMPRODUCT(--('Input|Historical Data'!$Q$9:$Q$2561=$E59),--('Input|Historical Data'!$AA$9:$AA$2561="SCS"),--('Input|Historical Data'!$Z$9:$Z$2561=L$5),'Input|Historical Data'!$U$9:$U$2561)</f>
        <v>397.41978999999998</v>
      </c>
      <c r="M59" s="49">
        <f>SUMPRODUCT(--('Input|Historical Data'!$Q$9:$Q$2561=$E59),--('Input|Historical Data'!$AA$9:$AA$2561="SCS"),--('Input|Historical Data'!$Z$9:$Z$2561=M$5),'Input|Historical Data'!$U$9:$U$2561)</f>
        <v>-51.115540000000003</v>
      </c>
      <c r="N59" s="49">
        <f>SUMPRODUCT(--('Input|Historical Data'!$Q$9:$Q$2561=$E59),--('Input|Historical Data'!$AA$9:$AA$2561="SCS"),--('Input|Historical Data'!$Y$9:$Y$2561=N$5),'Input|Historical Data'!$U$9:$U$2561)</f>
        <v>439.96268999999995</v>
      </c>
      <c r="O59" s="50">
        <f t="shared" si="5"/>
        <v>0.86575126018012982</v>
      </c>
      <c r="P59" s="50">
        <f t="shared" si="6"/>
        <v>0.15406425415505992</v>
      </c>
      <c r="Q59" s="50">
        <f t="shared" si="7"/>
        <v>-1.981551433518983E-2</v>
      </c>
      <c r="R59" s="50">
        <f t="shared" si="8"/>
        <v>0.16366609650979086</v>
      </c>
      <c r="S59" s="39"/>
      <c r="T59" s="49">
        <f>SUMPRODUCT(--('Input|Historical Data'!$AC$9:$AC$2668=$E59),--('Input|Historical Data'!$AM$9:$AM$2668="SCS"),--('Input|Historical Data'!$AK$9:$AK$2668=T$5),'Input|Historical Data'!$AG$9:$AG$2668)</f>
        <v>2633.9419600000006</v>
      </c>
      <c r="U59" s="49">
        <f>SUMPRODUCT(--('Input|Historical Data'!$AC$9:$AC$2668=$E59),--('Input|Historical Data'!$AM$9:$AM$2668="SCS"),--('Input|Historical Data'!$AL$9:$AL$2668=U$5),'Input|Historical Data'!$AG$9:$AG$2668)</f>
        <v>1984.3623299999992</v>
      </c>
      <c r="V59" s="49">
        <f>SUMPRODUCT(--('Input|Historical Data'!$AC$9:$AC$2668=$E59),--('Input|Historical Data'!$AM$9:$AM$2668="SCS"),--('Input|Historical Data'!$AL$9:$AL$2668=V$5),'Input|Historical Data'!$AG$9:$AG$2668)</f>
        <v>478.49842999999998</v>
      </c>
      <c r="W59" s="49">
        <f>SUMPRODUCT(--('Input|Historical Data'!$AC$9:$AC$2668=$E59),--('Input|Historical Data'!$AM$9:$AM$2668="SCS"),--('Input|Historical Data'!$AL$9:$AL$2668=W$5),'Input|Historical Data'!$AG$9:$AG$2668)</f>
        <v>54.619039999999991</v>
      </c>
      <c r="X59" s="49">
        <f>SUMPRODUCT(--('Input|Historical Data'!$AC$9:$AC$2668=$E59),--('Input|Historical Data'!$AM$9:$AM$2668="SCS"),--('Input|Historical Data'!$AK$9:$AK$2668=X$5),'Input|Historical Data'!$AG$9:$AG$2668)</f>
        <v>442.97629000000001</v>
      </c>
      <c r="Y59" s="50">
        <f t="shared" si="9"/>
        <v>0.78823366527111749</v>
      </c>
      <c r="Z59" s="50">
        <f t="shared" si="10"/>
        <v>0.19007041486489787</v>
      </c>
      <c r="AA59" s="50">
        <f t="shared" si="11"/>
        <v>2.1695919863984614E-2</v>
      </c>
      <c r="AB59" s="50">
        <f t="shared" si="12"/>
        <v>0.16817997386700195</v>
      </c>
      <c r="AC59" s="39"/>
      <c r="AD59" s="49">
        <f>SUMPRODUCT(--('Input|Historical Data'!$AO$9:$AO$2668=$E59),--('Input|Historical Data'!$AY$9:$AY$2668="SCS"),--('Input|Historical Data'!$AW$9:$AW$2668=AD$5),'Input|Historical Data'!$AS$9:$AS$2668)</f>
        <v>2558.7123399999996</v>
      </c>
      <c r="AE59" s="49">
        <f>SUMPRODUCT(--('Input|Historical Data'!$AO$9:$AO$2668=$E59),--('Input|Historical Data'!$AY$9:$AY$2668="SCS"),--('Input|Historical Data'!$AX$9:$AX$2668=AE$5),'Input|Historical Data'!$AS$9:$AS$2668)</f>
        <v>1830.5636700000005</v>
      </c>
      <c r="AF59" s="49">
        <f>SUMPRODUCT(--('Input|Historical Data'!$AO$9:$AO$2668=$E59),--('Input|Historical Data'!$AY$9:$AY$2668="SCS"),--('Input|Historical Data'!$AX$9:$AX$2668=AF$5),'Input|Historical Data'!$AS$9:$AS$2668)</f>
        <v>493.19519000000003</v>
      </c>
      <c r="AG59" s="49">
        <f>SUMPRODUCT(--('Input|Historical Data'!$AO$9:$AO$2668=$E59),--('Input|Historical Data'!$AY$9:$AY$2668="SCS"),--('Input|Historical Data'!$AX$9:$AX$2668=AG$5),'Input|Historical Data'!$AS$9:$AS$2668)</f>
        <v>129.68564000000001</v>
      </c>
      <c r="AH59" s="49">
        <f>SUMPRODUCT(--('Input|Historical Data'!$AO$9:$AO$2668=$E59),--('Input|Historical Data'!$AY$9:$AY$2668="SCS"),--('Input|Historical Data'!$AW$9:$AW$2668=AH$5),'Input|Historical Data'!$AS$9:$AS$2668)</f>
        <v>369.58693</v>
      </c>
      <c r="AI59" s="50">
        <f t="shared" si="13"/>
        <v>0.74611986128074226</v>
      </c>
      <c r="AJ59" s="50">
        <f t="shared" si="2"/>
        <v>0.20102153930932609</v>
      </c>
      <c r="AK59" s="50">
        <f t="shared" si="3"/>
        <v>5.2858599409931623E-2</v>
      </c>
      <c r="AL59" s="50">
        <f t="shared" si="14"/>
        <v>0.14444254800443884</v>
      </c>
      <c r="AM59" s="39"/>
      <c r="AN59" s="50">
        <f t="shared" si="15"/>
        <v>0.80103260103707097</v>
      </c>
      <c r="AO59" s="50">
        <f t="shared" si="16"/>
        <v>0.18132761211978657</v>
      </c>
      <c r="AP59" s="50">
        <f t="shared" si="17"/>
        <v>1.7639786843142494E-2</v>
      </c>
      <c r="AQ59" s="50">
        <f t="shared" si="18"/>
        <v>0.15893331389239498</v>
      </c>
      <c r="AR59" s="45"/>
    </row>
    <row r="60" spans="3:44" s="7" customFormat="1" x14ac:dyDescent="0.2">
      <c r="C60" s="39"/>
      <c r="D60" s="39"/>
      <c r="E60" s="39">
        <v>157</v>
      </c>
      <c r="F60" s="39" t="s">
        <v>2265</v>
      </c>
      <c r="G60" s="39" t="str">
        <f>VLOOKUP(E60,Mapping!$E$11:$G$96,3,0)</f>
        <v>Replacement</v>
      </c>
      <c r="H60" s="39" t="str">
        <f>VLOOKUP(E60,Mapping!$E$11:$K$96,7,0)</f>
        <v>SCS</v>
      </c>
      <c r="I60" s="39"/>
      <c r="J60" s="49">
        <f>SUMPRODUCT(--('Input|Historical Data'!$Q$9:$Q$2561=$E60),--('Input|Historical Data'!$AA$9:$AA$2561="SCS"),--('Input|Historical Data'!$Y$9:$Y$2561=J$5),'Input|Historical Data'!$U$9:$U$2561)</f>
        <v>2688.61924</v>
      </c>
      <c r="K60" s="49">
        <f>SUMPRODUCT(--('Input|Historical Data'!$Q$9:$Q$2561=$E60),--('Input|Historical Data'!$AA$9:$AA$2561="SCS"),--('Input|Historical Data'!$Z$9:$Z$2561=K$5),'Input|Historical Data'!$U$9:$U$2561)</f>
        <v>2017.9840400000003</v>
      </c>
      <c r="L60" s="49">
        <f>SUMPRODUCT(--('Input|Historical Data'!$Q$9:$Q$2561=$E60),--('Input|Historical Data'!$AA$9:$AA$2561="SCS"),--('Input|Historical Data'!$Z$9:$Z$2561=L$5),'Input|Historical Data'!$U$9:$U$2561)</f>
        <v>231.70977999999997</v>
      </c>
      <c r="M60" s="49">
        <f>SUMPRODUCT(--('Input|Historical Data'!$Q$9:$Q$2561=$E60),--('Input|Historical Data'!$AA$9:$AA$2561="SCS"),--('Input|Historical Data'!$Z$9:$Z$2561=M$5),'Input|Historical Data'!$U$9:$U$2561)</f>
        <v>321.72557000000006</v>
      </c>
      <c r="N60" s="49">
        <f>SUMPRODUCT(--('Input|Historical Data'!$Q$9:$Q$2561=$E60),--('Input|Historical Data'!$AA$9:$AA$2561="SCS"),--('Input|Historical Data'!$Y$9:$Y$2561=N$5),'Input|Historical Data'!$U$9:$U$2561)</f>
        <v>415.77262000000002</v>
      </c>
      <c r="O60" s="50">
        <f t="shared" si="5"/>
        <v>0.78477437319160914</v>
      </c>
      <c r="P60" s="50">
        <f t="shared" si="6"/>
        <v>9.0109680630509642E-2</v>
      </c>
      <c r="Q60" s="50">
        <f t="shared" si="7"/>
        <v>0.12511594617788116</v>
      </c>
      <c r="R60" s="50">
        <f t="shared" si="8"/>
        <v>0.1546416888692651</v>
      </c>
      <c r="S60" s="39"/>
      <c r="T60" s="49">
        <f>SUMPRODUCT(--('Input|Historical Data'!$AC$9:$AC$2668=$E60),--('Input|Historical Data'!$AM$9:$AM$2668="SCS"),--('Input|Historical Data'!$AK$9:$AK$2668=T$5),'Input|Historical Data'!$AG$9:$AG$2668)</f>
        <v>5231.7799300000006</v>
      </c>
      <c r="U60" s="49">
        <f>SUMPRODUCT(--('Input|Historical Data'!$AC$9:$AC$2668=$E60),--('Input|Historical Data'!$AM$9:$AM$2668="SCS"),--('Input|Historical Data'!$AL$9:$AL$2668=U$5),'Input|Historical Data'!$AG$9:$AG$2668)</f>
        <v>3463.1657199999995</v>
      </c>
      <c r="V60" s="49">
        <f>SUMPRODUCT(--('Input|Historical Data'!$AC$9:$AC$2668=$E60),--('Input|Historical Data'!$AM$9:$AM$2668="SCS"),--('Input|Historical Data'!$AL$9:$AL$2668=V$5),'Input|Historical Data'!$AG$9:$AG$2668)</f>
        <v>898.41814000000011</v>
      </c>
      <c r="W60" s="49">
        <f>SUMPRODUCT(--('Input|Historical Data'!$AC$9:$AC$2668=$E60),--('Input|Historical Data'!$AM$9:$AM$2668="SCS"),--('Input|Historical Data'!$AL$9:$AL$2668=W$5),'Input|Historical Data'!$AG$9:$AG$2668)</f>
        <v>666.80286999999998</v>
      </c>
      <c r="X60" s="49">
        <f>SUMPRODUCT(--('Input|Historical Data'!$AC$9:$AC$2668=$E60),--('Input|Historical Data'!$AM$9:$AM$2668="SCS"),--('Input|Historical Data'!$AK$9:$AK$2668=X$5),'Input|Historical Data'!$AG$9:$AG$2668)</f>
        <v>875.95177000000012</v>
      </c>
      <c r="Y60" s="50">
        <f t="shared" si="9"/>
        <v>0.68872302508840633</v>
      </c>
      <c r="Z60" s="50">
        <f t="shared" si="10"/>
        <v>0.17866926078694828</v>
      </c>
      <c r="AA60" s="50">
        <f t="shared" si="11"/>
        <v>0.13260771412464528</v>
      </c>
      <c r="AB60" s="50">
        <f t="shared" si="12"/>
        <v>0.16742901683939906</v>
      </c>
      <c r="AC60" s="39"/>
      <c r="AD60" s="49">
        <f>SUMPRODUCT(--('Input|Historical Data'!$AO$9:$AO$2668=$E60),--('Input|Historical Data'!$AY$9:$AY$2668="SCS"),--('Input|Historical Data'!$AW$9:$AW$2668=AD$5),'Input|Historical Data'!$AS$9:$AS$2668)</f>
        <v>3400.2596600000002</v>
      </c>
      <c r="AE60" s="49">
        <f>SUMPRODUCT(--('Input|Historical Data'!$AO$9:$AO$2668=$E60),--('Input|Historical Data'!$AY$9:$AY$2668="SCS"),--('Input|Historical Data'!$AX$9:$AX$2668=AE$5),'Input|Historical Data'!$AS$9:$AS$2668)</f>
        <v>2745.1738300000002</v>
      </c>
      <c r="AF60" s="49">
        <f>SUMPRODUCT(--('Input|Historical Data'!$AO$9:$AO$2668=$E60),--('Input|Historical Data'!$AY$9:$AY$2668="SCS"),--('Input|Historical Data'!$AX$9:$AX$2668=AF$5),'Input|Historical Data'!$AS$9:$AS$2668)</f>
        <v>119.71710999999999</v>
      </c>
      <c r="AG60" s="49">
        <f>SUMPRODUCT(--('Input|Historical Data'!$AO$9:$AO$2668=$E60),--('Input|Historical Data'!$AY$9:$AY$2668="SCS"),--('Input|Historical Data'!$AX$9:$AX$2668=AG$5),'Input|Historical Data'!$AS$9:$AS$2668)</f>
        <v>374.10212999999993</v>
      </c>
      <c r="AH60" s="49">
        <f>SUMPRODUCT(--('Input|Historical Data'!$AO$9:$AO$2668=$E60),--('Input|Historical Data'!$AY$9:$AY$2668="SCS"),--('Input|Historical Data'!$AW$9:$AW$2668=AH$5),'Input|Historical Data'!$AS$9:$AS$2668)</f>
        <v>477.99439000000001</v>
      </c>
      <c r="AI60" s="50">
        <f t="shared" si="13"/>
        <v>0.84753927244432181</v>
      </c>
      <c r="AJ60" s="50">
        <f t="shared" si="2"/>
        <v>3.6961212146094526E-2</v>
      </c>
      <c r="AK60" s="50">
        <f t="shared" si="3"/>
        <v>0.11549951540958374</v>
      </c>
      <c r="AL60" s="50">
        <f t="shared" si="14"/>
        <v>0.14057584943380472</v>
      </c>
      <c r="AM60" s="39"/>
      <c r="AN60" s="50">
        <f t="shared" si="15"/>
        <v>0.75897001557051647</v>
      </c>
      <c r="AO60" s="50">
        <f t="shared" si="16"/>
        <v>0.11531213080809927</v>
      </c>
      <c r="AP60" s="50">
        <f t="shared" si="17"/>
        <v>0.12571785362138443</v>
      </c>
      <c r="AQ60" s="50">
        <f t="shared" si="18"/>
        <v>0.15632648298791635</v>
      </c>
      <c r="AR60" s="45"/>
    </row>
    <row r="61" spans="3:44" s="7" customFormat="1" x14ac:dyDescent="0.2">
      <c r="C61" s="39"/>
      <c r="D61" s="39"/>
      <c r="E61" s="39">
        <v>158</v>
      </c>
      <c r="F61" s="39" t="s">
        <v>2266</v>
      </c>
      <c r="G61" s="39" t="str">
        <f>VLOOKUP(E61,Mapping!$E$11:$G$96,3,0)</f>
        <v>Replacement</v>
      </c>
      <c r="H61" s="39" t="str">
        <f>VLOOKUP(E61,Mapping!$E$11:$K$96,7,0)</f>
        <v>SCS</v>
      </c>
      <c r="I61" s="39"/>
      <c r="J61" s="49">
        <f>SUMPRODUCT(--('Input|Historical Data'!$Q$9:$Q$2561=$E61),--('Input|Historical Data'!$AA$9:$AA$2561="SCS"),--('Input|Historical Data'!$Y$9:$Y$2561=J$5),'Input|Historical Data'!$U$9:$U$2561)</f>
        <v>34.039780000000007</v>
      </c>
      <c r="K61" s="49">
        <f>SUMPRODUCT(--('Input|Historical Data'!$Q$9:$Q$2561=$E61),--('Input|Historical Data'!$AA$9:$AA$2561="SCS"),--('Input|Historical Data'!$Z$9:$Z$2561=K$5),'Input|Historical Data'!$U$9:$U$2561)</f>
        <v>18.518470000000001</v>
      </c>
      <c r="L61" s="49">
        <f>SUMPRODUCT(--('Input|Historical Data'!$Q$9:$Q$2561=$E61),--('Input|Historical Data'!$AA$9:$AA$2561="SCS"),--('Input|Historical Data'!$Z$9:$Z$2561=L$5),'Input|Historical Data'!$U$9:$U$2561)</f>
        <v>2.91303</v>
      </c>
      <c r="M61" s="49">
        <f>SUMPRODUCT(--('Input|Historical Data'!$Q$9:$Q$2561=$E61),--('Input|Historical Data'!$AA$9:$AA$2561="SCS"),--('Input|Historical Data'!$Z$9:$Z$2561=M$5),'Input|Historical Data'!$U$9:$U$2561)</f>
        <v>11.119430000000001</v>
      </c>
      <c r="N61" s="49">
        <f>SUMPRODUCT(--('Input|Historical Data'!$Q$9:$Q$2561=$E61),--('Input|Historical Data'!$AA$9:$AA$2561="SCS"),--('Input|Historical Data'!$Y$9:$Y$2561=N$5),'Input|Historical Data'!$U$9:$U$2561)</f>
        <v>4.2654100000000001</v>
      </c>
      <c r="O61" s="50">
        <f t="shared" si="5"/>
        <v>0.56890755502223744</v>
      </c>
      <c r="P61" s="50">
        <f t="shared" si="6"/>
        <v>8.9491452317952205E-2</v>
      </c>
      <c r="Q61" s="50">
        <f t="shared" si="7"/>
        <v>0.34160099265981037</v>
      </c>
      <c r="R61" s="50">
        <f t="shared" si="8"/>
        <v>0.12530662654106459</v>
      </c>
      <c r="S61" s="39"/>
      <c r="T61" s="49">
        <f>SUMPRODUCT(--('Input|Historical Data'!$AC$9:$AC$2668=$E61),--('Input|Historical Data'!$AM$9:$AM$2668="SCS"),--('Input|Historical Data'!$AK$9:$AK$2668=T$5),'Input|Historical Data'!$AG$9:$AG$2668)</f>
        <v>58.575829999999996</v>
      </c>
      <c r="U61" s="49">
        <f>SUMPRODUCT(--('Input|Historical Data'!$AC$9:$AC$2668=$E61),--('Input|Historical Data'!$AM$9:$AM$2668="SCS"),--('Input|Historical Data'!$AL$9:$AL$2668=U$5),'Input|Historical Data'!$AG$9:$AG$2668)</f>
        <v>37.974729999999994</v>
      </c>
      <c r="V61" s="49">
        <f>SUMPRODUCT(--('Input|Historical Data'!$AC$9:$AC$2668=$E61),--('Input|Historical Data'!$AM$9:$AM$2668="SCS"),--('Input|Historical Data'!$AL$9:$AL$2668=V$5),'Input|Historical Data'!$AG$9:$AG$2668)</f>
        <v>10.09493</v>
      </c>
      <c r="W61" s="49">
        <f>SUMPRODUCT(--('Input|Historical Data'!$AC$9:$AC$2668=$E61),--('Input|Historical Data'!$AM$9:$AM$2668="SCS"),--('Input|Historical Data'!$AL$9:$AL$2668=W$5),'Input|Historical Data'!$AG$9:$AG$2668)</f>
        <v>7.5912500000000005</v>
      </c>
      <c r="X61" s="49">
        <f>SUMPRODUCT(--('Input|Historical Data'!$AC$9:$AC$2668=$E61),--('Input|Historical Data'!$AM$9:$AM$2668="SCS"),--('Input|Historical Data'!$AK$9:$AK$2668=X$5),'Input|Historical Data'!$AG$9:$AG$2668)</f>
        <v>10.62632</v>
      </c>
      <c r="Y61" s="50">
        <f t="shared" si="9"/>
        <v>0.68225133221860723</v>
      </c>
      <c r="Z61" s="50">
        <f t="shared" si="10"/>
        <v>0.18136480341410158</v>
      </c>
      <c r="AA61" s="50">
        <f t="shared" si="11"/>
        <v>0.13638386436729119</v>
      </c>
      <c r="AB61" s="50">
        <f t="shared" si="12"/>
        <v>0.18141134321101382</v>
      </c>
      <c r="AC61" s="39"/>
      <c r="AD61" s="49">
        <f>SUMPRODUCT(--('Input|Historical Data'!$AO$9:$AO$2668=$E61),--('Input|Historical Data'!$AY$9:$AY$2668="SCS"),--('Input|Historical Data'!$AW$9:$AW$2668=AD$5),'Input|Historical Data'!$AS$9:$AS$2668)</f>
        <v>0</v>
      </c>
      <c r="AE61" s="49">
        <f>SUMPRODUCT(--('Input|Historical Data'!$AO$9:$AO$2668=$E61),--('Input|Historical Data'!$AY$9:$AY$2668="SCS"),--('Input|Historical Data'!$AX$9:$AX$2668=AE$5),'Input|Historical Data'!$AS$9:$AS$2668)</f>
        <v>0</v>
      </c>
      <c r="AF61" s="49">
        <f>SUMPRODUCT(--('Input|Historical Data'!$AO$9:$AO$2668=$E61),--('Input|Historical Data'!$AY$9:$AY$2668="SCS"),--('Input|Historical Data'!$AX$9:$AX$2668=AF$5),'Input|Historical Data'!$AS$9:$AS$2668)</f>
        <v>0</v>
      </c>
      <c r="AG61" s="49">
        <f>SUMPRODUCT(--('Input|Historical Data'!$AO$9:$AO$2668=$E61),--('Input|Historical Data'!$AY$9:$AY$2668="SCS"),--('Input|Historical Data'!$AX$9:$AX$2668=AG$5),'Input|Historical Data'!$AS$9:$AS$2668)</f>
        <v>0</v>
      </c>
      <c r="AH61" s="49">
        <f>SUMPRODUCT(--('Input|Historical Data'!$AO$9:$AO$2668=$E61),--('Input|Historical Data'!$AY$9:$AY$2668="SCS"),--('Input|Historical Data'!$AW$9:$AW$2668=AH$5),'Input|Historical Data'!$AS$9:$AS$2668)</f>
        <v>0</v>
      </c>
      <c r="AI61" s="50">
        <f t="shared" si="13"/>
        <v>0</v>
      </c>
      <c r="AJ61" s="50">
        <f t="shared" si="2"/>
        <v>0</v>
      </c>
      <c r="AK61" s="50">
        <f t="shared" si="3"/>
        <v>0</v>
      </c>
      <c r="AL61" s="50">
        <f t="shared" si="14"/>
        <v>0</v>
      </c>
      <c r="AM61" s="39"/>
      <c r="AN61" s="50">
        <f t="shared" si="15"/>
        <v>0.64042650056953798</v>
      </c>
      <c r="AO61" s="50">
        <f t="shared" si="16"/>
        <v>0.14746274423025302</v>
      </c>
      <c r="AP61" s="50">
        <f t="shared" si="17"/>
        <v>0.212110755200209</v>
      </c>
      <c r="AQ61" s="50">
        <f t="shared" si="18"/>
        <v>0.16079071335814771</v>
      </c>
      <c r="AR61" s="45"/>
    </row>
    <row r="62" spans="3:44" s="7" customFormat="1" x14ac:dyDescent="0.2">
      <c r="C62" s="39"/>
      <c r="D62" s="39"/>
      <c r="E62" s="39">
        <v>159</v>
      </c>
      <c r="F62" s="39" t="s">
        <v>2267</v>
      </c>
      <c r="G62" s="39" t="str">
        <f>VLOOKUP(E62,Mapping!$E$11:$G$96,3,0)</f>
        <v>Augmentation</v>
      </c>
      <c r="H62" s="39" t="str">
        <f>VLOOKUP(E62,Mapping!$E$11:$K$96,7,0)</f>
        <v>SCADA/Network control</v>
      </c>
      <c r="I62" s="39"/>
      <c r="J62" s="49">
        <f>SUMPRODUCT(--('Input|Historical Data'!$Q$9:$Q$2561=$E62),--('Input|Historical Data'!$AA$9:$AA$2561="SCS"),--('Input|Historical Data'!$Y$9:$Y$2561=J$5),'Input|Historical Data'!$U$9:$U$2561)</f>
        <v>0</v>
      </c>
      <c r="K62" s="49">
        <f>SUMPRODUCT(--('Input|Historical Data'!$Q$9:$Q$2561=$E62),--('Input|Historical Data'!$AA$9:$AA$2561="SCS"),--('Input|Historical Data'!$Z$9:$Z$2561=K$5),'Input|Historical Data'!$U$9:$U$2561)</f>
        <v>0</v>
      </c>
      <c r="L62" s="49">
        <f>SUMPRODUCT(--('Input|Historical Data'!$Q$9:$Q$2561=$E62),--('Input|Historical Data'!$AA$9:$AA$2561="SCS"),--('Input|Historical Data'!$Z$9:$Z$2561=L$5),'Input|Historical Data'!$U$9:$U$2561)</f>
        <v>0</v>
      </c>
      <c r="M62" s="49">
        <f>SUMPRODUCT(--('Input|Historical Data'!$Q$9:$Q$2561=$E62),--('Input|Historical Data'!$AA$9:$AA$2561="SCS"),--('Input|Historical Data'!$Z$9:$Z$2561=M$5),'Input|Historical Data'!$U$9:$U$2561)</f>
        <v>0</v>
      </c>
      <c r="N62" s="49">
        <f>SUMPRODUCT(--('Input|Historical Data'!$Q$9:$Q$2561=$E62),--('Input|Historical Data'!$AA$9:$AA$2561="SCS"),--('Input|Historical Data'!$Y$9:$Y$2561=N$5),'Input|Historical Data'!$U$9:$U$2561)</f>
        <v>0</v>
      </c>
      <c r="O62" s="50">
        <f t="shared" si="5"/>
        <v>0</v>
      </c>
      <c r="P62" s="50">
        <f t="shared" si="6"/>
        <v>0</v>
      </c>
      <c r="Q62" s="50">
        <f t="shared" si="7"/>
        <v>0</v>
      </c>
      <c r="R62" s="50">
        <f t="shared" si="8"/>
        <v>0</v>
      </c>
      <c r="S62" s="39"/>
      <c r="T62" s="49">
        <f>SUMPRODUCT(--('Input|Historical Data'!$AC$9:$AC$2668=$E62),--('Input|Historical Data'!$AM$9:$AM$2668="SCS"),--('Input|Historical Data'!$AK$9:$AK$2668=T$5),'Input|Historical Data'!$AG$9:$AG$2668)</f>
        <v>0</v>
      </c>
      <c r="U62" s="49">
        <f>SUMPRODUCT(--('Input|Historical Data'!$AC$9:$AC$2668=$E62),--('Input|Historical Data'!$AM$9:$AM$2668="SCS"),--('Input|Historical Data'!$AL$9:$AL$2668=U$5),'Input|Historical Data'!$AG$9:$AG$2668)</f>
        <v>0</v>
      </c>
      <c r="V62" s="49">
        <f>SUMPRODUCT(--('Input|Historical Data'!$AC$9:$AC$2668=$E62),--('Input|Historical Data'!$AM$9:$AM$2668="SCS"),--('Input|Historical Data'!$AL$9:$AL$2668=V$5),'Input|Historical Data'!$AG$9:$AG$2668)</f>
        <v>0</v>
      </c>
      <c r="W62" s="49">
        <f>SUMPRODUCT(--('Input|Historical Data'!$AC$9:$AC$2668=$E62),--('Input|Historical Data'!$AM$9:$AM$2668="SCS"),--('Input|Historical Data'!$AL$9:$AL$2668=W$5),'Input|Historical Data'!$AG$9:$AG$2668)</f>
        <v>0</v>
      </c>
      <c r="X62" s="49">
        <f>SUMPRODUCT(--('Input|Historical Data'!$AC$9:$AC$2668=$E62),--('Input|Historical Data'!$AM$9:$AM$2668="SCS"),--('Input|Historical Data'!$AK$9:$AK$2668=X$5),'Input|Historical Data'!$AG$9:$AG$2668)</f>
        <v>0</v>
      </c>
      <c r="Y62" s="50">
        <f t="shared" si="9"/>
        <v>0</v>
      </c>
      <c r="Z62" s="50">
        <f t="shared" si="10"/>
        <v>0</v>
      </c>
      <c r="AA62" s="50">
        <f t="shared" si="11"/>
        <v>0</v>
      </c>
      <c r="AB62" s="50">
        <f t="shared" si="12"/>
        <v>0</v>
      </c>
      <c r="AC62" s="39"/>
      <c r="AD62" s="49">
        <f>SUMPRODUCT(--('Input|Historical Data'!$AO$9:$AO$2668=$E62),--('Input|Historical Data'!$AY$9:$AY$2668="SCS"),--('Input|Historical Data'!$AW$9:$AW$2668=AD$5),'Input|Historical Data'!$AS$9:$AS$2668)</f>
        <v>0</v>
      </c>
      <c r="AE62" s="49">
        <f>SUMPRODUCT(--('Input|Historical Data'!$AO$9:$AO$2668=$E62),--('Input|Historical Data'!$AY$9:$AY$2668="SCS"),--('Input|Historical Data'!$AX$9:$AX$2668=AE$5),'Input|Historical Data'!$AS$9:$AS$2668)</f>
        <v>0</v>
      </c>
      <c r="AF62" s="49">
        <f>SUMPRODUCT(--('Input|Historical Data'!$AO$9:$AO$2668=$E62),--('Input|Historical Data'!$AY$9:$AY$2668="SCS"),--('Input|Historical Data'!$AX$9:$AX$2668=AF$5),'Input|Historical Data'!$AS$9:$AS$2668)</f>
        <v>0</v>
      </c>
      <c r="AG62" s="49">
        <f>SUMPRODUCT(--('Input|Historical Data'!$AO$9:$AO$2668=$E62),--('Input|Historical Data'!$AY$9:$AY$2668="SCS"),--('Input|Historical Data'!$AX$9:$AX$2668=AG$5),'Input|Historical Data'!$AS$9:$AS$2668)</f>
        <v>0</v>
      </c>
      <c r="AH62" s="49">
        <f>SUMPRODUCT(--('Input|Historical Data'!$AO$9:$AO$2668=$E62),--('Input|Historical Data'!$AY$9:$AY$2668="SCS"),--('Input|Historical Data'!$AW$9:$AW$2668=AH$5),'Input|Historical Data'!$AS$9:$AS$2668)</f>
        <v>0</v>
      </c>
      <c r="AI62" s="50">
        <f t="shared" si="13"/>
        <v>0</v>
      </c>
      <c r="AJ62" s="50">
        <f t="shared" si="2"/>
        <v>0</v>
      </c>
      <c r="AK62" s="50">
        <f t="shared" si="3"/>
        <v>0</v>
      </c>
      <c r="AL62" s="50">
        <f t="shared" si="14"/>
        <v>0</v>
      </c>
      <c r="AM62" s="39"/>
      <c r="AN62" s="50">
        <f t="shared" si="15"/>
        <v>0</v>
      </c>
      <c r="AO62" s="50">
        <f t="shared" si="16"/>
        <v>0</v>
      </c>
      <c r="AP62" s="50">
        <f t="shared" si="17"/>
        <v>0</v>
      </c>
      <c r="AQ62" s="50">
        <f t="shared" si="18"/>
        <v>0</v>
      </c>
      <c r="AR62" s="45"/>
    </row>
    <row r="63" spans="3:44" s="7" customFormat="1" x14ac:dyDescent="0.2">
      <c r="C63" s="39"/>
      <c r="D63" s="39"/>
      <c r="E63" s="39">
        <v>160</v>
      </c>
      <c r="F63" s="39" t="s">
        <v>2268</v>
      </c>
      <c r="G63" s="39" t="str">
        <f>VLOOKUP(E63,Mapping!$E$11:$G$96,3,0)</f>
        <v>Augmentation</v>
      </c>
      <c r="H63" s="39" t="str">
        <f>VLOOKUP(E63,Mapping!$E$11:$K$96,7,0)</f>
        <v>SCS</v>
      </c>
      <c r="I63" s="39"/>
      <c r="J63" s="49">
        <f>SUMPRODUCT(--('Input|Historical Data'!$Q$9:$Q$2561=$E63),--('Input|Historical Data'!$AA$9:$AA$2561="SCS"),--('Input|Historical Data'!$Y$9:$Y$2561=J$5),'Input|Historical Data'!$U$9:$U$2561)</f>
        <v>624.27343000000008</v>
      </c>
      <c r="K63" s="49">
        <f>SUMPRODUCT(--('Input|Historical Data'!$Q$9:$Q$2561=$E63),--('Input|Historical Data'!$AA$9:$AA$2561="SCS"),--('Input|Historical Data'!$Z$9:$Z$2561=K$5),'Input|Historical Data'!$U$9:$U$2561)</f>
        <v>347.61577</v>
      </c>
      <c r="L63" s="49">
        <f>SUMPRODUCT(--('Input|Historical Data'!$Q$9:$Q$2561=$E63),--('Input|Historical Data'!$AA$9:$AA$2561="SCS"),--('Input|Historical Data'!$Z$9:$Z$2561=L$5),'Input|Historical Data'!$U$9:$U$2561)</f>
        <v>162.78240999999997</v>
      </c>
      <c r="M63" s="49">
        <f>SUMPRODUCT(--('Input|Historical Data'!$Q$9:$Q$2561=$E63),--('Input|Historical Data'!$AA$9:$AA$2561="SCS"),--('Input|Historical Data'!$Z$9:$Z$2561=M$5),'Input|Historical Data'!$U$9:$U$2561)</f>
        <v>90.520589999999999</v>
      </c>
      <c r="N63" s="49">
        <f>SUMPRODUCT(--('Input|Historical Data'!$Q$9:$Q$2561=$E63),--('Input|Historical Data'!$AA$9:$AA$2561="SCS"),--('Input|Historical Data'!$Y$9:$Y$2561=N$5),'Input|Historical Data'!$U$9:$U$2561)</f>
        <v>102.65987</v>
      </c>
      <c r="O63" s="50">
        <f t="shared" si="5"/>
        <v>0.57847380936361836</v>
      </c>
      <c r="P63" s="50">
        <f t="shared" si="6"/>
        <v>0.27088920853645487</v>
      </c>
      <c r="Q63" s="50">
        <f t="shared" si="7"/>
        <v>0.15063698209992674</v>
      </c>
      <c r="R63" s="50">
        <f t="shared" si="8"/>
        <v>0.16444696356851193</v>
      </c>
      <c r="S63" s="39"/>
      <c r="T63" s="49">
        <f>SUMPRODUCT(--('Input|Historical Data'!$AC$9:$AC$2668=$E63),--('Input|Historical Data'!$AM$9:$AM$2668="SCS"),--('Input|Historical Data'!$AK$9:$AK$2668=T$5),'Input|Historical Data'!$AG$9:$AG$2668)</f>
        <v>1002.3984799999999</v>
      </c>
      <c r="U63" s="49">
        <f>SUMPRODUCT(--('Input|Historical Data'!$AC$9:$AC$2668=$E63),--('Input|Historical Data'!$AM$9:$AM$2668="SCS"),--('Input|Historical Data'!$AL$9:$AL$2668=U$5),'Input|Historical Data'!$AG$9:$AG$2668)</f>
        <v>611.19000000000005</v>
      </c>
      <c r="V63" s="49">
        <f>SUMPRODUCT(--('Input|Historical Data'!$AC$9:$AC$2668=$E63),--('Input|Historical Data'!$AM$9:$AM$2668="SCS"),--('Input|Historical Data'!$AL$9:$AL$2668=V$5),'Input|Historical Data'!$AG$9:$AG$2668)</f>
        <v>207.97402000000002</v>
      </c>
      <c r="W63" s="49">
        <f>SUMPRODUCT(--('Input|Historical Data'!$AC$9:$AC$2668=$E63),--('Input|Historical Data'!$AM$9:$AM$2668="SCS"),--('Input|Historical Data'!$AL$9:$AL$2668=W$5),'Input|Historical Data'!$AG$9:$AG$2668)</f>
        <v>140.96501000000001</v>
      </c>
      <c r="X63" s="49">
        <f>SUMPRODUCT(--('Input|Historical Data'!$AC$9:$AC$2668=$E63),--('Input|Historical Data'!$AM$9:$AM$2668="SCS"),--('Input|Historical Data'!$AK$9:$AK$2668=X$5),'Input|Historical Data'!$AG$9:$AG$2668)</f>
        <v>167.64646999999999</v>
      </c>
      <c r="Y63" s="50">
        <f t="shared" si="9"/>
        <v>0.6365706909205735</v>
      </c>
      <c r="Z63" s="50">
        <f t="shared" si="10"/>
        <v>0.21661049036294633</v>
      </c>
      <c r="AA63" s="50">
        <f t="shared" si="11"/>
        <v>0.14681881871648023</v>
      </c>
      <c r="AB63" s="50">
        <f t="shared" si="12"/>
        <v>0.1672453354079308</v>
      </c>
      <c r="AC63" s="39"/>
      <c r="AD63" s="49">
        <f>SUMPRODUCT(--('Input|Historical Data'!$AO$9:$AO$2668=$E63),--('Input|Historical Data'!$AY$9:$AY$2668="SCS"),--('Input|Historical Data'!$AW$9:$AW$2668=AD$5),'Input|Historical Data'!$AS$9:$AS$2668)</f>
        <v>2190.8899799999995</v>
      </c>
      <c r="AE63" s="49">
        <f>SUMPRODUCT(--('Input|Historical Data'!$AO$9:$AO$2668=$E63),--('Input|Historical Data'!$AY$9:$AY$2668="SCS"),--('Input|Historical Data'!$AX$9:$AX$2668=AE$5),'Input|Historical Data'!$AS$9:$AS$2668)</f>
        <v>872.46158000000014</v>
      </c>
      <c r="AF63" s="49">
        <f>SUMPRODUCT(--('Input|Historical Data'!$AO$9:$AO$2668=$E63),--('Input|Historical Data'!$AY$9:$AY$2668="SCS"),--('Input|Historical Data'!$AX$9:$AX$2668=AF$5),'Input|Historical Data'!$AS$9:$AS$2668)</f>
        <v>571.09654000000012</v>
      </c>
      <c r="AG63" s="49">
        <f>SUMPRODUCT(--('Input|Historical Data'!$AO$9:$AO$2668=$E63),--('Input|Historical Data'!$AY$9:$AY$2668="SCS"),--('Input|Historical Data'!$AX$9:$AX$2668=AG$5),'Input|Historical Data'!$AS$9:$AS$2668)</f>
        <v>663.10138000000029</v>
      </c>
      <c r="AH63" s="49">
        <f>SUMPRODUCT(--('Input|Historical Data'!$AO$9:$AO$2668=$E63),--('Input|Historical Data'!$AY$9:$AY$2668="SCS"),--('Input|Historical Data'!$AW$9:$AW$2668=AH$5),'Input|Historical Data'!$AS$9:$AS$2668)</f>
        <v>326.95129000000003</v>
      </c>
      <c r="AI63" s="50">
        <f t="shared" si="13"/>
        <v>0.41414456394115889</v>
      </c>
      <c r="AJ63" s="50">
        <f t="shared" si="2"/>
        <v>0.27109105197114197</v>
      </c>
      <c r="AK63" s="50">
        <f t="shared" si="3"/>
        <v>0.31476438408769908</v>
      </c>
      <c r="AL63" s="50">
        <f t="shared" si="14"/>
        <v>0.14923218097880028</v>
      </c>
      <c r="AM63" s="39"/>
      <c r="AN63" s="50">
        <f t="shared" si="15"/>
        <v>0.49929484558377918</v>
      </c>
      <c r="AO63" s="50">
        <f t="shared" si="16"/>
        <v>0.25679611074744157</v>
      </c>
      <c r="AP63" s="50">
        <f t="shared" si="17"/>
        <v>0.24390904366877914</v>
      </c>
      <c r="AQ63" s="50">
        <f t="shared" si="18"/>
        <v>0.15645001894127777</v>
      </c>
      <c r="AR63" s="45"/>
    </row>
    <row r="64" spans="3:44" s="7" customFormat="1" x14ac:dyDescent="0.2">
      <c r="C64" s="39"/>
      <c r="D64" s="39"/>
      <c r="E64" s="39">
        <v>161</v>
      </c>
      <c r="F64" s="39" t="s">
        <v>2269</v>
      </c>
      <c r="G64" s="39" t="str">
        <f>VLOOKUP(E64,Mapping!$E$11:$G$96,3,0)</f>
        <v>Augmentation</v>
      </c>
      <c r="H64" s="39" t="str">
        <f>VLOOKUP(E64,Mapping!$E$11:$K$96,7,0)</f>
        <v>SCS</v>
      </c>
      <c r="I64" s="39"/>
      <c r="J64" s="49">
        <f>SUMPRODUCT(--('Input|Historical Data'!$Q$9:$Q$2561=$E64),--('Input|Historical Data'!$AA$9:$AA$2561="SCS"),--('Input|Historical Data'!$Y$9:$Y$2561=J$5),'Input|Historical Data'!$U$9:$U$2561)</f>
        <v>5645.9560899999988</v>
      </c>
      <c r="K64" s="49">
        <f>SUMPRODUCT(--('Input|Historical Data'!$Q$9:$Q$2561=$E64),--('Input|Historical Data'!$AA$9:$AA$2561="SCS"),--('Input|Historical Data'!$Z$9:$Z$2561=K$5),'Input|Historical Data'!$U$9:$U$2561)</f>
        <v>2947.7401200000004</v>
      </c>
      <c r="L64" s="49">
        <f>SUMPRODUCT(--('Input|Historical Data'!$Q$9:$Q$2561=$E64),--('Input|Historical Data'!$AA$9:$AA$2561="SCS"),--('Input|Historical Data'!$Z$9:$Z$2561=L$5),'Input|Historical Data'!$U$9:$U$2561)</f>
        <v>2325.0321200000003</v>
      </c>
      <c r="M64" s="49">
        <f>SUMPRODUCT(--('Input|Historical Data'!$Q$9:$Q$2561=$E64),--('Input|Historical Data'!$AA$9:$AA$2561="SCS"),--('Input|Historical Data'!$Z$9:$Z$2561=M$5),'Input|Historical Data'!$U$9:$U$2561)</f>
        <v>206.39662000000004</v>
      </c>
      <c r="N64" s="49">
        <f>SUMPRODUCT(--('Input|Historical Data'!$Q$9:$Q$2561=$E64),--('Input|Historical Data'!$AA$9:$AA$2561="SCS"),--('Input|Historical Data'!$Y$9:$Y$2561=N$5),'Input|Historical Data'!$U$9:$U$2561)</f>
        <v>889.06075999999996</v>
      </c>
      <c r="O64" s="50">
        <f t="shared" si="5"/>
        <v>0.537990376883548</v>
      </c>
      <c r="P64" s="50">
        <f t="shared" si="6"/>
        <v>0.42434029310058535</v>
      </c>
      <c r="Q64" s="50">
        <f t="shared" si="7"/>
        <v>3.7669330015866677E-2</v>
      </c>
      <c r="R64" s="50">
        <f t="shared" si="8"/>
        <v>0.15746859271092917</v>
      </c>
      <c r="S64" s="39"/>
      <c r="T64" s="49">
        <f>SUMPRODUCT(--('Input|Historical Data'!$AC$9:$AC$2668=$E64),--('Input|Historical Data'!$AM$9:$AM$2668="SCS"),--('Input|Historical Data'!$AK$9:$AK$2668=T$5),'Input|Historical Data'!$AG$9:$AG$2668)</f>
        <v>6888.5576400000036</v>
      </c>
      <c r="U64" s="49">
        <f>SUMPRODUCT(--('Input|Historical Data'!$AC$9:$AC$2668=$E64),--('Input|Historical Data'!$AM$9:$AM$2668="SCS"),--('Input|Historical Data'!$AL$9:$AL$2668=U$5),'Input|Historical Data'!$AG$9:$AG$2668)</f>
        <v>2960.6175799999996</v>
      </c>
      <c r="V64" s="49">
        <f>SUMPRODUCT(--('Input|Historical Data'!$AC$9:$AC$2668=$E64),--('Input|Historical Data'!$AM$9:$AM$2668="SCS"),--('Input|Historical Data'!$AL$9:$AL$2668=V$5),'Input|Historical Data'!$AG$9:$AG$2668)</f>
        <v>3112.7254699999999</v>
      </c>
      <c r="W64" s="49">
        <f>SUMPRODUCT(--('Input|Historical Data'!$AC$9:$AC$2668=$E64),--('Input|Historical Data'!$AM$9:$AM$2668="SCS"),--('Input|Historical Data'!$AL$9:$AL$2668=W$5),'Input|Historical Data'!$AG$9:$AG$2668)</f>
        <v>670.70564000000002</v>
      </c>
      <c r="X64" s="49">
        <f>SUMPRODUCT(--('Input|Historical Data'!$AC$9:$AC$2668=$E64),--('Input|Historical Data'!$AM$9:$AM$2668="SCS"),--('Input|Historical Data'!$AK$9:$AK$2668=X$5),'Input|Historical Data'!$AG$9:$AG$2668)</f>
        <v>535.42247999999995</v>
      </c>
      <c r="Y64" s="50">
        <f t="shared" si="9"/>
        <v>0.43899706483287559</v>
      </c>
      <c r="Z64" s="50">
        <f t="shared" si="10"/>
        <v>0.46155145270755749</v>
      </c>
      <c r="AA64" s="50">
        <f t="shared" si="11"/>
        <v>9.9451482459566892E-2</v>
      </c>
      <c r="AB64" s="50">
        <f t="shared" si="12"/>
        <v>7.7726355498710709E-2</v>
      </c>
      <c r="AC64" s="39"/>
      <c r="AD64" s="49">
        <f>SUMPRODUCT(--('Input|Historical Data'!$AO$9:$AO$2668=$E64),--('Input|Historical Data'!$AY$9:$AY$2668="SCS"),--('Input|Historical Data'!$AW$9:$AW$2668=AD$5),'Input|Historical Data'!$AS$9:$AS$2668)</f>
        <v>3939.9786299999982</v>
      </c>
      <c r="AE64" s="49">
        <f>SUMPRODUCT(--('Input|Historical Data'!$AO$9:$AO$2668=$E64),--('Input|Historical Data'!$AY$9:$AY$2668="SCS"),--('Input|Historical Data'!$AX$9:$AX$2668=AE$5),'Input|Historical Data'!$AS$9:$AS$2668)</f>
        <v>2558.1336999999994</v>
      </c>
      <c r="AF64" s="49">
        <f>SUMPRODUCT(--('Input|Historical Data'!$AO$9:$AO$2668=$E64),--('Input|Historical Data'!$AY$9:$AY$2668="SCS"),--('Input|Historical Data'!$AX$9:$AX$2668=AF$5),'Input|Historical Data'!$AS$9:$AS$2668)</f>
        <v>858.34631999999988</v>
      </c>
      <c r="AG64" s="49">
        <f>SUMPRODUCT(--('Input|Historical Data'!$AO$9:$AO$2668=$E64),--('Input|Historical Data'!$AY$9:$AY$2668="SCS"),--('Input|Historical Data'!$AX$9:$AX$2668=AG$5),'Input|Historical Data'!$AS$9:$AS$2668)</f>
        <v>355.21096</v>
      </c>
      <c r="AH64" s="49">
        <f>SUMPRODUCT(--('Input|Historical Data'!$AO$9:$AO$2668=$E64),--('Input|Historical Data'!$AY$9:$AY$2668="SCS"),--('Input|Historical Data'!$AW$9:$AW$2668=AH$5),'Input|Historical Data'!$AS$9:$AS$2668)</f>
        <v>581.2777900000001</v>
      </c>
      <c r="AI64" s="50">
        <f t="shared" si="13"/>
        <v>0.67824583550585582</v>
      </c>
      <c r="AJ64" s="50">
        <f t="shared" si="2"/>
        <v>0.22757599298339126</v>
      </c>
      <c r="AK64" s="50">
        <f t="shared" si="3"/>
        <v>9.4178171510753014E-2</v>
      </c>
      <c r="AL64" s="50">
        <f t="shared" si="14"/>
        <v>0.14753323420944553</v>
      </c>
      <c r="AM64" s="39"/>
      <c r="AN64" s="50">
        <f t="shared" si="15"/>
        <v>0.52932415237763153</v>
      </c>
      <c r="AO64" s="50">
        <f t="shared" si="16"/>
        <v>0.3936317546418629</v>
      </c>
      <c r="AP64" s="50">
        <f t="shared" si="17"/>
        <v>7.7044092980505463E-2</v>
      </c>
      <c r="AQ64" s="50">
        <f t="shared" si="18"/>
        <v>0.12174948922068031</v>
      </c>
      <c r="AR64" s="45"/>
    </row>
    <row r="65" spans="3:44" s="7" customFormat="1" x14ac:dyDescent="0.2">
      <c r="C65" s="39"/>
      <c r="D65" s="39"/>
      <c r="E65" s="39" t="s">
        <v>2405</v>
      </c>
      <c r="F65" s="39" t="s">
        <v>2269</v>
      </c>
      <c r="G65" s="39" t="str">
        <f>VLOOKUP(E65,Mapping!$E$11:$G$96,3,0)</f>
        <v>Land</v>
      </c>
      <c r="H65" s="39" t="str">
        <f>VLOOKUP(E65,Mapping!$E$11:$K$96,7,0)</f>
        <v>Land</v>
      </c>
      <c r="I65" s="39"/>
      <c r="J65" s="49">
        <f>SUMPRODUCT(--('Input|Historical Data'!$Q$9:$Q$2561=$E65),--('Input|Historical Data'!$AA$9:$AA$2561="SCS"),--('Input|Historical Data'!$Y$9:$Y$2561=J$5),'Input|Historical Data'!$U$9:$U$2561)+'Input|Historical Data'!U1429</f>
        <v>24630.534</v>
      </c>
      <c r="K65" s="49">
        <f>SUMPRODUCT(--('Input|Historical Data'!$Q$9:$Q$2561=$E65),--('Input|Historical Data'!$AA$9:$AA$2561="SCS"),--('Input|Historical Data'!$Z$9:$Z$2561=K$5),'Input|Historical Data'!$U$9:$U$2561)</f>
        <v>0</v>
      </c>
      <c r="L65" s="49">
        <f>SUMPRODUCT(--('Input|Historical Data'!$Q$9:$Q$2561=$E65),--('Input|Historical Data'!$AA$9:$AA$2561="SCS"),--('Input|Historical Data'!$Z$9:$Z$2561=L$5),'Input|Historical Data'!$U$9:$U$2561)</f>
        <v>0</v>
      </c>
      <c r="M65" s="49">
        <f>SUMPRODUCT(--('Input|Historical Data'!$Q$9:$Q$2561=$E65),--('Input|Historical Data'!$AA$9:$AA$2561="SCS"),--('Input|Historical Data'!$Z$9:$Z$2561=M$5),'Input|Historical Data'!$U$9:$U$2561)+'Input|Historical Data'!U1429</f>
        <v>24630.534</v>
      </c>
      <c r="N65" s="49">
        <f>SUMPRODUCT(--('Input|Historical Data'!$Q$9:$Q$2561=$E65),--('Input|Historical Data'!$AA$9:$AA$2561="SCS"),--('Input|Historical Data'!$Y$9:$Y$2561=N$5),'Input|Historical Data'!$U$9:$U$2561)</f>
        <v>0</v>
      </c>
      <c r="O65" s="50">
        <f t="shared" ref="O65" si="19">IFERROR(K65/SUM($K65:$M65),0)</f>
        <v>0</v>
      </c>
      <c r="P65" s="50">
        <f t="shared" ref="P65" si="20">IFERROR(L65/SUM($K65:$M65),0)</f>
        <v>0</v>
      </c>
      <c r="Q65" s="50">
        <f t="shared" ref="Q65" si="21">IFERROR(M65/SUM($K65:$M65),0)</f>
        <v>1</v>
      </c>
      <c r="R65" s="50">
        <f t="shared" ref="R65" si="22">IFERROR(N65/J65,0)</f>
        <v>0</v>
      </c>
      <c r="S65" s="39"/>
      <c r="T65" s="49">
        <f>SUMPRODUCT(--('Input|Historical Data'!$AC$9:$AC$2668=$E65),--('Input|Historical Data'!$AM$9:$AM$2668="SCS"),--('Input|Historical Data'!$AK$9:$AK$2668=T$5),'Input|Historical Data'!$AG$9:$AG$2668)</f>
        <v>0</v>
      </c>
      <c r="U65" s="49">
        <f>SUMPRODUCT(--('Input|Historical Data'!$AC$9:$AC$2668=$E65),--('Input|Historical Data'!$AM$9:$AM$2668="SCS"),--('Input|Historical Data'!$AL$9:$AL$2668=U$5),'Input|Historical Data'!$AG$9:$AG$2668)</f>
        <v>0</v>
      </c>
      <c r="V65" s="49">
        <f>SUMPRODUCT(--('Input|Historical Data'!$AC$9:$AC$2668=$E65),--('Input|Historical Data'!$AM$9:$AM$2668="SCS"),--('Input|Historical Data'!$AL$9:$AL$2668=V$5),'Input|Historical Data'!$AG$9:$AG$2668)</f>
        <v>0</v>
      </c>
      <c r="W65" s="49">
        <f>SUMPRODUCT(--('Input|Historical Data'!$AC$9:$AC$2668=$E65),--('Input|Historical Data'!$AM$9:$AM$2668="SCS"),--('Input|Historical Data'!$AL$9:$AL$2668=W$5),'Input|Historical Data'!$AG$9:$AG$2668)</f>
        <v>0</v>
      </c>
      <c r="X65" s="49">
        <f>SUMPRODUCT(--('Input|Historical Data'!$AC$9:$AC$2668=$E65),--('Input|Historical Data'!$AM$9:$AM$2668="SCS"),--('Input|Historical Data'!$AK$9:$AK$2668=X$5),'Input|Historical Data'!$AG$9:$AG$2668)</f>
        <v>0</v>
      </c>
      <c r="Y65" s="50">
        <f t="shared" ref="Y65" si="23">IFERROR(U65/SUM($U65:$W65),0)</f>
        <v>0</v>
      </c>
      <c r="Z65" s="50">
        <f t="shared" ref="Z65" si="24">IFERROR(V65/SUM($U65:$W65),0)</f>
        <v>0</v>
      </c>
      <c r="AA65" s="50">
        <f t="shared" ref="AA65" si="25">IFERROR(W65/SUM($U65:$W65),0)</f>
        <v>0</v>
      </c>
      <c r="AB65" s="50">
        <f t="shared" ref="AB65" si="26">IFERROR(X65/T65,0)</f>
        <v>0</v>
      </c>
      <c r="AC65" s="39"/>
      <c r="AD65" s="49">
        <f>SUMPRODUCT(--('Input|Historical Data'!$AO$9:$AO$2668=$E65),--('Input|Historical Data'!$AY$9:$AY$2668="SCS"),--('Input|Historical Data'!$AW$9:$AW$2668=AD$5),'Input|Historical Data'!$AS$9:$AS$2668)</f>
        <v>0</v>
      </c>
      <c r="AE65" s="49">
        <f>SUMPRODUCT(--('Input|Historical Data'!$AO$9:$AO$2668=$E65),--('Input|Historical Data'!$AY$9:$AY$2668="SCS"),--('Input|Historical Data'!$AX$9:$AX$2668=AE$5),'Input|Historical Data'!$AS$9:$AS$2668)</f>
        <v>0</v>
      </c>
      <c r="AF65" s="49">
        <f>SUMPRODUCT(--('Input|Historical Data'!$AO$9:$AO$2668=$E65),--('Input|Historical Data'!$AY$9:$AY$2668="SCS"),--('Input|Historical Data'!$AX$9:$AX$2668=AF$5),'Input|Historical Data'!$AS$9:$AS$2668)</f>
        <v>0</v>
      </c>
      <c r="AG65" s="49">
        <f>SUMPRODUCT(--('Input|Historical Data'!$AO$9:$AO$2668=$E65),--('Input|Historical Data'!$AY$9:$AY$2668="SCS"),--('Input|Historical Data'!$AX$9:$AX$2668=AG$5),'Input|Historical Data'!$AS$9:$AS$2668)</f>
        <v>0</v>
      </c>
      <c r="AH65" s="49">
        <f>SUMPRODUCT(--('Input|Historical Data'!$AO$9:$AO$2668=$E65),--('Input|Historical Data'!$AY$9:$AY$2668="SCS"),--('Input|Historical Data'!$AW$9:$AW$2668=AH$5),'Input|Historical Data'!$AS$9:$AS$2668)</f>
        <v>0</v>
      </c>
      <c r="AI65" s="50">
        <f t="shared" si="13"/>
        <v>0</v>
      </c>
      <c r="AJ65" s="50">
        <f t="shared" si="2"/>
        <v>0</v>
      </c>
      <c r="AK65" s="50">
        <f t="shared" si="3"/>
        <v>0</v>
      </c>
      <c r="AL65" s="50">
        <f t="shared" si="14"/>
        <v>0</v>
      </c>
      <c r="AM65" s="39"/>
      <c r="AN65" s="50">
        <f t="shared" si="15"/>
        <v>0</v>
      </c>
      <c r="AO65" s="50">
        <f t="shared" si="16"/>
        <v>0</v>
      </c>
      <c r="AP65" s="50">
        <f t="shared" si="17"/>
        <v>1</v>
      </c>
      <c r="AQ65" s="50">
        <f t="shared" si="18"/>
        <v>0</v>
      </c>
      <c r="AR65" s="45"/>
    </row>
    <row r="66" spans="3:44" s="7" customFormat="1" x14ac:dyDescent="0.2">
      <c r="C66" s="39"/>
      <c r="D66" s="39"/>
      <c r="E66" s="39">
        <v>162</v>
      </c>
      <c r="F66" s="39" t="s">
        <v>2270</v>
      </c>
      <c r="G66" s="39" t="str">
        <f>VLOOKUP(E66,Mapping!$E$11:$G$96,3,0)</f>
        <v>Augmentation</v>
      </c>
      <c r="H66" s="39" t="str">
        <f>VLOOKUP(E66,Mapping!$E$11:$K$96,7,0)</f>
        <v>SCS</v>
      </c>
      <c r="I66" s="39"/>
      <c r="J66" s="49">
        <f>SUMPRODUCT(--('Input|Historical Data'!$Q$9:$Q$2561=$E66),--('Input|Historical Data'!$AA$9:$AA$2561="SCS"),--('Input|Historical Data'!$Y$9:$Y$2561=J$5),'Input|Historical Data'!$U$9:$U$2561)</f>
        <v>7604.7117099999987</v>
      </c>
      <c r="K66" s="49">
        <f>SUMPRODUCT(--('Input|Historical Data'!$Q$9:$Q$2561=$E66),--('Input|Historical Data'!$AA$9:$AA$2561="SCS"),--('Input|Historical Data'!$Z$9:$Z$2561=K$5),'Input|Historical Data'!$U$9:$U$2561)</f>
        <v>6600.4321799999998</v>
      </c>
      <c r="L66" s="49">
        <f>SUMPRODUCT(--('Input|Historical Data'!$Q$9:$Q$2561=$E66),--('Input|Historical Data'!$AA$9:$AA$2561="SCS"),--('Input|Historical Data'!$Z$9:$Z$2561=L$5),'Input|Historical Data'!$U$9:$U$2561)</f>
        <v>156.17716999999999</v>
      </c>
      <c r="M66" s="49">
        <f>SUMPRODUCT(--('Input|Historical Data'!$Q$9:$Q$2561=$E66),--('Input|Historical Data'!$AA$9:$AA$2561="SCS"),--('Input|Historical Data'!$Z$9:$Z$2561=M$5),'Input|Historical Data'!$U$9:$U$2561)</f>
        <v>459.26639000000017</v>
      </c>
      <c r="N66" s="49">
        <f>SUMPRODUCT(--('Input|Historical Data'!$Q$9:$Q$2561=$E66),--('Input|Historical Data'!$AA$9:$AA$2561="SCS"),--('Input|Historical Data'!$Y$9:$Y$2561=N$5),'Input|Historical Data'!$U$9:$U$2561)</f>
        <v>1347.7524700000001</v>
      </c>
      <c r="O66" s="50">
        <f t="shared" si="5"/>
        <v>0.91470978961175964</v>
      </c>
      <c r="P66" s="50">
        <f t="shared" si="6"/>
        <v>2.1643550364130855E-2</v>
      </c>
      <c r="Q66" s="50">
        <f t="shared" si="7"/>
        <v>6.3646660024109583E-2</v>
      </c>
      <c r="R66" s="50">
        <f t="shared" si="8"/>
        <v>0.17722597797201708</v>
      </c>
      <c r="S66" s="39"/>
      <c r="T66" s="49">
        <f>SUMPRODUCT(--('Input|Historical Data'!$AC$9:$AC$2668=$E66),--('Input|Historical Data'!$AM$9:$AM$2668="SCS"),--('Input|Historical Data'!$AK$9:$AK$2668=T$5),'Input|Historical Data'!$AG$9:$AG$2668)</f>
        <v>4711.7751100000005</v>
      </c>
      <c r="U66" s="49">
        <f>SUMPRODUCT(--('Input|Historical Data'!$AC$9:$AC$2668=$E66),--('Input|Historical Data'!$AM$9:$AM$2668="SCS"),--('Input|Historical Data'!$AL$9:$AL$2668=U$5),'Input|Historical Data'!$AG$9:$AG$2668)</f>
        <v>2940.4418099999994</v>
      </c>
      <c r="V66" s="49">
        <f>SUMPRODUCT(--('Input|Historical Data'!$AC$9:$AC$2668=$E66),--('Input|Historical Data'!$AM$9:$AM$2668="SCS"),--('Input|Historical Data'!$AL$9:$AL$2668=V$5),'Input|Historical Data'!$AG$9:$AG$2668)</f>
        <v>801.24213999999995</v>
      </c>
      <c r="W66" s="49">
        <f>SUMPRODUCT(--('Input|Historical Data'!$AC$9:$AC$2668=$E66),--('Input|Historical Data'!$AM$9:$AM$2668="SCS"),--('Input|Historical Data'!$AL$9:$AL$2668=W$5),'Input|Historical Data'!$AG$9:$AG$2668)</f>
        <v>774.34408999999994</v>
      </c>
      <c r="X66" s="49">
        <f>SUMPRODUCT(--('Input|Historical Data'!$AC$9:$AC$2668=$E66),--('Input|Historical Data'!$AM$9:$AM$2668="SCS"),--('Input|Historical Data'!$AK$9:$AK$2668=X$5),'Input|Historical Data'!$AG$9:$AG$2668)</f>
        <v>792.43932000000007</v>
      </c>
      <c r="Y66" s="50">
        <f t="shared" si="9"/>
        <v>0.65111238990447007</v>
      </c>
      <c r="Z66" s="50">
        <f t="shared" si="10"/>
        <v>0.17742187003781315</v>
      </c>
      <c r="AA66" s="50">
        <f t="shared" si="11"/>
        <v>0.17146574005771675</v>
      </c>
      <c r="AB66" s="50">
        <f t="shared" si="12"/>
        <v>0.16818275522491988</v>
      </c>
      <c r="AC66" s="39"/>
      <c r="AD66" s="49">
        <f>SUMPRODUCT(--('Input|Historical Data'!$AO$9:$AO$2668=$E66),--('Input|Historical Data'!$AY$9:$AY$2668="SCS"),--('Input|Historical Data'!$AW$9:$AW$2668=AD$5),'Input|Historical Data'!$AS$9:$AS$2668)</f>
        <v>8199.6085400000047</v>
      </c>
      <c r="AE66" s="49">
        <f>SUMPRODUCT(--('Input|Historical Data'!$AO$9:$AO$2668=$E66),--('Input|Historical Data'!$AY$9:$AY$2668="SCS"),--('Input|Historical Data'!$AX$9:$AX$2668=AE$5),'Input|Historical Data'!$AS$9:$AS$2668)</f>
        <v>4293.0937800000011</v>
      </c>
      <c r="AF66" s="49">
        <f>SUMPRODUCT(--('Input|Historical Data'!$AO$9:$AO$2668=$E66),--('Input|Historical Data'!$AY$9:$AY$2668="SCS"),--('Input|Historical Data'!$AX$9:$AX$2668=AF$5),'Input|Historical Data'!$AS$9:$AS$2668)</f>
        <v>602.01946999999996</v>
      </c>
      <c r="AG66" s="49">
        <f>SUMPRODUCT(--('Input|Historical Data'!$AO$9:$AO$2668=$E66),--('Input|Historical Data'!$AY$9:$AY$2668="SCS"),--('Input|Historical Data'!$AX$9:$AX$2668=AG$5),'Input|Historical Data'!$AS$9:$AS$2668)</f>
        <v>2926.9828000000002</v>
      </c>
      <c r="AH66" s="49">
        <f>SUMPRODUCT(--('Input|Historical Data'!$AO$9:$AO$2668=$E66),--('Input|Historical Data'!$AY$9:$AY$2668="SCS"),--('Input|Historical Data'!$AW$9:$AW$2668=AH$5),'Input|Historical Data'!$AS$9:$AS$2668)</f>
        <v>1161.4289200000001</v>
      </c>
      <c r="AI66" s="50">
        <f t="shared" si="13"/>
        <v>0.54884186445140881</v>
      </c>
      <c r="AJ66" s="50">
        <f t="shared" si="2"/>
        <v>7.6963957761679469E-2</v>
      </c>
      <c r="AK66" s="50">
        <f t="shared" si="3"/>
        <v>0.37419417778691166</v>
      </c>
      <c r="AL66" s="50">
        <f t="shared" si="14"/>
        <v>0.14164443513787542</v>
      </c>
      <c r="AM66" s="39"/>
      <c r="AN66" s="50">
        <f t="shared" si="15"/>
        <v>0.707475088998198</v>
      </c>
      <c r="AO66" s="50">
        <f t="shared" si="16"/>
        <v>7.9750372995681856E-2</v>
      </c>
      <c r="AP66" s="50">
        <f t="shared" si="17"/>
        <v>0.21277453800612001</v>
      </c>
      <c r="AQ66" s="50">
        <f t="shared" si="18"/>
        <v>0.16092831759970916</v>
      </c>
      <c r="AR66" s="45"/>
    </row>
    <row r="67" spans="3:44" s="7" customFormat="1" x14ac:dyDescent="0.2">
      <c r="C67" s="39"/>
      <c r="D67" s="39"/>
      <c r="E67" s="39">
        <v>163</v>
      </c>
      <c r="F67" s="39" t="s">
        <v>2271</v>
      </c>
      <c r="G67" s="39" t="str">
        <f>VLOOKUP(E67,Mapping!$E$11:$G$96,3,0)</f>
        <v>Replacement</v>
      </c>
      <c r="H67" s="39" t="str">
        <f>VLOOKUP(E67,Mapping!$E$11:$K$96,7,0)</f>
        <v>SCS</v>
      </c>
      <c r="I67" s="39"/>
      <c r="J67" s="49">
        <f>SUMPRODUCT(--('Input|Historical Data'!$Q$9:$Q$2561=$E67),--('Input|Historical Data'!$AA$9:$AA$2561="SCS"),--('Input|Historical Data'!$Y$9:$Y$2561=J$5),'Input|Historical Data'!$U$9:$U$2561)</f>
        <v>-24.68084</v>
      </c>
      <c r="K67" s="49">
        <f>SUMPRODUCT(--('Input|Historical Data'!$Q$9:$Q$2561=$E67),--('Input|Historical Data'!$AA$9:$AA$2561="SCS"),--('Input|Historical Data'!$Z$9:$Z$2561=K$5),'Input|Historical Data'!$U$9:$U$2561)</f>
        <v>2.50827</v>
      </c>
      <c r="L67" s="49">
        <f>SUMPRODUCT(--('Input|Historical Data'!$Q$9:$Q$2561=$E67),--('Input|Historical Data'!$AA$9:$AA$2561="SCS"),--('Input|Historical Data'!$Z$9:$Z$2561=L$5),'Input|Historical Data'!$U$9:$U$2561)</f>
        <v>0</v>
      </c>
      <c r="M67" s="49">
        <f>SUMPRODUCT(--('Input|Historical Data'!$Q$9:$Q$2561=$E67),--('Input|Historical Data'!$AA$9:$AA$2561="SCS"),--('Input|Historical Data'!$Z$9:$Z$2561=M$5),'Input|Historical Data'!$U$9:$U$2561)</f>
        <v>-27.834959999999999</v>
      </c>
      <c r="N67" s="49">
        <f>SUMPRODUCT(--('Input|Historical Data'!$Q$9:$Q$2561=$E67),--('Input|Historical Data'!$AA$9:$AA$2561="SCS"),--('Input|Historical Data'!$Y$9:$Y$2561=N$5),'Input|Historical Data'!$U$9:$U$2561)</f>
        <v>1.5967900000000002</v>
      </c>
      <c r="O67" s="50">
        <f t="shared" si="5"/>
        <v>-9.9036628947564806E-2</v>
      </c>
      <c r="P67" s="50">
        <f t="shared" si="6"/>
        <v>0</v>
      </c>
      <c r="Q67" s="50">
        <f t="shared" si="7"/>
        <v>1.0990366289475648</v>
      </c>
      <c r="R67" s="50">
        <f t="shared" si="8"/>
        <v>-6.469755486442115E-2</v>
      </c>
      <c r="S67" s="39"/>
      <c r="T67" s="49">
        <f>SUMPRODUCT(--('Input|Historical Data'!$AC$9:$AC$2668=$E67),--('Input|Historical Data'!$AM$9:$AM$2668="SCS"),--('Input|Historical Data'!$AK$9:$AK$2668=T$5),'Input|Historical Data'!$AG$9:$AG$2668)</f>
        <v>145.22188</v>
      </c>
      <c r="U67" s="49">
        <f>SUMPRODUCT(--('Input|Historical Data'!$AC$9:$AC$2668=$E67),--('Input|Historical Data'!$AM$9:$AM$2668="SCS"),--('Input|Historical Data'!$AL$9:$AL$2668=U$5),'Input|Historical Data'!$AG$9:$AG$2668)</f>
        <v>43.377890000000001</v>
      </c>
      <c r="V67" s="49">
        <f>SUMPRODUCT(--('Input|Historical Data'!$AC$9:$AC$2668=$E67),--('Input|Historical Data'!$AM$9:$AM$2668="SCS"),--('Input|Historical Data'!$AL$9:$AL$2668=V$5),'Input|Historical Data'!$AG$9:$AG$2668)</f>
        <v>93.949110000000005</v>
      </c>
      <c r="W67" s="49">
        <f>SUMPRODUCT(--('Input|Historical Data'!$AC$9:$AC$2668=$E67),--('Input|Historical Data'!$AM$9:$AM$2668="SCS"),--('Input|Historical Data'!$AL$9:$AL$2668=W$5),'Input|Historical Data'!$AG$9:$AG$2668)</f>
        <v>5.21495</v>
      </c>
      <c r="X67" s="49">
        <f>SUMPRODUCT(--('Input|Historical Data'!$AC$9:$AC$2668=$E67),--('Input|Historical Data'!$AM$9:$AM$2668="SCS"),--('Input|Historical Data'!$AK$9:$AK$2668=X$5),'Input|Historical Data'!$AG$9:$AG$2668)</f>
        <v>25.919349999999998</v>
      </c>
      <c r="Y67" s="50">
        <f t="shared" si="9"/>
        <v>0.30431665906071864</v>
      </c>
      <c r="Z67" s="50">
        <f t="shared" si="10"/>
        <v>0.65909797080789212</v>
      </c>
      <c r="AA67" s="50">
        <f t="shared" si="11"/>
        <v>3.6585370131389391E-2</v>
      </c>
      <c r="AB67" s="50">
        <f t="shared" si="12"/>
        <v>0.17848102503562135</v>
      </c>
      <c r="AC67" s="39"/>
      <c r="AD67" s="49">
        <f>SUMPRODUCT(--('Input|Historical Data'!$AO$9:$AO$2668=$E67),--('Input|Historical Data'!$AY$9:$AY$2668="SCS"),--('Input|Historical Data'!$AW$9:$AW$2668=AD$5),'Input|Historical Data'!$AS$9:$AS$2668)</f>
        <v>1306.2616800000001</v>
      </c>
      <c r="AE67" s="49">
        <f>SUMPRODUCT(--('Input|Historical Data'!$AO$9:$AO$2668=$E67),--('Input|Historical Data'!$AY$9:$AY$2668="SCS"),--('Input|Historical Data'!$AX$9:$AX$2668=AE$5),'Input|Historical Data'!$AS$9:$AS$2668)</f>
        <v>244.88283000000001</v>
      </c>
      <c r="AF67" s="49">
        <f>SUMPRODUCT(--('Input|Historical Data'!$AO$9:$AO$2668=$E67),--('Input|Historical Data'!$AY$9:$AY$2668="SCS"),--('Input|Historical Data'!$AX$9:$AX$2668=AF$5),'Input|Historical Data'!$AS$9:$AS$2668)</f>
        <v>215.83404999999999</v>
      </c>
      <c r="AG67" s="49">
        <f>SUMPRODUCT(--('Input|Historical Data'!$AO$9:$AO$2668=$E67),--('Input|Historical Data'!$AY$9:$AY$2668="SCS"),--('Input|Historical Data'!$AX$9:$AX$2668=AG$5),'Input|Historical Data'!$AS$9:$AS$2668)</f>
        <v>816.45940000000007</v>
      </c>
      <c r="AH67" s="49">
        <f>SUMPRODUCT(--('Input|Historical Data'!$AO$9:$AO$2668=$E67),--('Input|Historical Data'!$AY$9:$AY$2668="SCS"),--('Input|Historical Data'!$AW$9:$AW$2668=AH$5),'Input|Historical Data'!$AS$9:$AS$2668)</f>
        <v>171.21377000000001</v>
      </c>
      <c r="AI67" s="50">
        <f t="shared" si="13"/>
        <v>0.19173769027404736</v>
      </c>
      <c r="AJ67" s="50">
        <f t="shared" si="2"/>
        <v>0.16899315574510981</v>
      </c>
      <c r="AK67" s="50">
        <f t="shared" si="3"/>
        <v>0.63926915398084283</v>
      </c>
      <c r="AL67" s="50">
        <f t="shared" si="14"/>
        <v>0.13107157059066449</v>
      </c>
      <c r="AM67" s="39"/>
      <c r="AN67" s="50">
        <f t="shared" si="15"/>
        <v>0.20852750583957216</v>
      </c>
      <c r="AO67" s="50">
        <f t="shared" si="16"/>
        <v>0.22216368294948202</v>
      </c>
      <c r="AP67" s="50">
        <f t="shared" si="17"/>
        <v>0.5693088112109459</v>
      </c>
      <c r="AQ67" s="50">
        <f t="shared" si="18"/>
        <v>0.1392833831996059</v>
      </c>
      <c r="AR67" s="45"/>
    </row>
    <row r="68" spans="3:44" s="7" customFormat="1" x14ac:dyDescent="0.2">
      <c r="C68" s="39"/>
      <c r="D68" s="39"/>
      <c r="E68" s="39">
        <v>164</v>
      </c>
      <c r="F68" s="39" t="s">
        <v>2272</v>
      </c>
      <c r="G68" s="39" t="str">
        <f>VLOOKUP(E68,Mapping!$E$11:$G$96,3,0)</f>
        <v>Replacement</v>
      </c>
      <c r="H68" s="39" t="str">
        <f>VLOOKUP(E68,Mapping!$E$11:$K$96,7,0)</f>
        <v>SCS</v>
      </c>
      <c r="I68" s="39"/>
      <c r="J68" s="49">
        <f>SUMPRODUCT(--('Input|Historical Data'!$Q$9:$Q$2561=$E68),--('Input|Historical Data'!$AA$9:$AA$2561="SCS"),--('Input|Historical Data'!$Y$9:$Y$2561=J$5),'Input|Historical Data'!$U$9:$U$2561)</f>
        <v>0</v>
      </c>
      <c r="K68" s="49">
        <f>SUMPRODUCT(--('Input|Historical Data'!$Q$9:$Q$2561=$E68),--('Input|Historical Data'!$AA$9:$AA$2561="SCS"),--('Input|Historical Data'!$Z$9:$Z$2561=K$5),'Input|Historical Data'!$U$9:$U$2561)</f>
        <v>0</v>
      </c>
      <c r="L68" s="49">
        <f>SUMPRODUCT(--('Input|Historical Data'!$Q$9:$Q$2561=$E68),--('Input|Historical Data'!$AA$9:$AA$2561="SCS"),--('Input|Historical Data'!$Z$9:$Z$2561=L$5),'Input|Historical Data'!$U$9:$U$2561)</f>
        <v>0</v>
      </c>
      <c r="M68" s="49">
        <f>SUMPRODUCT(--('Input|Historical Data'!$Q$9:$Q$2561=$E68),--('Input|Historical Data'!$AA$9:$AA$2561="SCS"),--('Input|Historical Data'!$Z$9:$Z$2561=M$5),'Input|Historical Data'!$U$9:$U$2561)</f>
        <v>0</v>
      </c>
      <c r="N68" s="49">
        <f>SUMPRODUCT(--('Input|Historical Data'!$Q$9:$Q$2561=$E68),--('Input|Historical Data'!$AA$9:$AA$2561="SCS"),--('Input|Historical Data'!$Y$9:$Y$2561=N$5),'Input|Historical Data'!$U$9:$U$2561)</f>
        <v>0</v>
      </c>
      <c r="O68" s="50">
        <f t="shared" si="5"/>
        <v>0</v>
      </c>
      <c r="P68" s="50">
        <f t="shared" si="6"/>
        <v>0</v>
      </c>
      <c r="Q68" s="50">
        <f t="shared" si="7"/>
        <v>0</v>
      </c>
      <c r="R68" s="50">
        <f t="shared" si="8"/>
        <v>0</v>
      </c>
      <c r="S68" s="39"/>
      <c r="T68" s="49">
        <f>SUMPRODUCT(--('Input|Historical Data'!$AC$9:$AC$2668=$E68),--('Input|Historical Data'!$AM$9:$AM$2668="SCS"),--('Input|Historical Data'!$AK$9:$AK$2668=T$5),'Input|Historical Data'!$AG$9:$AG$2668)</f>
        <v>0</v>
      </c>
      <c r="U68" s="49">
        <f>SUMPRODUCT(--('Input|Historical Data'!$AC$9:$AC$2668=$E68),--('Input|Historical Data'!$AM$9:$AM$2668="SCS"),--('Input|Historical Data'!$AL$9:$AL$2668=U$5),'Input|Historical Data'!$AG$9:$AG$2668)</f>
        <v>0</v>
      </c>
      <c r="V68" s="49">
        <f>SUMPRODUCT(--('Input|Historical Data'!$AC$9:$AC$2668=$E68),--('Input|Historical Data'!$AM$9:$AM$2668="SCS"),--('Input|Historical Data'!$AL$9:$AL$2668=V$5),'Input|Historical Data'!$AG$9:$AG$2668)</f>
        <v>0</v>
      </c>
      <c r="W68" s="49">
        <f>SUMPRODUCT(--('Input|Historical Data'!$AC$9:$AC$2668=$E68),--('Input|Historical Data'!$AM$9:$AM$2668="SCS"),--('Input|Historical Data'!$AL$9:$AL$2668=W$5),'Input|Historical Data'!$AG$9:$AG$2668)</f>
        <v>0</v>
      </c>
      <c r="X68" s="49">
        <f>SUMPRODUCT(--('Input|Historical Data'!$AC$9:$AC$2668=$E68),--('Input|Historical Data'!$AM$9:$AM$2668="SCS"),--('Input|Historical Data'!$AK$9:$AK$2668=X$5),'Input|Historical Data'!$AG$9:$AG$2668)</f>
        <v>0</v>
      </c>
      <c r="Y68" s="50">
        <f t="shared" si="9"/>
        <v>0</v>
      </c>
      <c r="Z68" s="50">
        <f t="shared" si="10"/>
        <v>0</v>
      </c>
      <c r="AA68" s="50">
        <f t="shared" si="11"/>
        <v>0</v>
      </c>
      <c r="AB68" s="50">
        <f t="shared" si="12"/>
        <v>0</v>
      </c>
      <c r="AC68" s="39"/>
      <c r="AD68" s="49">
        <f>SUMPRODUCT(--('Input|Historical Data'!$AO$9:$AO$2668=$E68),--('Input|Historical Data'!$AY$9:$AY$2668="SCS"),--('Input|Historical Data'!$AW$9:$AW$2668=AD$5),'Input|Historical Data'!$AS$9:$AS$2668)</f>
        <v>0</v>
      </c>
      <c r="AE68" s="49">
        <f>SUMPRODUCT(--('Input|Historical Data'!$AO$9:$AO$2668=$E68),--('Input|Historical Data'!$AY$9:$AY$2668="SCS"),--('Input|Historical Data'!$AX$9:$AX$2668=AE$5),'Input|Historical Data'!$AS$9:$AS$2668)</f>
        <v>0</v>
      </c>
      <c r="AF68" s="49">
        <f>SUMPRODUCT(--('Input|Historical Data'!$AO$9:$AO$2668=$E68),--('Input|Historical Data'!$AY$9:$AY$2668="SCS"),--('Input|Historical Data'!$AX$9:$AX$2668=AF$5),'Input|Historical Data'!$AS$9:$AS$2668)</f>
        <v>0</v>
      </c>
      <c r="AG68" s="49">
        <f>SUMPRODUCT(--('Input|Historical Data'!$AO$9:$AO$2668=$E68),--('Input|Historical Data'!$AY$9:$AY$2668="SCS"),--('Input|Historical Data'!$AX$9:$AX$2668=AG$5),'Input|Historical Data'!$AS$9:$AS$2668)</f>
        <v>0</v>
      </c>
      <c r="AH68" s="49">
        <f>SUMPRODUCT(--('Input|Historical Data'!$AO$9:$AO$2668=$E68),--('Input|Historical Data'!$AY$9:$AY$2668="SCS"),--('Input|Historical Data'!$AW$9:$AW$2668=AH$5),'Input|Historical Data'!$AS$9:$AS$2668)</f>
        <v>0</v>
      </c>
      <c r="AI68" s="50">
        <f t="shared" si="13"/>
        <v>0</v>
      </c>
      <c r="AJ68" s="50">
        <f t="shared" si="2"/>
        <v>0</v>
      </c>
      <c r="AK68" s="50">
        <f t="shared" si="3"/>
        <v>0</v>
      </c>
      <c r="AL68" s="50">
        <f t="shared" si="14"/>
        <v>0</v>
      </c>
      <c r="AM68" s="39"/>
      <c r="AN68" s="50">
        <f t="shared" si="15"/>
        <v>0</v>
      </c>
      <c r="AO68" s="50">
        <f t="shared" si="16"/>
        <v>0</v>
      </c>
      <c r="AP68" s="50">
        <f t="shared" si="17"/>
        <v>0</v>
      </c>
      <c r="AQ68" s="50">
        <f t="shared" si="18"/>
        <v>0</v>
      </c>
      <c r="AR68" s="45"/>
    </row>
    <row r="69" spans="3:44" s="7" customFormat="1" x14ac:dyDescent="0.2">
      <c r="C69" s="39"/>
      <c r="D69" s="39"/>
      <c r="E69" s="39">
        <v>165</v>
      </c>
      <c r="F69" s="39" t="s">
        <v>2273</v>
      </c>
      <c r="G69" s="39" t="str">
        <f>VLOOKUP(E69,Mapping!$E$11:$G$96,3,0)</f>
        <v>Replacement</v>
      </c>
      <c r="H69" s="39" t="str">
        <f>VLOOKUP(E69,Mapping!$E$11:$K$96,7,0)</f>
        <v>SCS</v>
      </c>
      <c r="I69" s="39"/>
      <c r="J69" s="49">
        <f>SUMPRODUCT(--('Input|Historical Data'!$Q$9:$Q$2561=$E69),--('Input|Historical Data'!$AA$9:$AA$2561="SCS"),--('Input|Historical Data'!$Y$9:$Y$2561=J$5),'Input|Historical Data'!$U$9:$U$2561)</f>
        <v>0</v>
      </c>
      <c r="K69" s="49">
        <f>SUMPRODUCT(--('Input|Historical Data'!$Q$9:$Q$2561=$E69),--('Input|Historical Data'!$AA$9:$AA$2561="SCS"),--('Input|Historical Data'!$Z$9:$Z$2561=K$5),'Input|Historical Data'!$U$9:$U$2561)</f>
        <v>0</v>
      </c>
      <c r="L69" s="49">
        <f>SUMPRODUCT(--('Input|Historical Data'!$Q$9:$Q$2561=$E69),--('Input|Historical Data'!$AA$9:$AA$2561="SCS"),--('Input|Historical Data'!$Z$9:$Z$2561=L$5),'Input|Historical Data'!$U$9:$U$2561)</f>
        <v>0</v>
      </c>
      <c r="M69" s="49">
        <f>SUMPRODUCT(--('Input|Historical Data'!$Q$9:$Q$2561=$E69),--('Input|Historical Data'!$AA$9:$AA$2561="SCS"),--('Input|Historical Data'!$Z$9:$Z$2561=M$5),'Input|Historical Data'!$U$9:$U$2561)</f>
        <v>0</v>
      </c>
      <c r="N69" s="49">
        <f>SUMPRODUCT(--('Input|Historical Data'!$Q$9:$Q$2561=$E69),--('Input|Historical Data'!$AA$9:$AA$2561="SCS"),--('Input|Historical Data'!$Y$9:$Y$2561=N$5),'Input|Historical Data'!$U$9:$U$2561)</f>
        <v>0</v>
      </c>
      <c r="O69" s="50">
        <f t="shared" si="5"/>
        <v>0</v>
      </c>
      <c r="P69" s="50">
        <f t="shared" si="6"/>
        <v>0</v>
      </c>
      <c r="Q69" s="50">
        <f t="shared" si="7"/>
        <v>0</v>
      </c>
      <c r="R69" s="50">
        <f t="shared" si="8"/>
        <v>0</v>
      </c>
      <c r="S69" s="39"/>
      <c r="T69" s="49">
        <f>SUMPRODUCT(--('Input|Historical Data'!$AC$9:$AC$2668=$E69),--('Input|Historical Data'!$AM$9:$AM$2668="SCS"),--('Input|Historical Data'!$AK$9:$AK$2668=T$5),'Input|Historical Data'!$AG$9:$AG$2668)</f>
        <v>-10.725010000000003</v>
      </c>
      <c r="U69" s="49">
        <f>SUMPRODUCT(--('Input|Historical Data'!$AC$9:$AC$2668=$E69),--('Input|Historical Data'!$AM$9:$AM$2668="SCS"),--('Input|Historical Data'!$AL$9:$AL$2668=U$5),'Input|Historical Data'!$AG$9:$AG$2668)</f>
        <v>-21.36964</v>
      </c>
      <c r="V69" s="49">
        <f>SUMPRODUCT(--('Input|Historical Data'!$AC$9:$AC$2668=$E69),--('Input|Historical Data'!$AM$9:$AM$2668="SCS"),--('Input|Historical Data'!$AL$9:$AL$2668=V$5),'Input|Historical Data'!$AG$9:$AG$2668)</f>
        <v>3.7719999999999997E-2</v>
      </c>
      <c r="W69" s="49">
        <f>SUMPRODUCT(--('Input|Historical Data'!$AC$9:$AC$2668=$E69),--('Input|Historical Data'!$AM$9:$AM$2668="SCS"),--('Input|Historical Data'!$AL$9:$AL$2668=W$5),'Input|Historical Data'!$AG$9:$AG$2668)</f>
        <v>3.0664100000000003</v>
      </c>
      <c r="X69" s="49">
        <f>SUMPRODUCT(--('Input|Historical Data'!$AC$9:$AC$2668=$E69),--('Input|Historical Data'!$AM$9:$AM$2668="SCS"),--('Input|Historical Data'!$AK$9:$AK$2668=X$5),'Input|Historical Data'!$AG$9:$AG$2668)</f>
        <v>40.083559999999999</v>
      </c>
      <c r="Y69" s="50">
        <f t="shared" si="9"/>
        <v>1.1699448851961978</v>
      </c>
      <c r="Z69" s="50">
        <f t="shared" si="10"/>
        <v>-2.0650942678304631E-3</v>
      </c>
      <c r="AA69" s="50">
        <f t="shared" si="11"/>
        <v>-0.16787979092836722</v>
      </c>
      <c r="AB69" s="50">
        <f t="shared" si="12"/>
        <v>-3.7373913870476567</v>
      </c>
      <c r="AC69" s="39"/>
      <c r="AD69" s="49">
        <f>SUMPRODUCT(--('Input|Historical Data'!$AO$9:$AO$2668=$E69),--('Input|Historical Data'!$AY$9:$AY$2668="SCS"),--('Input|Historical Data'!$AW$9:$AW$2668=AD$5),'Input|Historical Data'!$AS$9:$AS$2668)</f>
        <v>-179.13206</v>
      </c>
      <c r="AE69" s="49">
        <f>SUMPRODUCT(--('Input|Historical Data'!$AO$9:$AO$2668=$E69),--('Input|Historical Data'!$AY$9:$AY$2668="SCS"),--('Input|Historical Data'!$AX$9:$AX$2668=AE$5),'Input|Historical Data'!$AS$9:$AS$2668)</f>
        <v>-170.31236999999999</v>
      </c>
      <c r="AF69" s="49">
        <f>SUMPRODUCT(--('Input|Historical Data'!$AO$9:$AO$2668=$E69),--('Input|Historical Data'!$AY$9:$AY$2668="SCS"),--('Input|Historical Data'!$AX$9:$AX$2668=AF$5),'Input|Historical Data'!$AS$9:$AS$2668)</f>
        <v>-3.7719999999999997E-2</v>
      </c>
      <c r="AG69" s="49">
        <f>SUMPRODUCT(--('Input|Historical Data'!$AO$9:$AO$2668=$E69),--('Input|Historical Data'!$AY$9:$AY$2668="SCS"),--('Input|Historical Data'!$AX$9:$AX$2668=AG$5),'Input|Historical Data'!$AS$9:$AS$2668)</f>
        <v>-3.0641500000000002</v>
      </c>
      <c r="AH69" s="49">
        <f>SUMPRODUCT(--('Input|Historical Data'!$AO$9:$AO$2668=$E69),--('Input|Historical Data'!$AY$9:$AY$2668="SCS"),--('Input|Historical Data'!$AW$9:$AW$2668=AH$5),'Input|Historical Data'!$AS$9:$AS$2668)</f>
        <v>-29.038580000000003</v>
      </c>
      <c r="AI69" s="50">
        <f t="shared" si="13"/>
        <v>0.9821129452806181</v>
      </c>
      <c r="AJ69" s="50">
        <f t="shared" si="2"/>
        <v>2.1751385584021241E-4</v>
      </c>
      <c r="AK69" s="50">
        <f t="shared" si="3"/>
        <v>1.7669540863541541E-2</v>
      </c>
      <c r="AL69" s="50">
        <f t="shared" si="14"/>
        <v>0.16210710690202526</v>
      </c>
      <c r="AM69" s="39"/>
      <c r="AN69" s="50">
        <f t="shared" si="15"/>
        <v>1.000011790499518</v>
      </c>
      <c r="AO69" s="50">
        <f t="shared" si="16"/>
        <v>0</v>
      </c>
      <c r="AP69" s="50">
        <f t="shared" si="17"/>
        <v>-1.1790499518077161E-5</v>
      </c>
      <c r="AQ69" s="50">
        <f t="shared" si="18"/>
        <v>-5.8175236771535535E-2</v>
      </c>
      <c r="AR69" s="45"/>
    </row>
    <row r="70" spans="3:44" s="7" customFormat="1" x14ac:dyDescent="0.2">
      <c r="C70" s="39"/>
      <c r="D70" s="39"/>
      <c r="E70" s="39">
        <v>166</v>
      </c>
      <c r="F70" s="39" t="s">
        <v>2274</v>
      </c>
      <c r="G70" s="39" t="str">
        <f>VLOOKUP(E70,Mapping!$E$11:$G$96,3,0)</f>
        <v>Augmentation</v>
      </c>
      <c r="H70" s="39" t="str">
        <f>VLOOKUP(E70,Mapping!$E$11:$K$96,7,0)</f>
        <v>SCS</v>
      </c>
      <c r="I70" s="39"/>
      <c r="J70" s="49">
        <f>SUMPRODUCT(--('Input|Historical Data'!$Q$9:$Q$2561=$E70),--('Input|Historical Data'!$AA$9:$AA$2561="SCS"),--('Input|Historical Data'!$Y$9:$Y$2561=J$5),'Input|Historical Data'!$U$9:$U$2561)</f>
        <v>1.1499999999999999</v>
      </c>
      <c r="K70" s="49">
        <f>SUMPRODUCT(--('Input|Historical Data'!$Q$9:$Q$2561=$E70),--('Input|Historical Data'!$AA$9:$AA$2561="SCS"),--('Input|Historical Data'!$Z$9:$Z$2561=K$5),'Input|Historical Data'!$U$9:$U$2561)</f>
        <v>1.1499999999999999</v>
      </c>
      <c r="L70" s="49">
        <f>SUMPRODUCT(--('Input|Historical Data'!$Q$9:$Q$2561=$E70),--('Input|Historical Data'!$AA$9:$AA$2561="SCS"),--('Input|Historical Data'!$Z$9:$Z$2561=L$5),'Input|Historical Data'!$U$9:$U$2561)</f>
        <v>0</v>
      </c>
      <c r="M70" s="49">
        <f>SUMPRODUCT(--('Input|Historical Data'!$Q$9:$Q$2561=$E70),--('Input|Historical Data'!$AA$9:$AA$2561="SCS"),--('Input|Historical Data'!$Z$9:$Z$2561=M$5),'Input|Historical Data'!$U$9:$U$2561)</f>
        <v>0</v>
      </c>
      <c r="N70" s="49">
        <f>SUMPRODUCT(--('Input|Historical Data'!$Q$9:$Q$2561=$E70),--('Input|Historical Data'!$AA$9:$AA$2561="SCS"),--('Input|Historical Data'!$Y$9:$Y$2561=N$5),'Input|Historical Data'!$U$9:$U$2561)</f>
        <v>0.16456999999999999</v>
      </c>
      <c r="O70" s="50">
        <f t="shared" si="5"/>
        <v>1</v>
      </c>
      <c r="P70" s="50">
        <f t="shared" si="6"/>
        <v>0</v>
      </c>
      <c r="Q70" s="50">
        <f t="shared" si="7"/>
        <v>0</v>
      </c>
      <c r="R70" s="50">
        <f t="shared" si="8"/>
        <v>0.14310434782608697</v>
      </c>
      <c r="S70" s="39"/>
      <c r="T70" s="49">
        <f>SUMPRODUCT(--('Input|Historical Data'!$AC$9:$AC$2668=$E70),--('Input|Historical Data'!$AM$9:$AM$2668="SCS"),--('Input|Historical Data'!$AK$9:$AK$2668=T$5),'Input|Historical Data'!$AG$9:$AG$2668)</f>
        <v>292.9899999999999</v>
      </c>
      <c r="U70" s="49">
        <f>SUMPRODUCT(--('Input|Historical Data'!$AC$9:$AC$2668=$E70),--('Input|Historical Data'!$AM$9:$AM$2668="SCS"),--('Input|Historical Data'!$AL$9:$AL$2668=U$5),'Input|Historical Data'!$AG$9:$AG$2668)</f>
        <v>188.77728999999994</v>
      </c>
      <c r="V70" s="49">
        <f>SUMPRODUCT(--('Input|Historical Data'!$AC$9:$AC$2668=$E70),--('Input|Historical Data'!$AM$9:$AM$2668="SCS"),--('Input|Historical Data'!$AL$9:$AL$2668=V$5),'Input|Historical Data'!$AG$9:$AG$2668)</f>
        <v>66.886240000000001</v>
      </c>
      <c r="W70" s="49">
        <f>SUMPRODUCT(--('Input|Historical Data'!$AC$9:$AC$2668=$E70),--('Input|Historical Data'!$AM$9:$AM$2668="SCS"),--('Input|Historical Data'!$AL$9:$AL$2668=W$5),'Input|Historical Data'!$AG$9:$AG$2668)</f>
        <v>25.19896</v>
      </c>
      <c r="X70" s="49">
        <f>SUMPRODUCT(--('Input|Historical Data'!$AC$9:$AC$2668=$E70),--('Input|Historical Data'!$AM$9:$AM$2668="SCS"),--('Input|Historical Data'!$AK$9:$AK$2668=X$5),'Input|Historical Data'!$AG$9:$AG$2668)</f>
        <v>51.960329999999999</v>
      </c>
      <c r="Y70" s="50">
        <f t="shared" si="9"/>
        <v>0.67213421770917148</v>
      </c>
      <c r="Z70" s="50">
        <f t="shared" si="10"/>
        <v>0.23814586276722113</v>
      </c>
      <c r="AA70" s="50">
        <f t="shared" si="11"/>
        <v>8.9719919523607472E-2</v>
      </c>
      <c r="AB70" s="50">
        <f t="shared" si="12"/>
        <v>0.17734506297143254</v>
      </c>
      <c r="AC70" s="39"/>
      <c r="AD70" s="49">
        <f>SUMPRODUCT(--('Input|Historical Data'!$AO$9:$AO$2668=$E70),--('Input|Historical Data'!$AY$9:$AY$2668="SCS"),--('Input|Historical Data'!$AW$9:$AW$2668=AD$5),'Input|Historical Data'!$AS$9:$AS$2668)</f>
        <v>236.9162199999999</v>
      </c>
      <c r="AE70" s="49">
        <f>SUMPRODUCT(--('Input|Historical Data'!$AO$9:$AO$2668=$E70),--('Input|Historical Data'!$AY$9:$AY$2668="SCS"),--('Input|Historical Data'!$AX$9:$AX$2668=AE$5),'Input|Historical Data'!$AS$9:$AS$2668)</f>
        <v>154.81383999999997</v>
      </c>
      <c r="AF70" s="49">
        <f>SUMPRODUCT(--('Input|Historical Data'!$AO$9:$AO$2668=$E70),--('Input|Historical Data'!$AY$9:$AY$2668="SCS"),--('Input|Historical Data'!$AX$9:$AX$2668=AF$5),'Input|Historical Data'!$AS$9:$AS$2668)</f>
        <v>40.344709999999999</v>
      </c>
      <c r="AG70" s="49">
        <f>SUMPRODUCT(--('Input|Historical Data'!$AO$9:$AO$2668=$E70),--('Input|Historical Data'!$AY$9:$AY$2668="SCS"),--('Input|Historical Data'!$AX$9:$AX$2668=AG$5),'Input|Historical Data'!$AS$9:$AS$2668)</f>
        <v>31.232790000000001</v>
      </c>
      <c r="AH70" s="49">
        <f>SUMPRODUCT(--('Input|Historical Data'!$AO$9:$AO$2668=$E70),--('Input|Historical Data'!$AY$9:$AY$2668="SCS"),--('Input|Historical Data'!$AW$9:$AW$2668=AH$5),'Input|Historical Data'!$AS$9:$AS$2668)</f>
        <v>33.593350000000001</v>
      </c>
      <c r="AI70" s="50">
        <f t="shared" si="13"/>
        <v>0.68383287099232681</v>
      </c>
      <c r="AJ70" s="50">
        <f t="shared" si="2"/>
        <v>0.17820783250808095</v>
      </c>
      <c r="AK70" s="50">
        <f t="shared" si="3"/>
        <v>0.13795929649959229</v>
      </c>
      <c r="AL70" s="50">
        <f t="shared" si="14"/>
        <v>0.14179421738199274</v>
      </c>
      <c r="AM70" s="39"/>
      <c r="AN70" s="50">
        <f t="shared" si="15"/>
        <v>0.67808523393696685</v>
      </c>
      <c r="AO70" s="50">
        <f t="shared" si="16"/>
        <v>0.21091688077959603</v>
      </c>
      <c r="AP70" s="50">
        <f t="shared" si="17"/>
        <v>0.110997885283437</v>
      </c>
      <c r="AQ70" s="50">
        <f t="shared" si="18"/>
        <v>0.16141087661114306</v>
      </c>
      <c r="AR70" s="45"/>
    </row>
    <row r="71" spans="3:44" s="7" customFormat="1" x14ac:dyDescent="0.2">
      <c r="C71" s="39"/>
      <c r="D71" s="39"/>
      <c r="E71" s="39">
        <v>167</v>
      </c>
      <c r="F71" s="39" t="s">
        <v>39</v>
      </c>
      <c r="G71" s="39" t="str">
        <f>VLOOKUP(E71,Mapping!$E$11:$G$96,3,0)</f>
        <v>VBRC Calc</v>
      </c>
      <c r="H71" s="39" t="str">
        <f>VLOOKUP(E71,Mapping!$E$11:$K$96,7,0)</f>
        <v>VBRC Calc</v>
      </c>
      <c r="I71" s="39"/>
      <c r="J71" s="49">
        <f>SUMPRODUCT(--('Input|Historical Data'!$Q$9:$Q$2561=$E71),--('Input|Historical Data'!$AA$9:$AA$2561="SCS"),--('Input|Historical Data'!$Y$9:$Y$2561=J$5),'Input|Historical Data'!$U$9:$U$2561)</f>
        <v>0</v>
      </c>
      <c r="K71" s="49">
        <f>SUMPRODUCT(--('Input|Historical Data'!$Q$9:$Q$2561=$E71),--('Input|Historical Data'!$AA$9:$AA$2561="SCS"),--('Input|Historical Data'!$Z$9:$Z$2561=K$5),'Input|Historical Data'!$U$9:$U$2561)</f>
        <v>0</v>
      </c>
      <c r="L71" s="49">
        <f>SUMPRODUCT(--('Input|Historical Data'!$Q$9:$Q$2561=$E71),--('Input|Historical Data'!$AA$9:$AA$2561="SCS"),--('Input|Historical Data'!$Z$9:$Z$2561=L$5),'Input|Historical Data'!$U$9:$U$2561)</f>
        <v>0</v>
      </c>
      <c r="M71" s="49">
        <f>SUMPRODUCT(--('Input|Historical Data'!$Q$9:$Q$2561=$E71),--('Input|Historical Data'!$AA$9:$AA$2561="SCS"),--('Input|Historical Data'!$Z$9:$Z$2561=M$5),'Input|Historical Data'!$U$9:$U$2561)</f>
        <v>0</v>
      </c>
      <c r="N71" s="49">
        <f>SUMPRODUCT(--('Input|Historical Data'!$Q$9:$Q$2561=$E71),--('Input|Historical Data'!$AA$9:$AA$2561="SCS"),--('Input|Historical Data'!$Y$9:$Y$2561=N$5),'Input|Historical Data'!$U$9:$U$2561)</f>
        <v>0</v>
      </c>
      <c r="O71" s="50">
        <f t="shared" si="5"/>
        <v>0</v>
      </c>
      <c r="P71" s="50">
        <f t="shared" si="6"/>
        <v>0</v>
      </c>
      <c r="Q71" s="50">
        <f t="shared" si="7"/>
        <v>0</v>
      </c>
      <c r="R71" s="50">
        <f t="shared" si="8"/>
        <v>0</v>
      </c>
      <c r="S71" s="39"/>
      <c r="T71" s="49">
        <f>SUMPRODUCT(--('Input|Historical Data'!$AC$9:$AC$2668=$E71),--('Input|Historical Data'!$AM$9:$AM$2668="SCS"),--('Input|Historical Data'!$AK$9:$AK$2668=T$5),'Input|Historical Data'!$AG$9:$AG$2668)</f>
        <v>0</v>
      </c>
      <c r="U71" s="49">
        <f>SUMPRODUCT(--('Input|Historical Data'!$AC$9:$AC$2668=$E71),--('Input|Historical Data'!$AM$9:$AM$2668="SCS"),--('Input|Historical Data'!$AL$9:$AL$2668=U$5),'Input|Historical Data'!$AG$9:$AG$2668)</f>
        <v>0</v>
      </c>
      <c r="V71" s="49">
        <f>SUMPRODUCT(--('Input|Historical Data'!$AC$9:$AC$2668=$E71),--('Input|Historical Data'!$AM$9:$AM$2668="SCS"),--('Input|Historical Data'!$AL$9:$AL$2668=V$5),'Input|Historical Data'!$AG$9:$AG$2668)</f>
        <v>0</v>
      </c>
      <c r="W71" s="49">
        <f>SUMPRODUCT(--('Input|Historical Data'!$AC$9:$AC$2668=$E71),--('Input|Historical Data'!$AM$9:$AM$2668="SCS"),--('Input|Historical Data'!$AL$9:$AL$2668=W$5),'Input|Historical Data'!$AG$9:$AG$2668)</f>
        <v>0</v>
      </c>
      <c r="X71" s="49">
        <f>SUMPRODUCT(--('Input|Historical Data'!$AC$9:$AC$2668=$E71),--('Input|Historical Data'!$AM$9:$AM$2668="SCS"),--('Input|Historical Data'!$AK$9:$AK$2668=X$5),'Input|Historical Data'!$AG$9:$AG$2668)</f>
        <v>0</v>
      </c>
      <c r="Y71" s="50">
        <f t="shared" si="9"/>
        <v>0</v>
      </c>
      <c r="Z71" s="50">
        <f t="shared" si="10"/>
        <v>0</v>
      </c>
      <c r="AA71" s="50">
        <f t="shared" si="11"/>
        <v>0</v>
      </c>
      <c r="AB71" s="50">
        <f t="shared" si="12"/>
        <v>0</v>
      </c>
      <c r="AC71" s="39"/>
      <c r="AD71" s="49">
        <f>SUMPRODUCT(--('Input|Historical Data'!$AO$9:$AO$2668=$E71),--('Input|Historical Data'!$AY$9:$AY$2668="SCS"),--('Input|Historical Data'!$AW$9:$AW$2668=AD$5),'Input|Historical Data'!$AS$9:$AS$2668)</f>
        <v>33.343380000000003</v>
      </c>
      <c r="AE71" s="49">
        <f>SUMPRODUCT(--('Input|Historical Data'!$AO$9:$AO$2668=$E71),--('Input|Historical Data'!$AY$9:$AY$2668="SCS"),--('Input|Historical Data'!$AX$9:$AX$2668=AE$5),'Input|Historical Data'!$AS$9:$AS$2668)</f>
        <v>23.326550000000001</v>
      </c>
      <c r="AF71" s="49">
        <f>SUMPRODUCT(--('Input|Historical Data'!$AO$9:$AO$2668=$E71),--('Input|Historical Data'!$AY$9:$AY$2668="SCS"),--('Input|Historical Data'!$AX$9:$AX$2668=AF$5),'Input|Historical Data'!$AS$9:$AS$2668)</f>
        <v>1.34511</v>
      </c>
      <c r="AG71" s="49">
        <f>SUMPRODUCT(--('Input|Historical Data'!$AO$9:$AO$2668=$E71),--('Input|Historical Data'!$AY$9:$AY$2668="SCS"),--('Input|Historical Data'!$AX$9:$AX$2668=AG$5),'Input|Historical Data'!$AS$9:$AS$2668)</f>
        <v>6.8760899999999996</v>
      </c>
      <c r="AH71" s="49">
        <f>SUMPRODUCT(--('Input|Historical Data'!$AO$9:$AO$2668=$E71),--('Input|Historical Data'!$AY$9:$AY$2668="SCS"),--('Input|Historical Data'!$AW$9:$AW$2668=AH$5),'Input|Historical Data'!$AS$9:$AS$2668)</f>
        <v>5.3273299999999999</v>
      </c>
      <c r="AI71" s="50">
        <f t="shared" si="13"/>
        <v>0.73940455341506128</v>
      </c>
      <c r="AJ71" s="50">
        <f t="shared" si="2"/>
        <v>4.2637272071700837E-2</v>
      </c>
      <c r="AK71" s="50">
        <f t="shared" si="3"/>
        <v>0.21795817451323785</v>
      </c>
      <c r="AL71" s="50">
        <f t="shared" si="14"/>
        <v>0.15977174479611844</v>
      </c>
      <c r="AM71" s="39"/>
      <c r="AN71" s="50">
        <f t="shared" si="15"/>
        <v>0.73940455341506128</v>
      </c>
      <c r="AO71" s="50">
        <f t="shared" si="16"/>
        <v>4.2637272071700837E-2</v>
      </c>
      <c r="AP71" s="50">
        <f t="shared" si="17"/>
        <v>0.21795817451323785</v>
      </c>
      <c r="AQ71" s="141">
        <f t="shared" si="18"/>
        <v>0.15977174479611844</v>
      </c>
      <c r="AR71" s="45"/>
    </row>
    <row r="72" spans="3:44" s="7" customFormat="1" x14ac:dyDescent="0.2">
      <c r="C72" s="39"/>
      <c r="D72" s="39"/>
      <c r="E72" s="39">
        <v>168</v>
      </c>
      <c r="F72" s="39" t="s">
        <v>2275</v>
      </c>
      <c r="G72" s="39" t="str">
        <f>VLOOKUP(E72,Mapping!$E$11:$G$96,3,0)</f>
        <v>Augmentation</v>
      </c>
      <c r="H72" s="39" t="str">
        <f>VLOOKUP(E72,Mapping!$E$11:$K$96,7,0)</f>
        <v>SCADA/Network control</v>
      </c>
      <c r="I72" s="39"/>
      <c r="J72" s="49">
        <f>SUMPRODUCT(--('Input|Historical Data'!$Q$9:$Q$2561=$E72),--('Input|Historical Data'!$AA$9:$AA$2561="SCS"),--('Input|Historical Data'!$Y$9:$Y$2561=J$5),'Input|Historical Data'!$U$9:$U$2561)</f>
        <v>2074.5871100000008</v>
      </c>
      <c r="K72" s="49">
        <f>SUMPRODUCT(--('Input|Historical Data'!$Q$9:$Q$2561=$E72),--('Input|Historical Data'!$AA$9:$AA$2561="SCS"),--('Input|Historical Data'!$Z$9:$Z$2561=K$5),'Input|Historical Data'!$U$9:$U$2561)</f>
        <v>1633.0213800000004</v>
      </c>
      <c r="L72" s="49">
        <f>SUMPRODUCT(--('Input|Historical Data'!$Q$9:$Q$2561=$E72),--('Input|Historical Data'!$AA$9:$AA$2561="SCS"),--('Input|Historical Data'!$Z$9:$Z$2561=L$5),'Input|Historical Data'!$U$9:$U$2561)</f>
        <v>288.58073000000002</v>
      </c>
      <c r="M72" s="49">
        <f>SUMPRODUCT(--('Input|Historical Data'!$Q$9:$Q$2561=$E72),--('Input|Historical Data'!$AA$9:$AA$2561="SCS"),--('Input|Historical Data'!$Z$9:$Z$2561=M$5),'Input|Historical Data'!$U$9:$U$2561)</f>
        <v>68.914270000000002</v>
      </c>
      <c r="N72" s="49">
        <f>SUMPRODUCT(--('Input|Historical Data'!$Q$9:$Q$2561=$E72),--('Input|Historical Data'!$AA$9:$AA$2561="SCS"),--('Input|Historical Data'!$Y$9:$Y$2561=N$5),'Input|Historical Data'!$U$9:$U$2561)</f>
        <v>337.47169000000002</v>
      </c>
      <c r="O72" s="50">
        <f t="shared" si="5"/>
        <v>0.82040087507343207</v>
      </c>
      <c r="P72" s="50">
        <f t="shared" si="6"/>
        <v>0.14497782228750108</v>
      </c>
      <c r="Q72" s="50">
        <f t="shared" si="7"/>
        <v>3.4621302639066952E-2</v>
      </c>
      <c r="R72" s="50">
        <f t="shared" si="8"/>
        <v>0.16266932748849475</v>
      </c>
      <c r="S72" s="39"/>
      <c r="T72" s="49">
        <f>SUMPRODUCT(--('Input|Historical Data'!$AC$9:$AC$2668=$E72),--('Input|Historical Data'!$AM$9:$AM$2668="SCS"),--('Input|Historical Data'!$AK$9:$AK$2668=T$5),'Input|Historical Data'!$AG$9:$AG$2668)</f>
        <v>1478.95381</v>
      </c>
      <c r="U72" s="49">
        <f>SUMPRODUCT(--('Input|Historical Data'!$AC$9:$AC$2668=$E72),--('Input|Historical Data'!$AM$9:$AM$2668="SCS"),--('Input|Historical Data'!$AL$9:$AL$2668=U$5),'Input|Historical Data'!$AG$9:$AG$2668)</f>
        <v>1121.11698</v>
      </c>
      <c r="V72" s="49">
        <f>SUMPRODUCT(--('Input|Historical Data'!$AC$9:$AC$2668=$E72),--('Input|Historical Data'!$AM$9:$AM$2668="SCS"),--('Input|Historical Data'!$AL$9:$AL$2668=V$5),'Input|Historical Data'!$AG$9:$AG$2668)</f>
        <v>75.279329999999987</v>
      </c>
      <c r="W72" s="49">
        <f>SUMPRODUCT(--('Input|Historical Data'!$AC$9:$AC$2668=$E72),--('Input|Historical Data'!$AM$9:$AM$2668="SCS"),--('Input|Historical Data'!$AL$9:$AL$2668=W$5),'Input|Historical Data'!$AG$9:$AG$2668)</f>
        <v>217.47728999999998</v>
      </c>
      <c r="X72" s="49">
        <f>SUMPRODUCT(--('Input|Historical Data'!$AC$9:$AC$2668=$E72),--('Input|Historical Data'!$AM$9:$AM$2668="SCS"),--('Input|Historical Data'!$AK$9:$AK$2668=X$5),'Input|Historical Data'!$AG$9:$AG$2668)</f>
        <v>244.78582999999998</v>
      </c>
      <c r="Y72" s="50">
        <f t="shared" si="9"/>
        <v>0.79294003367769217</v>
      </c>
      <c r="Z72" s="50">
        <f t="shared" si="10"/>
        <v>5.3243323872798801E-2</v>
      </c>
      <c r="AA72" s="50">
        <f t="shared" si="11"/>
        <v>0.15381664244950891</v>
      </c>
      <c r="AB72" s="50">
        <f t="shared" si="12"/>
        <v>0.16551282964002775</v>
      </c>
      <c r="AC72" s="39"/>
      <c r="AD72" s="49">
        <f>SUMPRODUCT(--('Input|Historical Data'!$AO$9:$AO$2668=$E72),--('Input|Historical Data'!$AY$9:$AY$2668="SCS"),--('Input|Historical Data'!$AW$9:$AW$2668=AD$5),'Input|Historical Data'!$AS$9:$AS$2668)</f>
        <v>1288.6180099999999</v>
      </c>
      <c r="AE72" s="49">
        <f>SUMPRODUCT(--('Input|Historical Data'!$AO$9:$AO$2668=$E72),--('Input|Historical Data'!$AY$9:$AY$2668="SCS"),--('Input|Historical Data'!$AX$9:$AX$2668=AE$5),'Input|Historical Data'!$AS$9:$AS$2668)</f>
        <v>633.41768000000002</v>
      </c>
      <c r="AF72" s="49">
        <f>SUMPRODUCT(--('Input|Historical Data'!$AO$9:$AO$2668=$E72),--('Input|Historical Data'!$AY$9:$AY$2668="SCS"),--('Input|Historical Data'!$AX$9:$AX$2668=AF$5),'Input|Historical Data'!$AS$9:$AS$2668)</f>
        <v>51.189610000000002</v>
      </c>
      <c r="AG72" s="49">
        <f>SUMPRODUCT(--('Input|Historical Data'!$AO$9:$AO$2668=$E72),--('Input|Historical Data'!$AY$9:$AY$2668="SCS"),--('Input|Historical Data'!$AX$9:$AX$2668=AG$5),'Input|Historical Data'!$AS$9:$AS$2668)</f>
        <v>564.26109999999994</v>
      </c>
      <c r="AH72" s="49">
        <f>SUMPRODUCT(--('Input|Historical Data'!$AO$9:$AO$2668=$E72),--('Input|Historical Data'!$AY$9:$AY$2668="SCS"),--('Input|Historical Data'!$AW$9:$AW$2668=AH$5),'Input|Historical Data'!$AS$9:$AS$2668)</f>
        <v>159.28083000000001</v>
      </c>
      <c r="AI72" s="50">
        <f t="shared" si="13"/>
        <v>0.50719330000817775</v>
      </c>
      <c r="AJ72" s="50">
        <f t="shared" si="2"/>
        <v>4.0988794663943728E-2</v>
      </c>
      <c r="AK72" s="50">
        <f t="shared" si="3"/>
        <v>0.45181790532787841</v>
      </c>
      <c r="AL72" s="50">
        <f t="shared" si="14"/>
        <v>0.12360593190840163</v>
      </c>
      <c r="AM72" s="39"/>
      <c r="AN72" s="50">
        <f t="shared" si="15"/>
        <v>0.72799655008195918</v>
      </c>
      <c r="AO72" s="50">
        <f t="shared" si="16"/>
        <v>8.9195492061189804E-2</v>
      </c>
      <c r="AP72" s="50">
        <f t="shared" si="17"/>
        <v>0.18280795785685119</v>
      </c>
      <c r="AQ72" s="50">
        <f t="shared" si="18"/>
        <v>0.15314209234350759</v>
      </c>
      <c r="AR72" s="45"/>
    </row>
    <row r="73" spans="3:44" s="7" customFormat="1" x14ac:dyDescent="0.2">
      <c r="C73" s="39"/>
      <c r="D73" s="39"/>
      <c r="E73" s="39">
        <v>169</v>
      </c>
      <c r="F73" s="39" t="s">
        <v>2276</v>
      </c>
      <c r="G73" s="39" t="str">
        <f>VLOOKUP(E73,Mapping!$E$11:$G$96,3,0)</f>
        <v>Augmentation</v>
      </c>
      <c r="H73" s="39" t="str">
        <f>VLOOKUP(E73,Mapping!$E$11:$K$96,7,0)</f>
        <v>SCS</v>
      </c>
      <c r="I73" s="39"/>
      <c r="J73" s="49">
        <f>SUMPRODUCT(--('Input|Historical Data'!$Q$9:$Q$2561=$E73),--('Input|Historical Data'!$AA$9:$AA$2561="SCS"),--('Input|Historical Data'!$Y$9:$Y$2561=J$5),'Input|Historical Data'!$U$9:$U$2561)</f>
        <v>0</v>
      </c>
      <c r="K73" s="49">
        <f>SUMPRODUCT(--('Input|Historical Data'!$Q$9:$Q$2561=$E73),--('Input|Historical Data'!$AA$9:$AA$2561="SCS"),--('Input|Historical Data'!$Z$9:$Z$2561=K$5),'Input|Historical Data'!$U$9:$U$2561)</f>
        <v>0</v>
      </c>
      <c r="L73" s="49">
        <f>SUMPRODUCT(--('Input|Historical Data'!$Q$9:$Q$2561=$E73),--('Input|Historical Data'!$AA$9:$AA$2561="SCS"),--('Input|Historical Data'!$Z$9:$Z$2561=L$5),'Input|Historical Data'!$U$9:$U$2561)</f>
        <v>0</v>
      </c>
      <c r="M73" s="49">
        <f>SUMPRODUCT(--('Input|Historical Data'!$Q$9:$Q$2561=$E73),--('Input|Historical Data'!$AA$9:$AA$2561="SCS"),--('Input|Historical Data'!$Z$9:$Z$2561=M$5),'Input|Historical Data'!$U$9:$U$2561)</f>
        <v>0</v>
      </c>
      <c r="N73" s="49">
        <f>SUMPRODUCT(--('Input|Historical Data'!$Q$9:$Q$2561=$E73),--('Input|Historical Data'!$AA$9:$AA$2561="SCS"),--('Input|Historical Data'!$Y$9:$Y$2561=N$5),'Input|Historical Data'!$U$9:$U$2561)</f>
        <v>0</v>
      </c>
      <c r="O73" s="50">
        <f t="shared" si="5"/>
        <v>0</v>
      </c>
      <c r="P73" s="50">
        <f t="shared" si="6"/>
        <v>0</v>
      </c>
      <c r="Q73" s="50">
        <f t="shared" si="7"/>
        <v>0</v>
      </c>
      <c r="R73" s="50">
        <f t="shared" si="8"/>
        <v>0</v>
      </c>
      <c r="S73" s="39"/>
      <c r="T73" s="49">
        <f>SUMPRODUCT(--('Input|Historical Data'!$AC$9:$AC$2668=$E73),--('Input|Historical Data'!$AM$9:$AM$2668="SCS"),--('Input|Historical Data'!$AK$9:$AK$2668=T$5),'Input|Historical Data'!$AG$9:$AG$2668)</f>
        <v>0</v>
      </c>
      <c r="U73" s="49">
        <f>SUMPRODUCT(--('Input|Historical Data'!$AC$9:$AC$2668=$E73),--('Input|Historical Data'!$AM$9:$AM$2668="SCS"),--('Input|Historical Data'!$AL$9:$AL$2668=U$5),'Input|Historical Data'!$AG$9:$AG$2668)</f>
        <v>0</v>
      </c>
      <c r="V73" s="49">
        <f>SUMPRODUCT(--('Input|Historical Data'!$AC$9:$AC$2668=$E73),--('Input|Historical Data'!$AM$9:$AM$2668="SCS"),--('Input|Historical Data'!$AL$9:$AL$2668=V$5),'Input|Historical Data'!$AG$9:$AG$2668)</f>
        <v>0</v>
      </c>
      <c r="W73" s="49">
        <f>SUMPRODUCT(--('Input|Historical Data'!$AC$9:$AC$2668=$E73),--('Input|Historical Data'!$AM$9:$AM$2668="SCS"),--('Input|Historical Data'!$AL$9:$AL$2668=W$5),'Input|Historical Data'!$AG$9:$AG$2668)</f>
        <v>0</v>
      </c>
      <c r="X73" s="49">
        <f>SUMPRODUCT(--('Input|Historical Data'!$AC$9:$AC$2668=$E73),--('Input|Historical Data'!$AM$9:$AM$2668="SCS"),--('Input|Historical Data'!$AK$9:$AK$2668=X$5),'Input|Historical Data'!$AG$9:$AG$2668)</f>
        <v>0</v>
      </c>
      <c r="Y73" s="50">
        <f t="shared" si="9"/>
        <v>0</v>
      </c>
      <c r="Z73" s="50">
        <f t="shared" si="10"/>
        <v>0</v>
      </c>
      <c r="AA73" s="50">
        <f t="shared" si="11"/>
        <v>0</v>
      </c>
      <c r="AB73" s="50">
        <f t="shared" si="12"/>
        <v>0</v>
      </c>
      <c r="AC73" s="39"/>
      <c r="AD73" s="49">
        <f>SUMPRODUCT(--('Input|Historical Data'!$AO$9:$AO$2668=$E73),--('Input|Historical Data'!$AY$9:$AY$2668="SCS"),--('Input|Historical Data'!$AW$9:$AW$2668=AD$5),'Input|Historical Data'!$AS$9:$AS$2668)</f>
        <v>0</v>
      </c>
      <c r="AE73" s="49">
        <f>SUMPRODUCT(--('Input|Historical Data'!$AO$9:$AO$2668=$E73),--('Input|Historical Data'!$AY$9:$AY$2668="SCS"),--('Input|Historical Data'!$AX$9:$AX$2668=AE$5),'Input|Historical Data'!$AS$9:$AS$2668)</f>
        <v>0</v>
      </c>
      <c r="AF73" s="49">
        <f>SUMPRODUCT(--('Input|Historical Data'!$AO$9:$AO$2668=$E73),--('Input|Historical Data'!$AY$9:$AY$2668="SCS"),--('Input|Historical Data'!$AX$9:$AX$2668=AF$5),'Input|Historical Data'!$AS$9:$AS$2668)</f>
        <v>0</v>
      </c>
      <c r="AG73" s="49">
        <f>SUMPRODUCT(--('Input|Historical Data'!$AO$9:$AO$2668=$E73),--('Input|Historical Data'!$AY$9:$AY$2668="SCS"),--('Input|Historical Data'!$AX$9:$AX$2668=AG$5),'Input|Historical Data'!$AS$9:$AS$2668)</f>
        <v>0</v>
      </c>
      <c r="AH73" s="49">
        <f>SUMPRODUCT(--('Input|Historical Data'!$AO$9:$AO$2668=$E73),--('Input|Historical Data'!$AY$9:$AY$2668="SCS"),--('Input|Historical Data'!$AW$9:$AW$2668=AH$5),'Input|Historical Data'!$AS$9:$AS$2668)</f>
        <v>0</v>
      </c>
      <c r="AI73" s="50">
        <f t="shared" si="13"/>
        <v>0</v>
      </c>
      <c r="AJ73" s="50">
        <f t="shared" ref="AJ73:AJ94" si="27">IFERROR(AF73/SUM($AE73:$AG73),0)</f>
        <v>0</v>
      </c>
      <c r="AK73" s="50">
        <f t="shared" ref="AK73:AK94" si="28">IFERROR(AG73/SUM($AE73:$AG73),0)</f>
        <v>0</v>
      </c>
      <c r="AL73" s="50">
        <f t="shared" si="14"/>
        <v>0</v>
      </c>
      <c r="AM73" s="39"/>
      <c r="AN73" s="50">
        <f t="shared" si="15"/>
        <v>0</v>
      </c>
      <c r="AO73" s="50">
        <f t="shared" si="16"/>
        <v>0</v>
      </c>
      <c r="AP73" s="50">
        <f t="shared" si="17"/>
        <v>0</v>
      </c>
      <c r="AQ73" s="50">
        <f t="shared" si="18"/>
        <v>0</v>
      </c>
      <c r="AR73" s="45"/>
    </row>
    <row r="74" spans="3:44" s="7" customFormat="1" x14ac:dyDescent="0.2">
      <c r="C74" s="39"/>
      <c r="D74" s="39"/>
      <c r="E74" s="39">
        <v>170</v>
      </c>
      <c r="F74" s="39" t="s">
        <v>2250</v>
      </c>
      <c r="G74" s="39" t="str">
        <f>VLOOKUP(E74,Mapping!$E$11:$G$96,3,0)</f>
        <v>Replacement</v>
      </c>
      <c r="H74" s="39" t="str">
        <f>VLOOKUP(E74,Mapping!$E$11:$K$96,7,0)</f>
        <v>SCS</v>
      </c>
      <c r="I74" s="39"/>
      <c r="J74" s="49">
        <f>SUMPRODUCT(--('Input|Historical Data'!$Q$9:$Q$2561=$E74),--('Input|Historical Data'!$AA$9:$AA$2561="SCS"),--('Input|Historical Data'!$Y$9:$Y$2561=J$5),'Input|Historical Data'!$U$9:$U$2561)</f>
        <v>0</v>
      </c>
      <c r="K74" s="49">
        <f>SUMPRODUCT(--('Input|Historical Data'!$Q$9:$Q$2561=$E74),--('Input|Historical Data'!$AA$9:$AA$2561="SCS"),--('Input|Historical Data'!$Z$9:$Z$2561=K$5),'Input|Historical Data'!$U$9:$U$2561)</f>
        <v>0</v>
      </c>
      <c r="L74" s="49">
        <f>SUMPRODUCT(--('Input|Historical Data'!$Q$9:$Q$2561=$E74),--('Input|Historical Data'!$AA$9:$AA$2561="SCS"),--('Input|Historical Data'!$Z$9:$Z$2561=L$5),'Input|Historical Data'!$U$9:$U$2561)</f>
        <v>0</v>
      </c>
      <c r="M74" s="49">
        <f>SUMPRODUCT(--('Input|Historical Data'!$Q$9:$Q$2561=$E74),--('Input|Historical Data'!$AA$9:$AA$2561="SCS"),--('Input|Historical Data'!$Z$9:$Z$2561=M$5),'Input|Historical Data'!$U$9:$U$2561)</f>
        <v>0</v>
      </c>
      <c r="N74" s="49">
        <f>SUMPRODUCT(--('Input|Historical Data'!$Q$9:$Q$2561=$E74),--('Input|Historical Data'!$AA$9:$AA$2561="SCS"),--('Input|Historical Data'!$Y$9:$Y$2561=N$5),'Input|Historical Data'!$U$9:$U$2561)</f>
        <v>0</v>
      </c>
      <c r="O74" s="50">
        <f t="shared" si="5"/>
        <v>0</v>
      </c>
      <c r="P74" s="50">
        <f t="shared" si="6"/>
        <v>0</v>
      </c>
      <c r="Q74" s="50">
        <f t="shared" si="7"/>
        <v>0</v>
      </c>
      <c r="R74" s="50">
        <f t="shared" si="8"/>
        <v>0</v>
      </c>
      <c r="S74" s="39"/>
      <c r="T74" s="49">
        <f>SUMPRODUCT(--('Input|Historical Data'!$AC$9:$AC$2668=$E74),--('Input|Historical Data'!$AM$9:$AM$2668="SCS"),--('Input|Historical Data'!$AK$9:$AK$2668=T$5),'Input|Historical Data'!$AG$9:$AG$2668)</f>
        <v>0</v>
      </c>
      <c r="U74" s="49">
        <f>SUMPRODUCT(--('Input|Historical Data'!$AC$9:$AC$2668=$E74),--('Input|Historical Data'!$AM$9:$AM$2668="SCS"),--('Input|Historical Data'!$AL$9:$AL$2668=U$5),'Input|Historical Data'!$AG$9:$AG$2668)</f>
        <v>0</v>
      </c>
      <c r="V74" s="49">
        <f>SUMPRODUCT(--('Input|Historical Data'!$AC$9:$AC$2668=$E74),--('Input|Historical Data'!$AM$9:$AM$2668="SCS"),--('Input|Historical Data'!$AL$9:$AL$2668=V$5),'Input|Historical Data'!$AG$9:$AG$2668)</f>
        <v>0</v>
      </c>
      <c r="W74" s="49">
        <f>SUMPRODUCT(--('Input|Historical Data'!$AC$9:$AC$2668=$E74),--('Input|Historical Data'!$AM$9:$AM$2668="SCS"),--('Input|Historical Data'!$AL$9:$AL$2668=W$5),'Input|Historical Data'!$AG$9:$AG$2668)</f>
        <v>0</v>
      </c>
      <c r="X74" s="49">
        <f>SUMPRODUCT(--('Input|Historical Data'!$AC$9:$AC$2668=$E74),--('Input|Historical Data'!$AM$9:$AM$2668="SCS"),--('Input|Historical Data'!$AK$9:$AK$2668=X$5),'Input|Historical Data'!$AG$9:$AG$2668)</f>
        <v>0</v>
      </c>
      <c r="Y74" s="50">
        <f t="shared" si="9"/>
        <v>0</v>
      </c>
      <c r="Z74" s="50">
        <f t="shared" si="10"/>
        <v>0</v>
      </c>
      <c r="AA74" s="50">
        <f t="shared" si="11"/>
        <v>0</v>
      </c>
      <c r="AB74" s="50">
        <f t="shared" si="12"/>
        <v>0</v>
      </c>
      <c r="AC74" s="39"/>
      <c r="AD74" s="49">
        <f>SUMPRODUCT(--('Input|Historical Data'!$AO$9:$AO$2668=$E74),--('Input|Historical Data'!$AY$9:$AY$2668="SCS"),--('Input|Historical Data'!$AW$9:$AW$2668=AD$5),'Input|Historical Data'!$AS$9:$AS$2668)</f>
        <v>0</v>
      </c>
      <c r="AE74" s="49">
        <f>SUMPRODUCT(--('Input|Historical Data'!$AO$9:$AO$2668=$E74),--('Input|Historical Data'!$AY$9:$AY$2668="SCS"),--('Input|Historical Data'!$AX$9:$AX$2668=AE$5),'Input|Historical Data'!$AS$9:$AS$2668)</f>
        <v>0</v>
      </c>
      <c r="AF74" s="49">
        <f>SUMPRODUCT(--('Input|Historical Data'!$AO$9:$AO$2668=$E74),--('Input|Historical Data'!$AY$9:$AY$2668="SCS"),--('Input|Historical Data'!$AX$9:$AX$2668=AF$5),'Input|Historical Data'!$AS$9:$AS$2668)</f>
        <v>0</v>
      </c>
      <c r="AG74" s="49">
        <f>SUMPRODUCT(--('Input|Historical Data'!$AO$9:$AO$2668=$E74),--('Input|Historical Data'!$AY$9:$AY$2668="SCS"),--('Input|Historical Data'!$AX$9:$AX$2668=AG$5),'Input|Historical Data'!$AS$9:$AS$2668)</f>
        <v>0</v>
      </c>
      <c r="AH74" s="49">
        <f>SUMPRODUCT(--('Input|Historical Data'!$AO$9:$AO$2668=$E74),--('Input|Historical Data'!$AY$9:$AY$2668="SCS"),--('Input|Historical Data'!$AW$9:$AW$2668=AH$5),'Input|Historical Data'!$AS$9:$AS$2668)</f>
        <v>0</v>
      </c>
      <c r="AI74" s="50">
        <f t="shared" ref="AI74:AI94" si="29">IFERROR(AE74/SUM($AE74:$AG74),0)</f>
        <v>0</v>
      </c>
      <c r="AJ74" s="50">
        <f t="shared" si="27"/>
        <v>0</v>
      </c>
      <c r="AK74" s="50">
        <f t="shared" si="28"/>
        <v>0</v>
      </c>
      <c r="AL74" s="50">
        <f t="shared" si="14"/>
        <v>0</v>
      </c>
      <c r="AM74" s="39"/>
      <c r="AN74" s="50">
        <f t="shared" ref="AN74:AN80" si="30">IFERROR(SUM(K74,U74,AE74)/SUM($K74:$M74,$U74:$W74,$AE74:$AG74),0)</f>
        <v>0</v>
      </c>
      <c r="AO74" s="50">
        <f t="shared" ref="AO74:AO80" si="31">IFERROR(SUM(L74,V74,AF74)/SUM($K74:$M74,$U74:$W74,$AE74:$AG74),0)</f>
        <v>0</v>
      </c>
      <c r="AP74" s="50">
        <f t="shared" ref="AP74:AP80" si="32">IFERROR(SUM(M74,W74,AG74)/SUM($K74:$M74,$U74:$W74,$AE74:$AG74),0)</f>
        <v>0</v>
      </c>
      <c r="AQ74" s="50">
        <f t="shared" ref="AQ74:AQ93" si="33">IFERROR(SUM(N74,X74,AH74)/SUM(J74,T74,AD74),0)</f>
        <v>0</v>
      </c>
      <c r="AR74" s="45"/>
    </row>
    <row r="75" spans="3:44" s="7" customFormat="1" x14ac:dyDescent="0.2">
      <c r="C75" s="39"/>
      <c r="D75" s="39"/>
      <c r="E75" s="39">
        <v>171</v>
      </c>
      <c r="F75" s="39" t="s">
        <v>2277</v>
      </c>
      <c r="G75" s="39" t="str">
        <f>VLOOKUP(E75,Mapping!$E$11:$G$96,3,0)</f>
        <v>Connections</v>
      </c>
      <c r="H75" s="39" t="str">
        <f>VLOOKUP(E75,Mapping!$E$11:$K$96,7,0)</f>
        <v>SCS</v>
      </c>
      <c r="I75" s="39"/>
      <c r="J75" s="49">
        <f>SUMPRODUCT(--('Input|Historical Data'!$Q$9:$Q$2561=$E75),--('Input|Historical Data'!$AA$9:$AA$2561="SCS"),--('Input|Historical Data'!$Y$9:$Y$2561=J$5),'Input|Historical Data'!$U$9:$U$2561)</f>
        <v>0</v>
      </c>
      <c r="K75" s="49">
        <f>SUMPRODUCT(--('Input|Historical Data'!$Q$9:$Q$2561=$E75),--('Input|Historical Data'!$AA$9:$AA$2561="SCS"),--('Input|Historical Data'!$Z$9:$Z$2561=K$5),'Input|Historical Data'!$U$9:$U$2561)</f>
        <v>0</v>
      </c>
      <c r="L75" s="49">
        <f>SUMPRODUCT(--('Input|Historical Data'!$Q$9:$Q$2561=$E75),--('Input|Historical Data'!$AA$9:$AA$2561="SCS"),--('Input|Historical Data'!$Z$9:$Z$2561=L$5),'Input|Historical Data'!$U$9:$U$2561)</f>
        <v>0</v>
      </c>
      <c r="M75" s="49">
        <f>SUMPRODUCT(--('Input|Historical Data'!$Q$9:$Q$2561=$E75),--('Input|Historical Data'!$AA$9:$AA$2561="SCS"),--('Input|Historical Data'!$Z$9:$Z$2561=M$5),'Input|Historical Data'!$U$9:$U$2561)</f>
        <v>0</v>
      </c>
      <c r="N75" s="49">
        <f>SUMPRODUCT(--('Input|Historical Data'!$Q$9:$Q$2561=$E75),--('Input|Historical Data'!$AA$9:$AA$2561="SCS"),--('Input|Historical Data'!$Y$9:$Y$2561=N$5),'Input|Historical Data'!$U$9:$U$2561)</f>
        <v>0</v>
      </c>
      <c r="O75" s="50">
        <f t="shared" ref="O75:O93" si="34">IFERROR(K75/SUM($K75:$M75),0)</f>
        <v>0</v>
      </c>
      <c r="P75" s="50">
        <f t="shared" ref="P75:P93" si="35">IFERROR(L75/SUM($K75:$M75),0)</f>
        <v>0</v>
      </c>
      <c r="Q75" s="50">
        <f t="shared" ref="Q75:Q93" si="36">IFERROR(M75/SUM($K75:$M75),0)</f>
        <v>0</v>
      </c>
      <c r="R75" s="50">
        <f t="shared" ref="R75:R93" si="37">IFERROR(N75/J75,0)</f>
        <v>0</v>
      </c>
      <c r="S75" s="39"/>
      <c r="T75" s="49">
        <f>SUMPRODUCT(--('Input|Historical Data'!$AC$9:$AC$2668=$E75),--('Input|Historical Data'!$AM$9:$AM$2668="SCS"),--('Input|Historical Data'!$AK$9:$AK$2668=T$5),'Input|Historical Data'!$AG$9:$AG$2668)</f>
        <v>0</v>
      </c>
      <c r="U75" s="49">
        <f>SUMPRODUCT(--('Input|Historical Data'!$AC$9:$AC$2668=$E75),--('Input|Historical Data'!$AM$9:$AM$2668="SCS"),--('Input|Historical Data'!$AL$9:$AL$2668=U$5),'Input|Historical Data'!$AG$9:$AG$2668)</f>
        <v>0</v>
      </c>
      <c r="V75" s="49">
        <f>SUMPRODUCT(--('Input|Historical Data'!$AC$9:$AC$2668=$E75),--('Input|Historical Data'!$AM$9:$AM$2668="SCS"),--('Input|Historical Data'!$AL$9:$AL$2668=V$5),'Input|Historical Data'!$AG$9:$AG$2668)</f>
        <v>0</v>
      </c>
      <c r="W75" s="49">
        <f>SUMPRODUCT(--('Input|Historical Data'!$AC$9:$AC$2668=$E75),--('Input|Historical Data'!$AM$9:$AM$2668="SCS"),--('Input|Historical Data'!$AL$9:$AL$2668=W$5),'Input|Historical Data'!$AG$9:$AG$2668)</f>
        <v>0</v>
      </c>
      <c r="X75" s="49">
        <f>SUMPRODUCT(--('Input|Historical Data'!$AC$9:$AC$2668=$E75),--('Input|Historical Data'!$AM$9:$AM$2668="SCS"),--('Input|Historical Data'!$AK$9:$AK$2668=X$5),'Input|Historical Data'!$AG$9:$AG$2668)</f>
        <v>0</v>
      </c>
      <c r="Y75" s="50">
        <f t="shared" ref="Y75:Y93" si="38">IFERROR(U75/SUM($U75:$W75),0)</f>
        <v>0</v>
      </c>
      <c r="Z75" s="50">
        <f t="shared" ref="Z75:Z93" si="39">IFERROR(V75/SUM($U75:$W75),0)</f>
        <v>0</v>
      </c>
      <c r="AA75" s="50">
        <f t="shared" ref="AA75:AA93" si="40">IFERROR(W75/SUM($U75:$W75),0)</f>
        <v>0</v>
      </c>
      <c r="AB75" s="50">
        <f t="shared" ref="AB75:AB93" si="41">IFERROR(X75/T75,0)</f>
        <v>0</v>
      </c>
      <c r="AC75" s="39"/>
      <c r="AD75" s="49">
        <f>SUMPRODUCT(--('Input|Historical Data'!$AO$9:$AO$2668=$E75),--('Input|Historical Data'!$AY$9:$AY$2668="SCS"),--('Input|Historical Data'!$AW$9:$AW$2668=AD$5),'Input|Historical Data'!$AS$9:$AS$2668)</f>
        <v>0</v>
      </c>
      <c r="AE75" s="49">
        <f>SUMPRODUCT(--('Input|Historical Data'!$AO$9:$AO$2668=$E75),--('Input|Historical Data'!$AY$9:$AY$2668="SCS"),--('Input|Historical Data'!$AX$9:$AX$2668=AE$5),'Input|Historical Data'!$AS$9:$AS$2668)</f>
        <v>0</v>
      </c>
      <c r="AF75" s="49">
        <f>SUMPRODUCT(--('Input|Historical Data'!$AO$9:$AO$2668=$E75),--('Input|Historical Data'!$AY$9:$AY$2668="SCS"),--('Input|Historical Data'!$AX$9:$AX$2668=AF$5),'Input|Historical Data'!$AS$9:$AS$2668)</f>
        <v>0</v>
      </c>
      <c r="AG75" s="49">
        <f>SUMPRODUCT(--('Input|Historical Data'!$AO$9:$AO$2668=$E75),--('Input|Historical Data'!$AY$9:$AY$2668="SCS"),--('Input|Historical Data'!$AX$9:$AX$2668=AG$5),'Input|Historical Data'!$AS$9:$AS$2668)</f>
        <v>0</v>
      </c>
      <c r="AH75" s="49">
        <f>SUMPRODUCT(--('Input|Historical Data'!$AO$9:$AO$2668=$E75),--('Input|Historical Data'!$AY$9:$AY$2668="SCS"),--('Input|Historical Data'!$AW$9:$AW$2668=AH$5),'Input|Historical Data'!$AS$9:$AS$2668)</f>
        <v>0</v>
      </c>
      <c r="AI75" s="50">
        <f t="shared" si="29"/>
        <v>0</v>
      </c>
      <c r="AJ75" s="50">
        <f t="shared" si="27"/>
        <v>0</v>
      </c>
      <c r="AK75" s="50">
        <f t="shared" si="28"/>
        <v>0</v>
      </c>
      <c r="AL75" s="50">
        <f t="shared" ref="AL75:AL94" si="42">IFERROR(AH75/AD75,0)</f>
        <v>0</v>
      </c>
      <c r="AM75" s="39"/>
      <c r="AN75" s="50">
        <f t="shared" si="30"/>
        <v>0</v>
      </c>
      <c r="AO75" s="50">
        <f t="shared" si="31"/>
        <v>0</v>
      </c>
      <c r="AP75" s="50">
        <f t="shared" si="32"/>
        <v>0</v>
      </c>
      <c r="AQ75" s="50">
        <f t="shared" si="33"/>
        <v>0</v>
      </c>
      <c r="AR75" s="45"/>
    </row>
    <row r="76" spans="3:44" s="7" customFormat="1" x14ac:dyDescent="0.2">
      <c r="C76" s="39"/>
      <c r="D76" s="39"/>
      <c r="E76" s="39">
        <v>172</v>
      </c>
      <c r="F76" s="39" t="s">
        <v>2278</v>
      </c>
      <c r="G76" s="39" t="str">
        <f>VLOOKUP(E76,Mapping!$E$11:$G$96,3,0)</f>
        <v>Replacement</v>
      </c>
      <c r="H76" s="39" t="str">
        <f>VLOOKUP(E76,Mapping!$E$11:$K$96,7,0)</f>
        <v>SCS</v>
      </c>
      <c r="I76" s="39"/>
      <c r="J76" s="49">
        <f>SUMPRODUCT(--('Input|Historical Data'!$Q$9:$Q$2561=$E76),--('Input|Historical Data'!$AA$9:$AA$2561="SCS"),--('Input|Historical Data'!$Y$9:$Y$2561=J$5),'Input|Historical Data'!$U$9:$U$2561)</f>
        <v>7.0467200000000005</v>
      </c>
      <c r="K76" s="49">
        <f>SUMPRODUCT(--('Input|Historical Data'!$Q$9:$Q$2561=$E76),--('Input|Historical Data'!$AA$9:$AA$2561="SCS"),--('Input|Historical Data'!$Z$9:$Z$2561=K$5),'Input|Historical Data'!$U$9:$U$2561)</f>
        <v>1.1930000000000001</v>
      </c>
      <c r="L76" s="49">
        <f>SUMPRODUCT(--('Input|Historical Data'!$Q$9:$Q$2561=$E76),--('Input|Historical Data'!$AA$9:$AA$2561="SCS"),--('Input|Historical Data'!$Z$9:$Z$2561=L$5),'Input|Historical Data'!$U$9:$U$2561)</f>
        <v>0</v>
      </c>
      <c r="M76" s="49">
        <f>SUMPRODUCT(--('Input|Historical Data'!$Q$9:$Q$2561=$E76),--('Input|Historical Data'!$AA$9:$AA$2561="SCS"),--('Input|Historical Data'!$Z$9:$Z$2561=M$5),'Input|Historical Data'!$U$9:$U$2561)</f>
        <v>5.5399700000000003</v>
      </c>
      <c r="N76" s="49">
        <f>SUMPRODUCT(--('Input|Historical Data'!$Q$9:$Q$2561=$E76),--('Input|Historical Data'!$AA$9:$AA$2561="SCS"),--('Input|Historical Data'!$Y$9:$Y$2561=N$5),'Input|Historical Data'!$U$9:$U$2561)</f>
        <v>0.77565999999999991</v>
      </c>
      <c r="O76" s="50">
        <f t="shared" si="34"/>
        <v>0.17718777894450741</v>
      </c>
      <c r="P76" s="50">
        <f t="shared" si="35"/>
        <v>0</v>
      </c>
      <c r="Q76" s="50">
        <f t="shared" si="36"/>
        <v>0.82281222105549268</v>
      </c>
      <c r="R76" s="50">
        <f t="shared" si="37"/>
        <v>0.11007390672539846</v>
      </c>
      <c r="S76" s="39"/>
      <c r="T76" s="49">
        <f>SUMPRODUCT(--('Input|Historical Data'!$AC$9:$AC$2668=$E76),--('Input|Historical Data'!$AM$9:$AM$2668="SCS"),--('Input|Historical Data'!$AK$9:$AK$2668=T$5),'Input|Historical Data'!$AG$9:$AG$2668)</f>
        <v>51.303190000000001</v>
      </c>
      <c r="U76" s="49">
        <f>SUMPRODUCT(--('Input|Historical Data'!$AC$9:$AC$2668=$E76),--('Input|Historical Data'!$AM$9:$AM$2668="SCS"),--('Input|Historical Data'!$AL$9:$AL$2668=U$5),'Input|Historical Data'!$AG$9:$AG$2668)</f>
        <v>36.733840000000001</v>
      </c>
      <c r="V76" s="49">
        <f>SUMPRODUCT(--('Input|Historical Data'!$AC$9:$AC$2668=$E76),--('Input|Historical Data'!$AM$9:$AM$2668="SCS"),--('Input|Historical Data'!$AL$9:$AL$2668=V$5),'Input|Historical Data'!$AG$9:$AG$2668)</f>
        <v>7.1168300000000002</v>
      </c>
      <c r="W76" s="49">
        <f>SUMPRODUCT(--('Input|Historical Data'!$AC$9:$AC$2668=$E76),--('Input|Historical Data'!$AM$9:$AM$2668="SCS"),--('Input|Historical Data'!$AL$9:$AL$2668=W$5),'Input|Historical Data'!$AG$9:$AG$2668)</f>
        <v>5.0192499999999995</v>
      </c>
      <c r="X76" s="49">
        <f>SUMPRODUCT(--('Input|Historical Data'!$AC$9:$AC$2668=$E76),--('Input|Historical Data'!$AM$9:$AM$2668="SCS"),--('Input|Historical Data'!$AK$9:$AK$2668=X$5),'Input|Historical Data'!$AG$9:$AG$2668)</f>
        <v>7.6586299999999996</v>
      </c>
      <c r="Y76" s="50">
        <f t="shared" si="38"/>
        <v>0.75166564627075305</v>
      </c>
      <c r="Z76" s="50">
        <f t="shared" si="39"/>
        <v>0.14562802640151651</v>
      </c>
      <c r="AA76" s="50">
        <f t="shared" si="40"/>
        <v>0.10270632732773043</v>
      </c>
      <c r="AB76" s="50">
        <f t="shared" si="41"/>
        <v>0.14928175031611093</v>
      </c>
      <c r="AC76" s="39"/>
      <c r="AD76" s="49">
        <f>SUMPRODUCT(--('Input|Historical Data'!$AO$9:$AO$2668=$E76),--('Input|Historical Data'!$AY$9:$AY$2668="SCS"),--('Input|Historical Data'!$AW$9:$AW$2668=AD$5),'Input|Historical Data'!$AS$9:$AS$2668)</f>
        <v>111.10499999999999</v>
      </c>
      <c r="AE76" s="49">
        <f>SUMPRODUCT(--('Input|Historical Data'!$AO$9:$AO$2668=$E76),--('Input|Historical Data'!$AY$9:$AY$2668="SCS"),--('Input|Historical Data'!$AX$9:$AX$2668=AE$5),'Input|Historical Data'!$AS$9:$AS$2668)</f>
        <v>76.824830000000006</v>
      </c>
      <c r="AF76" s="49">
        <f>SUMPRODUCT(--('Input|Historical Data'!$AO$9:$AO$2668=$E76),--('Input|Historical Data'!$AY$9:$AY$2668="SCS"),--('Input|Historical Data'!$AX$9:$AX$2668=AF$5),'Input|Historical Data'!$AS$9:$AS$2668)</f>
        <v>18.157029999999999</v>
      </c>
      <c r="AG76" s="49">
        <f>SUMPRODUCT(--('Input|Historical Data'!$AO$9:$AO$2668=$E76),--('Input|Historical Data'!$AY$9:$AY$2668="SCS"),--('Input|Historical Data'!$AX$9:$AX$2668=AG$5),'Input|Historical Data'!$AS$9:$AS$2668)</f>
        <v>11.378179999999999</v>
      </c>
      <c r="AH76" s="49">
        <f>SUMPRODUCT(--('Input|Historical Data'!$AO$9:$AO$2668=$E76),--('Input|Historical Data'!$AY$9:$AY$2668="SCS"),--('Input|Historical Data'!$AW$9:$AW$2668=AH$5),'Input|Historical Data'!$AS$9:$AS$2668)</f>
        <v>15.071109999999999</v>
      </c>
      <c r="AI76" s="50">
        <f t="shared" si="29"/>
        <v>0.7223091491879845</v>
      </c>
      <c r="AJ76" s="50">
        <f t="shared" si="27"/>
        <v>0.17071289179658072</v>
      </c>
      <c r="AK76" s="50">
        <f t="shared" si="28"/>
        <v>0.10697795901543472</v>
      </c>
      <c r="AL76" s="50">
        <f t="shared" si="42"/>
        <v>0.13564745060978353</v>
      </c>
      <c r="AM76" s="39"/>
      <c r="AN76" s="50">
        <f t="shared" si="30"/>
        <v>0.70850576733824222</v>
      </c>
      <c r="AO76" s="50">
        <f t="shared" si="31"/>
        <v>0.15604718931671585</v>
      </c>
      <c r="AP76" s="50">
        <f t="shared" si="32"/>
        <v>0.13544704334504196</v>
      </c>
      <c r="AQ76" s="50">
        <f t="shared" si="33"/>
        <v>0.13871182605449439</v>
      </c>
      <c r="AR76" s="45"/>
    </row>
    <row r="77" spans="3:44" s="7" customFormat="1" x14ac:dyDescent="0.2">
      <c r="C77" s="39"/>
      <c r="D77" s="39"/>
      <c r="E77" s="39">
        <v>174</v>
      </c>
      <c r="F77" s="39" t="s">
        <v>2279</v>
      </c>
      <c r="G77" s="39" t="str">
        <f>VLOOKUP(E77,Mapping!$E$11:$G$96,3,0)</f>
        <v>Replacement</v>
      </c>
      <c r="H77" s="39" t="str">
        <f>VLOOKUP(E77,Mapping!$E$11:$K$96,7,0)</f>
        <v>SCS</v>
      </c>
      <c r="I77" s="39"/>
      <c r="J77" s="49">
        <f>SUMPRODUCT(--('Input|Historical Data'!$Q$9:$Q$2561=$E77),--('Input|Historical Data'!$AA$9:$AA$2561="SCS"),--('Input|Historical Data'!$Y$9:$Y$2561=J$5),'Input|Historical Data'!$U$9:$U$2561)</f>
        <v>14.735850000000001</v>
      </c>
      <c r="K77" s="49">
        <f>SUMPRODUCT(--('Input|Historical Data'!$Q$9:$Q$2561=$E77),--('Input|Historical Data'!$AA$9:$AA$2561="SCS"),--('Input|Historical Data'!$Z$9:$Z$2561=K$5),'Input|Historical Data'!$U$9:$U$2561)</f>
        <v>12.198539999999999</v>
      </c>
      <c r="L77" s="49">
        <f>SUMPRODUCT(--('Input|Historical Data'!$Q$9:$Q$2561=$E77),--('Input|Historical Data'!$AA$9:$AA$2561="SCS"),--('Input|Historical Data'!$Z$9:$Z$2561=L$5),'Input|Historical Data'!$U$9:$U$2561)</f>
        <v>2.0082599999999999</v>
      </c>
      <c r="M77" s="49">
        <f>SUMPRODUCT(--('Input|Historical Data'!$Q$9:$Q$2561=$E77),--('Input|Historical Data'!$AA$9:$AA$2561="SCS"),--('Input|Historical Data'!$Z$9:$Z$2561=M$5),'Input|Historical Data'!$U$9:$U$2561)</f>
        <v>0.15063000000000001</v>
      </c>
      <c r="N77" s="49">
        <f>SUMPRODUCT(--('Input|Historical Data'!$Q$9:$Q$2561=$E77),--('Input|Historical Data'!$AA$9:$AA$2561="SCS"),--('Input|Historical Data'!$Y$9:$Y$2561=N$5),'Input|Historical Data'!$U$9:$U$2561)</f>
        <v>1.3460699999999999</v>
      </c>
      <c r="O77" s="50">
        <f t="shared" si="34"/>
        <v>0.84963255958761419</v>
      </c>
      <c r="P77" s="50">
        <f t="shared" si="35"/>
        <v>0.13987600844998027</v>
      </c>
      <c r="Q77" s="50">
        <f t="shared" si="36"/>
        <v>1.0491431962405529E-2</v>
      </c>
      <c r="R77" s="50">
        <f t="shared" si="37"/>
        <v>9.1346613870255181E-2</v>
      </c>
      <c r="S77" s="39"/>
      <c r="T77" s="49">
        <f>SUMPRODUCT(--('Input|Historical Data'!$AC$9:$AC$2668=$E77),--('Input|Historical Data'!$AM$9:$AM$2668="SCS"),--('Input|Historical Data'!$AK$9:$AK$2668=T$5),'Input|Historical Data'!$AG$9:$AG$2668)</f>
        <v>102.18046000000001</v>
      </c>
      <c r="U77" s="49">
        <f>SUMPRODUCT(--('Input|Historical Data'!$AC$9:$AC$2668=$E77),--('Input|Historical Data'!$AM$9:$AM$2668="SCS"),--('Input|Historical Data'!$AL$9:$AL$2668=U$5),'Input|Historical Data'!$AG$9:$AG$2668)</f>
        <v>68.299809999999994</v>
      </c>
      <c r="V77" s="49">
        <f>SUMPRODUCT(--('Input|Historical Data'!$AC$9:$AC$2668=$E77),--('Input|Historical Data'!$AM$9:$AM$2668="SCS"),--('Input|Historical Data'!$AL$9:$AL$2668=V$5),'Input|Historical Data'!$AG$9:$AG$2668)</f>
        <v>15.645200000000001</v>
      </c>
      <c r="W77" s="49">
        <f>SUMPRODUCT(--('Input|Historical Data'!$AC$9:$AC$2668=$E77),--('Input|Historical Data'!$AM$9:$AM$2668="SCS"),--('Input|Historical Data'!$AL$9:$AL$2668=W$5),'Input|Historical Data'!$AG$9:$AG$2668)</f>
        <v>13.795470000000002</v>
      </c>
      <c r="X77" s="49">
        <f>SUMPRODUCT(--('Input|Historical Data'!$AC$9:$AC$2668=$E77),--('Input|Historical Data'!$AM$9:$AM$2668="SCS"),--('Input|Historical Data'!$AK$9:$AK$2668=X$5),'Input|Historical Data'!$AG$9:$AG$2668)</f>
        <v>15.27201</v>
      </c>
      <c r="Y77" s="50">
        <f t="shared" si="38"/>
        <v>0.69878733969794293</v>
      </c>
      <c r="Z77" s="50">
        <f t="shared" si="39"/>
        <v>0.16006878623882348</v>
      </c>
      <c r="AA77" s="50">
        <f t="shared" si="40"/>
        <v>0.14114387406323362</v>
      </c>
      <c r="AB77" s="50">
        <f t="shared" si="41"/>
        <v>0.14946115920793465</v>
      </c>
      <c r="AC77" s="39"/>
      <c r="AD77" s="49">
        <f>SUMPRODUCT(--('Input|Historical Data'!$AO$9:$AO$2668=$E77),--('Input|Historical Data'!$AY$9:$AY$2668="SCS"),--('Input|Historical Data'!$AW$9:$AW$2668=AD$5),'Input|Historical Data'!$AS$9:$AS$2668)</f>
        <v>92.142359999999996</v>
      </c>
      <c r="AE77" s="49">
        <f>SUMPRODUCT(--('Input|Historical Data'!$AO$9:$AO$2668=$E77),--('Input|Historical Data'!$AY$9:$AY$2668="SCS"),--('Input|Historical Data'!$AX$9:$AX$2668=AE$5),'Input|Historical Data'!$AS$9:$AS$2668)</f>
        <v>64.927029999999988</v>
      </c>
      <c r="AF77" s="49">
        <f>SUMPRODUCT(--('Input|Historical Data'!$AO$9:$AO$2668=$E77),--('Input|Historical Data'!$AY$9:$AY$2668="SCS"),--('Input|Historical Data'!$AX$9:$AX$2668=AF$5),'Input|Historical Data'!$AS$9:$AS$2668)</f>
        <v>10.71265</v>
      </c>
      <c r="AG77" s="49">
        <f>SUMPRODUCT(--('Input|Historical Data'!$AO$9:$AO$2668=$E77),--('Input|Historical Data'!$AY$9:$AY$2668="SCS"),--('Input|Historical Data'!$AX$9:$AX$2668=AG$5),'Input|Historical Data'!$AS$9:$AS$2668)</f>
        <v>12.352649999999999</v>
      </c>
      <c r="AH77" s="49">
        <f>SUMPRODUCT(--('Input|Historical Data'!$AO$9:$AO$2668=$E77),--('Input|Historical Data'!$AY$9:$AY$2668="SCS"),--('Input|Historical Data'!$AW$9:$AW$2668=AH$5),'Input|Historical Data'!$AS$9:$AS$2668)</f>
        <v>14.515039999999999</v>
      </c>
      <c r="AI77" s="50">
        <f t="shared" si="29"/>
        <v>0.73787147129755515</v>
      </c>
      <c r="AJ77" s="50">
        <f t="shared" si="27"/>
        <v>0.12174527029799077</v>
      </c>
      <c r="AK77" s="50">
        <f t="shared" si="28"/>
        <v>0.14038325840445412</v>
      </c>
      <c r="AL77" s="50">
        <f t="shared" si="42"/>
        <v>0.15752841581222796</v>
      </c>
      <c r="AM77" s="39"/>
      <c r="AN77" s="50">
        <f t="shared" si="30"/>
        <v>0.7267989683055005</v>
      </c>
      <c r="AO77" s="50">
        <f t="shared" si="31"/>
        <v>0.14176658491688554</v>
      </c>
      <c r="AP77" s="50">
        <f t="shared" si="32"/>
        <v>0.13143444677761396</v>
      </c>
      <c r="AQ77" s="50">
        <f t="shared" si="33"/>
        <v>0.14892049203221278</v>
      </c>
      <c r="AR77" s="45"/>
    </row>
    <row r="78" spans="3:44" s="7" customFormat="1" x14ac:dyDescent="0.2">
      <c r="C78" s="39"/>
      <c r="D78" s="39"/>
      <c r="E78" s="39">
        <v>175</v>
      </c>
      <c r="F78" s="39" t="s">
        <v>2280</v>
      </c>
      <c r="G78" s="39" t="str">
        <f>VLOOKUP(E78,Mapping!$E$11:$G$96,3,0)</f>
        <v>Metering Capex</v>
      </c>
      <c r="H78" s="39" t="str">
        <f>VLOOKUP(E78,Mapping!$E$11:$K$96,7,0)</f>
        <v>Metering Services</v>
      </c>
      <c r="I78" s="39"/>
      <c r="J78" s="49">
        <f>SUMPRODUCT(--('Input|Historical Data'!$Q$9:$Q$2561=$E78),--('Input|Historical Data'!$AA$9:$AA$2561="SCS"),--('Input|Historical Data'!$Y$9:$Y$2561=J$5),'Input|Historical Data'!$U$9:$U$2561)</f>
        <v>0</v>
      </c>
      <c r="K78" s="49">
        <f>SUMPRODUCT(--('Input|Historical Data'!$Q$9:$Q$2561=$E78),--('Input|Historical Data'!$AA$9:$AA$2561="SCS"),--('Input|Historical Data'!$Z$9:$Z$2561=K$5),'Input|Historical Data'!$U$9:$U$2561)</f>
        <v>0</v>
      </c>
      <c r="L78" s="49">
        <f>SUMPRODUCT(--('Input|Historical Data'!$Q$9:$Q$2561=$E78),--('Input|Historical Data'!$AA$9:$AA$2561="SCS"),--('Input|Historical Data'!$Z$9:$Z$2561=L$5),'Input|Historical Data'!$U$9:$U$2561)</f>
        <v>0</v>
      </c>
      <c r="M78" s="49">
        <f>SUMPRODUCT(--('Input|Historical Data'!$Q$9:$Q$2561=$E78),--('Input|Historical Data'!$AA$9:$AA$2561="SCS"),--('Input|Historical Data'!$Z$9:$Z$2561=M$5),'Input|Historical Data'!$U$9:$U$2561)</f>
        <v>0</v>
      </c>
      <c r="N78" s="49">
        <f>SUMPRODUCT(--('Input|Historical Data'!$Q$9:$Q$2561=$E78),--('Input|Historical Data'!$AA$9:$AA$2561="SCS"),--('Input|Historical Data'!$Y$9:$Y$2561=N$5),'Input|Historical Data'!$U$9:$U$2561)</f>
        <v>0</v>
      </c>
      <c r="O78" s="50">
        <f t="shared" si="34"/>
        <v>0</v>
      </c>
      <c r="P78" s="50">
        <f t="shared" si="35"/>
        <v>0</v>
      </c>
      <c r="Q78" s="50">
        <f t="shared" si="36"/>
        <v>0</v>
      </c>
      <c r="R78" s="50">
        <f t="shared" si="37"/>
        <v>0</v>
      </c>
      <c r="S78" s="39"/>
      <c r="T78" s="49">
        <f>SUMPRODUCT(--('Input|Historical Data'!$AC$9:$AC$2668=$E78),--('Input|Historical Data'!$AM$9:$AM$2668="SCS"),--('Input|Historical Data'!$AK$9:$AK$2668=T$5),'Input|Historical Data'!$AG$9:$AG$2668)</f>
        <v>0</v>
      </c>
      <c r="U78" s="49">
        <f>SUMPRODUCT(--('Input|Historical Data'!$AC$9:$AC$2668=$E78),--('Input|Historical Data'!$AM$9:$AM$2668="SCS"),--('Input|Historical Data'!$AL$9:$AL$2668=U$5),'Input|Historical Data'!$AG$9:$AG$2668)</f>
        <v>0</v>
      </c>
      <c r="V78" s="49">
        <f>SUMPRODUCT(--('Input|Historical Data'!$AC$9:$AC$2668=$E78),--('Input|Historical Data'!$AM$9:$AM$2668="SCS"),--('Input|Historical Data'!$AL$9:$AL$2668=V$5),'Input|Historical Data'!$AG$9:$AG$2668)</f>
        <v>0</v>
      </c>
      <c r="W78" s="49">
        <f>SUMPRODUCT(--('Input|Historical Data'!$AC$9:$AC$2668=$E78),--('Input|Historical Data'!$AM$9:$AM$2668="SCS"),--('Input|Historical Data'!$AL$9:$AL$2668=W$5),'Input|Historical Data'!$AG$9:$AG$2668)</f>
        <v>0</v>
      </c>
      <c r="X78" s="49">
        <f>SUMPRODUCT(--('Input|Historical Data'!$AC$9:$AC$2668=$E78),--('Input|Historical Data'!$AM$9:$AM$2668="SCS"),--('Input|Historical Data'!$AK$9:$AK$2668=X$5),'Input|Historical Data'!$AG$9:$AG$2668)</f>
        <v>0</v>
      </c>
      <c r="Y78" s="50">
        <f t="shared" si="38"/>
        <v>0</v>
      </c>
      <c r="Z78" s="50">
        <f t="shared" si="39"/>
        <v>0</v>
      </c>
      <c r="AA78" s="50">
        <f t="shared" si="40"/>
        <v>0</v>
      </c>
      <c r="AB78" s="50">
        <f t="shared" si="41"/>
        <v>0</v>
      </c>
      <c r="AC78" s="39"/>
      <c r="AD78" s="49">
        <f>SUMPRODUCT(--('Input|Historical Data'!$AO$9:$AO$2668=$E78),--('Input|Historical Data'!$AY$9:$AY$2668="SCS"),--('Input|Historical Data'!$AW$9:$AW$2668=AD$5),'Input|Historical Data'!$AS$9:$AS$2668)</f>
        <v>0</v>
      </c>
      <c r="AE78" s="49">
        <f>SUMPRODUCT(--('Input|Historical Data'!$AO$9:$AO$2668=$E78),--('Input|Historical Data'!$AY$9:$AY$2668="SCS"),--('Input|Historical Data'!$AX$9:$AX$2668=AE$5),'Input|Historical Data'!$AS$9:$AS$2668)</f>
        <v>0</v>
      </c>
      <c r="AF78" s="49">
        <f>SUMPRODUCT(--('Input|Historical Data'!$AO$9:$AO$2668=$E78),--('Input|Historical Data'!$AY$9:$AY$2668="SCS"),--('Input|Historical Data'!$AX$9:$AX$2668=AF$5),'Input|Historical Data'!$AS$9:$AS$2668)</f>
        <v>0</v>
      </c>
      <c r="AG78" s="49">
        <f>SUMPRODUCT(--('Input|Historical Data'!$AO$9:$AO$2668=$E78),--('Input|Historical Data'!$AY$9:$AY$2668="SCS"),--('Input|Historical Data'!$AX$9:$AX$2668=AG$5),'Input|Historical Data'!$AS$9:$AS$2668)</f>
        <v>0</v>
      </c>
      <c r="AH78" s="49">
        <f>SUMPRODUCT(--('Input|Historical Data'!$AO$9:$AO$2668=$E78),--('Input|Historical Data'!$AY$9:$AY$2668="SCS"),--('Input|Historical Data'!$AW$9:$AW$2668=AH$5),'Input|Historical Data'!$AS$9:$AS$2668)</f>
        <v>0</v>
      </c>
      <c r="AI78" s="50">
        <f t="shared" si="29"/>
        <v>0</v>
      </c>
      <c r="AJ78" s="50">
        <f t="shared" si="27"/>
        <v>0</v>
      </c>
      <c r="AK78" s="50">
        <f t="shared" si="28"/>
        <v>0</v>
      </c>
      <c r="AL78" s="50">
        <f t="shared" si="42"/>
        <v>0</v>
      </c>
      <c r="AM78" s="39"/>
      <c r="AN78" s="50">
        <f t="shared" si="30"/>
        <v>0</v>
      </c>
      <c r="AO78" s="50">
        <f t="shared" si="31"/>
        <v>0</v>
      </c>
      <c r="AP78" s="50">
        <f t="shared" si="32"/>
        <v>0</v>
      </c>
      <c r="AQ78" s="50">
        <f t="shared" si="33"/>
        <v>0</v>
      </c>
      <c r="AR78" s="45"/>
    </row>
    <row r="79" spans="3:44" s="7" customFormat="1" x14ac:dyDescent="0.2">
      <c r="C79" s="39"/>
      <c r="D79" s="39"/>
      <c r="E79" s="39">
        <v>176</v>
      </c>
      <c r="F79" s="39" t="s">
        <v>2281</v>
      </c>
      <c r="G79" s="39" t="str">
        <f>VLOOKUP(E79,Mapping!$E$11:$G$96,3,0)</f>
        <v>Metering Capex</v>
      </c>
      <c r="H79" s="39" t="str">
        <f>VLOOKUP(E79,Mapping!$E$11:$K$96,7,0)</f>
        <v>Metering Services</v>
      </c>
      <c r="I79" s="39"/>
      <c r="J79" s="49">
        <f>SUMPRODUCT(--('Input|Historical Data'!$Q$9:$Q$2561=$E79),--('Input|Historical Data'!$AA$9:$AA$2561="SCS"),--('Input|Historical Data'!$Y$9:$Y$2561=J$5),'Input|Historical Data'!$U$9:$U$2561)</f>
        <v>0</v>
      </c>
      <c r="K79" s="49">
        <f>SUMPRODUCT(--('Input|Historical Data'!$Q$9:$Q$2561=$E79),--('Input|Historical Data'!$AA$9:$AA$2561="SCS"),--('Input|Historical Data'!$Z$9:$Z$2561=K$5),'Input|Historical Data'!$U$9:$U$2561)</f>
        <v>0</v>
      </c>
      <c r="L79" s="49">
        <f>SUMPRODUCT(--('Input|Historical Data'!$Q$9:$Q$2561=$E79),--('Input|Historical Data'!$AA$9:$AA$2561="SCS"),--('Input|Historical Data'!$Z$9:$Z$2561=L$5),'Input|Historical Data'!$U$9:$U$2561)</f>
        <v>0</v>
      </c>
      <c r="M79" s="49">
        <f>SUMPRODUCT(--('Input|Historical Data'!$Q$9:$Q$2561=$E79),--('Input|Historical Data'!$AA$9:$AA$2561="SCS"),--('Input|Historical Data'!$Z$9:$Z$2561=M$5),'Input|Historical Data'!$U$9:$U$2561)</f>
        <v>0</v>
      </c>
      <c r="N79" s="49">
        <f>SUMPRODUCT(--('Input|Historical Data'!$Q$9:$Q$2561=$E79),--('Input|Historical Data'!$AA$9:$AA$2561="SCS"),--('Input|Historical Data'!$Y$9:$Y$2561=N$5),'Input|Historical Data'!$U$9:$U$2561)</f>
        <v>0</v>
      </c>
      <c r="O79" s="50">
        <f t="shared" si="34"/>
        <v>0</v>
      </c>
      <c r="P79" s="50">
        <f t="shared" si="35"/>
        <v>0</v>
      </c>
      <c r="Q79" s="50">
        <f t="shared" si="36"/>
        <v>0</v>
      </c>
      <c r="R79" s="50">
        <f t="shared" si="37"/>
        <v>0</v>
      </c>
      <c r="S79" s="39"/>
      <c r="T79" s="49">
        <f>SUMPRODUCT(--('Input|Historical Data'!$AC$9:$AC$2668=$E79),--('Input|Historical Data'!$AM$9:$AM$2668="SCS"),--('Input|Historical Data'!$AK$9:$AK$2668=T$5),'Input|Historical Data'!$AG$9:$AG$2668)</f>
        <v>0</v>
      </c>
      <c r="U79" s="49">
        <f>SUMPRODUCT(--('Input|Historical Data'!$AC$9:$AC$2668=$E79),--('Input|Historical Data'!$AM$9:$AM$2668="SCS"),--('Input|Historical Data'!$AL$9:$AL$2668=U$5),'Input|Historical Data'!$AG$9:$AG$2668)</f>
        <v>0</v>
      </c>
      <c r="V79" s="49">
        <f>SUMPRODUCT(--('Input|Historical Data'!$AC$9:$AC$2668=$E79),--('Input|Historical Data'!$AM$9:$AM$2668="SCS"),--('Input|Historical Data'!$AL$9:$AL$2668=V$5),'Input|Historical Data'!$AG$9:$AG$2668)</f>
        <v>0</v>
      </c>
      <c r="W79" s="49">
        <f>SUMPRODUCT(--('Input|Historical Data'!$AC$9:$AC$2668=$E79),--('Input|Historical Data'!$AM$9:$AM$2668="SCS"),--('Input|Historical Data'!$AL$9:$AL$2668=W$5),'Input|Historical Data'!$AG$9:$AG$2668)</f>
        <v>0</v>
      </c>
      <c r="X79" s="49">
        <f>SUMPRODUCT(--('Input|Historical Data'!$AC$9:$AC$2668=$E79),--('Input|Historical Data'!$AM$9:$AM$2668="SCS"),--('Input|Historical Data'!$AK$9:$AK$2668=X$5),'Input|Historical Data'!$AG$9:$AG$2668)</f>
        <v>0</v>
      </c>
      <c r="Y79" s="50">
        <f t="shared" si="38"/>
        <v>0</v>
      </c>
      <c r="Z79" s="50">
        <f t="shared" si="39"/>
        <v>0</v>
      </c>
      <c r="AA79" s="50">
        <f t="shared" si="40"/>
        <v>0</v>
      </c>
      <c r="AB79" s="50">
        <f t="shared" si="41"/>
        <v>0</v>
      </c>
      <c r="AC79" s="39"/>
      <c r="AD79" s="49">
        <f>SUMPRODUCT(--('Input|Historical Data'!$AO$9:$AO$2668=$E79),--('Input|Historical Data'!$AY$9:$AY$2668="SCS"),--('Input|Historical Data'!$AW$9:$AW$2668=AD$5),'Input|Historical Data'!$AS$9:$AS$2668)</f>
        <v>0</v>
      </c>
      <c r="AE79" s="49">
        <f>SUMPRODUCT(--('Input|Historical Data'!$AO$9:$AO$2668=$E79),--('Input|Historical Data'!$AY$9:$AY$2668="SCS"),--('Input|Historical Data'!$AX$9:$AX$2668=AE$5),'Input|Historical Data'!$AS$9:$AS$2668)</f>
        <v>0</v>
      </c>
      <c r="AF79" s="49">
        <f>SUMPRODUCT(--('Input|Historical Data'!$AO$9:$AO$2668=$E79),--('Input|Historical Data'!$AY$9:$AY$2668="SCS"),--('Input|Historical Data'!$AX$9:$AX$2668=AF$5),'Input|Historical Data'!$AS$9:$AS$2668)</f>
        <v>0</v>
      </c>
      <c r="AG79" s="49">
        <f>SUMPRODUCT(--('Input|Historical Data'!$AO$9:$AO$2668=$E79),--('Input|Historical Data'!$AY$9:$AY$2668="SCS"),--('Input|Historical Data'!$AX$9:$AX$2668=AG$5),'Input|Historical Data'!$AS$9:$AS$2668)</f>
        <v>0</v>
      </c>
      <c r="AH79" s="49">
        <f>SUMPRODUCT(--('Input|Historical Data'!$AO$9:$AO$2668=$E79),--('Input|Historical Data'!$AY$9:$AY$2668="SCS"),--('Input|Historical Data'!$AW$9:$AW$2668=AH$5),'Input|Historical Data'!$AS$9:$AS$2668)</f>
        <v>0</v>
      </c>
      <c r="AI79" s="50">
        <f t="shared" si="29"/>
        <v>0</v>
      </c>
      <c r="AJ79" s="50">
        <f t="shared" si="27"/>
        <v>0</v>
      </c>
      <c r="AK79" s="50">
        <f t="shared" si="28"/>
        <v>0</v>
      </c>
      <c r="AL79" s="50">
        <f t="shared" si="42"/>
        <v>0</v>
      </c>
      <c r="AM79" s="39"/>
      <c r="AN79" s="50">
        <f t="shared" si="30"/>
        <v>0</v>
      </c>
      <c r="AO79" s="50">
        <f t="shared" si="31"/>
        <v>0</v>
      </c>
      <c r="AP79" s="50">
        <f t="shared" si="32"/>
        <v>0</v>
      </c>
      <c r="AQ79" s="50">
        <f t="shared" si="33"/>
        <v>0</v>
      </c>
      <c r="AR79" s="45"/>
    </row>
    <row r="80" spans="3:44" s="7" customFormat="1" x14ac:dyDescent="0.2">
      <c r="C80" s="39"/>
      <c r="D80" s="39"/>
      <c r="E80" s="39">
        <v>177</v>
      </c>
      <c r="F80" s="39" t="s">
        <v>2282</v>
      </c>
      <c r="G80" s="39" t="str">
        <f>VLOOKUP(E80,Mapping!$E$11:$G$96,3,0)</f>
        <v>Augmentation</v>
      </c>
      <c r="H80" s="39" t="str">
        <f>VLOOKUP(E80,Mapping!$E$11:$K$96,7,0)</f>
        <v>SCS</v>
      </c>
      <c r="I80" s="39"/>
      <c r="J80" s="49">
        <f>SUMPRODUCT(--('Input|Historical Data'!$Q$9:$Q$2561=$E80),--('Input|Historical Data'!$AA$9:$AA$2561="SCS"),--('Input|Historical Data'!$Y$9:$Y$2561=J$5),'Input|Historical Data'!$U$9:$U$2561)</f>
        <v>3154.14372</v>
      </c>
      <c r="K80" s="49">
        <f>SUMPRODUCT(--('Input|Historical Data'!$Q$9:$Q$2561=$E80),--('Input|Historical Data'!$AA$9:$AA$2561="SCS"),--('Input|Historical Data'!$Z$9:$Z$2561=K$5),'Input|Historical Data'!$U$9:$U$2561)</f>
        <v>2911.2144699999999</v>
      </c>
      <c r="L80" s="49">
        <f>SUMPRODUCT(--('Input|Historical Data'!$Q$9:$Q$2561=$E80),--('Input|Historical Data'!$AA$9:$AA$2561="SCS"),--('Input|Historical Data'!$Z$9:$Z$2561=L$5),'Input|Historical Data'!$U$9:$U$2561)</f>
        <v>57.548379999999995</v>
      </c>
      <c r="M80" s="49">
        <f>SUMPRODUCT(--('Input|Historical Data'!$Q$9:$Q$2561=$E80),--('Input|Historical Data'!$AA$9:$AA$2561="SCS"),--('Input|Historical Data'!$Z$9:$Z$2561=M$5),'Input|Historical Data'!$U$9:$U$2561)</f>
        <v>30.427299999999999</v>
      </c>
      <c r="N80" s="49">
        <f>SUMPRODUCT(--('Input|Historical Data'!$Q$9:$Q$2561=$E80),--('Input|Historical Data'!$AA$9:$AA$2561="SCS"),--('Input|Historical Data'!$Y$9:$Y$2561=N$5),'Input|Historical Data'!$U$9:$U$2561)</f>
        <v>498.59464999999994</v>
      </c>
      <c r="O80" s="50">
        <f t="shared" si="34"/>
        <v>0.97066685485080029</v>
      </c>
      <c r="P80" s="50">
        <f t="shared" si="35"/>
        <v>1.918797312667888E-2</v>
      </c>
      <c r="Q80" s="50">
        <f t="shared" si="36"/>
        <v>1.0145172022520813E-2</v>
      </c>
      <c r="R80" s="50">
        <f t="shared" si="37"/>
        <v>0.15807607206941093</v>
      </c>
      <c r="S80" s="39"/>
      <c r="T80" s="49">
        <f>SUMPRODUCT(--('Input|Historical Data'!$AC$9:$AC$2668=$E80),--('Input|Historical Data'!$AM$9:$AM$2668="SCS"),--('Input|Historical Data'!$AK$9:$AK$2668=T$5),'Input|Historical Data'!$AG$9:$AG$2668)</f>
        <v>4233.9984100000001</v>
      </c>
      <c r="U80" s="49">
        <f>SUMPRODUCT(--('Input|Historical Data'!$AC$9:$AC$2668=$E80),--('Input|Historical Data'!$AM$9:$AM$2668="SCS"),--('Input|Historical Data'!$AL$9:$AL$2668=U$5),'Input|Historical Data'!$AG$9:$AG$2668)</f>
        <v>2944.2263399999997</v>
      </c>
      <c r="V80" s="49">
        <f>SUMPRODUCT(--('Input|Historical Data'!$AC$9:$AC$2668=$E80),--('Input|Historical Data'!$AM$9:$AM$2668="SCS"),--('Input|Historical Data'!$AL$9:$AL$2668=V$5),'Input|Historical Data'!$AG$9:$AG$2668)</f>
        <v>768.01666999999998</v>
      </c>
      <c r="W80" s="49">
        <f>SUMPRODUCT(--('Input|Historical Data'!$AC$9:$AC$2668=$E80),--('Input|Historical Data'!$AM$9:$AM$2668="SCS"),--('Input|Historical Data'!$AL$9:$AL$2668=W$5),'Input|Historical Data'!$AG$9:$AG$2668)</f>
        <v>342.56835000000007</v>
      </c>
      <c r="X80" s="49">
        <f>SUMPRODUCT(--('Input|Historical Data'!$AC$9:$AC$2668=$E80),--('Input|Historical Data'!$AM$9:$AM$2668="SCS"),--('Input|Historical Data'!$AK$9:$AK$2668=X$5),'Input|Historical Data'!$AG$9:$AG$2668)</f>
        <v>738.63824</v>
      </c>
      <c r="Y80" s="50">
        <f t="shared" si="38"/>
        <v>0.72610685888973137</v>
      </c>
      <c r="Z80" s="50">
        <f t="shared" si="39"/>
        <v>0.18940872997850139</v>
      </c>
      <c r="AA80" s="50">
        <f t="shared" si="40"/>
        <v>8.4484411131767204E-2</v>
      </c>
      <c r="AB80" s="50">
        <f t="shared" si="41"/>
        <v>0.17445406645771508</v>
      </c>
      <c r="AC80" s="39"/>
      <c r="AD80" s="49">
        <f>SUMPRODUCT(--('Input|Historical Data'!$AO$9:$AO$2668=$E80),--('Input|Historical Data'!$AY$9:$AY$2668="SCS"),--('Input|Historical Data'!$AW$9:$AW$2668=AD$5),'Input|Historical Data'!$AS$9:$AS$2668)</f>
        <v>12125.713670000001</v>
      </c>
      <c r="AE80" s="49">
        <f>SUMPRODUCT(--('Input|Historical Data'!$AO$9:$AO$2668=$E80),--('Input|Historical Data'!$AY$9:$AY$2668="SCS"),--('Input|Historical Data'!$AX$9:$AX$2668=AE$5),'Input|Historical Data'!$AS$9:$AS$2668)</f>
        <v>8771.4965799999991</v>
      </c>
      <c r="AF80" s="49">
        <f>SUMPRODUCT(--('Input|Historical Data'!$AO$9:$AO$2668=$E80),--('Input|Historical Data'!$AY$9:$AY$2668="SCS"),--('Input|Historical Data'!$AX$9:$AX$2668=AF$5),'Input|Historical Data'!$AS$9:$AS$2668)</f>
        <v>1244.2571399999999</v>
      </c>
      <c r="AG80" s="49">
        <f>SUMPRODUCT(--('Input|Historical Data'!$AO$9:$AO$2668=$E80),--('Input|Historical Data'!$AY$9:$AY$2668="SCS"),--('Input|Historical Data'!$AX$9:$AX$2668=AG$5),'Input|Historical Data'!$AS$9:$AS$2668)</f>
        <v>1503.4543199999996</v>
      </c>
      <c r="AH80" s="49">
        <f>SUMPRODUCT(--('Input|Historical Data'!$AO$9:$AO$2668=$E80),--('Input|Historical Data'!$AY$9:$AY$2668="SCS"),--('Input|Historical Data'!$AW$9:$AW$2668=AH$5),'Input|Historical Data'!$AS$9:$AS$2668)</f>
        <v>1765.83293</v>
      </c>
      <c r="AI80" s="50">
        <f t="shared" si="29"/>
        <v>0.76146698189157813</v>
      </c>
      <c r="AJ80" s="50">
        <f t="shared" si="27"/>
        <v>0.1080158580068496</v>
      </c>
      <c r="AK80" s="50">
        <f t="shared" si="28"/>
        <v>0.13051716010157238</v>
      </c>
      <c r="AL80" s="50">
        <f t="shared" si="42"/>
        <v>0.14562713404397912</v>
      </c>
      <c r="AM80" s="39"/>
      <c r="AN80" s="50">
        <f t="shared" si="30"/>
        <v>0.78752879789696872</v>
      </c>
      <c r="AO80" s="50">
        <f t="shared" si="31"/>
        <v>0.1114412769870461</v>
      </c>
      <c r="AP80" s="50">
        <f t="shared" si="32"/>
        <v>0.10102992511598512</v>
      </c>
      <c r="AQ80" s="50">
        <f t="shared" si="33"/>
        <v>0.15389402539297228</v>
      </c>
      <c r="AR80" s="45"/>
    </row>
    <row r="81" spans="1:44" s="7" customFormat="1" x14ac:dyDescent="0.2">
      <c r="C81" s="39"/>
      <c r="D81" s="39"/>
      <c r="E81" s="39">
        <v>200</v>
      </c>
      <c r="F81" s="39" t="s">
        <v>2283</v>
      </c>
      <c r="G81" s="39" t="str">
        <f>VLOOKUP(E81,Mapping!$E$11:$G$96,3,0)</f>
        <v>Non-network general assets - IT</v>
      </c>
      <c r="H81" s="39" t="str">
        <f>VLOOKUP(E81,Mapping!$E$11:$K$96,7,0)</f>
        <v>Non-network general assets - IT</v>
      </c>
      <c r="I81" s="39"/>
      <c r="J81" s="49">
        <f>SUMPRODUCT(--('Input|Historical Data'!$Q$9:$Q$2561=$E81),--('Input|Historical Data'!$AA$9:$AA$2561="SCS"),--('Input|Historical Data'!$Y$9:$Y$2561=J$5),'Input|Historical Data'!$U$9:$U$2561)</f>
        <v>12827.645500000001</v>
      </c>
      <c r="K81" s="49">
        <f>SUMPRODUCT(--('Input|Historical Data'!$Q$9:$Q$2561=$E81),--('Input|Historical Data'!$AA$9:$AA$2561="SCS"),--('Input|Historical Data'!$Z$9:$Z$2561=K$5),'Input|Historical Data'!$U$9:$U$2561)</f>
        <v>11064.10245</v>
      </c>
      <c r="L81" s="49">
        <f>SUMPRODUCT(--('Input|Historical Data'!$Q$9:$Q$2561=$E81),--('Input|Historical Data'!$AA$9:$AA$2561="SCS"),--('Input|Historical Data'!$Z$9:$Z$2561=L$5),'Input|Historical Data'!$U$9:$U$2561)</f>
        <v>384.41802000000001</v>
      </c>
      <c r="M81" s="49">
        <f>SUMPRODUCT(--('Input|Historical Data'!$Q$9:$Q$2561=$E81),--('Input|Historical Data'!$AA$9:$AA$2561="SCS"),--('Input|Historical Data'!$Z$9:$Z$2561=M$5),'Input|Historical Data'!$U$9:$U$2561)</f>
        <v>-22.23047</v>
      </c>
      <c r="N81" s="49">
        <f>SUMPRODUCT(--('Input|Historical Data'!$Q$9:$Q$2561=$E81),--('Input|Historical Data'!$AA$9:$AA$2561="SCS"),--('Input|Historical Data'!$Y$9:$Y$2561=N$5),'Input|Historical Data'!$U$9:$U$2561)</f>
        <v>0</v>
      </c>
      <c r="O81" s="50">
        <f t="shared" si="34"/>
        <v>0.96830226171399481</v>
      </c>
      <c r="P81" s="50">
        <f t="shared" si="35"/>
        <v>3.364329279232367E-2</v>
      </c>
      <c r="Q81" s="50">
        <f t="shared" si="36"/>
        <v>-1.945554506318324E-3</v>
      </c>
      <c r="R81" s="50">
        <f t="shared" si="37"/>
        <v>0</v>
      </c>
      <c r="S81" s="39"/>
      <c r="T81" s="49">
        <f>SUMPRODUCT(--('Input|Historical Data'!$AC$9:$AC$2668=$E81),--('Input|Historical Data'!$AM$9:$AM$2668="SCS"),--('Input|Historical Data'!$AK$9:$AK$2668=T$5),'Input|Historical Data'!$AG$9:$AG$2668)</f>
        <v>8587.3536000000004</v>
      </c>
      <c r="U81" s="49">
        <f>SUMPRODUCT(--('Input|Historical Data'!$AC$9:$AC$2668=$E81),--('Input|Historical Data'!$AM$9:$AM$2668="SCS"),--('Input|Historical Data'!$AL$9:$AL$2668=U$5),'Input|Historical Data'!$AG$9:$AG$2668)</f>
        <v>7359.1580899999999</v>
      </c>
      <c r="V81" s="49">
        <f>SUMPRODUCT(--('Input|Historical Data'!$AC$9:$AC$2668=$E81),--('Input|Historical Data'!$AM$9:$AM$2668="SCS"),--('Input|Historical Data'!$AL$9:$AL$2668=V$5),'Input|Historical Data'!$AG$9:$AG$2668)</f>
        <v>283.15544999999997</v>
      </c>
      <c r="W81" s="49">
        <f>SUMPRODUCT(--('Input|Historical Data'!$AC$9:$AC$2668=$E81),--('Input|Historical Data'!$AM$9:$AM$2668="SCS"),--('Input|Historical Data'!$AL$9:$AL$2668=W$5),'Input|Historical Data'!$AG$9:$AG$2668)</f>
        <v>0</v>
      </c>
      <c r="X81" s="49">
        <f>SUMPRODUCT(--('Input|Historical Data'!$AC$9:$AC$2668=$E81),--('Input|Historical Data'!$AM$9:$AM$2668="SCS"),--('Input|Historical Data'!$AK$9:$AK$2668=X$5),'Input|Historical Data'!$AG$9:$AG$2668)</f>
        <v>0</v>
      </c>
      <c r="Y81" s="50">
        <f t="shared" si="38"/>
        <v>0.96294898808875617</v>
      </c>
      <c r="Z81" s="50">
        <f t="shared" si="39"/>
        <v>3.7051011911243825E-2</v>
      </c>
      <c r="AA81" s="50">
        <f t="shared" si="40"/>
        <v>0</v>
      </c>
      <c r="AB81" s="50">
        <f t="shared" si="41"/>
        <v>0</v>
      </c>
      <c r="AC81" s="39"/>
      <c r="AD81" s="49">
        <f>SUMPRODUCT(--('Input|Historical Data'!$AO$9:$AO$2668=$E81),--('Input|Historical Data'!$AY$9:$AY$2668="SCS"),--('Input|Historical Data'!$AW$9:$AW$2668=AD$5),'Input|Historical Data'!$AS$9:$AS$2668)</f>
        <v>8067.3696899999995</v>
      </c>
      <c r="AE81" s="49">
        <f>SUMPRODUCT(--('Input|Historical Data'!$AO$9:$AO$2668=$E81),--('Input|Historical Data'!$AY$9:$AY$2668="SCS"),--('Input|Historical Data'!$AX$9:$AX$2668=AE$5),'Input|Historical Data'!$AS$9:$AS$2668)</f>
        <v>7246.45064</v>
      </c>
      <c r="AF81" s="49">
        <f>SUMPRODUCT(--('Input|Historical Data'!$AO$9:$AO$2668=$E81),--('Input|Historical Data'!$AY$9:$AY$2668="SCS"),--('Input|Historical Data'!$AX$9:$AX$2668=AF$5),'Input|Historical Data'!$AS$9:$AS$2668)</f>
        <v>40.835450000000002</v>
      </c>
      <c r="AG81" s="49">
        <f>SUMPRODUCT(--('Input|Historical Data'!$AO$9:$AO$2668=$E81),--('Input|Historical Data'!$AY$9:$AY$2668="SCS"),--('Input|Historical Data'!$AX$9:$AX$2668=AG$5),'Input|Historical Data'!$AS$9:$AS$2668)</f>
        <v>0</v>
      </c>
      <c r="AH81" s="49">
        <f>SUMPRODUCT(--('Input|Historical Data'!$AO$9:$AO$2668=$E81),--('Input|Historical Data'!$AY$9:$AY$2668="SCS"),--('Input|Historical Data'!$AW$9:$AW$2668=AH$5),'Input|Historical Data'!$AS$9:$AS$2668)</f>
        <v>0</v>
      </c>
      <c r="AI81" s="50">
        <f t="shared" si="29"/>
        <v>0.99439634323454984</v>
      </c>
      <c r="AJ81" s="50">
        <f t="shared" si="27"/>
        <v>5.6036567654502503E-3</v>
      </c>
      <c r="AK81" s="50">
        <f t="shared" si="28"/>
        <v>0</v>
      </c>
      <c r="AL81" s="50">
        <f t="shared" si="42"/>
        <v>0</v>
      </c>
      <c r="AM81" s="39"/>
      <c r="AN81" s="114">
        <f>AN102</f>
        <v>0.52161804486591612</v>
      </c>
      <c r="AO81" s="114">
        <f t="shared" ref="AO81:AP81" si="43">AO102</f>
        <v>0.27280920041243295</v>
      </c>
      <c r="AP81" s="114">
        <f t="shared" si="43"/>
        <v>0.20557275472165107</v>
      </c>
      <c r="AQ81" s="50">
        <f t="shared" si="33"/>
        <v>0</v>
      </c>
      <c r="AR81" s="45"/>
    </row>
    <row r="82" spans="1:44" s="7" customFormat="1" x14ac:dyDescent="0.2">
      <c r="C82" s="39"/>
      <c r="D82" s="39"/>
      <c r="E82" s="39">
        <v>205</v>
      </c>
      <c r="F82" s="39" t="s">
        <v>2284</v>
      </c>
      <c r="G82" s="39" t="str">
        <f>VLOOKUP(E82,Mapping!$E$11:$G$96,3,0)</f>
        <v>Metering Capex</v>
      </c>
      <c r="H82" s="39" t="str">
        <f>VLOOKUP(E82,Mapping!$E$11:$K$96,7,0)</f>
        <v>Metering Services</v>
      </c>
      <c r="I82" s="39"/>
      <c r="J82" s="49">
        <f>SUMPRODUCT(--('Input|Historical Data'!$Q$9:$Q$2561=$E82),--('Input|Historical Data'!$AA$9:$AA$2561="SCS"),--('Input|Historical Data'!$Y$9:$Y$2561=J$5),'Input|Historical Data'!$U$9:$U$2561)</f>
        <v>0</v>
      </c>
      <c r="K82" s="49">
        <f>SUMPRODUCT(--('Input|Historical Data'!$Q$9:$Q$2561=$E82),--('Input|Historical Data'!$AA$9:$AA$2561="SCS"),--('Input|Historical Data'!$Z$9:$Z$2561=K$5),'Input|Historical Data'!$U$9:$U$2561)</f>
        <v>0</v>
      </c>
      <c r="L82" s="49">
        <f>SUMPRODUCT(--('Input|Historical Data'!$Q$9:$Q$2561=$E82),--('Input|Historical Data'!$AA$9:$AA$2561="SCS"),--('Input|Historical Data'!$Z$9:$Z$2561=L$5),'Input|Historical Data'!$U$9:$U$2561)</f>
        <v>0</v>
      </c>
      <c r="M82" s="49">
        <f>SUMPRODUCT(--('Input|Historical Data'!$Q$9:$Q$2561=$E82),--('Input|Historical Data'!$AA$9:$AA$2561="SCS"),--('Input|Historical Data'!$Z$9:$Z$2561=M$5),'Input|Historical Data'!$U$9:$U$2561)</f>
        <v>0</v>
      </c>
      <c r="N82" s="49">
        <f>SUMPRODUCT(--('Input|Historical Data'!$Q$9:$Q$2561=$E82),--('Input|Historical Data'!$AA$9:$AA$2561="SCS"),--('Input|Historical Data'!$Y$9:$Y$2561=N$5),'Input|Historical Data'!$U$9:$U$2561)</f>
        <v>0</v>
      </c>
      <c r="O82" s="50">
        <f t="shared" si="34"/>
        <v>0</v>
      </c>
      <c r="P82" s="50">
        <f t="shared" si="35"/>
        <v>0</v>
      </c>
      <c r="Q82" s="50">
        <f t="shared" si="36"/>
        <v>0</v>
      </c>
      <c r="R82" s="50">
        <f t="shared" si="37"/>
        <v>0</v>
      </c>
      <c r="S82" s="39"/>
      <c r="T82" s="49">
        <f>SUMPRODUCT(--('Input|Historical Data'!$AC$9:$AC$2668=$E82),--('Input|Historical Data'!$AM$9:$AM$2668="SCS"),--('Input|Historical Data'!$AK$9:$AK$2668=T$5),'Input|Historical Data'!$AG$9:$AG$2668)</f>
        <v>0</v>
      </c>
      <c r="U82" s="49">
        <f>SUMPRODUCT(--('Input|Historical Data'!$AC$9:$AC$2668=$E82),--('Input|Historical Data'!$AM$9:$AM$2668="SCS"),--('Input|Historical Data'!$AL$9:$AL$2668=U$5),'Input|Historical Data'!$AG$9:$AG$2668)</f>
        <v>0</v>
      </c>
      <c r="V82" s="49">
        <f>SUMPRODUCT(--('Input|Historical Data'!$AC$9:$AC$2668=$E82),--('Input|Historical Data'!$AM$9:$AM$2668="SCS"),--('Input|Historical Data'!$AL$9:$AL$2668=V$5),'Input|Historical Data'!$AG$9:$AG$2668)</f>
        <v>0</v>
      </c>
      <c r="W82" s="49">
        <f>SUMPRODUCT(--('Input|Historical Data'!$AC$9:$AC$2668=$E82),--('Input|Historical Data'!$AM$9:$AM$2668="SCS"),--('Input|Historical Data'!$AL$9:$AL$2668=W$5),'Input|Historical Data'!$AG$9:$AG$2668)</f>
        <v>0</v>
      </c>
      <c r="X82" s="49">
        <f>SUMPRODUCT(--('Input|Historical Data'!$AC$9:$AC$2668=$E82),--('Input|Historical Data'!$AM$9:$AM$2668="SCS"),--('Input|Historical Data'!$AK$9:$AK$2668=X$5),'Input|Historical Data'!$AG$9:$AG$2668)</f>
        <v>0</v>
      </c>
      <c r="Y82" s="50">
        <f t="shared" si="38"/>
        <v>0</v>
      </c>
      <c r="Z82" s="50">
        <f t="shared" si="39"/>
        <v>0</v>
      </c>
      <c r="AA82" s="50">
        <f t="shared" si="40"/>
        <v>0</v>
      </c>
      <c r="AB82" s="50">
        <f t="shared" si="41"/>
        <v>0</v>
      </c>
      <c r="AC82" s="39"/>
      <c r="AD82" s="49">
        <f>SUMPRODUCT(--('Input|Historical Data'!$AO$9:$AO$2668=$E82),--('Input|Historical Data'!$AY$9:$AY$2668="SCS"),--('Input|Historical Data'!$AW$9:$AW$2668=AD$5),'Input|Historical Data'!$AS$9:$AS$2668)</f>
        <v>0</v>
      </c>
      <c r="AE82" s="49">
        <f>SUMPRODUCT(--('Input|Historical Data'!$AO$9:$AO$2668=$E82),--('Input|Historical Data'!$AY$9:$AY$2668="SCS"),--('Input|Historical Data'!$AX$9:$AX$2668=AE$5),'Input|Historical Data'!$AS$9:$AS$2668)</f>
        <v>0</v>
      </c>
      <c r="AF82" s="49">
        <f>SUMPRODUCT(--('Input|Historical Data'!$AO$9:$AO$2668=$E82),--('Input|Historical Data'!$AY$9:$AY$2668="SCS"),--('Input|Historical Data'!$AX$9:$AX$2668=AF$5),'Input|Historical Data'!$AS$9:$AS$2668)</f>
        <v>0</v>
      </c>
      <c r="AG82" s="49">
        <f>SUMPRODUCT(--('Input|Historical Data'!$AO$9:$AO$2668=$E82),--('Input|Historical Data'!$AY$9:$AY$2668="SCS"),--('Input|Historical Data'!$AX$9:$AX$2668=AG$5),'Input|Historical Data'!$AS$9:$AS$2668)</f>
        <v>0</v>
      </c>
      <c r="AH82" s="49">
        <f>SUMPRODUCT(--('Input|Historical Data'!$AO$9:$AO$2668=$E82),--('Input|Historical Data'!$AY$9:$AY$2668="SCS"),--('Input|Historical Data'!$AW$9:$AW$2668=AH$5),'Input|Historical Data'!$AS$9:$AS$2668)</f>
        <v>0</v>
      </c>
      <c r="AI82" s="50">
        <f t="shared" si="29"/>
        <v>0</v>
      </c>
      <c r="AJ82" s="50">
        <f t="shared" si="27"/>
        <v>0</v>
      </c>
      <c r="AK82" s="50">
        <f t="shared" si="28"/>
        <v>0</v>
      </c>
      <c r="AL82" s="50">
        <f t="shared" si="42"/>
        <v>0</v>
      </c>
      <c r="AM82" s="39"/>
      <c r="AN82" s="50">
        <f t="shared" ref="AN82" si="44">IFERROR(SUM(K82,U82,AE82)/SUM($K82:$M82,$U82:$W82,$AE82:$AG82),0)</f>
        <v>0</v>
      </c>
      <c r="AO82" s="50">
        <f t="shared" ref="AO82" si="45">IFERROR(SUM(L82,V82,AF82)/SUM($K82:$M82,$U82:$W82,$AE82:$AG82),0)</f>
        <v>0</v>
      </c>
      <c r="AP82" s="50">
        <f t="shared" ref="AP82" si="46">IFERROR(SUM(M82,W82,AG82)/SUM($K82:$M82,$U82:$W82,$AE82:$AG82),0)</f>
        <v>0</v>
      </c>
      <c r="AQ82" s="50">
        <f t="shared" si="33"/>
        <v>0</v>
      </c>
      <c r="AR82" s="45"/>
    </row>
    <row r="83" spans="1:44" s="7" customFormat="1" x14ac:dyDescent="0.2">
      <c r="C83" s="39"/>
      <c r="D83" s="39"/>
      <c r="E83" s="39">
        <v>210</v>
      </c>
      <c r="F83" s="39" t="s">
        <v>2285</v>
      </c>
      <c r="G83" s="39" t="str">
        <f>VLOOKUP(E83,Mapping!$E$11:$G$96,3,0)</f>
        <v>Non-network general assets - Other</v>
      </c>
      <c r="H83" s="39" t="str">
        <f>VLOOKUP(E83,Mapping!$E$11:$K$96,7,0)</f>
        <v>Non-network general assets - Other</v>
      </c>
      <c r="I83" s="39"/>
      <c r="J83" s="49">
        <f>SUMPRODUCT(--('Input|Historical Data'!$Q$9:$Q$2561=$E83),--('Input|Historical Data'!$AA$9:$AA$2561="SCS"),--('Input|Historical Data'!$Y$9:$Y$2561=J$5),'Input|Historical Data'!$U$9:$U$2561)</f>
        <v>65.245810000000006</v>
      </c>
      <c r="K83" s="49">
        <f>SUMPRODUCT(--('Input|Historical Data'!$Q$9:$Q$2561=$E83),--('Input|Historical Data'!$AA$9:$AA$2561="SCS"),--('Input|Historical Data'!$Z$9:$Z$2561=K$5),'Input|Historical Data'!$U$9:$U$2561)</f>
        <v>0</v>
      </c>
      <c r="L83" s="49">
        <f>SUMPRODUCT(--('Input|Historical Data'!$Q$9:$Q$2561=$E83),--('Input|Historical Data'!$AA$9:$AA$2561="SCS"),--('Input|Historical Data'!$Z$9:$Z$2561=L$5),'Input|Historical Data'!$U$9:$U$2561)</f>
        <v>65.245810000000006</v>
      </c>
      <c r="M83" s="49">
        <f>SUMPRODUCT(--('Input|Historical Data'!$Q$9:$Q$2561=$E83),--('Input|Historical Data'!$AA$9:$AA$2561="SCS"),--('Input|Historical Data'!$Z$9:$Z$2561=M$5),'Input|Historical Data'!$U$9:$U$2561)</f>
        <v>0</v>
      </c>
      <c r="N83" s="49">
        <f>SUMPRODUCT(--('Input|Historical Data'!$Q$9:$Q$2561=$E83),--('Input|Historical Data'!$AA$9:$AA$2561="SCS"),--('Input|Historical Data'!$Y$9:$Y$2561=N$5),'Input|Historical Data'!$U$9:$U$2561)</f>
        <v>0</v>
      </c>
      <c r="O83" s="50">
        <f t="shared" si="34"/>
        <v>0</v>
      </c>
      <c r="P83" s="50">
        <f t="shared" si="35"/>
        <v>1</v>
      </c>
      <c r="Q83" s="50">
        <f t="shared" si="36"/>
        <v>0</v>
      </c>
      <c r="R83" s="50">
        <f t="shared" si="37"/>
        <v>0</v>
      </c>
      <c r="S83" s="39"/>
      <c r="T83" s="49">
        <f>SUMPRODUCT(--('Input|Historical Data'!$AC$9:$AC$2668=$E83),--('Input|Historical Data'!$AM$9:$AM$2668="SCS"),--('Input|Historical Data'!$AK$9:$AK$2668=T$5),'Input|Historical Data'!$AG$9:$AG$2668)</f>
        <v>150.07804999999999</v>
      </c>
      <c r="U83" s="49">
        <f>SUMPRODUCT(--('Input|Historical Data'!$AC$9:$AC$2668=$E83),--('Input|Historical Data'!$AM$9:$AM$2668="SCS"),--('Input|Historical Data'!$AL$9:$AL$2668=U$5),'Input|Historical Data'!$AG$9:$AG$2668)</f>
        <v>0</v>
      </c>
      <c r="V83" s="49">
        <f>SUMPRODUCT(--('Input|Historical Data'!$AC$9:$AC$2668=$E83),--('Input|Historical Data'!$AM$9:$AM$2668="SCS"),--('Input|Historical Data'!$AL$9:$AL$2668=V$5),'Input|Historical Data'!$AG$9:$AG$2668)</f>
        <v>150.07804999999999</v>
      </c>
      <c r="W83" s="49">
        <f>SUMPRODUCT(--('Input|Historical Data'!$AC$9:$AC$2668=$E83),--('Input|Historical Data'!$AM$9:$AM$2668="SCS"),--('Input|Historical Data'!$AL$9:$AL$2668=W$5),'Input|Historical Data'!$AG$9:$AG$2668)</f>
        <v>0</v>
      </c>
      <c r="X83" s="49">
        <f>SUMPRODUCT(--('Input|Historical Data'!$AC$9:$AC$2668=$E83),--('Input|Historical Data'!$AM$9:$AM$2668="SCS"),--('Input|Historical Data'!$AK$9:$AK$2668=X$5),'Input|Historical Data'!$AG$9:$AG$2668)</f>
        <v>0</v>
      </c>
      <c r="Y83" s="50">
        <f t="shared" si="38"/>
        <v>0</v>
      </c>
      <c r="Z83" s="50">
        <f t="shared" si="39"/>
        <v>1</v>
      </c>
      <c r="AA83" s="50">
        <f t="shared" si="40"/>
        <v>0</v>
      </c>
      <c r="AB83" s="50">
        <f t="shared" si="41"/>
        <v>0</v>
      </c>
      <c r="AC83" s="39"/>
      <c r="AD83" s="49">
        <f>SUMPRODUCT(--('Input|Historical Data'!$AO$9:$AO$2668=$E83),--('Input|Historical Data'!$AY$9:$AY$2668="SCS"),--('Input|Historical Data'!$AW$9:$AW$2668=AD$5),'Input|Historical Data'!$AS$9:$AS$2668)</f>
        <v>245.73042000000001</v>
      </c>
      <c r="AE83" s="49">
        <f>SUMPRODUCT(--('Input|Historical Data'!$AO$9:$AO$2668=$E83),--('Input|Historical Data'!$AY$9:$AY$2668="SCS"),--('Input|Historical Data'!$AX$9:$AX$2668=AE$5),'Input|Historical Data'!$AS$9:$AS$2668)</f>
        <v>0</v>
      </c>
      <c r="AF83" s="49">
        <f>SUMPRODUCT(--('Input|Historical Data'!$AO$9:$AO$2668=$E83),--('Input|Historical Data'!$AY$9:$AY$2668="SCS"),--('Input|Historical Data'!$AX$9:$AX$2668=AF$5),'Input|Historical Data'!$AS$9:$AS$2668)</f>
        <v>245.73042000000001</v>
      </c>
      <c r="AG83" s="49">
        <f>SUMPRODUCT(--('Input|Historical Data'!$AO$9:$AO$2668=$E83),--('Input|Historical Data'!$AY$9:$AY$2668="SCS"),--('Input|Historical Data'!$AX$9:$AX$2668=AG$5),'Input|Historical Data'!$AS$9:$AS$2668)</f>
        <v>0</v>
      </c>
      <c r="AH83" s="49">
        <f>SUMPRODUCT(--('Input|Historical Data'!$AO$9:$AO$2668=$E83),--('Input|Historical Data'!$AY$9:$AY$2668="SCS"),--('Input|Historical Data'!$AW$9:$AW$2668=AH$5),'Input|Historical Data'!$AS$9:$AS$2668)</f>
        <v>0</v>
      </c>
      <c r="AI83" s="50">
        <f t="shared" si="29"/>
        <v>0</v>
      </c>
      <c r="AJ83" s="50">
        <f t="shared" si="27"/>
        <v>1</v>
      </c>
      <c r="AK83" s="50">
        <f t="shared" si="28"/>
        <v>0</v>
      </c>
      <c r="AL83" s="50">
        <f t="shared" si="42"/>
        <v>0</v>
      </c>
      <c r="AM83" s="39"/>
      <c r="AN83" s="114">
        <v>0</v>
      </c>
      <c r="AO83" s="114">
        <v>0.79999999999999993</v>
      </c>
      <c r="AP83" s="114">
        <v>0.19999999999999998</v>
      </c>
      <c r="AQ83" s="50">
        <f t="shared" si="33"/>
        <v>0</v>
      </c>
      <c r="AR83" s="45"/>
    </row>
    <row r="84" spans="1:44" s="7" customFormat="1" x14ac:dyDescent="0.2">
      <c r="C84" s="39"/>
      <c r="D84" s="39"/>
      <c r="E84" s="39">
        <v>215</v>
      </c>
      <c r="F84" s="39" t="s">
        <v>2286</v>
      </c>
      <c r="G84" s="39" t="str">
        <f>VLOOKUP(E84,Mapping!$E$11:$G$96,3,0)</f>
        <v>Metering Capex</v>
      </c>
      <c r="H84" s="39" t="str">
        <f>VLOOKUP(E84,Mapping!$E$11:$K$96,7,0)</f>
        <v>Metering Services</v>
      </c>
      <c r="I84" s="39"/>
      <c r="J84" s="49">
        <f>SUMPRODUCT(--('Input|Historical Data'!$Q$9:$Q$2561=$E84),--('Input|Historical Data'!$AA$9:$AA$2561="SCS"),--('Input|Historical Data'!$Y$9:$Y$2561=J$5),'Input|Historical Data'!$U$9:$U$2561)</f>
        <v>0</v>
      </c>
      <c r="K84" s="49">
        <f>SUMPRODUCT(--('Input|Historical Data'!$Q$9:$Q$2561=$E84),--('Input|Historical Data'!$AA$9:$AA$2561="SCS"),--('Input|Historical Data'!$Z$9:$Z$2561=K$5),'Input|Historical Data'!$U$9:$U$2561)</f>
        <v>0</v>
      </c>
      <c r="L84" s="49">
        <f>SUMPRODUCT(--('Input|Historical Data'!$Q$9:$Q$2561=$E84),--('Input|Historical Data'!$AA$9:$AA$2561="SCS"),--('Input|Historical Data'!$Z$9:$Z$2561=L$5),'Input|Historical Data'!$U$9:$U$2561)</f>
        <v>0</v>
      </c>
      <c r="M84" s="49">
        <f>SUMPRODUCT(--('Input|Historical Data'!$Q$9:$Q$2561=$E84),--('Input|Historical Data'!$AA$9:$AA$2561="SCS"),--('Input|Historical Data'!$Z$9:$Z$2561=M$5),'Input|Historical Data'!$U$9:$U$2561)</f>
        <v>0</v>
      </c>
      <c r="N84" s="49">
        <f>SUMPRODUCT(--('Input|Historical Data'!$Q$9:$Q$2561=$E84),--('Input|Historical Data'!$AA$9:$AA$2561="SCS"),--('Input|Historical Data'!$Y$9:$Y$2561=N$5),'Input|Historical Data'!$U$9:$U$2561)</f>
        <v>0</v>
      </c>
      <c r="O84" s="50">
        <f t="shared" si="34"/>
        <v>0</v>
      </c>
      <c r="P84" s="50">
        <f t="shared" si="35"/>
        <v>0</v>
      </c>
      <c r="Q84" s="50">
        <f t="shared" si="36"/>
        <v>0</v>
      </c>
      <c r="R84" s="50">
        <f t="shared" si="37"/>
        <v>0</v>
      </c>
      <c r="S84" s="39"/>
      <c r="T84" s="49">
        <f>SUMPRODUCT(--('Input|Historical Data'!$AC$9:$AC$2668=$E84),--('Input|Historical Data'!$AM$9:$AM$2668="SCS"),--('Input|Historical Data'!$AK$9:$AK$2668=T$5),'Input|Historical Data'!$AG$9:$AG$2668)</f>
        <v>0</v>
      </c>
      <c r="U84" s="49">
        <f>SUMPRODUCT(--('Input|Historical Data'!$AC$9:$AC$2668=$E84),--('Input|Historical Data'!$AM$9:$AM$2668="SCS"),--('Input|Historical Data'!$AL$9:$AL$2668=U$5),'Input|Historical Data'!$AG$9:$AG$2668)</f>
        <v>0</v>
      </c>
      <c r="V84" s="49">
        <f>SUMPRODUCT(--('Input|Historical Data'!$AC$9:$AC$2668=$E84),--('Input|Historical Data'!$AM$9:$AM$2668="SCS"),--('Input|Historical Data'!$AL$9:$AL$2668=V$5),'Input|Historical Data'!$AG$9:$AG$2668)</f>
        <v>0</v>
      </c>
      <c r="W84" s="49">
        <f>SUMPRODUCT(--('Input|Historical Data'!$AC$9:$AC$2668=$E84),--('Input|Historical Data'!$AM$9:$AM$2668="SCS"),--('Input|Historical Data'!$AL$9:$AL$2668=W$5),'Input|Historical Data'!$AG$9:$AG$2668)</f>
        <v>0</v>
      </c>
      <c r="X84" s="49">
        <f>SUMPRODUCT(--('Input|Historical Data'!$AC$9:$AC$2668=$E84),--('Input|Historical Data'!$AM$9:$AM$2668="SCS"),--('Input|Historical Data'!$AK$9:$AK$2668=X$5),'Input|Historical Data'!$AG$9:$AG$2668)</f>
        <v>0</v>
      </c>
      <c r="Y84" s="50">
        <f t="shared" si="38"/>
        <v>0</v>
      </c>
      <c r="Z84" s="50">
        <f t="shared" si="39"/>
        <v>0</v>
      </c>
      <c r="AA84" s="50">
        <f t="shared" si="40"/>
        <v>0</v>
      </c>
      <c r="AB84" s="50">
        <f t="shared" si="41"/>
        <v>0</v>
      </c>
      <c r="AC84" s="39"/>
      <c r="AD84" s="49">
        <f>SUMPRODUCT(--('Input|Historical Data'!$AO$9:$AO$2668=$E84),--('Input|Historical Data'!$AY$9:$AY$2668="SCS"),--('Input|Historical Data'!$AW$9:$AW$2668=AD$5),'Input|Historical Data'!$AS$9:$AS$2668)</f>
        <v>0</v>
      </c>
      <c r="AE84" s="49">
        <f>SUMPRODUCT(--('Input|Historical Data'!$AO$9:$AO$2668=$E84),--('Input|Historical Data'!$AY$9:$AY$2668="SCS"),--('Input|Historical Data'!$AX$9:$AX$2668=AE$5),'Input|Historical Data'!$AS$9:$AS$2668)</f>
        <v>0</v>
      </c>
      <c r="AF84" s="49">
        <f>SUMPRODUCT(--('Input|Historical Data'!$AO$9:$AO$2668=$E84),--('Input|Historical Data'!$AY$9:$AY$2668="SCS"),--('Input|Historical Data'!$AX$9:$AX$2668=AF$5),'Input|Historical Data'!$AS$9:$AS$2668)</f>
        <v>0</v>
      </c>
      <c r="AG84" s="49">
        <f>SUMPRODUCT(--('Input|Historical Data'!$AO$9:$AO$2668=$E84),--('Input|Historical Data'!$AY$9:$AY$2668="SCS"),--('Input|Historical Data'!$AX$9:$AX$2668=AG$5),'Input|Historical Data'!$AS$9:$AS$2668)</f>
        <v>0</v>
      </c>
      <c r="AH84" s="49">
        <f>SUMPRODUCT(--('Input|Historical Data'!$AO$9:$AO$2668=$E84),--('Input|Historical Data'!$AY$9:$AY$2668="SCS"),--('Input|Historical Data'!$AW$9:$AW$2668=AH$5),'Input|Historical Data'!$AS$9:$AS$2668)</f>
        <v>0</v>
      </c>
      <c r="AI84" s="50">
        <f t="shared" si="29"/>
        <v>0</v>
      </c>
      <c r="AJ84" s="50">
        <f t="shared" si="27"/>
        <v>0</v>
      </c>
      <c r="AK84" s="50">
        <f t="shared" si="28"/>
        <v>0</v>
      </c>
      <c r="AL84" s="50">
        <f t="shared" si="42"/>
        <v>0</v>
      </c>
      <c r="AM84" s="39"/>
      <c r="AN84" s="50">
        <f t="shared" ref="AN84:AN86" si="47">IFERROR(SUM(K84,U84,AE84)/SUM($K84:$M84,$U84:$W84,$AE84:$AG84),0)</f>
        <v>0</v>
      </c>
      <c r="AO84" s="50">
        <f t="shared" ref="AO84:AO86" si="48">IFERROR(SUM(L84,V84,AF84)/SUM($K84:$M84,$U84:$W84,$AE84:$AG84),0)</f>
        <v>0</v>
      </c>
      <c r="AP84" s="50">
        <f t="shared" ref="AP84:AP86" si="49">IFERROR(SUM(M84,W84,AG84)/SUM($K84:$M84,$U84:$W84,$AE84:$AG84),0)</f>
        <v>0</v>
      </c>
      <c r="AQ84" s="50">
        <f t="shared" si="33"/>
        <v>0</v>
      </c>
      <c r="AR84" s="45"/>
    </row>
    <row r="85" spans="1:44" s="7" customFormat="1" x14ac:dyDescent="0.2">
      <c r="C85" s="39"/>
      <c r="D85" s="39"/>
      <c r="E85" s="39">
        <v>220</v>
      </c>
      <c r="F85" s="39" t="s">
        <v>2287</v>
      </c>
      <c r="G85" s="39" t="str">
        <f>VLOOKUP(E85,Mapping!$E$11:$G$96,3,0)</f>
        <v>Non-network general assets - Other</v>
      </c>
      <c r="H85" s="39" t="str">
        <f>VLOOKUP(E85,Mapping!$E$11:$K$96,7,0)</f>
        <v>Non-network general assets - Other</v>
      </c>
      <c r="I85" s="39"/>
      <c r="J85" s="49">
        <f>SUMPRODUCT(--('Input|Historical Data'!$Q$9:$Q$2561=$E85),--('Input|Historical Data'!$AA$9:$AA$2561="SCS"),--('Input|Historical Data'!$Y$9:$Y$2561=J$5),'Input|Historical Data'!$U$9:$U$2561)</f>
        <v>0</v>
      </c>
      <c r="K85" s="49">
        <f>SUMPRODUCT(--('Input|Historical Data'!$Q$9:$Q$2561=$E85),--('Input|Historical Data'!$AA$9:$AA$2561="SCS"),--('Input|Historical Data'!$Z$9:$Z$2561=K$5),'Input|Historical Data'!$U$9:$U$2561)</f>
        <v>0</v>
      </c>
      <c r="L85" s="49">
        <f>SUMPRODUCT(--('Input|Historical Data'!$Q$9:$Q$2561=$E85),--('Input|Historical Data'!$AA$9:$AA$2561="SCS"),--('Input|Historical Data'!$Z$9:$Z$2561=L$5),'Input|Historical Data'!$U$9:$U$2561)</f>
        <v>0</v>
      </c>
      <c r="M85" s="49">
        <f>SUMPRODUCT(--('Input|Historical Data'!$Q$9:$Q$2561=$E85),--('Input|Historical Data'!$AA$9:$AA$2561="SCS"),--('Input|Historical Data'!$Z$9:$Z$2561=M$5),'Input|Historical Data'!$U$9:$U$2561)</f>
        <v>0</v>
      </c>
      <c r="N85" s="49">
        <f>SUMPRODUCT(--('Input|Historical Data'!$Q$9:$Q$2561=$E85),--('Input|Historical Data'!$AA$9:$AA$2561="SCS"),--('Input|Historical Data'!$Y$9:$Y$2561=N$5),'Input|Historical Data'!$U$9:$U$2561)</f>
        <v>0</v>
      </c>
      <c r="O85" s="50">
        <f t="shared" si="34"/>
        <v>0</v>
      </c>
      <c r="P85" s="50">
        <f t="shared" si="35"/>
        <v>0</v>
      </c>
      <c r="Q85" s="50">
        <f t="shared" si="36"/>
        <v>0</v>
      </c>
      <c r="R85" s="50">
        <f t="shared" si="37"/>
        <v>0</v>
      </c>
      <c r="S85" s="39"/>
      <c r="T85" s="49">
        <f>SUMPRODUCT(--('Input|Historical Data'!$AC$9:$AC$2668=$E85),--('Input|Historical Data'!$AM$9:$AM$2668="SCS"),--('Input|Historical Data'!$AK$9:$AK$2668=T$5),'Input|Historical Data'!$AG$9:$AG$2668)</f>
        <v>0</v>
      </c>
      <c r="U85" s="49">
        <f>SUMPRODUCT(--('Input|Historical Data'!$AC$9:$AC$2668=$E85),--('Input|Historical Data'!$AM$9:$AM$2668="SCS"),--('Input|Historical Data'!$AL$9:$AL$2668=U$5),'Input|Historical Data'!$AG$9:$AG$2668)</f>
        <v>0</v>
      </c>
      <c r="V85" s="49">
        <f>SUMPRODUCT(--('Input|Historical Data'!$AC$9:$AC$2668=$E85),--('Input|Historical Data'!$AM$9:$AM$2668="SCS"),--('Input|Historical Data'!$AL$9:$AL$2668=V$5),'Input|Historical Data'!$AG$9:$AG$2668)</f>
        <v>0</v>
      </c>
      <c r="W85" s="49">
        <f>SUMPRODUCT(--('Input|Historical Data'!$AC$9:$AC$2668=$E85),--('Input|Historical Data'!$AM$9:$AM$2668="SCS"),--('Input|Historical Data'!$AL$9:$AL$2668=W$5),'Input|Historical Data'!$AG$9:$AG$2668)</f>
        <v>0</v>
      </c>
      <c r="X85" s="49">
        <f>SUMPRODUCT(--('Input|Historical Data'!$AC$9:$AC$2668=$E85),--('Input|Historical Data'!$AM$9:$AM$2668="SCS"),--('Input|Historical Data'!$AK$9:$AK$2668=X$5),'Input|Historical Data'!$AG$9:$AG$2668)</f>
        <v>0</v>
      </c>
      <c r="Y85" s="50">
        <f t="shared" si="38"/>
        <v>0</v>
      </c>
      <c r="Z85" s="50">
        <f t="shared" si="39"/>
        <v>0</v>
      </c>
      <c r="AA85" s="50">
        <f t="shared" si="40"/>
        <v>0</v>
      </c>
      <c r="AB85" s="50">
        <f t="shared" si="41"/>
        <v>0</v>
      </c>
      <c r="AC85" s="39"/>
      <c r="AD85" s="49">
        <f>SUMPRODUCT(--('Input|Historical Data'!$AO$9:$AO$2668=$E85),--('Input|Historical Data'!$AY$9:$AY$2668="SCS"),--('Input|Historical Data'!$AW$9:$AW$2668=AD$5),'Input|Historical Data'!$AS$9:$AS$2668)</f>
        <v>0</v>
      </c>
      <c r="AE85" s="49">
        <f>SUMPRODUCT(--('Input|Historical Data'!$AO$9:$AO$2668=$E85),--('Input|Historical Data'!$AY$9:$AY$2668="SCS"),--('Input|Historical Data'!$AX$9:$AX$2668=AE$5),'Input|Historical Data'!$AS$9:$AS$2668)</f>
        <v>0</v>
      </c>
      <c r="AF85" s="49">
        <f>SUMPRODUCT(--('Input|Historical Data'!$AO$9:$AO$2668=$E85),--('Input|Historical Data'!$AY$9:$AY$2668="SCS"),--('Input|Historical Data'!$AX$9:$AX$2668=AF$5),'Input|Historical Data'!$AS$9:$AS$2668)</f>
        <v>0</v>
      </c>
      <c r="AG85" s="49">
        <f>SUMPRODUCT(--('Input|Historical Data'!$AO$9:$AO$2668=$E85),--('Input|Historical Data'!$AY$9:$AY$2668="SCS"),--('Input|Historical Data'!$AX$9:$AX$2668=AG$5),'Input|Historical Data'!$AS$9:$AS$2668)</f>
        <v>0</v>
      </c>
      <c r="AH85" s="49">
        <f>SUMPRODUCT(--('Input|Historical Data'!$AO$9:$AO$2668=$E85),--('Input|Historical Data'!$AY$9:$AY$2668="SCS"),--('Input|Historical Data'!$AW$9:$AW$2668=AH$5),'Input|Historical Data'!$AS$9:$AS$2668)</f>
        <v>0</v>
      </c>
      <c r="AI85" s="50">
        <f t="shared" si="29"/>
        <v>0</v>
      </c>
      <c r="AJ85" s="50">
        <f t="shared" si="27"/>
        <v>0</v>
      </c>
      <c r="AK85" s="50">
        <f t="shared" si="28"/>
        <v>0</v>
      </c>
      <c r="AL85" s="50">
        <f t="shared" si="42"/>
        <v>0</v>
      </c>
      <c r="AM85" s="39"/>
      <c r="AN85" s="50">
        <f t="shared" si="47"/>
        <v>0</v>
      </c>
      <c r="AO85" s="50">
        <f t="shared" si="48"/>
        <v>0</v>
      </c>
      <c r="AP85" s="50">
        <f t="shared" si="49"/>
        <v>0</v>
      </c>
      <c r="AQ85" s="50">
        <f t="shared" si="33"/>
        <v>0</v>
      </c>
      <c r="AR85" s="45"/>
    </row>
    <row r="86" spans="1:44" s="7" customFormat="1" x14ac:dyDescent="0.2">
      <c r="C86" s="39"/>
      <c r="D86" s="39"/>
      <c r="E86" s="39">
        <v>225</v>
      </c>
      <c r="F86" s="39" t="s">
        <v>2288</v>
      </c>
      <c r="G86" s="39" t="str">
        <f>VLOOKUP(E86,Mapping!$E$11:$G$96,3,0)</f>
        <v>Metering Capex</v>
      </c>
      <c r="H86" s="39" t="str">
        <f>VLOOKUP(E86,Mapping!$E$11:$K$96,7,0)</f>
        <v>Metering Services</v>
      </c>
      <c r="I86" s="39"/>
      <c r="J86" s="49">
        <f>SUMPRODUCT(--('Input|Historical Data'!$Q$9:$Q$2561=$E86),--('Input|Historical Data'!$AA$9:$AA$2561="SCS"),--('Input|Historical Data'!$Y$9:$Y$2561=J$5),'Input|Historical Data'!$U$9:$U$2561)</f>
        <v>0</v>
      </c>
      <c r="K86" s="49">
        <f>SUMPRODUCT(--('Input|Historical Data'!$Q$9:$Q$2561=$E86),--('Input|Historical Data'!$AA$9:$AA$2561="SCS"),--('Input|Historical Data'!$Z$9:$Z$2561=K$5),'Input|Historical Data'!$U$9:$U$2561)</f>
        <v>0</v>
      </c>
      <c r="L86" s="49">
        <f>SUMPRODUCT(--('Input|Historical Data'!$Q$9:$Q$2561=$E86),--('Input|Historical Data'!$AA$9:$AA$2561="SCS"),--('Input|Historical Data'!$Z$9:$Z$2561=L$5),'Input|Historical Data'!$U$9:$U$2561)</f>
        <v>0</v>
      </c>
      <c r="M86" s="49">
        <f>SUMPRODUCT(--('Input|Historical Data'!$Q$9:$Q$2561=$E86),--('Input|Historical Data'!$AA$9:$AA$2561="SCS"),--('Input|Historical Data'!$Z$9:$Z$2561=M$5),'Input|Historical Data'!$U$9:$U$2561)</f>
        <v>0</v>
      </c>
      <c r="N86" s="49">
        <f>SUMPRODUCT(--('Input|Historical Data'!$Q$9:$Q$2561=$E86),--('Input|Historical Data'!$AA$9:$AA$2561="SCS"),--('Input|Historical Data'!$Y$9:$Y$2561=N$5),'Input|Historical Data'!$U$9:$U$2561)</f>
        <v>0</v>
      </c>
      <c r="O86" s="50">
        <f t="shared" si="34"/>
        <v>0</v>
      </c>
      <c r="P86" s="50">
        <f t="shared" si="35"/>
        <v>0</v>
      </c>
      <c r="Q86" s="50">
        <f t="shared" si="36"/>
        <v>0</v>
      </c>
      <c r="R86" s="50">
        <f t="shared" si="37"/>
        <v>0</v>
      </c>
      <c r="S86" s="39"/>
      <c r="T86" s="49">
        <f>SUMPRODUCT(--('Input|Historical Data'!$AC$9:$AC$2668=$E86),--('Input|Historical Data'!$AM$9:$AM$2668="SCS"),--('Input|Historical Data'!$AK$9:$AK$2668=T$5),'Input|Historical Data'!$AG$9:$AG$2668)</f>
        <v>0</v>
      </c>
      <c r="U86" s="49">
        <f>SUMPRODUCT(--('Input|Historical Data'!$AC$9:$AC$2668=$E86),--('Input|Historical Data'!$AM$9:$AM$2668="SCS"),--('Input|Historical Data'!$AL$9:$AL$2668=U$5),'Input|Historical Data'!$AG$9:$AG$2668)</f>
        <v>0</v>
      </c>
      <c r="V86" s="49">
        <f>SUMPRODUCT(--('Input|Historical Data'!$AC$9:$AC$2668=$E86),--('Input|Historical Data'!$AM$9:$AM$2668="SCS"),--('Input|Historical Data'!$AL$9:$AL$2668=V$5),'Input|Historical Data'!$AG$9:$AG$2668)</f>
        <v>0</v>
      </c>
      <c r="W86" s="49">
        <f>SUMPRODUCT(--('Input|Historical Data'!$AC$9:$AC$2668=$E86),--('Input|Historical Data'!$AM$9:$AM$2668="SCS"),--('Input|Historical Data'!$AL$9:$AL$2668=W$5),'Input|Historical Data'!$AG$9:$AG$2668)</f>
        <v>0</v>
      </c>
      <c r="X86" s="49">
        <f>SUMPRODUCT(--('Input|Historical Data'!$AC$9:$AC$2668=$E86),--('Input|Historical Data'!$AM$9:$AM$2668="SCS"),--('Input|Historical Data'!$AK$9:$AK$2668=X$5),'Input|Historical Data'!$AG$9:$AG$2668)</f>
        <v>0</v>
      </c>
      <c r="Y86" s="50">
        <f t="shared" si="38"/>
        <v>0</v>
      </c>
      <c r="Z86" s="50">
        <f t="shared" si="39"/>
        <v>0</v>
      </c>
      <c r="AA86" s="50">
        <f t="shared" si="40"/>
        <v>0</v>
      </c>
      <c r="AB86" s="50">
        <f t="shared" si="41"/>
        <v>0</v>
      </c>
      <c r="AC86" s="39"/>
      <c r="AD86" s="49">
        <f>SUMPRODUCT(--('Input|Historical Data'!$AO$9:$AO$2668=$E86),--('Input|Historical Data'!$AY$9:$AY$2668="SCS"),--('Input|Historical Data'!$AW$9:$AW$2668=AD$5),'Input|Historical Data'!$AS$9:$AS$2668)</f>
        <v>0</v>
      </c>
      <c r="AE86" s="49">
        <f>SUMPRODUCT(--('Input|Historical Data'!$AO$9:$AO$2668=$E86),--('Input|Historical Data'!$AY$9:$AY$2668="SCS"),--('Input|Historical Data'!$AX$9:$AX$2668=AE$5),'Input|Historical Data'!$AS$9:$AS$2668)</f>
        <v>0</v>
      </c>
      <c r="AF86" s="49">
        <f>SUMPRODUCT(--('Input|Historical Data'!$AO$9:$AO$2668=$E86),--('Input|Historical Data'!$AY$9:$AY$2668="SCS"),--('Input|Historical Data'!$AX$9:$AX$2668=AF$5),'Input|Historical Data'!$AS$9:$AS$2668)</f>
        <v>0</v>
      </c>
      <c r="AG86" s="49">
        <f>SUMPRODUCT(--('Input|Historical Data'!$AO$9:$AO$2668=$E86),--('Input|Historical Data'!$AY$9:$AY$2668="SCS"),--('Input|Historical Data'!$AX$9:$AX$2668=AG$5),'Input|Historical Data'!$AS$9:$AS$2668)</f>
        <v>0</v>
      </c>
      <c r="AH86" s="49">
        <f>SUMPRODUCT(--('Input|Historical Data'!$AO$9:$AO$2668=$E86),--('Input|Historical Data'!$AY$9:$AY$2668="SCS"),--('Input|Historical Data'!$AW$9:$AW$2668=AH$5),'Input|Historical Data'!$AS$9:$AS$2668)</f>
        <v>0</v>
      </c>
      <c r="AI86" s="50">
        <f t="shared" si="29"/>
        <v>0</v>
      </c>
      <c r="AJ86" s="50">
        <f t="shared" si="27"/>
        <v>0</v>
      </c>
      <c r="AK86" s="50">
        <f t="shared" si="28"/>
        <v>0</v>
      </c>
      <c r="AL86" s="50">
        <f t="shared" si="42"/>
        <v>0</v>
      </c>
      <c r="AM86" s="39"/>
      <c r="AN86" s="50">
        <f t="shared" si="47"/>
        <v>0</v>
      </c>
      <c r="AO86" s="50">
        <f t="shared" si="48"/>
        <v>0</v>
      </c>
      <c r="AP86" s="50">
        <f t="shared" si="49"/>
        <v>0</v>
      </c>
      <c r="AQ86" s="50">
        <f t="shared" si="33"/>
        <v>0</v>
      </c>
      <c r="AR86" s="45"/>
    </row>
    <row r="87" spans="1:44" s="7" customFormat="1" x14ac:dyDescent="0.2">
      <c r="C87" s="39"/>
      <c r="D87" s="39"/>
      <c r="E87" s="39">
        <v>230</v>
      </c>
      <c r="F87" s="39" t="s">
        <v>2289</v>
      </c>
      <c r="G87" s="39" t="str">
        <f>VLOOKUP(E87,Mapping!$E$11:$G$96,3,0)</f>
        <v>Non-network general assets - Other</v>
      </c>
      <c r="H87" s="39" t="str">
        <f>VLOOKUP(E87,Mapping!$E$11:$K$96,7,0)</f>
        <v>Non-network general assets - Other</v>
      </c>
      <c r="I87" s="39"/>
      <c r="J87" s="49">
        <f>SUMPRODUCT(--('Input|Historical Data'!$Q$9:$Q$2561=$E87),--('Input|Historical Data'!$AA$9:$AA$2561="SCS"),--('Input|Historical Data'!$Y$9:$Y$2561=J$5),'Input|Historical Data'!$U$9:$U$2561)</f>
        <v>2663.9867100000001</v>
      </c>
      <c r="K87" s="49">
        <f>SUMPRODUCT(--('Input|Historical Data'!$Q$9:$Q$2561=$E87),--('Input|Historical Data'!$AA$9:$AA$2561="SCS"),--('Input|Historical Data'!$Z$9:$Z$2561=K$5),'Input|Historical Data'!$U$9:$U$2561)</f>
        <v>0</v>
      </c>
      <c r="L87" s="49">
        <f>SUMPRODUCT(--('Input|Historical Data'!$Q$9:$Q$2561=$E87),--('Input|Historical Data'!$AA$9:$AA$2561="SCS"),--('Input|Historical Data'!$Z$9:$Z$2561=L$5),'Input|Historical Data'!$U$9:$U$2561)</f>
        <v>34.411999999999999</v>
      </c>
      <c r="M87" s="49">
        <f>SUMPRODUCT(--('Input|Historical Data'!$Q$9:$Q$2561=$E87),--('Input|Historical Data'!$AA$9:$AA$2561="SCS"),--('Input|Historical Data'!$Z$9:$Z$2561=M$5),'Input|Historical Data'!$U$9:$U$2561)</f>
        <v>2629.5747099999999</v>
      </c>
      <c r="N87" s="49">
        <f>SUMPRODUCT(--('Input|Historical Data'!$Q$9:$Q$2561=$E87),--('Input|Historical Data'!$AA$9:$AA$2561="SCS"),--('Input|Historical Data'!$Y$9:$Y$2561=N$5),'Input|Historical Data'!$U$9:$U$2561)</f>
        <v>0</v>
      </c>
      <c r="O87" s="50">
        <f t="shared" si="34"/>
        <v>0</v>
      </c>
      <c r="P87" s="50">
        <f t="shared" si="35"/>
        <v>1.2917481859359578E-2</v>
      </c>
      <c r="Q87" s="50">
        <f t="shared" si="36"/>
        <v>0.98708251814064052</v>
      </c>
      <c r="R87" s="50">
        <f t="shared" si="37"/>
        <v>0</v>
      </c>
      <c r="S87" s="39"/>
      <c r="T87" s="49">
        <f>SUMPRODUCT(--('Input|Historical Data'!$AC$9:$AC$2668=$E87),--('Input|Historical Data'!$AM$9:$AM$2668="SCS"),--('Input|Historical Data'!$AK$9:$AK$2668=T$5),'Input|Historical Data'!$AG$9:$AG$2668)</f>
        <v>15835.51093</v>
      </c>
      <c r="U87" s="49">
        <f>SUMPRODUCT(--('Input|Historical Data'!$AC$9:$AC$2668=$E87),--('Input|Historical Data'!$AM$9:$AM$2668="SCS"),--('Input|Historical Data'!$AL$9:$AL$2668=U$5),'Input|Historical Data'!$AG$9:$AG$2668)</f>
        <v>11.53725</v>
      </c>
      <c r="V87" s="49">
        <f>SUMPRODUCT(--('Input|Historical Data'!$AC$9:$AC$2668=$E87),--('Input|Historical Data'!$AM$9:$AM$2668="SCS"),--('Input|Historical Data'!$AL$9:$AL$2668=V$5),'Input|Historical Data'!$AG$9:$AG$2668)</f>
        <v>15687.858499999998</v>
      </c>
      <c r="W87" s="49">
        <f>SUMPRODUCT(--('Input|Historical Data'!$AC$9:$AC$2668=$E87),--('Input|Historical Data'!$AM$9:$AM$2668="SCS"),--('Input|Historical Data'!$AL$9:$AL$2668=W$5),'Input|Historical Data'!$AG$9:$AG$2668)</f>
        <v>136.11517999999995</v>
      </c>
      <c r="X87" s="49">
        <f>SUMPRODUCT(--('Input|Historical Data'!$AC$9:$AC$2668=$E87),--('Input|Historical Data'!$AM$9:$AM$2668="SCS"),--('Input|Historical Data'!$AK$9:$AK$2668=X$5),'Input|Historical Data'!$AG$9:$AG$2668)</f>
        <v>0</v>
      </c>
      <c r="Y87" s="50">
        <f t="shared" si="38"/>
        <v>7.2856821930152916E-4</v>
      </c>
      <c r="Z87" s="50">
        <f t="shared" si="39"/>
        <v>0.99067586573918021</v>
      </c>
      <c r="AA87" s="50">
        <f t="shared" si="40"/>
        <v>8.5955660415183051E-3</v>
      </c>
      <c r="AB87" s="50">
        <f t="shared" si="41"/>
        <v>0</v>
      </c>
      <c r="AC87" s="39"/>
      <c r="AD87" s="49">
        <f>SUMPRODUCT(--('Input|Historical Data'!$AO$9:$AO$2668=$E87),--('Input|Historical Data'!$AY$9:$AY$2668="SCS"),--('Input|Historical Data'!$AW$9:$AW$2668=AD$5),'Input|Historical Data'!$AS$9:$AS$2668)</f>
        <v>1170.8917999999999</v>
      </c>
      <c r="AE87" s="49">
        <f>SUMPRODUCT(--('Input|Historical Data'!$AO$9:$AO$2668=$E87),--('Input|Historical Data'!$AY$9:$AY$2668="SCS"),--('Input|Historical Data'!$AX$9:$AX$2668=AE$5),'Input|Historical Data'!$AS$9:$AS$2668)</f>
        <v>0</v>
      </c>
      <c r="AF87" s="49">
        <f>SUMPRODUCT(--('Input|Historical Data'!$AO$9:$AO$2668=$E87),--('Input|Historical Data'!$AY$9:$AY$2668="SCS"),--('Input|Historical Data'!$AX$9:$AX$2668=AF$5),'Input|Historical Data'!$AS$9:$AS$2668)</f>
        <v>431.51093000000003</v>
      </c>
      <c r="AG87" s="49">
        <f>SUMPRODUCT(--('Input|Historical Data'!$AO$9:$AO$2668=$E87),--('Input|Historical Data'!$AY$9:$AY$2668="SCS"),--('Input|Historical Data'!$AX$9:$AX$2668=AG$5),'Input|Historical Data'!$AS$9:$AS$2668)</f>
        <v>739.38086999999996</v>
      </c>
      <c r="AH87" s="49">
        <f>SUMPRODUCT(--('Input|Historical Data'!$AO$9:$AO$2668=$E87),--('Input|Historical Data'!$AY$9:$AY$2668="SCS"),--('Input|Historical Data'!$AW$9:$AW$2668=AH$5),'Input|Historical Data'!$AS$9:$AS$2668)</f>
        <v>0</v>
      </c>
      <c r="AI87" s="50">
        <f t="shared" si="29"/>
        <v>0</v>
      </c>
      <c r="AJ87" s="50">
        <f t="shared" si="27"/>
        <v>0.368531857512368</v>
      </c>
      <c r="AK87" s="50">
        <f t="shared" si="28"/>
        <v>0.63146814248763206</v>
      </c>
      <c r="AL87" s="50">
        <f t="shared" si="42"/>
        <v>0</v>
      </c>
      <c r="AM87" s="39"/>
      <c r="AN87" s="114">
        <v>0.25334653909992294</v>
      </c>
      <c r="AO87" s="114">
        <v>0.61841796681178596</v>
      </c>
      <c r="AP87" s="114">
        <v>0.12823549408829119</v>
      </c>
      <c r="AQ87" s="50">
        <f t="shared" si="33"/>
        <v>0</v>
      </c>
      <c r="AR87" s="45"/>
    </row>
    <row r="88" spans="1:44" s="7" customFormat="1" x14ac:dyDescent="0.2">
      <c r="C88" s="39"/>
      <c r="D88" s="39"/>
      <c r="E88" s="39">
        <v>235</v>
      </c>
      <c r="F88" s="39" t="s">
        <v>2290</v>
      </c>
      <c r="G88" s="39" t="str">
        <f>VLOOKUP(E88,Mapping!$E$11:$G$96,3,0)</f>
        <v>Metering Capex</v>
      </c>
      <c r="H88" s="39" t="str">
        <f>VLOOKUP(E88,Mapping!$E$11:$K$96,7,0)</f>
        <v>Metering Services</v>
      </c>
      <c r="I88" s="39"/>
      <c r="J88" s="49">
        <f>SUMPRODUCT(--('Input|Historical Data'!$Q$9:$Q$2561=$E88),--('Input|Historical Data'!$AA$9:$AA$2561="SCS"),--('Input|Historical Data'!$Y$9:$Y$2561=J$5),'Input|Historical Data'!$U$9:$U$2561)</f>
        <v>0</v>
      </c>
      <c r="K88" s="49">
        <f>SUMPRODUCT(--('Input|Historical Data'!$Q$9:$Q$2561=$E88),--('Input|Historical Data'!$AA$9:$AA$2561="SCS"),--('Input|Historical Data'!$Z$9:$Z$2561=K$5),'Input|Historical Data'!$U$9:$U$2561)</f>
        <v>0</v>
      </c>
      <c r="L88" s="49">
        <f>SUMPRODUCT(--('Input|Historical Data'!$Q$9:$Q$2561=$E88),--('Input|Historical Data'!$AA$9:$AA$2561="SCS"),--('Input|Historical Data'!$Z$9:$Z$2561=L$5),'Input|Historical Data'!$U$9:$U$2561)</f>
        <v>0</v>
      </c>
      <c r="M88" s="49">
        <f>SUMPRODUCT(--('Input|Historical Data'!$Q$9:$Q$2561=$E88),--('Input|Historical Data'!$AA$9:$AA$2561="SCS"),--('Input|Historical Data'!$Z$9:$Z$2561=M$5),'Input|Historical Data'!$U$9:$U$2561)</f>
        <v>0</v>
      </c>
      <c r="N88" s="49">
        <f>SUMPRODUCT(--('Input|Historical Data'!$Q$9:$Q$2561=$E88),--('Input|Historical Data'!$AA$9:$AA$2561="SCS"),--('Input|Historical Data'!$Y$9:$Y$2561=N$5),'Input|Historical Data'!$U$9:$U$2561)</f>
        <v>0</v>
      </c>
      <c r="O88" s="50">
        <f t="shared" si="34"/>
        <v>0</v>
      </c>
      <c r="P88" s="50">
        <f t="shared" si="35"/>
        <v>0</v>
      </c>
      <c r="Q88" s="50">
        <f t="shared" si="36"/>
        <v>0</v>
      </c>
      <c r="R88" s="50">
        <f t="shared" si="37"/>
        <v>0</v>
      </c>
      <c r="S88" s="39"/>
      <c r="T88" s="49">
        <f>SUMPRODUCT(--('Input|Historical Data'!$AC$9:$AC$2668=$E88),--('Input|Historical Data'!$AM$9:$AM$2668="SCS"),--('Input|Historical Data'!$AK$9:$AK$2668=T$5),'Input|Historical Data'!$AG$9:$AG$2668)</f>
        <v>0</v>
      </c>
      <c r="U88" s="49">
        <f>SUMPRODUCT(--('Input|Historical Data'!$AC$9:$AC$2668=$E88),--('Input|Historical Data'!$AM$9:$AM$2668="SCS"),--('Input|Historical Data'!$AL$9:$AL$2668=U$5),'Input|Historical Data'!$AG$9:$AG$2668)</f>
        <v>0</v>
      </c>
      <c r="V88" s="49">
        <f>SUMPRODUCT(--('Input|Historical Data'!$AC$9:$AC$2668=$E88),--('Input|Historical Data'!$AM$9:$AM$2668="SCS"),--('Input|Historical Data'!$AL$9:$AL$2668=V$5),'Input|Historical Data'!$AG$9:$AG$2668)</f>
        <v>0</v>
      </c>
      <c r="W88" s="49">
        <f>SUMPRODUCT(--('Input|Historical Data'!$AC$9:$AC$2668=$E88),--('Input|Historical Data'!$AM$9:$AM$2668="SCS"),--('Input|Historical Data'!$AL$9:$AL$2668=W$5),'Input|Historical Data'!$AG$9:$AG$2668)</f>
        <v>0</v>
      </c>
      <c r="X88" s="49">
        <f>SUMPRODUCT(--('Input|Historical Data'!$AC$9:$AC$2668=$E88),--('Input|Historical Data'!$AM$9:$AM$2668="SCS"),--('Input|Historical Data'!$AK$9:$AK$2668=X$5),'Input|Historical Data'!$AG$9:$AG$2668)</f>
        <v>0</v>
      </c>
      <c r="Y88" s="50">
        <f t="shared" si="38"/>
        <v>0</v>
      </c>
      <c r="Z88" s="50">
        <f t="shared" si="39"/>
        <v>0</v>
      </c>
      <c r="AA88" s="50">
        <f t="shared" si="40"/>
        <v>0</v>
      </c>
      <c r="AB88" s="50">
        <f t="shared" si="41"/>
        <v>0</v>
      </c>
      <c r="AC88" s="39"/>
      <c r="AD88" s="49">
        <f>SUMPRODUCT(--('Input|Historical Data'!$AO$9:$AO$2668=$E88),--('Input|Historical Data'!$AY$9:$AY$2668="SCS"),--('Input|Historical Data'!$AW$9:$AW$2668=AD$5),'Input|Historical Data'!$AS$9:$AS$2668)</f>
        <v>0</v>
      </c>
      <c r="AE88" s="49">
        <f>SUMPRODUCT(--('Input|Historical Data'!$AO$9:$AO$2668=$E88),--('Input|Historical Data'!$AY$9:$AY$2668="SCS"),--('Input|Historical Data'!$AX$9:$AX$2668=AE$5),'Input|Historical Data'!$AS$9:$AS$2668)</f>
        <v>0</v>
      </c>
      <c r="AF88" s="49">
        <f>SUMPRODUCT(--('Input|Historical Data'!$AO$9:$AO$2668=$E88),--('Input|Historical Data'!$AY$9:$AY$2668="SCS"),--('Input|Historical Data'!$AX$9:$AX$2668=AF$5),'Input|Historical Data'!$AS$9:$AS$2668)</f>
        <v>0</v>
      </c>
      <c r="AG88" s="49">
        <f>SUMPRODUCT(--('Input|Historical Data'!$AO$9:$AO$2668=$E88),--('Input|Historical Data'!$AY$9:$AY$2668="SCS"),--('Input|Historical Data'!$AX$9:$AX$2668=AG$5),'Input|Historical Data'!$AS$9:$AS$2668)</f>
        <v>0</v>
      </c>
      <c r="AH88" s="49">
        <f>SUMPRODUCT(--('Input|Historical Data'!$AO$9:$AO$2668=$E88),--('Input|Historical Data'!$AY$9:$AY$2668="SCS"),--('Input|Historical Data'!$AW$9:$AW$2668=AH$5),'Input|Historical Data'!$AS$9:$AS$2668)</f>
        <v>0</v>
      </c>
      <c r="AI88" s="50">
        <f t="shared" si="29"/>
        <v>0</v>
      </c>
      <c r="AJ88" s="50">
        <f t="shared" si="27"/>
        <v>0</v>
      </c>
      <c r="AK88" s="50">
        <f t="shared" si="28"/>
        <v>0</v>
      </c>
      <c r="AL88" s="50">
        <f t="shared" si="42"/>
        <v>0</v>
      </c>
      <c r="AM88" s="39"/>
      <c r="AN88" s="50">
        <f t="shared" ref="AN88" si="50">IFERROR(SUM(K88,U88,AE88)/SUM($K88:$M88,$U88:$W88,$AE88:$AG88),0)</f>
        <v>0</v>
      </c>
      <c r="AO88" s="50">
        <f t="shared" ref="AO88" si="51">IFERROR(SUM(L88,V88,AF88)/SUM($K88:$M88,$U88:$W88,$AE88:$AG88),0)</f>
        <v>0</v>
      </c>
      <c r="AP88" s="50">
        <f t="shared" ref="AP88" si="52">IFERROR(SUM(M88,W88,AG88)/SUM($K88:$M88,$U88:$W88,$AE88:$AG88),0)</f>
        <v>0</v>
      </c>
      <c r="AQ88" s="50">
        <f t="shared" si="33"/>
        <v>0</v>
      </c>
      <c r="AR88" s="45"/>
    </row>
    <row r="89" spans="1:44" s="7" customFormat="1" x14ac:dyDescent="0.2">
      <c r="C89" s="39"/>
      <c r="D89" s="39"/>
      <c r="E89" s="39">
        <v>240</v>
      </c>
      <c r="F89" s="39" t="s">
        <v>2291</v>
      </c>
      <c r="G89" s="39" t="str">
        <f>VLOOKUP(E89,Mapping!$E$11:$G$96,3,0)</f>
        <v>Non-network general assets - Other</v>
      </c>
      <c r="H89" s="39" t="str">
        <f>VLOOKUP(E89,Mapping!$E$11:$K$96,7,0)</f>
        <v>Non-network general assets - Other</v>
      </c>
      <c r="I89" s="39"/>
      <c r="J89" s="49">
        <f>SUMPRODUCT(--('Input|Historical Data'!$Q$9:$Q$2561=$E89),--('Input|Historical Data'!$AA$9:$AA$2561="SCS"),--('Input|Historical Data'!$Y$9:$Y$2561=J$5),'Input|Historical Data'!$U$9:$U$2561)</f>
        <v>434.37441999999999</v>
      </c>
      <c r="K89" s="49">
        <f>SUMPRODUCT(--('Input|Historical Data'!$Q$9:$Q$2561=$E89),--('Input|Historical Data'!$AA$9:$AA$2561="SCS"),--('Input|Historical Data'!$Z$9:$Z$2561=K$5),'Input|Historical Data'!$U$9:$U$2561)</f>
        <v>0</v>
      </c>
      <c r="L89" s="49">
        <f>SUMPRODUCT(--('Input|Historical Data'!$Q$9:$Q$2561=$E89),--('Input|Historical Data'!$AA$9:$AA$2561="SCS"),--('Input|Historical Data'!$Z$9:$Z$2561=L$5),'Input|Historical Data'!$U$9:$U$2561)</f>
        <v>434.37441999999999</v>
      </c>
      <c r="M89" s="49">
        <f>SUMPRODUCT(--('Input|Historical Data'!$Q$9:$Q$2561=$E89),--('Input|Historical Data'!$AA$9:$AA$2561="SCS"),--('Input|Historical Data'!$Z$9:$Z$2561=M$5),'Input|Historical Data'!$U$9:$U$2561)</f>
        <v>0</v>
      </c>
      <c r="N89" s="49">
        <f>SUMPRODUCT(--('Input|Historical Data'!$Q$9:$Q$2561=$E89),--('Input|Historical Data'!$AA$9:$AA$2561="SCS"),--('Input|Historical Data'!$Y$9:$Y$2561=N$5),'Input|Historical Data'!$U$9:$U$2561)</f>
        <v>0</v>
      </c>
      <c r="O89" s="50">
        <f t="shared" si="34"/>
        <v>0</v>
      </c>
      <c r="P89" s="50">
        <f t="shared" si="35"/>
        <v>1</v>
      </c>
      <c r="Q89" s="50">
        <f t="shared" si="36"/>
        <v>0</v>
      </c>
      <c r="R89" s="50">
        <f t="shared" si="37"/>
        <v>0</v>
      </c>
      <c r="S89" s="39"/>
      <c r="T89" s="49">
        <f>SUMPRODUCT(--('Input|Historical Data'!$AC$9:$AC$2668=$E89),--('Input|Historical Data'!$AM$9:$AM$2668="SCS"),--('Input|Historical Data'!$AK$9:$AK$2668=T$5),'Input|Historical Data'!$AG$9:$AG$2668)</f>
        <v>42.799010000000003</v>
      </c>
      <c r="U89" s="49">
        <f>SUMPRODUCT(--('Input|Historical Data'!$AC$9:$AC$2668=$E89),--('Input|Historical Data'!$AM$9:$AM$2668="SCS"),--('Input|Historical Data'!$AL$9:$AL$2668=U$5),'Input|Historical Data'!$AG$9:$AG$2668)</f>
        <v>0</v>
      </c>
      <c r="V89" s="49">
        <f>SUMPRODUCT(--('Input|Historical Data'!$AC$9:$AC$2668=$E89),--('Input|Historical Data'!$AM$9:$AM$2668="SCS"),--('Input|Historical Data'!$AL$9:$AL$2668=V$5),'Input|Historical Data'!$AG$9:$AG$2668)</f>
        <v>42.799010000000003</v>
      </c>
      <c r="W89" s="49">
        <f>SUMPRODUCT(--('Input|Historical Data'!$AC$9:$AC$2668=$E89),--('Input|Historical Data'!$AM$9:$AM$2668="SCS"),--('Input|Historical Data'!$AL$9:$AL$2668=W$5),'Input|Historical Data'!$AG$9:$AG$2668)</f>
        <v>0</v>
      </c>
      <c r="X89" s="49">
        <f>SUMPRODUCT(--('Input|Historical Data'!$AC$9:$AC$2668=$E89),--('Input|Historical Data'!$AM$9:$AM$2668="SCS"),--('Input|Historical Data'!$AK$9:$AK$2668=X$5),'Input|Historical Data'!$AG$9:$AG$2668)</f>
        <v>0</v>
      </c>
      <c r="Y89" s="50">
        <f t="shared" si="38"/>
        <v>0</v>
      </c>
      <c r="Z89" s="50">
        <f t="shared" si="39"/>
        <v>1</v>
      </c>
      <c r="AA89" s="50">
        <f t="shared" si="40"/>
        <v>0</v>
      </c>
      <c r="AB89" s="50">
        <f t="shared" si="41"/>
        <v>0</v>
      </c>
      <c r="AC89" s="39"/>
      <c r="AD89" s="49">
        <f>SUMPRODUCT(--('Input|Historical Data'!$AO$9:$AO$2668=$E89),--('Input|Historical Data'!$AY$9:$AY$2668="SCS"),--('Input|Historical Data'!$AW$9:$AW$2668=AD$5),'Input|Historical Data'!$AS$9:$AS$2668)</f>
        <v>83.908749999999998</v>
      </c>
      <c r="AE89" s="49">
        <f>SUMPRODUCT(--('Input|Historical Data'!$AO$9:$AO$2668=$E89),--('Input|Historical Data'!$AY$9:$AY$2668="SCS"),--('Input|Historical Data'!$AX$9:$AX$2668=AE$5),'Input|Historical Data'!$AS$9:$AS$2668)</f>
        <v>0</v>
      </c>
      <c r="AF89" s="49">
        <f>SUMPRODUCT(--('Input|Historical Data'!$AO$9:$AO$2668=$E89),--('Input|Historical Data'!$AY$9:$AY$2668="SCS"),--('Input|Historical Data'!$AX$9:$AX$2668=AF$5),'Input|Historical Data'!$AS$9:$AS$2668)</f>
        <v>83.908749999999998</v>
      </c>
      <c r="AG89" s="49">
        <f>SUMPRODUCT(--('Input|Historical Data'!$AO$9:$AO$2668=$E89),--('Input|Historical Data'!$AY$9:$AY$2668="SCS"),--('Input|Historical Data'!$AX$9:$AX$2668=AG$5),'Input|Historical Data'!$AS$9:$AS$2668)</f>
        <v>0</v>
      </c>
      <c r="AH89" s="49">
        <f>SUMPRODUCT(--('Input|Historical Data'!$AO$9:$AO$2668=$E89),--('Input|Historical Data'!$AY$9:$AY$2668="SCS"),--('Input|Historical Data'!$AW$9:$AW$2668=AH$5),'Input|Historical Data'!$AS$9:$AS$2668)</f>
        <v>0</v>
      </c>
      <c r="AI89" s="50">
        <f t="shared" si="29"/>
        <v>0</v>
      </c>
      <c r="AJ89" s="50">
        <f t="shared" si="27"/>
        <v>1</v>
      </c>
      <c r="AK89" s="50">
        <f t="shared" si="28"/>
        <v>0</v>
      </c>
      <c r="AL89" s="50">
        <f t="shared" si="42"/>
        <v>0</v>
      </c>
      <c r="AM89" s="39"/>
      <c r="AN89" s="114">
        <v>0</v>
      </c>
      <c r="AO89" s="114">
        <v>0.79999999999999993</v>
      </c>
      <c r="AP89" s="114">
        <v>0.19999999999999998</v>
      </c>
      <c r="AQ89" s="50">
        <f t="shared" si="33"/>
        <v>0</v>
      </c>
      <c r="AR89" s="45"/>
    </row>
    <row r="90" spans="1:44" s="7" customFormat="1" x14ac:dyDescent="0.2">
      <c r="C90" s="39"/>
      <c r="D90" s="39"/>
      <c r="E90" s="39">
        <v>245</v>
      </c>
      <c r="F90" s="39" t="s">
        <v>2292</v>
      </c>
      <c r="G90" s="39" t="str">
        <f>VLOOKUP(E90,Mapping!$E$11:$G$96,3,0)</f>
        <v>Metering Capex</v>
      </c>
      <c r="H90" s="39" t="str">
        <f>VLOOKUP(E90,Mapping!$E$11:$K$96,7,0)</f>
        <v>Metering Services</v>
      </c>
      <c r="I90" s="39"/>
      <c r="J90" s="49">
        <f>SUMPRODUCT(--('Input|Historical Data'!$Q$9:$Q$2561=$E90),--('Input|Historical Data'!$AA$9:$AA$2561="SCS"),--('Input|Historical Data'!$Y$9:$Y$2561=J$5),'Input|Historical Data'!$U$9:$U$2561)</f>
        <v>0</v>
      </c>
      <c r="K90" s="49">
        <f>SUMPRODUCT(--('Input|Historical Data'!$Q$9:$Q$2561=$E90),--('Input|Historical Data'!$AA$9:$AA$2561="SCS"),--('Input|Historical Data'!$Z$9:$Z$2561=K$5),'Input|Historical Data'!$U$9:$U$2561)</f>
        <v>0</v>
      </c>
      <c r="L90" s="49">
        <f>SUMPRODUCT(--('Input|Historical Data'!$Q$9:$Q$2561=$E90),--('Input|Historical Data'!$AA$9:$AA$2561="SCS"),--('Input|Historical Data'!$Z$9:$Z$2561=L$5),'Input|Historical Data'!$U$9:$U$2561)</f>
        <v>0</v>
      </c>
      <c r="M90" s="49">
        <f>SUMPRODUCT(--('Input|Historical Data'!$Q$9:$Q$2561=$E90),--('Input|Historical Data'!$AA$9:$AA$2561="SCS"),--('Input|Historical Data'!$Z$9:$Z$2561=M$5),'Input|Historical Data'!$U$9:$U$2561)</f>
        <v>0</v>
      </c>
      <c r="N90" s="49">
        <f>SUMPRODUCT(--('Input|Historical Data'!$Q$9:$Q$2561=$E90),--('Input|Historical Data'!$AA$9:$AA$2561="SCS"),--('Input|Historical Data'!$Y$9:$Y$2561=N$5),'Input|Historical Data'!$U$9:$U$2561)</f>
        <v>0</v>
      </c>
      <c r="O90" s="50">
        <f t="shared" si="34"/>
        <v>0</v>
      </c>
      <c r="P90" s="50">
        <f t="shared" si="35"/>
        <v>0</v>
      </c>
      <c r="Q90" s="50">
        <f t="shared" si="36"/>
        <v>0</v>
      </c>
      <c r="R90" s="50">
        <f t="shared" si="37"/>
        <v>0</v>
      </c>
      <c r="S90" s="39"/>
      <c r="T90" s="49">
        <f>SUMPRODUCT(--('Input|Historical Data'!$AC$9:$AC$2668=$E90),--('Input|Historical Data'!$AM$9:$AM$2668="SCS"),--('Input|Historical Data'!$AK$9:$AK$2668=T$5),'Input|Historical Data'!$AG$9:$AG$2668)</f>
        <v>0</v>
      </c>
      <c r="U90" s="49">
        <f>SUMPRODUCT(--('Input|Historical Data'!$AC$9:$AC$2668=$E90),--('Input|Historical Data'!$AM$9:$AM$2668="SCS"),--('Input|Historical Data'!$AL$9:$AL$2668=U$5),'Input|Historical Data'!$AG$9:$AG$2668)</f>
        <v>0</v>
      </c>
      <c r="V90" s="49">
        <f>SUMPRODUCT(--('Input|Historical Data'!$AC$9:$AC$2668=$E90),--('Input|Historical Data'!$AM$9:$AM$2668="SCS"),--('Input|Historical Data'!$AL$9:$AL$2668=V$5),'Input|Historical Data'!$AG$9:$AG$2668)</f>
        <v>0</v>
      </c>
      <c r="W90" s="49">
        <f>SUMPRODUCT(--('Input|Historical Data'!$AC$9:$AC$2668=$E90),--('Input|Historical Data'!$AM$9:$AM$2668="SCS"),--('Input|Historical Data'!$AL$9:$AL$2668=W$5),'Input|Historical Data'!$AG$9:$AG$2668)</f>
        <v>0</v>
      </c>
      <c r="X90" s="49">
        <f>SUMPRODUCT(--('Input|Historical Data'!$AC$9:$AC$2668=$E90),--('Input|Historical Data'!$AM$9:$AM$2668="SCS"),--('Input|Historical Data'!$AK$9:$AK$2668=X$5),'Input|Historical Data'!$AG$9:$AG$2668)</f>
        <v>0</v>
      </c>
      <c r="Y90" s="50">
        <f t="shared" si="38"/>
        <v>0</v>
      </c>
      <c r="Z90" s="50">
        <f t="shared" si="39"/>
        <v>0</v>
      </c>
      <c r="AA90" s="50">
        <f t="shared" si="40"/>
        <v>0</v>
      </c>
      <c r="AB90" s="50">
        <f t="shared" si="41"/>
        <v>0</v>
      </c>
      <c r="AC90" s="39"/>
      <c r="AD90" s="49">
        <f>SUMPRODUCT(--('Input|Historical Data'!$AO$9:$AO$2668=$E90),--('Input|Historical Data'!$AY$9:$AY$2668="SCS"),--('Input|Historical Data'!$AW$9:$AW$2668=AD$5),'Input|Historical Data'!$AS$9:$AS$2668)</f>
        <v>0</v>
      </c>
      <c r="AE90" s="49">
        <f>SUMPRODUCT(--('Input|Historical Data'!$AO$9:$AO$2668=$E90),--('Input|Historical Data'!$AY$9:$AY$2668="SCS"),--('Input|Historical Data'!$AX$9:$AX$2668=AE$5),'Input|Historical Data'!$AS$9:$AS$2668)</f>
        <v>0</v>
      </c>
      <c r="AF90" s="49">
        <f>SUMPRODUCT(--('Input|Historical Data'!$AO$9:$AO$2668=$E90),--('Input|Historical Data'!$AY$9:$AY$2668="SCS"),--('Input|Historical Data'!$AX$9:$AX$2668=AF$5),'Input|Historical Data'!$AS$9:$AS$2668)</f>
        <v>0</v>
      </c>
      <c r="AG90" s="49">
        <f>SUMPRODUCT(--('Input|Historical Data'!$AO$9:$AO$2668=$E90),--('Input|Historical Data'!$AY$9:$AY$2668="SCS"),--('Input|Historical Data'!$AX$9:$AX$2668=AG$5),'Input|Historical Data'!$AS$9:$AS$2668)</f>
        <v>0</v>
      </c>
      <c r="AH90" s="49">
        <f>SUMPRODUCT(--('Input|Historical Data'!$AO$9:$AO$2668=$E90),--('Input|Historical Data'!$AY$9:$AY$2668="SCS"),--('Input|Historical Data'!$AW$9:$AW$2668=AH$5),'Input|Historical Data'!$AS$9:$AS$2668)</f>
        <v>0</v>
      </c>
      <c r="AI90" s="50">
        <f t="shared" si="29"/>
        <v>0</v>
      </c>
      <c r="AJ90" s="50">
        <f t="shared" si="27"/>
        <v>0</v>
      </c>
      <c r="AK90" s="50">
        <f t="shared" si="28"/>
        <v>0</v>
      </c>
      <c r="AL90" s="50">
        <f t="shared" si="42"/>
        <v>0</v>
      </c>
      <c r="AM90" s="39"/>
      <c r="AN90" s="50">
        <f t="shared" ref="AN90:AN93" si="53">IFERROR(SUM(K90,U90,AE90)/SUM($K90:$M90,$U90:$W90,$AE90:$AG90),0)</f>
        <v>0</v>
      </c>
      <c r="AO90" s="50">
        <f t="shared" ref="AO90:AO93" si="54">IFERROR(SUM(L90,V90,AF90)/SUM($K90:$M90,$U90:$W90,$AE90:$AG90),0)</f>
        <v>0</v>
      </c>
      <c r="AP90" s="50">
        <f t="shared" ref="AP90:AP93" si="55">IFERROR(SUM(M90,W90,AG90)/SUM($K90:$M90,$U90:$W90,$AE90:$AG90),0)</f>
        <v>0</v>
      </c>
      <c r="AQ90" s="50">
        <f t="shared" si="33"/>
        <v>0</v>
      </c>
      <c r="AR90" s="45"/>
    </row>
    <row r="91" spans="1:44" s="7" customFormat="1" x14ac:dyDescent="0.2">
      <c r="C91" s="39"/>
      <c r="D91" s="39"/>
      <c r="E91" s="39">
        <v>260</v>
      </c>
      <c r="F91" s="39" t="s">
        <v>2293</v>
      </c>
      <c r="G91" s="39" t="str">
        <f>VLOOKUP(E91,Mapping!$E$11:$G$96,3,0)</f>
        <v>Non-network general assets - Other</v>
      </c>
      <c r="H91" s="39" t="str">
        <f>VLOOKUP(E91,Mapping!$E$11:$K$96,7,0)</f>
        <v>Non-network general assets - Other</v>
      </c>
      <c r="I91" s="39"/>
      <c r="J91" s="49">
        <f>SUMPRODUCT(--('Input|Historical Data'!$Q$9:$Q$2561=$E91),--('Input|Historical Data'!$AA$9:$AA$2561="SCS"),--('Input|Historical Data'!$Y$9:$Y$2561=J$5),'Input|Historical Data'!$U$9:$U$2561)</f>
        <v>0</v>
      </c>
      <c r="K91" s="49">
        <f>SUMPRODUCT(--('Input|Historical Data'!$Q$9:$Q$2561=$E91),--('Input|Historical Data'!$AA$9:$AA$2561="SCS"),--('Input|Historical Data'!$Z$9:$Z$2561=K$5),'Input|Historical Data'!$U$9:$U$2561)</f>
        <v>0</v>
      </c>
      <c r="L91" s="49">
        <f>SUMPRODUCT(--('Input|Historical Data'!$Q$9:$Q$2561=$E91),--('Input|Historical Data'!$AA$9:$AA$2561="SCS"),--('Input|Historical Data'!$Z$9:$Z$2561=L$5),'Input|Historical Data'!$U$9:$U$2561)</f>
        <v>0</v>
      </c>
      <c r="M91" s="49">
        <f>SUMPRODUCT(--('Input|Historical Data'!$Q$9:$Q$2561=$E91),--('Input|Historical Data'!$AA$9:$AA$2561="SCS"),--('Input|Historical Data'!$Z$9:$Z$2561=M$5),'Input|Historical Data'!$U$9:$U$2561)</f>
        <v>0</v>
      </c>
      <c r="N91" s="49">
        <f>SUMPRODUCT(--('Input|Historical Data'!$Q$9:$Q$2561=$E91),--('Input|Historical Data'!$AA$9:$AA$2561="SCS"),--('Input|Historical Data'!$Y$9:$Y$2561=N$5),'Input|Historical Data'!$U$9:$U$2561)</f>
        <v>0</v>
      </c>
      <c r="O91" s="50">
        <f t="shared" si="34"/>
        <v>0</v>
      </c>
      <c r="P91" s="50">
        <f t="shared" si="35"/>
        <v>0</v>
      </c>
      <c r="Q91" s="50">
        <f t="shared" si="36"/>
        <v>0</v>
      </c>
      <c r="R91" s="50">
        <f t="shared" si="37"/>
        <v>0</v>
      </c>
      <c r="S91" s="39"/>
      <c r="T91" s="49">
        <f>SUMPRODUCT(--('Input|Historical Data'!$AC$9:$AC$2668=$E91),--('Input|Historical Data'!$AM$9:$AM$2668="SCS"),--('Input|Historical Data'!$AK$9:$AK$2668=T$5),'Input|Historical Data'!$AG$9:$AG$2668)</f>
        <v>0</v>
      </c>
      <c r="U91" s="49">
        <f>SUMPRODUCT(--('Input|Historical Data'!$AC$9:$AC$2668=$E91),--('Input|Historical Data'!$AM$9:$AM$2668="SCS"),--('Input|Historical Data'!$AL$9:$AL$2668=U$5),'Input|Historical Data'!$AG$9:$AG$2668)</f>
        <v>0</v>
      </c>
      <c r="V91" s="49">
        <f>SUMPRODUCT(--('Input|Historical Data'!$AC$9:$AC$2668=$E91),--('Input|Historical Data'!$AM$9:$AM$2668="SCS"),--('Input|Historical Data'!$AL$9:$AL$2668=V$5),'Input|Historical Data'!$AG$9:$AG$2668)</f>
        <v>0</v>
      </c>
      <c r="W91" s="49">
        <f>SUMPRODUCT(--('Input|Historical Data'!$AC$9:$AC$2668=$E91),--('Input|Historical Data'!$AM$9:$AM$2668="SCS"),--('Input|Historical Data'!$AL$9:$AL$2668=W$5),'Input|Historical Data'!$AG$9:$AG$2668)</f>
        <v>0</v>
      </c>
      <c r="X91" s="49">
        <f>SUMPRODUCT(--('Input|Historical Data'!$AC$9:$AC$2668=$E91),--('Input|Historical Data'!$AM$9:$AM$2668="SCS"),--('Input|Historical Data'!$AK$9:$AK$2668=X$5),'Input|Historical Data'!$AG$9:$AG$2668)</f>
        <v>0</v>
      </c>
      <c r="Y91" s="50">
        <f t="shared" si="38"/>
        <v>0</v>
      </c>
      <c r="Z91" s="50">
        <f t="shared" si="39"/>
        <v>0</v>
      </c>
      <c r="AA91" s="50">
        <f t="shared" si="40"/>
        <v>0</v>
      </c>
      <c r="AB91" s="50">
        <f t="shared" si="41"/>
        <v>0</v>
      </c>
      <c r="AC91" s="39"/>
      <c r="AD91" s="49">
        <f>SUMPRODUCT(--('Input|Historical Data'!$AO$9:$AO$2668=$E91),--('Input|Historical Data'!$AY$9:$AY$2668="SCS"),--('Input|Historical Data'!$AW$9:$AW$2668=AD$5),'Input|Historical Data'!$AS$9:$AS$2668)</f>
        <v>0</v>
      </c>
      <c r="AE91" s="49">
        <f>SUMPRODUCT(--('Input|Historical Data'!$AO$9:$AO$2668=$E91),--('Input|Historical Data'!$AY$9:$AY$2668="SCS"),--('Input|Historical Data'!$AX$9:$AX$2668=AE$5),'Input|Historical Data'!$AS$9:$AS$2668)</f>
        <v>0</v>
      </c>
      <c r="AF91" s="49">
        <f>SUMPRODUCT(--('Input|Historical Data'!$AO$9:$AO$2668=$E91),--('Input|Historical Data'!$AY$9:$AY$2668="SCS"),--('Input|Historical Data'!$AX$9:$AX$2668=AF$5),'Input|Historical Data'!$AS$9:$AS$2668)</f>
        <v>0</v>
      </c>
      <c r="AG91" s="49">
        <f>SUMPRODUCT(--('Input|Historical Data'!$AO$9:$AO$2668=$E91),--('Input|Historical Data'!$AY$9:$AY$2668="SCS"),--('Input|Historical Data'!$AX$9:$AX$2668=AG$5),'Input|Historical Data'!$AS$9:$AS$2668)</f>
        <v>0</v>
      </c>
      <c r="AH91" s="49">
        <f>SUMPRODUCT(--('Input|Historical Data'!$AO$9:$AO$2668=$E91),--('Input|Historical Data'!$AY$9:$AY$2668="SCS"),--('Input|Historical Data'!$AW$9:$AW$2668=AH$5),'Input|Historical Data'!$AS$9:$AS$2668)</f>
        <v>0</v>
      </c>
      <c r="AI91" s="50">
        <f t="shared" si="29"/>
        <v>0</v>
      </c>
      <c r="AJ91" s="50">
        <f t="shared" si="27"/>
        <v>0</v>
      </c>
      <c r="AK91" s="50">
        <f t="shared" si="28"/>
        <v>0</v>
      </c>
      <c r="AL91" s="50">
        <f t="shared" si="42"/>
        <v>0</v>
      </c>
      <c r="AM91" s="39"/>
      <c r="AN91" s="50">
        <f t="shared" si="53"/>
        <v>0</v>
      </c>
      <c r="AO91" s="50">
        <f t="shared" si="54"/>
        <v>0</v>
      </c>
      <c r="AP91" s="50">
        <f t="shared" si="55"/>
        <v>0</v>
      </c>
      <c r="AQ91" s="50">
        <f t="shared" si="33"/>
        <v>0</v>
      </c>
      <c r="AR91" s="45"/>
    </row>
    <row r="92" spans="1:44" s="7" customFormat="1" x14ac:dyDescent="0.2">
      <c r="C92" s="39"/>
      <c r="D92" s="39"/>
      <c r="E92" s="39">
        <v>270</v>
      </c>
      <c r="F92" s="39" t="s">
        <v>2294</v>
      </c>
      <c r="G92" s="39" t="str">
        <f>VLOOKUP(E92,Mapping!$E$11:$G$96,3,0)</f>
        <v>Non-network general assets - IT</v>
      </c>
      <c r="H92" s="39" t="str">
        <f>VLOOKUP(E92,Mapping!$E$11:$K$96,7,0)</f>
        <v>Non-network general assets - IT</v>
      </c>
      <c r="I92" s="39"/>
      <c r="J92" s="49">
        <f>SUMPRODUCT(--('Input|Historical Data'!$Q$9:$Q$2561=$E92),--('Input|Historical Data'!$AA$9:$AA$2561="SCS"),--('Input|Historical Data'!$Y$9:$Y$2561=J$5),'Input|Historical Data'!$U$9:$U$2561)</f>
        <v>0</v>
      </c>
      <c r="K92" s="49">
        <f>SUMPRODUCT(--('Input|Historical Data'!$Q$9:$Q$2561=$E92),--('Input|Historical Data'!$AA$9:$AA$2561="SCS"),--('Input|Historical Data'!$Z$9:$Z$2561=K$5),'Input|Historical Data'!$U$9:$U$2561)</f>
        <v>0</v>
      </c>
      <c r="L92" s="49">
        <f>SUMPRODUCT(--('Input|Historical Data'!$Q$9:$Q$2561=$E92),--('Input|Historical Data'!$AA$9:$AA$2561="SCS"),--('Input|Historical Data'!$Z$9:$Z$2561=L$5),'Input|Historical Data'!$U$9:$U$2561)</f>
        <v>0</v>
      </c>
      <c r="M92" s="49">
        <f>SUMPRODUCT(--('Input|Historical Data'!$Q$9:$Q$2561=$E92),--('Input|Historical Data'!$AA$9:$AA$2561="SCS"),--('Input|Historical Data'!$Z$9:$Z$2561=M$5),'Input|Historical Data'!$U$9:$U$2561)</f>
        <v>0</v>
      </c>
      <c r="N92" s="49">
        <f>SUMPRODUCT(--('Input|Historical Data'!$Q$9:$Q$2561=$E92),--('Input|Historical Data'!$AA$9:$AA$2561="SCS"),--('Input|Historical Data'!$Y$9:$Y$2561=N$5),'Input|Historical Data'!$U$9:$U$2561)</f>
        <v>0</v>
      </c>
      <c r="O92" s="50">
        <f t="shared" si="34"/>
        <v>0</v>
      </c>
      <c r="P92" s="50">
        <f t="shared" si="35"/>
        <v>0</v>
      </c>
      <c r="Q92" s="50">
        <f t="shared" si="36"/>
        <v>0</v>
      </c>
      <c r="R92" s="50">
        <f t="shared" si="37"/>
        <v>0</v>
      </c>
      <c r="S92" s="39"/>
      <c r="T92" s="49">
        <f>SUMPRODUCT(--('Input|Historical Data'!$AC$9:$AC$2668=$E92),--('Input|Historical Data'!$AM$9:$AM$2668="SCS"),--('Input|Historical Data'!$AK$9:$AK$2668=T$5),'Input|Historical Data'!$AG$9:$AG$2668)</f>
        <v>0</v>
      </c>
      <c r="U92" s="49">
        <f>SUMPRODUCT(--('Input|Historical Data'!$AC$9:$AC$2668=$E92),--('Input|Historical Data'!$AM$9:$AM$2668="SCS"),--('Input|Historical Data'!$AL$9:$AL$2668=U$5),'Input|Historical Data'!$AG$9:$AG$2668)</f>
        <v>0</v>
      </c>
      <c r="V92" s="49">
        <f>SUMPRODUCT(--('Input|Historical Data'!$AC$9:$AC$2668=$E92),--('Input|Historical Data'!$AM$9:$AM$2668="SCS"),--('Input|Historical Data'!$AL$9:$AL$2668=V$5),'Input|Historical Data'!$AG$9:$AG$2668)</f>
        <v>0</v>
      </c>
      <c r="W92" s="49">
        <f>SUMPRODUCT(--('Input|Historical Data'!$AC$9:$AC$2668=$E92),--('Input|Historical Data'!$AM$9:$AM$2668="SCS"),--('Input|Historical Data'!$AL$9:$AL$2668=W$5),'Input|Historical Data'!$AG$9:$AG$2668)</f>
        <v>0</v>
      </c>
      <c r="X92" s="49">
        <f>SUMPRODUCT(--('Input|Historical Data'!$AC$9:$AC$2668=$E92),--('Input|Historical Data'!$AM$9:$AM$2668="SCS"),--('Input|Historical Data'!$AK$9:$AK$2668=X$5),'Input|Historical Data'!$AG$9:$AG$2668)</f>
        <v>0</v>
      </c>
      <c r="Y92" s="50">
        <f t="shared" si="38"/>
        <v>0</v>
      </c>
      <c r="Z92" s="50">
        <f t="shared" si="39"/>
        <v>0</v>
      </c>
      <c r="AA92" s="50">
        <f t="shared" si="40"/>
        <v>0</v>
      </c>
      <c r="AB92" s="50">
        <f t="shared" si="41"/>
        <v>0</v>
      </c>
      <c r="AC92" s="39"/>
      <c r="AD92" s="49">
        <f>SUMPRODUCT(--('Input|Historical Data'!$AO$9:$AO$2668=$E92),--('Input|Historical Data'!$AY$9:$AY$2668="SCS"),--('Input|Historical Data'!$AW$9:$AW$2668=AD$5),'Input|Historical Data'!$AS$9:$AS$2668)</f>
        <v>0</v>
      </c>
      <c r="AE92" s="49">
        <f>SUMPRODUCT(--('Input|Historical Data'!$AO$9:$AO$2668=$E92),--('Input|Historical Data'!$AY$9:$AY$2668="SCS"),--('Input|Historical Data'!$AX$9:$AX$2668=AE$5),'Input|Historical Data'!$AS$9:$AS$2668)</f>
        <v>0</v>
      </c>
      <c r="AF92" s="49">
        <f>SUMPRODUCT(--('Input|Historical Data'!$AO$9:$AO$2668=$E92),--('Input|Historical Data'!$AY$9:$AY$2668="SCS"),--('Input|Historical Data'!$AX$9:$AX$2668=AF$5),'Input|Historical Data'!$AS$9:$AS$2668)</f>
        <v>0</v>
      </c>
      <c r="AG92" s="49">
        <f>SUMPRODUCT(--('Input|Historical Data'!$AO$9:$AO$2668=$E92),--('Input|Historical Data'!$AY$9:$AY$2668="SCS"),--('Input|Historical Data'!$AX$9:$AX$2668=AG$5),'Input|Historical Data'!$AS$9:$AS$2668)</f>
        <v>0</v>
      </c>
      <c r="AH92" s="49">
        <f>SUMPRODUCT(--('Input|Historical Data'!$AO$9:$AO$2668=$E92),--('Input|Historical Data'!$AY$9:$AY$2668="SCS"),--('Input|Historical Data'!$AW$9:$AW$2668=AH$5),'Input|Historical Data'!$AS$9:$AS$2668)</f>
        <v>0</v>
      </c>
      <c r="AI92" s="50">
        <f t="shared" si="29"/>
        <v>0</v>
      </c>
      <c r="AJ92" s="50">
        <f t="shared" si="27"/>
        <v>0</v>
      </c>
      <c r="AK92" s="50">
        <f t="shared" si="28"/>
        <v>0</v>
      </c>
      <c r="AL92" s="50">
        <f t="shared" si="42"/>
        <v>0</v>
      </c>
      <c r="AM92" s="39"/>
      <c r="AN92" s="50">
        <f t="shared" si="53"/>
        <v>0</v>
      </c>
      <c r="AO92" s="50">
        <f t="shared" si="54"/>
        <v>0</v>
      </c>
      <c r="AP92" s="50">
        <f t="shared" si="55"/>
        <v>0</v>
      </c>
      <c r="AQ92" s="50">
        <f t="shared" si="33"/>
        <v>0</v>
      </c>
      <c r="AR92" s="45"/>
    </row>
    <row r="93" spans="1:44" s="7" customFormat="1" x14ac:dyDescent="0.2">
      <c r="C93" s="39"/>
      <c r="D93" s="39"/>
      <c r="E93" s="39">
        <v>273</v>
      </c>
      <c r="F93" s="39" t="s">
        <v>2295</v>
      </c>
      <c r="G93" s="39" t="str">
        <f>VLOOKUP(E93,Mapping!$E$11:$G$96,3,0)</f>
        <v>Non-network general assets - Other</v>
      </c>
      <c r="H93" s="39" t="str">
        <f>VLOOKUP(E93,Mapping!$E$11:$K$96,7,0)</f>
        <v>Non-network general assets - Other</v>
      </c>
      <c r="I93" s="39"/>
      <c r="J93" s="51">
        <f>SUMPRODUCT(--('Input|Historical Data'!$Q$9:$Q$2561=$E93),--('Input|Historical Data'!$AA$9:$AA$2561="SCS"),--('Input|Historical Data'!$Y$9:$Y$2561=J$5),'Input|Historical Data'!$U$9:$U$2561)</f>
        <v>23.982489999999999</v>
      </c>
      <c r="K93" s="51">
        <f>SUMPRODUCT(--('Input|Historical Data'!$Q$9:$Q$2561=$E93),--('Input|Historical Data'!$AA$9:$AA$2561="SCS"),--('Input|Historical Data'!$Z$9:$Z$2561=K$5),'Input|Historical Data'!$U$9:$U$2561)</f>
        <v>0.39567000000000002</v>
      </c>
      <c r="L93" s="51">
        <f>SUMPRODUCT(--('Input|Historical Data'!$Q$9:$Q$2561=$E93),--('Input|Historical Data'!$AA$9:$AA$2561="SCS"),--('Input|Historical Data'!$Z$9:$Z$2561=L$5),'Input|Historical Data'!$U$9:$U$2561)</f>
        <v>0.315</v>
      </c>
      <c r="M93" s="51">
        <f>SUMPRODUCT(--('Input|Historical Data'!$Q$9:$Q$2561=$E93),--('Input|Historical Data'!$AA$9:$AA$2561="SCS"),--('Input|Historical Data'!$Z$9:$Z$2561=M$5),'Input|Historical Data'!$U$9:$U$2561)</f>
        <v>23.271819999999998</v>
      </c>
      <c r="N93" s="51">
        <f>SUMPRODUCT(--('Input|Historical Data'!$Q$9:$Q$2561=$E93),--('Input|Historical Data'!$AA$9:$AA$2561="SCS"),--('Input|Historical Data'!$Y$9:$Y$2561=N$5),'Input|Historical Data'!$U$9:$U$2561)</f>
        <v>0</v>
      </c>
      <c r="O93" s="52">
        <f t="shared" si="34"/>
        <v>1.6498286875132651E-2</v>
      </c>
      <c r="P93" s="52">
        <f t="shared" si="35"/>
        <v>1.3134582772681236E-2</v>
      </c>
      <c r="Q93" s="52">
        <f t="shared" si="36"/>
        <v>0.97036713035218614</v>
      </c>
      <c r="R93" s="52">
        <f t="shared" si="37"/>
        <v>0</v>
      </c>
      <c r="S93" s="39"/>
      <c r="T93" s="51">
        <f>SUMPRODUCT(--('Input|Historical Data'!$AC$9:$AC$2668=$E93),--('Input|Historical Data'!$AM$9:$AM$2668="SCS"),--('Input|Historical Data'!$AK$9:$AK$2668=T$5),'Input|Historical Data'!$AG$9:$AG$2668)</f>
        <v>0</v>
      </c>
      <c r="U93" s="51">
        <f>SUMPRODUCT(--('Input|Historical Data'!$AC$9:$AC$2668=$E93),--('Input|Historical Data'!$AM$9:$AM$2668="SCS"),--('Input|Historical Data'!$AL$9:$AL$2668=U$5),'Input|Historical Data'!$AG$9:$AG$2668)</f>
        <v>0</v>
      </c>
      <c r="V93" s="51">
        <f>SUMPRODUCT(--('Input|Historical Data'!$AC$9:$AC$2668=$E93),--('Input|Historical Data'!$AM$9:$AM$2668="SCS"),--('Input|Historical Data'!$AL$9:$AL$2668=V$5),'Input|Historical Data'!$AG$9:$AG$2668)</f>
        <v>0</v>
      </c>
      <c r="W93" s="51">
        <f>SUMPRODUCT(--('Input|Historical Data'!$AC$9:$AC$2668=$E93),--('Input|Historical Data'!$AM$9:$AM$2668="SCS"),--('Input|Historical Data'!$AL$9:$AL$2668=W$5),'Input|Historical Data'!$AG$9:$AG$2668)</f>
        <v>0</v>
      </c>
      <c r="X93" s="51">
        <f>SUMPRODUCT(--('Input|Historical Data'!$AC$9:$AC$2668=$E93),--('Input|Historical Data'!$AM$9:$AM$2668="SCS"),--('Input|Historical Data'!$AK$9:$AK$2668=X$5),'Input|Historical Data'!$AG$9:$AG$2668)</f>
        <v>0</v>
      </c>
      <c r="Y93" s="52">
        <f t="shared" si="38"/>
        <v>0</v>
      </c>
      <c r="Z93" s="52">
        <f t="shared" si="39"/>
        <v>0</v>
      </c>
      <c r="AA93" s="52">
        <f t="shared" si="40"/>
        <v>0</v>
      </c>
      <c r="AB93" s="52">
        <f t="shared" si="41"/>
        <v>0</v>
      </c>
      <c r="AC93" s="39"/>
      <c r="AD93" s="51">
        <f>SUMPRODUCT(--('Input|Historical Data'!$AO$9:$AO$2668=$E93),--('Input|Historical Data'!$AY$9:$AY$2668="SCS"),--('Input|Historical Data'!$AW$9:$AW$2668=AD$5),'Input|Historical Data'!$AS$9:$AS$2668)</f>
        <v>0</v>
      </c>
      <c r="AE93" s="51">
        <f>SUMPRODUCT(--('Input|Historical Data'!$AO$9:$AO$2668=$E93),--('Input|Historical Data'!$AY$9:$AY$2668="SCS"),--('Input|Historical Data'!$AX$9:$AX$2668=AE$5),'Input|Historical Data'!$AS$9:$AS$2668)</f>
        <v>0</v>
      </c>
      <c r="AF93" s="51">
        <f>SUMPRODUCT(--('Input|Historical Data'!$AO$9:$AO$2668=$E93),--('Input|Historical Data'!$AY$9:$AY$2668="SCS"),--('Input|Historical Data'!$AX$9:$AX$2668=AF$5),'Input|Historical Data'!$AS$9:$AS$2668)</f>
        <v>0</v>
      </c>
      <c r="AG93" s="51">
        <f>SUMPRODUCT(--('Input|Historical Data'!$AO$9:$AO$2668=$E93),--('Input|Historical Data'!$AY$9:$AY$2668="SCS"),--('Input|Historical Data'!$AX$9:$AX$2668=AG$5),'Input|Historical Data'!$AS$9:$AS$2668)</f>
        <v>0</v>
      </c>
      <c r="AH93" s="51">
        <f>SUMPRODUCT(--('Input|Historical Data'!$AO$9:$AO$2668=$E93),--('Input|Historical Data'!$AY$9:$AY$2668="SCS"),--('Input|Historical Data'!$AW$9:$AW$2668=AH$5),'Input|Historical Data'!$AS$9:$AS$2668)</f>
        <v>0</v>
      </c>
      <c r="AI93" s="52">
        <f t="shared" si="29"/>
        <v>0</v>
      </c>
      <c r="AJ93" s="52">
        <f t="shared" si="27"/>
        <v>0</v>
      </c>
      <c r="AK93" s="52">
        <f t="shared" si="28"/>
        <v>0</v>
      </c>
      <c r="AL93" s="52">
        <f t="shared" si="42"/>
        <v>0</v>
      </c>
      <c r="AM93" s="39"/>
      <c r="AN93" s="52">
        <f t="shared" si="53"/>
        <v>1.6498286875132651E-2</v>
      </c>
      <c r="AO93" s="52">
        <f t="shared" si="54"/>
        <v>1.3134582772681236E-2</v>
      </c>
      <c r="AP93" s="52">
        <f t="shared" si="55"/>
        <v>0.97036713035218614</v>
      </c>
      <c r="AQ93" s="52">
        <f t="shared" si="33"/>
        <v>0</v>
      </c>
      <c r="AR93" s="45"/>
    </row>
    <row r="94" spans="1:44" s="95" customFormat="1" x14ac:dyDescent="0.2">
      <c r="C94" s="9"/>
      <c r="D94" s="9"/>
      <c r="E94" s="9" t="s">
        <v>2209</v>
      </c>
      <c r="F94" s="9"/>
      <c r="G94" s="9"/>
      <c r="H94" s="9"/>
      <c r="I94" s="9"/>
      <c r="J94" s="96">
        <f>SUM(J9:J93)</f>
        <v>139459.77249999999</v>
      </c>
      <c r="K94" s="96">
        <f t="shared" ref="K94:N94" si="56">SUM(K9:K93)</f>
        <v>51536.988890000001</v>
      </c>
      <c r="L94" s="96">
        <f t="shared" si="56"/>
        <v>15279.894790000002</v>
      </c>
      <c r="M94" s="96">
        <f t="shared" si="56"/>
        <v>66860.832549999977</v>
      </c>
      <c r="N94" s="96">
        <f t="shared" si="56"/>
        <v>16688.223439999998</v>
      </c>
      <c r="O94" s="97">
        <f t="shared" ref="O94" si="57">IFERROR(K94/SUM($K94:$M94),0)</f>
        <v>0.38553163790835371</v>
      </c>
      <c r="P94" s="97">
        <f t="shared" ref="P94" si="58">IFERROR(L94/SUM($K94:$M94),0)</f>
        <v>0.114303978411107</v>
      </c>
      <c r="Q94" s="97">
        <f t="shared" ref="Q94" si="59">IFERROR(M94/SUM($K94:$M94),0)</f>
        <v>0.5001643836805395</v>
      </c>
      <c r="R94" s="97">
        <f t="shared" ref="R94" si="60">IFERROR(N94/J94,0)</f>
        <v>0.11966334908512775</v>
      </c>
      <c r="S94" s="9"/>
      <c r="T94" s="96">
        <f>SUM(T9:T93)</f>
        <v>129695.60237981653</v>
      </c>
      <c r="U94" s="96">
        <f t="shared" ref="U94:X94" si="61">SUM(U9:U93)</f>
        <v>46544.402859999995</v>
      </c>
      <c r="V94" s="96">
        <f t="shared" si="61"/>
        <v>36945.199349999995</v>
      </c>
      <c r="W94" s="96">
        <f t="shared" si="61"/>
        <v>40741.146869816504</v>
      </c>
      <c r="X94" s="96">
        <f t="shared" si="61"/>
        <v>17696.946160000003</v>
      </c>
      <c r="Y94" s="97">
        <f t="shared" ref="Y94" si="62">IFERROR(U94/SUM($U94:$W94),0)</f>
        <v>0.37466088874740572</v>
      </c>
      <c r="Z94" s="97">
        <f t="shared" ref="Z94" si="63">IFERROR(V94/SUM($U94:$W94),0)</f>
        <v>0.29739174579284905</v>
      </c>
      <c r="AA94" s="97">
        <f t="shared" ref="AA94" si="64">IFERROR(W94/SUM($U94:$W94),0)</f>
        <v>0.3279473654597454</v>
      </c>
      <c r="AB94" s="97">
        <f t="shared" ref="AB94" si="65">IFERROR(X94/T94,0)</f>
        <v>0.13644985516296915</v>
      </c>
      <c r="AC94" s="9"/>
      <c r="AD94" s="96">
        <f>SUM(AD9:AD93)</f>
        <v>134350.16688660497</v>
      </c>
      <c r="AE94" s="96">
        <f t="shared" ref="AE94:AH94" si="66">SUM(AE9:AE93)</f>
        <v>52364.696930973863</v>
      </c>
      <c r="AF94" s="96">
        <f t="shared" si="66"/>
        <v>25438.326399999998</v>
      </c>
      <c r="AG94" s="96">
        <f t="shared" si="66"/>
        <v>50531.918740066729</v>
      </c>
      <c r="AH94" s="96">
        <f t="shared" si="66"/>
        <v>17928.329163672253</v>
      </c>
      <c r="AI94" s="97">
        <f t="shared" si="29"/>
        <v>0.40803148453510862</v>
      </c>
      <c r="AJ94" s="97">
        <f t="shared" si="27"/>
        <v>0.19821824040656408</v>
      </c>
      <c r="AK94" s="97">
        <f t="shared" si="28"/>
        <v>0.39375027505832727</v>
      </c>
      <c r="AL94" s="97">
        <f t="shared" si="42"/>
        <v>0.1334447852141801</v>
      </c>
      <c r="AM94" s="9"/>
      <c r="AN94" s="97">
        <f t="shared" ref="AN94" si="67">IFERROR(SUM(K94,U94,AE94)/SUM($K94:$M94,$U94:$W94,$AE94:$AG94),0)</f>
        <v>0.38951108499471637</v>
      </c>
      <c r="AO94" s="97">
        <f t="shared" ref="AO94" si="68">IFERROR(SUM(L94,V94,AF94)/SUM($K94:$M94,$U94:$W94,$AE94:$AG94),0)</f>
        <v>0.20107377642156007</v>
      </c>
      <c r="AP94" s="97">
        <f t="shared" ref="AP94" si="69">IFERROR(SUM(M94,W94,AG94)/SUM($K94:$M94,$U94:$W94,$AE94:$AG94),0)</f>
        <v>0.40941513858372364</v>
      </c>
      <c r="AQ94" s="97">
        <f t="shared" ref="AQ94" si="70">IFERROR(SUM(N94,X94,AH94)/SUM(J94,T94,AD94),0)</f>
        <v>0.12964753478889052</v>
      </c>
      <c r="AR94" s="98"/>
    </row>
    <row r="95" spans="1:44" s="7" customFormat="1" x14ac:dyDescent="0.2"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</row>
    <row r="96" spans="1:44" x14ac:dyDescent="0.2">
      <c r="A96" s="22" t="s">
        <v>2377</v>
      </c>
      <c r="B96" s="22"/>
      <c r="C96" s="15"/>
      <c r="D96" s="24"/>
      <c r="E96" s="25"/>
      <c r="F96" s="25"/>
      <c r="G96" s="25"/>
      <c r="H96" s="25"/>
      <c r="I96" s="25"/>
      <c r="J96" s="35" t="s">
        <v>2296</v>
      </c>
      <c r="K96" s="35" t="s">
        <v>2296</v>
      </c>
      <c r="L96" s="35" t="s">
        <v>2296</v>
      </c>
      <c r="M96" s="35" t="s">
        <v>2296</v>
      </c>
      <c r="N96" s="35" t="s">
        <v>2296</v>
      </c>
      <c r="O96" s="35" t="s">
        <v>2298</v>
      </c>
      <c r="P96" s="35" t="s">
        <v>2298</v>
      </c>
      <c r="Q96" s="35" t="s">
        <v>2298</v>
      </c>
      <c r="R96" s="35" t="s">
        <v>2298</v>
      </c>
      <c r="S96" s="25"/>
      <c r="T96" s="35" t="s">
        <v>2296</v>
      </c>
      <c r="U96" s="35" t="s">
        <v>2296</v>
      </c>
      <c r="V96" s="35" t="s">
        <v>2296</v>
      </c>
      <c r="W96" s="35" t="s">
        <v>2296</v>
      </c>
      <c r="X96" s="35" t="s">
        <v>2296</v>
      </c>
      <c r="Y96" s="35" t="s">
        <v>2298</v>
      </c>
      <c r="Z96" s="35" t="s">
        <v>2298</v>
      </c>
      <c r="AA96" s="35" t="s">
        <v>2298</v>
      </c>
      <c r="AB96" s="35" t="s">
        <v>2298</v>
      </c>
      <c r="AC96" s="25"/>
      <c r="AD96" s="35" t="s">
        <v>2296</v>
      </c>
      <c r="AE96" s="35" t="s">
        <v>2296</v>
      </c>
      <c r="AF96" s="35" t="s">
        <v>2296</v>
      </c>
      <c r="AG96" s="35" t="s">
        <v>2296</v>
      </c>
      <c r="AH96" s="35" t="s">
        <v>2296</v>
      </c>
      <c r="AI96" s="35" t="s">
        <v>2298</v>
      </c>
      <c r="AJ96" s="35" t="s">
        <v>2298</v>
      </c>
      <c r="AK96" s="35" t="s">
        <v>2298</v>
      </c>
      <c r="AL96" s="35" t="s">
        <v>2298</v>
      </c>
      <c r="AM96" s="25"/>
      <c r="AN96" s="35" t="s">
        <v>2298</v>
      </c>
      <c r="AO96" s="35" t="s">
        <v>2298</v>
      </c>
      <c r="AP96" s="35" t="s">
        <v>2298</v>
      </c>
      <c r="AQ96" s="35" t="s">
        <v>2298</v>
      </c>
      <c r="AR96" s="25"/>
    </row>
    <row r="97" spans="1:44" s="7" customFormat="1" x14ac:dyDescent="0.2"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</row>
    <row r="98" spans="1:44" s="7" customFormat="1" x14ac:dyDescent="0.2">
      <c r="C98" s="39"/>
      <c r="D98" s="39"/>
      <c r="E98" s="39" t="s">
        <v>2333</v>
      </c>
      <c r="F98" s="39"/>
      <c r="G98" s="39"/>
      <c r="H98" s="39"/>
      <c r="I98" s="39"/>
      <c r="J98" s="44">
        <f t="shared" ref="J98:N105" si="71">SUMPRODUCT(--($G$9:$G$93=$E98),J$9:J$93)</f>
        <v>19104.822059999999</v>
      </c>
      <c r="K98" s="44">
        <f t="shared" si="71"/>
        <v>14441.173920000001</v>
      </c>
      <c r="L98" s="44">
        <f t="shared" si="71"/>
        <v>2990.1208100000003</v>
      </c>
      <c r="M98" s="44">
        <f t="shared" si="71"/>
        <v>855.52517000000023</v>
      </c>
      <c r="N98" s="44">
        <f t="shared" si="71"/>
        <v>3175.7040099999999</v>
      </c>
      <c r="O98" s="94">
        <f t="shared" ref="O98:O106" si="72">IFERROR(K98/SUM($K98:$M98),0)</f>
        <v>0.78970395065792709</v>
      </c>
      <c r="P98" s="94">
        <f t="shared" ref="P98:P106" si="73">IFERROR(L98/SUM($K98:$M98),0)</f>
        <v>0.16351234530395303</v>
      </c>
      <c r="Q98" s="94">
        <f t="shared" ref="Q98:Q106" si="74">IFERROR(M98/SUM($K98:$M98),0)</f>
        <v>4.6783704038119836E-2</v>
      </c>
      <c r="R98" s="94">
        <f t="shared" ref="R98:R106" si="75">IFERROR(N98/J98,0)</f>
        <v>0.16622525978135178</v>
      </c>
      <c r="S98" s="39"/>
      <c r="T98" s="44">
        <f t="shared" ref="T98:X105" si="76">SUMPRODUCT(--($G$9:$G$93=$E98),T$9:T$93)</f>
        <v>18608.673450000006</v>
      </c>
      <c r="U98" s="44">
        <f t="shared" si="76"/>
        <v>10766.369999999999</v>
      </c>
      <c r="V98" s="44">
        <f t="shared" si="76"/>
        <v>5032.1238700000004</v>
      </c>
      <c r="W98" s="44">
        <f t="shared" si="76"/>
        <v>2171.2593400000001</v>
      </c>
      <c r="X98" s="44">
        <f t="shared" si="76"/>
        <v>2530.8926700000002</v>
      </c>
      <c r="Y98" s="94">
        <f t="shared" ref="Y98:Y105" si="77">IFERROR(U98/SUM($U98:$W98),0)</f>
        <v>0.59913844526304427</v>
      </c>
      <c r="Z98" s="94">
        <f t="shared" ref="Z98:Z105" si="78">IFERROR(V98/SUM($U98:$W98),0)</f>
        <v>0.28003299829402611</v>
      </c>
      <c r="AA98" s="94">
        <f t="shared" ref="AA98:AA105" si="79">IFERROR(W98/SUM($U98:$W98),0)</f>
        <v>0.12082855644292959</v>
      </c>
      <c r="AB98" s="94">
        <f t="shared" ref="AB98:AB105" si="80">IFERROR(X98/T98,0)</f>
        <v>0.13600607677921284</v>
      </c>
      <c r="AC98" s="39"/>
      <c r="AD98" s="44">
        <f t="shared" ref="AD98:AH105" si="81">SUMPRODUCT(--($G$9:$G$93=$E98),AD$9:AD$93)</f>
        <v>27981.725050000001</v>
      </c>
      <c r="AE98" s="44">
        <f t="shared" si="81"/>
        <v>17283.417159999997</v>
      </c>
      <c r="AF98" s="44">
        <f t="shared" si="81"/>
        <v>3367.2537899999998</v>
      </c>
      <c r="AG98" s="44">
        <f t="shared" si="81"/>
        <v>6044.2433500000006</v>
      </c>
      <c r="AH98" s="44">
        <f t="shared" si="81"/>
        <v>4028.3651100000006</v>
      </c>
      <c r="AI98" s="94">
        <f>IFERROR(AE98/SUM($AE98:$AG98),0)</f>
        <v>0.64744231675619202</v>
      </c>
      <c r="AJ98" s="94">
        <f t="shared" ref="AJ98:AJ106" si="82">IFERROR(AF98/SUM($AE98:$AG98),0)</f>
        <v>0.12613840045180441</v>
      </c>
      <c r="AK98" s="94">
        <f t="shared" ref="AK98:AK106" si="83">IFERROR(AG98/SUM($AE98:$AG98),0)</f>
        <v>0.22641928279200363</v>
      </c>
      <c r="AL98" s="94">
        <f t="shared" ref="AL98:AL106" si="84">IFERROR(AH98/AD98,0)</f>
        <v>0.14396414455512638</v>
      </c>
      <c r="AM98" s="39"/>
      <c r="AN98" s="94">
        <f t="shared" ref="AN98:AN100" si="85">IFERROR(SUM(K98,U98,AE98)/SUM($K98:$M98,$U98:$W98,$AE98:$AG98),0)</f>
        <v>0.6749794616171404</v>
      </c>
      <c r="AO98" s="94">
        <f t="shared" ref="AO98:AO100" si="86">IFERROR(SUM(L98,V98,AF98)/SUM($K98:$M98,$U98:$W98,$AE98:$AG98),0)</f>
        <v>0.18092500969549372</v>
      </c>
      <c r="AP98" s="94">
        <f t="shared" ref="AP98:AP100" si="87">IFERROR(SUM(M98,W98,AG98)/SUM($K98:$M98,$U98:$W98,$AE98:$AG98),0)</f>
        <v>0.1440955286873658</v>
      </c>
      <c r="AQ98" s="94">
        <f t="shared" ref="AQ98:AQ101" si="88">IFERROR(SUM(N98,X98,AH98)/SUM(J98,T98,AD98),0)</f>
        <v>0.14818371423395976</v>
      </c>
      <c r="AR98" s="39"/>
    </row>
    <row r="99" spans="1:44" s="7" customFormat="1" x14ac:dyDescent="0.2">
      <c r="C99" s="39"/>
      <c r="D99" s="39"/>
      <c r="E99" s="39" t="s">
        <v>2299</v>
      </c>
      <c r="F99" s="39"/>
      <c r="G99" s="39"/>
      <c r="H99" s="39"/>
      <c r="I99" s="39"/>
      <c r="J99" s="44">
        <f t="shared" si="71"/>
        <v>62272.667709999987</v>
      </c>
      <c r="K99" s="44">
        <f t="shared" si="71"/>
        <v>15495.169270000002</v>
      </c>
      <c r="L99" s="44">
        <f t="shared" si="71"/>
        <v>9715.4511600000023</v>
      </c>
      <c r="M99" s="44">
        <f t="shared" si="71"/>
        <v>34248.310899999997</v>
      </c>
      <c r="N99" s="44">
        <f t="shared" si="71"/>
        <v>10614.634740000001</v>
      </c>
      <c r="O99" s="94">
        <f t="shared" si="72"/>
        <v>0.26060288880741983</v>
      </c>
      <c r="P99" s="94">
        <f t="shared" si="73"/>
        <v>0.16339767538166419</v>
      </c>
      <c r="Q99" s="94">
        <f t="shared" si="74"/>
        <v>0.57599943581091595</v>
      </c>
      <c r="R99" s="94">
        <f t="shared" si="75"/>
        <v>0.17045415156183299</v>
      </c>
      <c r="S99" s="39"/>
      <c r="T99" s="44">
        <f t="shared" si="76"/>
        <v>66588.007729999983</v>
      </c>
      <c r="U99" s="44">
        <f t="shared" si="76"/>
        <v>17124.075359999999</v>
      </c>
      <c r="V99" s="44">
        <f t="shared" si="76"/>
        <v>13219.01187</v>
      </c>
      <c r="W99" s="44">
        <f t="shared" si="76"/>
        <v>33286.309240000002</v>
      </c>
      <c r="X99" s="44">
        <f t="shared" si="76"/>
        <v>11408.452250000002</v>
      </c>
      <c r="Y99" s="94">
        <f t="shared" si="77"/>
        <v>0.26912207737305288</v>
      </c>
      <c r="Z99" s="94">
        <f t="shared" si="78"/>
        <v>0.20775007470379675</v>
      </c>
      <c r="AA99" s="94">
        <f t="shared" si="79"/>
        <v>0.52312784792315037</v>
      </c>
      <c r="AB99" s="94">
        <f t="shared" si="80"/>
        <v>0.17132893202419897</v>
      </c>
      <c r="AC99" s="39"/>
      <c r="AD99" s="44">
        <f t="shared" si="81"/>
        <v>77131.195899999977</v>
      </c>
      <c r="AE99" s="44">
        <f t="shared" si="81"/>
        <v>18070.333630000001</v>
      </c>
      <c r="AF99" s="44">
        <f t="shared" si="81"/>
        <v>18767.307479999999</v>
      </c>
      <c r="AG99" s="44">
        <f t="shared" si="81"/>
        <v>37169.439989999999</v>
      </c>
      <c r="AH99" s="44">
        <f t="shared" si="81"/>
        <v>11073.673639999999</v>
      </c>
      <c r="AI99" s="94">
        <f t="shared" ref="AI99:AI106" si="89">IFERROR(AE99/SUM($AE99:$AG99),0)</f>
        <v>0.24417033291156245</v>
      </c>
      <c r="AJ99" s="94">
        <f t="shared" si="82"/>
        <v>0.2535879972707098</v>
      </c>
      <c r="AK99" s="94">
        <f t="shared" si="83"/>
        <v>0.50224166981772778</v>
      </c>
      <c r="AL99" s="94">
        <f t="shared" si="84"/>
        <v>0.14356932380974535</v>
      </c>
      <c r="AM99" s="39"/>
      <c r="AN99" s="94">
        <f t="shared" si="85"/>
        <v>0.25718294780635048</v>
      </c>
      <c r="AO99" s="94">
        <f t="shared" si="86"/>
        <v>0.21158164334085616</v>
      </c>
      <c r="AP99" s="94">
        <f t="shared" si="87"/>
        <v>0.53123540885279352</v>
      </c>
      <c r="AQ99" s="94">
        <f t="shared" si="88"/>
        <v>0.16067022652254143</v>
      </c>
      <c r="AR99" s="39"/>
    </row>
    <row r="100" spans="1:44" s="7" customFormat="1" x14ac:dyDescent="0.2">
      <c r="C100" s="39"/>
      <c r="D100" s="39"/>
      <c r="E100" s="39" t="s">
        <v>2300</v>
      </c>
      <c r="F100" s="39"/>
      <c r="G100" s="39"/>
      <c r="H100" s="39"/>
      <c r="I100" s="39"/>
      <c r="J100" s="44">
        <f t="shared" si="71"/>
        <v>17436.513799999997</v>
      </c>
      <c r="K100" s="44">
        <f t="shared" si="71"/>
        <v>10536.147579999999</v>
      </c>
      <c r="L100" s="44">
        <f t="shared" si="71"/>
        <v>1655.5575699999999</v>
      </c>
      <c r="M100" s="44">
        <f t="shared" si="71"/>
        <v>4495.8464200000008</v>
      </c>
      <c r="N100" s="44">
        <f t="shared" si="71"/>
        <v>2897.8846899999999</v>
      </c>
      <c r="O100" s="94">
        <f t="shared" si="72"/>
        <v>0.6313776790923199</v>
      </c>
      <c r="P100" s="94">
        <f t="shared" si="73"/>
        <v>9.9209135807332816E-2</v>
      </c>
      <c r="Q100" s="94">
        <f t="shared" si="74"/>
        <v>0.26941318510034729</v>
      </c>
      <c r="R100" s="94">
        <f t="shared" si="75"/>
        <v>0.16619633507243864</v>
      </c>
      <c r="S100" s="39"/>
      <c r="T100" s="44">
        <f t="shared" si="76"/>
        <v>19883.179609816518</v>
      </c>
      <c r="U100" s="44">
        <f t="shared" si="76"/>
        <v>11283.262159999998</v>
      </c>
      <c r="V100" s="44">
        <f t="shared" si="76"/>
        <v>2530.1726000000003</v>
      </c>
      <c r="W100" s="44">
        <f t="shared" si="76"/>
        <v>5147.4631098165137</v>
      </c>
      <c r="X100" s="44">
        <f t="shared" si="76"/>
        <v>3757.6012400000004</v>
      </c>
      <c r="Y100" s="94">
        <f t="shared" si="77"/>
        <v>0.59508058307521428</v>
      </c>
      <c r="Z100" s="94">
        <f t="shared" si="78"/>
        <v>0.13344160267999403</v>
      </c>
      <c r="AA100" s="94">
        <f t="shared" si="79"/>
        <v>0.27147781424479173</v>
      </c>
      <c r="AB100" s="94">
        <f t="shared" si="80"/>
        <v>0.18898392076812687</v>
      </c>
      <c r="AC100" s="39"/>
      <c r="AD100" s="44">
        <f t="shared" si="81"/>
        <v>19636.001896604994</v>
      </c>
      <c r="AE100" s="44">
        <f t="shared" si="81"/>
        <v>9741.1689509738626</v>
      </c>
      <c r="AF100" s="44">
        <f t="shared" si="81"/>
        <v>2500.4344700000001</v>
      </c>
      <c r="AG100" s="44">
        <f t="shared" si="81"/>
        <v>6571.9784400667259</v>
      </c>
      <c r="AH100" s="44">
        <f t="shared" si="81"/>
        <v>2820.9630836722517</v>
      </c>
      <c r="AI100" s="94">
        <f t="shared" si="89"/>
        <v>0.51777322483955079</v>
      </c>
      <c r="AJ100" s="94">
        <f t="shared" si="82"/>
        <v>0.13290581710960275</v>
      </c>
      <c r="AK100" s="94">
        <f t="shared" si="83"/>
        <v>0.34932095805084651</v>
      </c>
      <c r="AL100" s="94">
        <f t="shared" si="84"/>
        <v>0.14366280358528524</v>
      </c>
      <c r="AM100" s="39"/>
      <c r="AN100" s="94">
        <f t="shared" si="85"/>
        <v>0.5794969070585726</v>
      </c>
      <c r="AO100" s="94">
        <f t="shared" si="86"/>
        <v>0.12276744881336764</v>
      </c>
      <c r="AP100" s="94">
        <f t="shared" si="87"/>
        <v>0.29773564412805975</v>
      </c>
      <c r="AQ100" s="94">
        <f t="shared" si="88"/>
        <v>0.16638281672603555</v>
      </c>
      <c r="AR100" s="39"/>
    </row>
    <row r="101" spans="1:44" s="7" customFormat="1" x14ac:dyDescent="0.2">
      <c r="C101" s="39"/>
      <c r="D101" s="39"/>
      <c r="E101" s="39" t="s">
        <v>2309</v>
      </c>
      <c r="F101" s="39"/>
      <c r="G101" s="39"/>
      <c r="H101" s="39"/>
      <c r="I101" s="39"/>
      <c r="J101" s="44">
        <f t="shared" si="71"/>
        <v>0</v>
      </c>
      <c r="K101" s="44">
        <f t="shared" si="71"/>
        <v>0</v>
      </c>
      <c r="L101" s="44">
        <f t="shared" si="71"/>
        <v>0</v>
      </c>
      <c r="M101" s="44">
        <f t="shared" si="71"/>
        <v>0</v>
      </c>
      <c r="N101" s="44">
        <f t="shared" si="71"/>
        <v>0</v>
      </c>
      <c r="O101" s="94">
        <f t="shared" si="72"/>
        <v>0</v>
      </c>
      <c r="P101" s="94">
        <f t="shared" si="73"/>
        <v>0</v>
      </c>
      <c r="Q101" s="94">
        <f t="shared" si="74"/>
        <v>0</v>
      </c>
      <c r="R101" s="94">
        <f t="shared" si="75"/>
        <v>0</v>
      </c>
      <c r="S101" s="39"/>
      <c r="T101" s="44">
        <f t="shared" si="76"/>
        <v>0</v>
      </c>
      <c r="U101" s="44">
        <f t="shared" si="76"/>
        <v>0</v>
      </c>
      <c r="V101" s="44">
        <f t="shared" si="76"/>
        <v>0</v>
      </c>
      <c r="W101" s="44">
        <f t="shared" si="76"/>
        <v>0</v>
      </c>
      <c r="X101" s="44">
        <f t="shared" si="76"/>
        <v>0</v>
      </c>
      <c r="Y101" s="94">
        <f t="shared" si="77"/>
        <v>0</v>
      </c>
      <c r="Z101" s="94">
        <f t="shared" si="78"/>
        <v>0</v>
      </c>
      <c r="AA101" s="94">
        <f t="shared" si="79"/>
        <v>0</v>
      </c>
      <c r="AB101" s="94">
        <f t="shared" si="80"/>
        <v>0</v>
      </c>
      <c r="AC101" s="39"/>
      <c r="AD101" s="44">
        <f t="shared" si="81"/>
        <v>0</v>
      </c>
      <c r="AE101" s="44">
        <f t="shared" si="81"/>
        <v>0</v>
      </c>
      <c r="AF101" s="44">
        <f t="shared" si="81"/>
        <v>0</v>
      </c>
      <c r="AG101" s="44">
        <f t="shared" si="81"/>
        <v>0</v>
      </c>
      <c r="AH101" s="44">
        <f t="shared" si="81"/>
        <v>0</v>
      </c>
      <c r="AI101" s="94">
        <f t="shared" si="89"/>
        <v>0</v>
      </c>
      <c r="AJ101" s="94">
        <f t="shared" si="82"/>
        <v>0</v>
      </c>
      <c r="AK101" s="94">
        <f t="shared" si="83"/>
        <v>0</v>
      </c>
      <c r="AL101" s="94">
        <f t="shared" si="84"/>
        <v>0</v>
      </c>
      <c r="AM101" s="39"/>
      <c r="AN101" s="165">
        <f>AN115</f>
        <v>0.77318415332871038</v>
      </c>
      <c r="AO101" s="165">
        <f t="shared" ref="AO101:AP101" si="90">AO115</f>
        <v>0.14619788516769369</v>
      </c>
      <c r="AP101" s="165">
        <f t="shared" si="90"/>
        <v>8.0617961503595875E-2</v>
      </c>
      <c r="AQ101" s="94">
        <f t="shared" si="88"/>
        <v>0</v>
      </c>
      <c r="AR101" s="39"/>
    </row>
    <row r="102" spans="1:44" s="7" customFormat="1" x14ac:dyDescent="0.2">
      <c r="C102" s="39"/>
      <c r="D102" s="39"/>
      <c r="E102" s="39" t="s">
        <v>2301</v>
      </c>
      <c r="F102" s="39"/>
      <c r="G102" s="39"/>
      <c r="H102" s="39"/>
      <c r="I102" s="39"/>
      <c r="J102" s="44">
        <f t="shared" si="71"/>
        <v>12827.645500000001</v>
      </c>
      <c r="K102" s="44">
        <f t="shared" si="71"/>
        <v>11064.10245</v>
      </c>
      <c r="L102" s="44">
        <f t="shared" si="71"/>
        <v>384.41802000000001</v>
      </c>
      <c r="M102" s="44">
        <f t="shared" si="71"/>
        <v>-22.23047</v>
      </c>
      <c r="N102" s="44">
        <f t="shared" si="71"/>
        <v>0</v>
      </c>
      <c r="O102" s="94">
        <f t="shared" si="72"/>
        <v>0.96830226171399481</v>
      </c>
      <c r="P102" s="94">
        <f t="shared" si="73"/>
        <v>3.364329279232367E-2</v>
      </c>
      <c r="Q102" s="94">
        <f t="shared" si="74"/>
        <v>-1.945554506318324E-3</v>
      </c>
      <c r="R102" s="94">
        <f t="shared" si="75"/>
        <v>0</v>
      </c>
      <c r="S102" s="39"/>
      <c r="T102" s="44">
        <f t="shared" si="76"/>
        <v>8587.3536000000004</v>
      </c>
      <c r="U102" s="44">
        <f t="shared" si="76"/>
        <v>7359.1580899999999</v>
      </c>
      <c r="V102" s="44">
        <f t="shared" si="76"/>
        <v>283.15544999999997</v>
      </c>
      <c r="W102" s="44">
        <f t="shared" si="76"/>
        <v>0</v>
      </c>
      <c r="X102" s="44">
        <f t="shared" si="76"/>
        <v>0</v>
      </c>
      <c r="Y102" s="94">
        <f t="shared" si="77"/>
        <v>0.96294898808875617</v>
      </c>
      <c r="Z102" s="94">
        <f t="shared" si="78"/>
        <v>3.7051011911243825E-2</v>
      </c>
      <c r="AA102" s="94">
        <f t="shared" si="79"/>
        <v>0</v>
      </c>
      <c r="AB102" s="94">
        <f t="shared" si="80"/>
        <v>0</v>
      </c>
      <c r="AC102" s="39"/>
      <c r="AD102" s="44">
        <f t="shared" si="81"/>
        <v>8067.3696899999995</v>
      </c>
      <c r="AE102" s="44">
        <f t="shared" si="81"/>
        <v>7246.45064</v>
      </c>
      <c r="AF102" s="44">
        <f t="shared" si="81"/>
        <v>40.835450000000002</v>
      </c>
      <c r="AG102" s="44">
        <f t="shared" si="81"/>
        <v>0</v>
      </c>
      <c r="AH102" s="44">
        <f t="shared" si="81"/>
        <v>0</v>
      </c>
      <c r="AI102" s="94">
        <f t="shared" si="89"/>
        <v>0.99439634323454984</v>
      </c>
      <c r="AJ102" s="94">
        <f t="shared" si="82"/>
        <v>5.6036567654502503E-3</v>
      </c>
      <c r="AK102" s="94">
        <f t="shared" si="83"/>
        <v>0</v>
      </c>
      <c r="AL102" s="94">
        <f t="shared" si="84"/>
        <v>0</v>
      </c>
      <c r="AM102" s="39"/>
      <c r="AN102" s="113">
        <v>0.52161804486591612</v>
      </c>
      <c r="AO102" s="113">
        <v>0.27280920041243295</v>
      </c>
      <c r="AP102" s="113">
        <v>0.20557275472165107</v>
      </c>
      <c r="AQ102" s="94">
        <f t="shared" ref="AQ102:AQ103" si="91">IFERROR(SUM(N102,X102)/SUM(J102,T102),0)</f>
        <v>0</v>
      </c>
      <c r="AR102" s="39"/>
    </row>
    <row r="103" spans="1:44" s="7" customFormat="1" x14ac:dyDescent="0.2">
      <c r="C103" s="39"/>
      <c r="D103" s="39"/>
      <c r="E103" s="39" t="s">
        <v>2302</v>
      </c>
      <c r="F103" s="39"/>
      <c r="G103" s="39"/>
      <c r="H103" s="39"/>
      <c r="I103" s="39"/>
      <c r="J103" s="44">
        <f t="shared" si="71"/>
        <v>3187.58943</v>
      </c>
      <c r="K103" s="44">
        <f t="shared" si="71"/>
        <v>0.39567000000000002</v>
      </c>
      <c r="L103" s="44">
        <f t="shared" si="71"/>
        <v>534.34723000000008</v>
      </c>
      <c r="M103" s="44">
        <f t="shared" si="71"/>
        <v>2652.8465299999998</v>
      </c>
      <c r="N103" s="44">
        <f t="shared" si="71"/>
        <v>0</v>
      </c>
      <c r="O103" s="94">
        <f t="shared" si="72"/>
        <v>1.2412828210438633E-4</v>
      </c>
      <c r="P103" s="94">
        <f t="shared" si="73"/>
        <v>0.16763364345827941</v>
      </c>
      <c r="Q103" s="94">
        <f t="shared" si="74"/>
        <v>0.83224222825961613</v>
      </c>
      <c r="R103" s="94">
        <f t="shared" si="75"/>
        <v>0</v>
      </c>
      <c r="S103" s="39"/>
      <c r="T103" s="44">
        <f t="shared" si="76"/>
        <v>16028.387990000001</v>
      </c>
      <c r="U103" s="44">
        <f t="shared" si="76"/>
        <v>11.53725</v>
      </c>
      <c r="V103" s="44">
        <f t="shared" si="76"/>
        <v>15880.735559999999</v>
      </c>
      <c r="W103" s="44">
        <f t="shared" si="76"/>
        <v>136.11517999999995</v>
      </c>
      <c r="X103" s="44">
        <f t="shared" si="76"/>
        <v>0</v>
      </c>
      <c r="Y103" s="94">
        <f t="shared" si="77"/>
        <v>7.1980101849281476E-4</v>
      </c>
      <c r="Z103" s="94">
        <f t="shared" si="78"/>
        <v>0.9907880673906746</v>
      </c>
      <c r="AA103" s="94">
        <f t="shared" si="79"/>
        <v>8.4921315908325443E-3</v>
      </c>
      <c r="AB103" s="94">
        <f t="shared" si="80"/>
        <v>0</v>
      </c>
      <c r="AC103" s="39"/>
      <c r="AD103" s="44">
        <f t="shared" si="81"/>
        <v>1500.53097</v>
      </c>
      <c r="AE103" s="44">
        <f t="shared" si="81"/>
        <v>0</v>
      </c>
      <c r="AF103" s="44">
        <f t="shared" si="81"/>
        <v>761.15010000000007</v>
      </c>
      <c r="AG103" s="44">
        <f t="shared" si="81"/>
        <v>739.38086999999996</v>
      </c>
      <c r="AH103" s="44">
        <f t="shared" si="81"/>
        <v>0</v>
      </c>
      <c r="AI103" s="94">
        <f t="shared" si="89"/>
        <v>0</v>
      </c>
      <c r="AJ103" s="94">
        <f t="shared" si="82"/>
        <v>0.507253842284908</v>
      </c>
      <c r="AK103" s="94">
        <f t="shared" si="83"/>
        <v>0.492746157715092</v>
      </c>
      <c r="AL103" s="94">
        <f t="shared" si="84"/>
        <v>0</v>
      </c>
      <c r="AM103" s="39"/>
      <c r="AN103" s="113">
        <v>0.18784785064192577</v>
      </c>
      <c r="AO103" s="113">
        <v>0.66536309210782796</v>
      </c>
      <c r="AP103" s="113">
        <v>0.14678905725024616</v>
      </c>
      <c r="AQ103" s="94">
        <f t="shared" si="91"/>
        <v>0</v>
      </c>
      <c r="AR103" s="39"/>
    </row>
    <row r="104" spans="1:44" s="7" customFormat="1" x14ac:dyDescent="0.2">
      <c r="C104" s="39"/>
      <c r="D104" s="39"/>
      <c r="E104" s="39" t="s">
        <v>2335</v>
      </c>
      <c r="F104" s="39"/>
      <c r="G104" s="39"/>
      <c r="H104" s="39"/>
      <c r="I104" s="39"/>
      <c r="J104" s="44">
        <f t="shared" si="71"/>
        <v>0</v>
      </c>
      <c r="K104" s="44">
        <f t="shared" si="71"/>
        <v>0</v>
      </c>
      <c r="L104" s="44">
        <f t="shared" si="71"/>
        <v>0</v>
      </c>
      <c r="M104" s="44">
        <f t="shared" si="71"/>
        <v>0</v>
      </c>
      <c r="N104" s="44">
        <f t="shared" si="71"/>
        <v>0</v>
      </c>
      <c r="O104" s="94">
        <f t="shared" si="72"/>
        <v>0</v>
      </c>
      <c r="P104" s="94">
        <f t="shared" si="73"/>
        <v>0</v>
      </c>
      <c r="Q104" s="94">
        <f t="shared" si="74"/>
        <v>0</v>
      </c>
      <c r="R104" s="94">
        <f t="shared" si="75"/>
        <v>0</v>
      </c>
      <c r="S104" s="39"/>
      <c r="T104" s="44">
        <f t="shared" si="76"/>
        <v>0</v>
      </c>
      <c r="U104" s="44">
        <f t="shared" si="76"/>
        <v>0</v>
      </c>
      <c r="V104" s="44">
        <f t="shared" si="76"/>
        <v>0</v>
      </c>
      <c r="W104" s="44">
        <f t="shared" si="76"/>
        <v>0</v>
      </c>
      <c r="X104" s="44">
        <f t="shared" si="76"/>
        <v>0</v>
      </c>
      <c r="Y104" s="94">
        <f t="shared" si="77"/>
        <v>0</v>
      </c>
      <c r="Z104" s="94">
        <f t="shared" si="78"/>
        <v>0</v>
      </c>
      <c r="AA104" s="94">
        <f t="shared" si="79"/>
        <v>0</v>
      </c>
      <c r="AB104" s="94">
        <f t="shared" si="80"/>
        <v>0</v>
      </c>
      <c r="AC104" s="39"/>
      <c r="AD104" s="44">
        <f t="shared" si="81"/>
        <v>33.343380000000003</v>
      </c>
      <c r="AE104" s="44">
        <f t="shared" si="81"/>
        <v>23.326550000000001</v>
      </c>
      <c r="AF104" s="44">
        <f t="shared" si="81"/>
        <v>1.34511</v>
      </c>
      <c r="AG104" s="44">
        <f t="shared" si="81"/>
        <v>6.8760899999999996</v>
      </c>
      <c r="AH104" s="44">
        <f t="shared" si="81"/>
        <v>5.3273299999999999</v>
      </c>
      <c r="AI104" s="94">
        <f t="shared" si="89"/>
        <v>0.73940455341506128</v>
      </c>
      <c r="AJ104" s="94">
        <f t="shared" si="82"/>
        <v>4.2637272071700837E-2</v>
      </c>
      <c r="AK104" s="94">
        <f t="shared" si="83"/>
        <v>0.21795817451323785</v>
      </c>
      <c r="AL104" s="94">
        <f t="shared" si="84"/>
        <v>0.15977174479611844</v>
      </c>
      <c r="AM104" s="39"/>
      <c r="AN104" s="94">
        <f t="shared" ref="AN104:AN106" si="92">IFERROR(SUM(K104,U104,AE104)/SUM($K104:$M104,$U104:$W104,$AE104:$AG104),0)</f>
        <v>0.73940455341506128</v>
      </c>
      <c r="AO104" s="94">
        <f t="shared" ref="AO104:AO106" si="93">IFERROR(SUM(L104,V104,AF104)/SUM($K104:$M104,$U104:$W104,$AE104:$AG104),0)</f>
        <v>4.2637272071700837E-2</v>
      </c>
      <c r="AP104" s="94">
        <f t="shared" ref="AP104:AP106" si="94">IFERROR(SUM(M104,W104,AG104)/SUM($K104:$M104,$U104:$W104,$AE104:$AG104),0)</f>
        <v>0.21795817451323785</v>
      </c>
      <c r="AQ104" s="94">
        <f t="shared" ref="AQ104:AQ106" si="95">IFERROR(SUM(N104,X104,AH104)/SUM(J104,T104,AD104),0)</f>
        <v>0.15977174479611844</v>
      </c>
      <c r="AR104" s="39"/>
    </row>
    <row r="105" spans="1:44" s="7" customFormat="1" x14ac:dyDescent="0.2">
      <c r="C105" s="39"/>
      <c r="D105" s="39"/>
      <c r="E105" s="39" t="s">
        <v>2315</v>
      </c>
      <c r="F105" s="39"/>
      <c r="G105" s="39"/>
      <c r="H105" s="39"/>
      <c r="I105" s="39"/>
      <c r="J105" s="44">
        <f t="shared" si="71"/>
        <v>24630.534</v>
      </c>
      <c r="K105" s="44">
        <f t="shared" si="71"/>
        <v>0</v>
      </c>
      <c r="L105" s="44">
        <f t="shared" si="71"/>
        <v>0</v>
      </c>
      <c r="M105" s="44">
        <f t="shared" si="71"/>
        <v>24630.534</v>
      </c>
      <c r="N105" s="44">
        <f t="shared" si="71"/>
        <v>0</v>
      </c>
      <c r="O105" s="94">
        <f t="shared" si="72"/>
        <v>0</v>
      </c>
      <c r="P105" s="94">
        <f t="shared" si="73"/>
        <v>0</v>
      </c>
      <c r="Q105" s="94">
        <f t="shared" si="74"/>
        <v>1</v>
      </c>
      <c r="R105" s="94">
        <f t="shared" si="75"/>
        <v>0</v>
      </c>
      <c r="S105" s="39"/>
      <c r="T105" s="44">
        <f t="shared" si="76"/>
        <v>0</v>
      </c>
      <c r="U105" s="44">
        <f t="shared" si="76"/>
        <v>0</v>
      </c>
      <c r="V105" s="44">
        <f t="shared" si="76"/>
        <v>0</v>
      </c>
      <c r="W105" s="44">
        <f t="shared" si="76"/>
        <v>0</v>
      </c>
      <c r="X105" s="44">
        <f t="shared" si="76"/>
        <v>0</v>
      </c>
      <c r="Y105" s="94">
        <f t="shared" si="77"/>
        <v>0</v>
      </c>
      <c r="Z105" s="94">
        <f t="shared" si="78"/>
        <v>0</v>
      </c>
      <c r="AA105" s="94">
        <f t="shared" si="79"/>
        <v>0</v>
      </c>
      <c r="AB105" s="94">
        <f t="shared" si="80"/>
        <v>0</v>
      </c>
      <c r="AC105" s="39"/>
      <c r="AD105" s="44">
        <f t="shared" si="81"/>
        <v>0</v>
      </c>
      <c r="AE105" s="44">
        <f t="shared" si="81"/>
        <v>0</v>
      </c>
      <c r="AF105" s="44">
        <f t="shared" si="81"/>
        <v>0</v>
      </c>
      <c r="AG105" s="44">
        <f t="shared" si="81"/>
        <v>0</v>
      </c>
      <c r="AH105" s="44">
        <f t="shared" si="81"/>
        <v>0</v>
      </c>
      <c r="AI105" s="94">
        <f t="shared" si="89"/>
        <v>0</v>
      </c>
      <c r="AJ105" s="94">
        <f t="shared" si="82"/>
        <v>0</v>
      </c>
      <c r="AK105" s="94">
        <f t="shared" si="83"/>
        <v>0</v>
      </c>
      <c r="AL105" s="94">
        <f t="shared" si="84"/>
        <v>0</v>
      </c>
      <c r="AM105" s="39"/>
      <c r="AN105" s="94">
        <f t="shared" si="92"/>
        <v>0</v>
      </c>
      <c r="AO105" s="94">
        <f t="shared" si="93"/>
        <v>0</v>
      </c>
      <c r="AP105" s="94">
        <f t="shared" si="94"/>
        <v>1</v>
      </c>
      <c r="AQ105" s="94">
        <f t="shared" si="95"/>
        <v>0</v>
      </c>
      <c r="AR105" s="39"/>
    </row>
    <row r="106" spans="1:44" s="7" customFormat="1" x14ac:dyDescent="0.2">
      <c r="C106" s="39"/>
      <c r="D106" s="39"/>
      <c r="E106" s="60" t="s">
        <v>2209</v>
      </c>
      <c r="F106" s="89"/>
      <c r="G106" s="89"/>
      <c r="H106" s="89"/>
      <c r="I106" s="89"/>
      <c r="J106" s="61">
        <f>SUM(J98:J105)</f>
        <v>139459.77249999996</v>
      </c>
      <c r="K106" s="61">
        <f t="shared" ref="K106:N106" si="96">SUM(K98:K105)</f>
        <v>51536.988890000001</v>
      </c>
      <c r="L106" s="61">
        <f t="shared" si="96"/>
        <v>15279.89479</v>
      </c>
      <c r="M106" s="61">
        <f t="shared" si="96"/>
        <v>66860.832549999992</v>
      </c>
      <c r="N106" s="61">
        <f t="shared" si="96"/>
        <v>16688.223440000002</v>
      </c>
      <c r="O106" s="99">
        <f t="shared" si="72"/>
        <v>0.3855316379083536</v>
      </c>
      <c r="P106" s="99">
        <f t="shared" si="73"/>
        <v>0.11430397841110695</v>
      </c>
      <c r="Q106" s="99">
        <f t="shared" si="74"/>
        <v>0.5001643836805395</v>
      </c>
      <c r="R106" s="99">
        <f t="shared" si="75"/>
        <v>0.1196633490851278</v>
      </c>
      <c r="S106" s="89"/>
      <c r="T106" s="61">
        <f>SUM(T98:T105)</f>
        <v>129695.60237981651</v>
      </c>
      <c r="U106" s="61">
        <f t="shared" ref="U106" si="97">SUM(U98:U105)</f>
        <v>46544.402859999995</v>
      </c>
      <c r="V106" s="61">
        <f t="shared" ref="V106" si="98">SUM(V98:V105)</f>
        <v>36945.199350000003</v>
      </c>
      <c r="W106" s="61">
        <f t="shared" ref="W106" si="99">SUM(W98:W105)</f>
        <v>40741.146869816512</v>
      </c>
      <c r="X106" s="61">
        <f t="shared" ref="X106" si="100">SUM(X98:X105)</f>
        <v>17696.946160000003</v>
      </c>
      <c r="Y106" s="99">
        <f t="shared" ref="Y106" si="101">IFERROR(U106/SUM($U106:$W106),0)</f>
        <v>0.37466088874740561</v>
      </c>
      <c r="Z106" s="99">
        <f t="shared" ref="Z106" si="102">IFERROR(V106/SUM($U106:$W106),0)</f>
        <v>0.29739174579284899</v>
      </c>
      <c r="AA106" s="99">
        <f t="shared" ref="AA106" si="103">IFERROR(W106/SUM($U106:$W106),0)</f>
        <v>0.3279473654597454</v>
      </c>
      <c r="AB106" s="124">
        <f t="shared" ref="AB106" si="104">IFERROR(X106/T106,0)</f>
        <v>0.13644985516296917</v>
      </c>
      <c r="AC106" s="89"/>
      <c r="AD106" s="61">
        <f>SUM(AD98:AD105)</f>
        <v>134350.16688660497</v>
      </c>
      <c r="AE106" s="61">
        <f t="shared" ref="AE106:AH106" si="105">SUM(AE98:AE105)</f>
        <v>52364.696930973863</v>
      </c>
      <c r="AF106" s="61">
        <f t="shared" si="105"/>
        <v>25438.326399999994</v>
      </c>
      <c r="AG106" s="61">
        <f t="shared" si="105"/>
        <v>50531.918740066729</v>
      </c>
      <c r="AH106" s="61">
        <f t="shared" si="105"/>
        <v>17928.32916367225</v>
      </c>
      <c r="AI106" s="99">
        <f t="shared" si="89"/>
        <v>0.40803148453510868</v>
      </c>
      <c r="AJ106" s="99">
        <f t="shared" si="82"/>
        <v>0.19821824040656405</v>
      </c>
      <c r="AK106" s="99">
        <f t="shared" si="83"/>
        <v>0.39375027505832727</v>
      </c>
      <c r="AL106" s="124">
        <f t="shared" si="84"/>
        <v>0.13344478521418007</v>
      </c>
      <c r="AM106" s="89"/>
      <c r="AN106" s="99">
        <f t="shared" si="92"/>
        <v>0.38951108499471621</v>
      </c>
      <c r="AO106" s="99">
        <f t="shared" si="93"/>
        <v>0.20107377642156002</v>
      </c>
      <c r="AP106" s="99">
        <f t="shared" si="94"/>
        <v>0.40941513858372353</v>
      </c>
      <c r="AQ106" s="99">
        <f t="shared" si="95"/>
        <v>0.12964753478889054</v>
      </c>
      <c r="AR106" s="39"/>
    </row>
    <row r="107" spans="1:44" s="7" customFormat="1" x14ac:dyDescent="0.2">
      <c r="C107" s="39"/>
      <c r="D107" s="39"/>
      <c r="E107" s="39"/>
      <c r="F107" s="39"/>
      <c r="G107" s="39"/>
      <c r="H107" s="39"/>
      <c r="I107" s="39"/>
      <c r="J107" s="65">
        <f>J106-J94</f>
        <v>0</v>
      </c>
      <c r="K107" s="65">
        <f t="shared" ref="K107:N107" si="106">K106-K94</f>
        <v>0</v>
      </c>
      <c r="L107" s="65">
        <f t="shared" si="106"/>
        <v>0</v>
      </c>
      <c r="M107" s="65">
        <f t="shared" si="106"/>
        <v>0</v>
      </c>
      <c r="N107" s="65">
        <f t="shared" si="106"/>
        <v>0</v>
      </c>
      <c r="O107" s="65">
        <f t="shared" ref="O107" si="107">O106-O94</f>
        <v>0</v>
      </c>
      <c r="P107" s="65">
        <f t="shared" ref="P107" si="108">P106-P94</f>
        <v>0</v>
      </c>
      <c r="Q107" s="65">
        <f t="shared" ref="Q107" si="109">Q106-Q94</f>
        <v>0</v>
      </c>
      <c r="R107" s="65">
        <f t="shared" ref="R107" si="110">R106-R94</f>
        <v>0</v>
      </c>
      <c r="S107" s="39"/>
      <c r="T107" s="65">
        <f>T106-T94</f>
        <v>0</v>
      </c>
      <c r="U107" s="65">
        <f t="shared" ref="U107" si="111">U106-U94</f>
        <v>0</v>
      </c>
      <c r="V107" s="65">
        <f t="shared" ref="V107" si="112">V106-V94</f>
        <v>0</v>
      </c>
      <c r="W107" s="65">
        <f t="shared" ref="W107" si="113">W106-W94</f>
        <v>0</v>
      </c>
      <c r="X107" s="65">
        <f t="shared" ref="X107" si="114">X106-X94</f>
        <v>0</v>
      </c>
      <c r="Y107" s="65">
        <f t="shared" ref="Y107" si="115">Y106-Y94</f>
        <v>0</v>
      </c>
      <c r="Z107" s="65">
        <f t="shared" ref="Z107" si="116">Z106-Z94</f>
        <v>0</v>
      </c>
      <c r="AA107" s="65">
        <f t="shared" ref="AA107" si="117">AA106-AA94</f>
        <v>0</v>
      </c>
      <c r="AB107" s="65">
        <f t="shared" ref="AB107" si="118">AB106-AB94</f>
        <v>0</v>
      </c>
      <c r="AC107" s="39"/>
      <c r="AD107" s="65">
        <f>AD106-AD94</f>
        <v>0</v>
      </c>
      <c r="AE107" s="65">
        <f t="shared" ref="AE107:AL107" si="119">AE106-AE94</f>
        <v>0</v>
      </c>
      <c r="AF107" s="65">
        <f t="shared" si="119"/>
        <v>0</v>
      </c>
      <c r="AG107" s="65">
        <f t="shared" si="119"/>
        <v>0</v>
      </c>
      <c r="AH107" s="65">
        <f t="shared" si="119"/>
        <v>0</v>
      </c>
      <c r="AI107" s="65">
        <f t="shared" si="119"/>
        <v>0</v>
      </c>
      <c r="AJ107" s="65">
        <f t="shared" si="119"/>
        <v>0</v>
      </c>
      <c r="AK107" s="65">
        <f t="shared" si="119"/>
        <v>0</v>
      </c>
      <c r="AL107" s="65">
        <f t="shared" si="119"/>
        <v>0</v>
      </c>
      <c r="AM107" s="39"/>
      <c r="AN107" s="65">
        <f t="shared" ref="AN107" si="120">AN106-AN94</f>
        <v>0</v>
      </c>
      <c r="AO107" s="65">
        <f t="shared" ref="AO107" si="121">AO106-AO94</f>
        <v>0</v>
      </c>
      <c r="AP107" s="65">
        <f t="shared" ref="AP107" si="122">AP106-AP94</f>
        <v>0</v>
      </c>
      <c r="AQ107" s="65">
        <f t="shared" ref="AQ107" si="123">AQ106-AQ94</f>
        <v>0</v>
      </c>
      <c r="AR107" s="39"/>
    </row>
    <row r="108" spans="1:44" s="7" customFormat="1" x14ac:dyDescent="0.2"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</row>
    <row r="109" spans="1:44" x14ac:dyDescent="0.2">
      <c r="A109" s="22" t="s">
        <v>2371</v>
      </c>
      <c r="B109" s="22"/>
      <c r="C109" s="15"/>
      <c r="D109" s="24"/>
      <c r="E109" s="25"/>
      <c r="F109" s="25"/>
      <c r="G109" s="25"/>
      <c r="H109" s="25"/>
      <c r="I109" s="25"/>
      <c r="J109" s="35" t="s">
        <v>2296</v>
      </c>
      <c r="K109" s="35" t="s">
        <v>2296</v>
      </c>
      <c r="L109" s="35" t="s">
        <v>2296</v>
      </c>
      <c r="M109" s="35" t="s">
        <v>2296</v>
      </c>
      <c r="N109" s="35" t="s">
        <v>2296</v>
      </c>
      <c r="O109" s="35" t="s">
        <v>2298</v>
      </c>
      <c r="P109" s="35" t="s">
        <v>2298</v>
      </c>
      <c r="Q109" s="35" t="s">
        <v>2298</v>
      </c>
      <c r="R109" s="35" t="s">
        <v>2298</v>
      </c>
      <c r="S109" s="25"/>
      <c r="T109" s="35" t="s">
        <v>2296</v>
      </c>
      <c r="U109" s="35" t="s">
        <v>2296</v>
      </c>
      <c r="V109" s="35" t="s">
        <v>2296</v>
      </c>
      <c r="W109" s="35" t="s">
        <v>2296</v>
      </c>
      <c r="X109" s="35" t="s">
        <v>2296</v>
      </c>
      <c r="Y109" s="35" t="s">
        <v>2298</v>
      </c>
      <c r="Z109" s="35" t="s">
        <v>2298</v>
      </c>
      <c r="AA109" s="35" t="s">
        <v>2298</v>
      </c>
      <c r="AB109" s="35" t="s">
        <v>2298</v>
      </c>
      <c r="AC109" s="25"/>
      <c r="AD109" s="35" t="s">
        <v>2296</v>
      </c>
      <c r="AE109" s="35" t="s">
        <v>2296</v>
      </c>
      <c r="AF109" s="35" t="s">
        <v>2296</v>
      </c>
      <c r="AG109" s="35" t="s">
        <v>2296</v>
      </c>
      <c r="AH109" s="35" t="s">
        <v>2296</v>
      </c>
      <c r="AI109" s="35" t="s">
        <v>2298</v>
      </c>
      <c r="AJ109" s="35" t="s">
        <v>2298</v>
      </c>
      <c r="AK109" s="35" t="s">
        <v>2298</v>
      </c>
      <c r="AL109" s="35" t="s">
        <v>2298</v>
      </c>
      <c r="AM109" s="25"/>
      <c r="AN109" s="35" t="s">
        <v>2298</v>
      </c>
      <c r="AO109" s="35" t="s">
        <v>2298</v>
      </c>
      <c r="AP109" s="35" t="s">
        <v>2298</v>
      </c>
      <c r="AQ109" s="35" t="s">
        <v>2298</v>
      </c>
      <c r="AR109" s="25"/>
    </row>
    <row r="110" spans="1:44" s="7" customFormat="1" x14ac:dyDescent="0.2"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</row>
    <row r="111" spans="1:44" s="7" customFormat="1" x14ac:dyDescent="0.2">
      <c r="C111" s="39"/>
      <c r="D111" s="39"/>
      <c r="E111" s="39" t="s">
        <v>2307</v>
      </c>
      <c r="F111" s="39"/>
      <c r="G111" s="39"/>
      <c r="H111" s="39" t="s">
        <v>28</v>
      </c>
      <c r="I111" s="39"/>
      <c r="J111" s="44">
        <f>SUMPRODUCT(--($H$9:$H$93=$H111),J$9:J$93)*$AQ$127</f>
        <v>26494.756758174615</v>
      </c>
      <c r="K111" s="44">
        <f>SUMPRODUCT(--($H$9:$H$93=$H111),K$9:K$93)*$AQ$127</f>
        <v>10312.169991442926</v>
      </c>
      <c r="L111" s="44">
        <f>SUMPRODUCT(--($H$9:$H$93=$H111),L$9:L$93)*$AQ$127</f>
        <v>3852.359644966607</v>
      </c>
      <c r="M111" s="44">
        <f>SUMPRODUCT(--($H$9:$H$93=$H111),M$9:M$93)*$AQ$127</f>
        <v>11150.436054078489</v>
      </c>
      <c r="N111" s="44">
        <f>SUMPRODUCT(--($H$9:$H$93=$H111),N$9:N$93)*$AQ$127</f>
        <v>4482.1574703007927</v>
      </c>
      <c r="O111" s="94">
        <f t="shared" ref="O111:O121" si="124">IFERROR(K111/SUM($K111:$M111),0)</f>
        <v>0.40735468961420218</v>
      </c>
      <c r="P111" s="94">
        <f t="shared" ref="P111:P121" si="125">IFERROR(L111/SUM($K111:$M111),0)</f>
        <v>0.15217716239742377</v>
      </c>
      <c r="Q111" s="94">
        <f t="shared" ref="Q111:Q121" si="126">IFERROR(M111/SUM($K111:$M111),0)</f>
        <v>0.44046814798837397</v>
      </c>
      <c r="R111" s="94">
        <f t="shared" ref="R111:R121" si="127">IFERROR(N111/J111,0)</f>
        <v>0.16917148971061532</v>
      </c>
      <c r="S111" s="39"/>
      <c r="T111" s="44">
        <f>SUMPRODUCT(--($H$9:$H$93=$H111),T$9:T$93)*$AQ$127</f>
        <v>28442.953697053756</v>
      </c>
      <c r="U111" s="44">
        <f>SUMPRODUCT(--($H$9:$H$93=$H111),U$9:U$93)*$AQ$127</f>
        <v>10160.619809761045</v>
      </c>
      <c r="V111" s="44">
        <f>SUMPRODUCT(--($H$9:$H$93=$H111),V$9:V$93)*$AQ$127</f>
        <v>5698.207483801858</v>
      </c>
      <c r="W111" s="44">
        <f>SUMPRODUCT(--($H$9:$H$93=$H111),W$9:W$93)*$AQ$127</f>
        <v>11362.0114527595</v>
      </c>
      <c r="X111" s="44">
        <f>SUMPRODUCT(--($H$9:$H$93=$H111),X$9:X$93)*$AQ$127</f>
        <v>4791.5814244731746</v>
      </c>
      <c r="Y111" s="94">
        <f t="shared" ref="Y111:Y121" si="128">IFERROR(U111/SUM($U111:$W111),0)</f>
        <v>0.37326622829113848</v>
      </c>
      <c r="Z111" s="94">
        <f t="shared" ref="Z111:Z121" si="129">IFERROR(V111/SUM($U111:$W111),0)</f>
        <v>0.20933254617555452</v>
      </c>
      <c r="AA111" s="94">
        <f t="shared" ref="AA111:AA121" si="130">IFERROR(W111/SUM($U111:$W111),0)</f>
        <v>0.41740122553330705</v>
      </c>
      <c r="AB111" s="94">
        <f t="shared" ref="AB111:AB121" si="131">IFERROR(X111/T111,0)</f>
        <v>0.168462863439162</v>
      </c>
      <c r="AC111" s="39"/>
      <c r="AD111" s="44">
        <f>SUMPRODUCT(--($H$9:$H$93=$H111),AD$9:AD$93)*$AQ$127</f>
        <v>34058.64875314488</v>
      </c>
      <c r="AE111" s="44">
        <f>SUMPRODUCT(--($H$9:$H$93=$H111),AE$9:AE$93)*$AQ$127</f>
        <v>12009.371644264409</v>
      </c>
      <c r="AF111" s="44">
        <f>SUMPRODUCT(--($H$9:$H$93=$H111),AF$9:AF$93)*$AQ$127</f>
        <v>6786.4586339271737</v>
      </c>
      <c r="AG111" s="44">
        <f>SUMPRODUCT(--($H$9:$H$93=$H111),AG$9:AG$93)*$AQ$127</f>
        <v>13829.408237828329</v>
      </c>
      <c r="AH111" s="44">
        <f>SUMPRODUCT(--($H$9:$H$93=$H111),AH$9:AH$93)*$AQ$127</f>
        <v>4900.0239827026935</v>
      </c>
      <c r="AI111" s="94">
        <f>IFERROR(AE111/SUM($AE111:$AG111),0)</f>
        <v>0.36810065429460292</v>
      </c>
      <c r="AJ111" s="94">
        <f t="shared" ref="AJ111:AJ122" si="132">IFERROR(AF111/SUM($AE111:$AG111),0)</f>
        <v>0.20801253699937952</v>
      </c>
      <c r="AK111" s="94">
        <f t="shared" ref="AK111:AK122" si="133">IFERROR(AG111/SUM($AE111:$AG111),0)</f>
        <v>0.42388680870601758</v>
      </c>
      <c r="AL111" s="94">
        <f t="shared" ref="AL111:AL122" si="134">IFERROR(AH111/AD111,0)</f>
        <v>0.14387018164513174</v>
      </c>
      <c r="AM111" s="39"/>
      <c r="AN111" s="94">
        <f t="shared" ref="AN111:AN115" si="135">IFERROR(SUM(K111,U111,AE111)/SUM($K111:$M111,$U111:$W111,$AE111:$AG111),0)</f>
        <v>0.38142042792336217</v>
      </c>
      <c r="AO111" s="94">
        <f t="shared" ref="AO111:AO115" si="136">IFERROR(SUM(L111,V111,AF111)/SUM($K111:$M111,$U111:$W111,$AE111:$AG111),0)</f>
        <v>0.19183684459741193</v>
      </c>
      <c r="AP111" s="94">
        <f t="shared" ref="AP111:AP115" si="137">IFERROR(SUM(M111,W111,AG111)/SUM($K111:$M111,$U111:$W111,$AE111:$AG111),0)</f>
        <v>0.4267427274792257</v>
      </c>
      <c r="AQ111" s="94">
        <f t="shared" ref="AQ111:AQ115" si="138">IFERROR(SUM(N111,X111,AH111)/SUM(J111,T111,AD111),0)</f>
        <v>0.15926227773307738</v>
      </c>
      <c r="AR111" s="39"/>
    </row>
    <row r="112" spans="1:44" s="7" customFormat="1" x14ac:dyDescent="0.2">
      <c r="C112" s="39"/>
      <c r="D112" s="39"/>
      <c r="E112" s="39" t="s">
        <v>2310</v>
      </c>
      <c r="F112" s="39"/>
      <c r="G112" s="39"/>
      <c r="H112" s="39" t="s">
        <v>28</v>
      </c>
      <c r="I112" s="39"/>
      <c r="J112" s="44">
        <f>SUMPRODUCT(--($H$9:$H$93=$H112),J$9:J$93)*$AQ$128</f>
        <v>67556.487261825372</v>
      </c>
      <c r="K112" s="44">
        <f>SUMPRODUCT(--($H$9:$H$93=$H112),K$9:K$93)*$AQ$128</f>
        <v>26294.03194855708</v>
      </c>
      <c r="L112" s="44">
        <f>SUMPRODUCT(--($H$9:$H$93=$H112),L$9:L$93)*$AQ$128</f>
        <v>9822.7693750333947</v>
      </c>
      <c r="M112" s="44">
        <f>SUMPRODUCT(--($H$9:$H$93=$H112),M$9:M$93)*$AQ$128</f>
        <v>28431.447705921499</v>
      </c>
      <c r="N112" s="44">
        <f>SUMPRODUCT(--($H$9:$H$93=$H112),N$9:N$93)*$AQ$128</f>
        <v>11428.631589699206</v>
      </c>
      <c r="O112" s="94">
        <f t="shared" si="124"/>
        <v>0.40735468961420224</v>
      </c>
      <c r="P112" s="94">
        <f t="shared" si="125"/>
        <v>0.15217716239742377</v>
      </c>
      <c r="Q112" s="94">
        <f t="shared" si="126"/>
        <v>0.44046814798837403</v>
      </c>
      <c r="R112" s="94">
        <f t="shared" si="127"/>
        <v>0.16917148971061532</v>
      </c>
      <c r="S112" s="39"/>
      <c r="T112" s="44">
        <f>SUMPRODUCT(--($H$9:$H$93=$H112),T$9:T$93)*$AQ$128</f>
        <v>72524.011322762759</v>
      </c>
      <c r="U112" s="44">
        <f>SUMPRODUCT(--($H$9:$H$93=$H112),U$9:U$93)*$AQ$128</f>
        <v>25907.608400238958</v>
      </c>
      <c r="V112" s="44">
        <f>SUMPRODUCT(--($H$9:$H$93=$H112),V$9:V$93)*$AQ$128</f>
        <v>14529.323096198141</v>
      </c>
      <c r="W112" s="44">
        <f>SUMPRODUCT(--($H$9:$H$93=$H112),W$9:W$93)*$AQ$128</f>
        <v>28970.923907057004</v>
      </c>
      <c r="X112" s="44">
        <f>SUMPRODUCT(--($H$9:$H$93=$H112),X$9:X$93)*$AQ$128</f>
        <v>12217.602615526821</v>
      </c>
      <c r="Y112" s="94">
        <f t="shared" si="128"/>
        <v>0.37326622829113848</v>
      </c>
      <c r="Z112" s="94">
        <f t="shared" si="129"/>
        <v>0.20933254617555452</v>
      </c>
      <c r="AA112" s="94">
        <f t="shared" si="130"/>
        <v>0.417401225533307</v>
      </c>
      <c r="AB112" s="94">
        <f t="shared" si="131"/>
        <v>0.168462863439162</v>
      </c>
      <c r="AC112" s="39"/>
      <c r="AD112" s="44">
        <f>SUMPRODUCT(--($H$9:$H$93=$H112),AD$9:AD$93)*$AQ$128</f>
        <v>86842.94374346007</v>
      </c>
      <c r="AE112" s="44">
        <f>SUMPRODUCT(--($H$9:$H$93=$H112),AE$9:AE$93)*$AQ$128</f>
        <v>30621.566746709454</v>
      </c>
      <c r="AF112" s="44">
        <f>SUMPRODUCT(--($H$9:$H$93=$H112),AF$9:AF$93)*$AQ$128</f>
        <v>17304.152306072829</v>
      </c>
      <c r="AG112" s="44">
        <f>SUMPRODUCT(--($H$9:$H$93=$H112),AG$9:AG$93)*$AQ$128</f>
        <v>35262.306802238396</v>
      </c>
      <c r="AH112" s="44">
        <f>SUMPRODUCT(--($H$9:$H$93=$H112),AH$9:AH$93)*$AQ$128</f>
        <v>12494.110090969558</v>
      </c>
      <c r="AI112" s="94">
        <f t="shared" ref="AI112:AI122" si="139">IFERROR(AE112/SUM($AE112:$AG112),0)</f>
        <v>0.36810065429460287</v>
      </c>
      <c r="AJ112" s="94">
        <f t="shared" si="132"/>
        <v>0.20801253699937952</v>
      </c>
      <c r="AK112" s="94">
        <f t="shared" si="133"/>
        <v>0.42388680870601758</v>
      </c>
      <c r="AL112" s="94">
        <f t="shared" si="134"/>
        <v>0.14387018164513174</v>
      </c>
      <c r="AM112" s="39"/>
      <c r="AN112" s="94">
        <f t="shared" si="135"/>
        <v>0.38142042792336228</v>
      </c>
      <c r="AO112" s="94">
        <f t="shared" si="136"/>
        <v>0.19183684459741196</v>
      </c>
      <c r="AP112" s="94">
        <f t="shared" si="137"/>
        <v>0.42674272747922576</v>
      </c>
      <c r="AQ112" s="94">
        <f t="shared" si="138"/>
        <v>0.15926227773307744</v>
      </c>
      <c r="AR112" s="39"/>
    </row>
    <row r="113" spans="1:44" s="7" customFormat="1" x14ac:dyDescent="0.2">
      <c r="C113" s="39"/>
      <c r="D113" s="39"/>
      <c r="E113" s="39" t="s">
        <v>2311</v>
      </c>
      <c r="F113" s="39"/>
      <c r="G113" s="39"/>
      <c r="H113" s="39" t="s">
        <v>2311</v>
      </c>
      <c r="I113" s="39"/>
      <c r="J113" s="44">
        <f t="shared" ref="J113:N121" si="140">SUMPRODUCT(--($H$9:$H$93=$H113),J$9:J$93)</f>
        <v>0</v>
      </c>
      <c r="K113" s="44">
        <f t="shared" si="140"/>
        <v>0</v>
      </c>
      <c r="L113" s="44">
        <f t="shared" si="140"/>
        <v>0</v>
      </c>
      <c r="M113" s="44">
        <f t="shared" si="140"/>
        <v>0</v>
      </c>
      <c r="N113" s="44">
        <f t="shared" si="140"/>
        <v>0</v>
      </c>
      <c r="O113" s="94">
        <f t="shared" si="124"/>
        <v>0</v>
      </c>
      <c r="P113" s="94">
        <f t="shared" si="125"/>
        <v>0</v>
      </c>
      <c r="Q113" s="94">
        <f t="shared" si="126"/>
        <v>0</v>
      </c>
      <c r="R113" s="94">
        <f t="shared" si="127"/>
        <v>0</v>
      </c>
      <c r="S113" s="39"/>
      <c r="T113" s="44">
        <f t="shared" ref="T113:X121" si="141">SUMPRODUCT(--($H$9:$H$93=$H113),T$9:T$93)</f>
        <v>0</v>
      </c>
      <c r="U113" s="44">
        <f t="shared" si="141"/>
        <v>0</v>
      </c>
      <c r="V113" s="44">
        <f t="shared" si="141"/>
        <v>0</v>
      </c>
      <c r="W113" s="44">
        <f t="shared" si="141"/>
        <v>0</v>
      </c>
      <c r="X113" s="44">
        <f t="shared" si="141"/>
        <v>0</v>
      </c>
      <c r="Y113" s="94">
        <f t="shared" si="128"/>
        <v>0</v>
      </c>
      <c r="Z113" s="94">
        <f t="shared" si="129"/>
        <v>0</v>
      </c>
      <c r="AA113" s="94">
        <f t="shared" si="130"/>
        <v>0</v>
      </c>
      <c r="AB113" s="94">
        <f t="shared" si="131"/>
        <v>0</v>
      </c>
      <c r="AC113" s="39"/>
      <c r="AD113" s="44">
        <f t="shared" ref="AD113:AH121" si="142">SUMPRODUCT(--($H$9:$H$93=$H113),AD$9:AD$93)</f>
        <v>0</v>
      </c>
      <c r="AE113" s="44">
        <f t="shared" si="142"/>
        <v>0</v>
      </c>
      <c r="AF113" s="44">
        <f t="shared" si="142"/>
        <v>0</v>
      </c>
      <c r="AG113" s="44">
        <f t="shared" si="142"/>
        <v>0</v>
      </c>
      <c r="AH113" s="44">
        <f t="shared" si="142"/>
        <v>0</v>
      </c>
      <c r="AI113" s="94">
        <f t="shared" si="139"/>
        <v>0</v>
      </c>
      <c r="AJ113" s="94">
        <f t="shared" si="132"/>
        <v>0</v>
      </c>
      <c r="AK113" s="94">
        <f t="shared" si="133"/>
        <v>0</v>
      </c>
      <c r="AL113" s="94">
        <f t="shared" si="134"/>
        <v>0</v>
      </c>
      <c r="AM113" s="39"/>
      <c r="AN113" s="94">
        <f t="shared" si="135"/>
        <v>0</v>
      </c>
      <c r="AO113" s="94">
        <f t="shared" si="136"/>
        <v>0</v>
      </c>
      <c r="AP113" s="94">
        <f t="shared" si="137"/>
        <v>0</v>
      </c>
      <c r="AQ113" s="94">
        <f t="shared" si="138"/>
        <v>0</v>
      </c>
      <c r="AR113" s="39"/>
    </row>
    <row r="114" spans="1:44" s="7" customFormat="1" x14ac:dyDescent="0.2">
      <c r="C114" s="39"/>
      <c r="D114" s="39"/>
      <c r="E114" s="39" t="s">
        <v>2312</v>
      </c>
      <c r="F114" s="39"/>
      <c r="G114" s="39"/>
      <c r="H114" s="39" t="s">
        <v>2312</v>
      </c>
      <c r="I114" s="39"/>
      <c r="J114" s="44">
        <f t="shared" si="140"/>
        <v>0</v>
      </c>
      <c r="K114" s="44">
        <f t="shared" si="140"/>
        <v>0</v>
      </c>
      <c r="L114" s="44">
        <f t="shared" si="140"/>
        <v>0</v>
      </c>
      <c r="M114" s="44">
        <f t="shared" si="140"/>
        <v>0</v>
      </c>
      <c r="N114" s="44">
        <f t="shared" si="140"/>
        <v>0</v>
      </c>
      <c r="O114" s="94">
        <f t="shared" si="124"/>
        <v>0</v>
      </c>
      <c r="P114" s="94">
        <f t="shared" si="125"/>
        <v>0</v>
      </c>
      <c r="Q114" s="94">
        <f t="shared" si="126"/>
        <v>0</v>
      </c>
      <c r="R114" s="94">
        <f t="shared" si="127"/>
        <v>0</v>
      </c>
      <c r="S114" s="39"/>
      <c r="T114" s="44">
        <f t="shared" si="141"/>
        <v>0</v>
      </c>
      <c r="U114" s="44">
        <f t="shared" si="141"/>
        <v>0</v>
      </c>
      <c r="V114" s="44">
        <f t="shared" si="141"/>
        <v>0</v>
      </c>
      <c r="W114" s="44">
        <f t="shared" si="141"/>
        <v>0</v>
      </c>
      <c r="X114" s="44">
        <f t="shared" si="141"/>
        <v>0</v>
      </c>
      <c r="Y114" s="94">
        <f t="shared" si="128"/>
        <v>0</v>
      </c>
      <c r="Z114" s="94">
        <f t="shared" si="129"/>
        <v>0</v>
      </c>
      <c r="AA114" s="94">
        <f t="shared" si="130"/>
        <v>0</v>
      </c>
      <c r="AB114" s="94">
        <f t="shared" si="131"/>
        <v>0</v>
      </c>
      <c r="AC114" s="39"/>
      <c r="AD114" s="44">
        <f t="shared" si="142"/>
        <v>0</v>
      </c>
      <c r="AE114" s="44">
        <f t="shared" si="142"/>
        <v>0</v>
      </c>
      <c r="AF114" s="44">
        <f t="shared" si="142"/>
        <v>0</v>
      </c>
      <c r="AG114" s="44">
        <f t="shared" si="142"/>
        <v>0</v>
      </c>
      <c r="AH114" s="44">
        <f t="shared" si="142"/>
        <v>0</v>
      </c>
      <c r="AI114" s="94">
        <f t="shared" si="139"/>
        <v>0</v>
      </c>
      <c r="AJ114" s="94">
        <f t="shared" si="132"/>
        <v>0</v>
      </c>
      <c r="AK114" s="94">
        <f t="shared" si="133"/>
        <v>0</v>
      </c>
      <c r="AL114" s="94">
        <f t="shared" si="134"/>
        <v>0</v>
      </c>
      <c r="AM114" s="39"/>
      <c r="AN114" s="94">
        <f t="shared" si="135"/>
        <v>0</v>
      </c>
      <c r="AO114" s="94">
        <f t="shared" si="136"/>
        <v>0</v>
      </c>
      <c r="AP114" s="94">
        <f t="shared" si="137"/>
        <v>0</v>
      </c>
      <c r="AQ114" s="94">
        <f t="shared" si="138"/>
        <v>0</v>
      </c>
      <c r="AR114" s="39"/>
    </row>
    <row r="115" spans="1:44" s="7" customFormat="1" x14ac:dyDescent="0.2">
      <c r="C115" s="39"/>
      <c r="D115" s="39"/>
      <c r="E115" s="39" t="s">
        <v>2309</v>
      </c>
      <c r="F115" s="39"/>
      <c r="G115" s="39"/>
      <c r="H115" s="39" t="s">
        <v>2309</v>
      </c>
      <c r="I115" s="39"/>
      <c r="J115" s="44">
        <f t="shared" si="140"/>
        <v>4762.7595500000007</v>
      </c>
      <c r="K115" s="44">
        <f t="shared" si="140"/>
        <v>3866.2888300000004</v>
      </c>
      <c r="L115" s="44">
        <f t="shared" si="140"/>
        <v>686.00052000000005</v>
      </c>
      <c r="M115" s="44">
        <f t="shared" si="140"/>
        <v>17.798729999999999</v>
      </c>
      <c r="N115" s="44">
        <f t="shared" si="140"/>
        <v>777.43437999999992</v>
      </c>
      <c r="O115" s="94">
        <f t="shared" si="124"/>
        <v>0.84599875589268714</v>
      </c>
      <c r="P115" s="94">
        <f t="shared" si="125"/>
        <v>0.15010662989234988</v>
      </c>
      <c r="Q115" s="94">
        <f t="shared" si="126"/>
        <v>3.8946142149627878E-3</v>
      </c>
      <c r="R115" s="94">
        <f t="shared" si="127"/>
        <v>0.16323191877280468</v>
      </c>
      <c r="S115" s="39"/>
      <c r="T115" s="44">
        <f t="shared" si="141"/>
        <v>4112.895770000001</v>
      </c>
      <c r="U115" s="44">
        <f t="shared" si="141"/>
        <v>3105.4793099999993</v>
      </c>
      <c r="V115" s="44">
        <f t="shared" si="141"/>
        <v>553.77775999999994</v>
      </c>
      <c r="W115" s="44">
        <f t="shared" si="141"/>
        <v>272.09632999999997</v>
      </c>
      <c r="X115" s="44">
        <f t="shared" si="141"/>
        <v>687.76211999999998</v>
      </c>
      <c r="Y115" s="94">
        <f t="shared" si="128"/>
        <v>0.78992626559596502</v>
      </c>
      <c r="Z115" s="94">
        <f t="shared" si="129"/>
        <v>0.1408618619735382</v>
      </c>
      <c r="AA115" s="94">
        <f t="shared" si="130"/>
        <v>6.921187243049684E-2</v>
      </c>
      <c r="AB115" s="94">
        <f t="shared" si="131"/>
        <v>0.16722089701777193</v>
      </c>
      <c r="AC115" s="39"/>
      <c r="AD115" s="44">
        <f t="shared" si="142"/>
        <v>3847.3303499999993</v>
      </c>
      <c r="AE115" s="44">
        <f t="shared" si="142"/>
        <v>2463.9813500000005</v>
      </c>
      <c r="AF115" s="44">
        <f t="shared" si="142"/>
        <v>544.38480000000004</v>
      </c>
      <c r="AG115" s="44">
        <f t="shared" si="142"/>
        <v>693.94673999999998</v>
      </c>
      <c r="AH115" s="44">
        <f t="shared" si="142"/>
        <v>528.86775999999998</v>
      </c>
      <c r="AI115" s="94">
        <f t="shared" si="139"/>
        <v>0.66552488220410788</v>
      </c>
      <c r="AJ115" s="94">
        <f t="shared" si="132"/>
        <v>0.14703911208325776</v>
      </c>
      <c r="AK115" s="94">
        <f t="shared" si="133"/>
        <v>0.18743600571263436</v>
      </c>
      <c r="AL115" s="94">
        <f t="shared" si="134"/>
        <v>0.13746356873149718</v>
      </c>
      <c r="AM115" s="39"/>
      <c r="AN115" s="94">
        <f t="shared" si="135"/>
        <v>0.77318415332871038</v>
      </c>
      <c r="AO115" s="94">
        <f t="shared" si="136"/>
        <v>0.14619788516769369</v>
      </c>
      <c r="AP115" s="94">
        <f t="shared" si="137"/>
        <v>8.0617961503595875E-2</v>
      </c>
      <c r="AQ115" s="94">
        <f t="shared" si="138"/>
        <v>0.1567292702924187</v>
      </c>
      <c r="AR115" s="39"/>
    </row>
    <row r="116" spans="1:44" s="7" customFormat="1" x14ac:dyDescent="0.2">
      <c r="C116" s="39"/>
      <c r="D116" s="39"/>
      <c r="E116" s="39" t="s">
        <v>2301</v>
      </c>
      <c r="F116" s="39"/>
      <c r="G116" s="39"/>
      <c r="H116" s="39" t="s">
        <v>2301</v>
      </c>
      <c r="I116" s="39"/>
      <c r="J116" s="44">
        <f t="shared" si="140"/>
        <v>12827.645500000001</v>
      </c>
      <c r="K116" s="44">
        <f t="shared" si="140"/>
        <v>11064.10245</v>
      </c>
      <c r="L116" s="44">
        <f t="shared" si="140"/>
        <v>384.41802000000001</v>
      </c>
      <c r="M116" s="44">
        <f t="shared" si="140"/>
        <v>-22.23047</v>
      </c>
      <c r="N116" s="44">
        <f t="shared" si="140"/>
        <v>0</v>
      </c>
      <c r="O116" s="94">
        <f t="shared" si="124"/>
        <v>0.96830226171399481</v>
      </c>
      <c r="P116" s="94">
        <f t="shared" si="125"/>
        <v>3.364329279232367E-2</v>
      </c>
      <c r="Q116" s="94">
        <f t="shared" si="126"/>
        <v>-1.945554506318324E-3</v>
      </c>
      <c r="R116" s="94">
        <f t="shared" si="127"/>
        <v>0</v>
      </c>
      <c r="S116" s="39"/>
      <c r="T116" s="44">
        <f t="shared" si="141"/>
        <v>8587.3536000000004</v>
      </c>
      <c r="U116" s="44">
        <f t="shared" si="141"/>
        <v>7359.1580899999999</v>
      </c>
      <c r="V116" s="44">
        <f t="shared" si="141"/>
        <v>283.15544999999997</v>
      </c>
      <c r="W116" s="44">
        <f t="shared" si="141"/>
        <v>0</v>
      </c>
      <c r="X116" s="44">
        <f t="shared" si="141"/>
        <v>0</v>
      </c>
      <c r="Y116" s="94">
        <f t="shared" si="128"/>
        <v>0.96294898808875617</v>
      </c>
      <c r="Z116" s="94">
        <f t="shared" si="129"/>
        <v>3.7051011911243825E-2</v>
      </c>
      <c r="AA116" s="94">
        <f t="shared" si="130"/>
        <v>0</v>
      </c>
      <c r="AB116" s="94">
        <f t="shared" si="131"/>
        <v>0</v>
      </c>
      <c r="AC116" s="39"/>
      <c r="AD116" s="44">
        <f t="shared" si="142"/>
        <v>8067.3696899999995</v>
      </c>
      <c r="AE116" s="44">
        <f t="shared" si="142"/>
        <v>7246.45064</v>
      </c>
      <c r="AF116" s="44">
        <f t="shared" si="142"/>
        <v>40.835450000000002</v>
      </c>
      <c r="AG116" s="44">
        <f t="shared" si="142"/>
        <v>0</v>
      </c>
      <c r="AH116" s="44">
        <f t="shared" si="142"/>
        <v>0</v>
      </c>
      <c r="AI116" s="94">
        <f t="shared" si="139"/>
        <v>0.99439634323454984</v>
      </c>
      <c r="AJ116" s="94">
        <f t="shared" si="132"/>
        <v>5.6036567654502503E-3</v>
      </c>
      <c r="AK116" s="94">
        <f t="shared" si="133"/>
        <v>0</v>
      </c>
      <c r="AL116" s="94">
        <f t="shared" si="134"/>
        <v>0</v>
      </c>
      <c r="AM116" s="39"/>
      <c r="AN116" s="113">
        <f>AN102</f>
        <v>0.52161804486591612</v>
      </c>
      <c r="AO116" s="113">
        <f t="shared" ref="AO116:AP117" si="143">AO102</f>
        <v>0.27280920041243295</v>
      </c>
      <c r="AP116" s="113">
        <f t="shared" si="143"/>
        <v>0.20557275472165107</v>
      </c>
      <c r="AQ116" s="94">
        <f t="shared" ref="AQ116:AQ117" si="144">IFERROR(SUM(N116,X116)/SUM(J116,T116),0)</f>
        <v>0</v>
      </c>
      <c r="AR116" s="39"/>
    </row>
    <row r="117" spans="1:44" s="7" customFormat="1" x14ac:dyDescent="0.2">
      <c r="C117" s="39"/>
      <c r="D117" s="39"/>
      <c r="E117" s="39" t="s">
        <v>2302</v>
      </c>
      <c r="F117" s="39"/>
      <c r="G117" s="39"/>
      <c r="H117" s="39" t="s">
        <v>2302</v>
      </c>
      <c r="I117" s="39"/>
      <c r="J117" s="44">
        <f t="shared" si="140"/>
        <v>3187.58943</v>
      </c>
      <c r="K117" s="44">
        <f t="shared" si="140"/>
        <v>0.39567000000000002</v>
      </c>
      <c r="L117" s="44">
        <f t="shared" si="140"/>
        <v>534.34723000000008</v>
      </c>
      <c r="M117" s="44">
        <f t="shared" si="140"/>
        <v>2652.8465299999998</v>
      </c>
      <c r="N117" s="44">
        <f t="shared" si="140"/>
        <v>0</v>
      </c>
      <c r="O117" s="94">
        <f t="shared" si="124"/>
        <v>1.2412828210438633E-4</v>
      </c>
      <c r="P117" s="94">
        <f t="shared" si="125"/>
        <v>0.16763364345827941</v>
      </c>
      <c r="Q117" s="94">
        <f t="shared" si="126"/>
        <v>0.83224222825961613</v>
      </c>
      <c r="R117" s="94">
        <f t="shared" si="127"/>
        <v>0</v>
      </c>
      <c r="S117" s="39"/>
      <c r="T117" s="44">
        <f t="shared" si="141"/>
        <v>16028.387990000001</v>
      </c>
      <c r="U117" s="44">
        <f t="shared" si="141"/>
        <v>11.53725</v>
      </c>
      <c r="V117" s="44">
        <f t="shared" si="141"/>
        <v>15880.735559999999</v>
      </c>
      <c r="W117" s="44">
        <f t="shared" si="141"/>
        <v>136.11517999999995</v>
      </c>
      <c r="X117" s="44">
        <f t="shared" si="141"/>
        <v>0</v>
      </c>
      <c r="Y117" s="94">
        <f t="shared" si="128"/>
        <v>7.1980101849281476E-4</v>
      </c>
      <c r="Z117" s="94">
        <f t="shared" si="129"/>
        <v>0.9907880673906746</v>
      </c>
      <c r="AA117" s="94">
        <f t="shared" si="130"/>
        <v>8.4921315908325443E-3</v>
      </c>
      <c r="AB117" s="94">
        <f t="shared" si="131"/>
        <v>0</v>
      </c>
      <c r="AC117" s="39"/>
      <c r="AD117" s="44">
        <f t="shared" si="142"/>
        <v>1500.53097</v>
      </c>
      <c r="AE117" s="44">
        <f t="shared" si="142"/>
        <v>0</v>
      </c>
      <c r="AF117" s="44">
        <f t="shared" si="142"/>
        <v>761.15010000000007</v>
      </c>
      <c r="AG117" s="44">
        <f t="shared" si="142"/>
        <v>739.38086999999996</v>
      </c>
      <c r="AH117" s="44">
        <f t="shared" si="142"/>
        <v>0</v>
      </c>
      <c r="AI117" s="94">
        <f t="shared" si="139"/>
        <v>0</v>
      </c>
      <c r="AJ117" s="94">
        <f t="shared" si="132"/>
        <v>0.507253842284908</v>
      </c>
      <c r="AK117" s="94">
        <f t="shared" si="133"/>
        <v>0.492746157715092</v>
      </c>
      <c r="AL117" s="94">
        <f t="shared" si="134"/>
        <v>0</v>
      </c>
      <c r="AM117" s="39"/>
      <c r="AN117" s="113">
        <f>AN103</f>
        <v>0.18784785064192577</v>
      </c>
      <c r="AO117" s="113">
        <f t="shared" si="143"/>
        <v>0.66536309210782796</v>
      </c>
      <c r="AP117" s="113">
        <f t="shared" si="143"/>
        <v>0.14678905725024616</v>
      </c>
      <c r="AQ117" s="94">
        <f t="shared" si="144"/>
        <v>0</v>
      </c>
      <c r="AR117" s="39"/>
    </row>
    <row r="118" spans="1:44" s="7" customFormat="1" x14ac:dyDescent="0.2">
      <c r="C118" s="39"/>
      <c r="D118" s="39"/>
      <c r="E118" s="39" t="s">
        <v>39</v>
      </c>
      <c r="F118" s="39"/>
      <c r="G118" s="39"/>
      <c r="H118" s="39" t="s">
        <v>2335</v>
      </c>
      <c r="I118" s="39"/>
      <c r="J118" s="44">
        <f t="shared" si="140"/>
        <v>0</v>
      </c>
      <c r="K118" s="44">
        <f t="shared" si="140"/>
        <v>0</v>
      </c>
      <c r="L118" s="44">
        <f t="shared" si="140"/>
        <v>0</v>
      </c>
      <c r="M118" s="44">
        <f t="shared" si="140"/>
        <v>0</v>
      </c>
      <c r="N118" s="44">
        <f t="shared" si="140"/>
        <v>0</v>
      </c>
      <c r="O118" s="94">
        <f t="shared" si="124"/>
        <v>0</v>
      </c>
      <c r="P118" s="94">
        <f t="shared" si="125"/>
        <v>0</v>
      </c>
      <c r="Q118" s="94">
        <f t="shared" si="126"/>
        <v>0</v>
      </c>
      <c r="R118" s="94">
        <f t="shared" si="127"/>
        <v>0</v>
      </c>
      <c r="S118" s="39"/>
      <c r="T118" s="44">
        <f t="shared" si="141"/>
        <v>0</v>
      </c>
      <c r="U118" s="44">
        <f t="shared" si="141"/>
        <v>0</v>
      </c>
      <c r="V118" s="44">
        <f t="shared" si="141"/>
        <v>0</v>
      </c>
      <c r="W118" s="44">
        <f t="shared" si="141"/>
        <v>0</v>
      </c>
      <c r="X118" s="44">
        <f t="shared" si="141"/>
        <v>0</v>
      </c>
      <c r="Y118" s="94">
        <f t="shared" si="128"/>
        <v>0</v>
      </c>
      <c r="Z118" s="94">
        <f t="shared" si="129"/>
        <v>0</v>
      </c>
      <c r="AA118" s="94">
        <f t="shared" si="130"/>
        <v>0</v>
      </c>
      <c r="AB118" s="94">
        <f t="shared" si="131"/>
        <v>0</v>
      </c>
      <c r="AC118" s="39"/>
      <c r="AD118" s="44">
        <f t="shared" si="142"/>
        <v>33.343380000000003</v>
      </c>
      <c r="AE118" s="44">
        <f t="shared" si="142"/>
        <v>23.326550000000001</v>
      </c>
      <c r="AF118" s="44">
        <f t="shared" si="142"/>
        <v>1.34511</v>
      </c>
      <c r="AG118" s="44">
        <f t="shared" si="142"/>
        <v>6.8760899999999996</v>
      </c>
      <c r="AH118" s="44">
        <f t="shared" si="142"/>
        <v>5.3273299999999999</v>
      </c>
      <c r="AI118" s="94">
        <f t="shared" si="139"/>
        <v>0.73940455341506128</v>
      </c>
      <c r="AJ118" s="94">
        <f t="shared" si="132"/>
        <v>4.2637272071700837E-2</v>
      </c>
      <c r="AK118" s="94">
        <f t="shared" si="133"/>
        <v>0.21795817451323785</v>
      </c>
      <c r="AL118" s="94">
        <f t="shared" si="134"/>
        <v>0.15977174479611844</v>
      </c>
      <c r="AM118" s="39"/>
      <c r="AN118" s="94">
        <f t="shared" ref="AN118:AN122" si="145">IFERROR(SUM(K118,U118,AE118)/SUM($K118:$M118,$U118:$W118,$AE118:$AG118),0)</f>
        <v>0.73940455341506128</v>
      </c>
      <c r="AO118" s="94">
        <f t="shared" ref="AO118:AO122" si="146">IFERROR(SUM(L118,V118,AF118)/SUM($K118:$M118,$U118:$W118,$AE118:$AG118),0)</f>
        <v>4.2637272071700837E-2</v>
      </c>
      <c r="AP118" s="94">
        <f t="shared" ref="AP118:AP122" si="147">IFERROR(SUM(M118,W118,AG118)/SUM($K118:$M118,$U118:$W118,$AE118:$AG118),0)</f>
        <v>0.21795817451323785</v>
      </c>
      <c r="AQ118" s="94">
        <f t="shared" ref="AQ118:AQ122" si="148">IFERROR(SUM(N118,X118,AH118)/SUM(J118,T118,AD118),0)</f>
        <v>0.15977174479611844</v>
      </c>
      <c r="AR118" s="39"/>
    </row>
    <row r="119" spans="1:44" s="7" customFormat="1" x14ac:dyDescent="0.2">
      <c r="C119" s="39"/>
      <c r="D119" s="39"/>
      <c r="E119" s="39" t="s">
        <v>2313</v>
      </c>
      <c r="F119" s="39"/>
      <c r="G119" s="39"/>
      <c r="H119" s="39" t="s">
        <v>2313</v>
      </c>
      <c r="I119" s="39"/>
      <c r="J119" s="44">
        <f t="shared" si="140"/>
        <v>0</v>
      </c>
      <c r="K119" s="44">
        <f t="shared" si="140"/>
        <v>0</v>
      </c>
      <c r="L119" s="44">
        <f t="shared" si="140"/>
        <v>0</v>
      </c>
      <c r="M119" s="44">
        <f t="shared" si="140"/>
        <v>0</v>
      </c>
      <c r="N119" s="44">
        <f t="shared" si="140"/>
        <v>0</v>
      </c>
      <c r="O119" s="94">
        <f t="shared" si="124"/>
        <v>0</v>
      </c>
      <c r="P119" s="94">
        <f t="shared" si="125"/>
        <v>0</v>
      </c>
      <c r="Q119" s="94">
        <f t="shared" si="126"/>
        <v>0</v>
      </c>
      <c r="R119" s="94">
        <f t="shared" si="127"/>
        <v>0</v>
      </c>
      <c r="S119" s="39"/>
      <c r="T119" s="44">
        <f t="shared" si="141"/>
        <v>0</v>
      </c>
      <c r="U119" s="44">
        <f t="shared" si="141"/>
        <v>0</v>
      </c>
      <c r="V119" s="44">
        <f t="shared" si="141"/>
        <v>0</v>
      </c>
      <c r="W119" s="44">
        <f t="shared" si="141"/>
        <v>0</v>
      </c>
      <c r="X119" s="44">
        <f t="shared" si="141"/>
        <v>0</v>
      </c>
      <c r="Y119" s="94">
        <f t="shared" si="128"/>
        <v>0</v>
      </c>
      <c r="Z119" s="94">
        <f t="shared" si="129"/>
        <v>0</v>
      </c>
      <c r="AA119" s="94">
        <f t="shared" si="130"/>
        <v>0</v>
      </c>
      <c r="AB119" s="94">
        <f t="shared" si="131"/>
        <v>0</v>
      </c>
      <c r="AC119" s="39"/>
      <c r="AD119" s="44">
        <f t="shared" si="142"/>
        <v>0</v>
      </c>
      <c r="AE119" s="44">
        <f t="shared" si="142"/>
        <v>0</v>
      </c>
      <c r="AF119" s="44">
        <f t="shared" si="142"/>
        <v>0</v>
      </c>
      <c r="AG119" s="44">
        <f t="shared" si="142"/>
        <v>0</v>
      </c>
      <c r="AH119" s="44">
        <f t="shared" si="142"/>
        <v>0</v>
      </c>
      <c r="AI119" s="94">
        <f t="shared" si="139"/>
        <v>0</v>
      </c>
      <c r="AJ119" s="94">
        <f t="shared" si="132"/>
        <v>0</v>
      </c>
      <c r="AK119" s="94">
        <f t="shared" si="133"/>
        <v>0</v>
      </c>
      <c r="AL119" s="94">
        <f t="shared" si="134"/>
        <v>0</v>
      </c>
      <c r="AM119" s="39"/>
      <c r="AN119" s="94">
        <f t="shared" si="145"/>
        <v>0</v>
      </c>
      <c r="AO119" s="94">
        <f t="shared" si="146"/>
        <v>0</v>
      </c>
      <c r="AP119" s="94">
        <f t="shared" si="147"/>
        <v>0</v>
      </c>
      <c r="AQ119" s="94">
        <f t="shared" si="148"/>
        <v>0</v>
      </c>
      <c r="AR119" s="39"/>
    </row>
    <row r="120" spans="1:44" s="7" customFormat="1" x14ac:dyDescent="0.2">
      <c r="C120" s="39"/>
      <c r="D120" s="39"/>
      <c r="E120" s="39" t="s">
        <v>2314</v>
      </c>
      <c r="F120" s="39"/>
      <c r="G120" s="39"/>
      <c r="H120" s="39" t="s">
        <v>2314</v>
      </c>
      <c r="I120" s="39"/>
      <c r="J120" s="44">
        <f t="shared" si="140"/>
        <v>0</v>
      </c>
      <c r="K120" s="44">
        <f t="shared" si="140"/>
        <v>0</v>
      </c>
      <c r="L120" s="44">
        <f t="shared" si="140"/>
        <v>0</v>
      </c>
      <c r="M120" s="44">
        <f t="shared" si="140"/>
        <v>0</v>
      </c>
      <c r="N120" s="44">
        <f t="shared" si="140"/>
        <v>0</v>
      </c>
      <c r="O120" s="94">
        <f t="shared" si="124"/>
        <v>0</v>
      </c>
      <c r="P120" s="94">
        <f t="shared" si="125"/>
        <v>0</v>
      </c>
      <c r="Q120" s="94">
        <f t="shared" si="126"/>
        <v>0</v>
      </c>
      <c r="R120" s="94">
        <f t="shared" si="127"/>
        <v>0</v>
      </c>
      <c r="S120" s="39"/>
      <c r="T120" s="44">
        <f t="shared" si="141"/>
        <v>0</v>
      </c>
      <c r="U120" s="44">
        <f t="shared" si="141"/>
        <v>0</v>
      </c>
      <c r="V120" s="44">
        <f t="shared" si="141"/>
        <v>0</v>
      </c>
      <c r="W120" s="44">
        <f t="shared" si="141"/>
        <v>0</v>
      </c>
      <c r="X120" s="44">
        <f t="shared" si="141"/>
        <v>0</v>
      </c>
      <c r="Y120" s="94">
        <f t="shared" si="128"/>
        <v>0</v>
      </c>
      <c r="Z120" s="94">
        <f t="shared" si="129"/>
        <v>0</v>
      </c>
      <c r="AA120" s="94">
        <f t="shared" si="130"/>
        <v>0</v>
      </c>
      <c r="AB120" s="94">
        <f t="shared" si="131"/>
        <v>0</v>
      </c>
      <c r="AC120" s="39"/>
      <c r="AD120" s="44">
        <f t="shared" si="142"/>
        <v>0</v>
      </c>
      <c r="AE120" s="44">
        <f t="shared" si="142"/>
        <v>0</v>
      </c>
      <c r="AF120" s="44">
        <f t="shared" si="142"/>
        <v>0</v>
      </c>
      <c r="AG120" s="44">
        <f t="shared" si="142"/>
        <v>0</v>
      </c>
      <c r="AH120" s="44">
        <f t="shared" si="142"/>
        <v>0</v>
      </c>
      <c r="AI120" s="94">
        <f t="shared" si="139"/>
        <v>0</v>
      </c>
      <c r="AJ120" s="94">
        <f t="shared" si="132"/>
        <v>0</v>
      </c>
      <c r="AK120" s="94">
        <f t="shared" si="133"/>
        <v>0</v>
      </c>
      <c r="AL120" s="94">
        <f t="shared" si="134"/>
        <v>0</v>
      </c>
      <c r="AM120" s="39"/>
      <c r="AN120" s="94">
        <f t="shared" si="145"/>
        <v>0</v>
      </c>
      <c r="AO120" s="94">
        <f t="shared" si="146"/>
        <v>0</v>
      </c>
      <c r="AP120" s="94">
        <f t="shared" si="147"/>
        <v>0</v>
      </c>
      <c r="AQ120" s="94">
        <f t="shared" si="148"/>
        <v>0</v>
      </c>
      <c r="AR120" s="39"/>
    </row>
    <row r="121" spans="1:44" s="7" customFormat="1" x14ac:dyDescent="0.2">
      <c r="C121" s="39"/>
      <c r="D121" s="39"/>
      <c r="E121" s="39" t="s">
        <v>2315</v>
      </c>
      <c r="F121" s="39"/>
      <c r="G121" s="39"/>
      <c r="H121" s="39" t="s">
        <v>2315</v>
      </c>
      <c r="I121" s="39"/>
      <c r="J121" s="44">
        <f t="shared" si="140"/>
        <v>24630.534</v>
      </c>
      <c r="K121" s="44">
        <f t="shared" si="140"/>
        <v>0</v>
      </c>
      <c r="L121" s="44">
        <f t="shared" si="140"/>
        <v>0</v>
      </c>
      <c r="M121" s="44">
        <f t="shared" si="140"/>
        <v>24630.534</v>
      </c>
      <c r="N121" s="44">
        <f t="shared" si="140"/>
        <v>0</v>
      </c>
      <c r="O121" s="94">
        <f t="shared" si="124"/>
        <v>0</v>
      </c>
      <c r="P121" s="94">
        <f t="shared" si="125"/>
        <v>0</v>
      </c>
      <c r="Q121" s="94">
        <f t="shared" si="126"/>
        <v>1</v>
      </c>
      <c r="R121" s="94">
        <f t="shared" si="127"/>
        <v>0</v>
      </c>
      <c r="S121" s="39"/>
      <c r="T121" s="44">
        <f t="shared" si="141"/>
        <v>0</v>
      </c>
      <c r="U121" s="44">
        <f t="shared" si="141"/>
        <v>0</v>
      </c>
      <c r="V121" s="44">
        <f t="shared" si="141"/>
        <v>0</v>
      </c>
      <c r="W121" s="44">
        <f t="shared" si="141"/>
        <v>0</v>
      </c>
      <c r="X121" s="44">
        <f t="shared" si="141"/>
        <v>0</v>
      </c>
      <c r="Y121" s="94">
        <f t="shared" si="128"/>
        <v>0</v>
      </c>
      <c r="Z121" s="94">
        <f t="shared" si="129"/>
        <v>0</v>
      </c>
      <c r="AA121" s="94">
        <f t="shared" si="130"/>
        <v>0</v>
      </c>
      <c r="AB121" s="94">
        <f t="shared" si="131"/>
        <v>0</v>
      </c>
      <c r="AC121" s="39"/>
      <c r="AD121" s="44">
        <f t="shared" si="142"/>
        <v>0</v>
      </c>
      <c r="AE121" s="44">
        <f t="shared" si="142"/>
        <v>0</v>
      </c>
      <c r="AF121" s="44">
        <f t="shared" si="142"/>
        <v>0</v>
      </c>
      <c r="AG121" s="44">
        <f t="shared" si="142"/>
        <v>0</v>
      </c>
      <c r="AH121" s="44">
        <f t="shared" si="142"/>
        <v>0</v>
      </c>
      <c r="AI121" s="94">
        <f t="shared" si="139"/>
        <v>0</v>
      </c>
      <c r="AJ121" s="94">
        <f t="shared" si="132"/>
        <v>0</v>
      </c>
      <c r="AK121" s="94">
        <f t="shared" si="133"/>
        <v>0</v>
      </c>
      <c r="AL121" s="94">
        <f t="shared" si="134"/>
        <v>0</v>
      </c>
      <c r="AM121" s="39"/>
      <c r="AN121" s="94">
        <f t="shared" si="145"/>
        <v>0</v>
      </c>
      <c r="AO121" s="94">
        <f t="shared" si="146"/>
        <v>0</v>
      </c>
      <c r="AP121" s="94">
        <f t="shared" si="147"/>
        <v>1</v>
      </c>
      <c r="AQ121" s="94">
        <f t="shared" si="148"/>
        <v>0</v>
      </c>
      <c r="AR121" s="39"/>
    </row>
    <row r="122" spans="1:44" s="7" customFormat="1" x14ac:dyDescent="0.2">
      <c r="C122" s="39"/>
      <c r="D122" s="39"/>
      <c r="E122" s="39"/>
      <c r="F122" s="39"/>
      <c r="G122" s="39"/>
      <c r="H122" s="39"/>
      <c r="I122" s="39"/>
      <c r="J122" s="61">
        <f>SUM(J111:J121)</f>
        <v>139459.77249999996</v>
      </c>
      <c r="K122" s="61">
        <f t="shared" ref="K122:N122" si="149">SUM(K111:K121)</f>
        <v>51536.988890000001</v>
      </c>
      <c r="L122" s="61">
        <f t="shared" si="149"/>
        <v>15279.89479</v>
      </c>
      <c r="M122" s="61">
        <f t="shared" si="149"/>
        <v>66860.832549999992</v>
      </c>
      <c r="N122" s="61">
        <f t="shared" si="149"/>
        <v>16688.223439999998</v>
      </c>
      <c r="O122" s="99">
        <f t="shared" ref="O122" si="150">IFERROR(K122/SUM($K122:$M122),0)</f>
        <v>0.3855316379083536</v>
      </c>
      <c r="P122" s="99">
        <f t="shared" ref="P122" si="151">IFERROR(L122/SUM($K122:$M122),0)</f>
        <v>0.11430397841110695</v>
      </c>
      <c r="Q122" s="99">
        <f t="shared" ref="Q122" si="152">IFERROR(M122/SUM($K122:$M122),0)</f>
        <v>0.5001643836805395</v>
      </c>
      <c r="R122" s="99">
        <f t="shared" ref="R122" si="153">IFERROR(N122/J122,0)</f>
        <v>0.11966334908512777</v>
      </c>
      <c r="S122" s="39"/>
      <c r="T122" s="61">
        <f>SUM(T111:T121)</f>
        <v>129695.60237981653</v>
      </c>
      <c r="U122" s="61">
        <f t="shared" ref="U122" si="154">SUM(U111:U121)</f>
        <v>46544.402860000002</v>
      </c>
      <c r="V122" s="61">
        <f t="shared" ref="V122" si="155">SUM(V111:V121)</f>
        <v>36945.199349999995</v>
      </c>
      <c r="W122" s="61">
        <f t="shared" ref="W122" si="156">SUM(W111:W121)</f>
        <v>40741.146869816504</v>
      </c>
      <c r="X122" s="61">
        <f t="shared" ref="X122" si="157">SUM(X111:X121)</f>
        <v>17696.946159999996</v>
      </c>
      <c r="Y122" s="99">
        <f t="shared" ref="Y122" si="158">IFERROR(U122/SUM($U122:$W122),0)</f>
        <v>0.37466088874740566</v>
      </c>
      <c r="Z122" s="99">
        <f t="shared" ref="Z122" si="159">IFERROR(V122/SUM($U122:$W122),0)</f>
        <v>0.29739174579284894</v>
      </c>
      <c r="AA122" s="99">
        <f t="shared" ref="AA122" si="160">IFERROR(W122/SUM($U122:$W122),0)</f>
        <v>0.32794736545974534</v>
      </c>
      <c r="AB122" s="99">
        <f t="shared" ref="AB122" si="161">IFERROR(X122/T122,0)</f>
        <v>0.13644985516296909</v>
      </c>
      <c r="AC122" s="39"/>
      <c r="AD122" s="61">
        <f>SUM(AD111:AD121)</f>
        <v>134350.16688660494</v>
      </c>
      <c r="AE122" s="61">
        <f t="shared" ref="AE122:AH122" si="162">SUM(AE111:AE121)</f>
        <v>52364.696930973863</v>
      </c>
      <c r="AF122" s="61">
        <f t="shared" si="162"/>
        <v>25438.326399999998</v>
      </c>
      <c r="AG122" s="61">
        <f t="shared" si="162"/>
        <v>50531.918740066722</v>
      </c>
      <c r="AH122" s="61">
        <f t="shared" si="162"/>
        <v>17928.329163672253</v>
      </c>
      <c r="AI122" s="99">
        <f t="shared" si="139"/>
        <v>0.40803148453510862</v>
      </c>
      <c r="AJ122" s="99">
        <f t="shared" si="132"/>
        <v>0.19821824040656408</v>
      </c>
      <c r="AK122" s="99">
        <f t="shared" si="133"/>
        <v>0.39375027505832721</v>
      </c>
      <c r="AL122" s="99">
        <f t="shared" si="134"/>
        <v>0.13344478521418013</v>
      </c>
      <c r="AM122" s="39"/>
      <c r="AN122" s="99">
        <f t="shared" si="145"/>
        <v>0.38951108499471632</v>
      </c>
      <c r="AO122" s="99">
        <f t="shared" si="146"/>
        <v>0.20107377642156005</v>
      </c>
      <c r="AP122" s="99">
        <f t="shared" si="147"/>
        <v>0.40941513858372358</v>
      </c>
      <c r="AQ122" s="99">
        <f t="shared" si="148"/>
        <v>0.12964753478889054</v>
      </c>
      <c r="AR122" s="39"/>
    </row>
    <row r="123" spans="1:44" s="7" customFormat="1" x14ac:dyDescent="0.2">
      <c r="C123" s="39"/>
      <c r="D123" s="39"/>
      <c r="E123" s="39"/>
      <c r="F123" s="39"/>
      <c r="G123" s="39"/>
      <c r="H123" s="39"/>
      <c r="I123" s="39"/>
      <c r="J123" s="65">
        <f>J122-J94</f>
        <v>0</v>
      </c>
      <c r="K123" s="65">
        <f t="shared" ref="K123:R123" si="163">K122-K94</f>
        <v>0</v>
      </c>
      <c r="L123" s="65">
        <f t="shared" si="163"/>
        <v>0</v>
      </c>
      <c r="M123" s="65">
        <f t="shared" si="163"/>
        <v>0</v>
      </c>
      <c r="N123" s="65">
        <f t="shared" si="163"/>
        <v>0</v>
      </c>
      <c r="O123" s="65">
        <f t="shared" si="163"/>
        <v>0</v>
      </c>
      <c r="P123" s="65">
        <f t="shared" si="163"/>
        <v>0</v>
      </c>
      <c r="Q123" s="65">
        <f t="shared" si="163"/>
        <v>0</v>
      </c>
      <c r="R123" s="65">
        <f t="shared" si="163"/>
        <v>0</v>
      </c>
      <c r="S123" s="39"/>
      <c r="T123" s="65">
        <f>T122-T94</f>
        <v>0</v>
      </c>
      <c r="U123" s="65">
        <f t="shared" ref="U123" si="164">U122-U94</f>
        <v>0</v>
      </c>
      <c r="V123" s="65">
        <f t="shared" ref="V123" si="165">V122-V94</f>
        <v>0</v>
      </c>
      <c r="W123" s="65">
        <f t="shared" ref="W123" si="166">W122-W94</f>
        <v>0</v>
      </c>
      <c r="X123" s="65">
        <f t="shared" ref="X123" si="167">X122-X94</f>
        <v>0</v>
      </c>
      <c r="Y123" s="65">
        <f t="shared" ref="Y123" si="168">Y122-Y94</f>
        <v>0</v>
      </c>
      <c r="Z123" s="65">
        <f t="shared" ref="Z123" si="169">Z122-Z94</f>
        <v>0</v>
      </c>
      <c r="AA123" s="65">
        <f t="shared" ref="AA123" si="170">AA122-AA94</f>
        <v>0</v>
      </c>
      <c r="AB123" s="65">
        <f t="shared" ref="AB123" si="171">AB122-AB94</f>
        <v>0</v>
      </c>
      <c r="AC123" s="39"/>
      <c r="AD123" s="65">
        <f>AD122-AD94</f>
        <v>0</v>
      </c>
      <c r="AE123" s="65">
        <f t="shared" ref="AE123:AL123" si="172">AE122-AE94</f>
        <v>0</v>
      </c>
      <c r="AF123" s="65">
        <f t="shared" si="172"/>
        <v>0</v>
      </c>
      <c r="AG123" s="65">
        <f t="shared" si="172"/>
        <v>0</v>
      </c>
      <c r="AH123" s="65">
        <f t="shared" si="172"/>
        <v>0</v>
      </c>
      <c r="AI123" s="65">
        <f t="shared" si="172"/>
        <v>0</v>
      </c>
      <c r="AJ123" s="65">
        <f t="shared" si="172"/>
        <v>0</v>
      </c>
      <c r="AK123" s="65">
        <f t="shared" si="172"/>
        <v>0</v>
      </c>
      <c r="AL123" s="65">
        <f t="shared" si="172"/>
        <v>0</v>
      </c>
      <c r="AM123" s="39"/>
      <c r="AN123" s="65">
        <f t="shared" ref="AN123" si="173">AN122-AN94</f>
        <v>0</v>
      </c>
      <c r="AO123" s="65">
        <f t="shared" ref="AO123" si="174">AO122-AO94</f>
        <v>0</v>
      </c>
      <c r="AP123" s="65">
        <f t="shared" ref="AP123" si="175">AP122-AP94</f>
        <v>0</v>
      </c>
      <c r="AQ123" s="65">
        <f t="shared" ref="AQ123" si="176">AQ122-AQ94</f>
        <v>0</v>
      </c>
      <c r="AR123" s="39"/>
    </row>
    <row r="124" spans="1:44" s="7" customFormat="1" x14ac:dyDescent="0.2"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</row>
    <row r="125" spans="1:44" x14ac:dyDescent="0.2">
      <c r="A125" s="22" t="s">
        <v>2306</v>
      </c>
      <c r="B125" s="22"/>
      <c r="C125" s="15"/>
      <c r="D125" s="24"/>
      <c r="E125" s="25"/>
      <c r="F125" s="25"/>
      <c r="G125" s="25"/>
      <c r="H125" s="25"/>
      <c r="I125" s="25"/>
      <c r="J125" s="35" t="s">
        <v>2296</v>
      </c>
      <c r="K125" s="35"/>
      <c r="L125" s="35"/>
      <c r="M125" s="35"/>
      <c r="N125" s="35"/>
      <c r="O125" s="35"/>
      <c r="P125" s="35"/>
      <c r="Q125" s="35"/>
      <c r="R125" s="35" t="s">
        <v>2298</v>
      </c>
      <c r="S125" s="25"/>
      <c r="T125" s="35" t="s">
        <v>2296</v>
      </c>
      <c r="U125" s="35"/>
      <c r="V125" s="35"/>
      <c r="W125" s="35"/>
      <c r="X125" s="35"/>
      <c r="Y125" s="35"/>
      <c r="Z125" s="35"/>
      <c r="AA125" s="35"/>
      <c r="AB125" s="35" t="s">
        <v>2298</v>
      </c>
      <c r="AC125" s="25"/>
      <c r="AD125" s="35" t="s">
        <v>2296</v>
      </c>
      <c r="AE125" s="35"/>
      <c r="AF125" s="35"/>
      <c r="AG125" s="35"/>
      <c r="AH125" s="35"/>
      <c r="AI125" s="35"/>
      <c r="AJ125" s="35"/>
      <c r="AK125" s="35"/>
      <c r="AL125" s="35" t="s">
        <v>2298</v>
      </c>
      <c r="AM125" s="25"/>
      <c r="AN125" s="35"/>
      <c r="AO125" s="35"/>
      <c r="AP125" s="35"/>
      <c r="AQ125" s="35" t="s">
        <v>2298</v>
      </c>
      <c r="AR125" s="25"/>
    </row>
    <row r="126" spans="1:44" s="7" customFormat="1" x14ac:dyDescent="0.2"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</row>
    <row r="127" spans="1:44" s="7" customFormat="1" x14ac:dyDescent="0.2">
      <c r="C127" s="39"/>
      <c r="D127" s="39"/>
      <c r="E127" s="39" t="s">
        <v>2307</v>
      </c>
      <c r="F127" s="39"/>
      <c r="G127" s="39"/>
      <c r="H127" s="39"/>
      <c r="I127" s="39"/>
      <c r="J127" s="41">
        <v>21181.937917335013</v>
      </c>
      <c r="K127" s="39"/>
      <c r="L127" s="39"/>
      <c r="M127" s="39"/>
      <c r="N127" s="39"/>
      <c r="O127" s="39"/>
      <c r="P127" s="39"/>
      <c r="Q127" s="39"/>
      <c r="R127" s="46">
        <f>J127/SUM($J$127:$J$128)</f>
        <v>0.17773802982219974</v>
      </c>
      <c r="S127" s="39"/>
      <c r="T127" s="41">
        <v>51198.601522230521</v>
      </c>
      <c r="U127" s="44"/>
      <c r="V127" s="39"/>
      <c r="W127" s="39"/>
      <c r="X127" s="39"/>
      <c r="Y127" s="39"/>
      <c r="Z127" s="39"/>
      <c r="AA127" s="39"/>
      <c r="AB127" s="46">
        <f>T127/SUM($T$127:$T$128)</f>
        <v>0.41352557966611109</v>
      </c>
      <c r="AC127" s="39"/>
      <c r="AD127" s="41">
        <v>35923.140346093758</v>
      </c>
      <c r="AE127" s="44"/>
      <c r="AF127" s="39"/>
      <c r="AG127" s="39"/>
      <c r="AH127" s="39"/>
      <c r="AI127" s="39"/>
      <c r="AJ127" s="39"/>
      <c r="AK127" s="39"/>
      <c r="AL127" s="46">
        <f>AD127/SUM($AD$127:$AD$128)</f>
        <v>0.25392403494546112</v>
      </c>
      <c r="AM127" s="39"/>
      <c r="AN127" s="39"/>
      <c r="AO127" s="39"/>
      <c r="AP127" s="39"/>
      <c r="AQ127" s="148">
        <f>SUM(J127,T127,AD127)/SUM($J$127:$J$128,$T$127:$T$128,$AD$127:$AD$128)</f>
        <v>0.28170554291169725</v>
      </c>
      <c r="AR127" s="39"/>
    </row>
    <row r="128" spans="1:44" s="7" customFormat="1" x14ac:dyDescent="0.2">
      <c r="C128" s="39"/>
      <c r="D128" s="39"/>
      <c r="E128" s="39" t="s">
        <v>2308</v>
      </c>
      <c r="F128" s="39"/>
      <c r="G128" s="39"/>
      <c r="H128" s="39"/>
      <c r="I128" s="39"/>
      <c r="J128" s="41">
        <v>97993.108292664983</v>
      </c>
      <c r="K128" s="39"/>
      <c r="L128" s="39"/>
      <c r="M128" s="39"/>
      <c r="N128" s="39"/>
      <c r="O128" s="39"/>
      <c r="P128" s="39"/>
      <c r="Q128" s="39"/>
      <c r="R128" s="46">
        <f>J128/SUM($J$127:$J$128)</f>
        <v>0.82226197017780023</v>
      </c>
      <c r="S128" s="39"/>
      <c r="T128" s="41">
        <v>72611.397277769487</v>
      </c>
      <c r="U128" s="44"/>
      <c r="V128" s="39"/>
      <c r="W128" s="39"/>
      <c r="X128" s="39"/>
      <c r="Y128" s="39"/>
      <c r="Z128" s="39"/>
      <c r="AA128" s="39"/>
      <c r="AB128" s="46">
        <f>T128/SUM($T$127:$T$128)</f>
        <v>0.58647442033388897</v>
      </c>
      <c r="AC128" s="39"/>
      <c r="AD128" s="41">
        <v>105548.85679592346</v>
      </c>
      <c r="AE128" s="44"/>
      <c r="AF128" s="39"/>
      <c r="AG128" s="39"/>
      <c r="AH128" s="39"/>
      <c r="AI128" s="39"/>
      <c r="AJ128" s="39"/>
      <c r="AK128" s="39"/>
      <c r="AL128" s="46">
        <f>AD128/SUM($AD$127:$AD$128)</f>
        <v>0.74607596505453877</v>
      </c>
      <c r="AM128" s="39"/>
      <c r="AN128" s="39"/>
      <c r="AO128" s="39"/>
      <c r="AP128" s="39"/>
      <c r="AQ128" s="46">
        <f>SUM(J128,T128,AD128)/SUM($J$127:$J$128,$T$127:$T$128,$AD$127:$AD$128)</f>
        <v>0.71829445708830275</v>
      </c>
      <c r="AR128" s="39"/>
    </row>
    <row r="129" spans="1:44" s="7" customFormat="1" x14ac:dyDescent="0.2"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</row>
    <row r="130" spans="1:44" s="7" customFormat="1" x14ac:dyDescent="0.2"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</row>
    <row r="131" spans="1:44" s="7" customFormat="1" x14ac:dyDescent="0.2"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</row>
    <row r="132" spans="1:44" s="21" customFormat="1" x14ac:dyDescent="0.2">
      <c r="A132" s="22" t="s">
        <v>9</v>
      </c>
      <c r="B132" s="22"/>
      <c r="C132" s="15"/>
      <c r="D132" s="24"/>
      <c r="E132" s="25"/>
      <c r="F132" s="25"/>
      <c r="G132" s="25"/>
      <c r="H132" s="25"/>
      <c r="I132" s="25"/>
      <c r="J132" s="25"/>
      <c r="K132" s="26"/>
      <c r="L132" s="20"/>
      <c r="M132" s="20"/>
      <c r="N132" s="25"/>
      <c r="O132" s="25"/>
      <c r="P132" s="25"/>
      <c r="Q132" s="25"/>
      <c r="R132" s="25"/>
      <c r="S132" s="25"/>
      <c r="T132" s="25"/>
      <c r="U132" s="26"/>
      <c r="V132" s="20"/>
      <c r="W132" s="20"/>
      <c r="X132" s="25"/>
      <c r="Y132" s="25"/>
      <c r="Z132" s="25"/>
      <c r="AA132" s="25"/>
      <c r="AB132" s="25"/>
      <c r="AC132" s="25"/>
      <c r="AD132" s="25"/>
      <c r="AE132" s="26"/>
      <c r="AF132" s="20"/>
      <c r="AG132" s="20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</row>
    <row r="133" spans="1:44" x14ac:dyDescent="0.2">
      <c r="A133" s="7"/>
      <c r="B133" s="7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</row>
    <row r="134" spans="1:44" hidden="1" x14ac:dyDescent="0.2">
      <c r="A134" s="7"/>
      <c r="B134" s="7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</row>
    <row r="135" spans="1:44" hidden="1" x14ac:dyDescent="0.2">
      <c r="A135" s="7"/>
      <c r="B135" s="7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</row>
    <row r="136" spans="1:44" hidden="1" x14ac:dyDescent="0.2"/>
    <row r="137" spans="1:44" hidden="1" x14ac:dyDescent="0.2"/>
    <row r="138" spans="1:44" hidden="1" x14ac:dyDescent="0.2"/>
    <row r="139" spans="1:44" hidden="1" x14ac:dyDescent="0.2"/>
    <row r="140" spans="1:44" hidden="1" x14ac:dyDescent="0.2"/>
    <row r="141" spans="1:44" hidden="1" x14ac:dyDescent="0.2"/>
    <row r="142" spans="1:44" hidden="1" x14ac:dyDescent="0.2"/>
    <row r="143" spans="1:44" hidden="1" x14ac:dyDescent="0.2"/>
    <row r="144" spans="1: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</sheetData>
  <mergeCells count="5">
    <mergeCell ref="J4:R4"/>
    <mergeCell ref="T4:AB4"/>
    <mergeCell ref="AN4:AQ4"/>
    <mergeCell ref="E5:F5"/>
    <mergeCell ref="AD4:AL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XFD469"/>
  <sheetViews>
    <sheetView zoomScale="85" zoomScaleNormal="85" workbookViewId="0">
      <pane ySplit="5" topLeftCell="A12" activePane="bottomLeft" state="frozen"/>
      <selection pane="bottomLeft" activeCell="O31" sqref="O31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7" width="20.5" bestFit="1" customWidth="1"/>
    <col min="8" max="12" width="10.25" customWidth="1"/>
    <col min="13" max="19" width="11.625" bestFit="1" customWidth="1"/>
    <col min="20" max="20" width="10.25" customWidth="1"/>
  </cols>
  <sheetData>
    <row r="1" spans="1:20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19"/>
      <c r="J1" s="19"/>
      <c r="K1" s="20"/>
      <c r="L1" s="20"/>
      <c r="M1" s="17"/>
      <c r="N1" s="17"/>
      <c r="O1" s="17"/>
      <c r="P1" s="17"/>
      <c r="Q1" s="17"/>
      <c r="R1" s="17"/>
      <c r="S1" s="17"/>
      <c r="T1" s="17"/>
    </row>
    <row r="2" spans="1:20" x14ac:dyDescent="0.2">
      <c r="A2" s="22" t="str">
        <f ca="1" xml:space="preserve"> "Sheet: " &amp; RIGHT(CELL("filename", $A$1), LEN(CELL("filename", $A$1)) - SEARCH("]", CELL("filename", $A$1)))</f>
        <v>Sheet: Calc|Overheads</v>
      </c>
      <c r="B2" s="22"/>
      <c r="C2" s="15"/>
      <c r="D2" s="16"/>
      <c r="E2" s="17"/>
      <c r="F2" s="17"/>
      <c r="G2" s="17"/>
      <c r="H2" s="17"/>
      <c r="I2" s="23"/>
      <c r="J2" s="23"/>
      <c r="K2" s="20"/>
      <c r="L2" s="20"/>
      <c r="M2" s="17"/>
      <c r="N2" s="17"/>
      <c r="O2" s="17"/>
      <c r="P2" s="17"/>
      <c r="Q2" s="17"/>
      <c r="R2" s="17"/>
      <c r="S2" s="17"/>
      <c r="T2" s="17"/>
    </row>
    <row r="3" spans="1:20" x14ac:dyDescent="0.2">
      <c r="A3" s="22" t="s">
        <v>0</v>
      </c>
      <c r="B3" s="22"/>
      <c r="C3" s="15"/>
      <c r="D3" s="16"/>
      <c r="E3" s="16"/>
      <c r="F3" s="16"/>
      <c r="G3" s="16"/>
      <c r="H3" s="17"/>
      <c r="I3" s="16"/>
      <c r="J3" s="16"/>
      <c r="K3" s="16"/>
      <c r="L3" s="20"/>
      <c r="M3" s="17"/>
      <c r="N3" s="17"/>
      <c r="O3" s="17"/>
      <c r="P3" s="17"/>
      <c r="Q3" s="17"/>
      <c r="R3" s="17"/>
      <c r="S3" s="17"/>
      <c r="T3" s="17"/>
    </row>
    <row r="4" spans="1:20" x14ac:dyDescent="0.2">
      <c r="A4" s="22"/>
      <c r="B4" s="22"/>
      <c r="C4" s="15"/>
      <c r="D4" s="16"/>
      <c r="E4" s="17"/>
      <c r="F4" s="17"/>
      <c r="G4" s="17"/>
      <c r="H4" s="17"/>
      <c r="I4" s="23"/>
      <c r="J4" s="23"/>
      <c r="K4" s="20"/>
      <c r="L4" s="20"/>
      <c r="M4" s="17"/>
      <c r="N4" s="17"/>
      <c r="O4" s="17"/>
      <c r="P4" s="17"/>
      <c r="Q4" s="17"/>
      <c r="R4" s="17"/>
      <c r="S4" s="17"/>
      <c r="T4" s="17"/>
    </row>
    <row r="5" spans="1:20" x14ac:dyDescent="0.2">
      <c r="A5" s="22"/>
      <c r="B5" s="22"/>
      <c r="C5" s="22"/>
      <c r="D5" s="22"/>
      <c r="E5" s="22"/>
      <c r="F5" s="17"/>
      <c r="G5" s="17"/>
      <c r="H5" s="17"/>
      <c r="I5" s="31">
        <v>2015</v>
      </c>
      <c r="J5" s="31">
        <v>2016</v>
      </c>
      <c r="K5" s="31">
        <v>2017</v>
      </c>
      <c r="L5" s="31">
        <v>2018</v>
      </c>
      <c r="M5" s="31">
        <v>2019</v>
      </c>
      <c r="N5" s="31">
        <v>2020</v>
      </c>
      <c r="O5" s="31" t="s">
        <v>2432</v>
      </c>
      <c r="P5" s="31" t="s">
        <v>2433</v>
      </c>
      <c r="Q5" s="31" t="s">
        <v>2434</v>
      </c>
      <c r="R5" s="31" t="s">
        <v>2435</v>
      </c>
      <c r="S5" s="31" t="s">
        <v>2436</v>
      </c>
      <c r="T5" s="17"/>
    </row>
    <row r="6" spans="1:20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167"/>
      <c r="N6" s="167"/>
      <c r="O6" s="167"/>
      <c r="P6" s="167"/>
      <c r="Q6" s="167"/>
      <c r="R6" s="167"/>
      <c r="S6" s="167"/>
      <c r="T6" s="4"/>
    </row>
    <row r="7" spans="1:20" x14ac:dyDescent="0.2">
      <c r="A7" s="22" t="s">
        <v>2412</v>
      </c>
      <c r="B7" s="22"/>
      <c r="C7" s="15"/>
      <c r="D7" s="24"/>
      <c r="E7" s="25"/>
      <c r="F7" s="25"/>
      <c r="G7" s="25"/>
      <c r="H7" s="25"/>
      <c r="I7" s="57"/>
      <c r="J7" s="57"/>
      <c r="K7" s="57"/>
      <c r="L7" s="35"/>
      <c r="M7" s="35" t="s">
        <v>2428</v>
      </c>
      <c r="N7" s="35" t="s">
        <v>2428</v>
      </c>
      <c r="O7" s="35" t="s">
        <v>2428</v>
      </c>
      <c r="P7" s="35" t="s">
        <v>2428</v>
      </c>
      <c r="Q7" s="35" t="s">
        <v>2428</v>
      </c>
      <c r="R7" s="35" t="s">
        <v>2428</v>
      </c>
      <c r="S7" s="35" t="s">
        <v>2428</v>
      </c>
      <c r="T7" s="25"/>
    </row>
    <row r="8" spans="1:20" x14ac:dyDescent="0.2">
      <c r="A8" s="39"/>
      <c r="B8" s="39"/>
      <c r="C8" s="39"/>
      <c r="D8" s="39"/>
      <c r="E8" s="39"/>
      <c r="F8" s="39"/>
      <c r="G8" s="39"/>
      <c r="H8" s="7"/>
      <c r="I8" s="39"/>
      <c r="J8" s="39"/>
      <c r="K8" s="39"/>
      <c r="L8" s="39"/>
      <c r="M8" s="172"/>
      <c r="N8" s="172"/>
      <c r="O8" s="172"/>
      <c r="P8" s="172"/>
      <c r="Q8" s="172"/>
      <c r="R8" s="172"/>
      <c r="S8" s="172"/>
      <c r="T8" s="7"/>
    </row>
    <row r="9" spans="1:20" x14ac:dyDescent="0.2">
      <c r="A9" s="199" t="s">
        <v>2467</v>
      </c>
      <c r="B9" s="159"/>
      <c r="C9" s="159"/>
      <c r="D9" s="159"/>
      <c r="E9" s="159"/>
      <c r="F9" s="159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</row>
    <row r="10" spans="1:20" x14ac:dyDescent="0.2">
      <c r="A10" s="39"/>
      <c r="B10" s="39"/>
      <c r="C10" s="39"/>
      <c r="D10" s="39"/>
      <c r="E10" s="39"/>
      <c r="F10" s="39"/>
      <c r="G10" s="39"/>
      <c r="H10" s="7"/>
      <c r="I10" s="39"/>
      <c r="J10" s="39"/>
      <c r="K10" s="39"/>
      <c r="L10" s="39"/>
      <c r="M10" s="172"/>
      <c r="N10" s="172"/>
      <c r="O10" s="172"/>
      <c r="P10" s="172"/>
      <c r="Q10" s="172"/>
      <c r="R10" s="172"/>
      <c r="S10" s="172"/>
      <c r="T10" s="7"/>
    </row>
    <row r="11" spans="1:20" x14ac:dyDescent="0.2">
      <c r="A11" s="39"/>
      <c r="B11" s="39"/>
      <c r="C11" s="39"/>
      <c r="D11" s="39"/>
      <c r="E11" s="39" t="s">
        <v>2406</v>
      </c>
      <c r="F11" s="39"/>
      <c r="G11" s="39" t="s">
        <v>2324</v>
      </c>
      <c r="H11" s="7"/>
      <c r="I11" s="39"/>
      <c r="J11" s="39"/>
      <c r="K11" s="44"/>
      <c r="L11" s="27">
        <f>'Calc|Weightings'!AH106</f>
        <v>17928.32916367225</v>
      </c>
      <c r="M11" s="172"/>
      <c r="N11" s="172"/>
      <c r="O11" s="172"/>
      <c r="P11" s="172"/>
      <c r="Q11" s="172"/>
      <c r="R11" s="172"/>
      <c r="S11" s="172"/>
      <c r="T11" s="7"/>
    </row>
    <row r="12" spans="1:20" x14ac:dyDescent="0.2">
      <c r="A12" s="39"/>
      <c r="B12" s="39"/>
      <c r="C12" s="39"/>
      <c r="D12" s="39"/>
      <c r="E12" s="39"/>
      <c r="F12" s="39"/>
      <c r="G12" s="39" t="s">
        <v>2428</v>
      </c>
      <c r="H12" s="7"/>
      <c r="I12" s="39"/>
      <c r="J12" s="39"/>
      <c r="K12" s="44"/>
      <c r="L12" s="44">
        <f>L11*Inflation!$O$26</f>
        <v>18986.875286327533</v>
      </c>
      <c r="M12" s="174">
        <v>19193.731956570395</v>
      </c>
      <c r="N12" s="27">
        <v>19193.731956570395</v>
      </c>
      <c r="O12" s="194">
        <f>$N12+O48</f>
        <v>17367.64836937001</v>
      </c>
      <c r="P12" s="194">
        <f t="shared" ref="P12:S12" si="0">$N12+P48</f>
        <v>18184.178194228189</v>
      </c>
      <c r="Q12" s="194">
        <f t="shared" si="0"/>
        <v>17829.431133911537</v>
      </c>
      <c r="R12" s="194">
        <f t="shared" si="0"/>
        <v>17884.390536749099</v>
      </c>
      <c r="S12" s="194">
        <f t="shared" si="0"/>
        <v>18265.431214236531</v>
      </c>
      <c r="T12" s="7"/>
    </row>
    <row r="13" spans="1:20" x14ac:dyDescent="0.2">
      <c r="A13" s="39"/>
      <c r="B13" s="39"/>
      <c r="C13" s="39"/>
      <c r="D13" s="39"/>
      <c r="E13" s="39"/>
      <c r="F13" s="39"/>
      <c r="G13" s="39"/>
      <c r="H13" s="7"/>
      <c r="I13" s="39"/>
      <c r="J13" s="39"/>
      <c r="K13" s="44"/>
      <c r="L13" s="44"/>
      <c r="M13" s="174"/>
      <c r="N13" s="174"/>
      <c r="O13" s="174"/>
      <c r="P13" s="174"/>
      <c r="Q13" s="174"/>
      <c r="R13" s="174"/>
      <c r="S13" s="174"/>
      <c r="T13" s="7"/>
    </row>
    <row r="14" spans="1:20" x14ac:dyDescent="0.2">
      <c r="A14" s="59" t="s">
        <v>2407</v>
      </c>
      <c r="B14" s="13"/>
      <c r="C14" s="13"/>
      <c r="D14" s="13"/>
      <c r="E14" s="13"/>
      <c r="F14" s="1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</row>
    <row r="15" spans="1:20" x14ac:dyDescent="0.2">
      <c r="A15" s="39"/>
      <c r="B15" s="39"/>
      <c r="C15" s="39"/>
      <c r="D15" s="39"/>
      <c r="E15" s="39"/>
      <c r="F15" s="39"/>
      <c r="G15" s="39"/>
      <c r="H15" s="7"/>
      <c r="I15" s="39"/>
      <c r="J15" s="39"/>
      <c r="K15" s="44"/>
      <c r="L15" s="44"/>
      <c r="M15" s="174"/>
      <c r="N15" s="174"/>
      <c r="O15" s="174"/>
      <c r="P15" s="174"/>
      <c r="Q15" s="174"/>
      <c r="R15" s="174"/>
      <c r="S15" s="174"/>
      <c r="T15" s="7"/>
    </row>
    <row r="16" spans="1:20" x14ac:dyDescent="0.2">
      <c r="A16" s="39"/>
      <c r="B16" s="39"/>
      <c r="C16" s="39"/>
      <c r="D16" s="39"/>
      <c r="E16" s="39" t="s">
        <v>2408</v>
      </c>
      <c r="F16" s="39"/>
      <c r="G16" s="39"/>
      <c r="H16" s="7"/>
      <c r="I16" s="39"/>
      <c r="J16" s="39"/>
      <c r="K16" s="44"/>
      <c r="L16" s="44"/>
      <c r="M16" s="123"/>
      <c r="N16" s="123"/>
      <c r="O16" s="123">
        <v>-1.1361697467210385E-3</v>
      </c>
      <c r="P16" s="123">
        <v>4.6007636809646257E-3</v>
      </c>
      <c r="Q16" s="123">
        <v>2.8891104033859083E-3</v>
      </c>
      <c r="R16" s="123">
        <v>3.6128558406132161E-3</v>
      </c>
      <c r="S16" s="123">
        <v>5.9186229566656756E-3</v>
      </c>
      <c r="T16" s="7"/>
    </row>
    <row r="17" spans="1:20" x14ac:dyDescent="0.2">
      <c r="A17" s="39"/>
      <c r="B17" s="39"/>
      <c r="C17" s="39"/>
      <c r="D17" s="39"/>
      <c r="E17" s="172" t="s">
        <v>2466</v>
      </c>
      <c r="F17" s="172"/>
      <c r="G17" s="172"/>
      <c r="H17" s="7"/>
      <c r="I17" s="172"/>
      <c r="J17" s="172"/>
      <c r="K17" s="44"/>
      <c r="L17" s="197">
        <v>1</v>
      </c>
      <c r="M17" s="198">
        <f>L17*(1+M16)</f>
        <v>1</v>
      </c>
      <c r="N17" s="198">
        <f t="shared" ref="N17:S17" si="1">M17*(1+N16)</f>
        <v>1</v>
      </c>
      <c r="O17" s="198">
        <f t="shared" si="1"/>
        <v>0.99886383025327896</v>
      </c>
      <c r="P17" s="198">
        <f t="shared" si="1"/>
        <v>1.0034593666857374</v>
      </c>
      <c r="Q17" s="198">
        <f t="shared" si="1"/>
        <v>1.0063584715814042</v>
      </c>
      <c r="R17" s="198">
        <f t="shared" si="1"/>
        <v>1.0099942996632076</v>
      </c>
      <c r="S17" s="198">
        <f t="shared" si="1"/>
        <v>1.0159720751112957</v>
      </c>
      <c r="T17" s="7"/>
    </row>
    <row r="18" spans="1:20" x14ac:dyDescent="0.2">
      <c r="A18" s="59" t="s">
        <v>2409</v>
      </c>
      <c r="B18" s="13"/>
      <c r="C18" s="13"/>
      <c r="D18" s="13"/>
      <c r="E18" s="13"/>
      <c r="F18" s="13"/>
      <c r="G18" s="63"/>
      <c r="H18" s="63"/>
      <c r="I18" s="63"/>
      <c r="J18" s="63"/>
      <c r="K18" s="63"/>
      <c r="L18" s="63"/>
      <c r="M18" s="63" t="s">
        <v>2428</v>
      </c>
      <c r="N18" s="63" t="s">
        <v>2428</v>
      </c>
      <c r="O18" s="63" t="s">
        <v>2428</v>
      </c>
      <c r="P18" s="63" t="s">
        <v>2428</v>
      </c>
      <c r="Q18" s="63" t="s">
        <v>2428</v>
      </c>
      <c r="R18" s="63" t="s">
        <v>2428</v>
      </c>
      <c r="S18" s="63" t="s">
        <v>2428</v>
      </c>
      <c r="T18" s="63"/>
    </row>
    <row r="19" spans="1:20" x14ac:dyDescent="0.2">
      <c r="A19" s="39"/>
      <c r="B19" s="39"/>
      <c r="C19" s="39"/>
      <c r="D19" s="39"/>
      <c r="E19" s="39"/>
      <c r="F19" s="39"/>
      <c r="G19" s="39"/>
      <c r="H19" s="7"/>
      <c r="I19" s="39"/>
      <c r="J19" s="39"/>
      <c r="K19" s="44"/>
      <c r="L19" s="44"/>
      <c r="M19" s="174"/>
      <c r="N19" s="174"/>
      <c r="O19" s="174"/>
      <c r="P19" s="174"/>
      <c r="Q19" s="174"/>
      <c r="R19" s="174"/>
      <c r="S19" s="174"/>
      <c r="T19" s="7"/>
    </row>
    <row r="20" spans="1:20" x14ac:dyDescent="0.2">
      <c r="A20" s="39"/>
      <c r="B20" s="39"/>
      <c r="C20" s="39"/>
      <c r="D20" s="39"/>
      <c r="E20" s="39" t="s">
        <v>2406</v>
      </c>
      <c r="F20" s="39"/>
      <c r="G20" s="39" t="s">
        <v>2428</v>
      </c>
      <c r="H20" s="7"/>
      <c r="I20" s="39"/>
      <c r="J20" s="39"/>
      <c r="K20" s="44"/>
      <c r="L20" s="44"/>
      <c r="M20" s="44">
        <f>M12*M17</f>
        <v>19193.731956570395</v>
      </c>
      <c r="N20" s="44">
        <f t="shared" ref="N20:S20" si="2">N12*N17</f>
        <v>19193.731956570395</v>
      </c>
      <c r="O20" s="44">
        <f t="shared" si="2"/>
        <v>17347.915772721044</v>
      </c>
      <c r="P20" s="44">
        <f t="shared" si="2"/>
        <v>18247.083934480816</v>
      </c>
      <c r="Q20" s="44">
        <f t="shared" si="2"/>
        <v>17942.799065089119</v>
      </c>
      <c r="R20" s="44">
        <f t="shared" si="2"/>
        <v>18063.132495067206</v>
      </c>
      <c r="S20" s="44">
        <f t="shared" si="2"/>
        <v>18557.16805353052</v>
      </c>
      <c r="T20" s="7"/>
    </row>
    <row r="21" spans="1:20" x14ac:dyDescent="0.2">
      <c r="A21" s="39"/>
      <c r="B21" s="39"/>
      <c r="C21" s="39"/>
      <c r="D21" s="39"/>
      <c r="E21" s="39"/>
      <c r="F21" s="39"/>
      <c r="G21" s="39"/>
      <c r="H21" s="7"/>
      <c r="I21" s="39"/>
      <c r="J21" s="39"/>
      <c r="K21" s="44"/>
      <c r="L21" s="44"/>
      <c r="M21" s="174"/>
      <c r="N21" s="174"/>
      <c r="O21" s="174"/>
      <c r="P21" s="174"/>
      <c r="Q21" s="174"/>
      <c r="R21" s="174"/>
      <c r="S21" s="174"/>
      <c r="T21" s="7"/>
    </row>
    <row r="22" spans="1:20" x14ac:dyDescent="0.2">
      <c r="A22" s="22" t="s">
        <v>2410</v>
      </c>
      <c r="B22" s="22"/>
      <c r="C22" s="15"/>
      <c r="D22" s="24"/>
      <c r="E22" s="25"/>
      <c r="F22" s="25"/>
      <c r="G22" s="25"/>
      <c r="H22" s="25"/>
      <c r="I22" s="57"/>
      <c r="J22" s="57"/>
      <c r="K22" s="57"/>
      <c r="L22" s="35"/>
      <c r="M22" s="35"/>
      <c r="N22" s="35"/>
      <c r="O22" s="35"/>
      <c r="P22" s="35"/>
      <c r="Q22" s="35"/>
      <c r="R22" s="35"/>
      <c r="S22" s="35"/>
      <c r="T22" s="25"/>
    </row>
    <row r="23" spans="1:20" x14ac:dyDescent="0.2">
      <c r="A23" s="39"/>
      <c r="B23" s="39"/>
      <c r="C23" s="39"/>
      <c r="D23" s="39"/>
      <c r="E23" s="39"/>
      <c r="F23" s="39"/>
      <c r="G23" s="39"/>
      <c r="H23" s="7"/>
      <c r="I23" s="39"/>
      <c r="J23" s="39"/>
      <c r="K23" s="44"/>
      <c r="L23" s="44"/>
      <c r="M23" s="174"/>
      <c r="N23" s="174"/>
      <c r="O23" s="174"/>
      <c r="P23" s="174"/>
      <c r="Q23" s="174"/>
      <c r="R23" s="174"/>
      <c r="S23" s="174"/>
      <c r="T23" s="7"/>
    </row>
    <row r="24" spans="1:20" x14ac:dyDescent="0.2">
      <c r="A24" s="59" t="s">
        <v>2411</v>
      </c>
      <c r="B24" s="13"/>
      <c r="C24" s="13"/>
      <c r="D24" s="13"/>
      <c r="E24" s="13"/>
      <c r="F24" s="1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</row>
    <row r="25" spans="1:20" x14ac:dyDescent="0.2">
      <c r="A25" s="39"/>
      <c r="B25" s="39"/>
      <c r="C25" s="39"/>
      <c r="D25" s="39"/>
      <c r="E25" s="39"/>
      <c r="F25" s="39"/>
      <c r="G25" s="39"/>
      <c r="H25" s="7"/>
      <c r="I25" s="39"/>
      <c r="J25" s="39"/>
      <c r="K25" s="44"/>
      <c r="L25" s="44"/>
      <c r="M25" s="174"/>
      <c r="N25" s="174"/>
      <c r="O25" s="174"/>
      <c r="P25" s="174"/>
      <c r="Q25" s="174"/>
      <c r="R25" s="174"/>
      <c r="S25" s="174"/>
      <c r="T25" s="7"/>
    </row>
    <row r="26" spans="1:20" x14ac:dyDescent="0.2">
      <c r="A26" s="39"/>
      <c r="B26" s="39"/>
      <c r="C26" s="39"/>
      <c r="D26" s="39"/>
      <c r="E26" s="39" t="s">
        <v>2413</v>
      </c>
      <c r="F26" s="39"/>
      <c r="G26" s="39" t="s">
        <v>2428</v>
      </c>
      <c r="H26" s="7"/>
      <c r="I26" s="39"/>
      <c r="J26" s="39"/>
      <c r="K26" s="44"/>
      <c r="L26" s="44"/>
      <c r="M26" s="174">
        <f>('Output|Functional'!K38-'Output|Functional'!K35-'Output|Functional'!K32-'Output|Functional'!K31)*1000</f>
        <v>141668.93596677529</v>
      </c>
      <c r="N26" s="174">
        <f>('Output|Functional'!L38-'Output|Functional'!L35-'Output|Functional'!L32-'Output|Functional'!L31)*1000</f>
        <v>172571.70006637281</v>
      </c>
      <c r="O26" s="174">
        <f>('Output|Functional'!M38-'Output|Functional'!M35-'Output|Functional'!M32-'Output|Functional'!M31)*1000</f>
        <v>117398.86171209278</v>
      </c>
      <c r="P26" s="174">
        <f>('Output|Functional'!N38-'Output|Functional'!N35-'Output|Functional'!N32-'Output|Functional'!N31)*1000</f>
        <v>141264.54435322812</v>
      </c>
      <c r="Q26" s="174">
        <f>('Output|Functional'!O38-'Output|Functional'!O35-'Output|Functional'!O32-'Output|Functional'!O31)*1000</f>
        <v>129672.26715662125</v>
      </c>
      <c r="R26" s="174">
        <f>('Output|Functional'!P38-'Output|Functional'!P35-'Output|Functional'!P32-'Output|Functional'!P31)*1000</f>
        <v>125084.0023428494</v>
      </c>
      <c r="S26" s="174">
        <f>('Output|Functional'!Q38-'Output|Functional'!Q35-'Output|Functional'!Q32-'Output|Functional'!Q31)*1000</f>
        <v>122234.69687734111</v>
      </c>
      <c r="T26" s="7"/>
    </row>
    <row r="27" spans="1:20" x14ac:dyDescent="0.2">
      <c r="A27" s="39"/>
      <c r="B27" s="39"/>
      <c r="C27" s="39"/>
      <c r="D27" s="39"/>
      <c r="E27" s="39" t="s">
        <v>2414</v>
      </c>
      <c r="F27" s="39"/>
      <c r="G27" s="39" t="s">
        <v>2298</v>
      </c>
      <c r="H27" s="7"/>
      <c r="I27" s="39"/>
      <c r="J27" s="39"/>
      <c r="K27" s="44"/>
      <c r="L27" s="125"/>
      <c r="M27" s="125">
        <f t="shared" ref="M27:S27" si="3">M12/M26</f>
        <v>0.13548299650582382</v>
      </c>
      <c r="N27" s="125">
        <f t="shared" si="3"/>
        <v>0.1112217817242821</v>
      </c>
      <c r="O27" s="125">
        <f t="shared" si="3"/>
        <v>0.14793711042924906</v>
      </c>
      <c r="P27" s="125">
        <f t="shared" si="3"/>
        <v>0.12872429014289069</v>
      </c>
      <c r="Q27" s="125">
        <f t="shared" si="3"/>
        <v>0.13749610093865888</v>
      </c>
      <c r="R27" s="125">
        <f t="shared" si="3"/>
        <v>0.14297903969948789</v>
      </c>
      <c r="S27" s="125">
        <f t="shared" si="3"/>
        <v>0.14942918566375102</v>
      </c>
      <c r="T27" s="7"/>
    </row>
    <row r="28" spans="1:20" x14ac:dyDescent="0.2">
      <c r="A28" s="39"/>
      <c r="B28" s="39"/>
      <c r="C28" s="39"/>
      <c r="D28" s="39"/>
      <c r="E28" s="39"/>
      <c r="F28" s="39"/>
      <c r="G28" s="39"/>
      <c r="H28" s="7"/>
      <c r="I28" s="39"/>
      <c r="J28" s="39"/>
      <c r="K28" s="44"/>
      <c r="L28" s="44"/>
      <c r="M28" s="174"/>
      <c r="N28" s="174"/>
      <c r="O28" s="174"/>
      <c r="P28" s="174"/>
      <c r="Q28" s="174"/>
      <c r="R28" s="174"/>
      <c r="S28" s="174"/>
      <c r="T28" s="7"/>
    </row>
    <row r="29" spans="1:20" x14ac:dyDescent="0.2">
      <c r="A29" s="59" t="s">
        <v>2415</v>
      </c>
      <c r="B29" s="13"/>
      <c r="C29" s="13"/>
      <c r="D29" s="13"/>
      <c r="E29" s="13"/>
      <c r="F29" s="1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</row>
    <row r="30" spans="1:20" x14ac:dyDescent="0.2">
      <c r="A30" s="39"/>
      <c r="B30" s="39"/>
      <c r="C30" s="39"/>
      <c r="D30" s="39"/>
      <c r="E30" s="39"/>
      <c r="F30" s="39"/>
      <c r="G30" s="39"/>
      <c r="H30" s="7"/>
      <c r="I30" s="39"/>
      <c r="J30" s="39"/>
      <c r="K30" s="44"/>
      <c r="L30" s="44"/>
      <c r="M30" s="174"/>
      <c r="N30" s="174"/>
      <c r="O30" s="174"/>
      <c r="P30" s="174"/>
      <c r="Q30" s="174"/>
      <c r="R30" s="174"/>
      <c r="S30" s="174"/>
      <c r="T30" s="7"/>
    </row>
    <row r="31" spans="1:20" x14ac:dyDescent="0.2">
      <c r="A31" s="39"/>
      <c r="B31" s="39"/>
      <c r="C31" s="39"/>
      <c r="D31" s="39"/>
      <c r="E31" s="39" t="s">
        <v>2413</v>
      </c>
      <c r="F31" s="39"/>
      <c r="G31" s="39" t="s">
        <v>2428</v>
      </c>
      <c r="H31" s="7"/>
      <c r="I31" s="39"/>
      <c r="J31" s="39"/>
      <c r="K31" s="44"/>
      <c r="L31" s="44"/>
      <c r="M31" s="174">
        <f>('Output|Functional'!K104-'Output|Functional'!K101-'Output|Functional'!K98-'Output|Functional'!K97)*1000</f>
        <v>141668.93596677529</v>
      </c>
      <c r="N31" s="174">
        <f>('Output|Functional'!L104-'Output|Functional'!L101-'Output|Functional'!L98-'Output|Functional'!L97)*1000</f>
        <v>172571.70006637281</v>
      </c>
      <c r="O31" s="174">
        <f>('Output|Functional'!M104-'Output|Functional'!M101-'Output|Functional'!M98-'Output|Functional'!M97)*1000</f>
        <v>117531.15612166224</v>
      </c>
      <c r="P31" s="174">
        <f>('Output|Functional'!N104-'Output|Functional'!N101-'Output|Functional'!N98-'Output|Functional'!N97)*1000</f>
        <v>141257.80601291024</v>
      </c>
      <c r="Q31" s="174">
        <f>('Output|Functional'!O104-'Output|Functional'!O101-'Output|Functional'!O98-'Output|Functional'!O97)*1000</f>
        <v>129628.02623128002</v>
      </c>
      <c r="R31" s="174">
        <f>('Output|Functional'!P104-'Output|Functional'!P101-'Output|Functional'!P98-'Output|Functional'!P97)*1000</f>
        <v>125226.91476762823</v>
      </c>
      <c r="S31" s="174">
        <f>('Output|Functional'!Q104-'Output|Functional'!Q101-'Output|Functional'!Q98-'Output|Functional'!Q97)*1000</f>
        <v>122851.40522039482</v>
      </c>
      <c r="T31" s="7"/>
    </row>
    <row r="32" spans="1:20" x14ac:dyDescent="0.2">
      <c r="A32" s="39"/>
      <c r="B32" s="39"/>
      <c r="C32" s="39"/>
      <c r="D32" s="39"/>
      <c r="E32" s="39" t="s">
        <v>2414</v>
      </c>
      <c r="F32" s="39"/>
      <c r="G32" s="39" t="s">
        <v>2298</v>
      </c>
      <c r="H32" s="7"/>
      <c r="I32" s="39"/>
      <c r="J32" s="39"/>
      <c r="K32" s="44"/>
      <c r="L32" s="125"/>
      <c r="M32" s="125">
        <f t="shared" ref="M32:S32" si="4">M20/M31</f>
        <v>0.13548299650582382</v>
      </c>
      <c r="N32" s="125">
        <f t="shared" si="4"/>
        <v>0.1112217817242821</v>
      </c>
      <c r="O32" s="125">
        <f t="shared" si="4"/>
        <v>0.14760269825614045</v>
      </c>
      <c r="P32" s="125">
        <f t="shared" si="4"/>
        <v>0.12917575636714282</v>
      </c>
      <c r="Q32" s="125">
        <f t="shared" si="4"/>
        <v>0.13841759059939626</v>
      </c>
      <c r="R32" s="125">
        <f t="shared" si="4"/>
        <v>0.14424321263991258</v>
      </c>
      <c r="S32" s="125">
        <f t="shared" si="4"/>
        <v>0.15105377118185218</v>
      </c>
      <c r="T32" s="7"/>
    </row>
    <row r="33" spans="1:20" x14ac:dyDescent="0.2">
      <c r="A33" s="39"/>
      <c r="B33" s="39"/>
      <c r="C33" s="39"/>
      <c r="D33" s="39"/>
      <c r="E33" s="39"/>
      <c r="F33" s="39"/>
      <c r="G33" s="39"/>
      <c r="H33" s="7"/>
      <c r="I33" s="39"/>
      <c r="J33" s="39"/>
      <c r="K33" s="44"/>
      <c r="L33" s="44"/>
      <c r="M33" s="174"/>
      <c r="N33" s="174"/>
      <c r="O33" s="174"/>
      <c r="P33" s="174"/>
      <c r="Q33" s="174"/>
      <c r="R33" s="174"/>
      <c r="S33" s="174"/>
      <c r="T33" s="7"/>
    </row>
    <row r="34" spans="1:20" x14ac:dyDescent="0.2">
      <c r="A34" s="39"/>
      <c r="B34" s="39"/>
      <c r="C34" s="39"/>
      <c r="D34" s="39"/>
      <c r="E34" s="39"/>
      <c r="F34" s="39"/>
      <c r="G34" s="39"/>
      <c r="H34" s="7"/>
      <c r="I34" s="39"/>
      <c r="J34" s="39"/>
      <c r="K34" s="44"/>
      <c r="L34" s="44"/>
      <c r="M34" s="174"/>
      <c r="N34" s="174"/>
      <c r="O34" s="174"/>
      <c r="P34" s="174"/>
      <c r="Q34" s="174"/>
      <c r="R34" s="174"/>
      <c r="S34" s="174"/>
      <c r="T34" s="7"/>
    </row>
    <row r="35" spans="1:20" x14ac:dyDescent="0.2">
      <c r="A35" s="39"/>
      <c r="B35" s="39"/>
      <c r="C35" s="39"/>
      <c r="D35" s="39"/>
      <c r="E35" s="39"/>
      <c r="F35" s="39"/>
      <c r="G35" s="39"/>
      <c r="H35" s="7"/>
      <c r="I35" s="39"/>
      <c r="J35" s="39"/>
      <c r="K35" s="44"/>
      <c r="L35" s="44"/>
      <c r="M35" s="174"/>
      <c r="N35" s="174"/>
      <c r="O35" s="174"/>
      <c r="P35" s="174"/>
      <c r="Q35" s="174"/>
      <c r="R35" s="174"/>
      <c r="S35" s="174"/>
      <c r="T35" s="7"/>
    </row>
    <row r="36" spans="1:20" x14ac:dyDescent="0.2">
      <c r="A36" s="39"/>
      <c r="B36" s="39"/>
      <c r="C36" s="39"/>
      <c r="D36" s="39"/>
      <c r="E36" s="39"/>
      <c r="F36" s="39"/>
      <c r="G36" s="39"/>
      <c r="H36" s="7"/>
      <c r="I36" s="39"/>
      <c r="J36" s="39"/>
      <c r="K36" s="44"/>
      <c r="L36" s="44"/>
      <c r="M36" s="174"/>
      <c r="N36" s="174"/>
      <c r="O36" s="174"/>
      <c r="P36" s="174"/>
      <c r="Q36" s="174"/>
      <c r="R36" s="174"/>
      <c r="S36" s="174"/>
      <c r="T36" s="7"/>
    </row>
    <row r="37" spans="1:20" x14ac:dyDescent="0.2">
      <c r="A37" s="39"/>
      <c r="B37" s="39"/>
      <c r="C37" s="39"/>
      <c r="D37" s="39"/>
      <c r="E37" s="39"/>
      <c r="F37" s="39"/>
      <c r="G37" s="39"/>
      <c r="H37" s="10"/>
      <c r="I37" s="39"/>
      <c r="J37" s="39"/>
      <c r="K37" s="44"/>
      <c r="L37" s="44"/>
      <c r="M37" s="174"/>
      <c r="N37" s="174"/>
      <c r="O37" s="174"/>
      <c r="P37" s="174"/>
      <c r="Q37" s="174"/>
      <c r="R37" s="174"/>
      <c r="S37" s="174"/>
      <c r="T37" s="7"/>
    </row>
    <row r="38" spans="1:20" x14ac:dyDescent="0.2">
      <c r="A38" s="182" t="s">
        <v>2459</v>
      </c>
      <c r="B38" s="183"/>
      <c r="C38" s="183"/>
      <c r="D38" s="183"/>
      <c r="E38" s="183"/>
      <c r="F38" s="184" t="s">
        <v>2465</v>
      </c>
      <c r="G38" s="183"/>
      <c r="H38" s="185"/>
      <c r="I38" s="183"/>
      <c r="J38" s="172"/>
      <c r="K38" s="174"/>
      <c r="L38" s="174"/>
      <c r="M38" s="174"/>
      <c r="N38" s="174"/>
      <c r="O38" s="174"/>
      <c r="P38" s="174"/>
      <c r="Q38" s="174"/>
      <c r="R38" s="174"/>
      <c r="S38" s="174"/>
      <c r="T38" s="7"/>
    </row>
    <row r="39" spans="1:20" x14ac:dyDescent="0.2">
      <c r="A39" s="186" t="s">
        <v>2411</v>
      </c>
      <c r="B39" s="172"/>
      <c r="C39" s="172"/>
      <c r="D39" s="172"/>
      <c r="E39" s="172"/>
      <c r="F39" s="172"/>
      <c r="G39" s="172" t="s">
        <v>2428</v>
      </c>
      <c r="H39" s="7"/>
      <c r="I39" s="172"/>
      <c r="J39" s="172"/>
      <c r="K39" s="174"/>
      <c r="L39" s="174"/>
      <c r="M39" s="174"/>
      <c r="N39" s="174"/>
      <c r="O39" s="174"/>
      <c r="P39" s="174"/>
      <c r="Q39" s="174"/>
      <c r="R39" s="174"/>
      <c r="S39" s="174"/>
      <c r="T39" s="7"/>
    </row>
    <row r="40" spans="1:20" x14ac:dyDescent="0.2">
      <c r="A40" s="172"/>
      <c r="B40" s="172"/>
      <c r="C40" s="172"/>
      <c r="D40" s="172"/>
      <c r="E40" s="172" t="s">
        <v>2413</v>
      </c>
      <c r="F40" s="172"/>
      <c r="H40" s="7"/>
      <c r="I40" s="172"/>
      <c r="J40" s="172"/>
      <c r="K40" s="174"/>
      <c r="L40" s="174"/>
      <c r="M40" s="174"/>
      <c r="N40" s="174"/>
      <c r="O40" s="195">
        <v>189523.67126119163</v>
      </c>
      <c r="P40" s="195">
        <v>178904.73917089001</v>
      </c>
      <c r="Q40" s="195">
        <v>181188.0423747196</v>
      </c>
      <c r="R40" s="195">
        <v>172023.91835553659</v>
      </c>
      <c r="S40" s="195">
        <v>151554.25306143714</v>
      </c>
      <c r="T40" s="7"/>
    </row>
    <row r="41" spans="1:20" x14ac:dyDescent="0.2">
      <c r="A41" s="172"/>
      <c r="B41" s="172"/>
      <c r="C41" s="172"/>
      <c r="D41" s="172"/>
      <c r="E41" s="172" t="s">
        <v>2406</v>
      </c>
      <c r="F41" s="172"/>
      <c r="G41" s="172"/>
      <c r="H41" s="7"/>
      <c r="I41" s="172"/>
      <c r="J41" s="172"/>
      <c r="K41" s="174"/>
      <c r="L41" s="174"/>
      <c r="M41" s="174"/>
      <c r="N41" s="174"/>
      <c r="O41" s="200">
        <f>N12</f>
        <v>19193.731956570395</v>
      </c>
      <c r="P41" s="200">
        <f>O41</f>
        <v>19193.731956570395</v>
      </c>
      <c r="Q41" s="200">
        <f>P41</f>
        <v>19193.731956570395</v>
      </c>
      <c r="R41" s="200">
        <f t="shared" ref="R41:S41" si="5">Q41</f>
        <v>19193.731956570395</v>
      </c>
      <c r="S41" s="200">
        <f t="shared" si="5"/>
        <v>19193.731956570395</v>
      </c>
      <c r="T41" s="7"/>
    </row>
    <row r="42" spans="1:20" x14ac:dyDescent="0.2">
      <c r="A42" s="172"/>
      <c r="B42" s="172"/>
      <c r="C42" s="172"/>
      <c r="D42" s="172"/>
      <c r="E42" s="172"/>
      <c r="F42" s="172"/>
      <c r="G42" s="172"/>
      <c r="H42" s="7"/>
      <c r="I42" s="172"/>
      <c r="J42" s="172"/>
      <c r="K42" s="174"/>
      <c r="L42" s="174"/>
      <c r="M42" s="174"/>
      <c r="N42" s="174"/>
      <c r="O42" s="174"/>
      <c r="P42" s="174"/>
      <c r="Q42" s="174"/>
      <c r="R42" s="174"/>
      <c r="S42" s="174"/>
      <c r="T42" s="7"/>
    </row>
    <row r="43" spans="1:20" x14ac:dyDescent="0.2">
      <c r="A43" s="172"/>
      <c r="B43" s="172"/>
      <c r="C43" s="172"/>
      <c r="D43" s="172"/>
      <c r="E43" s="172" t="s">
        <v>2460</v>
      </c>
      <c r="F43" s="172"/>
      <c r="G43" s="187">
        <v>0.75</v>
      </c>
      <c r="H43" s="7"/>
      <c r="I43" s="172"/>
      <c r="J43" s="172"/>
      <c r="K43" s="174"/>
      <c r="L43" s="174"/>
      <c r="M43" s="174"/>
      <c r="N43" s="174"/>
      <c r="O43" s="174">
        <f>O41*$G43</f>
        <v>14395.298967427796</v>
      </c>
      <c r="P43" s="174">
        <f t="shared" ref="P43:S43" si="6">P41*$G43</f>
        <v>14395.298967427796</v>
      </c>
      <c r="Q43" s="174">
        <f t="shared" si="6"/>
        <v>14395.298967427796</v>
      </c>
      <c r="R43" s="174">
        <f t="shared" si="6"/>
        <v>14395.298967427796</v>
      </c>
      <c r="S43" s="174">
        <f t="shared" si="6"/>
        <v>14395.298967427796</v>
      </c>
      <c r="T43" s="7"/>
    </row>
    <row r="44" spans="1:20" x14ac:dyDescent="0.2">
      <c r="A44" s="172"/>
      <c r="B44" s="172"/>
      <c r="C44" s="172"/>
      <c r="D44" s="172"/>
      <c r="E44" s="188" t="s">
        <v>2461</v>
      </c>
      <c r="F44" s="172"/>
      <c r="G44" s="189">
        <f>1-G43</f>
        <v>0.25</v>
      </c>
      <c r="H44" s="7"/>
      <c r="I44" s="172"/>
      <c r="J44" s="172"/>
      <c r="K44" s="174"/>
      <c r="L44" s="174"/>
      <c r="M44" s="174"/>
      <c r="N44" s="174"/>
      <c r="O44" s="174">
        <f>O41-O43</f>
        <v>4798.4329891425987</v>
      </c>
      <c r="P44" s="174">
        <f t="shared" ref="P44:S44" si="7">P41-P43</f>
        <v>4798.4329891425987</v>
      </c>
      <c r="Q44" s="174">
        <f t="shared" si="7"/>
        <v>4798.4329891425987</v>
      </c>
      <c r="R44" s="174">
        <f t="shared" si="7"/>
        <v>4798.4329891425987</v>
      </c>
      <c r="S44" s="174">
        <f t="shared" si="7"/>
        <v>4798.4329891425987</v>
      </c>
      <c r="T44" s="7"/>
    </row>
    <row r="45" spans="1:20" x14ac:dyDescent="0.2">
      <c r="A45" s="172"/>
      <c r="B45" s="172"/>
      <c r="C45" s="172"/>
      <c r="D45" s="172"/>
      <c r="E45" s="188" t="s">
        <v>2462</v>
      </c>
      <c r="F45" s="172"/>
      <c r="G45" s="172"/>
      <c r="H45" s="7"/>
      <c r="I45" s="172"/>
      <c r="J45" s="172"/>
      <c r="K45" s="172"/>
      <c r="L45" s="172"/>
      <c r="M45" s="172"/>
      <c r="N45" s="172"/>
      <c r="O45" s="190">
        <f>O44/O40</f>
        <v>2.5318383488517636E-2</v>
      </c>
      <c r="P45" s="190">
        <f t="shared" ref="P45:S45" si="8">P44/P40</f>
        <v>2.6821161984753965E-2</v>
      </c>
      <c r="Q45" s="190">
        <f t="shared" si="8"/>
        <v>2.648316592117507E-2</v>
      </c>
      <c r="R45" s="190">
        <f t="shared" si="8"/>
        <v>2.789398727231213E-2</v>
      </c>
      <c r="S45" s="190">
        <f t="shared" si="8"/>
        <v>3.1661486841925893E-2</v>
      </c>
      <c r="T45" s="7"/>
    </row>
    <row r="46" spans="1:20" x14ac:dyDescent="0.2">
      <c r="A46" s="172"/>
      <c r="B46" s="172"/>
      <c r="C46" s="172"/>
      <c r="D46" s="172"/>
      <c r="E46" s="188"/>
      <c r="F46" s="172"/>
      <c r="G46" s="172"/>
      <c r="H46" s="7"/>
      <c r="I46" s="172"/>
      <c r="J46" s="172"/>
      <c r="K46" s="172"/>
      <c r="L46" s="172"/>
      <c r="M46" s="172"/>
      <c r="N46" s="172"/>
      <c r="O46" s="190"/>
      <c r="P46" s="190"/>
      <c r="Q46" s="190"/>
      <c r="R46" s="190"/>
      <c r="S46" s="190"/>
      <c r="T46" s="7"/>
    </row>
    <row r="47" spans="1:20" x14ac:dyDescent="0.2">
      <c r="A47" s="172"/>
      <c r="B47" s="172"/>
      <c r="C47" s="172"/>
      <c r="D47" s="172"/>
      <c r="E47" s="9" t="s">
        <v>2463</v>
      </c>
      <c r="F47" s="172"/>
      <c r="G47" s="172"/>
      <c r="H47" s="7"/>
      <c r="I47" s="172"/>
      <c r="J47" s="172"/>
      <c r="K47" s="172"/>
      <c r="L47" s="172"/>
      <c r="M47" s="172"/>
      <c r="N47" s="172"/>
      <c r="O47" s="174">
        <f>O26-O40</f>
        <v>-72124.809549098849</v>
      </c>
      <c r="P47" s="174">
        <f t="shared" ref="P47:S47" si="9">P26-P40</f>
        <v>-37640.19481766189</v>
      </c>
      <c r="Q47" s="174">
        <f t="shared" si="9"/>
        <v>-51515.775218098352</v>
      </c>
      <c r="R47" s="174">
        <f t="shared" si="9"/>
        <v>-46939.916012687187</v>
      </c>
      <c r="S47" s="174">
        <f t="shared" si="9"/>
        <v>-29319.556184096029</v>
      </c>
      <c r="T47" s="7"/>
    </row>
    <row r="48" spans="1:20" x14ac:dyDescent="0.2">
      <c r="A48" s="172"/>
      <c r="B48" s="172"/>
      <c r="C48" s="172"/>
      <c r="D48" s="172"/>
      <c r="E48" s="191" t="s">
        <v>2464</v>
      </c>
      <c r="F48" s="192"/>
      <c r="G48" s="192"/>
      <c r="H48" s="193"/>
      <c r="I48" s="192"/>
      <c r="J48" s="192"/>
      <c r="K48" s="192"/>
      <c r="L48" s="192"/>
      <c r="M48" s="192"/>
      <c r="N48" s="192"/>
      <c r="O48" s="194">
        <f>O45*O47</f>
        <v>-1826.0835872003834</v>
      </c>
      <c r="P48" s="194">
        <f t="shared" ref="P48:S48" si="10">P45*P47</f>
        <v>-1009.5537623422063</v>
      </c>
      <c r="Q48" s="194">
        <f t="shared" si="10"/>
        <v>-1364.3008226588574</v>
      </c>
      <c r="R48" s="194">
        <f t="shared" si="10"/>
        <v>-1309.3414198212968</v>
      </c>
      <c r="S48" s="194">
        <f t="shared" si="10"/>
        <v>-928.30074233386335</v>
      </c>
      <c r="T48" s="7"/>
    </row>
    <row r="49" spans="1:16384" x14ac:dyDescent="0.2">
      <c r="A49" s="39"/>
      <c r="B49" s="39"/>
      <c r="C49" s="39"/>
      <c r="D49" s="39"/>
      <c r="E49" s="39"/>
      <c r="F49" s="39"/>
      <c r="G49" s="39"/>
      <c r="H49" s="7"/>
      <c r="I49" s="39"/>
      <c r="J49" s="39"/>
      <c r="K49" s="39"/>
      <c r="L49" s="39"/>
      <c r="M49" s="172"/>
      <c r="N49" s="172"/>
      <c r="O49" s="172"/>
      <c r="P49" s="172"/>
      <c r="Q49" s="172"/>
      <c r="R49" s="172"/>
      <c r="S49" s="172"/>
      <c r="T49" s="7"/>
    </row>
    <row r="50" spans="1:16384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</row>
    <row r="51" spans="1:16384" s="21" customFormat="1" ht="14.25" customHeight="1" x14ac:dyDescent="0.2">
      <c r="A51" s="22" t="s">
        <v>9</v>
      </c>
      <c r="B51" s="22"/>
      <c r="C51" s="15"/>
      <c r="D51" s="24"/>
      <c r="E51" s="25"/>
      <c r="F51" s="25"/>
      <c r="G51" s="25"/>
      <c r="H51" s="25"/>
      <c r="I51" s="26"/>
      <c r="J51" s="26"/>
      <c r="K51" s="20"/>
      <c r="L51" s="20"/>
      <c r="M51" s="171"/>
      <c r="N51" s="171"/>
      <c r="O51" s="171"/>
      <c r="P51" s="171"/>
      <c r="Q51" s="171"/>
      <c r="R51" s="171"/>
      <c r="S51" s="171"/>
      <c r="T51" s="25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16384" hidden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16384" hidden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16384" hidden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16384" hidden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16384" hidden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16384" hidden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16384" hidden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16384" hidden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16384" hidden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16384" hidden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16384" hidden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16384" hidden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idden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idden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idden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idden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idden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idden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idden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idden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idden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idden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hidden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hidden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hidden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hidden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hidden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hidden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hidden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hidden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hidden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hidden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hidden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hidden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hidden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hidden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hidden="1" x14ac:dyDescent="0.2"/>
    <row r="90" spans="1:20" hidden="1" x14ac:dyDescent="0.2"/>
    <row r="91" spans="1:20" hidden="1" x14ac:dyDescent="0.2"/>
    <row r="92" spans="1:20" hidden="1" x14ac:dyDescent="0.2"/>
    <row r="93" spans="1:20" hidden="1" x14ac:dyDescent="0.2"/>
    <row r="94" spans="1:20" hidden="1" x14ac:dyDescent="0.2"/>
    <row r="95" spans="1:20" hidden="1" x14ac:dyDescent="0.2"/>
    <row r="96" spans="1:20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filterMode="1">
    <tabColor rgb="FFCCFFCC"/>
  </sheetPr>
  <dimension ref="A1:U403"/>
  <sheetViews>
    <sheetView zoomScale="70" zoomScaleNormal="70" workbookViewId="0">
      <pane ySplit="5" topLeftCell="A6" activePane="bottomLeft" state="frozen"/>
      <selection activeCell="N50" sqref="N50"/>
      <selection pane="bottomLeft" activeCell="O149" sqref="O149"/>
    </sheetView>
  </sheetViews>
  <sheetFormatPr defaultColWidth="0" defaultRowHeight="12.75" zeroHeight="1" outlineLevelCol="1" x14ac:dyDescent="0.2"/>
  <cols>
    <col min="1" max="1" width="2.5" customWidth="1"/>
    <col min="2" max="3" width="2.375" customWidth="1"/>
    <col min="4" max="4" width="5.5" customWidth="1"/>
    <col min="5" max="5" width="10.75" bestFit="1" customWidth="1"/>
    <col min="6" max="6" width="31.75" bestFit="1" customWidth="1"/>
    <col min="7" max="7" width="27.375" customWidth="1" outlineLevel="1"/>
    <col min="8" max="8" width="31.75" customWidth="1" outlineLevel="1"/>
    <col min="9" max="19" width="13.875" customWidth="1"/>
    <col min="20" max="21" width="9" customWidth="1"/>
    <col min="22" max="16384" width="9" hidden="1"/>
  </cols>
  <sheetData>
    <row r="1" spans="1:21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8"/>
      <c r="J1" s="18"/>
      <c r="K1" s="19"/>
      <c r="L1" s="20"/>
      <c r="M1" s="20"/>
      <c r="N1" s="17"/>
      <c r="O1" s="17"/>
      <c r="P1" s="17"/>
      <c r="Q1" s="17"/>
      <c r="R1" s="17"/>
      <c r="S1" s="17"/>
      <c r="T1" s="17"/>
      <c r="U1" s="17"/>
    </row>
    <row r="2" spans="1:21" x14ac:dyDescent="0.2">
      <c r="A2" s="22" t="str">
        <f ca="1" xml:space="preserve"> "Sheet: " &amp; RIGHT(CELL("filename", $A$1), LEN(CELL("filename", $A$1)) - SEARCH("]", CELL("filename", $A$1)))</f>
        <v>Sheet: Calc|Consolidated Capex</v>
      </c>
      <c r="B2" s="22"/>
      <c r="C2" s="15"/>
      <c r="D2" s="16"/>
      <c r="E2" s="17"/>
      <c r="F2" s="17"/>
      <c r="G2" s="17"/>
      <c r="H2" s="17"/>
      <c r="I2" s="17"/>
      <c r="J2" s="17"/>
      <c r="K2" s="23"/>
      <c r="L2" s="20"/>
      <c r="M2" s="20"/>
      <c r="N2" s="17"/>
      <c r="O2" s="17"/>
      <c r="P2" s="17"/>
      <c r="Q2" s="17"/>
      <c r="R2" s="17"/>
      <c r="S2" s="17"/>
      <c r="T2" s="17"/>
      <c r="U2" s="17"/>
    </row>
    <row r="3" spans="1:21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6"/>
      <c r="K3" s="16"/>
      <c r="L3" s="16"/>
      <c r="M3" s="20"/>
      <c r="N3" s="17"/>
      <c r="O3" s="17"/>
      <c r="P3" s="17"/>
      <c r="Q3" s="17"/>
      <c r="R3" s="17"/>
      <c r="S3" s="17"/>
      <c r="T3" s="17"/>
      <c r="U3" s="17"/>
    </row>
    <row r="4" spans="1:21" x14ac:dyDescent="0.2">
      <c r="A4" s="22"/>
      <c r="B4" s="22"/>
      <c r="C4" s="15"/>
      <c r="D4" s="16"/>
      <c r="E4" s="17"/>
      <c r="F4" s="17"/>
      <c r="G4" s="17"/>
      <c r="H4" s="17"/>
      <c r="I4" s="17"/>
      <c r="J4" s="17"/>
      <c r="K4" s="23"/>
      <c r="L4" s="20"/>
      <c r="M4" s="20"/>
      <c r="N4" s="17"/>
      <c r="O4" s="17"/>
      <c r="P4" s="17"/>
      <c r="Q4" s="17"/>
      <c r="R4" s="17"/>
      <c r="S4" s="17"/>
      <c r="T4" s="17"/>
      <c r="U4" s="17"/>
    </row>
    <row r="5" spans="1:21" x14ac:dyDescent="0.2">
      <c r="A5" s="22"/>
      <c r="B5" s="22"/>
      <c r="C5" s="22"/>
      <c r="D5" s="22"/>
      <c r="E5" s="261" t="s">
        <v>2068</v>
      </c>
      <c r="F5" s="262"/>
      <c r="G5" s="53" t="s">
        <v>2376</v>
      </c>
      <c r="H5" s="29" t="s">
        <v>2305</v>
      </c>
      <c r="I5" s="31">
        <v>2015</v>
      </c>
      <c r="J5" s="31">
        <v>2016</v>
      </c>
      <c r="K5" s="31">
        <v>2017</v>
      </c>
      <c r="L5" s="31">
        <v>2018</v>
      </c>
      <c r="M5" s="31">
        <v>2019</v>
      </c>
      <c r="N5" s="31">
        <v>2020</v>
      </c>
      <c r="O5" s="31" t="s">
        <v>2432</v>
      </c>
      <c r="P5" s="31" t="s">
        <v>2433</v>
      </c>
      <c r="Q5" s="31" t="s">
        <v>2434</v>
      </c>
      <c r="R5" s="31" t="s">
        <v>2435</v>
      </c>
      <c r="S5" s="31" t="s">
        <v>2436</v>
      </c>
      <c r="T5" s="17"/>
      <c r="U5" s="17"/>
    </row>
    <row r="6" spans="1:21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4"/>
    </row>
    <row r="7" spans="1:21" x14ac:dyDescent="0.2">
      <c r="A7" s="22" t="s">
        <v>2362</v>
      </c>
      <c r="B7" s="22"/>
      <c r="C7" s="15"/>
      <c r="D7" s="24"/>
      <c r="E7" s="25"/>
      <c r="F7" s="25"/>
      <c r="G7" s="25"/>
      <c r="H7" s="25"/>
      <c r="I7" s="35" t="s">
        <v>2367</v>
      </c>
      <c r="J7" s="35" t="s">
        <v>2367</v>
      </c>
      <c r="K7" s="35" t="s">
        <v>2367</v>
      </c>
      <c r="L7" s="35" t="s">
        <v>2367</v>
      </c>
      <c r="M7" s="35" t="s">
        <v>2428</v>
      </c>
      <c r="N7" s="35" t="s">
        <v>2428</v>
      </c>
      <c r="O7" s="35" t="s">
        <v>2428</v>
      </c>
      <c r="P7" s="35" t="s">
        <v>2428</v>
      </c>
      <c r="Q7" s="35" t="s">
        <v>2428</v>
      </c>
      <c r="R7" s="35" t="s">
        <v>2428</v>
      </c>
      <c r="S7" s="35" t="s">
        <v>2428</v>
      </c>
      <c r="T7" s="25"/>
      <c r="U7" s="25"/>
    </row>
    <row r="8" spans="1:21" hidden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1" hidden="1" x14ac:dyDescent="0.2">
      <c r="A9" s="7"/>
      <c r="B9" s="7"/>
      <c r="C9" s="7"/>
      <c r="D9" s="7"/>
      <c r="E9" s="39">
        <v>102</v>
      </c>
      <c r="F9" s="39" t="s">
        <v>2214</v>
      </c>
      <c r="G9" s="39" t="str">
        <f>VLOOKUP(E9,Mapping!$E$11:$G$96,3,0)</f>
        <v>Connections</v>
      </c>
      <c r="H9" s="149" t="str">
        <f>VLOOKUP(E9,Mapping!$E$11:$K$96,7,0)</f>
        <v>SCS</v>
      </c>
      <c r="I9" s="55">
        <f>'Input|Forecast Data'!G9+SUMPRODUCT(--('Input|Customer Contributions'!$E$9:$E$21=$E9),'Input|Customer Contributions'!J$9:J$21)</f>
        <v>957.72400000000016</v>
      </c>
      <c r="J9" s="55">
        <f>'Input|Forecast Data'!H9+SUMPRODUCT(--('Input|Customer Contributions'!$E$9:$E$21=$E9),'Input|Customer Contributions'!K$9:K$21)</f>
        <v>1297.3281499999998</v>
      </c>
      <c r="K9" s="55">
        <f>'Input|Forecast Data'!I9+SUMPRODUCT(--('Input|Customer Contributions'!$E$9:$E$21=$E9),'Input|Customer Contributions'!L$9:L$21)</f>
        <v>2001.9169599999996</v>
      </c>
      <c r="L9" s="55">
        <f>'Input|Forecast Data'!J9+SUMPRODUCT(--('Input|Customer Contributions'!$E$9:$E$21=$E9),'Input|Customer Contributions'!M$9:M$21)</f>
        <v>3169.1645999999987</v>
      </c>
      <c r="M9" s="142">
        <f>'Input|Forecast Data'!K9</f>
        <v>3757.4310035411058</v>
      </c>
      <c r="N9" s="142">
        <f>'Input|Forecast Data'!L9</f>
        <v>3351.7407197355074</v>
      </c>
      <c r="O9" s="142">
        <f>'Input|Forecast Data'!M9</f>
        <v>1367.4870886318886</v>
      </c>
      <c r="P9" s="142">
        <f>'Input|Forecast Data'!N9</f>
        <v>2426.3265023351778</v>
      </c>
      <c r="Q9" s="142">
        <f>'Input|Forecast Data'!O9</f>
        <v>2467.0889031608358</v>
      </c>
      <c r="R9" s="142">
        <f>'Input|Forecast Data'!P9</f>
        <v>2480.4735720886642</v>
      </c>
      <c r="S9" s="142">
        <f>'Input|Forecast Data'!Q9</f>
        <v>2495.3792261219273</v>
      </c>
      <c r="T9" s="7"/>
      <c r="U9" s="7"/>
    </row>
    <row r="10" spans="1:21" hidden="1" x14ac:dyDescent="0.2">
      <c r="A10" s="7"/>
      <c r="B10" s="7"/>
      <c r="C10" s="7"/>
      <c r="D10" s="7"/>
      <c r="E10" s="39">
        <v>103</v>
      </c>
      <c r="F10" s="39" t="s">
        <v>2215</v>
      </c>
      <c r="G10" s="39" t="str">
        <f>VLOOKUP(E10,Mapping!$E$11:$G$96,3,0)</f>
        <v>Connections</v>
      </c>
      <c r="H10" s="149" t="str">
        <f>VLOOKUP(E10,Mapping!$E$11:$K$96,7,0)</f>
        <v>SCS</v>
      </c>
      <c r="I10" s="55">
        <f>'Input|Forecast Data'!G10+SUMPRODUCT(--('Input|Customer Contributions'!$E$9:$E$21=$E10),'Input|Customer Contributions'!J$9:J$21)</f>
        <v>0</v>
      </c>
      <c r="J10" s="55">
        <f>'Input|Forecast Data'!H10+SUMPRODUCT(--('Input|Customer Contributions'!$E$9:$E$21=$E10),'Input|Customer Contributions'!K$9:K$21)</f>
        <v>0</v>
      </c>
      <c r="K10" s="55">
        <f>'Input|Forecast Data'!I10+SUMPRODUCT(--('Input|Customer Contributions'!$E$9:$E$21=$E10),'Input|Customer Contributions'!L$9:L$21)</f>
        <v>0</v>
      </c>
      <c r="L10" s="55">
        <f>'Input|Forecast Data'!J10+SUMPRODUCT(--('Input|Customer Contributions'!$E$9:$E$21=$E10),'Input|Customer Contributions'!M$9:M$21)</f>
        <v>0</v>
      </c>
      <c r="M10" s="142">
        <f>'Input|Forecast Data'!K10</f>
        <v>0</v>
      </c>
      <c r="N10" s="142">
        <f>'Input|Forecast Data'!L10</f>
        <v>0</v>
      </c>
      <c r="O10" s="142">
        <f>'Input|Forecast Data'!M10</f>
        <v>0</v>
      </c>
      <c r="P10" s="142">
        <f>'Input|Forecast Data'!N10</f>
        <v>0</v>
      </c>
      <c r="Q10" s="142">
        <f>'Input|Forecast Data'!O10</f>
        <v>0</v>
      </c>
      <c r="R10" s="142">
        <f>'Input|Forecast Data'!P10</f>
        <v>0</v>
      </c>
      <c r="S10" s="142">
        <f>'Input|Forecast Data'!Q10</f>
        <v>0</v>
      </c>
      <c r="T10" s="7"/>
      <c r="U10" s="7"/>
    </row>
    <row r="11" spans="1:21" hidden="1" x14ac:dyDescent="0.2">
      <c r="A11" s="7"/>
      <c r="B11" s="7"/>
      <c r="C11" s="7"/>
      <c r="D11" s="7"/>
      <c r="E11" s="39">
        <v>104</v>
      </c>
      <c r="F11" s="39" t="s">
        <v>2216</v>
      </c>
      <c r="G11" s="39" t="str">
        <f>VLOOKUP(E11,Mapping!$E$11:$G$96,3,0)</f>
        <v>Connections</v>
      </c>
      <c r="H11" s="149" t="str">
        <f>VLOOKUP(E11,Mapping!$E$11:$K$96,7,0)</f>
        <v>SCS</v>
      </c>
      <c r="I11" s="55">
        <f>'Input|Forecast Data'!G11+SUMPRODUCT(--('Input|Customer Contributions'!$E$9:$E$21=$E11),'Input|Customer Contributions'!J$9:J$21)</f>
        <v>39.44</v>
      </c>
      <c r="J11" s="55">
        <f>'Input|Forecast Data'!H11+SUMPRODUCT(--('Input|Customer Contributions'!$E$9:$E$21=$E11),'Input|Customer Contributions'!K$9:K$21)</f>
        <v>0.26301999999999998</v>
      </c>
      <c r="K11" s="55">
        <f>'Input|Forecast Data'!I11+SUMPRODUCT(--('Input|Customer Contributions'!$E$9:$E$21=$E11),'Input|Customer Contributions'!L$9:L$21)</f>
        <v>137.68698999999998</v>
      </c>
      <c r="L11" s="55">
        <f>'Input|Forecast Data'!J11+SUMPRODUCT(--('Input|Customer Contributions'!$E$9:$E$21=$E11),'Input|Customer Contributions'!M$9:M$21)</f>
        <v>28.772660000000002</v>
      </c>
      <c r="M11" s="142">
        <f>'Input|Forecast Data'!K11</f>
        <v>0</v>
      </c>
      <c r="N11" s="142">
        <f>'Input|Forecast Data'!L11</f>
        <v>0</v>
      </c>
      <c r="O11" s="142">
        <f>'Input|Forecast Data'!M11</f>
        <v>26.370159260008307</v>
      </c>
      <c r="P11" s="142">
        <f>'Input|Forecast Data'!N11</f>
        <v>45.515531895046088</v>
      </c>
      <c r="Q11" s="142">
        <f>'Input|Forecast Data'!O11</f>
        <v>45.515531895046088</v>
      </c>
      <c r="R11" s="142">
        <f>'Input|Forecast Data'!P11</f>
        <v>45.515531895046088</v>
      </c>
      <c r="S11" s="142">
        <f>'Input|Forecast Data'!Q11</f>
        <v>45.515531895046088</v>
      </c>
      <c r="T11" s="7"/>
      <c r="U11" s="7"/>
    </row>
    <row r="12" spans="1:21" hidden="1" x14ac:dyDescent="0.2">
      <c r="A12" s="7"/>
      <c r="B12" s="7"/>
      <c r="C12" s="7"/>
      <c r="D12" s="7"/>
      <c r="E12" s="39">
        <v>105</v>
      </c>
      <c r="F12" s="39" t="s">
        <v>2217</v>
      </c>
      <c r="G12" s="39" t="str">
        <f>VLOOKUP(E12,Mapping!$E$11:$G$96,3,0)</f>
        <v>Connections</v>
      </c>
      <c r="H12" s="149" t="str">
        <f>VLOOKUP(E12,Mapping!$E$11:$K$96,7,0)</f>
        <v>SCS</v>
      </c>
      <c r="I12" s="55">
        <f>'Input|Forecast Data'!G12+SUMPRODUCT(--('Input|Customer Contributions'!$E$9:$E$21=$E12),'Input|Customer Contributions'!J$9:J$21)</f>
        <v>6082.5284899999979</v>
      </c>
      <c r="J12" s="55">
        <f>'Input|Forecast Data'!H12+SUMPRODUCT(--('Input|Customer Contributions'!$E$9:$E$21=$E12),'Input|Customer Contributions'!K$9:K$21)</f>
        <v>5963.0203000000001</v>
      </c>
      <c r="K12" s="55">
        <f>'Input|Forecast Data'!I12+SUMPRODUCT(--('Input|Customer Contributions'!$E$9:$E$21=$E12),'Input|Customer Contributions'!L$9:L$21)</f>
        <v>6700.4431699999986</v>
      </c>
      <c r="L12" s="55">
        <f>'Input|Forecast Data'!J12+SUMPRODUCT(--('Input|Customer Contributions'!$E$9:$E$21=$E12),'Input|Customer Contributions'!M$9:M$21)</f>
        <v>6821.6040099999991</v>
      </c>
      <c r="M12" s="142">
        <f>'Input|Forecast Data'!K12</f>
        <v>8959.7660082729763</v>
      </c>
      <c r="N12" s="142">
        <f>'Input|Forecast Data'!L12</f>
        <v>7029.9334086516856</v>
      </c>
      <c r="O12" s="142">
        <f>'Input|Forecast Data'!M12</f>
        <v>3971.3153033602152</v>
      </c>
      <c r="P12" s="142">
        <f>'Input|Forecast Data'!N12</f>
        <v>5457.2716424701557</v>
      </c>
      <c r="Q12" s="142">
        <f>'Input|Forecast Data'!O12</f>
        <v>5487.6480447405156</v>
      </c>
      <c r="R12" s="142">
        <f>'Input|Forecast Data'!P12</f>
        <v>6095.1760901477119</v>
      </c>
      <c r="S12" s="142">
        <f>'Input|Forecast Data'!Q12</f>
        <v>6224.9661725756123</v>
      </c>
      <c r="T12" s="7"/>
      <c r="U12" s="7"/>
    </row>
    <row r="13" spans="1:21" hidden="1" x14ac:dyDescent="0.2">
      <c r="A13" s="7"/>
      <c r="B13" s="7"/>
      <c r="C13" s="7"/>
      <c r="D13" s="7"/>
      <c r="E13" s="39">
        <v>106</v>
      </c>
      <c r="F13" s="39" t="s">
        <v>2218</v>
      </c>
      <c r="G13" s="39" t="str">
        <f>VLOOKUP(E13,Mapping!$E$11:$G$96,3,0)</f>
        <v>Connections</v>
      </c>
      <c r="H13" s="149" t="str">
        <f>VLOOKUP(E13,Mapping!$E$11:$K$96,7,0)</f>
        <v>SCS</v>
      </c>
      <c r="I13" s="55">
        <f>'Input|Forecast Data'!G13+SUMPRODUCT(--('Input|Customer Contributions'!$E$9:$E$21=$E13),'Input|Customer Contributions'!J$9:J$21)</f>
        <v>10049.609850000006</v>
      </c>
      <c r="J13" s="55">
        <f>'Input|Forecast Data'!H13+SUMPRODUCT(--('Input|Customer Contributions'!$E$9:$E$21=$E13),'Input|Customer Contributions'!K$9:K$21)</f>
        <v>8957.756100000006</v>
      </c>
      <c r="K13" s="55">
        <f>'Input|Forecast Data'!I13+SUMPRODUCT(--('Input|Customer Contributions'!$E$9:$E$21=$E13),'Input|Customer Contributions'!L$9:L$21)</f>
        <v>7615.7093900000027</v>
      </c>
      <c r="L13" s="55">
        <f>'Input|Forecast Data'!J13+SUMPRODUCT(--('Input|Customer Contributions'!$E$9:$E$21=$E13),'Input|Customer Contributions'!M$9:M$21)</f>
        <v>10110.601899999998</v>
      </c>
      <c r="M13" s="142">
        <f>'Input|Forecast Data'!K13</f>
        <v>8619.3123827221716</v>
      </c>
      <c r="N13" s="142">
        <f>'Input|Forecast Data'!L13</f>
        <v>8331.6886503207807</v>
      </c>
      <c r="O13" s="142">
        <f>'Input|Forecast Data'!M13</f>
        <v>5868.2026315313569</v>
      </c>
      <c r="P13" s="142">
        <f>'Input|Forecast Data'!N13</f>
        <v>9532.0115401908679</v>
      </c>
      <c r="Q13" s="142">
        <f>'Input|Forecast Data'!O13</f>
        <v>9351.9421116039885</v>
      </c>
      <c r="R13" s="142">
        <f>'Input|Forecast Data'!P13</f>
        <v>9656.9850988369872</v>
      </c>
      <c r="S13" s="142">
        <f>'Input|Forecast Data'!Q13</f>
        <v>9814.2098984240401</v>
      </c>
      <c r="T13" s="7"/>
      <c r="U13" s="7"/>
    </row>
    <row r="14" spans="1:21" hidden="1" x14ac:dyDescent="0.2">
      <c r="A14" s="7"/>
      <c r="B14" s="7"/>
      <c r="C14" s="7"/>
      <c r="D14" s="7"/>
      <c r="E14" s="39">
        <v>107</v>
      </c>
      <c r="F14" s="39" t="s">
        <v>2219</v>
      </c>
      <c r="G14" s="39" t="str">
        <f>VLOOKUP(E14,Mapping!$E$11:$G$96,3,0)</f>
        <v>Connections</v>
      </c>
      <c r="H14" s="149" t="str">
        <f>VLOOKUP(E14,Mapping!$E$11:$K$96,7,0)</f>
        <v>SCS</v>
      </c>
      <c r="I14" s="55">
        <f>'Input|Forecast Data'!G14+SUMPRODUCT(--('Input|Customer Contributions'!$E$9:$E$21=$E14),'Input|Customer Contributions'!J$9:J$21)</f>
        <v>1656.8574200000003</v>
      </c>
      <c r="J14" s="55">
        <f>'Input|Forecast Data'!H14+SUMPRODUCT(--('Input|Customer Contributions'!$E$9:$E$21=$E14),'Input|Customer Contributions'!K$9:K$21)</f>
        <v>4049.0620100000006</v>
      </c>
      <c r="K14" s="55">
        <f>'Input|Forecast Data'!I14+SUMPRODUCT(--('Input|Customer Contributions'!$E$9:$E$21=$E14),'Input|Customer Contributions'!L$9:L$21)</f>
        <v>2428.190399999999</v>
      </c>
      <c r="L14" s="55">
        <f>'Input|Forecast Data'!J14+SUMPRODUCT(--('Input|Customer Contributions'!$E$9:$E$21=$E14),'Input|Customer Contributions'!M$9:M$21)</f>
        <v>1369.54179</v>
      </c>
      <c r="M14" s="142">
        <f>'Input|Forecast Data'!K14</f>
        <v>4223.8363610045035</v>
      </c>
      <c r="N14" s="142">
        <f>'Input|Forecast Data'!L14</f>
        <v>3342.9343153276272</v>
      </c>
      <c r="O14" s="142">
        <f>'Input|Forecast Data'!M14</f>
        <v>4055.3654408326506</v>
      </c>
      <c r="P14" s="142">
        <f>'Input|Forecast Data'!N14</f>
        <v>5222.1136193134189</v>
      </c>
      <c r="Q14" s="142">
        <f>'Input|Forecast Data'!O14</f>
        <v>7489.8662850884839</v>
      </c>
      <c r="R14" s="142">
        <f>'Input|Forecast Data'!P14</f>
        <v>2954.3609535383525</v>
      </c>
      <c r="S14" s="142">
        <f>'Input|Forecast Data'!Q14</f>
        <v>2954.3609535383525</v>
      </c>
      <c r="T14" s="7"/>
      <c r="U14" s="7"/>
    </row>
    <row r="15" spans="1:21" hidden="1" x14ac:dyDescent="0.2">
      <c r="A15" s="7"/>
      <c r="B15" s="7"/>
      <c r="C15" s="7"/>
      <c r="D15" s="7"/>
      <c r="E15" s="39">
        <v>108</v>
      </c>
      <c r="F15" s="39" t="s">
        <v>2220</v>
      </c>
      <c r="G15" s="39" t="str">
        <f>VLOOKUP(E15,Mapping!$E$11:$G$96,3,0)</f>
        <v>Connections</v>
      </c>
      <c r="H15" s="149" t="str">
        <f>VLOOKUP(E15,Mapping!$E$11:$K$96,7,0)</f>
        <v>SCS</v>
      </c>
      <c r="I15" s="55">
        <f>'Input|Forecast Data'!G15+SUMPRODUCT(--('Input|Customer Contributions'!$E$9:$E$21=$E15),'Input|Customer Contributions'!J$9:J$21)</f>
        <v>-30.408400000000004</v>
      </c>
      <c r="J15" s="55">
        <f>'Input|Forecast Data'!H15+SUMPRODUCT(--('Input|Customer Contributions'!$E$9:$E$21=$E15),'Input|Customer Contributions'!K$9:K$21)</f>
        <v>0</v>
      </c>
      <c r="K15" s="55">
        <f>'Input|Forecast Data'!I15+SUMPRODUCT(--('Input|Customer Contributions'!$E$9:$E$21=$E15),'Input|Customer Contributions'!L$9:L$21)</f>
        <v>0</v>
      </c>
      <c r="L15" s="55">
        <f>'Input|Forecast Data'!J15+SUMPRODUCT(--('Input|Customer Contributions'!$E$9:$E$21=$E15),'Input|Customer Contributions'!M$9:M$21)</f>
        <v>0</v>
      </c>
      <c r="M15" s="142">
        <f>'Input|Forecast Data'!K15</f>
        <v>0</v>
      </c>
      <c r="N15" s="142">
        <f>'Input|Forecast Data'!L15</f>
        <v>0</v>
      </c>
      <c r="O15" s="142">
        <f>'Input|Forecast Data'!M15</f>
        <v>0</v>
      </c>
      <c r="P15" s="142">
        <f>'Input|Forecast Data'!N15</f>
        <v>0</v>
      </c>
      <c r="Q15" s="142">
        <f>'Input|Forecast Data'!O15</f>
        <v>0</v>
      </c>
      <c r="R15" s="142">
        <f>'Input|Forecast Data'!P15</f>
        <v>0</v>
      </c>
      <c r="S15" s="142">
        <f>'Input|Forecast Data'!Q15</f>
        <v>0</v>
      </c>
      <c r="T15" s="7"/>
      <c r="U15" s="7"/>
    </row>
    <row r="16" spans="1:21" hidden="1" x14ac:dyDescent="0.2">
      <c r="A16" s="7"/>
      <c r="B16" s="7"/>
      <c r="C16" s="7"/>
      <c r="D16" s="7"/>
      <c r="E16" s="39">
        <v>109</v>
      </c>
      <c r="F16" s="39" t="s">
        <v>2221</v>
      </c>
      <c r="G16" s="39" t="str">
        <f>VLOOKUP(E16,Mapping!$E$11:$G$96,3,0)</f>
        <v>Connections</v>
      </c>
      <c r="H16" s="149" t="str">
        <f>VLOOKUP(E16,Mapping!$E$11:$K$96,7,0)</f>
        <v>SCS</v>
      </c>
      <c r="I16" s="55">
        <f>'Input|Forecast Data'!G16+SUMPRODUCT(--('Input|Customer Contributions'!$E$9:$E$21=$E16),'Input|Customer Contributions'!J$9:J$21)</f>
        <v>565.21763999999985</v>
      </c>
      <c r="J16" s="55">
        <f>'Input|Forecast Data'!H16+SUMPRODUCT(--('Input|Customer Contributions'!$E$9:$E$21=$E16),'Input|Customer Contributions'!K$9:K$21)</f>
        <v>3597.7309499999997</v>
      </c>
      <c r="K16" s="55">
        <f>'Input|Forecast Data'!I16+SUMPRODUCT(--('Input|Customer Contributions'!$E$9:$E$21=$E16),'Input|Customer Contributions'!L$9:L$21)</f>
        <v>5853.801550000001</v>
      </c>
      <c r="L16" s="55">
        <f>'Input|Forecast Data'!J16+SUMPRODUCT(--('Input|Customer Contributions'!$E$9:$E$21=$E16),'Input|Customer Contributions'!M$9:M$21)</f>
        <v>5093.4909600000001</v>
      </c>
      <c r="M16" s="142">
        <f>'Input|Forecast Data'!K16</f>
        <v>8366.5271491589683</v>
      </c>
      <c r="N16" s="142">
        <f>'Input|Forecast Data'!L16</f>
        <v>7111.4136848595044</v>
      </c>
      <c r="O16" s="142">
        <f>'Input|Forecast Data'!M16</f>
        <v>3473.5509609433361</v>
      </c>
      <c r="P16" s="142">
        <f>'Input|Forecast Data'!N16</f>
        <v>6163.3266516296353</v>
      </c>
      <c r="Q16" s="142">
        <f>'Input|Forecast Data'!O16</f>
        <v>6267.0029975144416</v>
      </c>
      <c r="R16" s="142">
        <f>'Input|Forecast Data'!P16</f>
        <v>6301.0459767601997</v>
      </c>
      <c r="S16" s="142">
        <f>'Input|Forecast Data'!Q16</f>
        <v>6338.9574763747933</v>
      </c>
      <c r="T16" s="7"/>
      <c r="U16" s="7"/>
    </row>
    <row r="17" spans="1:21" hidden="1" x14ac:dyDescent="0.2">
      <c r="A17" s="7"/>
      <c r="B17" s="7"/>
      <c r="C17" s="7"/>
      <c r="D17" s="7"/>
      <c r="E17" s="39">
        <v>110</v>
      </c>
      <c r="F17" s="39" t="s">
        <v>2222</v>
      </c>
      <c r="G17" s="39" t="str">
        <f>VLOOKUP(E17,Mapping!$E$11:$G$96,3,0)</f>
        <v>Connections</v>
      </c>
      <c r="H17" s="149" t="str">
        <f>VLOOKUP(E17,Mapping!$E$11:$K$96,7,0)</f>
        <v>SCS</v>
      </c>
      <c r="I17" s="55">
        <f>'Input|Forecast Data'!G17+SUMPRODUCT(--('Input|Customer Contributions'!$E$9:$E$21=$E17),'Input|Customer Contributions'!J$9:J$21)</f>
        <v>0</v>
      </c>
      <c r="J17" s="55">
        <f>'Input|Forecast Data'!H17+SUMPRODUCT(--('Input|Customer Contributions'!$E$9:$E$21=$E17),'Input|Customer Contributions'!K$9:K$21)</f>
        <v>0</v>
      </c>
      <c r="K17" s="55">
        <f>'Input|Forecast Data'!I17+SUMPRODUCT(--('Input|Customer Contributions'!$E$9:$E$21=$E17),'Input|Customer Contributions'!L$9:L$21)</f>
        <v>0</v>
      </c>
      <c r="L17" s="55">
        <f>'Input|Forecast Data'!J17+SUMPRODUCT(--('Input|Customer Contributions'!$E$9:$E$21=$E17),'Input|Customer Contributions'!M$9:M$21)</f>
        <v>0</v>
      </c>
      <c r="M17" s="142">
        <f>'Input|Forecast Data'!K17</f>
        <v>0</v>
      </c>
      <c r="N17" s="142">
        <f>'Input|Forecast Data'!L17</f>
        <v>0</v>
      </c>
      <c r="O17" s="142">
        <f>'Input|Forecast Data'!M17</f>
        <v>0</v>
      </c>
      <c r="P17" s="142">
        <f>'Input|Forecast Data'!N17</f>
        <v>0</v>
      </c>
      <c r="Q17" s="142">
        <f>'Input|Forecast Data'!O17</f>
        <v>0</v>
      </c>
      <c r="R17" s="142">
        <f>'Input|Forecast Data'!P17</f>
        <v>0</v>
      </c>
      <c r="S17" s="142">
        <f>'Input|Forecast Data'!Q17</f>
        <v>0</v>
      </c>
      <c r="T17" s="7"/>
      <c r="U17" s="7"/>
    </row>
    <row r="18" spans="1:21" hidden="1" x14ac:dyDescent="0.2">
      <c r="A18" s="7"/>
      <c r="B18" s="7"/>
      <c r="C18" s="7"/>
      <c r="D18" s="7"/>
      <c r="E18" s="39">
        <v>111</v>
      </c>
      <c r="F18" s="39" t="s">
        <v>2223</v>
      </c>
      <c r="G18" s="39" t="str">
        <f>VLOOKUP(E18,Mapping!$E$11:$G$96,3,0)</f>
        <v>Connections</v>
      </c>
      <c r="H18" s="149" t="str">
        <f>VLOOKUP(E18,Mapping!$E$11:$K$96,7,0)</f>
        <v>SCS</v>
      </c>
      <c r="I18" s="55">
        <f>'Input|Forecast Data'!G18+SUMPRODUCT(--('Input|Customer Contributions'!$E$9:$E$21=$E18),'Input|Customer Contributions'!J$9:J$21)</f>
        <v>24547.120740000009</v>
      </c>
      <c r="J18" s="55">
        <f>'Input|Forecast Data'!H18+SUMPRODUCT(--('Input|Customer Contributions'!$E$9:$E$21=$E18),'Input|Customer Contributions'!K$9:K$21)</f>
        <v>18641.95950999999</v>
      </c>
      <c r="K18" s="55">
        <f>'Input|Forecast Data'!I18+SUMPRODUCT(--('Input|Customer Contributions'!$E$9:$E$21=$E18),'Input|Customer Contributions'!L$9:L$21)</f>
        <v>18292.121850000003</v>
      </c>
      <c r="L18" s="55">
        <f>'Input|Forecast Data'!J18+SUMPRODUCT(--('Input|Customer Contributions'!$E$9:$E$21=$E18),'Input|Customer Contributions'!M$9:M$21)</f>
        <v>25148.48933</v>
      </c>
      <c r="M18" s="142">
        <f>'Input|Forecast Data'!K18</f>
        <v>28183.592757468006</v>
      </c>
      <c r="N18" s="142">
        <f>'Input|Forecast Data'!L18</f>
        <v>24664.831461410435</v>
      </c>
      <c r="O18" s="142">
        <f>'Input|Forecast Data'!M18</f>
        <v>12143.093194167786</v>
      </c>
      <c r="P18" s="142">
        <f>'Input|Forecast Data'!N18</f>
        <v>20192.886493663747</v>
      </c>
      <c r="Q18" s="142">
        <f>'Input|Forecast Data'!O18</f>
        <v>21969.507877064556</v>
      </c>
      <c r="R18" s="142">
        <f>'Input|Forecast Data'!P18</f>
        <v>23047.479675053935</v>
      </c>
      <c r="S18" s="142">
        <f>'Input|Forecast Data'!Q18</f>
        <v>23264.235225098477</v>
      </c>
      <c r="T18" s="7"/>
      <c r="U18" s="7"/>
    </row>
    <row r="19" spans="1:21" hidden="1" x14ac:dyDescent="0.2">
      <c r="A19" s="7"/>
      <c r="B19" s="7"/>
      <c r="C19" s="7"/>
      <c r="D19" s="7"/>
      <c r="E19" s="39">
        <v>112</v>
      </c>
      <c r="F19" s="39" t="s">
        <v>2224</v>
      </c>
      <c r="G19" s="39" t="str">
        <f>VLOOKUP(E19,Mapping!$E$11:$G$96,3,0)</f>
        <v>Metering Capex</v>
      </c>
      <c r="H19" s="149" t="str">
        <f>VLOOKUP(E19,Mapping!$E$11:$K$96,7,0)</f>
        <v>Metering Services</v>
      </c>
      <c r="I19" s="55">
        <f>'Input|Forecast Data'!G19+SUMPRODUCT(--('Input|Customer Contributions'!$E$9:$E$21=$E19),'Input|Customer Contributions'!J$9:J$21)</f>
        <v>0</v>
      </c>
      <c r="J19" s="55">
        <f>'Input|Forecast Data'!H19+SUMPRODUCT(--('Input|Customer Contributions'!$E$9:$E$21=$E19),'Input|Customer Contributions'!K$9:K$21)</f>
        <v>0</v>
      </c>
      <c r="K19" s="55">
        <f>'Input|Forecast Data'!I19+SUMPRODUCT(--('Input|Customer Contributions'!$E$9:$E$21=$E19),'Input|Customer Contributions'!L$9:L$21)</f>
        <v>0</v>
      </c>
      <c r="L19" s="55">
        <f>'Input|Forecast Data'!J19+SUMPRODUCT(--('Input|Customer Contributions'!$E$9:$E$21=$E19),'Input|Customer Contributions'!M$9:M$21)</f>
        <v>0</v>
      </c>
      <c r="M19" s="142">
        <f>'Input|Forecast Data'!K19</f>
        <v>0</v>
      </c>
      <c r="N19" s="142">
        <f>'Input|Forecast Data'!L19</f>
        <v>0</v>
      </c>
      <c r="O19" s="142">
        <f>'Input|Forecast Data'!M19</f>
        <v>0</v>
      </c>
      <c r="P19" s="142">
        <f>'Input|Forecast Data'!N19</f>
        <v>0</v>
      </c>
      <c r="Q19" s="142">
        <f>'Input|Forecast Data'!O19</f>
        <v>0</v>
      </c>
      <c r="R19" s="142">
        <f>'Input|Forecast Data'!P19</f>
        <v>0</v>
      </c>
      <c r="S19" s="142">
        <f>'Input|Forecast Data'!Q19</f>
        <v>0</v>
      </c>
      <c r="T19" s="7"/>
      <c r="U19" s="7"/>
    </row>
    <row r="20" spans="1:21" hidden="1" x14ac:dyDescent="0.2">
      <c r="A20" s="7"/>
      <c r="B20" s="7"/>
      <c r="C20" s="7"/>
      <c r="D20" s="7"/>
      <c r="E20" s="39">
        <v>113</v>
      </c>
      <c r="F20" s="39" t="s">
        <v>2225</v>
      </c>
      <c r="G20" s="39" t="str">
        <f>VLOOKUP(E20,Mapping!$E$11:$G$96,3,0)</f>
        <v>Metering Capex</v>
      </c>
      <c r="H20" s="149" t="str">
        <f>VLOOKUP(E20,Mapping!$E$11:$K$96,7,0)</f>
        <v>Metering Services</v>
      </c>
      <c r="I20" s="55">
        <f>'Input|Forecast Data'!G20+SUMPRODUCT(--('Input|Customer Contributions'!$E$9:$E$21=$E20),'Input|Customer Contributions'!J$9:J$21)</f>
        <v>0</v>
      </c>
      <c r="J20" s="55">
        <f>'Input|Forecast Data'!H20+SUMPRODUCT(--('Input|Customer Contributions'!$E$9:$E$21=$E20),'Input|Customer Contributions'!K$9:K$21)</f>
        <v>0</v>
      </c>
      <c r="K20" s="55">
        <f>'Input|Forecast Data'!I20+SUMPRODUCT(--('Input|Customer Contributions'!$E$9:$E$21=$E20),'Input|Customer Contributions'!L$9:L$21)</f>
        <v>0</v>
      </c>
      <c r="L20" s="55">
        <f>'Input|Forecast Data'!J20+SUMPRODUCT(--('Input|Customer Contributions'!$E$9:$E$21=$E20),'Input|Customer Contributions'!M$9:M$21)</f>
        <v>0</v>
      </c>
      <c r="M20" s="142">
        <f>'Input|Forecast Data'!K20</f>
        <v>0</v>
      </c>
      <c r="N20" s="142">
        <f>'Input|Forecast Data'!L20</f>
        <v>0</v>
      </c>
      <c r="O20" s="142">
        <f>'Input|Forecast Data'!M20</f>
        <v>0</v>
      </c>
      <c r="P20" s="142">
        <f>'Input|Forecast Data'!N20</f>
        <v>0</v>
      </c>
      <c r="Q20" s="142">
        <f>'Input|Forecast Data'!O20</f>
        <v>0</v>
      </c>
      <c r="R20" s="142">
        <f>'Input|Forecast Data'!P20</f>
        <v>0</v>
      </c>
      <c r="S20" s="142">
        <f>'Input|Forecast Data'!Q20</f>
        <v>0</v>
      </c>
      <c r="T20" s="7"/>
      <c r="U20" s="7"/>
    </row>
    <row r="21" spans="1:21" hidden="1" x14ac:dyDescent="0.2">
      <c r="A21" s="7"/>
      <c r="B21" s="7"/>
      <c r="C21" s="7"/>
      <c r="D21" s="7"/>
      <c r="E21" s="39">
        <v>114</v>
      </c>
      <c r="F21" s="39" t="s">
        <v>2226</v>
      </c>
      <c r="G21" s="39" t="s">
        <v>2299</v>
      </c>
      <c r="H21" s="149" t="s">
        <v>28</v>
      </c>
      <c r="I21" s="55">
        <f>'Input|Forecast Data'!G21+SUMPRODUCT(--('Input|Customer Contributions'!$E$9:$E$21=$E21),'Input|Customer Contributions'!J$9:J$21)</f>
        <v>273.04369999999994</v>
      </c>
      <c r="J21" s="55">
        <f>'Input|Forecast Data'!H21+SUMPRODUCT(--('Input|Customer Contributions'!$E$9:$E$21=$E21),'Input|Customer Contributions'!K$9:K$21)</f>
        <v>0</v>
      </c>
      <c r="K21" s="55">
        <f>'Input|Forecast Data'!I21+SUMPRODUCT(--('Input|Customer Contributions'!$E$9:$E$21=$E21),'Input|Customer Contributions'!L$9:L$21)</f>
        <v>0</v>
      </c>
      <c r="L21" s="55">
        <f>'Input|Forecast Data'!J21+SUMPRODUCT(--('Input|Customer Contributions'!$E$9:$E$21=$E21),'Input|Customer Contributions'!M$9:M$21)</f>
        <v>0</v>
      </c>
      <c r="M21" s="142">
        <f>'Input|Forecast Data'!K21</f>
        <v>0</v>
      </c>
      <c r="N21" s="142">
        <f>'Input|Forecast Data'!L21</f>
        <v>0</v>
      </c>
      <c r="O21" s="142">
        <f>'Input|Forecast Data'!M21</f>
        <v>0</v>
      </c>
      <c r="P21" s="142">
        <f>'Input|Forecast Data'!N21</f>
        <v>0</v>
      </c>
      <c r="Q21" s="142">
        <f>'Input|Forecast Data'!O21</f>
        <v>0</v>
      </c>
      <c r="R21" s="142">
        <f>'Input|Forecast Data'!P21</f>
        <v>0</v>
      </c>
      <c r="S21" s="142">
        <f>'Input|Forecast Data'!Q21</f>
        <v>0</v>
      </c>
      <c r="T21" s="7"/>
      <c r="U21" s="7"/>
    </row>
    <row r="22" spans="1:21" hidden="1" x14ac:dyDescent="0.2">
      <c r="A22" s="7"/>
      <c r="B22" s="7"/>
      <c r="C22" s="7"/>
      <c r="D22" s="7"/>
      <c r="E22" s="39">
        <v>115</v>
      </c>
      <c r="F22" s="39" t="s">
        <v>2227</v>
      </c>
      <c r="G22" s="39" t="s">
        <v>2299</v>
      </c>
      <c r="H22" s="149" t="s">
        <v>28</v>
      </c>
      <c r="I22" s="55">
        <f>'Input|Forecast Data'!G22+SUMPRODUCT(--('Input|Customer Contributions'!$E$9:$E$21=$E22),'Input|Customer Contributions'!J$9:J$21)</f>
        <v>2014.0708999999999</v>
      </c>
      <c r="J22" s="55">
        <f>'Input|Forecast Data'!H22+SUMPRODUCT(--('Input|Customer Contributions'!$E$9:$E$21=$E22),'Input|Customer Contributions'!K$9:K$21)</f>
        <v>0</v>
      </c>
      <c r="K22" s="55">
        <f>'Input|Forecast Data'!I22+SUMPRODUCT(--('Input|Customer Contributions'!$E$9:$E$21=$E22),'Input|Customer Contributions'!L$9:L$21)</f>
        <v>0</v>
      </c>
      <c r="L22" s="55">
        <f>'Input|Forecast Data'!J22+SUMPRODUCT(--('Input|Customer Contributions'!$E$9:$E$21=$E22),'Input|Customer Contributions'!M$9:M$21)</f>
        <v>0</v>
      </c>
      <c r="M22" s="142">
        <f>'Input|Forecast Data'!K22</f>
        <v>0</v>
      </c>
      <c r="N22" s="142">
        <f>'Input|Forecast Data'!L22</f>
        <v>0</v>
      </c>
      <c r="O22" s="142">
        <f>'Input|Forecast Data'!M22</f>
        <v>0</v>
      </c>
      <c r="P22" s="142">
        <f>'Input|Forecast Data'!N22</f>
        <v>0</v>
      </c>
      <c r="Q22" s="142">
        <f>'Input|Forecast Data'!O22</f>
        <v>0</v>
      </c>
      <c r="R22" s="142">
        <f>'Input|Forecast Data'!P22</f>
        <v>0</v>
      </c>
      <c r="S22" s="142">
        <f>'Input|Forecast Data'!Q22</f>
        <v>0</v>
      </c>
      <c r="T22" s="7"/>
      <c r="U22" s="7"/>
    </row>
    <row r="23" spans="1:21" hidden="1" x14ac:dyDescent="0.2">
      <c r="A23" s="7"/>
      <c r="B23" s="7"/>
      <c r="C23" s="7"/>
      <c r="D23" s="7"/>
      <c r="E23" s="39">
        <v>116</v>
      </c>
      <c r="F23" s="39" t="s">
        <v>2228</v>
      </c>
      <c r="G23" s="39" t="str">
        <f>VLOOKUP(E23,Mapping!$E$11:$G$96,3,0)</f>
        <v>Connections</v>
      </c>
      <c r="H23" s="149" t="str">
        <f>VLOOKUP(E23,Mapping!$E$11:$K$96,7,0)</f>
        <v>SCS</v>
      </c>
      <c r="I23" s="55">
        <f>'Input|Forecast Data'!G23+SUMPRODUCT(--('Input|Customer Contributions'!$E$9:$E$21=$E23),'Input|Customer Contributions'!J$9:J$21)</f>
        <v>12413.888309999997</v>
      </c>
      <c r="J23" s="55">
        <f>'Input|Forecast Data'!H23+SUMPRODUCT(--('Input|Customer Contributions'!$E$9:$E$21=$E23),'Input|Customer Contributions'!K$9:K$21)</f>
        <v>25795.758699999988</v>
      </c>
      <c r="K23" s="55">
        <f>'Input|Forecast Data'!I23+SUMPRODUCT(--('Input|Customer Contributions'!$E$9:$E$21=$E23),'Input|Customer Contributions'!L$9:L$21)</f>
        <v>23343.855219999987</v>
      </c>
      <c r="L23" s="55">
        <f>'Input|Forecast Data'!J23+SUMPRODUCT(--('Input|Customer Contributions'!$E$9:$E$21=$E23),'Input|Customer Contributions'!M$9:M$21)</f>
        <v>25572.117109999996</v>
      </c>
      <c r="M23" s="142">
        <f>'Input|Forecast Data'!K23</f>
        <v>23778.630561688118</v>
      </c>
      <c r="N23" s="142">
        <f>'Input|Forecast Data'!L23</f>
        <v>34146.458777759988</v>
      </c>
      <c r="O23" s="142">
        <f>'Input|Forecast Data'!M23</f>
        <v>23032.248364328738</v>
      </c>
      <c r="P23" s="142">
        <f>'Input|Forecast Data'!N23</f>
        <v>37195.538461352298</v>
      </c>
      <c r="Q23" s="142">
        <f>'Input|Forecast Data'!O23</f>
        <v>26869.597576667802</v>
      </c>
      <c r="R23" s="142">
        <f>'Input|Forecast Data'!P23</f>
        <v>27048.263058110198</v>
      </c>
      <c r="S23" s="142">
        <f>'Input|Forecast Data'!Q23</f>
        <v>27125.943702215587</v>
      </c>
      <c r="T23" s="7"/>
      <c r="U23" s="7"/>
    </row>
    <row r="24" spans="1:21" hidden="1" x14ac:dyDescent="0.2">
      <c r="A24" s="7"/>
      <c r="B24" s="7"/>
      <c r="C24" s="7"/>
      <c r="D24" s="7"/>
      <c r="E24" s="39">
        <v>118</v>
      </c>
      <c r="F24" s="39" t="s">
        <v>2229</v>
      </c>
      <c r="G24" s="39" t="str">
        <f>VLOOKUP(E24,Mapping!$E$11:$G$96,3,0)</f>
        <v>Connections</v>
      </c>
      <c r="H24" s="149" t="str">
        <f>VLOOKUP(E24,Mapping!$E$11:$K$96,7,0)</f>
        <v>SCS</v>
      </c>
      <c r="I24" s="55">
        <f>'Input|Forecast Data'!G24+SUMPRODUCT(--('Input|Customer Contributions'!$E$9:$E$21=$E24),'Input|Customer Contributions'!J$9:J$21)</f>
        <v>65.333929999999995</v>
      </c>
      <c r="J24" s="55">
        <f>'Input|Forecast Data'!H24+SUMPRODUCT(--('Input|Customer Contributions'!$E$9:$E$21=$E24),'Input|Customer Contributions'!K$9:K$21)</f>
        <v>21.381309999999996</v>
      </c>
      <c r="K24" s="55">
        <f>'Input|Forecast Data'!I24+SUMPRODUCT(--('Input|Customer Contributions'!$E$9:$E$21=$E24),'Input|Customer Contributions'!L$9:L$21)</f>
        <v>40.859830000000002</v>
      </c>
      <c r="L24" s="55">
        <f>'Input|Forecast Data'!J24+SUMPRODUCT(--('Input|Customer Contributions'!$E$9:$E$21=$E24),'Input|Customer Contributions'!M$9:M$21)</f>
        <v>8.8829499999999992</v>
      </c>
      <c r="M24" s="142">
        <f>'Input|Forecast Data'!K24</f>
        <v>5.7184396570512295</v>
      </c>
      <c r="N24" s="142">
        <f>'Input|Forecast Data'!L24</f>
        <v>7.4473236503452549</v>
      </c>
      <c r="O24" s="142">
        <f>'Input|Forecast Data'!M24</f>
        <v>17.07404786840943</v>
      </c>
      <c r="P24" s="142">
        <f>'Input|Forecast Data'!N24</f>
        <v>29.470219071095901</v>
      </c>
      <c r="Q24" s="142">
        <f>'Input|Forecast Data'!O24</f>
        <v>29.470219071095901</v>
      </c>
      <c r="R24" s="142">
        <f>'Input|Forecast Data'!P24</f>
        <v>29.470219071095901</v>
      </c>
      <c r="S24" s="142">
        <f>'Input|Forecast Data'!Q24</f>
        <v>29.470219071095901</v>
      </c>
      <c r="T24" s="7"/>
      <c r="U24" s="7"/>
    </row>
    <row r="25" spans="1:21" hidden="1" x14ac:dyDescent="0.2">
      <c r="A25" s="7"/>
      <c r="B25" s="7"/>
      <c r="C25" s="7"/>
      <c r="D25" s="7"/>
      <c r="E25" s="39">
        <v>119</v>
      </c>
      <c r="F25" s="39" t="s">
        <v>2230</v>
      </c>
      <c r="G25" s="39" t="str">
        <f>VLOOKUP(E25,Mapping!$E$11:$G$96,3,0)</f>
        <v>Negotiated Capex</v>
      </c>
      <c r="H25" s="149" t="str">
        <f>VLOOKUP(E25,Mapping!$E$11:$K$96,7,0)</f>
        <v>Negotiated Capex</v>
      </c>
      <c r="I25" s="55">
        <f>'Input|Forecast Data'!G25+SUMPRODUCT(--('Input|Customer Contributions'!$E$9:$E$21=$E25),'Input|Customer Contributions'!J$9:J$21)</f>
        <v>0</v>
      </c>
      <c r="J25" s="55">
        <f>'Input|Forecast Data'!H25+SUMPRODUCT(--('Input|Customer Contributions'!$E$9:$E$21=$E25),'Input|Customer Contributions'!K$9:K$21)</f>
        <v>0</v>
      </c>
      <c r="K25" s="55">
        <f>'Input|Forecast Data'!I25+SUMPRODUCT(--('Input|Customer Contributions'!$E$9:$E$21=$E25),'Input|Customer Contributions'!L$9:L$21)</f>
        <v>0</v>
      </c>
      <c r="L25" s="55">
        <f>'Input|Forecast Data'!J25+SUMPRODUCT(--('Input|Customer Contributions'!$E$9:$E$21=$E25),'Input|Customer Contributions'!M$9:M$21)</f>
        <v>0</v>
      </c>
      <c r="M25" s="142">
        <f>'Input|Forecast Data'!K25</f>
        <v>0</v>
      </c>
      <c r="N25" s="142">
        <f>'Input|Forecast Data'!L25</f>
        <v>0</v>
      </c>
      <c r="O25" s="142">
        <f>'Input|Forecast Data'!M25</f>
        <v>0</v>
      </c>
      <c r="P25" s="142">
        <f>'Input|Forecast Data'!N25</f>
        <v>0</v>
      </c>
      <c r="Q25" s="142">
        <f>'Input|Forecast Data'!O25</f>
        <v>0</v>
      </c>
      <c r="R25" s="142">
        <f>'Input|Forecast Data'!P25</f>
        <v>0</v>
      </c>
      <c r="S25" s="142">
        <f>'Input|Forecast Data'!Q25</f>
        <v>0</v>
      </c>
      <c r="T25" s="7"/>
      <c r="U25" s="7"/>
    </row>
    <row r="26" spans="1:21" hidden="1" x14ac:dyDescent="0.2">
      <c r="A26" s="7"/>
      <c r="B26" s="7"/>
      <c r="C26" s="7"/>
      <c r="D26" s="7"/>
      <c r="E26" s="39">
        <v>120</v>
      </c>
      <c r="F26" s="39" t="s">
        <v>2231</v>
      </c>
      <c r="G26" s="39" t="str">
        <f>VLOOKUP(E26,Mapping!$E$11:$G$96,3,0)</f>
        <v>Negotiated Capex</v>
      </c>
      <c r="H26" s="149" t="str">
        <f>VLOOKUP(E26,Mapping!$E$11:$K$96,7,0)</f>
        <v>Negotiated Capex</v>
      </c>
      <c r="I26" s="55">
        <f>'Input|Forecast Data'!G26+SUMPRODUCT(--('Input|Customer Contributions'!$E$9:$E$21=$E26),'Input|Customer Contributions'!J$9:J$21)</f>
        <v>0</v>
      </c>
      <c r="J26" s="55">
        <f>'Input|Forecast Data'!H26+SUMPRODUCT(--('Input|Customer Contributions'!$E$9:$E$21=$E26),'Input|Customer Contributions'!K$9:K$21)</f>
        <v>0</v>
      </c>
      <c r="K26" s="55">
        <f>'Input|Forecast Data'!I26+SUMPRODUCT(--('Input|Customer Contributions'!$E$9:$E$21=$E26),'Input|Customer Contributions'!L$9:L$21)</f>
        <v>0</v>
      </c>
      <c r="L26" s="55">
        <f>'Input|Forecast Data'!J26+SUMPRODUCT(--('Input|Customer Contributions'!$E$9:$E$21=$E26),'Input|Customer Contributions'!M$9:M$21)</f>
        <v>0</v>
      </c>
      <c r="M26" s="142">
        <f>'Input|Forecast Data'!K26</f>
        <v>0</v>
      </c>
      <c r="N26" s="142">
        <f>'Input|Forecast Data'!L26</f>
        <v>0</v>
      </c>
      <c r="O26" s="142">
        <f>'Input|Forecast Data'!M26</f>
        <v>0</v>
      </c>
      <c r="P26" s="142">
        <f>'Input|Forecast Data'!N26</f>
        <v>0</v>
      </c>
      <c r="Q26" s="142">
        <f>'Input|Forecast Data'!O26</f>
        <v>0</v>
      </c>
      <c r="R26" s="142">
        <f>'Input|Forecast Data'!P26</f>
        <v>0</v>
      </c>
      <c r="S26" s="142">
        <f>'Input|Forecast Data'!Q26</f>
        <v>0</v>
      </c>
      <c r="T26" s="7"/>
      <c r="U26" s="7"/>
    </row>
    <row r="27" spans="1:21" hidden="1" x14ac:dyDescent="0.2">
      <c r="A27" s="7"/>
      <c r="B27" s="7"/>
      <c r="C27" s="7"/>
      <c r="D27" s="7"/>
      <c r="E27" s="39">
        <v>121</v>
      </c>
      <c r="F27" s="39" t="s">
        <v>2232</v>
      </c>
      <c r="G27" s="39" t="str">
        <f>VLOOKUP(E27,Mapping!$E$11:$G$96,3,0)</f>
        <v>Connections</v>
      </c>
      <c r="H27" s="149" t="str">
        <f>VLOOKUP(E27,Mapping!$E$11:$K$96,7,0)</f>
        <v>SCS</v>
      </c>
      <c r="I27" s="55">
        <f>'Input|Forecast Data'!G27+SUMPRODUCT(--('Input|Customer Contributions'!$E$9:$E$21=$E27),'Input|Customer Contributions'!J$9:J$21)</f>
        <v>0</v>
      </c>
      <c r="J27" s="55">
        <f>'Input|Forecast Data'!H27+SUMPRODUCT(--('Input|Customer Contributions'!$E$9:$E$21=$E27),'Input|Customer Contributions'!K$9:K$21)</f>
        <v>18.751659999999998</v>
      </c>
      <c r="K27" s="55">
        <f>'Input|Forecast Data'!I27+SUMPRODUCT(--('Input|Customer Contributions'!$E$9:$E$21=$E27),'Input|Customer Contributions'!L$9:L$21)</f>
        <v>554.65237000000002</v>
      </c>
      <c r="L27" s="55">
        <f>'Input|Forecast Data'!J27+SUMPRODUCT(--('Input|Customer Contributions'!$E$9:$E$21=$E27),'Input|Customer Contributions'!M$9:M$21)</f>
        <v>10.46959</v>
      </c>
      <c r="M27" s="142">
        <f>'Input|Forecast Data'!K27</f>
        <v>-561.19158424975728</v>
      </c>
      <c r="N27" s="142">
        <f>'Input|Forecast Data'!L27</f>
        <v>0</v>
      </c>
      <c r="O27" s="142">
        <f>'Input|Forecast Data'!M27</f>
        <v>0</v>
      </c>
      <c r="P27" s="142">
        <f>'Input|Forecast Data'!N27</f>
        <v>0</v>
      </c>
      <c r="Q27" s="142">
        <f>'Input|Forecast Data'!O27</f>
        <v>0</v>
      </c>
      <c r="R27" s="142">
        <f>'Input|Forecast Data'!P27</f>
        <v>0</v>
      </c>
      <c r="S27" s="142">
        <f>'Input|Forecast Data'!Q27</f>
        <v>0</v>
      </c>
      <c r="T27" s="7"/>
      <c r="U27" s="7"/>
    </row>
    <row r="28" spans="1:21" hidden="1" x14ac:dyDescent="0.2">
      <c r="A28" s="7"/>
      <c r="B28" s="7"/>
      <c r="C28" s="7"/>
      <c r="D28" s="7"/>
      <c r="E28" s="39">
        <v>122</v>
      </c>
      <c r="F28" s="39" t="s">
        <v>2233</v>
      </c>
      <c r="G28" s="39" t="str">
        <f>VLOOKUP(E28,Mapping!$E$11:$G$96,3,0)</f>
        <v>Connections</v>
      </c>
      <c r="H28" s="149" t="str">
        <f>VLOOKUP(E28,Mapping!$E$11:$K$96,7,0)</f>
        <v>SCS</v>
      </c>
      <c r="I28" s="55">
        <f>'Input|Forecast Data'!G28+SUMPRODUCT(--('Input|Customer Contributions'!$E$9:$E$21=$E28),'Input|Customer Contributions'!J$9:J$21)</f>
        <v>0</v>
      </c>
      <c r="J28" s="55">
        <f>'Input|Forecast Data'!H28+SUMPRODUCT(--('Input|Customer Contributions'!$E$9:$E$21=$E28),'Input|Customer Contributions'!K$9:K$21)</f>
        <v>0</v>
      </c>
      <c r="K28" s="55">
        <f>'Input|Forecast Data'!I28+SUMPRODUCT(--('Input|Customer Contributions'!$E$9:$E$21=$E28),'Input|Customer Contributions'!L$9:L$21)</f>
        <v>0</v>
      </c>
      <c r="L28" s="55">
        <f>'Input|Forecast Data'!J28+SUMPRODUCT(--('Input|Customer Contributions'!$E$9:$E$21=$E28),'Input|Customer Contributions'!M$9:M$21)</f>
        <v>0</v>
      </c>
      <c r="M28" s="142">
        <f>'Input|Forecast Data'!K28</f>
        <v>0</v>
      </c>
      <c r="N28" s="142">
        <f>'Input|Forecast Data'!L28</f>
        <v>0</v>
      </c>
      <c r="O28" s="142">
        <f>'Input|Forecast Data'!M28</f>
        <v>0</v>
      </c>
      <c r="P28" s="142">
        <f>'Input|Forecast Data'!N28</f>
        <v>0</v>
      </c>
      <c r="Q28" s="142">
        <f>'Input|Forecast Data'!O28</f>
        <v>0</v>
      </c>
      <c r="R28" s="142">
        <f>'Input|Forecast Data'!P28</f>
        <v>0</v>
      </c>
      <c r="S28" s="142">
        <f>'Input|Forecast Data'!Q28</f>
        <v>0</v>
      </c>
      <c r="T28" s="7"/>
      <c r="U28" s="7"/>
    </row>
    <row r="29" spans="1:21" hidden="1" x14ac:dyDescent="0.2">
      <c r="A29" s="7"/>
      <c r="B29" s="7"/>
      <c r="C29" s="7"/>
      <c r="D29" s="7"/>
      <c r="E29" s="39">
        <v>123</v>
      </c>
      <c r="F29" s="39" t="s">
        <v>2234</v>
      </c>
      <c r="G29" s="39" t="str">
        <f>VLOOKUP(E29,Mapping!$E$11:$G$96,3,0)</f>
        <v>Metering Opex</v>
      </c>
      <c r="H29" s="149" t="str">
        <f>VLOOKUP(E29,Mapping!$E$11:$K$96,7,0)</f>
        <v>Connection Services</v>
      </c>
      <c r="I29" s="55">
        <f>'Input|Forecast Data'!G29+SUMPRODUCT(--('Input|Customer Contributions'!$E$9:$E$21=$E29),'Input|Customer Contributions'!J$9:J$21)</f>
        <v>0</v>
      </c>
      <c r="J29" s="55">
        <f>'Input|Forecast Data'!H29+SUMPRODUCT(--('Input|Customer Contributions'!$E$9:$E$21=$E29),'Input|Customer Contributions'!K$9:K$21)</f>
        <v>0</v>
      </c>
      <c r="K29" s="55">
        <f>'Input|Forecast Data'!I29+SUMPRODUCT(--('Input|Customer Contributions'!$E$9:$E$21=$E29),'Input|Customer Contributions'!L$9:L$21)</f>
        <v>0</v>
      </c>
      <c r="L29" s="55">
        <f>'Input|Forecast Data'!J29+SUMPRODUCT(--('Input|Customer Contributions'!$E$9:$E$21=$E29),'Input|Customer Contributions'!M$9:M$21)</f>
        <v>0</v>
      </c>
      <c r="M29" s="142">
        <f>'Input|Forecast Data'!K29</f>
        <v>0</v>
      </c>
      <c r="N29" s="142">
        <f>'Input|Forecast Data'!L29</f>
        <v>0</v>
      </c>
      <c r="O29" s="142">
        <f>'Input|Forecast Data'!M29</f>
        <v>0</v>
      </c>
      <c r="P29" s="142">
        <f>'Input|Forecast Data'!N29</f>
        <v>0</v>
      </c>
      <c r="Q29" s="142">
        <f>'Input|Forecast Data'!O29</f>
        <v>0</v>
      </c>
      <c r="R29" s="142">
        <f>'Input|Forecast Data'!P29</f>
        <v>0</v>
      </c>
      <c r="S29" s="142">
        <f>'Input|Forecast Data'!Q29</f>
        <v>0</v>
      </c>
      <c r="T29" s="7"/>
      <c r="U29" s="7"/>
    </row>
    <row r="30" spans="1:21" hidden="1" x14ac:dyDescent="0.2">
      <c r="A30" s="7"/>
      <c r="B30" s="7"/>
      <c r="C30" s="7"/>
      <c r="D30" s="7"/>
      <c r="E30" s="39">
        <v>124</v>
      </c>
      <c r="F30" s="39" t="s">
        <v>2235</v>
      </c>
      <c r="G30" s="39" t="str">
        <f>VLOOKUP(E30,Mapping!$E$11:$G$96,3,0)</f>
        <v>Metering Opex</v>
      </c>
      <c r="H30" s="149" t="str">
        <f>VLOOKUP(E30,Mapping!$E$11:$K$96,7,0)</f>
        <v>Connection Services</v>
      </c>
      <c r="I30" s="55">
        <f>'Input|Forecast Data'!G30+SUMPRODUCT(--('Input|Customer Contributions'!$E$9:$E$21=$E30),'Input|Customer Contributions'!J$9:J$21)</f>
        <v>0</v>
      </c>
      <c r="J30" s="55">
        <f>'Input|Forecast Data'!H30+SUMPRODUCT(--('Input|Customer Contributions'!$E$9:$E$21=$E30),'Input|Customer Contributions'!K$9:K$21)</f>
        <v>0</v>
      </c>
      <c r="K30" s="55">
        <f>'Input|Forecast Data'!I30+SUMPRODUCT(--('Input|Customer Contributions'!$E$9:$E$21=$E30),'Input|Customer Contributions'!L$9:L$21)</f>
        <v>0</v>
      </c>
      <c r="L30" s="55">
        <f>'Input|Forecast Data'!J30+SUMPRODUCT(--('Input|Customer Contributions'!$E$9:$E$21=$E30),'Input|Customer Contributions'!M$9:M$21)</f>
        <v>0</v>
      </c>
      <c r="M30" s="142">
        <f>'Input|Forecast Data'!K30</f>
        <v>0</v>
      </c>
      <c r="N30" s="142">
        <f>'Input|Forecast Data'!L30</f>
        <v>0</v>
      </c>
      <c r="O30" s="142">
        <f>'Input|Forecast Data'!M30</f>
        <v>0</v>
      </c>
      <c r="P30" s="142">
        <f>'Input|Forecast Data'!N30</f>
        <v>0</v>
      </c>
      <c r="Q30" s="142">
        <f>'Input|Forecast Data'!O30</f>
        <v>0</v>
      </c>
      <c r="R30" s="142">
        <f>'Input|Forecast Data'!P30</f>
        <v>0</v>
      </c>
      <c r="S30" s="142">
        <f>'Input|Forecast Data'!Q30</f>
        <v>0</v>
      </c>
      <c r="T30" s="7"/>
      <c r="U30" s="7"/>
    </row>
    <row r="31" spans="1:21" hidden="1" x14ac:dyDescent="0.2">
      <c r="A31" s="7"/>
      <c r="B31" s="7"/>
      <c r="C31" s="7"/>
      <c r="D31" s="7"/>
      <c r="E31" s="39">
        <v>125</v>
      </c>
      <c r="F31" s="39" t="s">
        <v>2236</v>
      </c>
      <c r="G31" s="39" t="str">
        <f>VLOOKUP(E31,Mapping!$E$11:$G$96,3,0)</f>
        <v>Metering Capex</v>
      </c>
      <c r="H31" s="149" t="str">
        <f>VLOOKUP(E31,Mapping!$E$11:$K$96,7,0)</f>
        <v>Metering Services</v>
      </c>
      <c r="I31" s="55">
        <f>'Input|Forecast Data'!G31+SUMPRODUCT(--('Input|Customer Contributions'!$E$9:$E$21=$E31),'Input|Customer Contributions'!J$9:J$21)</f>
        <v>0</v>
      </c>
      <c r="J31" s="55">
        <f>'Input|Forecast Data'!H31+SUMPRODUCT(--('Input|Customer Contributions'!$E$9:$E$21=$E31),'Input|Customer Contributions'!K$9:K$21)</f>
        <v>0</v>
      </c>
      <c r="K31" s="55">
        <f>'Input|Forecast Data'!I31+SUMPRODUCT(--('Input|Customer Contributions'!$E$9:$E$21=$E31),'Input|Customer Contributions'!L$9:L$21)</f>
        <v>0</v>
      </c>
      <c r="L31" s="55">
        <f>'Input|Forecast Data'!J31+SUMPRODUCT(--('Input|Customer Contributions'!$E$9:$E$21=$E31),'Input|Customer Contributions'!M$9:M$21)</f>
        <v>0</v>
      </c>
      <c r="M31" s="142">
        <f>'Input|Forecast Data'!K31</f>
        <v>0</v>
      </c>
      <c r="N31" s="142">
        <f>'Input|Forecast Data'!L31</f>
        <v>0</v>
      </c>
      <c r="O31" s="142">
        <f>'Input|Forecast Data'!M31</f>
        <v>0</v>
      </c>
      <c r="P31" s="142">
        <f>'Input|Forecast Data'!N31</f>
        <v>0</v>
      </c>
      <c r="Q31" s="142">
        <f>'Input|Forecast Data'!O31</f>
        <v>0</v>
      </c>
      <c r="R31" s="142">
        <f>'Input|Forecast Data'!P31</f>
        <v>0</v>
      </c>
      <c r="S31" s="142">
        <f>'Input|Forecast Data'!Q31</f>
        <v>0</v>
      </c>
      <c r="T31" s="7"/>
      <c r="U31" s="7"/>
    </row>
    <row r="32" spans="1:21" hidden="1" x14ac:dyDescent="0.2">
      <c r="A32" s="7"/>
      <c r="B32" s="7"/>
      <c r="C32" s="7"/>
      <c r="D32" s="7"/>
      <c r="E32" s="39">
        <v>126</v>
      </c>
      <c r="F32" s="39" t="s">
        <v>2237</v>
      </c>
      <c r="G32" s="39" t="str">
        <f>VLOOKUP(E32,Mapping!$E$11:$G$96,3,0)</f>
        <v>Metering Opex</v>
      </c>
      <c r="H32" s="149" t="str">
        <f>VLOOKUP(E32,Mapping!$E$11:$K$96,7,0)</f>
        <v>Connection Services</v>
      </c>
      <c r="I32" s="55">
        <f>'Input|Forecast Data'!G32+SUMPRODUCT(--('Input|Customer Contributions'!$E$9:$E$21=$E32),'Input|Customer Contributions'!J$9:J$21)</f>
        <v>0</v>
      </c>
      <c r="J32" s="55">
        <f>'Input|Forecast Data'!H32+SUMPRODUCT(--('Input|Customer Contributions'!$E$9:$E$21=$E32),'Input|Customer Contributions'!K$9:K$21)</f>
        <v>0</v>
      </c>
      <c r="K32" s="55">
        <f>'Input|Forecast Data'!I32+SUMPRODUCT(--('Input|Customer Contributions'!$E$9:$E$21=$E32),'Input|Customer Contributions'!L$9:L$21)</f>
        <v>0</v>
      </c>
      <c r="L32" s="55">
        <f>'Input|Forecast Data'!J32+SUMPRODUCT(--('Input|Customer Contributions'!$E$9:$E$21=$E32),'Input|Customer Contributions'!M$9:M$21)</f>
        <v>0</v>
      </c>
      <c r="M32" s="142">
        <f>'Input|Forecast Data'!K32</f>
        <v>0</v>
      </c>
      <c r="N32" s="142">
        <f>'Input|Forecast Data'!L32</f>
        <v>0</v>
      </c>
      <c r="O32" s="142">
        <f>'Input|Forecast Data'!M32</f>
        <v>0</v>
      </c>
      <c r="P32" s="142">
        <f>'Input|Forecast Data'!N32</f>
        <v>0</v>
      </c>
      <c r="Q32" s="142">
        <f>'Input|Forecast Data'!O32</f>
        <v>0</v>
      </c>
      <c r="R32" s="142">
        <f>'Input|Forecast Data'!P32</f>
        <v>0</v>
      </c>
      <c r="S32" s="142">
        <f>'Input|Forecast Data'!Q32</f>
        <v>0</v>
      </c>
      <c r="T32" s="7"/>
      <c r="U32" s="7"/>
    </row>
    <row r="33" spans="1:21" hidden="1" x14ac:dyDescent="0.2">
      <c r="A33" s="7"/>
      <c r="B33" s="7"/>
      <c r="C33" s="7"/>
      <c r="D33" s="7"/>
      <c r="E33" s="39">
        <v>130</v>
      </c>
      <c r="F33" s="39" t="s">
        <v>2238</v>
      </c>
      <c r="G33" s="39" t="str">
        <f>VLOOKUP(E33,Mapping!$E$11:$G$96,3,0)</f>
        <v>Fee Based Opex</v>
      </c>
      <c r="H33" s="149" t="str">
        <f>VLOOKUP(E33,Mapping!$E$11:$K$96,7,0)</f>
        <v>Ancillary Network Services</v>
      </c>
      <c r="I33" s="55">
        <f>'Input|Forecast Data'!G33+SUMPRODUCT(--('Input|Customer Contributions'!$E$9:$E$21=$E33),'Input|Customer Contributions'!J$9:J$21)</f>
        <v>0</v>
      </c>
      <c r="J33" s="55">
        <f>'Input|Forecast Data'!H33+SUMPRODUCT(--('Input|Customer Contributions'!$E$9:$E$21=$E33),'Input|Customer Contributions'!K$9:K$21)</f>
        <v>0</v>
      </c>
      <c r="K33" s="55">
        <f>'Input|Forecast Data'!I33+SUMPRODUCT(--('Input|Customer Contributions'!$E$9:$E$21=$E33),'Input|Customer Contributions'!L$9:L$21)</f>
        <v>0</v>
      </c>
      <c r="L33" s="55">
        <f>'Input|Forecast Data'!J33+SUMPRODUCT(--('Input|Customer Contributions'!$E$9:$E$21=$E33),'Input|Customer Contributions'!M$9:M$21)</f>
        <v>0</v>
      </c>
      <c r="M33" s="142">
        <f>'Input|Forecast Data'!K33</f>
        <v>0</v>
      </c>
      <c r="N33" s="142">
        <f>'Input|Forecast Data'!L33</f>
        <v>0</v>
      </c>
      <c r="O33" s="142">
        <f>'Input|Forecast Data'!M33</f>
        <v>0</v>
      </c>
      <c r="P33" s="142">
        <f>'Input|Forecast Data'!N33</f>
        <v>0</v>
      </c>
      <c r="Q33" s="142">
        <f>'Input|Forecast Data'!O33</f>
        <v>0</v>
      </c>
      <c r="R33" s="142">
        <f>'Input|Forecast Data'!P33</f>
        <v>0</v>
      </c>
      <c r="S33" s="142">
        <f>'Input|Forecast Data'!Q33</f>
        <v>0</v>
      </c>
      <c r="T33" s="7"/>
      <c r="U33" s="7"/>
    </row>
    <row r="34" spans="1:21" hidden="1" x14ac:dyDescent="0.2">
      <c r="A34" s="7"/>
      <c r="B34" s="7"/>
      <c r="C34" s="7"/>
      <c r="D34" s="7"/>
      <c r="E34" s="39">
        <v>131</v>
      </c>
      <c r="F34" s="39" t="s">
        <v>2239</v>
      </c>
      <c r="G34" s="39" t="str">
        <f>VLOOKUP(E34,Mapping!$E$11:$G$96,3,0)</f>
        <v>Replacement</v>
      </c>
      <c r="H34" s="149" t="str">
        <f>VLOOKUP(E34,Mapping!$E$11:$K$96,7,0)</f>
        <v>SCS</v>
      </c>
      <c r="I34" s="55">
        <f>'Input|Forecast Data'!G34+SUMPRODUCT(--('Input|Customer Contributions'!$E$9:$E$21=$E34),'Input|Customer Contributions'!J$9:J$21)</f>
        <v>3209.2826800000003</v>
      </c>
      <c r="J34" s="55">
        <f>'Input|Forecast Data'!H34+SUMPRODUCT(--('Input|Customer Contributions'!$E$9:$E$21=$E34),'Input|Customer Contributions'!K$9:K$21)</f>
        <v>4883.8012400000016</v>
      </c>
      <c r="K34" s="55">
        <f>'Input|Forecast Data'!I34+SUMPRODUCT(--('Input|Customer Contributions'!$E$9:$E$21=$E34),'Input|Customer Contributions'!L$9:L$21)</f>
        <v>4460.6827700000003</v>
      </c>
      <c r="L34" s="55">
        <f>'Input|Forecast Data'!J34+SUMPRODUCT(--('Input|Customer Contributions'!$E$9:$E$21=$E34),'Input|Customer Contributions'!M$9:M$21)</f>
        <v>3004.6051466049935</v>
      </c>
      <c r="M34" s="142">
        <f>'Input|Forecast Data'!K34</f>
        <v>3589.672577359534</v>
      </c>
      <c r="N34" s="142">
        <f>'Input|Forecast Data'!L34</f>
        <v>5690.8708982572298</v>
      </c>
      <c r="O34" s="142">
        <f>'Input|Forecast Data'!M34</f>
        <v>0</v>
      </c>
      <c r="P34" s="142">
        <f>'Input|Forecast Data'!N34</f>
        <v>0</v>
      </c>
      <c r="Q34" s="142">
        <f>'Input|Forecast Data'!O34</f>
        <v>0</v>
      </c>
      <c r="R34" s="142">
        <f>'Input|Forecast Data'!P34</f>
        <v>0</v>
      </c>
      <c r="S34" s="142">
        <f>'Input|Forecast Data'!Q34</f>
        <v>0</v>
      </c>
      <c r="T34" s="7"/>
      <c r="U34" s="7"/>
    </row>
    <row r="35" spans="1:21" hidden="1" x14ac:dyDescent="0.2">
      <c r="A35" s="7"/>
      <c r="B35" s="7"/>
      <c r="C35" s="7"/>
      <c r="D35" s="7"/>
      <c r="E35" s="39">
        <v>132</v>
      </c>
      <c r="F35" s="39" t="s">
        <v>2240</v>
      </c>
      <c r="G35" s="39" t="str">
        <f>VLOOKUP(E35,Mapping!$E$11:$G$96,3,0)</f>
        <v>Metering Capex</v>
      </c>
      <c r="H35" s="149" t="str">
        <f>VLOOKUP(E35,Mapping!$E$11:$K$96,7,0)</f>
        <v>Metering Services</v>
      </c>
      <c r="I35" s="55">
        <f>'Input|Forecast Data'!G35+SUMPRODUCT(--('Input|Customer Contributions'!$E$9:$E$21=$E35),'Input|Customer Contributions'!J$9:J$21)</f>
        <v>0</v>
      </c>
      <c r="J35" s="55">
        <f>'Input|Forecast Data'!H35+SUMPRODUCT(--('Input|Customer Contributions'!$E$9:$E$21=$E35),'Input|Customer Contributions'!K$9:K$21)</f>
        <v>0</v>
      </c>
      <c r="K35" s="55">
        <f>'Input|Forecast Data'!I35+SUMPRODUCT(--('Input|Customer Contributions'!$E$9:$E$21=$E35),'Input|Customer Contributions'!L$9:L$21)</f>
        <v>0</v>
      </c>
      <c r="L35" s="55">
        <f>'Input|Forecast Data'!J35+SUMPRODUCT(--('Input|Customer Contributions'!$E$9:$E$21=$E35),'Input|Customer Contributions'!M$9:M$21)</f>
        <v>0</v>
      </c>
      <c r="M35" s="142">
        <f>'Input|Forecast Data'!K35</f>
        <v>0</v>
      </c>
      <c r="N35" s="142">
        <f>'Input|Forecast Data'!L35</f>
        <v>0</v>
      </c>
      <c r="O35" s="142">
        <f>'Input|Forecast Data'!M35</f>
        <v>0</v>
      </c>
      <c r="P35" s="142">
        <f>'Input|Forecast Data'!N35</f>
        <v>0</v>
      </c>
      <c r="Q35" s="142">
        <f>'Input|Forecast Data'!O35</f>
        <v>0</v>
      </c>
      <c r="R35" s="142">
        <f>'Input|Forecast Data'!P35</f>
        <v>0</v>
      </c>
      <c r="S35" s="142">
        <f>'Input|Forecast Data'!Q35</f>
        <v>0</v>
      </c>
      <c r="T35" s="7"/>
      <c r="U35" s="7"/>
    </row>
    <row r="36" spans="1:21" hidden="1" x14ac:dyDescent="0.2">
      <c r="A36" s="7"/>
      <c r="B36" s="7"/>
      <c r="C36" s="7"/>
      <c r="D36" s="7"/>
      <c r="E36" s="39">
        <v>133</v>
      </c>
      <c r="F36" s="39" t="s">
        <v>2241</v>
      </c>
      <c r="G36" s="39" t="str">
        <f>VLOOKUP(E36,Mapping!$E$11:$G$96,3,0)</f>
        <v>Metering Capex</v>
      </c>
      <c r="H36" s="149" t="str">
        <f>VLOOKUP(E36,Mapping!$E$11:$K$96,7,0)</f>
        <v>Metering Services</v>
      </c>
      <c r="I36" s="55">
        <f>'Input|Forecast Data'!G36+SUMPRODUCT(--('Input|Customer Contributions'!$E$9:$E$21=$E36),'Input|Customer Contributions'!J$9:J$21)</f>
        <v>0</v>
      </c>
      <c r="J36" s="55">
        <f>'Input|Forecast Data'!H36+SUMPRODUCT(--('Input|Customer Contributions'!$E$9:$E$21=$E36),'Input|Customer Contributions'!K$9:K$21)</f>
        <v>0</v>
      </c>
      <c r="K36" s="55">
        <f>'Input|Forecast Data'!I36+SUMPRODUCT(--('Input|Customer Contributions'!$E$9:$E$21=$E36),'Input|Customer Contributions'!L$9:L$21)</f>
        <v>0</v>
      </c>
      <c r="L36" s="55">
        <f>'Input|Forecast Data'!J36+SUMPRODUCT(--('Input|Customer Contributions'!$E$9:$E$21=$E36),'Input|Customer Contributions'!M$9:M$21)</f>
        <v>0</v>
      </c>
      <c r="M36" s="142">
        <f>'Input|Forecast Data'!K36</f>
        <v>0</v>
      </c>
      <c r="N36" s="142">
        <f>'Input|Forecast Data'!L36</f>
        <v>0</v>
      </c>
      <c r="O36" s="142">
        <f>'Input|Forecast Data'!M36</f>
        <v>0</v>
      </c>
      <c r="P36" s="142">
        <f>'Input|Forecast Data'!N36</f>
        <v>0</v>
      </c>
      <c r="Q36" s="142">
        <f>'Input|Forecast Data'!O36</f>
        <v>0</v>
      </c>
      <c r="R36" s="142">
        <f>'Input|Forecast Data'!P36</f>
        <v>0</v>
      </c>
      <c r="S36" s="142">
        <f>'Input|Forecast Data'!Q36</f>
        <v>0</v>
      </c>
      <c r="T36" s="7"/>
      <c r="U36" s="7"/>
    </row>
    <row r="37" spans="1:21" hidden="1" x14ac:dyDescent="0.2">
      <c r="A37" s="7"/>
      <c r="B37" s="7"/>
      <c r="C37" s="7"/>
      <c r="D37" s="7"/>
      <c r="E37" s="39">
        <v>134</v>
      </c>
      <c r="F37" s="39" t="s">
        <v>2242</v>
      </c>
      <c r="G37" s="39" t="str">
        <f>VLOOKUP(E37,Mapping!$E$11:$G$96,3,0)</f>
        <v>Metering Capex</v>
      </c>
      <c r="H37" s="149" t="str">
        <f>VLOOKUP(E37,Mapping!$E$11:$K$96,7,0)</f>
        <v>Metering Services</v>
      </c>
      <c r="I37" s="55">
        <f>'Input|Forecast Data'!G37+SUMPRODUCT(--('Input|Customer Contributions'!$E$9:$E$21=$E37),'Input|Customer Contributions'!J$9:J$21)</f>
        <v>0</v>
      </c>
      <c r="J37" s="55">
        <f>'Input|Forecast Data'!H37+SUMPRODUCT(--('Input|Customer Contributions'!$E$9:$E$21=$E37),'Input|Customer Contributions'!K$9:K$21)</f>
        <v>0</v>
      </c>
      <c r="K37" s="55">
        <f>'Input|Forecast Data'!I37+SUMPRODUCT(--('Input|Customer Contributions'!$E$9:$E$21=$E37),'Input|Customer Contributions'!L$9:L$21)</f>
        <v>0</v>
      </c>
      <c r="L37" s="55">
        <f>'Input|Forecast Data'!J37+SUMPRODUCT(--('Input|Customer Contributions'!$E$9:$E$21=$E37),'Input|Customer Contributions'!M$9:M$21)</f>
        <v>0</v>
      </c>
      <c r="M37" s="142">
        <f>'Input|Forecast Data'!K37</f>
        <v>0</v>
      </c>
      <c r="N37" s="142">
        <f>'Input|Forecast Data'!L37</f>
        <v>0</v>
      </c>
      <c r="O37" s="142">
        <f>'Input|Forecast Data'!M37</f>
        <v>0</v>
      </c>
      <c r="P37" s="142">
        <f>'Input|Forecast Data'!N37</f>
        <v>0</v>
      </c>
      <c r="Q37" s="142">
        <f>'Input|Forecast Data'!O37</f>
        <v>0</v>
      </c>
      <c r="R37" s="142">
        <f>'Input|Forecast Data'!P37</f>
        <v>0</v>
      </c>
      <c r="S37" s="142">
        <f>'Input|Forecast Data'!Q37</f>
        <v>0</v>
      </c>
      <c r="T37" s="7"/>
      <c r="U37" s="7"/>
    </row>
    <row r="38" spans="1:21" hidden="1" x14ac:dyDescent="0.2">
      <c r="A38" s="7"/>
      <c r="B38" s="7"/>
      <c r="C38" s="7"/>
      <c r="D38" s="7"/>
      <c r="E38" s="39">
        <v>135</v>
      </c>
      <c r="F38" s="39" t="s">
        <v>2243</v>
      </c>
      <c r="G38" s="39" t="str">
        <f>VLOOKUP(E38,Mapping!$E$11:$G$96,3,0)</f>
        <v>Metering Capex</v>
      </c>
      <c r="H38" s="149" t="str">
        <f>VLOOKUP(E38,Mapping!$E$11:$K$96,7,0)</f>
        <v>Metering Services</v>
      </c>
      <c r="I38" s="55">
        <f>'Input|Forecast Data'!G38+SUMPRODUCT(--('Input|Customer Contributions'!$E$9:$E$21=$E38),'Input|Customer Contributions'!J$9:J$21)</f>
        <v>0</v>
      </c>
      <c r="J38" s="55">
        <f>'Input|Forecast Data'!H38+SUMPRODUCT(--('Input|Customer Contributions'!$E$9:$E$21=$E38),'Input|Customer Contributions'!K$9:K$21)</f>
        <v>0</v>
      </c>
      <c r="K38" s="55">
        <f>'Input|Forecast Data'!I38+SUMPRODUCT(--('Input|Customer Contributions'!$E$9:$E$21=$E38),'Input|Customer Contributions'!L$9:L$21)</f>
        <v>0</v>
      </c>
      <c r="L38" s="55">
        <f>'Input|Forecast Data'!J38+SUMPRODUCT(--('Input|Customer Contributions'!$E$9:$E$21=$E38),'Input|Customer Contributions'!M$9:M$21)</f>
        <v>0</v>
      </c>
      <c r="M38" s="142">
        <f>'Input|Forecast Data'!K38</f>
        <v>0</v>
      </c>
      <c r="N38" s="142">
        <f>'Input|Forecast Data'!L38</f>
        <v>0</v>
      </c>
      <c r="O38" s="142">
        <f>'Input|Forecast Data'!M38</f>
        <v>0</v>
      </c>
      <c r="P38" s="142">
        <f>'Input|Forecast Data'!N38</f>
        <v>0</v>
      </c>
      <c r="Q38" s="142">
        <f>'Input|Forecast Data'!O38</f>
        <v>0</v>
      </c>
      <c r="R38" s="142">
        <f>'Input|Forecast Data'!P38</f>
        <v>0</v>
      </c>
      <c r="S38" s="142">
        <f>'Input|Forecast Data'!Q38</f>
        <v>0</v>
      </c>
      <c r="T38" s="7"/>
      <c r="U38" s="7"/>
    </row>
    <row r="39" spans="1:21" hidden="1" x14ac:dyDescent="0.2">
      <c r="A39" s="7"/>
      <c r="B39" s="7"/>
      <c r="C39" s="7"/>
      <c r="D39" s="7"/>
      <c r="E39" s="39">
        <v>136</v>
      </c>
      <c r="F39" s="39" t="s">
        <v>2244</v>
      </c>
      <c r="G39" s="39" t="str">
        <f>VLOOKUP(E39,Mapping!$E$11:$G$96,3,0)</f>
        <v>Metering Capex</v>
      </c>
      <c r="H39" s="149" t="str">
        <f>VLOOKUP(E39,Mapping!$E$11:$K$96,7,0)</f>
        <v>Metering Services</v>
      </c>
      <c r="I39" s="55">
        <f>'Input|Forecast Data'!G39+SUMPRODUCT(--('Input|Customer Contributions'!$E$9:$E$21=$E39),'Input|Customer Contributions'!J$9:J$21)</f>
        <v>0</v>
      </c>
      <c r="J39" s="55">
        <f>'Input|Forecast Data'!H39+SUMPRODUCT(--('Input|Customer Contributions'!$E$9:$E$21=$E39),'Input|Customer Contributions'!K$9:K$21)</f>
        <v>0</v>
      </c>
      <c r="K39" s="55">
        <f>'Input|Forecast Data'!I39+SUMPRODUCT(--('Input|Customer Contributions'!$E$9:$E$21=$E39),'Input|Customer Contributions'!L$9:L$21)</f>
        <v>0</v>
      </c>
      <c r="L39" s="55">
        <f>'Input|Forecast Data'!J39+SUMPRODUCT(--('Input|Customer Contributions'!$E$9:$E$21=$E39),'Input|Customer Contributions'!M$9:M$21)</f>
        <v>0</v>
      </c>
      <c r="M39" s="142">
        <f>'Input|Forecast Data'!K39</f>
        <v>0</v>
      </c>
      <c r="N39" s="142">
        <f>'Input|Forecast Data'!L39</f>
        <v>0</v>
      </c>
      <c r="O39" s="142">
        <f>'Input|Forecast Data'!M39</f>
        <v>0</v>
      </c>
      <c r="P39" s="142">
        <f>'Input|Forecast Data'!N39</f>
        <v>0</v>
      </c>
      <c r="Q39" s="142">
        <f>'Input|Forecast Data'!O39</f>
        <v>0</v>
      </c>
      <c r="R39" s="142">
        <f>'Input|Forecast Data'!P39</f>
        <v>0</v>
      </c>
      <c r="S39" s="142">
        <f>'Input|Forecast Data'!Q39</f>
        <v>0</v>
      </c>
      <c r="T39" s="7"/>
      <c r="U39" s="7"/>
    </row>
    <row r="40" spans="1:21" hidden="1" x14ac:dyDescent="0.2">
      <c r="A40" s="7"/>
      <c r="B40" s="7"/>
      <c r="C40" s="7"/>
      <c r="D40" s="7"/>
      <c r="E40" s="39">
        <v>137</v>
      </c>
      <c r="F40" s="39" t="s">
        <v>2245</v>
      </c>
      <c r="G40" s="39" t="str">
        <f>VLOOKUP(E40,Mapping!$E$11:$G$96,3,0)</f>
        <v>Metering Capex</v>
      </c>
      <c r="H40" s="149" t="str">
        <f>VLOOKUP(E40,Mapping!$E$11:$K$96,7,0)</f>
        <v>Metering Services</v>
      </c>
      <c r="I40" s="55">
        <f>'Input|Forecast Data'!G40+SUMPRODUCT(--('Input|Customer Contributions'!$E$9:$E$21=$E40),'Input|Customer Contributions'!J$9:J$21)</f>
        <v>0</v>
      </c>
      <c r="J40" s="55">
        <f>'Input|Forecast Data'!H40+SUMPRODUCT(--('Input|Customer Contributions'!$E$9:$E$21=$E40),'Input|Customer Contributions'!K$9:K$21)</f>
        <v>0</v>
      </c>
      <c r="K40" s="55">
        <f>'Input|Forecast Data'!I40+SUMPRODUCT(--('Input|Customer Contributions'!$E$9:$E$21=$E40),'Input|Customer Contributions'!L$9:L$21)</f>
        <v>0</v>
      </c>
      <c r="L40" s="55">
        <f>'Input|Forecast Data'!J40+SUMPRODUCT(--('Input|Customer Contributions'!$E$9:$E$21=$E40),'Input|Customer Contributions'!M$9:M$21)</f>
        <v>0</v>
      </c>
      <c r="M40" s="142">
        <f>'Input|Forecast Data'!K40</f>
        <v>0</v>
      </c>
      <c r="N40" s="142">
        <f>'Input|Forecast Data'!L40</f>
        <v>0</v>
      </c>
      <c r="O40" s="142">
        <f>'Input|Forecast Data'!M40</f>
        <v>0</v>
      </c>
      <c r="P40" s="142">
        <f>'Input|Forecast Data'!N40</f>
        <v>0</v>
      </c>
      <c r="Q40" s="142">
        <f>'Input|Forecast Data'!O40</f>
        <v>0</v>
      </c>
      <c r="R40" s="142">
        <f>'Input|Forecast Data'!P40</f>
        <v>0</v>
      </c>
      <c r="S40" s="142">
        <f>'Input|Forecast Data'!Q40</f>
        <v>0</v>
      </c>
      <c r="T40" s="7"/>
      <c r="U40" s="7"/>
    </row>
    <row r="41" spans="1:21" hidden="1" x14ac:dyDescent="0.2">
      <c r="A41" s="7"/>
      <c r="B41" s="7"/>
      <c r="C41" s="7"/>
      <c r="D41" s="7"/>
      <c r="E41" s="39">
        <v>138</v>
      </c>
      <c r="F41" s="39" t="s">
        <v>2246</v>
      </c>
      <c r="G41" s="39" t="str">
        <f>VLOOKUP(E41,Mapping!$E$11:$G$96,3,0)</f>
        <v>Metering Capex</v>
      </c>
      <c r="H41" s="149" t="str">
        <f>VLOOKUP(E41,Mapping!$E$11:$K$96,7,0)</f>
        <v>Metering Services</v>
      </c>
      <c r="I41" s="55">
        <f>'Input|Forecast Data'!G41+SUMPRODUCT(--('Input|Customer Contributions'!$E$9:$E$21=$E41),'Input|Customer Contributions'!J$9:J$21)</f>
        <v>0</v>
      </c>
      <c r="J41" s="55">
        <f>'Input|Forecast Data'!H41+SUMPRODUCT(--('Input|Customer Contributions'!$E$9:$E$21=$E41),'Input|Customer Contributions'!K$9:K$21)</f>
        <v>0</v>
      </c>
      <c r="K41" s="55">
        <f>'Input|Forecast Data'!I41+SUMPRODUCT(--('Input|Customer Contributions'!$E$9:$E$21=$E41),'Input|Customer Contributions'!L$9:L$21)</f>
        <v>0</v>
      </c>
      <c r="L41" s="55">
        <f>'Input|Forecast Data'!J41+SUMPRODUCT(--('Input|Customer Contributions'!$E$9:$E$21=$E41),'Input|Customer Contributions'!M$9:M$21)</f>
        <v>0</v>
      </c>
      <c r="M41" s="142">
        <f>'Input|Forecast Data'!K41</f>
        <v>0</v>
      </c>
      <c r="N41" s="142">
        <f>'Input|Forecast Data'!L41</f>
        <v>0</v>
      </c>
      <c r="O41" s="142">
        <f>'Input|Forecast Data'!M41</f>
        <v>0</v>
      </c>
      <c r="P41" s="142">
        <f>'Input|Forecast Data'!N41</f>
        <v>0</v>
      </c>
      <c r="Q41" s="142">
        <f>'Input|Forecast Data'!O41</f>
        <v>0</v>
      </c>
      <c r="R41" s="142">
        <f>'Input|Forecast Data'!P41</f>
        <v>0</v>
      </c>
      <c r="S41" s="142">
        <f>'Input|Forecast Data'!Q41</f>
        <v>0</v>
      </c>
      <c r="T41" s="7"/>
      <c r="U41" s="7"/>
    </row>
    <row r="42" spans="1:21" hidden="1" x14ac:dyDescent="0.2">
      <c r="A42" s="7"/>
      <c r="B42" s="7"/>
      <c r="C42" s="7"/>
      <c r="D42" s="7"/>
      <c r="E42" s="39">
        <v>139</v>
      </c>
      <c r="F42" s="39" t="s">
        <v>2247</v>
      </c>
      <c r="G42" s="39" t="str">
        <f>VLOOKUP(E42,Mapping!$E$11:$G$96,3,0)</f>
        <v>Replacement</v>
      </c>
      <c r="H42" s="149" t="str">
        <f>VLOOKUP(E42,Mapping!$E$11:$K$96,7,0)</f>
        <v>SCS</v>
      </c>
      <c r="I42" s="55">
        <f>'Input|Forecast Data'!G42+SUMPRODUCT(--('Input|Customer Contributions'!$E$9:$E$21=$E42),'Input|Customer Contributions'!J$9:J$21)</f>
        <v>462.90568999999977</v>
      </c>
      <c r="J42" s="55">
        <f>'Input|Forecast Data'!H42+SUMPRODUCT(--('Input|Customer Contributions'!$E$9:$E$21=$E42),'Input|Customer Contributions'!K$9:K$21)</f>
        <v>37.071459999999995</v>
      </c>
      <c r="K42" s="55">
        <f>'Input|Forecast Data'!I42+SUMPRODUCT(--('Input|Customer Contributions'!$E$9:$E$21=$E42),'Input|Customer Contributions'!L$9:L$21)</f>
        <v>-2375.8502201834858</v>
      </c>
      <c r="L42" s="55">
        <f>'Input|Forecast Data'!J42+SUMPRODUCT(--('Input|Customer Contributions'!$E$9:$E$21=$E42),'Input|Customer Contributions'!M$9:M$21)</f>
        <v>0</v>
      </c>
      <c r="M42" s="142">
        <f>'Input|Forecast Data'!K42</f>
        <v>0</v>
      </c>
      <c r="N42" s="142">
        <f>'Input|Forecast Data'!L42</f>
        <v>0</v>
      </c>
      <c r="O42" s="142">
        <f>'Input|Forecast Data'!M42</f>
        <v>0</v>
      </c>
      <c r="P42" s="142">
        <f>'Input|Forecast Data'!N42</f>
        <v>0</v>
      </c>
      <c r="Q42" s="142">
        <f>'Input|Forecast Data'!O42</f>
        <v>0</v>
      </c>
      <c r="R42" s="142">
        <f>'Input|Forecast Data'!P42</f>
        <v>0</v>
      </c>
      <c r="S42" s="142">
        <f>'Input|Forecast Data'!Q42</f>
        <v>0</v>
      </c>
      <c r="T42" s="7"/>
      <c r="U42" s="7"/>
    </row>
    <row r="43" spans="1:21" hidden="1" x14ac:dyDescent="0.2">
      <c r="A43" s="7"/>
      <c r="B43" s="7"/>
      <c r="C43" s="7"/>
      <c r="D43" s="7"/>
      <c r="E43" s="39">
        <v>140</v>
      </c>
      <c r="F43" s="39" t="s">
        <v>2248</v>
      </c>
      <c r="G43" s="39" t="str">
        <f>VLOOKUP(E43,Mapping!$E$11:$G$96,3,0)</f>
        <v>Public lighting Capex</v>
      </c>
      <c r="H43" s="149" t="str">
        <f>VLOOKUP(E43,Mapping!$E$11:$K$96,7,0)</f>
        <v>Public Lighting</v>
      </c>
      <c r="I43" s="55">
        <f>'Input|Forecast Data'!G43+SUMPRODUCT(--('Input|Customer Contributions'!$E$9:$E$21=$E43),'Input|Customer Contributions'!J$9:J$21)</f>
        <v>0</v>
      </c>
      <c r="J43" s="55">
        <f>'Input|Forecast Data'!H43+SUMPRODUCT(--('Input|Customer Contributions'!$E$9:$E$21=$E43),'Input|Customer Contributions'!K$9:K$21)</f>
        <v>0</v>
      </c>
      <c r="K43" s="55">
        <f>'Input|Forecast Data'!I43+SUMPRODUCT(--('Input|Customer Contributions'!$E$9:$E$21=$E43),'Input|Customer Contributions'!L$9:L$21)</f>
        <v>0</v>
      </c>
      <c r="L43" s="55">
        <f>'Input|Forecast Data'!J43+SUMPRODUCT(--('Input|Customer Contributions'!$E$9:$E$21=$E43),'Input|Customer Contributions'!M$9:M$21)</f>
        <v>0</v>
      </c>
      <c r="M43" s="142">
        <f>'Input|Forecast Data'!K43</f>
        <v>0</v>
      </c>
      <c r="N43" s="142">
        <f>'Input|Forecast Data'!L43</f>
        <v>0</v>
      </c>
      <c r="O43" s="142">
        <f>'Input|Forecast Data'!M43</f>
        <v>0</v>
      </c>
      <c r="P43" s="142">
        <f>'Input|Forecast Data'!N43</f>
        <v>0</v>
      </c>
      <c r="Q43" s="142">
        <f>'Input|Forecast Data'!O43</f>
        <v>0</v>
      </c>
      <c r="R43" s="142">
        <f>'Input|Forecast Data'!P43</f>
        <v>0</v>
      </c>
      <c r="S43" s="142">
        <f>'Input|Forecast Data'!Q43</f>
        <v>0</v>
      </c>
      <c r="T43" s="7"/>
      <c r="U43" s="7"/>
    </row>
    <row r="44" spans="1:21" hidden="1" x14ac:dyDescent="0.2">
      <c r="A44" s="7"/>
      <c r="B44" s="7"/>
      <c r="C44" s="7"/>
      <c r="D44" s="7"/>
      <c r="E44" s="39">
        <v>141</v>
      </c>
      <c r="F44" s="39" t="s">
        <v>2249</v>
      </c>
      <c r="G44" s="39" t="str">
        <f>VLOOKUP(E44,Mapping!$E$11:$G$96,3,0)</f>
        <v>Replacement</v>
      </c>
      <c r="H44" s="149" t="str">
        <f>VLOOKUP(E44,Mapping!$E$11:$K$96,7,0)</f>
        <v>SCS</v>
      </c>
      <c r="I44" s="55">
        <f>'Input|Forecast Data'!G44+SUMPRODUCT(--('Input|Customer Contributions'!$E$9:$E$21=$E44),'Input|Customer Contributions'!J$9:J$21)</f>
        <v>2057.8829400000004</v>
      </c>
      <c r="J44" s="55">
        <f>'Input|Forecast Data'!H44+SUMPRODUCT(--('Input|Customer Contributions'!$E$9:$E$21=$E44),'Input|Customer Contributions'!K$9:K$21)</f>
        <v>3516.778710000001</v>
      </c>
      <c r="K44" s="55">
        <f>'Input|Forecast Data'!I44+SUMPRODUCT(--('Input|Customer Contributions'!$E$9:$E$21=$E44),'Input|Customer Contributions'!L$9:L$21)</f>
        <v>5251.1993300000013</v>
      </c>
      <c r="L44" s="55">
        <f>'Input|Forecast Data'!J44+SUMPRODUCT(--('Input|Customer Contributions'!$E$9:$E$21=$E44),'Input|Customer Contributions'!M$9:M$21)</f>
        <v>5590.7185400000008</v>
      </c>
      <c r="M44" s="142">
        <f>'Input|Forecast Data'!K44</f>
        <v>4188.9959291634214</v>
      </c>
      <c r="N44" s="142">
        <f>'Input|Forecast Data'!L44</f>
        <v>4600.4330962610702</v>
      </c>
      <c r="O44" s="142">
        <f>'Input|Forecast Data'!M44</f>
        <v>4538.3253517703688</v>
      </c>
      <c r="P44" s="142">
        <f>'Input|Forecast Data'!N44</f>
        <v>4538.3253517703688</v>
      </c>
      <c r="Q44" s="142">
        <f>'Input|Forecast Data'!O44</f>
        <v>4538.3253517703688</v>
      </c>
      <c r="R44" s="142">
        <f>'Input|Forecast Data'!P44</f>
        <v>4538.3253517703688</v>
      </c>
      <c r="S44" s="142">
        <f>'Input|Forecast Data'!Q44</f>
        <v>4538.3253517703688</v>
      </c>
      <c r="T44" s="7"/>
      <c r="U44" s="7"/>
    </row>
    <row r="45" spans="1:21" hidden="1" x14ac:dyDescent="0.2">
      <c r="A45" s="7"/>
      <c r="B45" s="7"/>
      <c r="C45" s="7"/>
      <c r="D45" s="7"/>
      <c r="E45" s="39">
        <v>142</v>
      </c>
      <c r="F45" s="39" t="s">
        <v>2250</v>
      </c>
      <c r="G45" s="39" t="str">
        <f>VLOOKUP(E45,Mapping!$E$11:$G$96,3,0)</f>
        <v>Replacement</v>
      </c>
      <c r="H45" s="149" t="str">
        <f>VLOOKUP(E45,Mapping!$E$11:$K$96,7,0)</f>
        <v>SCS</v>
      </c>
      <c r="I45" s="55">
        <f>'Input|Forecast Data'!G45+SUMPRODUCT(--('Input|Customer Contributions'!$E$9:$E$21=$E45),'Input|Customer Contributions'!J$9:J$21)</f>
        <v>139.81308999999999</v>
      </c>
      <c r="J45" s="55">
        <f>'Input|Forecast Data'!H45+SUMPRODUCT(--('Input|Customer Contributions'!$E$9:$E$21=$E45),'Input|Customer Contributions'!K$9:K$21)</f>
        <v>15.124810000000002</v>
      </c>
      <c r="K45" s="55">
        <f>'Input|Forecast Data'!I45+SUMPRODUCT(--('Input|Customer Contributions'!$E$9:$E$21=$E45),'Input|Customer Contributions'!L$9:L$21)</f>
        <v>-23.824540000000002</v>
      </c>
      <c r="L45" s="55">
        <f>'Input|Forecast Data'!J45+SUMPRODUCT(--('Input|Customer Contributions'!$E$9:$E$21=$E45),'Input|Customer Contributions'!M$9:M$21)</f>
        <v>0</v>
      </c>
      <c r="M45" s="142">
        <f>'Input|Forecast Data'!K45</f>
        <v>0</v>
      </c>
      <c r="N45" s="142">
        <f>'Input|Forecast Data'!L45</f>
        <v>0</v>
      </c>
      <c r="O45" s="142">
        <f>'Input|Forecast Data'!M45</f>
        <v>0</v>
      </c>
      <c r="P45" s="142">
        <f>'Input|Forecast Data'!N45</f>
        <v>0</v>
      </c>
      <c r="Q45" s="142">
        <f>'Input|Forecast Data'!O45</f>
        <v>0</v>
      </c>
      <c r="R45" s="142">
        <f>'Input|Forecast Data'!P45</f>
        <v>0</v>
      </c>
      <c r="S45" s="142">
        <f>'Input|Forecast Data'!Q45</f>
        <v>0</v>
      </c>
      <c r="T45" s="7"/>
      <c r="U45" s="7"/>
    </row>
    <row r="46" spans="1:21" hidden="1" x14ac:dyDescent="0.2">
      <c r="A46" s="7"/>
      <c r="B46" s="7"/>
      <c r="C46" s="7"/>
      <c r="D46" s="7"/>
      <c r="E46" s="39">
        <v>143</v>
      </c>
      <c r="F46" s="39" t="s">
        <v>2251</v>
      </c>
      <c r="G46" s="39" t="str">
        <f>VLOOKUP(E46,Mapping!$E$11:$G$96,3,0)</f>
        <v>Replacement</v>
      </c>
      <c r="H46" s="149" t="str">
        <f>VLOOKUP(E46,Mapping!$E$11:$K$96,7,0)</f>
        <v>SCS</v>
      </c>
      <c r="I46" s="55">
        <f>'Input|Forecast Data'!G46+SUMPRODUCT(--('Input|Customer Contributions'!$E$9:$E$21=$E46),'Input|Customer Contributions'!J$9:J$21)</f>
        <v>1855.4487099999999</v>
      </c>
      <c r="J46" s="55">
        <f>'Input|Forecast Data'!H46+SUMPRODUCT(--('Input|Customer Contributions'!$E$9:$E$21=$E46),'Input|Customer Contributions'!K$9:K$21)</f>
        <v>1614.537250000001</v>
      </c>
      <c r="K46" s="55">
        <f>'Input|Forecast Data'!I46+SUMPRODUCT(--('Input|Customer Contributions'!$E$9:$E$21=$E46),'Input|Customer Contributions'!L$9:L$21)</f>
        <v>776.28256999999974</v>
      </c>
      <c r="L46" s="55">
        <f>'Input|Forecast Data'!J46+SUMPRODUCT(--('Input|Customer Contributions'!$E$9:$E$21=$E46),'Input|Customer Contributions'!M$9:M$21)</f>
        <v>700.48606000000029</v>
      </c>
      <c r="M46" s="142">
        <f>'Input|Forecast Data'!K46</f>
        <v>1613.9814917424519</v>
      </c>
      <c r="N46" s="142">
        <f>'Input|Forecast Data'!L46</f>
        <v>1991.5775517032278</v>
      </c>
      <c r="O46" s="142">
        <f>'Input|Forecast Data'!M46</f>
        <v>2549.3726358985382</v>
      </c>
      <c r="P46" s="142">
        <f>'Input|Forecast Data'!N46</f>
        <v>2873.5238778469011</v>
      </c>
      <c r="Q46" s="142">
        <f>'Input|Forecast Data'!O46</f>
        <v>2660.8962473230995</v>
      </c>
      <c r="R46" s="142">
        <f>'Input|Forecast Data'!P46</f>
        <v>2298.6603512846691</v>
      </c>
      <c r="S46" s="142">
        <f>'Input|Forecast Data'!Q46</f>
        <v>2298.6603512846691</v>
      </c>
      <c r="T46" s="7"/>
      <c r="U46" s="7"/>
    </row>
    <row r="47" spans="1:21" hidden="1" x14ac:dyDescent="0.2">
      <c r="A47" s="7"/>
      <c r="B47" s="7"/>
      <c r="C47" s="7"/>
      <c r="D47" s="7"/>
      <c r="E47" s="39">
        <v>144</v>
      </c>
      <c r="F47" s="39" t="s">
        <v>2252</v>
      </c>
      <c r="G47" s="39" t="str">
        <f>VLOOKUP(E47,Mapping!$E$11:$G$96,3,0)</f>
        <v>Replacement</v>
      </c>
      <c r="H47" s="149" t="str">
        <f>VLOOKUP(E47,Mapping!$E$11:$K$96,7,0)</f>
        <v>SCS</v>
      </c>
      <c r="I47" s="55">
        <f>'Input|Forecast Data'!G47+SUMPRODUCT(--('Input|Customer Contributions'!$E$9:$E$21=$E47),'Input|Customer Contributions'!J$9:J$21)</f>
        <v>403.32813999999996</v>
      </c>
      <c r="J47" s="55">
        <f>'Input|Forecast Data'!H47+SUMPRODUCT(--('Input|Customer Contributions'!$E$9:$E$21=$E47),'Input|Customer Contributions'!K$9:K$21)</f>
        <v>258.86517000000003</v>
      </c>
      <c r="K47" s="55">
        <f>'Input|Forecast Data'!I47+SUMPRODUCT(--('Input|Customer Contributions'!$E$9:$E$21=$E47),'Input|Customer Contributions'!L$9:L$21)</f>
        <v>200.50545</v>
      </c>
      <c r="L47" s="55">
        <f>'Input|Forecast Data'!J47+SUMPRODUCT(--('Input|Customer Contributions'!$E$9:$E$21=$E47),'Input|Customer Contributions'!M$9:M$21)</f>
        <v>644.84803999999974</v>
      </c>
      <c r="M47" s="142">
        <f>'Input|Forecast Data'!K47</f>
        <v>679.10431475909058</v>
      </c>
      <c r="N47" s="142">
        <f>'Input|Forecast Data'!L47</f>
        <v>588.32282997194397</v>
      </c>
      <c r="O47" s="142">
        <f>'Input|Forecast Data'!M47</f>
        <v>353.06719504421784</v>
      </c>
      <c r="P47" s="142">
        <f>'Input|Forecast Data'!N47</f>
        <v>353.06719504421784</v>
      </c>
      <c r="Q47" s="142">
        <f>'Input|Forecast Data'!O47</f>
        <v>353.06719504421784</v>
      </c>
      <c r="R47" s="142">
        <f>'Input|Forecast Data'!P47</f>
        <v>353.06719504421784</v>
      </c>
      <c r="S47" s="142">
        <f>'Input|Forecast Data'!Q47</f>
        <v>403.97556317072349</v>
      </c>
      <c r="T47" s="7"/>
      <c r="U47" s="7"/>
    </row>
    <row r="48" spans="1:21" hidden="1" x14ac:dyDescent="0.2">
      <c r="A48" s="7"/>
      <c r="B48" s="7"/>
      <c r="C48" s="7"/>
      <c r="D48" s="7"/>
      <c r="E48" s="39">
        <v>145</v>
      </c>
      <c r="F48" s="39" t="s">
        <v>2253</v>
      </c>
      <c r="G48" s="39" t="str">
        <f>VLOOKUP(E48,Mapping!$E$11:$G$96,3,0)</f>
        <v>Replacement</v>
      </c>
      <c r="H48" s="149" t="str">
        <f>VLOOKUP(E48,Mapping!$E$11:$K$96,7,0)</f>
        <v>SCS</v>
      </c>
      <c r="I48" s="55">
        <f>'Input|Forecast Data'!G48+SUMPRODUCT(--('Input|Customer Contributions'!$E$9:$E$21=$E48),'Input|Customer Contributions'!J$9:J$21)</f>
        <v>620.84910999999988</v>
      </c>
      <c r="J48" s="55">
        <f>'Input|Forecast Data'!H48+SUMPRODUCT(--('Input|Customer Contributions'!$E$9:$E$21=$E48),'Input|Customer Contributions'!K$9:K$21)</f>
        <v>301.12913000000003</v>
      </c>
      <c r="K48" s="55">
        <f>'Input|Forecast Data'!I48+SUMPRODUCT(--('Input|Customer Contributions'!$E$9:$E$21=$E48),'Input|Customer Contributions'!L$9:L$21)</f>
        <v>309.70606000000004</v>
      </c>
      <c r="L48" s="55">
        <f>'Input|Forecast Data'!J48+SUMPRODUCT(--('Input|Customer Contributions'!$E$9:$E$21=$E48),'Input|Customer Contributions'!M$9:M$21)</f>
        <v>617.54866000000004</v>
      </c>
      <c r="M48" s="142">
        <f>'Input|Forecast Data'!K48</f>
        <v>935.66059660903818</v>
      </c>
      <c r="N48" s="142">
        <f>'Input|Forecast Data'!L48</f>
        <v>591.59854872763788</v>
      </c>
      <c r="O48" s="142">
        <f>'Input|Forecast Data'!M48</f>
        <v>712.75415639092228</v>
      </c>
      <c r="P48" s="142">
        <f>'Input|Forecast Data'!N48</f>
        <v>712.75415639092228</v>
      </c>
      <c r="Q48" s="142">
        <f>'Input|Forecast Data'!O48</f>
        <v>712.75415639092228</v>
      </c>
      <c r="R48" s="142">
        <f>'Input|Forecast Data'!P48</f>
        <v>712.75415639092228</v>
      </c>
      <c r="S48" s="142">
        <f>'Input|Forecast Data'!Q48</f>
        <v>712.75415639092228</v>
      </c>
      <c r="T48" s="7"/>
      <c r="U48" s="7"/>
    </row>
    <row r="49" spans="1:21" hidden="1" x14ac:dyDescent="0.2">
      <c r="A49" s="7"/>
      <c r="B49" s="7"/>
      <c r="C49" s="7"/>
      <c r="D49" s="7"/>
      <c r="E49" s="39">
        <v>146</v>
      </c>
      <c r="F49" s="39" t="s">
        <v>2254</v>
      </c>
      <c r="G49" s="39" t="str">
        <f>VLOOKUP(E49,Mapping!$E$11:$G$96,3,0)</f>
        <v>Quoted Opex</v>
      </c>
      <c r="H49" s="149" t="str">
        <f>VLOOKUP(E49,Mapping!$E$11:$K$96,7,0)</f>
        <v>Ancillary Network Services</v>
      </c>
      <c r="I49" s="55">
        <f>'Input|Forecast Data'!G49+SUMPRODUCT(--('Input|Customer Contributions'!$E$9:$E$21=$E49),'Input|Customer Contributions'!J$9:J$21)</f>
        <v>0</v>
      </c>
      <c r="J49" s="55">
        <f>'Input|Forecast Data'!H49+SUMPRODUCT(--('Input|Customer Contributions'!$E$9:$E$21=$E49),'Input|Customer Contributions'!K$9:K$21)</f>
        <v>0</v>
      </c>
      <c r="K49" s="55">
        <f>'Input|Forecast Data'!I49+SUMPRODUCT(--('Input|Customer Contributions'!$E$9:$E$21=$E49),'Input|Customer Contributions'!L$9:L$21)</f>
        <v>0</v>
      </c>
      <c r="L49" s="55">
        <f>'Input|Forecast Data'!J49+SUMPRODUCT(--('Input|Customer Contributions'!$E$9:$E$21=$E49),'Input|Customer Contributions'!M$9:M$21)</f>
        <v>0</v>
      </c>
      <c r="M49" s="142">
        <f>'Input|Forecast Data'!K49</f>
        <v>0</v>
      </c>
      <c r="N49" s="142">
        <f>'Input|Forecast Data'!L49</f>
        <v>0</v>
      </c>
      <c r="O49" s="142">
        <f>'Input|Forecast Data'!M49</f>
        <v>0</v>
      </c>
      <c r="P49" s="142">
        <f>'Input|Forecast Data'!N49</f>
        <v>0</v>
      </c>
      <c r="Q49" s="142">
        <f>'Input|Forecast Data'!O49</f>
        <v>0</v>
      </c>
      <c r="R49" s="142">
        <f>'Input|Forecast Data'!P49</f>
        <v>0</v>
      </c>
      <c r="S49" s="142">
        <f>'Input|Forecast Data'!Q49</f>
        <v>0</v>
      </c>
      <c r="T49" s="7"/>
      <c r="U49" s="7"/>
    </row>
    <row r="50" spans="1:21" hidden="1" x14ac:dyDescent="0.2">
      <c r="A50" s="7"/>
      <c r="B50" s="7"/>
      <c r="C50" s="7"/>
      <c r="D50" s="7"/>
      <c r="E50" s="39">
        <v>147</v>
      </c>
      <c r="F50" s="39" t="s">
        <v>2255</v>
      </c>
      <c r="G50" s="39" t="str">
        <f>VLOOKUP(E50,Mapping!$E$11:$G$96,3,0)</f>
        <v>Replacement</v>
      </c>
      <c r="H50" s="149" t="str">
        <f>VLOOKUP(E50,Mapping!$E$11:$K$96,7,0)</f>
        <v>SCS</v>
      </c>
      <c r="I50" s="55">
        <f>'Input|Forecast Data'!G50+SUMPRODUCT(--('Input|Customer Contributions'!$E$9:$E$21=$E50),'Input|Customer Contributions'!J$9:J$21)</f>
        <v>210.43187</v>
      </c>
      <c r="J50" s="55">
        <f>'Input|Forecast Data'!H50+SUMPRODUCT(--('Input|Customer Contributions'!$E$9:$E$21=$E50),'Input|Customer Contributions'!K$9:K$21)</f>
        <v>0</v>
      </c>
      <c r="K50" s="55">
        <f>'Input|Forecast Data'!I50+SUMPRODUCT(--('Input|Customer Contributions'!$E$9:$E$21=$E50),'Input|Customer Contributions'!L$9:L$21)</f>
        <v>0</v>
      </c>
      <c r="L50" s="55">
        <f>'Input|Forecast Data'!J50+SUMPRODUCT(--('Input|Customer Contributions'!$E$9:$E$21=$E50),'Input|Customer Contributions'!M$9:M$21)</f>
        <v>0</v>
      </c>
      <c r="M50" s="142">
        <f>'Input|Forecast Data'!K50</f>
        <v>0</v>
      </c>
      <c r="N50" s="142">
        <f>'Input|Forecast Data'!L50</f>
        <v>0</v>
      </c>
      <c r="O50" s="142">
        <f>'Input|Forecast Data'!M50</f>
        <v>191.34883361146728</v>
      </c>
      <c r="P50" s="142">
        <f>'Input|Forecast Data'!N50</f>
        <v>191.34883361146728</v>
      </c>
      <c r="Q50" s="142">
        <f>'Input|Forecast Data'!O50</f>
        <v>191.34883361146728</v>
      </c>
      <c r="R50" s="142">
        <f>'Input|Forecast Data'!P50</f>
        <v>191.34883361146728</v>
      </c>
      <c r="S50" s="142">
        <f>'Input|Forecast Data'!Q50</f>
        <v>191.34883361146728</v>
      </c>
      <c r="T50" s="7"/>
      <c r="U50" s="7"/>
    </row>
    <row r="51" spans="1:21" hidden="1" x14ac:dyDescent="0.2">
      <c r="A51" s="7"/>
      <c r="B51" s="7"/>
      <c r="C51" s="7"/>
      <c r="D51" s="7"/>
      <c r="E51" s="39">
        <v>148</v>
      </c>
      <c r="F51" s="39" t="s">
        <v>2256</v>
      </c>
      <c r="G51" s="39" t="str">
        <f>VLOOKUP(E51,Mapping!$E$11:$G$96,3,0)</f>
        <v>Replacement</v>
      </c>
      <c r="H51" s="149" t="str">
        <f>VLOOKUP(E51,Mapping!$E$11:$K$96,7,0)</f>
        <v>SCS</v>
      </c>
      <c r="I51" s="55">
        <f>'Input|Forecast Data'!G51+SUMPRODUCT(--('Input|Customer Contributions'!$E$9:$E$21=$E51),'Input|Customer Contributions'!J$9:J$21)</f>
        <v>1510.759398061653</v>
      </c>
      <c r="J51" s="55">
        <f>'Input|Forecast Data'!H51+SUMPRODUCT(--('Input|Customer Contributions'!$E$9:$E$21=$E51),'Input|Customer Contributions'!K$9:K$21)</f>
        <v>391.96057000000002</v>
      </c>
      <c r="K51" s="55">
        <f>'Input|Forecast Data'!I51+SUMPRODUCT(--('Input|Customer Contributions'!$E$9:$E$21=$E51),'Input|Customer Contributions'!L$9:L$21)</f>
        <v>1785.229</v>
      </c>
      <c r="L51" s="55">
        <f>'Input|Forecast Data'!J51+SUMPRODUCT(--('Input|Customer Contributions'!$E$9:$E$21=$E51),'Input|Customer Contributions'!M$9:M$21)</f>
        <v>29.306890000000067</v>
      </c>
      <c r="M51" s="142">
        <f>'Input|Forecast Data'!K51</f>
        <v>0</v>
      </c>
      <c r="N51" s="142">
        <f>'Input|Forecast Data'!L51</f>
        <v>0</v>
      </c>
      <c r="O51" s="142">
        <f>'Input|Forecast Data'!M51</f>
        <v>2254.2658287673535</v>
      </c>
      <c r="P51" s="142">
        <f>'Input|Forecast Data'!N51</f>
        <v>2254.2658287673535</v>
      </c>
      <c r="Q51" s="142">
        <f>'Input|Forecast Data'!O51</f>
        <v>2254.2658287673535</v>
      </c>
      <c r="R51" s="142">
        <f>'Input|Forecast Data'!P51</f>
        <v>2254.2658287673535</v>
      </c>
      <c r="S51" s="142">
        <f>'Input|Forecast Data'!Q51</f>
        <v>2254.2658287673535</v>
      </c>
      <c r="T51" s="7"/>
      <c r="U51" s="7"/>
    </row>
    <row r="52" spans="1:21" hidden="1" x14ac:dyDescent="0.2">
      <c r="A52" s="7"/>
      <c r="B52" s="7"/>
      <c r="C52" s="7"/>
      <c r="D52" s="7"/>
      <c r="E52" s="39">
        <v>149</v>
      </c>
      <c r="F52" s="39" t="s">
        <v>2257</v>
      </c>
      <c r="G52" s="39" t="str">
        <f>VLOOKUP(E52,Mapping!$E$11:$G$96,3,0)</f>
        <v>Replacement</v>
      </c>
      <c r="H52" s="149" t="str">
        <f>VLOOKUP(E52,Mapping!$E$11:$K$96,7,0)</f>
        <v>SCS</v>
      </c>
      <c r="I52" s="55">
        <f>'Input|Forecast Data'!G52+SUMPRODUCT(--('Input|Customer Contributions'!$E$9:$E$21=$E52),'Input|Customer Contributions'!J$9:J$21)</f>
        <v>34.380310000000001</v>
      </c>
      <c r="J52" s="55">
        <f>'Input|Forecast Data'!H52+SUMPRODUCT(--('Input|Customer Contributions'!$E$9:$E$21=$E52),'Input|Customer Contributions'!K$9:K$21)</f>
        <v>0</v>
      </c>
      <c r="K52" s="55">
        <f>'Input|Forecast Data'!I52+SUMPRODUCT(--('Input|Customer Contributions'!$E$9:$E$21=$E52),'Input|Customer Contributions'!L$9:L$21)</f>
        <v>0</v>
      </c>
      <c r="L52" s="55">
        <f>'Input|Forecast Data'!J52+SUMPRODUCT(--('Input|Customer Contributions'!$E$9:$E$21=$E52),'Input|Customer Contributions'!M$9:M$21)</f>
        <v>0</v>
      </c>
      <c r="M52" s="142">
        <f>'Input|Forecast Data'!K52</f>
        <v>0</v>
      </c>
      <c r="N52" s="142">
        <f>'Input|Forecast Data'!L52</f>
        <v>0</v>
      </c>
      <c r="O52" s="142">
        <f>'Input|Forecast Data'!M52</f>
        <v>0</v>
      </c>
      <c r="P52" s="142">
        <f>'Input|Forecast Data'!N52</f>
        <v>0</v>
      </c>
      <c r="Q52" s="142">
        <f>'Input|Forecast Data'!O52</f>
        <v>0</v>
      </c>
      <c r="R52" s="142">
        <f>'Input|Forecast Data'!P52</f>
        <v>0</v>
      </c>
      <c r="S52" s="142">
        <f>'Input|Forecast Data'!Q52</f>
        <v>0</v>
      </c>
      <c r="T52" s="7"/>
      <c r="U52" s="7"/>
    </row>
    <row r="53" spans="1:21" hidden="1" x14ac:dyDescent="0.2">
      <c r="A53" s="7"/>
      <c r="B53" s="7"/>
      <c r="C53" s="7"/>
      <c r="D53" s="7"/>
      <c r="E53" s="39">
        <v>150</v>
      </c>
      <c r="F53" s="39" t="s">
        <v>2258</v>
      </c>
      <c r="G53" s="39" t="str">
        <f>VLOOKUP(E53,Mapping!$E$11:$G$96,3,0)</f>
        <v>Replacement</v>
      </c>
      <c r="H53" s="149" t="str">
        <f>VLOOKUP(E53,Mapping!$E$11:$K$96,7,0)</f>
        <v>SCS</v>
      </c>
      <c r="I53" s="55">
        <f>'Input|Forecast Data'!G53+SUMPRODUCT(--('Input|Customer Contributions'!$E$9:$E$21=$E53),'Input|Customer Contributions'!J$9:J$21)</f>
        <v>1651.8693400000011</v>
      </c>
      <c r="J53" s="55">
        <f>'Input|Forecast Data'!H53+SUMPRODUCT(--('Input|Customer Contributions'!$E$9:$E$21=$E53),'Input|Customer Contributions'!K$9:K$21)</f>
        <v>929.90697999999998</v>
      </c>
      <c r="K53" s="55">
        <f>'Input|Forecast Data'!I53+SUMPRODUCT(--('Input|Customer Contributions'!$E$9:$E$21=$E53),'Input|Customer Contributions'!L$9:L$21)</f>
        <v>1412.0497600000003</v>
      </c>
      <c r="L53" s="55">
        <f>'Input|Forecast Data'!J53+SUMPRODUCT(--('Input|Customer Contributions'!$E$9:$E$21=$E53),'Input|Customer Contributions'!M$9:M$21)</f>
        <v>1759.1395799999998</v>
      </c>
      <c r="M53" s="142">
        <f>'Input|Forecast Data'!K53</f>
        <v>2223.8102893148885</v>
      </c>
      <c r="N53" s="142">
        <f>'Input|Forecast Data'!L53</f>
        <v>3805.874517544582</v>
      </c>
      <c r="O53" s="142">
        <f>'Input|Forecast Data'!M53</f>
        <v>1263.9986813479927</v>
      </c>
      <c r="P53" s="142">
        <f>'Input|Forecast Data'!N53</f>
        <v>1263.9986813479927</v>
      </c>
      <c r="Q53" s="142">
        <f>'Input|Forecast Data'!O53</f>
        <v>1263.9986813479927</v>
      </c>
      <c r="R53" s="142">
        <f>'Input|Forecast Data'!P53</f>
        <v>1263.9986813479927</v>
      </c>
      <c r="S53" s="142">
        <f>'Input|Forecast Data'!Q53</f>
        <v>1263.9986813479927</v>
      </c>
      <c r="T53" s="7"/>
      <c r="U53" s="7"/>
    </row>
    <row r="54" spans="1:21" hidden="1" x14ac:dyDescent="0.2">
      <c r="A54" s="7"/>
      <c r="B54" s="7"/>
      <c r="C54" s="7"/>
      <c r="D54" s="7"/>
      <c r="E54" s="39">
        <v>151</v>
      </c>
      <c r="F54" s="39" t="s">
        <v>2259</v>
      </c>
      <c r="G54" s="39" t="str">
        <f>VLOOKUP(E54,Mapping!$E$11:$G$96,3,0)</f>
        <v>Metering Capex</v>
      </c>
      <c r="H54" s="149" t="str">
        <f>VLOOKUP(E54,Mapping!$E$11:$K$96,7,0)</f>
        <v>Metering Services</v>
      </c>
      <c r="I54" s="55">
        <f>'Input|Forecast Data'!G54+SUMPRODUCT(--('Input|Customer Contributions'!$E$9:$E$21=$E54),'Input|Customer Contributions'!J$9:J$21)</f>
        <v>0</v>
      </c>
      <c r="J54" s="55">
        <f>'Input|Forecast Data'!H54+SUMPRODUCT(--('Input|Customer Contributions'!$E$9:$E$21=$E54),'Input|Customer Contributions'!K$9:K$21)</f>
        <v>0</v>
      </c>
      <c r="K54" s="55">
        <f>'Input|Forecast Data'!I54+SUMPRODUCT(--('Input|Customer Contributions'!$E$9:$E$21=$E54),'Input|Customer Contributions'!L$9:L$21)</f>
        <v>0</v>
      </c>
      <c r="L54" s="55">
        <f>'Input|Forecast Data'!J54+SUMPRODUCT(--('Input|Customer Contributions'!$E$9:$E$21=$E54),'Input|Customer Contributions'!M$9:M$21)</f>
        <v>0</v>
      </c>
      <c r="M54" s="142">
        <f>'Input|Forecast Data'!K54</f>
        <v>0</v>
      </c>
      <c r="N54" s="142">
        <f>'Input|Forecast Data'!L54</f>
        <v>0</v>
      </c>
      <c r="O54" s="142">
        <f>'Input|Forecast Data'!M54</f>
        <v>0</v>
      </c>
      <c r="P54" s="142">
        <f>'Input|Forecast Data'!N54</f>
        <v>0</v>
      </c>
      <c r="Q54" s="142">
        <f>'Input|Forecast Data'!O54</f>
        <v>0</v>
      </c>
      <c r="R54" s="142">
        <f>'Input|Forecast Data'!P54</f>
        <v>0</v>
      </c>
      <c r="S54" s="142">
        <f>'Input|Forecast Data'!Q54</f>
        <v>0</v>
      </c>
      <c r="T54" s="7"/>
      <c r="U54" s="7"/>
    </row>
    <row r="55" spans="1:21" hidden="1" x14ac:dyDescent="0.2">
      <c r="A55" s="7"/>
      <c r="B55" s="7"/>
      <c r="C55" s="7"/>
      <c r="D55" s="7"/>
      <c r="E55" s="39">
        <v>152</v>
      </c>
      <c r="F55" s="39" t="s">
        <v>2260</v>
      </c>
      <c r="G55" s="39" t="str">
        <f>VLOOKUP(E55,Mapping!$E$11:$G$96,3,0)</f>
        <v>Replacement</v>
      </c>
      <c r="H55" s="149" t="str">
        <f>VLOOKUP(E55,Mapping!$E$11:$K$96,7,0)</f>
        <v>SCS</v>
      </c>
      <c r="I55" s="55">
        <f>'Input|Forecast Data'!G55+SUMPRODUCT(--('Input|Customer Contributions'!$E$9:$E$21=$E55),'Input|Customer Contributions'!J$9:J$21)</f>
        <v>73.563980000000001</v>
      </c>
      <c r="J55" s="55">
        <f>'Input|Forecast Data'!H55+SUMPRODUCT(--('Input|Customer Contributions'!$E$9:$E$21=$E55),'Input|Customer Contributions'!K$9:K$21)</f>
        <v>1.2603899999999999</v>
      </c>
      <c r="K55" s="55">
        <f>'Input|Forecast Data'!I55+SUMPRODUCT(--('Input|Customer Contributions'!$E$9:$E$21=$E55),'Input|Customer Contributions'!L$9:L$21)</f>
        <v>-1.9853700000000001</v>
      </c>
      <c r="L55" s="55">
        <f>'Input|Forecast Data'!J55+SUMPRODUCT(--('Input|Customer Contributions'!$E$9:$E$21=$E55),'Input|Customer Contributions'!M$9:M$21)</f>
        <v>0</v>
      </c>
      <c r="M55" s="142">
        <f>'Input|Forecast Data'!K55</f>
        <v>0</v>
      </c>
      <c r="N55" s="142">
        <f>'Input|Forecast Data'!L55</f>
        <v>0</v>
      </c>
      <c r="O55" s="142">
        <f>'Input|Forecast Data'!M55</f>
        <v>776.55308822023767</v>
      </c>
      <c r="P55" s="142">
        <f>'Input|Forecast Data'!N55</f>
        <v>776.55308822023767</v>
      </c>
      <c r="Q55" s="142">
        <f>'Input|Forecast Data'!O55</f>
        <v>776.55308822023767</v>
      </c>
      <c r="R55" s="142">
        <f>'Input|Forecast Data'!P55</f>
        <v>776.55308822023767</v>
      </c>
      <c r="S55" s="142">
        <f>'Input|Forecast Data'!Q55</f>
        <v>776.55308822023767</v>
      </c>
      <c r="T55" s="7"/>
      <c r="U55" s="7"/>
    </row>
    <row r="56" spans="1:21" hidden="1" x14ac:dyDescent="0.2">
      <c r="A56" s="7"/>
      <c r="B56" s="7"/>
      <c r="C56" s="7"/>
      <c r="D56" s="7"/>
      <c r="E56" s="39">
        <v>153</v>
      </c>
      <c r="F56" s="39" t="s">
        <v>2261</v>
      </c>
      <c r="G56" s="39" t="s">
        <v>2299</v>
      </c>
      <c r="H56" s="149" t="s">
        <v>28</v>
      </c>
      <c r="I56" s="55">
        <f>'Input|Forecast Data'!G56+SUMPRODUCT(--('Input|Customer Contributions'!$E$9:$E$21=$E56),'Input|Customer Contributions'!J$9:J$21)</f>
        <v>1137.3969900000002</v>
      </c>
      <c r="J56" s="55">
        <f>'Input|Forecast Data'!H56+SUMPRODUCT(--('Input|Customer Contributions'!$E$9:$E$21=$E56),'Input|Customer Contributions'!K$9:K$21)</f>
        <v>0</v>
      </c>
      <c r="K56" s="55">
        <f>'Input|Forecast Data'!I56+SUMPRODUCT(--('Input|Customer Contributions'!$E$9:$E$21=$E56),'Input|Customer Contributions'!L$9:L$21)</f>
        <v>0</v>
      </c>
      <c r="L56" s="55">
        <f>'Input|Forecast Data'!J56+SUMPRODUCT(--('Input|Customer Contributions'!$E$9:$E$21=$E56),'Input|Customer Contributions'!M$9:M$21)</f>
        <v>0</v>
      </c>
      <c r="M56" s="142">
        <f>'Input|Forecast Data'!K56</f>
        <v>0</v>
      </c>
      <c r="N56" s="142">
        <f>'Input|Forecast Data'!L56</f>
        <v>0</v>
      </c>
      <c r="O56" s="142">
        <f>'Input|Forecast Data'!M56</f>
        <v>0</v>
      </c>
      <c r="P56" s="142">
        <f>'Input|Forecast Data'!N56</f>
        <v>0</v>
      </c>
      <c r="Q56" s="142">
        <f>'Input|Forecast Data'!O56</f>
        <v>0</v>
      </c>
      <c r="R56" s="142">
        <f>'Input|Forecast Data'!P56</f>
        <v>0</v>
      </c>
      <c r="S56" s="142">
        <f>'Input|Forecast Data'!Q56</f>
        <v>0</v>
      </c>
      <c r="T56" s="7"/>
      <c r="U56" s="7"/>
    </row>
    <row r="57" spans="1:21" hidden="1" x14ac:dyDescent="0.2">
      <c r="A57" s="7"/>
      <c r="B57" s="7"/>
      <c r="C57" s="7"/>
      <c r="D57" s="7"/>
      <c r="E57" s="39">
        <v>154</v>
      </c>
      <c r="F57" s="39" t="s">
        <v>2262</v>
      </c>
      <c r="G57" s="39" t="str">
        <f>VLOOKUP(E57,Mapping!$E$11:$G$96,3,0)</f>
        <v>Replacement</v>
      </c>
      <c r="H57" s="149" t="str">
        <f>VLOOKUP(E57,Mapping!$E$11:$K$96,7,0)</f>
        <v>SCS</v>
      </c>
      <c r="I57" s="55">
        <f>'Input|Forecast Data'!G57+SUMPRODUCT(--('Input|Customer Contributions'!$E$9:$E$21=$E57),'Input|Customer Contributions'!J$9:J$21)</f>
        <v>718.14983999999993</v>
      </c>
      <c r="J57" s="55">
        <f>'Input|Forecast Data'!H57+SUMPRODUCT(--('Input|Customer Contributions'!$E$9:$E$21=$E57),'Input|Customer Contributions'!K$9:K$21)</f>
        <v>0</v>
      </c>
      <c r="K57" s="55">
        <f>'Input|Forecast Data'!I57+SUMPRODUCT(--('Input|Customer Contributions'!$E$9:$E$21=$E57),'Input|Customer Contributions'!L$9:L$21)</f>
        <v>0</v>
      </c>
      <c r="L57" s="55">
        <f>'Input|Forecast Data'!J57+SUMPRODUCT(--('Input|Customer Contributions'!$E$9:$E$21=$E57),'Input|Customer Contributions'!M$9:M$21)</f>
        <v>0</v>
      </c>
      <c r="M57" s="142">
        <f>'Input|Forecast Data'!K57</f>
        <v>223.47033392846814</v>
      </c>
      <c r="N57" s="142">
        <f>'Input|Forecast Data'!L57</f>
        <v>420.7834314137437</v>
      </c>
      <c r="O57" s="142">
        <f>'Input|Forecast Data'!M57</f>
        <v>428.47183875616741</v>
      </c>
      <c r="P57" s="142">
        <f>'Input|Forecast Data'!N57</f>
        <v>428.47183875616741</v>
      </c>
      <c r="Q57" s="142">
        <f>'Input|Forecast Data'!O57</f>
        <v>428.47183875616741</v>
      </c>
      <c r="R57" s="142">
        <f>'Input|Forecast Data'!P57</f>
        <v>428.47183875616741</v>
      </c>
      <c r="S57" s="142">
        <f>'Input|Forecast Data'!Q57</f>
        <v>428.47183875616741</v>
      </c>
      <c r="T57" s="7"/>
      <c r="U57" s="7"/>
    </row>
    <row r="58" spans="1:21" hidden="1" x14ac:dyDescent="0.2">
      <c r="A58" s="7"/>
      <c r="B58" s="7"/>
      <c r="C58" s="7"/>
      <c r="D58" s="7"/>
      <c r="E58" s="39">
        <v>155</v>
      </c>
      <c r="F58" s="39" t="s">
        <v>2263</v>
      </c>
      <c r="G58" s="39" t="str">
        <f>VLOOKUP(E58,Mapping!$E$11:$G$96,3,0)</f>
        <v>Replacement</v>
      </c>
      <c r="H58" s="149" t="str">
        <f>VLOOKUP(E58,Mapping!$E$11:$K$96,7,0)</f>
        <v>SCS</v>
      </c>
      <c r="I58" s="55">
        <f>'Input|Forecast Data'!G58+SUMPRODUCT(--('Input|Customer Contributions'!$E$9:$E$21=$E58),'Input|Customer Contributions'!J$9:J$21)</f>
        <v>1096.1051099999997</v>
      </c>
      <c r="J58" s="55">
        <f>'Input|Forecast Data'!H58+SUMPRODUCT(--('Input|Customer Contributions'!$E$9:$E$21=$E58),'Input|Customer Contributions'!K$9:K$21)</f>
        <v>78.144900000000007</v>
      </c>
      <c r="K58" s="55">
        <f>'Input|Forecast Data'!I58+SUMPRODUCT(--('Input|Customer Contributions'!$E$9:$E$21=$E58),'Input|Customer Contributions'!L$9:L$21)</f>
        <v>-123.09343999999999</v>
      </c>
      <c r="L58" s="55">
        <f>'Input|Forecast Data'!J58+SUMPRODUCT(--('Input|Customer Contributions'!$E$9:$E$21=$E58),'Input|Customer Contributions'!M$9:M$21)</f>
        <v>0</v>
      </c>
      <c r="M58" s="142">
        <f>'Input|Forecast Data'!K58</f>
        <v>0</v>
      </c>
      <c r="N58" s="142">
        <f>'Input|Forecast Data'!L58</f>
        <v>0</v>
      </c>
      <c r="O58" s="142">
        <f>'Input|Forecast Data'!M58</f>
        <v>1625.2163853091497</v>
      </c>
      <c r="P58" s="142">
        <f>'Input|Forecast Data'!N58</f>
        <v>1625.2163853091497</v>
      </c>
      <c r="Q58" s="142">
        <f>'Input|Forecast Data'!O58</f>
        <v>1625.2163853091497</v>
      </c>
      <c r="R58" s="142">
        <f>'Input|Forecast Data'!P58</f>
        <v>1625.2163853091497</v>
      </c>
      <c r="S58" s="142">
        <f>'Input|Forecast Data'!Q58</f>
        <v>1625.2163853091497</v>
      </c>
      <c r="T58" s="7"/>
      <c r="U58" s="7"/>
    </row>
    <row r="59" spans="1:21" x14ac:dyDescent="0.2">
      <c r="A59" s="7"/>
      <c r="B59" s="7"/>
      <c r="C59" s="7"/>
      <c r="D59" s="7"/>
      <c r="E59" s="39">
        <v>156</v>
      </c>
      <c r="F59" s="39" t="s">
        <v>2264</v>
      </c>
      <c r="G59" s="39" t="str">
        <f>VLOOKUP(E59,Mapping!$E$11:$G$96,3,0)</f>
        <v>Replacement</v>
      </c>
      <c r="H59" s="149" t="str">
        <f>VLOOKUP(E59,Mapping!$E$11:$K$96,7,0)</f>
        <v>SCADA/Network control</v>
      </c>
      <c r="I59" s="55">
        <f>'Input|Forecast Data'!G59+SUMPRODUCT(--('Input|Customer Contributions'!$E$9:$E$21=$E59),'Input|Customer Contributions'!J$9:J$21)</f>
        <v>1952.9005000000002</v>
      </c>
      <c r="J59" s="55">
        <f>'Input|Forecast Data'!H59+SUMPRODUCT(--('Input|Customer Contributions'!$E$9:$E$21=$E59),'Input|Customer Contributions'!K$9:K$21)</f>
        <v>2688.1724399999998</v>
      </c>
      <c r="K59" s="55">
        <f>'Input|Forecast Data'!I59+SUMPRODUCT(--('Input|Customer Contributions'!$E$9:$E$21=$E59),'Input|Customer Contributions'!L$9:L$21)</f>
        <v>2633.9419600000006</v>
      </c>
      <c r="L59" s="55">
        <f>'Input|Forecast Data'!J59+SUMPRODUCT(--('Input|Customer Contributions'!$E$9:$E$21=$E59),'Input|Customer Contributions'!M$9:M$21)</f>
        <v>2558.7123399999996</v>
      </c>
      <c r="M59" s="142">
        <f>'Input|Forecast Data'!K59</f>
        <v>3254.5451750231032</v>
      </c>
      <c r="N59" s="142">
        <f>'Input|Forecast Data'!L59</f>
        <v>1606.5540944918318</v>
      </c>
      <c r="O59" s="142">
        <f>'Input|Forecast Data'!M59</f>
        <v>2911.1703213156652</v>
      </c>
      <c r="P59" s="142">
        <f>'Input|Forecast Data'!N59</f>
        <v>2896.2412427448176</v>
      </c>
      <c r="Q59" s="142">
        <f>'Input|Forecast Data'!O59</f>
        <v>2926.0993998865156</v>
      </c>
      <c r="R59" s="142">
        <f>'Input|Forecast Data'!P59</f>
        <v>2985.8157141699135</v>
      </c>
      <c r="S59" s="142">
        <f>'Input|Forecast Data'!Q59</f>
        <v>2985.8157141699139</v>
      </c>
      <c r="T59" s="7"/>
      <c r="U59" s="7"/>
    </row>
    <row r="60" spans="1:21" hidden="1" x14ac:dyDescent="0.2">
      <c r="A60" s="7"/>
      <c r="B60" s="7"/>
      <c r="C60" s="7"/>
      <c r="D60" s="7"/>
      <c r="E60" s="39">
        <v>157</v>
      </c>
      <c r="F60" s="39" t="s">
        <v>2265</v>
      </c>
      <c r="G60" s="39" t="str">
        <f>VLOOKUP(E60,Mapping!$E$11:$G$96,3,0)</f>
        <v>Replacement</v>
      </c>
      <c r="H60" s="149" t="str">
        <f>VLOOKUP(E60,Mapping!$E$11:$K$96,7,0)</f>
        <v>SCS</v>
      </c>
      <c r="I60" s="55">
        <f>'Input|Forecast Data'!G60+SUMPRODUCT(--('Input|Customer Contributions'!$E$9:$E$21=$E60),'Input|Customer Contributions'!J$9:J$21)</f>
        <v>4509.6181200000001</v>
      </c>
      <c r="J60" s="55">
        <f>'Input|Forecast Data'!H60+SUMPRODUCT(--('Input|Customer Contributions'!$E$9:$E$21=$E60),'Input|Customer Contributions'!K$9:K$21)</f>
        <v>2688.61924</v>
      </c>
      <c r="K60" s="55">
        <f>'Input|Forecast Data'!I60+SUMPRODUCT(--('Input|Customer Contributions'!$E$9:$E$21=$E60),'Input|Customer Contributions'!L$9:L$21)</f>
        <v>5231.7799300000006</v>
      </c>
      <c r="L60" s="55">
        <f>'Input|Forecast Data'!J60+SUMPRODUCT(--('Input|Customer Contributions'!$E$9:$E$21=$E60),'Input|Customer Contributions'!M$9:M$21)</f>
        <v>3400.2596600000002</v>
      </c>
      <c r="M60" s="142">
        <f>'Input|Forecast Data'!K60</f>
        <v>3161.8306425834198</v>
      </c>
      <c r="N60" s="142">
        <f>'Input|Forecast Data'!L60</f>
        <v>3946.7078680221539</v>
      </c>
      <c r="O60" s="142">
        <f>'Input|Forecast Data'!M60</f>
        <v>3730.1291202168782</v>
      </c>
      <c r="P60" s="142">
        <f>'Input|Forecast Data'!N60</f>
        <v>7957.3372934893605</v>
      </c>
      <c r="Q60" s="142">
        <f>'Input|Forecast Data'!O60</f>
        <v>6620.8898289709759</v>
      </c>
      <c r="R60" s="142">
        <f>'Input|Forecast Data'!P60</f>
        <v>5374.4618935778244</v>
      </c>
      <c r="S60" s="142">
        <f>'Input|Forecast Data'!Q60</f>
        <v>8224.1858500965427</v>
      </c>
      <c r="T60" s="7"/>
      <c r="U60" s="7"/>
    </row>
    <row r="61" spans="1:21" hidden="1" x14ac:dyDescent="0.2">
      <c r="A61" s="7"/>
      <c r="B61" s="7"/>
      <c r="C61" s="7"/>
      <c r="D61" s="7"/>
      <c r="E61" s="39">
        <v>158</v>
      </c>
      <c r="F61" s="39" t="s">
        <v>2266</v>
      </c>
      <c r="G61" s="39" t="str">
        <f>VLOOKUP(E61,Mapping!$E$11:$G$96,3,0)</f>
        <v>Replacement</v>
      </c>
      <c r="H61" s="149" t="str">
        <f>VLOOKUP(E61,Mapping!$E$11:$K$96,7,0)</f>
        <v>SCS</v>
      </c>
      <c r="I61" s="55">
        <f>'Input|Forecast Data'!G61+SUMPRODUCT(--('Input|Customer Contributions'!$E$9:$E$21=$E61),'Input|Customer Contributions'!J$9:J$21)</f>
        <v>23.393729999999998</v>
      </c>
      <c r="J61" s="55">
        <f>'Input|Forecast Data'!H61+SUMPRODUCT(--('Input|Customer Contributions'!$E$9:$E$21=$E61),'Input|Customer Contributions'!K$9:K$21)</f>
        <v>34.039780000000007</v>
      </c>
      <c r="K61" s="55">
        <f>'Input|Forecast Data'!I61+SUMPRODUCT(--('Input|Customer Contributions'!$E$9:$E$21=$E61),'Input|Customer Contributions'!L$9:L$21)</f>
        <v>58.575829999999996</v>
      </c>
      <c r="L61" s="55">
        <f>'Input|Forecast Data'!J61+SUMPRODUCT(--('Input|Customer Contributions'!$E$9:$E$21=$E61),'Input|Customer Contributions'!M$9:M$21)</f>
        <v>0</v>
      </c>
      <c r="M61" s="142">
        <f>'Input|Forecast Data'!K61</f>
        <v>0</v>
      </c>
      <c r="N61" s="142">
        <f>'Input|Forecast Data'!L61</f>
        <v>1038.34222029132</v>
      </c>
      <c r="O61" s="142">
        <f>'Input|Forecast Data'!M61</f>
        <v>112.82600368281015</v>
      </c>
      <c r="P61" s="142">
        <f>'Input|Forecast Data'!N61</f>
        <v>112.82600368281015</v>
      </c>
      <c r="Q61" s="142">
        <f>'Input|Forecast Data'!O61</f>
        <v>112.82600368281015</v>
      </c>
      <c r="R61" s="142">
        <f>'Input|Forecast Data'!P61</f>
        <v>112.82600368281015</v>
      </c>
      <c r="S61" s="142">
        <f>'Input|Forecast Data'!Q61</f>
        <v>112.82600368281015</v>
      </c>
      <c r="T61" s="7"/>
      <c r="U61" s="7"/>
    </row>
    <row r="62" spans="1:21" x14ac:dyDescent="0.2">
      <c r="A62" s="7"/>
      <c r="B62" s="7"/>
      <c r="C62" s="7"/>
      <c r="D62" s="7"/>
      <c r="E62" s="39">
        <v>159</v>
      </c>
      <c r="F62" s="39" t="s">
        <v>2267</v>
      </c>
      <c r="G62" s="39" t="str">
        <f>VLOOKUP(E62,Mapping!$E$11:$G$96,3,0)</f>
        <v>Augmentation</v>
      </c>
      <c r="H62" s="149" t="str">
        <f>VLOOKUP(E62,Mapping!$E$11:$K$96,7,0)</f>
        <v>SCADA/Network control</v>
      </c>
      <c r="I62" s="55">
        <f>'Input|Forecast Data'!G62+SUMPRODUCT(--('Input|Customer Contributions'!$E$9:$E$21=$E62),'Input|Customer Contributions'!J$9:J$21)</f>
        <v>0</v>
      </c>
      <c r="J62" s="55">
        <f>'Input|Forecast Data'!H62+SUMPRODUCT(--('Input|Customer Contributions'!$E$9:$E$21=$E62),'Input|Customer Contributions'!K$9:K$21)</f>
        <v>0</v>
      </c>
      <c r="K62" s="55">
        <f>'Input|Forecast Data'!I62+SUMPRODUCT(--('Input|Customer Contributions'!$E$9:$E$21=$E62),'Input|Customer Contributions'!L$9:L$21)</f>
        <v>0</v>
      </c>
      <c r="L62" s="55">
        <f>'Input|Forecast Data'!J62+SUMPRODUCT(--('Input|Customer Contributions'!$E$9:$E$21=$E62),'Input|Customer Contributions'!M$9:M$21)</f>
        <v>0</v>
      </c>
      <c r="M62" s="142">
        <f>'Input|Forecast Data'!K62</f>
        <v>0</v>
      </c>
      <c r="N62" s="142">
        <f>'Input|Forecast Data'!L62</f>
        <v>0</v>
      </c>
      <c r="O62" s="142">
        <f>'Input|Forecast Data'!M62</f>
        <v>0</v>
      </c>
      <c r="P62" s="142">
        <f>'Input|Forecast Data'!N62</f>
        <v>0</v>
      </c>
      <c r="Q62" s="142">
        <f>'Input|Forecast Data'!O62</f>
        <v>0</v>
      </c>
      <c r="R62" s="142">
        <f>'Input|Forecast Data'!P62</f>
        <v>0</v>
      </c>
      <c r="S62" s="142">
        <f>'Input|Forecast Data'!Q62</f>
        <v>0</v>
      </c>
      <c r="T62" s="7"/>
      <c r="U62" s="7"/>
    </row>
    <row r="63" spans="1:21" hidden="1" x14ac:dyDescent="0.2">
      <c r="A63" s="7"/>
      <c r="B63" s="7"/>
      <c r="C63" s="7"/>
      <c r="D63" s="7"/>
      <c r="E63" s="39">
        <v>160</v>
      </c>
      <c r="F63" s="39" t="s">
        <v>2268</v>
      </c>
      <c r="G63" s="39" t="str">
        <f>VLOOKUP(E63,Mapping!$E$11:$G$96,3,0)</f>
        <v>Augmentation</v>
      </c>
      <c r="H63" s="149" t="str">
        <f>VLOOKUP(E63,Mapping!$E$11:$K$96,7,0)</f>
        <v>SCS</v>
      </c>
      <c r="I63" s="55">
        <f>'Input|Forecast Data'!G63+SUMPRODUCT(--('Input|Customer Contributions'!$E$9:$E$21=$E63),'Input|Customer Contributions'!J$9:J$21)</f>
        <v>1226.6641900000002</v>
      </c>
      <c r="J63" s="55">
        <f>'Input|Forecast Data'!H63+SUMPRODUCT(--('Input|Customer Contributions'!$E$9:$E$21=$E63),'Input|Customer Contributions'!K$9:K$21)</f>
        <v>624.27343000000008</v>
      </c>
      <c r="K63" s="55">
        <f>'Input|Forecast Data'!I63+SUMPRODUCT(--('Input|Customer Contributions'!$E$9:$E$21=$E63),'Input|Customer Contributions'!L$9:L$21)</f>
        <v>1002.3984799999999</v>
      </c>
      <c r="L63" s="55">
        <f>'Input|Forecast Data'!J63+SUMPRODUCT(--('Input|Customer Contributions'!$E$9:$E$21=$E63),'Input|Customer Contributions'!M$9:M$21)</f>
        <v>2190.8899799999995</v>
      </c>
      <c r="M63" s="142">
        <f>'Input|Forecast Data'!K63</f>
        <v>1498.4402592630115</v>
      </c>
      <c r="N63" s="142">
        <f>'Input|Forecast Data'!L63</f>
        <v>1754.6195590789507</v>
      </c>
      <c r="O63" s="142">
        <f>'Input|Forecast Data'!M63</f>
        <v>5120.8247612977475</v>
      </c>
      <c r="P63" s="142">
        <f>'Input|Forecast Data'!N63</f>
        <v>4896.1250622936741</v>
      </c>
      <c r="Q63" s="142">
        <f>'Input|Forecast Data'!O63</f>
        <v>5165.6996817072159</v>
      </c>
      <c r="R63" s="142">
        <f>'Input|Forecast Data'!P63</f>
        <v>5163.1885696313129</v>
      </c>
      <c r="S63" s="142">
        <f>'Input|Forecast Data'!Q63</f>
        <v>5261.3590179904022</v>
      </c>
      <c r="T63" s="7"/>
      <c r="U63" s="7"/>
    </row>
    <row r="64" spans="1:21" hidden="1" x14ac:dyDescent="0.2">
      <c r="A64" s="7"/>
      <c r="B64" s="7"/>
      <c r="C64" s="7"/>
      <c r="D64" s="7"/>
      <c r="E64" s="39">
        <v>161</v>
      </c>
      <c r="F64" s="39" t="s">
        <v>2269</v>
      </c>
      <c r="G64" s="39" t="str">
        <f>VLOOKUP(E64,Mapping!$E$11:$G$96,3,0)</f>
        <v>Augmentation</v>
      </c>
      <c r="H64" s="149" t="str">
        <f>VLOOKUP(E64,Mapping!$E$11:$K$96,7,0)</f>
        <v>SCS</v>
      </c>
      <c r="I64" s="55">
        <f>'Input|Forecast Data'!G64+SUMPRODUCT(--('Input|Customer Contributions'!$E$9:$E$21=$E64),'Input|Customer Contributions'!J$9:J$21)</f>
        <v>11531.302020000005</v>
      </c>
      <c r="J64" s="55">
        <f>'Input|Forecast Data'!H64+SUMPRODUCT(--('Input|Customer Contributions'!$E$9:$E$21=$E64),'Input|Customer Contributions'!K$9:K$21)</f>
        <v>5645.9560899999988</v>
      </c>
      <c r="K64" s="55">
        <f>'Input|Forecast Data'!I64+SUMPRODUCT(--('Input|Customer Contributions'!$E$9:$E$21=$E64),'Input|Customer Contributions'!L$9:L$21)</f>
        <v>6888.5576400000036</v>
      </c>
      <c r="L64" s="55">
        <f>'Input|Forecast Data'!J64+SUMPRODUCT(--('Input|Customer Contributions'!$E$9:$E$21=$E64),'Input|Customer Contributions'!M$9:M$21)</f>
        <v>3939.9786299999982</v>
      </c>
      <c r="M64" s="142">
        <f>'Input|Forecast Data'!K64</f>
        <v>4706.6537456428678</v>
      </c>
      <c r="N64" s="142">
        <f>'Input|Forecast Data'!L64</f>
        <v>6413.3914701171543</v>
      </c>
      <c r="O64" s="142">
        <f>'Input|Forecast Data'!M64</f>
        <v>288.44336283185839</v>
      </c>
      <c r="P64" s="142">
        <f>'Input|Forecast Data'!N64</f>
        <v>104.81651327433627</v>
      </c>
      <c r="Q64" s="142">
        <f>'Input|Forecast Data'!O64</f>
        <v>1991.5137522123894</v>
      </c>
      <c r="R64" s="142">
        <f>'Input|Forecast Data'!P64</f>
        <v>2195.1928141592921</v>
      </c>
      <c r="S64" s="142">
        <f>'Input|Forecast Data'!Q64</f>
        <v>2778.4448318584077</v>
      </c>
      <c r="T64" s="7"/>
      <c r="U64" s="7"/>
    </row>
    <row r="65" spans="1:21" hidden="1" x14ac:dyDescent="0.2">
      <c r="A65" s="7"/>
      <c r="B65" s="7"/>
      <c r="C65" s="7"/>
      <c r="D65" s="7"/>
      <c r="E65" s="75" t="s">
        <v>2405</v>
      </c>
      <c r="F65" s="39" t="s">
        <v>2269</v>
      </c>
      <c r="G65" s="39" t="str">
        <f>VLOOKUP(E65,Mapping!$E$11:$G$96,3,0)</f>
        <v>Land</v>
      </c>
      <c r="H65" s="149" t="str">
        <f>VLOOKUP(E65,Mapping!$E$11:$K$96,7,0)</f>
        <v>Land</v>
      </c>
      <c r="I65" s="55">
        <f>'Input|Forecast Data'!G65+SUMPRODUCT(--('Input|Customer Contributions'!$E$9:$E$21=$E65),'Input|Customer Contributions'!J$9:J$21)</f>
        <v>0</v>
      </c>
      <c r="J65" s="55">
        <f>'Input|Forecast Data'!H65+SUMPRODUCT(--('Input|Customer Contributions'!$E$9:$E$21=$E65),'Input|Customer Contributions'!K$9:K$21)</f>
        <v>24630.534</v>
      </c>
      <c r="K65" s="55">
        <f>'Input|Forecast Data'!I65+SUMPRODUCT(--('Input|Customer Contributions'!$E$9:$E$21=$E65),'Input|Customer Contributions'!L$9:L$21)</f>
        <v>0</v>
      </c>
      <c r="L65" s="55">
        <f>'Input|Forecast Data'!J65+SUMPRODUCT(--('Input|Customer Contributions'!$E$9:$E$21=$E65),'Input|Customer Contributions'!M$9:M$21)</f>
        <v>0</v>
      </c>
      <c r="M65" s="142">
        <f>'Input|Forecast Data'!K65</f>
        <v>0</v>
      </c>
      <c r="N65" s="142">
        <f>'Input|Forecast Data'!L65</f>
        <v>0</v>
      </c>
      <c r="O65" s="142">
        <f>'Input|Forecast Data'!M65</f>
        <v>0</v>
      </c>
      <c r="P65" s="142">
        <f>'Input|Forecast Data'!N65</f>
        <v>0</v>
      </c>
      <c r="Q65" s="142">
        <f>'Input|Forecast Data'!O65</f>
        <v>0</v>
      </c>
      <c r="R65" s="142">
        <f>'Input|Forecast Data'!P65</f>
        <v>0</v>
      </c>
      <c r="S65" s="142">
        <f>'Input|Forecast Data'!Q65</f>
        <v>0</v>
      </c>
      <c r="T65" s="7"/>
      <c r="U65" s="7"/>
    </row>
    <row r="66" spans="1:21" hidden="1" x14ac:dyDescent="0.2">
      <c r="A66" s="7"/>
      <c r="B66" s="7"/>
      <c r="C66" s="7"/>
      <c r="D66" s="7"/>
      <c r="E66" s="39">
        <v>162</v>
      </c>
      <c r="F66" s="39" t="s">
        <v>2270</v>
      </c>
      <c r="G66" s="39" t="str">
        <f>VLOOKUP(E66,Mapping!$E$11:$G$96,3,0)</f>
        <v>Augmentation</v>
      </c>
      <c r="H66" s="149" t="str">
        <f>VLOOKUP(E66,Mapping!$E$11:$K$96,7,0)</f>
        <v>SCS</v>
      </c>
      <c r="I66" s="55">
        <f>'Input|Forecast Data'!G66+SUMPRODUCT(--('Input|Customer Contributions'!$E$9:$E$21=$E66),'Input|Customer Contributions'!J$9:J$21)</f>
        <v>15657.477850000001</v>
      </c>
      <c r="J66" s="55">
        <f>'Input|Forecast Data'!H66+SUMPRODUCT(--('Input|Customer Contributions'!$E$9:$E$21=$E66),'Input|Customer Contributions'!K$9:K$21)</f>
        <v>7604.7117099999987</v>
      </c>
      <c r="K66" s="55">
        <f>'Input|Forecast Data'!I66+SUMPRODUCT(--('Input|Customer Contributions'!$E$9:$E$21=$E66),'Input|Customer Contributions'!L$9:L$21)</f>
        <v>4711.7751100000005</v>
      </c>
      <c r="L66" s="55">
        <f>'Input|Forecast Data'!J66+SUMPRODUCT(--('Input|Customer Contributions'!$E$9:$E$21=$E66),'Input|Customer Contributions'!M$9:M$21)</f>
        <v>8199.6085400000047</v>
      </c>
      <c r="M66" s="142">
        <f>'Input|Forecast Data'!K66</f>
        <v>19897.731283709814</v>
      </c>
      <c r="N66" s="142">
        <f>'Input|Forecast Data'!L66</f>
        <v>47010.314463898925</v>
      </c>
      <c r="O66" s="142">
        <f>'Input|Forecast Data'!M66</f>
        <v>30385.335899911508</v>
      </c>
      <c r="P66" s="142">
        <f>'Input|Forecast Data'!N66</f>
        <v>11326.745905752214</v>
      </c>
      <c r="Q66" s="142">
        <f>'Input|Forecast Data'!O66</f>
        <v>5188.4174070796462</v>
      </c>
      <c r="R66" s="142">
        <f>'Input|Forecast Data'!P66</f>
        <v>8856.0030442477873</v>
      </c>
      <c r="S66" s="142">
        <f>'Input|Forecast Data'!Q66</f>
        <v>6330.2212300884958</v>
      </c>
      <c r="T66" s="7"/>
      <c r="U66" s="7"/>
    </row>
    <row r="67" spans="1:21" hidden="1" x14ac:dyDescent="0.2">
      <c r="A67" s="7"/>
      <c r="B67" s="7"/>
      <c r="C67" s="7"/>
      <c r="D67" s="7"/>
      <c r="E67" s="39">
        <v>163</v>
      </c>
      <c r="F67" s="39" t="s">
        <v>2271</v>
      </c>
      <c r="G67" s="39" t="str">
        <f>VLOOKUP(E67,Mapping!$E$11:$G$96,3,0)</f>
        <v>Replacement</v>
      </c>
      <c r="H67" s="149" t="str">
        <f>VLOOKUP(E67,Mapping!$E$11:$K$96,7,0)</f>
        <v>SCS</v>
      </c>
      <c r="I67" s="55">
        <f>'Input|Forecast Data'!G67+SUMPRODUCT(--('Input|Customer Contributions'!$E$9:$E$21=$E67),'Input|Customer Contributions'!J$9:J$21)</f>
        <v>803.6418900000001</v>
      </c>
      <c r="J67" s="55">
        <f>'Input|Forecast Data'!H67+SUMPRODUCT(--('Input|Customer Contributions'!$E$9:$E$21=$E67),'Input|Customer Contributions'!K$9:K$21)</f>
        <v>-24.68084</v>
      </c>
      <c r="K67" s="55">
        <f>'Input|Forecast Data'!I67+SUMPRODUCT(--('Input|Customer Contributions'!$E$9:$E$21=$E67),'Input|Customer Contributions'!L$9:L$21)</f>
        <v>145.22188</v>
      </c>
      <c r="L67" s="55">
        <f>'Input|Forecast Data'!J67+SUMPRODUCT(--('Input|Customer Contributions'!$E$9:$E$21=$E67),'Input|Customer Contributions'!M$9:M$21)</f>
        <v>1306.2616800000001</v>
      </c>
      <c r="M67" s="142">
        <f>'Input|Forecast Data'!K67</f>
        <v>2189.0498114815964</v>
      </c>
      <c r="N67" s="142">
        <f>'Input|Forecast Data'!L67</f>
        <v>2912.6944226952469</v>
      </c>
      <c r="O67" s="142">
        <f>'Input|Forecast Data'!M67</f>
        <v>901.17941244325868</v>
      </c>
      <c r="P67" s="142">
        <f>'Input|Forecast Data'!N67</f>
        <v>901.17941244325868</v>
      </c>
      <c r="Q67" s="142">
        <f>'Input|Forecast Data'!O67</f>
        <v>901.17941244325868</v>
      </c>
      <c r="R67" s="142">
        <f>'Input|Forecast Data'!P67</f>
        <v>901.17941244325868</v>
      </c>
      <c r="S67" s="142">
        <f>'Input|Forecast Data'!Q67</f>
        <v>901.17941244325868</v>
      </c>
      <c r="T67" s="7"/>
      <c r="U67" s="7"/>
    </row>
    <row r="68" spans="1:21" hidden="1" x14ac:dyDescent="0.2">
      <c r="A68" s="7"/>
      <c r="B68" s="7"/>
      <c r="C68" s="7"/>
      <c r="D68" s="7"/>
      <c r="E68" s="39">
        <v>164</v>
      </c>
      <c r="F68" s="39" t="s">
        <v>2272</v>
      </c>
      <c r="G68" s="39" t="str">
        <f>VLOOKUP(E68,Mapping!$E$11:$G$96,3,0)</f>
        <v>Replacement</v>
      </c>
      <c r="H68" s="149" t="str">
        <f>VLOOKUP(E68,Mapping!$E$11:$K$96,7,0)</f>
        <v>SCS</v>
      </c>
      <c r="I68" s="55">
        <f>'Input|Forecast Data'!G68+SUMPRODUCT(--('Input|Customer Contributions'!$E$9:$E$21=$E68),'Input|Customer Contributions'!J$9:J$21)</f>
        <v>0</v>
      </c>
      <c r="J68" s="55">
        <f>'Input|Forecast Data'!H68+SUMPRODUCT(--('Input|Customer Contributions'!$E$9:$E$21=$E68),'Input|Customer Contributions'!K$9:K$21)</f>
        <v>0</v>
      </c>
      <c r="K68" s="55">
        <f>'Input|Forecast Data'!I68+SUMPRODUCT(--('Input|Customer Contributions'!$E$9:$E$21=$E68),'Input|Customer Contributions'!L$9:L$21)</f>
        <v>0</v>
      </c>
      <c r="L68" s="55">
        <f>'Input|Forecast Data'!J68+SUMPRODUCT(--('Input|Customer Contributions'!$E$9:$E$21=$E68),'Input|Customer Contributions'!M$9:M$21)</f>
        <v>0</v>
      </c>
      <c r="M68" s="142">
        <f>'Input|Forecast Data'!K68</f>
        <v>0</v>
      </c>
      <c r="N68" s="142">
        <f>'Input|Forecast Data'!L68</f>
        <v>0</v>
      </c>
      <c r="O68" s="142">
        <f>'Input|Forecast Data'!M68</f>
        <v>0</v>
      </c>
      <c r="P68" s="142">
        <f>'Input|Forecast Data'!N68</f>
        <v>0</v>
      </c>
      <c r="Q68" s="142">
        <f>'Input|Forecast Data'!O68</f>
        <v>0</v>
      </c>
      <c r="R68" s="142">
        <f>'Input|Forecast Data'!P68</f>
        <v>0</v>
      </c>
      <c r="S68" s="142">
        <f>'Input|Forecast Data'!Q68</f>
        <v>0</v>
      </c>
      <c r="T68" s="7"/>
      <c r="U68" s="7"/>
    </row>
    <row r="69" spans="1:21" hidden="1" x14ac:dyDescent="0.2">
      <c r="A69" s="7"/>
      <c r="B69" s="7"/>
      <c r="C69" s="7"/>
      <c r="D69" s="7"/>
      <c r="E69" s="39">
        <v>165</v>
      </c>
      <c r="F69" s="39" t="s">
        <v>2273</v>
      </c>
      <c r="G69" s="39" t="str">
        <f>VLOOKUP(E69,Mapping!$E$11:$G$96,3,0)</f>
        <v>Replacement</v>
      </c>
      <c r="H69" s="149" t="str">
        <f>VLOOKUP(E69,Mapping!$E$11:$K$96,7,0)</f>
        <v>SCS</v>
      </c>
      <c r="I69" s="55">
        <f>'Input|Forecast Data'!G69+SUMPRODUCT(--('Input|Customer Contributions'!$E$9:$E$21=$E69),'Input|Customer Contributions'!J$9:J$21)</f>
        <v>0</v>
      </c>
      <c r="J69" s="55">
        <f>'Input|Forecast Data'!H69+SUMPRODUCT(--('Input|Customer Contributions'!$E$9:$E$21=$E69),'Input|Customer Contributions'!K$9:K$21)</f>
        <v>0</v>
      </c>
      <c r="K69" s="55">
        <f>'Input|Forecast Data'!I69+SUMPRODUCT(--('Input|Customer Contributions'!$E$9:$E$21=$E69),'Input|Customer Contributions'!L$9:L$21)</f>
        <v>-10.725010000000003</v>
      </c>
      <c r="L69" s="55">
        <f>'Input|Forecast Data'!J69+SUMPRODUCT(--('Input|Customer Contributions'!$E$9:$E$21=$E69),'Input|Customer Contributions'!M$9:M$21)</f>
        <v>-179.13206</v>
      </c>
      <c r="M69" s="142">
        <f>'Input|Forecast Data'!K69</f>
        <v>-6.027981152661356</v>
      </c>
      <c r="N69" s="142">
        <f>'Input|Forecast Data'!L69</f>
        <v>0</v>
      </c>
      <c r="O69" s="142">
        <f>'Input|Forecast Data'!M69</f>
        <v>0</v>
      </c>
      <c r="P69" s="142">
        <f>'Input|Forecast Data'!N69</f>
        <v>0</v>
      </c>
      <c r="Q69" s="142">
        <f>'Input|Forecast Data'!O69</f>
        <v>0</v>
      </c>
      <c r="R69" s="142">
        <f>'Input|Forecast Data'!P69</f>
        <v>0</v>
      </c>
      <c r="S69" s="142">
        <f>'Input|Forecast Data'!Q69</f>
        <v>0</v>
      </c>
      <c r="T69" s="7"/>
      <c r="U69" s="7"/>
    </row>
    <row r="70" spans="1:21" hidden="1" x14ac:dyDescent="0.2">
      <c r="A70" s="7"/>
      <c r="B70" s="7"/>
      <c r="C70" s="7"/>
      <c r="D70" s="7"/>
      <c r="E70" s="39">
        <v>166</v>
      </c>
      <c r="F70" s="39" t="s">
        <v>2274</v>
      </c>
      <c r="G70" s="39" t="str">
        <f>VLOOKUP(E70,Mapping!$E$11:$G$96,3,0)</f>
        <v>Augmentation</v>
      </c>
      <c r="H70" s="149" t="str">
        <f>VLOOKUP(E70,Mapping!$E$11:$K$96,7,0)</f>
        <v>SCS</v>
      </c>
      <c r="I70" s="55">
        <f>'Input|Forecast Data'!G70+SUMPRODUCT(--('Input|Customer Contributions'!$E$9:$E$21=$E70),'Input|Customer Contributions'!J$9:J$21)</f>
        <v>14.808479999999999</v>
      </c>
      <c r="J70" s="55">
        <f>'Input|Forecast Data'!H70+SUMPRODUCT(--('Input|Customer Contributions'!$E$9:$E$21=$E70),'Input|Customer Contributions'!K$9:K$21)</f>
        <v>1.1499999999999999</v>
      </c>
      <c r="K70" s="55">
        <f>'Input|Forecast Data'!I70+SUMPRODUCT(--('Input|Customer Contributions'!$E$9:$E$21=$E70),'Input|Customer Contributions'!L$9:L$21)</f>
        <v>292.9899999999999</v>
      </c>
      <c r="L70" s="55">
        <f>'Input|Forecast Data'!J70+SUMPRODUCT(--('Input|Customer Contributions'!$E$9:$E$21=$E70),'Input|Customer Contributions'!M$9:M$21)</f>
        <v>236.9162199999999</v>
      </c>
      <c r="M70" s="142">
        <f>'Input|Forecast Data'!K70</f>
        <v>575.40373565283835</v>
      </c>
      <c r="N70" s="142">
        <f>'Input|Forecast Data'!L70</f>
        <v>988.1526951492026</v>
      </c>
      <c r="O70" s="142">
        <f>'Input|Forecast Data'!M70</f>
        <v>0</v>
      </c>
      <c r="P70" s="142">
        <f>'Input|Forecast Data'!N70</f>
        <v>0</v>
      </c>
      <c r="Q70" s="142">
        <f>'Input|Forecast Data'!O70</f>
        <v>0</v>
      </c>
      <c r="R70" s="142">
        <f>'Input|Forecast Data'!P70</f>
        <v>0</v>
      </c>
      <c r="S70" s="142">
        <f>'Input|Forecast Data'!Q70</f>
        <v>0</v>
      </c>
      <c r="T70" s="7"/>
      <c r="U70" s="7"/>
    </row>
    <row r="71" spans="1:21" hidden="1" x14ac:dyDescent="0.2">
      <c r="A71" s="7"/>
      <c r="B71" s="7"/>
      <c r="C71" s="7"/>
      <c r="D71" s="7"/>
      <c r="E71" s="39">
        <v>167</v>
      </c>
      <c r="F71" s="39" t="s">
        <v>39</v>
      </c>
      <c r="G71" s="39" t="str">
        <f>VLOOKUP(E71,Mapping!$E$11:$G$96,3,0)</f>
        <v>VBRC Calc</v>
      </c>
      <c r="H71" s="149" t="str">
        <f>VLOOKUP(E71,Mapping!$E$11:$K$96,7,0)</f>
        <v>VBRC Calc</v>
      </c>
      <c r="I71" s="55">
        <f>'Input|Forecast Data'!G71+SUMPRODUCT(--('Input|Customer Contributions'!$E$9:$E$21=$E71),'Input|Customer Contributions'!J$9:J$21)</f>
        <v>0</v>
      </c>
      <c r="J71" s="55">
        <f>'Input|Forecast Data'!H71+SUMPRODUCT(--('Input|Customer Contributions'!$E$9:$E$21=$E71),'Input|Customer Contributions'!K$9:K$21)</f>
        <v>0</v>
      </c>
      <c r="K71" s="55">
        <f>'Input|Forecast Data'!I71+SUMPRODUCT(--('Input|Customer Contributions'!$E$9:$E$21=$E71),'Input|Customer Contributions'!L$9:L$21)</f>
        <v>0</v>
      </c>
      <c r="L71" s="55">
        <f>'Input|Forecast Data'!J71+SUMPRODUCT(--('Input|Customer Contributions'!$E$9:$E$21=$E71),'Input|Customer Contributions'!M$9:M$21)</f>
        <v>33.343380000000003</v>
      </c>
      <c r="M71" s="142">
        <f>'Input|Forecast Data'!K71</f>
        <v>6.1819492458391547</v>
      </c>
      <c r="N71" s="142">
        <f>'Input|Forecast Data'!L71</f>
        <v>1067.3919088603623</v>
      </c>
      <c r="O71" s="142">
        <f>'Input|Forecast Data'!M71</f>
        <v>0</v>
      </c>
      <c r="P71" s="142">
        <f>'Input|Forecast Data'!N71</f>
        <v>0</v>
      </c>
      <c r="Q71" s="142">
        <f>'Input|Forecast Data'!O71</f>
        <v>0</v>
      </c>
      <c r="R71" s="142">
        <f>'Input|Forecast Data'!P71</f>
        <v>0</v>
      </c>
      <c r="S71" s="142">
        <f>'Input|Forecast Data'!Q71</f>
        <v>0</v>
      </c>
      <c r="T71" s="7"/>
      <c r="U71" s="7"/>
    </row>
    <row r="72" spans="1:21" x14ac:dyDescent="0.2">
      <c r="A72" s="7"/>
      <c r="B72" s="7"/>
      <c r="C72" s="7"/>
      <c r="D72" s="7"/>
      <c r="E72" s="39">
        <v>168</v>
      </c>
      <c r="F72" s="39" t="s">
        <v>2275</v>
      </c>
      <c r="G72" s="39" t="str">
        <f>VLOOKUP(E72,Mapping!$E$11:$G$96,3,0)</f>
        <v>Augmentation</v>
      </c>
      <c r="H72" s="149" t="str">
        <f>VLOOKUP(E72,Mapping!$E$11:$K$96,7,0)</f>
        <v>SCADA/Network control</v>
      </c>
      <c r="I72" s="55">
        <f>'Input|Forecast Data'!G72+SUMPRODUCT(--('Input|Customer Contributions'!$E$9:$E$21=$E72),'Input|Customer Contributions'!J$9:J$21)</f>
        <v>1760.8905199999997</v>
      </c>
      <c r="J72" s="55">
        <f>'Input|Forecast Data'!H72+SUMPRODUCT(--('Input|Customer Contributions'!$E$9:$E$21=$E72),'Input|Customer Contributions'!K$9:K$21)</f>
        <v>2074.5871100000008</v>
      </c>
      <c r="K72" s="55">
        <f>'Input|Forecast Data'!I72+SUMPRODUCT(--('Input|Customer Contributions'!$E$9:$E$21=$E72),'Input|Customer Contributions'!L$9:L$21)</f>
        <v>1478.95381</v>
      </c>
      <c r="L72" s="55">
        <f>'Input|Forecast Data'!J72+SUMPRODUCT(--('Input|Customer Contributions'!$E$9:$E$21=$E72),'Input|Customer Contributions'!M$9:M$21)</f>
        <v>1288.6180099999999</v>
      </c>
      <c r="M72" s="142">
        <f>'Input|Forecast Data'!K72</f>
        <v>2515.2863751899458</v>
      </c>
      <c r="N72" s="142">
        <f>'Input|Forecast Data'!L72</f>
        <v>1867.8861185280455</v>
      </c>
      <c r="O72" s="142">
        <f>'Input|Forecast Data'!M72</f>
        <v>3038.5707593964776</v>
      </c>
      <c r="P72" s="142">
        <f>'Input|Forecast Data'!N72</f>
        <v>3334.5082594995138</v>
      </c>
      <c r="Q72" s="142">
        <f>'Input|Forecast Data'!O72</f>
        <v>2188.3700040163626</v>
      </c>
      <c r="R72" s="142">
        <f>'Input|Forecast Data'!P72</f>
        <v>2787.0357482953259</v>
      </c>
      <c r="S72" s="142">
        <f>'Input|Forecast Data'!Q72</f>
        <v>2854.0563330672849</v>
      </c>
      <c r="T72" s="7"/>
      <c r="U72" s="7"/>
    </row>
    <row r="73" spans="1:21" hidden="1" x14ac:dyDescent="0.2">
      <c r="A73" s="7"/>
      <c r="B73" s="7"/>
      <c r="C73" s="7"/>
      <c r="D73" s="7"/>
      <c r="E73" s="39">
        <v>169</v>
      </c>
      <c r="F73" s="39" t="s">
        <v>2276</v>
      </c>
      <c r="G73" s="39" t="str">
        <f>VLOOKUP(E73,Mapping!$E$11:$G$96,3,0)</f>
        <v>Augmentation</v>
      </c>
      <c r="H73" s="149" t="str">
        <f>VLOOKUP(E73,Mapping!$E$11:$K$96,7,0)</f>
        <v>SCS</v>
      </c>
      <c r="I73" s="55">
        <f>'Input|Forecast Data'!G73+SUMPRODUCT(--('Input|Customer Contributions'!$E$9:$E$21=$E73),'Input|Customer Contributions'!J$9:J$21)</f>
        <v>0</v>
      </c>
      <c r="J73" s="55">
        <f>'Input|Forecast Data'!H73+SUMPRODUCT(--('Input|Customer Contributions'!$E$9:$E$21=$E73),'Input|Customer Contributions'!K$9:K$21)</f>
        <v>0</v>
      </c>
      <c r="K73" s="55">
        <f>'Input|Forecast Data'!I73+SUMPRODUCT(--('Input|Customer Contributions'!$E$9:$E$21=$E73),'Input|Customer Contributions'!L$9:L$21)</f>
        <v>0</v>
      </c>
      <c r="L73" s="55">
        <f>'Input|Forecast Data'!J73+SUMPRODUCT(--('Input|Customer Contributions'!$E$9:$E$21=$E73),'Input|Customer Contributions'!M$9:M$21)</f>
        <v>0</v>
      </c>
      <c r="M73" s="142">
        <f>'Input|Forecast Data'!K73</f>
        <v>0</v>
      </c>
      <c r="N73" s="142">
        <f>'Input|Forecast Data'!L73</f>
        <v>-2279.1077979958004</v>
      </c>
      <c r="O73" s="142">
        <f>'Input|Forecast Data'!M73</f>
        <v>0</v>
      </c>
      <c r="P73" s="142">
        <f>'Input|Forecast Data'!N73</f>
        <v>0</v>
      </c>
      <c r="Q73" s="142">
        <f>'Input|Forecast Data'!O73</f>
        <v>0</v>
      </c>
      <c r="R73" s="142">
        <f>'Input|Forecast Data'!P73</f>
        <v>0</v>
      </c>
      <c r="S73" s="142">
        <f>'Input|Forecast Data'!Q73</f>
        <v>0</v>
      </c>
      <c r="T73" s="7"/>
      <c r="U73" s="7"/>
    </row>
    <row r="74" spans="1:21" hidden="1" x14ac:dyDescent="0.2">
      <c r="A74" s="7"/>
      <c r="B74" s="7"/>
      <c r="C74" s="7"/>
      <c r="D74" s="7"/>
      <c r="E74" s="39">
        <v>170</v>
      </c>
      <c r="F74" s="39" t="s">
        <v>2250</v>
      </c>
      <c r="G74" s="39" t="str">
        <f>VLOOKUP(E74,Mapping!$E$11:$G$96,3,0)</f>
        <v>Replacement</v>
      </c>
      <c r="H74" s="149" t="str">
        <f>VLOOKUP(E74,Mapping!$E$11:$K$96,7,0)</f>
        <v>SCS</v>
      </c>
      <c r="I74" s="55">
        <f>'Input|Forecast Data'!G74+SUMPRODUCT(--('Input|Customer Contributions'!$E$9:$E$21=$E74),'Input|Customer Contributions'!J$9:J$21)</f>
        <v>0</v>
      </c>
      <c r="J74" s="55">
        <f>'Input|Forecast Data'!H74+SUMPRODUCT(--('Input|Customer Contributions'!$E$9:$E$21=$E74),'Input|Customer Contributions'!K$9:K$21)</f>
        <v>0</v>
      </c>
      <c r="K74" s="55">
        <f>'Input|Forecast Data'!I74+SUMPRODUCT(--('Input|Customer Contributions'!$E$9:$E$21=$E74),'Input|Customer Contributions'!L$9:L$21)</f>
        <v>0</v>
      </c>
      <c r="L74" s="55">
        <f>'Input|Forecast Data'!J74+SUMPRODUCT(--('Input|Customer Contributions'!$E$9:$E$21=$E74),'Input|Customer Contributions'!M$9:M$21)</f>
        <v>0</v>
      </c>
      <c r="M74" s="142">
        <f>'Input|Forecast Data'!K74</f>
        <v>0</v>
      </c>
      <c r="N74" s="142">
        <f>'Input|Forecast Data'!L74</f>
        <v>0</v>
      </c>
      <c r="O74" s="142">
        <f>'Input|Forecast Data'!M74</f>
        <v>0</v>
      </c>
      <c r="P74" s="142">
        <f>'Input|Forecast Data'!N74</f>
        <v>0</v>
      </c>
      <c r="Q74" s="142">
        <f>'Input|Forecast Data'!O74</f>
        <v>0</v>
      </c>
      <c r="R74" s="142">
        <f>'Input|Forecast Data'!P74</f>
        <v>0</v>
      </c>
      <c r="S74" s="142">
        <f>'Input|Forecast Data'!Q74</f>
        <v>0</v>
      </c>
      <c r="T74" s="7"/>
      <c r="U74" s="7"/>
    </row>
    <row r="75" spans="1:21" hidden="1" x14ac:dyDescent="0.2">
      <c r="A75" s="7"/>
      <c r="B75" s="7"/>
      <c r="C75" s="7"/>
      <c r="D75" s="7"/>
      <c r="E75" s="39">
        <v>171</v>
      </c>
      <c r="F75" s="39" t="s">
        <v>2277</v>
      </c>
      <c r="G75" s="39" t="str">
        <f>VLOOKUP(E75,Mapping!$E$11:$G$96,3,0)</f>
        <v>Connections</v>
      </c>
      <c r="H75" s="149" t="str">
        <f>VLOOKUP(E75,Mapping!$E$11:$K$96,7,0)</f>
        <v>SCS</v>
      </c>
      <c r="I75" s="55">
        <f>'Input|Forecast Data'!G75+SUMPRODUCT(--('Input|Customer Contributions'!$E$9:$E$21=$E75),'Input|Customer Contributions'!J$9:J$21)</f>
        <v>0</v>
      </c>
      <c r="J75" s="55">
        <f>'Input|Forecast Data'!H75+SUMPRODUCT(--('Input|Customer Contributions'!$E$9:$E$21=$E75),'Input|Customer Contributions'!K$9:K$21)</f>
        <v>0</v>
      </c>
      <c r="K75" s="55">
        <f>'Input|Forecast Data'!I75+SUMPRODUCT(--('Input|Customer Contributions'!$E$9:$E$21=$E75),'Input|Customer Contributions'!L$9:L$21)</f>
        <v>0</v>
      </c>
      <c r="L75" s="55">
        <f>'Input|Forecast Data'!J75+SUMPRODUCT(--('Input|Customer Contributions'!$E$9:$E$21=$E75),'Input|Customer Contributions'!M$9:M$21)</f>
        <v>0</v>
      </c>
      <c r="M75" s="142">
        <f>'Input|Forecast Data'!K75</f>
        <v>0</v>
      </c>
      <c r="N75" s="142">
        <f>'Input|Forecast Data'!L75</f>
        <v>0</v>
      </c>
      <c r="O75" s="142">
        <f>'Input|Forecast Data'!M75</f>
        <v>0</v>
      </c>
      <c r="P75" s="142">
        <f>'Input|Forecast Data'!N75</f>
        <v>0</v>
      </c>
      <c r="Q75" s="142">
        <f>'Input|Forecast Data'!O75</f>
        <v>0</v>
      </c>
      <c r="R75" s="142">
        <f>'Input|Forecast Data'!P75</f>
        <v>0</v>
      </c>
      <c r="S75" s="142">
        <f>'Input|Forecast Data'!Q75</f>
        <v>0</v>
      </c>
      <c r="T75" s="7"/>
      <c r="U75" s="7"/>
    </row>
    <row r="76" spans="1:21" hidden="1" x14ac:dyDescent="0.2">
      <c r="A76" s="7"/>
      <c r="B76" s="7"/>
      <c r="C76" s="7"/>
      <c r="D76" s="7"/>
      <c r="E76" s="39">
        <v>172</v>
      </c>
      <c r="F76" s="39" t="s">
        <v>2278</v>
      </c>
      <c r="G76" s="39" t="str">
        <f>VLOOKUP(E76,Mapping!$E$11:$G$96,3,0)</f>
        <v>Replacement</v>
      </c>
      <c r="H76" s="149" t="str">
        <f>VLOOKUP(E76,Mapping!$E$11:$K$96,7,0)</f>
        <v>SCS</v>
      </c>
      <c r="I76" s="55">
        <f>'Input|Forecast Data'!G76+SUMPRODUCT(--('Input|Customer Contributions'!$E$9:$E$21=$E76),'Input|Customer Contributions'!J$9:J$21)</f>
        <v>197.34107999999998</v>
      </c>
      <c r="J76" s="55">
        <f>'Input|Forecast Data'!H76+SUMPRODUCT(--('Input|Customer Contributions'!$E$9:$E$21=$E76),'Input|Customer Contributions'!K$9:K$21)</f>
        <v>7.0467200000000005</v>
      </c>
      <c r="K76" s="55">
        <f>'Input|Forecast Data'!I76+SUMPRODUCT(--('Input|Customer Contributions'!$E$9:$E$21=$E76),'Input|Customer Contributions'!L$9:L$21)</f>
        <v>51.303190000000001</v>
      </c>
      <c r="L76" s="55">
        <f>'Input|Forecast Data'!J76+SUMPRODUCT(--('Input|Customer Contributions'!$E$9:$E$21=$E76),'Input|Customer Contributions'!M$9:M$21)</f>
        <v>111.10499999999999</v>
      </c>
      <c r="M76" s="142">
        <f>'Input|Forecast Data'!K76</f>
        <v>42.210509649603942</v>
      </c>
      <c r="N76" s="142">
        <f>'Input|Forecast Data'!L76</f>
        <v>63.646250149565873</v>
      </c>
      <c r="O76" s="142">
        <f>'Input|Forecast Data'!M76</f>
        <v>0</v>
      </c>
      <c r="P76" s="142">
        <f>'Input|Forecast Data'!N76</f>
        <v>0</v>
      </c>
      <c r="Q76" s="142">
        <f>'Input|Forecast Data'!O76</f>
        <v>0</v>
      </c>
      <c r="R76" s="142">
        <f>'Input|Forecast Data'!P76</f>
        <v>0</v>
      </c>
      <c r="S76" s="142">
        <f>'Input|Forecast Data'!Q76</f>
        <v>0</v>
      </c>
      <c r="T76" s="7"/>
      <c r="U76" s="7"/>
    </row>
    <row r="77" spans="1:21" hidden="1" x14ac:dyDescent="0.2">
      <c r="A77" s="7"/>
      <c r="B77" s="7"/>
      <c r="C77" s="7"/>
      <c r="D77" s="7"/>
      <c r="E77" s="39">
        <v>174</v>
      </c>
      <c r="F77" s="39" t="s">
        <v>2279</v>
      </c>
      <c r="G77" s="39" t="str">
        <f>VLOOKUP(E77,Mapping!$E$11:$G$96,3,0)</f>
        <v>Replacement</v>
      </c>
      <c r="H77" s="149" t="str">
        <f>VLOOKUP(E77,Mapping!$E$11:$K$96,7,0)</f>
        <v>SCS</v>
      </c>
      <c r="I77" s="55">
        <f>'Input|Forecast Data'!G77+SUMPRODUCT(--('Input|Customer Contributions'!$E$9:$E$21=$E77),'Input|Customer Contributions'!J$9:J$21)</f>
        <v>82.238409999999988</v>
      </c>
      <c r="J77" s="55">
        <f>'Input|Forecast Data'!H77+SUMPRODUCT(--('Input|Customer Contributions'!$E$9:$E$21=$E77),'Input|Customer Contributions'!K$9:K$21)</f>
        <v>14.735850000000001</v>
      </c>
      <c r="K77" s="55">
        <f>'Input|Forecast Data'!I77+SUMPRODUCT(--('Input|Customer Contributions'!$E$9:$E$21=$E77),'Input|Customer Contributions'!L$9:L$21)</f>
        <v>102.18046000000001</v>
      </c>
      <c r="L77" s="55">
        <f>'Input|Forecast Data'!J77+SUMPRODUCT(--('Input|Customer Contributions'!$E$9:$E$21=$E77),'Input|Customer Contributions'!M$9:M$21)</f>
        <v>92.142359999999996</v>
      </c>
      <c r="M77" s="142">
        <f>'Input|Forecast Data'!K77</f>
        <v>161.35022394199277</v>
      </c>
      <c r="N77" s="142">
        <f>'Input|Forecast Data'!L77</f>
        <v>0</v>
      </c>
      <c r="O77" s="142">
        <f>'Input|Forecast Data'!M77</f>
        <v>0</v>
      </c>
      <c r="P77" s="142">
        <f>'Input|Forecast Data'!N77</f>
        <v>0</v>
      </c>
      <c r="Q77" s="142">
        <f>'Input|Forecast Data'!O77</f>
        <v>0</v>
      </c>
      <c r="R77" s="142">
        <f>'Input|Forecast Data'!P77</f>
        <v>0</v>
      </c>
      <c r="S77" s="142">
        <f>'Input|Forecast Data'!Q77</f>
        <v>0</v>
      </c>
      <c r="T77" s="7"/>
      <c r="U77" s="7"/>
    </row>
    <row r="78" spans="1:21" hidden="1" x14ac:dyDescent="0.2">
      <c r="A78" s="7"/>
      <c r="B78" s="7"/>
      <c r="C78" s="7"/>
      <c r="D78" s="7"/>
      <c r="E78" s="39">
        <v>175</v>
      </c>
      <c r="F78" s="39" t="s">
        <v>2280</v>
      </c>
      <c r="G78" s="39" t="str">
        <f>VLOOKUP(E78,Mapping!$E$11:$G$96,3,0)</f>
        <v>Metering Capex</v>
      </c>
      <c r="H78" s="149" t="str">
        <f>VLOOKUP(E78,Mapping!$E$11:$K$96,7,0)</f>
        <v>Metering Services</v>
      </c>
      <c r="I78" s="55">
        <f>'Input|Forecast Data'!G78+SUMPRODUCT(--('Input|Customer Contributions'!$E$9:$E$21=$E78),'Input|Customer Contributions'!J$9:J$21)</f>
        <v>0</v>
      </c>
      <c r="J78" s="55">
        <f>'Input|Forecast Data'!H78+SUMPRODUCT(--('Input|Customer Contributions'!$E$9:$E$21=$E78),'Input|Customer Contributions'!K$9:K$21)</f>
        <v>0</v>
      </c>
      <c r="K78" s="55">
        <f>'Input|Forecast Data'!I78+SUMPRODUCT(--('Input|Customer Contributions'!$E$9:$E$21=$E78),'Input|Customer Contributions'!L$9:L$21)</f>
        <v>0</v>
      </c>
      <c r="L78" s="55">
        <f>'Input|Forecast Data'!J78+SUMPRODUCT(--('Input|Customer Contributions'!$E$9:$E$21=$E78),'Input|Customer Contributions'!M$9:M$21)</f>
        <v>0</v>
      </c>
      <c r="M78" s="142">
        <f>'Input|Forecast Data'!K78</f>
        <v>0</v>
      </c>
      <c r="N78" s="142">
        <f>'Input|Forecast Data'!L78</f>
        <v>0</v>
      </c>
      <c r="O78" s="142">
        <f>'Input|Forecast Data'!M78</f>
        <v>0</v>
      </c>
      <c r="P78" s="142">
        <f>'Input|Forecast Data'!N78</f>
        <v>0</v>
      </c>
      <c r="Q78" s="142">
        <f>'Input|Forecast Data'!O78</f>
        <v>0</v>
      </c>
      <c r="R78" s="142">
        <f>'Input|Forecast Data'!P78</f>
        <v>0</v>
      </c>
      <c r="S78" s="142">
        <f>'Input|Forecast Data'!Q78</f>
        <v>0</v>
      </c>
      <c r="T78" s="7"/>
      <c r="U78" s="7"/>
    </row>
    <row r="79" spans="1:21" hidden="1" x14ac:dyDescent="0.2">
      <c r="A79" s="7"/>
      <c r="B79" s="7"/>
      <c r="C79" s="7"/>
      <c r="D79" s="7"/>
      <c r="E79" s="39">
        <v>176</v>
      </c>
      <c r="F79" s="39" t="s">
        <v>2281</v>
      </c>
      <c r="G79" s="39" t="str">
        <f>VLOOKUP(E79,Mapping!$E$11:$G$96,3,0)</f>
        <v>Metering Capex</v>
      </c>
      <c r="H79" s="149" t="str">
        <f>VLOOKUP(E79,Mapping!$E$11:$K$96,7,0)</f>
        <v>Metering Services</v>
      </c>
      <c r="I79" s="55">
        <f>'Input|Forecast Data'!G79+SUMPRODUCT(--('Input|Customer Contributions'!$E$9:$E$21=$E79),'Input|Customer Contributions'!J$9:J$21)</f>
        <v>0</v>
      </c>
      <c r="J79" s="55">
        <f>'Input|Forecast Data'!H79+SUMPRODUCT(--('Input|Customer Contributions'!$E$9:$E$21=$E79),'Input|Customer Contributions'!K$9:K$21)</f>
        <v>0</v>
      </c>
      <c r="K79" s="55">
        <f>'Input|Forecast Data'!I79+SUMPRODUCT(--('Input|Customer Contributions'!$E$9:$E$21=$E79),'Input|Customer Contributions'!L$9:L$21)</f>
        <v>0</v>
      </c>
      <c r="L79" s="55">
        <f>'Input|Forecast Data'!J79+SUMPRODUCT(--('Input|Customer Contributions'!$E$9:$E$21=$E79),'Input|Customer Contributions'!M$9:M$21)</f>
        <v>0</v>
      </c>
      <c r="M79" s="142">
        <f>'Input|Forecast Data'!K79</f>
        <v>0</v>
      </c>
      <c r="N79" s="142">
        <f>'Input|Forecast Data'!L79</f>
        <v>0</v>
      </c>
      <c r="O79" s="142">
        <f>'Input|Forecast Data'!M79</f>
        <v>0</v>
      </c>
      <c r="P79" s="142">
        <f>'Input|Forecast Data'!N79</f>
        <v>0</v>
      </c>
      <c r="Q79" s="142">
        <f>'Input|Forecast Data'!O79</f>
        <v>0</v>
      </c>
      <c r="R79" s="142">
        <f>'Input|Forecast Data'!P79</f>
        <v>0</v>
      </c>
      <c r="S79" s="142">
        <f>'Input|Forecast Data'!Q79</f>
        <v>0</v>
      </c>
      <c r="T79" s="7"/>
      <c r="U79" s="7"/>
    </row>
    <row r="80" spans="1:21" hidden="1" x14ac:dyDescent="0.2">
      <c r="A80" s="7"/>
      <c r="B80" s="7"/>
      <c r="C80" s="7"/>
      <c r="D80" s="7"/>
      <c r="E80" s="39">
        <v>177</v>
      </c>
      <c r="F80" s="39" t="s">
        <v>2282</v>
      </c>
      <c r="G80" s="39" t="str">
        <f>VLOOKUP(E80,Mapping!$E$11:$G$96,3,0)</f>
        <v>Augmentation</v>
      </c>
      <c r="H80" s="149" t="str">
        <f>VLOOKUP(E80,Mapping!$E$11:$K$96,7,0)</f>
        <v>SCS</v>
      </c>
      <c r="I80" s="55">
        <f>'Input|Forecast Data'!G80+SUMPRODUCT(--('Input|Customer Contributions'!$E$9:$E$21=$E80),'Input|Customer Contributions'!J$9:J$21)</f>
        <v>1377.2447200000006</v>
      </c>
      <c r="J80" s="55">
        <f>'Input|Forecast Data'!H80+SUMPRODUCT(--('Input|Customer Contributions'!$E$9:$E$21=$E80),'Input|Customer Contributions'!K$9:K$21)</f>
        <v>3154.14372</v>
      </c>
      <c r="K80" s="55">
        <f>'Input|Forecast Data'!I80+SUMPRODUCT(--('Input|Customer Contributions'!$E$9:$E$21=$E80),'Input|Customer Contributions'!L$9:L$21)</f>
        <v>4233.9984100000001</v>
      </c>
      <c r="L80" s="55">
        <f>'Input|Forecast Data'!J80+SUMPRODUCT(--('Input|Customer Contributions'!$E$9:$E$21=$E80),'Input|Customer Contributions'!M$9:M$21)</f>
        <v>12125.713670000001</v>
      </c>
      <c r="M80" s="142">
        <f>'Input|Forecast Data'!K80</f>
        <v>4877.9616244038843</v>
      </c>
      <c r="N80" s="142">
        <f>'Input|Forecast Data'!L80</f>
        <v>505.19757749054685</v>
      </c>
      <c r="O80" s="142">
        <f>'Input|Forecast Data'!M80</f>
        <v>2262.3008849557523</v>
      </c>
      <c r="P80" s="142">
        <f>'Input|Forecast Data'!N80</f>
        <v>8452.7787610619471</v>
      </c>
      <c r="Q80" s="142">
        <f>'Input|Forecast Data'!O80</f>
        <v>9794.7345132743358</v>
      </c>
      <c r="R80" s="142">
        <f>'Input|Forecast Data'!P80</f>
        <v>4606.8672566371679</v>
      </c>
      <c r="S80" s="142">
        <f>'Input|Forecast Data'!Q80</f>
        <v>0</v>
      </c>
      <c r="T80" s="7"/>
      <c r="U80" s="7"/>
    </row>
    <row r="81" spans="1:21" hidden="1" x14ac:dyDescent="0.2">
      <c r="A81" s="7"/>
      <c r="B81" s="7"/>
      <c r="C81" s="7"/>
      <c r="D81" s="7"/>
      <c r="E81" s="39">
        <v>200</v>
      </c>
      <c r="F81" s="39" t="s">
        <v>2283</v>
      </c>
      <c r="G81" s="39" t="str">
        <f>VLOOKUP(E81,Mapping!$E$11:$G$96,3,0)</f>
        <v>Non-network general assets - IT</v>
      </c>
      <c r="H81" s="149" t="str">
        <f>VLOOKUP(E81,Mapping!$E$11:$K$96,7,0)</f>
        <v>Non-network general assets - IT</v>
      </c>
      <c r="I81" s="55">
        <f>'Input|Forecast Data'!G81+SUMPRODUCT(--('Input|Customer Contributions'!$E$9:$E$21=$E81),'Input|Customer Contributions'!J$9:J$21)</f>
        <v>20154.474179999997</v>
      </c>
      <c r="J81" s="55">
        <f>'Input|Forecast Data'!H81+SUMPRODUCT(--('Input|Customer Contributions'!$E$9:$E$21=$E81),'Input|Customer Contributions'!K$9:K$21)</f>
        <v>12827.645500000001</v>
      </c>
      <c r="K81" s="55">
        <f>'Input|Forecast Data'!I81+SUMPRODUCT(--('Input|Customer Contributions'!$E$9:$E$21=$E81),'Input|Customer Contributions'!L$9:L$21)</f>
        <v>8587.3536000000004</v>
      </c>
      <c r="L81" s="55">
        <f>'Input|Forecast Data'!J81+SUMPRODUCT(--('Input|Customer Contributions'!$E$9:$E$21=$E81),'Input|Customer Contributions'!M$9:M$21)</f>
        <v>8067.3696899999995</v>
      </c>
      <c r="M81" s="142">
        <f>'Input|Forecast Data'!K81</f>
        <v>13597.156943539447</v>
      </c>
      <c r="N81" s="142">
        <f>'Input|Forecast Data'!L81</f>
        <v>15082.025062420344</v>
      </c>
      <c r="O81" s="142">
        <f>'Input|Forecast Data'!M81</f>
        <v>21087.511715403558</v>
      </c>
      <c r="P81" s="142">
        <f>'Input|Forecast Data'!N81</f>
        <v>16640.889079535777</v>
      </c>
      <c r="Q81" s="142">
        <f>'Input|Forecast Data'!O81</f>
        <v>19171.293675292494</v>
      </c>
      <c r="R81" s="142">
        <f>'Input|Forecast Data'!P81</f>
        <v>14004.789147707606</v>
      </c>
      <c r="S81" s="142">
        <f>'Input|Forecast Data'!Q81</f>
        <v>7905.1542768717572</v>
      </c>
      <c r="T81" s="7"/>
      <c r="U81" s="7"/>
    </row>
    <row r="82" spans="1:21" hidden="1" x14ac:dyDescent="0.2">
      <c r="A82" s="7"/>
      <c r="B82" s="7"/>
      <c r="C82" s="7"/>
      <c r="D82" s="7"/>
      <c r="E82" s="39">
        <v>205</v>
      </c>
      <c r="F82" s="39" t="s">
        <v>2284</v>
      </c>
      <c r="G82" s="39" t="str">
        <f>VLOOKUP(E82,Mapping!$E$11:$G$96,3,0)</f>
        <v>Metering Capex</v>
      </c>
      <c r="H82" s="149" t="str">
        <f>VLOOKUP(E82,Mapping!$E$11:$K$96,7,0)</f>
        <v>Metering Services</v>
      </c>
      <c r="I82" s="55">
        <f>'Input|Forecast Data'!G82+SUMPRODUCT(--('Input|Customer Contributions'!$E$9:$E$21=$E82),'Input|Customer Contributions'!J$9:J$21)</f>
        <v>0</v>
      </c>
      <c r="J82" s="55">
        <f>'Input|Forecast Data'!H82+SUMPRODUCT(--('Input|Customer Contributions'!$E$9:$E$21=$E82),'Input|Customer Contributions'!K$9:K$21)</f>
        <v>0</v>
      </c>
      <c r="K82" s="55">
        <f>'Input|Forecast Data'!I82+SUMPRODUCT(--('Input|Customer Contributions'!$E$9:$E$21=$E82),'Input|Customer Contributions'!L$9:L$21)</f>
        <v>0</v>
      </c>
      <c r="L82" s="55">
        <f>'Input|Forecast Data'!J82+SUMPRODUCT(--('Input|Customer Contributions'!$E$9:$E$21=$E82),'Input|Customer Contributions'!M$9:M$21)</f>
        <v>0</v>
      </c>
      <c r="M82" s="142">
        <f>'Input|Forecast Data'!K82</f>
        <v>0</v>
      </c>
      <c r="N82" s="142">
        <f>'Input|Forecast Data'!L82</f>
        <v>0</v>
      </c>
      <c r="O82" s="142">
        <f>'Input|Forecast Data'!M82</f>
        <v>0</v>
      </c>
      <c r="P82" s="142">
        <f>'Input|Forecast Data'!N82</f>
        <v>0</v>
      </c>
      <c r="Q82" s="142">
        <f>'Input|Forecast Data'!O82</f>
        <v>0</v>
      </c>
      <c r="R82" s="142">
        <f>'Input|Forecast Data'!P82</f>
        <v>0</v>
      </c>
      <c r="S82" s="142">
        <f>'Input|Forecast Data'!Q82</f>
        <v>0</v>
      </c>
      <c r="T82" s="7"/>
      <c r="U82" s="7"/>
    </row>
    <row r="83" spans="1:21" hidden="1" x14ac:dyDescent="0.2">
      <c r="A83" s="7"/>
      <c r="B83" s="7"/>
      <c r="C83" s="7"/>
      <c r="D83" s="7"/>
      <c r="E83" s="39">
        <v>210</v>
      </c>
      <c r="F83" s="39" t="s">
        <v>2285</v>
      </c>
      <c r="G83" s="39" t="str">
        <f>VLOOKUP(E83,Mapping!$E$11:$G$96,3,0)</f>
        <v>Non-network general assets - Other</v>
      </c>
      <c r="H83" s="149" t="str">
        <f>VLOOKUP(E83,Mapping!$E$11:$K$96,7,0)</f>
        <v>Non-network general assets - Other</v>
      </c>
      <c r="I83" s="55">
        <f>'Input|Forecast Data'!G83+SUMPRODUCT(--('Input|Customer Contributions'!$E$9:$E$21=$E83),'Input|Customer Contributions'!J$9:J$21)</f>
        <v>228.85261000000003</v>
      </c>
      <c r="J83" s="55">
        <f>'Input|Forecast Data'!H83+SUMPRODUCT(--('Input|Customer Contributions'!$E$9:$E$21=$E83),'Input|Customer Contributions'!K$9:K$21)</f>
        <v>65.245810000000006</v>
      </c>
      <c r="K83" s="55">
        <f>'Input|Forecast Data'!I83+SUMPRODUCT(--('Input|Customer Contributions'!$E$9:$E$21=$E83),'Input|Customer Contributions'!L$9:L$21)</f>
        <v>150.07804999999999</v>
      </c>
      <c r="L83" s="55">
        <f>'Input|Forecast Data'!J83+SUMPRODUCT(--('Input|Customer Contributions'!$E$9:$E$21=$E83),'Input|Customer Contributions'!M$9:M$21)</f>
        <v>245.73042000000001</v>
      </c>
      <c r="M83" s="142">
        <f>'Input|Forecast Data'!K83</f>
        <v>449.4527120052187</v>
      </c>
      <c r="N83" s="142">
        <f>'Input|Forecast Data'!L83</f>
        <v>617.68351676317286</v>
      </c>
      <c r="O83" s="142">
        <f>'Input|Forecast Data'!M83</f>
        <v>240.48725769571891</v>
      </c>
      <c r="P83" s="142">
        <f>'Input|Forecast Data'!N83</f>
        <v>240.48725769571891</v>
      </c>
      <c r="Q83" s="142">
        <f>'Input|Forecast Data'!O83</f>
        <v>240.48725769571891</v>
      </c>
      <c r="R83" s="142">
        <f>'Input|Forecast Data'!P83</f>
        <v>240.48725769571891</v>
      </c>
      <c r="S83" s="142">
        <f>'Input|Forecast Data'!Q83</f>
        <v>240.48725769571891</v>
      </c>
      <c r="T83" s="7"/>
      <c r="U83" s="7"/>
    </row>
    <row r="84" spans="1:21" hidden="1" x14ac:dyDescent="0.2">
      <c r="A84" s="7"/>
      <c r="B84" s="7"/>
      <c r="C84" s="7"/>
      <c r="D84" s="7"/>
      <c r="E84" s="39">
        <v>215</v>
      </c>
      <c r="F84" s="39" t="s">
        <v>2286</v>
      </c>
      <c r="G84" s="39" t="str">
        <f>VLOOKUP(E84,Mapping!$E$11:$G$96,3,0)</f>
        <v>Metering Capex</v>
      </c>
      <c r="H84" s="149" t="str">
        <f>VLOOKUP(E84,Mapping!$E$11:$K$96,7,0)</f>
        <v>Metering Services</v>
      </c>
      <c r="I84" s="55">
        <f>'Input|Forecast Data'!G84+SUMPRODUCT(--('Input|Customer Contributions'!$E$9:$E$21=$E84),'Input|Customer Contributions'!J$9:J$21)</f>
        <v>0</v>
      </c>
      <c r="J84" s="55">
        <f>'Input|Forecast Data'!H84+SUMPRODUCT(--('Input|Customer Contributions'!$E$9:$E$21=$E84),'Input|Customer Contributions'!K$9:K$21)</f>
        <v>0</v>
      </c>
      <c r="K84" s="55">
        <f>'Input|Forecast Data'!I84+SUMPRODUCT(--('Input|Customer Contributions'!$E$9:$E$21=$E84),'Input|Customer Contributions'!L$9:L$21)</f>
        <v>0</v>
      </c>
      <c r="L84" s="55">
        <f>'Input|Forecast Data'!J84+SUMPRODUCT(--('Input|Customer Contributions'!$E$9:$E$21=$E84),'Input|Customer Contributions'!M$9:M$21)</f>
        <v>0</v>
      </c>
      <c r="M84" s="142">
        <f>'Input|Forecast Data'!K84</f>
        <v>0</v>
      </c>
      <c r="N84" s="142">
        <f>'Input|Forecast Data'!L84</f>
        <v>0</v>
      </c>
      <c r="O84" s="142">
        <f>'Input|Forecast Data'!M84</f>
        <v>0</v>
      </c>
      <c r="P84" s="142">
        <f>'Input|Forecast Data'!N84</f>
        <v>0</v>
      </c>
      <c r="Q84" s="142">
        <f>'Input|Forecast Data'!O84</f>
        <v>0</v>
      </c>
      <c r="R84" s="142">
        <f>'Input|Forecast Data'!P84</f>
        <v>0</v>
      </c>
      <c r="S84" s="142">
        <f>'Input|Forecast Data'!Q84</f>
        <v>0</v>
      </c>
      <c r="T84" s="7"/>
      <c r="U84" s="7"/>
    </row>
    <row r="85" spans="1:21" hidden="1" x14ac:dyDescent="0.2">
      <c r="A85" s="7"/>
      <c r="B85" s="7"/>
      <c r="C85" s="7"/>
      <c r="D85" s="7"/>
      <c r="E85" s="39">
        <v>220</v>
      </c>
      <c r="F85" s="39" t="s">
        <v>2287</v>
      </c>
      <c r="G85" s="39" t="str">
        <f>VLOOKUP(E85,Mapping!$E$11:$G$96,3,0)</f>
        <v>Non-network general assets - Other</v>
      </c>
      <c r="H85" s="149" t="str">
        <f>VLOOKUP(E85,Mapping!$E$11:$K$96,7,0)</f>
        <v>Non-network general assets - Other</v>
      </c>
      <c r="I85" s="55">
        <f>'Input|Forecast Data'!G85+SUMPRODUCT(--('Input|Customer Contributions'!$E$9:$E$21=$E85),'Input|Customer Contributions'!J$9:J$21)</f>
        <v>8.9209999999999994</v>
      </c>
      <c r="J85" s="55">
        <f>'Input|Forecast Data'!H85+SUMPRODUCT(--('Input|Customer Contributions'!$E$9:$E$21=$E85),'Input|Customer Contributions'!K$9:K$21)</f>
        <v>0</v>
      </c>
      <c r="K85" s="55">
        <f>'Input|Forecast Data'!I85+SUMPRODUCT(--('Input|Customer Contributions'!$E$9:$E$21=$E85),'Input|Customer Contributions'!L$9:L$21)</f>
        <v>0</v>
      </c>
      <c r="L85" s="55">
        <f>'Input|Forecast Data'!J85+SUMPRODUCT(--('Input|Customer Contributions'!$E$9:$E$21=$E85),'Input|Customer Contributions'!M$9:M$21)</f>
        <v>0</v>
      </c>
      <c r="M85" s="142">
        <f>'Input|Forecast Data'!K85</f>
        <v>0</v>
      </c>
      <c r="N85" s="142">
        <f>'Input|Forecast Data'!L85</f>
        <v>0</v>
      </c>
      <c r="O85" s="142">
        <f>'Input|Forecast Data'!M85</f>
        <v>0</v>
      </c>
      <c r="P85" s="142">
        <f>'Input|Forecast Data'!N85</f>
        <v>0</v>
      </c>
      <c r="Q85" s="142">
        <f>'Input|Forecast Data'!O85</f>
        <v>0</v>
      </c>
      <c r="R85" s="142">
        <f>'Input|Forecast Data'!P85</f>
        <v>0</v>
      </c>
      <c r="S85" s="142">
        <f>'Input|Forecast Data'!Q85</f>
        <v>0</v>
      </c>
      <c r="T85" s="7"/>
      <c r="U85" s="7"/>
    </row>
    <row r="86" spans="1:21" hidden="1" x14ac:dyDescent="0.2">
      <c r="A86" s="7"/>
      <c r="B86" s="7"/>
      <c r="C86" s="7"/>
      <c r="D86" s="7"/>
      <c r="E86" s="39">
        <v>225</v>
      </c>
      <c r="F86" s="39" t="s">
        <v>2288</v>
      </c>
      <c r="G86" s="39" t="str">
        <f>VLOOKUP(E86,Mapping!$E$11:$G$96,3,0)</f>
        <v>Metering Capex</v>
      </c>
      <c r="H86" s="149" t="str">
        <f>VLOOKUP(E86,Mapping!$E$11:$K$96,7,0)</f>
        <v>Metering Services</v>
      </c>
      <c r="I86" s="55">
        <f>'Input|Forecast Data'!G86+SUMPRODUCT(--('Input|Customer Contributions'!$E$9:$E$21=$E86),'Input|Customer Contributions'!J$9:J$21)</f>
        <v>0</v>
      </c>
      <c r="J86" s="55">
        <f>'Input|Forecast Data'!H86+SUMPRODUCT(--('Input|Customer Contributions'!$E$9:$E$21=$E86),'Input|Customer Contributions'!K$9:K$21)</f>
        <v>0</v>
      </c>
      <c r="K86" s="55">
        <f>'Input|Forecast Data'!I86+SUMPRODUCT(--('Input|Customer Contributions'!$E$9:$E$21=$E86),'Input|Customer Contributions'!L$9:L$21)</f>
        <v>0</v>
      </c>
      <c r="L86" s="55">
        <f>'Input|Forecast Data'!J86+SUMPRODUCT(--('Input|Customer Contributions'!$E$9:$E$21=$E86),'Input|Customer Contributions'!M$9:M$21)</f>
        <v>0</v>
      </c>
      <c r="M86" s="142">
        <f>'Input|Forecast Data'!K86</f>
        <v>0</v>
      </c>
      <c r="N86" s="142">
        <f>'Input|Forecast Data'!L86</f>
        <v>0</v>
      </c>
      <c r="O86" s="142">
        <f>'Input|Forecast Data'!M86</f>
        <v>0</v>
      </c>
      <c r="P86" s="142">
        <f>'Input|Forecast Data'!N86</f>
        <v>0</v>
      </c>
      <c r="Q86" s="142">
        <f>'Input|Forecast Data'!O86</f>
        <v>0</v>
      </c>
      <c r="R86" s="142">
        <f>'Input|Forecast Data'!P86</f>
        <v>0</v>
      </c>
      <c r="S86" s="142">
        <f>'Input|Forecast Data'!Q86</f>
        <v>0</v>
      </c>
      <c r="T86" s="7"/>
      <c r="U86" s="7"/>
    </row>
    <row r="87" spans="1:21" hidden="1" x14ac:dyDescent="0.2">
      <c r="A87" s="7"/>
      <c r="B87" s="7"/>
      <c r="C87" s="7"/>
      <c r="D87" s="7"/>
      <c r="E87" s="39">
        <v>230</v>
      </c>
      <c r="F87" s="39" t="s">
        <v>2289</v>
      </c>
      <c r="G87" s="39" t="str">
        <f>VLOOKUP(E87,Mapping!$E$11:$G$96,3,0)</f>
        <v>Non-network general assets - Other</v>
      </c>
      <c r="H87" s="149" t="str">
        <f>VLOOKUP(E87,Mapping!$E$11:$K$96,7,0)</f>
        <v>Non-network general assets - Other</v>
      </c>
      <c r="I87" s="55">
        <f>'Input|Forecast Data'!G87+SUMPRODUCT(--('Input|Customer Contributions'!$E$9:$E$21=$E87),'Input|Customer Contributions'!J$9:J$21)</f>
        <v>19.823160000000001</v>
      </c>
      <c r="J87" s="55">
        <f>'Input|Forecast Data'!H87+SUMPRODUCT(--('Input|Customer Contributions'!$E$9:$E$21=$E87),'Input|Customer Contributions'!K$9:K$21)</f>
        <v>2663.9867100000001</v>
      </c>
      <c r="K87" s="55">
        <f>'Input|Forecast Data'!I87+SUMPRODUCT(--('Input|Customer Contributions'!$E$9:$E$21=$E87),'Input|Customer Contributions'!L$9:L$21)</f>
        <v>15835.51093</v>
      </c>
      <c r="L87" s="55">
        <f>'Input|Forecast Data'!J87+SUMPRODUCT(--('Input|Customer Contributions'!$E$9:$E$21=$E87),'Input|Customer Contributions'!M$9:M$21)</f>
        <v>1170.8917999999999</v>
      </c>
      <c r="M87" s="142">
        <f>'Input|Forecast Data'!K87</f>
        <v>3128.6446272584531</v>
      </c>
      <c r="N87" s="142">
        <f>'Input|Forecast Data'!L87</f>
        <v>1635.1968688815411</v>
      </c>
      <c r="O87" s="142">
        <f>'Input|Forecast Data'!M87</f>
        <v>4744.2746881943858</v>
      </c>
      <c r="P87" s="142">
        <f>'Input|Forecast Data'!N87</f>
        <v>3870.5640390748817</v>
      </c>
      <c r="Q87" s="142">
        <f>'Input|Forecast Data'!O87</f>
        <v>2813.3568752237934</v>
      </c>
      <c r="R87" s="142">
        <f>'Input|Forecast Data'!P87</f>
        <v>1946.7774893624153</v>
      </c>
      <c r="S87" s="142">
        <f>'Input|Forecast Data'!Q87</f>
        <v>1946.7774893624153</v>
      </c>
      <c r="T87" s="7"/>
      <c r="U87" s="7"/>
    </row>
    <row r="88" spans="1:21" hidden="1" x14ac:dyDescent="0.2">
      <c r="A88" s="7"/>
      <c r="B88" s="7"/>
      <c r="C88" s="7"/>
      <c r="D88" s="7"/>
      <c r="E88" s="39">
        <v>235</v>
      </c>
      <c r="F88" s="39" t="s">
        <v>2290</v>
      </c>
      <c r="G88" s="39" t="str">
        <f>VLOOKUP(E88,Mapping!$E$11:$G$96,3,0)</f>
        <v>Metering Capex</v>
      </c>
      <c r="H88" s="149" t="str">
        <f>VLOOKUP(E88,Mapping!$E$11:$K$96,7,0)</f>
        <v>Metering Services</v>
      </c>
      <c r="I88" s="55">
        <f>'Input|Forecast Data'!G88+SUMPRODUCT(--('Input|Customer Contributions'!$E$9:$E$21=$E88),'Input|Customer Contributions'!J$9:J$21)</f>
        <v>0</v>
      </c>
      <c r="J88" s="55">
        <f>'Input|Forecast Data'!H88+SUMPRODUCT(--('Input|Customer Contributions'!$E$9:$E$21=$E88),'Input|Customer Contributions'!K$9:K$21)</f>
        <v>0</v>
      </c>
      <c r="K88" s="55">
        <f>'Input|Forecast Data'!I88+SUMPRODUCT(--('Input|Customer Contributions'!$E$9:$E$21=$E88),'Input|Customer Contributions'!L$9:L$21)</f>
        <v>0</v>
      </c>
      <c r="L88" s="55">
        <f>'Input|Forecast Data'!J88+SUMPRODUCT(--('Input|Customer Contributions'!$E$9:$E$21=$E88),'Input|Customer Contributions'!M$9:M$21)</f>
        <v>0</v>
      </c>
      <c r="M88" s="142">
        <f>'Input|Forecast Data'!K88</f>
        <v>0</v>
      </c>
      <c r="N88" s="142">
        <f>'Input|Forecast Data'!L88</f>
        <v>0</v>
      </c>
      <c r="O88" s="142">
        <f>'Input|Forecast Data'!M88</f>
        <v>0</v>
      </c>
      <c r="P88" s="142">
        <f>'Input|Forecast Data'!N88</f>
        <v>0</v>
      </c>
      <c r="Q88" s="142">
        <f>'Input|Forecast Data'!O88</f>
        <v>0</v>
      </c>
      <c r="R88" s="142">
        <f>'Input|Forecast Data'!P88</f>
        <v>0</v>
      </c>
      <c r="S88" s="142">
        <f>'Input|Forecast Data'!Q88</f>
        <v>0</v>
      </c>
      <c r="T88" s="7"/>
      <c r="U88" s="7"/>
    </row>
    <row r="89" spans="1:21" hidden="1" x14ac:dyDescent="0.2">
      <c r="A89" s="7"/>
      <c r="B89" s="7"/>
      <c r="C89" s="7"/>
      <c r="D89" s="7"/>
      <c r="E89" s="39">
        <v>240</v>
      </c>
      <c r="F89" s="39" t="s">
        <v>2291</v>
      </c>
      <c r="G89" s="39" t="str">
        <f>VLOOKUP(E89,Mapping!$E$11:$G$96,3,0)</f>
        <v>Non-network general assets - Other</v>
      </c>
      <c r="H89" s="149" t="str">
        <f>VLOOKUP(E89,Mapping!$E$11:$K$96,7,0)</f>
        <v>Non-network general assets - Other</v>
      </c>
      <c r="I89" s="55">
        <f>'Input|Forecast Data'!G89+SUMPRODUCT(--('Input|Customer Contributions'!$E$9:$E$21=$E89),'Input|Customer Contributions'!J$9:J$21)</f>
        <v>229.14574999999999</v>
      </c>
      <c r="J89" s="55">
        <f>'Input|Forecast Data'!H89+SUMPRODUCT(--('Input|Customer Contributions'!$E$9:$E$21=$E89),'Input|Customer Contributions'!K$9:K$21)</f>
        <v>434.37441999999999</v>
      </c>
      <c r="K89" s="55">
        <f>'Input|Forecast Data'!I89+SUMPRODUCT(--('Input|Customer Contributions'!$E$9:$E$21=$E89),'Input|Customer Contributions'!L$9:L$21)</f>
        <v>42.799010000000003</v>
      </c>
      <c r="L89" s="55">
        <f>'Input|Forecast Data'!J89+SUMPRODUCT(--('Input|Customer Contributions'!$E$9:$E$21=$E89),'Input|Customer Contributions'!M$9:M$21)</f>
        <v>83.908749999999998</v>
      </c>
      <c r="M89" s="142">
        <f>'Input|Forecast Data'!K89</f>
        <v>2606.0950097799623</v>
      </c>
      <c r="N89" s="142">
        <f>'Input|Forecast Data'!L89</f>
        <v>4225.4001905017276</v>
      </c>
      <c r="O89" s="142">
        <f>'Input|Forecast Data'!M89</f>
        <v>1241.9830617729704</v>
      </c>
      <c r="P89" s="142">
        <f>'Input|Forecast Data'!N89</f>
        <v>1241.9830617729704</v>
      </c>
      <c r="Q89" s="142">
        <f>'Input|Forecast Data'!O89</f>
        <v>827.98870784864721</v>
      </c>
      <c r="R89" s="142">
        <f>'Input|Forecast Data'!P89</f>
        <v>413.9943539243236</v>
      </c>
      <c r="S89" s="142">
        <f>'Input|Forecast Data'!Q89</f>
        <v>413.9943539243236</v>
      </c>
      <c r="T89" s="7"/>
      <c r="U89" s="7"/>
    </row>
    <row r="90" spans="1:21" hidden="1" x14ac:dyDescent="0.2">
      <c r="A90" s="7"/>
      <c r="B90" s="7"/>
      <c r="C90" s="7"/>
      <c r="D90" s="7"/>
      <c r="E90" s="39">
        <v>245</v>
      </c>
      <c r="F90" s="39" t="s">
        <v>2292</v>
      </c>
      <c r="G90" s="39" t="str">
        <f>VLOOKUP(E90,Mapping!$E$11:$G$96,3,0)</f>
        <v>Metering Capex</v>
      </c>
      <c r="H90" s="149" t="str">
        <f>VLOOKUP(E90,Mapping!$E$11:$K$96,7,0)</f>
        <v>Metering Services</v>
      </c>
      <c r="I90" s="55">
        <f>'Input|Forecast Data'!G90+SUMPRODUCT(--('Input|Customer Contributions'!$E$9:$E$21=$E90),'Input|Customer Contributions'!J$9:J$21)</f>
        <v>0</v>
      </c>
      <c r="J90" s="55">
        <f>'Input|Forecast Data'!H90+SUMPRODUCT(--('Input|Customer Contributions'!$E$9:$E$21=$E90),'Input|Customer Contributions'!K$9:K$21)</f>
        <v>0</v>
      </c>
      <c r="K90" s="55">
        <f>'Input|Forecast Data'!I90+SUMPRODUCT(--('Input|Customer Contributions'!$E$9:$E$21=$E90),'Input|Customer Contributions'!L$9:L$21)</f>
        <v>0</v>
      </c>
      <c r="L90" s="55">
        <f>'Input|Forecast Data'!J90+SUMPRODUCT(--('Input|Customer Contributions'!$E$9:$E$21=$E90),'Input|Customer Contributions'!M$9:M$21)</f>
        <v>0</v>
      </c>
      <c r="M90" s="142">
        <f>'Input|Forecast Data'!K90</f>
        <v>0</v>
      </c>
      <c r="N90" s="142">
        <f>'Input|Forecast Data'!L90</f>
        <v>0</v>
      </c>
      <c r="O90" s="142">
        <f>'Input|Forecast Data'!M90</f>
        <v>0</v>
      </c>
      <c r="P90" s="142">
        <f>'Input|Forecast Data'!N90</f>
        <v>0</v>
      </c>
      <c r="Q90" s="142">
        <f>'Input|Forecast Data'!O90</f>
        <v>0</v>
      </c>
      <c r="R90" s="142">
        <f>'Input|Forecast Data'!P90</f>
        <v>0</v>
      </c>
      <c r="S90" s="142">
        <f>'Input|Forecast Data'!Q90</f>
        <v>0</v>
      </c>
      <c r="T90" s="7"/>
      <c r="U90" s="7"/>
    </row>
    <row r="91" spans="1:21" hidden="1" x14ac:dyDescent="0.2">
      <c r="A91" s="7"/>
      <c r="B91" s="7"/>
      <c r="C91" s="7"/>
      <c r="D91" s="7"/>
      <c r="E91" s="39">
        <v>260</v>
      </c>
      <c r="F91" s="39" t="s">
        <v>2293</v>
      </c>
      <c r="G91" s="39" t="str">
        <f>VLOOKUP(E91,Mapping!$E$11:$G$96,3,0)</f>
        <v>Non-network general assets - Other</v>
      </c>
      <c r="H91" s="149" t="str">
        <f>VLOOKUP(E91,Mapping!$E$11:$K$96,7,0)</f>
        <v>Non-network general assets - Other</v>
      </c>
      <c r="I91" s="55">
        <f>'Input|Forecast Data'!G91+SUMPRODUCT(--('Input|Customer Contributions'!$E$9:$E$21=$E91),'Input|Customer Contributions'!J$9:J$21)</f>
        <v>0</v>
      </c>
      <c r="J91" s="55">
        <f>'Input|Forecast Data'!H91+SUMPRODUCT(--('Input|Customer Contributions'!$E$9:$E$21=$E91),'Input|Customer Contributions'!K$9:K$21)</f>
        <v>0</v>
      </c>
      <c r="K91" s="55">
        <f>'Input|Forecast Data'!I91+SUMPRODUCT(--('Input|Customer Contributions'!$E$9:$E$21=$E91),'Input|Customer Contributions'!L$9:L$21)</f>
        <v>0</v>
      </c>
      <c r="L91" s="55">
        <f>'Input|Forecast Data'!J91+SUMPRODUCT(--('Input|Customer Contributions'!$E$9:$E$21=$E91),'Input|Customer Contributions'!M$9:M$21)</f>
        <v>0</v>
      </c>
      <c r="M91" s="142">
        <f>'Input|Forecast Data'!K91</f>
        <v>0</v>
      </c>
      <c r="N91" s="142">
        <f>'Input|Forecast Data'!L91</f>
        <v>0</v>
      </c>
      <c r="O91" s="142">
        <f>'Input|Forecast Data'!M91</f>
        <v>0</v>
      </c>
      <c r="P91" s="142">
        <f>'Input|Forecast Data'!N91</f>
        <v>0</v>
      </c>
      <c r="Q91" s="142">
        <f>'Input|Forecast Data'!O91</f>
        <v>0</v>
      </c>
      <c r="R91" s="142">
        <f>'Input|Forecast Data'!P91</f>
        <v>0</v>
      </c>
      <c r="S91" s="142">
        <f>'Input|Forecast Data'!Q91</f>
        <v>0</v>
      </c>
      <c r="T91" s="7"/>
      <c r="U91" s="7"/>
    </row>
    <row r="92" spans="1:21" hidden="1" x14ac:dyDescent="0.2">
      <c r="A92" s="7"/>
      <c r="B92" s="7"/>
      <c r="C92" s="7"/>
      <c r="D92" s="7"/>
      <c r="E92" s="39">
        <v>270</v>
      </c>
      <c r="F92" s="39" t="s">
        <v>2294</v>
      </c>
      <c r="G92" s="39" t="str">
        <f>VLOOKUP(E92,Mapping!$E$11:$G$96,3,0)</f>
        <v>Non-network general assets - IT</v>
      </c>
      <c r="H92" s="149" t="str">
        <f>VLOOKUP(E92,Mapping!$E$11:$K$96,7,0)</f>
        <v>Non-network general assets - IT</v>
      </c>
      <c r="I92" s="55">
        <f>'Input|Forecast Data'!G92+SUMPRODUCT(--('Input|Customer Contributions'!$E$9:$E$21=$E92),'Input|Customer Contributions'!J$9:J$21)</f>
        <v>513.35351000000003</v>
      </c>
      <c r="J92" s="55">
        <f>'Input|Forecast Data'!H92+SUMPRODUCT(--('Input|Customer Contributions'!$E$9:$E$21=$E92),'Input|Customer Contributions'!K$9:K$21)</f>
        <v>0</v>
      </c>
      <c r="K92" s="55">
        <f>'Input|Forecast Data'!I92+SUMPRODUCT(--('Input|Customer Contributions'!$E$9:$E$21=$E92),'Input|Customer Contributions'!L$9:L$21)</f>
        <v>0</v>
      </c>
      <c r="L92" s="55">
        <f>'Input|Forecast Data'!J92+SUMPRODUCT(--('Input|Customer Contributions'!$E$9:$E$21=$E92),'Input|Customer Contributions'!M$9:M$21)</f>
        <v>0</v>
      </c>
      <c r="M92" s="142">
        <f>'Input|Forecast Data'!K92</f>
        <v>0</v>
      </c>
      <c r="N92" s="142">
        <f>'Input|Forecast Data'!L92</f>
        <v>0</v>
      </c>
      <c r="O92" s="142">
        <f>'Input|Forecast Data'!M92</f>
        <v>0</v>
      </c>
      <c r="P92" s="142">
        <f>'Input|Forecast Data'!N92</f>
        <v>0</v>
      </c>
      <c r="Q92" s="142">
        <f>'Input|Forecast Data'!O92</f>
        <v>0</v>
      </c>
      <c r="R92" s="142">
        <f>'Input|Forecast Data'!P92</f>
        <v>0</v>
      </c>
      <c r="S92" s="142">
        <f>'Input|Forecast Data'!Q92</f>
        <v>0</v>
      </c>
      <c r="T92" s="7"/>
      <c r="U92" s="7"/>
    </row>
    <row r="93" spans="1:21" hidden="1" x14ac:dyDescent="0.2">
      <c r="A93" s="7"/>
      <c r="B93" s="7"/>
      <c r="C93" s="7"/>
      <c r="D93" s="7"/>
      <c r="E93" s="39">
        <v>273</v>
      </c>
      <c r="F93" s="39" t="s">
        <v>2295</v>
      </c>
      <c r="G93" s="39" t="str">
        <f>VLOOKUP(E93,Mapping!$E$11:$G$96,3,0)</f>
        <v>Non-network general assets - Other</v>
      </c>
      <c r="H93" s="149" t="str">
        <f>VLOOKUP(E93,Mapping!$E$11:$K$96,7,0)</f>
        <v>Non-network general assets - Other</v>
      </c>
      <c r="I93" s="55">
        <f>'Input|Forecast Data'!G93+SUMPRODUCT(--('Input|Customer Contributions'!$E$9:$E$21=$E93),'Input|Customer Contributions'!J$9:J$21)</f>
        <v>0</v>
      </c>
      <c r="J93" s="55">
        <f>'Input|Forecast Data'!H93+SUMPRODUCT(--('Input|Customer Contributions'!$E$9:$E$21=$E93),'Input|Customer Contributions'!K$9:K$21)</f>
        <v>23.982489999999999</v>
      </c>
      <c r="K93" s="55">
        <f>'Input|Forecast Data'!I93+SUMPRODUCT(--('Input|Customer Contributions'!$E$9:$E$21=$E93),'Input|Customer Contributions'!L$9:L$21)</f>
        <v>0</v>
      </c>
      <c r="L93" s="55">
        <f>'Input|Forecast Data'!J93+SUMPRODUCT(--('Input|Customer Contributions'!$E$9:$E$21=$E93),'Input|Customer Contributions'!M$9:M$21)</f>
        <v>0</v>
      </c>
      <c r="M93" s="142">
        <f>'Input|Forecast Data'!K93</f>
        <v>0</v>
      </c>
      <c r="N93" s="142">
        <f>'Input|Forecast Data'!L93</f>
        <v>0</v>
      </c>
      <c r="O93" s="142">
        <f>'Input|Forecast Data'!M93</f>
        <v>0</v>
      </c>
      <c r="P93" s="142">
        <f>'Input|Forecast Data'!N93</f>
        <v>0</v>
      </c>
      <c r="Q93" s="142">
        <f>'Input|Forecast Data'!O93</f>
        <v>0</v>
      </c>
      <c r="R93" s="142">
        <f>'Input|Forecast Data'!P93</f>
        <v>0</v>
      </c>
      <c r="S93" s="142">
        <f>'Input|Forecast Data'!Q93</f>
        <v>0</v>
      </c>
      <c r="T93" s="7"/>
      <c r="U93" s="7"/>
    </row>
    <row r="94" spans="1:21" hidden="1" x14ac:dyDescent="0.2">
      <c r="A94" s="7"/>
      <c r="B94" s="7"/>
      <c r="C94" s="7"/>
      <c r="D94" s="7"/>
      <c r="E94" s="60" t="s">
        <v>2329</v>
      </c>
      <c r="F94" s="60"/>
      <c r="G94" s="60"/>
      <c r="H94" s="60"/>
      <c r="I94" s="61">
        <f>SUM(I9:I93)</f>
        <v>134108.68549806165</v>
      </c>
      <c r="J94" s="61">
        <f>SUM(J9:J93)</f>
        <v>145530.11649999997</v>
      </c>
      <c r="K94" s="61">
        <f t="shared" ref="K94:S94" si="0">SUM(K9:K93)</f>
        <v>130076.83237981654</v>
      </c>
      <c r="L94" s="61">
        <f t="shared" ref="L94" si="1">SUM(L9:L93)</f>
        <v>134552.10588660499</v>
      </c>
      <c r="M94" s="61">
        <f t="shared" si="0"/>
        <v>161450.28525935832</v>
      </c>
      <c r="N94" s="61">
        <f t="shared" si="0"/>
        <v>194132.00570493966</v>
      </c>
      <c r="O94" s="61">
        <f t="shared" si="0"/>
        <v>144713.11843515944</v>
      </c>
      <c r="P94" s="61">
        <f t="shared" si="0"/>
        <v>163258.46779130754</v>
      </c>
      <c r="Q94" s="61">
        <f t="shared" si="0"/>
        <v>152725.39367268194</v>
      </c>
      <c r="R94" s="61">
        <f t="shared" si="0"/>
        <v>141690.0505915395</v>
      </c>
      <c r="S94" s="61">
        <f t="shared" si="0"/>
        <v>132741.11025519532</v>
      </c>
      <c r="T94" s="7"/>
      <c r="U94" s="7"/>
    </row>
    <row r="95" spans="1:2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</row>
    <row r="96" spans="1:21" x14ac:dyDescent="0.2">
      <c r="A96" s="22" t="s">
        <v>2366</v>
      </c>
      <c r="B96" s="22"/>
      <c r="C96" s="15"/>
      <c r="D96" s="24"/>
      <c r="E96" s="25"/>
      <c r="F96" s="25"/>
      <c r="G96" s="25"/>
      <c r="H96" s="25"/>
      <c r="I96" s="35" t="s">
        <v>2367</v>
      </c>
      <c r="J96" s="35" t="s">
        <v>2367</v>
      </c>
      <c r="K96" s="35" t="s">
        <v>2367</v>
      </c>
      <c r="L96" s="35" t="s">
        <v>2367</v>
      </c>
      <c r="M96" s="35" t="s">
        <v>2428</v>
      </c>
      <c r="N96" s="35" t="s">
        <v>2428</v>
      </c>
      <c r="O96" s="35" t="s">
        <v>2428</v>
      </c>
      <c r="P96" s="35" t="s">
        <v>2428</v>
      </c>
      <c r="Q96" s="35" t="s">
        <v>2428</v>
      </c>
      <c r="R96" s="35" t="s">
        <v>2428</v>
      </c>
      <c r="S96" s="35" t="s">
        <v>2428</v>
      </c>
      <c r="T96" s="25"/>
      <c r="U96" s="25"/>
    </row>
    <row r="97" spans="1:2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</row>
    <row r="98" spans="1:21" x14ac:dyDescent="0.2">
      <c r="A98" s="7"/>
      <c r="B98" s="7"/>
      <c r="C98" s="7"/>
      <c r="D98" s="7"/>
      <c r="E98" s="39">
        <v>102</v>
      </c>
      <c r="F98" s="39" t="s">
        <v>2214</v>
      </c>
      <c r="G98" s="39" t="str">
        <f>VLOOKUP(E98,Mapping!$E$11:$G$96,3,0)</f>
        <v>Connections</v>
      </c>
      <c r="H98" s="39" t="str">
        <f>VLOOKUP(E98,Mapping!$E$11:$K$96,7,0)</f>
        <v>SCS</v>
      </c>
      <c r="I98" s="55">
        <f>SUMPRODUCT(--('Input|Historical Data'!$E$9:$E$3279=$E98),--('Input|Historical Data'!$O$9:$O$3279="SCS"),'Input|Historical Data'!$I$9:$I$3279)+SUMPRODUCT(--('Input|Customer Contributions'!$E$9:$E$21=$E98),'Input|Customer Contributions'!J$9:J$21)</f>
        <v>1504.63437</v>
      </c>
      <c r="J98" s="55">
        <f>SUMPRODUCT(--('Input|Historical Data'!$Q$9:$Q$3280=$E98),--('Input|Historical Data'!$AA$9:$AA$3280="SCS"),'Input|Historical Data'!$U$9:$U$3280)+SUMPRODUCT(--('Input|Customer Contributions'!$E$9:$E$21=$E98),'Input|Customer Contributions'!K$9:K$21)</f>
        <v>1636.8676699999999</v>
      </c>
      <c r="K98" s="55">
        <f>SUMPRODUCT(--('Input|Historical Data'!$AC$9:$AC$3279=$E98),--('Input|Historical Data'!$AM$9:$AM$3279="SCS"),'Input|Historical Data'!$AG$9:$AG$3279)+SUMPRODUCT(--('Input|Customer Contributions'!$E$9:$E$21=$E98),'Input|Customer Contributions'!L$9:L$21)</f>
        <v>2350.5242699999999</v>
      </c>
      <c r="L98" s="55">
        <f>SUMPRODUCT(--('Input|Historical Data'!$AO$9:$AO$3279=$E98),--('Input|Historical Data'!$AY$9:$AY$3279="SCS"),'Input|Historical Data'!$AS$9:$AS$3279)+SUMPRODUCT(--('Input|Customer Contributions'!$E$9:$E$21=$E98),'Input|Customer Contributions'!M$9:M$21)</f>
        <v>3650.701689999999</v>
      </c>
      <c r="M98" s="44">
        <f>M9+((M9/SUM(M$9:M$80))*'Calc|Overheads'!M$12)</f>
        <v>4266.49901506474</v>
      </c>
      <c r="N98" s="44">
        <f>N9+((N9/SUM(N$9:N$80))*'Calc|Overheads'!N$12)</f>
        <v>3724.527294462318</v>
      </c>
      <c r="O98" s="44">
        <f>O9+((O9/SUM(O$9:O$80))*'Calc|Overheads'!O$12)</f>
        <v>1569.7891770733966</v>
      </c>
      <c r="P98" s="44">
        <f>P9+((P9/SUM(P$9:P$80))*'Calc|Overheads'!P$12)</f>
        <v>2738.6536590031565</v>
      </c>
      <c r="Q98" s="44">
        <f>Q9+((Q9/SUM(Q$9:Q$80))*'Calc|Overheads'!Q$12)</f>
        <v>2806.3040080144833</v>
      </c>
      <c r="R98" s="44">
        <f>R9+((R9/SUM(R$9:R$80))*'Calc|Overheads'!R$12)</f>
        <v>2835.1293014258599</v>
      </c>
      <c r="S98" s="44">
        <f>S9+((S9/SUM(S$9:S$80))*'Calc|Overheads'!S$12)</f>
        <v>2868.2617118035682</v>
      </c>
      <c r="T98" s="7"/>
      <c r="U98" s="7"/>
    </row>
    <row r="99" spans="1:21" x14ac:dyDescent="0.2">
      <c r="A99" s="7"/>
      <c r="B99" s="7"/>
      <c r="C99" s="7"/>
      <c r="D99" s="7"/>
      <c r="E99" s="39">
        <v>103</v>
      </c>
      <c r="F99" s="39" t="s">
        <v>2215</v>
      </c>
      <c r="G99" s="39" t="str">
        <f>VLOOKUP(E99,Mapping!$E$11:$G$96,3,0)</f>
        <v>Connections</v>
      </c>
      <c r="H99" s="39" t="str">
        <f>VLOOKUP(E99,Mapping!$E$11:$K$96,7,0)</f>
        <v>SCS</v>
      </c>
      <c r="I99" s="55">
        <f>SUMPRODUCT(--('Input|Historical Data'!$E$9:$E$3279=$E99),--('Input|Historical Data'!$O$9:$O$3279="SCS"),'Input|Historical Data'!$I$9:$I$3279)+SUMPRODUCT(--('Input|Customer Contributions'!$E$9:$E$21=$E99),'Input|Customer Contributions'!J$9:J$21)</f>
        <v>0</v>
      </c>
      <c r="J99" s="55">
        <f>SUMPRODUCT(--('Input|Historical Data'!$Q$9:$Q$3280=$E99),--('Input|Historical Data'!$AA$9:$AA$3280="SCS"),'Input|Historical Data'!$U$9:$U$3280)+SUMPRODUCT(--('Input|Customer Contributions'!$E$9:$E$21=$E99),'Input|Customer Contributions'!K$9:K$21)</f>
        <v>0</v>
      </c>
      <c r="K99" s="55">
        <f>SUMPRODUCT(--('Input|Historical Data'!$AC$9:$AC$3279=$E99),--('Input|Historical Data'!$AM$9:$AM$3279="SCS"),'Input|Historical Data'!$AG$9:$AG$3279)+SUMPRODUCT(--('Input|Customer Contributions'!$E$9:$E$21=$E99),'Input|Customer Contributions'!L$9:L$21)</f>
        <v>0</v>
      </c>
      <c r="L99" s="55">
        <f>SUMPRODUCT(--('Input|Historical Data'!$AO$9:$AO$3279=$E99),--('Input|Historical Data'!$AY$9:$AY$3279="SCS"),'Input|Historical Data'!$AS$9:$AS$3279)+SUMPRODUCT(--('Input|Customer Contributions'!$E$9:$E$21=$E99),'Input|Customer Contributions'!M$9:M$21)</f>
        <v>0</v>
      </c>
      <c r="M99" s="44">
        <f>M10+((M10/SUM(M$9:M$80))*'Calc|Overheads'!M$12)</f>
        <v>0</v>
      </c>
      <c r="N99" s="44">
        <f>N10+((N10/SUM(N$9:N$80))*'Calc|Overheads'!N$12)</f>
        <v>0</v>
      </c>
      <c r="O99" s="44">
        <f>O10+((O10/SUM(O$9:O$80))*'Calc|Overheads'!O$12)</f>
        <v>0</v>
      </c>
      <c r="P99" s="44">
        <f>P10+((P10/SUM(P$9:P$80))*'Calc|Overheads'!P$12)</f>
        <v>0</v>
      </c>
      <c r="Q99" s="44">
        <f>Q10+((Q10/SUM(Q$9:Q$80))*'Calc|Overheads'!Q$12)</f>
        <v>0</v>
      </c>
      <c r="R99" s="44">
        <f>R10+((R10/SUM(R$9:R$80))*'Calc|Overheads'!R$12)</f>
        <v>0</v>
      </c>
      <c r="S99" s="44">
        <f>S10+((S10/SUM(S$9:S$80))*'Calc|Overheads'!S$12)</f>
        <v>0</v>
      </c>
      <c r="T99" s="7"/>
      <c r="U99" s="7"/>
    </row>
    <row r="100" spans="1:21" x14ac:dyDescent="0.2">
      <c r="A100" s="7"/>
      <c r="B100" s="7"/>
      <c r="C100" s="7"/>
      <c r="D100" s="7"/>
      <c r="E100" s="39">
        <v>104</v>
      </c>
      <c r="F100" s="39" t="s">
        <v>2216</v>
      </c>
      <c r="G100" s="39" t="str">
        <f>VLOOKUP(E100,Mapping!$E$11:$G$96,3,0)</f>
        <v>Connections</v>
      </c>
      <c r="H100" s="39" t="str">
        <f>VLOOKUP(E100,Mapping!$E$11:$K$96,7,0)</f>
        <v>SCS</v>
      </c>
      <c r="I100" s="55">
        <f>SUMPRODUCT(--('Input|Historical Data'!$E$9:$E$3279=$E100),--('Input|Historical Data'!$O$9:$O$3279="SCS"),'Input|Historical Data'!$I$9:$I$3279)+SUMPRODUCT(--('Input|Customer Contributions'!$E$9:$E$21=$E100),'Input|Customer Contributions'!J$9:J$21)</f>
        <v>39.44</v>
      </c>
      <c r="J100" s="55">
        <f>SUMPRODUCT(--('Input|Historical Data'!$Q$9:$Q$3280=$E100),--('Input|Historical Data'!$AA$9:$AA$3280="SCS"),'Input|Historical Data'!$U$9:$U$3280)+SUMPRODUCT(--('Input|Customer Contributions'!$E$9:$E$21=$E100),'Input|Customer Contributions'!K$9:K$21)</f>
        <v>0.31422999999999995</v>
      </c>
      <c r="K100" s="55">
        <f>SUMPRODUCT(--('Input|Historical Data'!$AC$9:$AC$3279=$E100),--('Input|Historical Data'!$AM$9:$AM$3279="SCS"),'Input|Historical Data'!$AG$9:$AG$3279)+SUMPRODUCT(--('Input|Customer Contributions'!$E$9:$E$21=$E100),'Input|Customer Contributions'!L$9:L$21)</f>
        <v>160.17496999999997</v>
      </c>
      <c r="L100" s="55">
        <f>SUMPRODUCT(--('Input|Historical Data'!$AO$9:$AO$3279=$E100),--('Input|Historical Data'!$AY$9:$AY$3279="SCS"),'Input|Historical Data'!$AS$9:$AS$3279)+SUMPRODUCT(--('Input|Customer Contributions'!$E$9:$E$21=$E100),'Input|Customer Contributions'!M$9:M$21)</f>
        <v>30.819839999999999</v>
      </c>
      <c r="M100" s="44">
        <f>M11+((M11/SUM(M$9:M$80))*'Calc|Overheads'!M$12)</f>
        <v>0</v>
      </c>
      <c r="N100" s="44">
        <f>N11+((N11/SUM(N$9:N$80))*'Calc|Overheads'!N$12)</f>
        <v>0</v>
      </c>
      <c r="O100" s="44">
        <f>O11+((O11/SUM(O$9:O$80))*'Calc|Overheads'!O$12)</f>
        <v>30.271284422493039</v>
      </c>
      <c r="P100" s="44">
        <f>P11+((P11/SUM(P$9:P$80))*'Calc|Overheads'!P$12)</f>
        <v>51.374486428711997</v>
      </c>
      <c r="Q100" s="44">
        <f>Q11+((Q11/SUM(Q$9:Q$80))*'Calc|Overheads'!Q$12)</f>
        <v>51.773740062764091</v>
      </c>
      <c r="R100" s="44">
        <f>R11+((R11/SUM(R$9:R$80))*'Calc|Overheads'!R$12)</f>
        <v>52.023298936811187</v>
      </c>
      <c r="S100" s="44">
        <f>S11+((S11/SUM(S$9:S$80))*'Calc|Overheads'!S$12)</f>
        <v>52.316880761175312</v>
      </c>
      <c r="T100" s="7"/>
      <c r="U100" s="7"/>
    </row>
    <row r="101" spans="1:21" x14ac:dyDescent="0.2">
      <c r="A101" s="7"/>
      <c r="B101" s="7"/>
      <c r="C101" s="7"/>
      <c r="D101" s="7"/>
      <c r="E101" s="39">
        <v>105</v>
      </c>
      <c r="F101" s="39" t="s">
        <v>2217</v>
      </c>
      <c r="G101" s="39" t="str">
        <f>VLOOKUP(E101,Mapping!$E$11:$G$96,3,0)</f>
        <v>Connections</v>
      </c>
      <c r="H101" s="39" t="str">
        <f>VLOOKUP(E101,Mapping!$E$11:$K$96,7,0)</f>
        <v>SCS</v>
      </c>
      <c r="I101" s="55">
        <f>SUMPRODUCT(--('Input|Historical Data'!$E$9:$E$3279=$E101),--('Input|Historical Data'!$O$9:$O$3279="SCS"),'Input|Historical Data'!$I$9:$I$3279)+SUMPRODUCT(--('Input|Customer Contributions'!$E$9:$E$21=$E101),'Input|Customer Contributions'!J$9:J$21)</f>
        <v>8170.3236299999971</v>
      </c>
      <c r="J101" s="55">
        <f>SUMPRODUCT(--('Input|Historical Data'!$Q$9:$Q$3280=$E101),--('Input|Historical Data'!$AA$9:$AA$3280="SCS"),'Input|Historical Data'!$U$9:$U$3280)+SUMPRODUCT(--('Input|Customer Contributions'!$E$9:$E$21=$E101),'Input|Customer Contributions'!K$9:K$21)</f>
        <v>6968.3986300000006</v>
      </c>
      <c r="K101" s="55">
        <f>SUMPRODUCT(--('Input|Historical Data'!$AC$9:$AC$3279=$E101),--('Input|Historical Data'!$AM$9:$AM$3279="SCS"),'Input|Historical Data'!$AG$9:$AG$3279)+SUMPRODUCT(--('Input|Customer Contributions'!$E$9:$E$21=$E101),'Input|Customer Contributions'!L$9:L$21)</f>
        <v>7871.7801899999986</v>
      </c>
      <c r="L101" s="55">
        <f>SUMPRODUCT(--('Input|Historical Data'!$AO$9:$AO$3279=$E101),--('Input|Historical Data'!$AY$9:$AY$3279="SCS"),'Input|Historical Data'!$AS$9:$AS$3279)+SUMPRODUCT(--('Input|Customer Contributions'!$E$9:$E$21=$E101),'Input|Customer Contributions'!M$9:M$21)</f>
        <v>7813.4742499999993</v>
      </c>
      <c r="M101" s="44">
        <f>M12+((M12/SUM(M$9:M$80))*'Calc|Overheads'!M$12)</f>
        <v>10173.661955064823</v>
      </c>
      <c r="N101" s="44">
        <f>N12+((N12/SUM(N$9:N$80))*'Calc|Overheads'!N$12)</f>
        <v>7811.8151277649813</v>
      </c>
      <c r="O101" s="44">
        <f>O12+((O12/SUM(O$9:O$80))*'Calc|Overheads'!O$12)</f>
        <v>4558.8202139427822</v>
      </c>
      <c r="P101" s="44">
        <f>P12+((P12/SUM(P$9:P$80))*'Calc|Overheads'!P$12)</f>
        <v>6159.7550607640533</v>
      </c>
      <c r="Q101" s="44">
        <f>Q12+((Q12/SUM(Q$9:Q$80))*'Calc|Overheads'!Q$12)</f>
        <v>6242.1782542159917</v>
      </c>
      <c r="R101" s="44">
        <f>R12+((R12/SUM(R$9:R$80))*'Calc|Overheads'!R$12)</f>
        <v>6966.6585143163102</v>
      </c>
      <c r="S101" s="44">
        <f>S12+((S12/SUM(S$9:S$80))*'Calc|Overheads'!S$12)</f>
        <v>7155.1577985279828</v>
      </c>
      <c r="T101" s="7"/>
      <c r="U101" s="7"/>
    </row>
    <row r="102" spans="1:21" x14ac:dyDescent="0.2">
      <c r="A102" s="7"/>
      <c r="B102" s="7"/>
      <c r="C102" s="7"/>
      <c r="D102" s="7"/>
      <c r="E102" s="39">
        <v>106</v>
      </c>
      <c r="F102" s="39" t="s">
        <v>2218</v>
      </c>
      <c r="G102" s="39" t="str">
        <f>VLOOKUP(E102,Mapping!$E$11:$G$96,3,0)</f>
        <v>Connections</v>
      </c>
      <c r="H102" s="39" t="str">
        <f>VLOOKUP(E102,Mapping!$E$11:$K$96,7,0)</f>
        <v>SCS</v>
      </c>
      <c r="I102" s="55">
        <f>SUMPRODUCT(--('Input|Historical Data'!$E$9:$E$3279=$E102),--('Input|Historical Data'!$O$9:$O$3279="SCS"),'Input|Historical Data'!$I$9:$I$3279)+SUMPRODUCT(--('Input|Customer Contributions'!$E$9:$E$21=$E102),'Input|Customer Contributions'!J$9:J$21)</f>
        <v>13207.261410000006</v>
      </c>
      <c r="J102" s="55">
        <f>SUMPRODUCT(--('Input|Historical Data'!$Q$9:$Q$3280=$E102),--('Input|Historical Data'!$AA$9:$AA$3280="SCS"),'Input|Historical Data'!$U$9:$U$3280)+SUMPRODUCT(--('Input|Customer Contributions'!$E$9:$E$21=$E102),'Input|Customer Contributions'!K$9:K$21)</f>
        <v>10401.900800000005</v>
      </c>
      <c r="K102" s="55">
        <f>SUMPRODUCT(--('Input|Historical Data'!$AC$9:$AC$3279=$E102),--('Input|Historical Data'!$AM$9:$AM$3279="SCS"),'Input|Historical Data'!$AG$9:$AG$3279)+SUMPRODUCT(--('Input|Customer Contributions'!$E$9:$E$21=$E102),'Input|Customer Contributions'!L$9:L$21)</f>
        <v>8901.6507800000018</v>
      </c>
      <c r="L102" s="55">
        <f>SUMPRODUCT(--('Input|Historical Data'!$AO$9:$AO$3279=$E102),--('Input|Historical Data'!$AY$9:$AY$3279="SCS"),'Input|Historical Data'!$AS$9:$AS$3279)+SUMPRODUCT(--('Input|Customer Contributions'!$E$9:$E$21=$E102),'Input|Customer Contributions'!M$9:M$21)</f>
        <v>11592.424949999999</v>
      </c>
      <c r="M102" s="44">
        <f>M13+((M13/SUM(M$9:M$80))*'Calc|Overheads'!M$12)</f>
        <v>9787.0826521531235</v>
      </c>
      <c r="N102" s="44">
        <f>N13+((N13/SUM(N$9:N$80))*'Calc|Overheads'!N$12)</f>
        <v>9258.3539067814363</v>
      </c>
      <c r="O102" s="44">
        <f>O13+((O13/SUM(O$9:O$80))*'Calc|Overheads'!O$12)</f>
        <v>6736.3275722534208</v>
      </c>
      <c r="P102" s="44">
        <f>P13+((P13/SUM(P$9:P$80))*'Calc|Overheads'!P$12)</f>
        <v>10759.01295933578</v>
      </c>
      <c r="Q102" s="44">
        <f>Q13+((Q13/SUM(Q$9:Q$80))*'Calc|Overheads'!Q$12)</f>
        <v>10637.797688153585</v>
      </c>
      <c r="R102" s="44">
        <f>R13+((R13/SUM(R$9:R$80))*'Calc|Overheads'!R$12)</f>
        <v>11037.731554660963</v>
      </c>
      <c r="S102" s="44">
        <f>S13+((S13/SUM(S$9:S$80))*'Calc|Overheads'!S$12)</f>
        <v>11280.739291478669</v>
      </c>
      <c r="T102" s="7"/>
      <c r="U102" s="7"/>
    </row>
    <row r="103" spans="1:21" x14ac:dyDescent="0.2">
      <c r="A103" s="7"/>
      <c r="B103" s="7"/>
      <c r="C103" s="7"/>
      <c r="D103" s="7"/>
      <c r="E103" s="39">
        <v>107</v>
      </c>
      <c r="F103" s="39" t="s">
        <v>2219</v>
      </c>
      <c r="G103" s="39" t="str">
        <f>VLOOKUP(E103,Mapping!$E$11:$G$96,3,0)</f>
        <v>Connections</v>
      </c>
      <c r="H103" s="39" t="str">
        <f>VLOOKUP(E103,Mapping!$E$11:$K$96,7,0)</f>
        <v>SCS</v>
      </c>
      <c r="I103" s="55">
        <f>SUMPRODUCT(--('Input|Historical Data'!$E$9:$E$3279=$E103),--('Input|Historical Data'!$O$9:$O$3279="SCS"),'Input|Historical Data'!$I$9:$I$3279)+SUMPRODUCT(--('Input|Customer Contributions'!$E$9:$E$21=$E103),'Input|Customer Contributions'!J$9:J$21)</f>
        <v>2167.7704899999999</v>
      </c>
      <c r="J103" s="55">
        <f>SUMPRODUCT(--('Input|Historical Data'!$Q$9:$Q$3280=$E103),--('Input|Historical Data'!$AA$9:$AA$3280="SCS"),'Input|Historical Data'!$U$9:$U$3280)+SUMPRODUCT(--('Input|Customer Contributions'!$E$9:$E$21=$E103),'Input|Customer Contributions'!K$9:K$21)</f>
        <v>4728.73992</v>
      </c>
      <c r="K103" s="55">
        <f>SUMPRODUCT(--('Input|Historical Data'!$AC$9:$AC$3279=$E103),--('Input|Historical Data'!$AM$9:$AM$3279="SCS"),'Input|Historical Data'!$AG$9:$AG$3279)+SUMPRODUCT(--('Input|Customer Contributions'!$E$9:$E$21=$E103),'Input|Customer Contributions'!L$9:L$21)</f>
        <v>2837.240499999999</v>
      </c>
      <c r="L103" s="55">
        <f>SUMPRODUCT(--('Input|Historical Data'!$AO$9:$AO$3279=$E103),--('Input|Historical Data'!$AY$9:$AY$3279="SCS"),'Input|Historical Data'!$AS$9:$AS$3279)+SUMPRODUCT(--('Input|Customer Contributions'!$E$9:$E$21=$E103),'Input|Customer Contributions'!M$9:M$21)</f>
        <v>1548.5254</v>
      </c>
      <c r="M103" s="44">
        <f>M14+((M14/SUM(M$9:M$80))*'Calc|Overheads'!M$12)</f>
        <v>4796.0943679436486</v>
      </c>
      <c r="N103" s="44">
        <f>N14+((N14/SUM(N$9:N$80))*'Calc|Overheads'!N$12)</f>
        <v>3714.7414260656087</v>
      </c>
      <c r="O103" s="44">
        <f>O14+((O14/SUM(O$9:O$80))*'Calc|Overheads'!O$12)</f>
        <v>4655.3044858840703</v>
      </c>
      <c r="P103" s="44">
        <f>P14+((P14/SUM(P$9:P$80))*'Calc|Overheads'!P$12)</f>
        <v>5894.3264880050601</v>
      </c>
      <c r="Q103" s="44">
        <f>Q14+((Q14/SUM(Q$9:Q$80))*'Calc|Overheads'!Q$12)</f>
        <v>8519.6936958400674</v>
      </c>
      <c r="R103" s="44">
        <f>R14+((R14/SUM(R$9:R$80))*'Calc|Overheads'!R$12)</f>
        <v>3376.7726456009295</v>
      </c>
      <c r="S103" s="44">
        <f>S14+((S14/SUM(S$9:S$80))*'Calc|Overheads'!S$12)</f>
        <v>3395.8287049823716</v>
      </c>
      <c r="T103" s="7"/>
      <c r="U103" s="7"/>
    </row>
    <row r="104" spans="1:21" x14ac:dyDescent="0.2">
      <c r="A104" s="7"/>
      <c r="B104" s="7"/>
      <c r="C104" s="7"/>
      <c r="D104" s="7"/>
      <c r="E104" s="39">
        <v>108</v>
      </c>
      <c r="F104" s="39" t="s">
        <v>2220</v>
      </c>
      <c r="G104" s="39" t="str">
        <f>VLOOKUP(E104,Mapping!$E$11:$G$96,3,0)</f>
        <v>Connections</v>
      </c>
      <c r="H104" s="39" t="str">
        <f>VLOOKUP(E104,Mapping!$E$11:$K$96,7,0)</f>
        <v>SCS</v>
      </c>
      <c r="I104" s="55">
        <f>SUMPRODUCT(--('Input|Historical Data'!$E$9:$E$3279=$E104),--('Input|Historical Data'!$O$9:$O$3279="SCS"),'Input|Historical Data'!$I$9:$I$3279)+SUMPRODUCT(--('Input|Customer Contributions'!$E$9:$E$21=$E104),'Input|Customer Contributions'!J$9:J$21)</f>
        <v>-37.780270000000009</v>
      </c>
      <c r="J104" s="55">
        <f>SUMPRODUCT(--('Input|Historical Data'!$Q$9:$Q$3280=$E104),--('Input|Historical Data'!$AA$9:$AA$3280="SCS"),'Input|Historical Data'!$U$9:$U$3280)+SUMPRODUCT(--('Input|Customer Contributions'!$E$9:$E$21=$E104),'Input|Customer Contributions'!K$9:K$21)</f>
        <v>0</v>
      </c>
      <c r="K104" s="55">
        <f>SUMPRODUCT(--('Input|Historical Data'!$AC$9:$AC$3279=$E104),--('Input|Historical Data'!$AM$9:$AM$3279="SCS"),'Input|Historical Data'!$AG$9:$AG$3279)+SUMPRODUCT(--('Input|Customer Contributions'!$E$9:$E$21=$E104),'Input|Customer Contributions'!L$9:L$21)</f>
        <v>0</v>
      </c>
      <c r="L104" s="55">
        <f>SUMPRODUCT(--('Input|Historical Data'!$AO$9:$AO$3279=$E104),--('Input|Historical Data'!$AY$9:$AY$3279="SCS"),'Input|Historical Data'!$AS$9:$AS$3279)+SUMPRODUCT(--('Input|Customer Contributions'!$E$9:$E$21=$E104),'Input|Customer Contributions'!M$9:M$21)</f>
        <v>0</v>
      </c>
      <c r="M104" s="44">
        <f>M15+((M15/SUM(M$9:M$80))*'Calc|Overheads'!M$12)</f>
        <v>0</v>
      </c>
      <c r="N104" s="44">
        <f>N15+((N15/SUM(N$9:N$80))*'Calc|Overheads'!N$12)</f>
        <v>0</v>
      </c>
      <c r="O104" s="44">
        <f>O15+((O15/SUM(O$9:O$80))*'Calc|Overheads'!O$12)</f>
        <v>0</v>
      </c>
      <c r="P104" s="44">
        <f>P15+((P15/SUM(P$9:P$80))*'Calc|Overheads'!P$12)</f>
        <v>0</v>
      </c>
      <c r="Q104" s="44">
        <f>Q15+((Q15/SUM(Q$9:Q$80))*'Calc|Overheads'!Q$12)</f>
        <v>0</v>
      </c>
      <c r="R104" s="44">
        <f>R15+((R15/SUM(R$9:R$80))*'Calc|Overheads'!R$12)</f>
        <v>0</v>
      </c>
      <c r="S104" s="44">
        <f>S15+((S15/SUM(S$9:S$80))*'Calc|Overheads'!S$12)</f>
        <v>0</v>
      </c>
      <c r="T104" s="7"/>
      <c r="U104" s="7"/>
    </row>
    <row r="105" spans="1:21" x14ac:dyDescent="0.2">
      <c r="A105" s="7"/>
      <c r="B105" s="7"/>
      <c r="C105" s="7"/>
      <c r="D105" s="7"/>
      <c r="E105" s="39">
        <v>109</v>
      </c>
      <c r="F105" s="39" t="s">
        <v>2221</v>
      </c>
      <c r="G105" s="39" t="str">
        <f>VLOOKUP(E105,Mapping!$E$11:$G$96,3,0)</f>
        <v>Connections</v>
      </c>
      <c r="H105" s="39" t="str">
        <f>VLOOKUP(E105,Mapping!$E$11:$K$96,7,0)</f>
        <v>SCS</v>
      </c>
      <c r="I105" s="55">
        <f>SUMPRODUCT(--('Input|Historical Data'!$E$9:$E$3279=$E105),--('Input|Historical Data'!$O$9:$O$3279="SCS"),'Input|Historical Data'!$I$9:$I$3279)+SUMPRODUCT(--('Input|Customer Contributions'!$E$9:$E$21=$E105),'Input|Customer Contributions'!J$9:J$21)</f>
        <v>769.98245999999983</v>
      </c>
      <c r="J105" s="55">
        <f>SUMPRODUCT(--('Input|Historical Data'!$Q$9:$Q$3280=$E105),--('Input|Historical Data'!$AA$9:$AA$3280="SCS"),'Input|Historical Data'!$U$9:$U$3280)+SUMPRODUCT(--('Input|Customer Contributions'!$E$9:$E$21=$E105),'Input|Customer Contributions'!K$9:K$21)</f>
        <v>4239.8600100000003</v>
      </c>
      <c r="K105" s="55">
        <f>SUMPRODUCT(--('Input|Historical Data'!$AC$9:$AC$3279=$E105),--('Input|Historical Data'!$AM$9:$AM$3279="SCS"),'Input|Historical Data'!$AG$9:$AG$3279)+SUMPRODUCT(--('Input|Customer Contributions'!$E$9:$E$21=$E105),'Input|Customer Contributions'!L$9:L$21)</f>
        <v>6818.1191400000016</v>
      </c>
      <c r="L105" s="55">
        <f>SUMPRODUCT(--('Input|Historical Data'!$AO$9:$AO$3279=$E105),--('Input|Historical Data'!$AY$9:$AY$3279="SCS"),'Input|Historical Data'!$AS$9:$AS$3279)+SUMPRODUCT(--('Input|Customer Contributions'!$E$9:$E$21=$E105),'Input|Customer Contributions'!M$9:M$21)</f>
        <v>5812.5636800000002</v>
      </c>
      <c r="M105" s="44">
        <f>M16+((M16/SUM(M$9:M$80))*'Calc|Overheads'!M$12)</f>
        <v>9500.049317674353</v>
      </c>
      <c r="N105" s="44">
        <f>N16+((N16/SUM(N$9:N$80))*'Calc|Overheads'!N$12)</f>
        <v>7902.3577854680207</v>
      </c>
      <c r="O105" s="44">
        <f>O16+((O16/SUM(O$9:O$80))*'Calc|Overheads'!O$12)</f>
        <v>3987.4180530340345</v>
      </c>
      <c r="P105" s="44">
        <f>P16+((P16/SUM(P$9:P$80))*'Calc|Overheads'!P$12)</f>
        <v>6956.6964997794194</v>
      </c>
      <c r="Q105" s="44">
        <f>Q16+((Q16/SUM(Q$9:Q$80))*'Calc|Overheads'!Q$12)</f>
        <v>7128.6914742435647</v>
      </c>
      <c r="R105" s="44">
        <f>R16+((R16/SUM(R$9:R$80))*'Calc|Overheads'!R$12)</f>
        <v>7201.9634796196942</v>
      </c>
      <c r="S105" s="44">
        <f>S16+((S16/SUM(S$9:S$80))*'Calc|Overheads'!S$12)</f>
        <v>7286.182730026625</v>
      </c>
      <c r="T105" s="7"/>
      <c r="U105" s="7"/>
    </row>
    <row r="106" spans="1:21" x14ac:dyDescent="0.2">
      <c r="A106" s="7"/>
      <c r="B106" s="7"/>
      <c r="C106" s="7"/>
      <c r="D106" s="7"/>
      <c r="E106" s="39">
        <v>110</v>
      </c>
      <c r="F106" s="39" t="s">
        <v>2222</v>
      </c>
      <c r="G106" s="39" t="str">
        <f>VLOOKUP(E106,Mapping!$E$11:$G$96,3,0)</f>
        <v>Connections</v>
      </c>
      <c r="H106" s="39" t="str">
        <f>VLOOKUP(E106,Mapping!$E$11:$K$96,7,0)</f>
        <v>SCS</v>
      </c>
      <c r="I106" s="55">
        <f>SUMPRODUCT(--('Input|Historical Data'!$E$9:$E$3279=$E106),--('Input|Historical Data'!$O$9:$O$3279="SCS"),'Input|Historical Data'!$I$9:$I$3279)+SUMPRODUCT(--('Input|Customer Contributions'!$E$9:$E$21=$E106),'Input|Customer Contributions'!J$9:J$21)</f>
        <v>0</v>
      </c>
      <c r="J106" s="55">
        <f>SUMPRODUCT(--('Input|Historical Data'!$Q$9:$Q$3280=$E106),--('Input|Historical Data'!$AA$9:$AA$3280="SCS"),'Input|Historical Data'!$U$9:$U$3280)+SUMPRODUCT(--('Input|Customer Contributions'!$E$9:$E$21=$E106),'Input|Customer Contributions'!K$9:K$21)</f>
        <v>0</v>
      </c>
      <c r="K106" s="55">
        <f>SUMPRODUCT(--('Input|Historical Data'!$AC$9:$AC$3279=$E106),--('Input|Historical Data'!$AM$9:$AM$3279="SCS"),'Input|Historical Data'!$AG$9:$AG$3279)+SUMPRODUCT(--('Input|Customer Contributions'!$E$9:$E$21=$E106),'Input|Customer Contributions'!L$9:L$21)</f>
        <v>0</v>
      </c>
      <c r="L106" s="55">
        <f>SUMPRODUCT(--('Input|Historical Data'!$AO$9:$AO$3279=$E106),--('Input|Historical Data'!$AY$9:$AY$3279="SCS"),'Input|Historical Data'!$AS$9:$AS$3279)+SUMPRODUCT(--('Input|Customer Contributions'!$E$9:$E$21=$E106),'Input|Customer Contributions'!M$9:M$21)</f>
        <v>0</v>
      </c>
      <c r="M106" s="44">
        <f>M17+((M17/SUM(M$9:M$80))*'Calc|Overheads'!M$12)</f>
        <v>0</v>
      </c>
      <c r="N106" s="44">
        <f>N17+((N17/SUM(N$9:N$80))*'Calc|Overheads'!N$12)</f>
        <v>0</v>
      </c>
      <c r="O106" s="44">
        <f>O17+((O17/SUM(O$9:O$80))*'Calc|Overheads'!O$12)</f>
        <v>0</v>
      </c>
      <c r="P106" s="44">
        <f>P17+((P17/SUM(P$9:P$80))*'Calc|Overheads'!P$12)</f>
        <v>0</v>
      </c>
      <c r="Q106" s="44">
        <f>Q17+((Q17/SUM(Q$9:Q$80))*'Calc|Overheads'!Q$12)</f>
        <v>0</v>
      </c>
      <c r="R106" s="44">
        <f>R17+((R17/SUM(R$9:R$80))*'Calc|Overheads'!R$12)</f>
        <v>0</v>
      </c>
      <c r="S106" s="44">
        <f>S17+((S17/SUM(S$9:S$80))*'Calc|Overheads'!S$12)</f>
        <v>0</v>
      </c>
      <c r="T106" s="7"/>
      <c r="U106" s="7"/>
    </row>
    <row r="107" spans="1:21" x14ac:dyDescent="0.2">
      <c r="A107" s="7"/>
      <c r="B107" s="7"/>
      <c r="C107" s="7"/>
      <c r="D107" s="7"/>
      <c r="E107" s="39">
        <v>111</v>
      </c>
      <c r="F107" s="39" t="s">
        <v>2223</v>
      </c>
      <c r="G107" s="39" t="str">
        <f>VLOOKUP(E107,Mapping!$E$11:$G$96,3,0)</f>
        <v>Connections</v>
      </c>
      <c r="H107" s="39" t="str">
        <f>VLOOKUP(E107,Mapping!$E$11:$K$96,7,0)</f>
        <v>SCS</v>
      </c>
      <c r="I107" s="55">
        <f>SUMPRODUCT(--('Input|Historical Data'!$E$9:$E$3279=$E107),--('Input|Historical Data'!$O$9:$O$3279="SCS"),'Input|Historical Data'!$I$9:$I$3279)+SUMPRODUCT(--('Input|Customer Contributions'!$E$9:$E$21=$E107),'Input|Customer Contributions'!J$9:J$21)</f>
        <v>31842.935550000009</v>
      </c>
      <c r="J107" s="55">
        <f>SUMPRODUCT(--('Input|Historical Data'!$Q$9:$Q$3280=$E107),--('Input|Historical Data'!$AA$9:$AA$3280="SCS"),'Input|Historical Data'!$U$9:$U$3280)+SUMPRODUCT(--('Input|Customer Contributions'!$E$9:$E$21=$E107),'Input|Customer Contributions'!K$9:K$21)</f>
        <v>21491.13260999999</v>
      </c>
      <c r="K107" s="55">
        <f>SUMPRODUCT(--('Input|Historical Data'!$AC$9:$AC$3279=$E107),--('Input|Historical Data'!$AM$9:$AM$3279="SCS"),'Input|Historical Data'!$AG$9:$AG$3279)+SUMPRODUCT(--('Input|Customer Contributions'!$E$9:$E$21=$E107),'Input|Customer Contributions'!L$9:L$21)</f>
        <v>21342.850650000004</v>
      </c>
      <c r="L107" s="55">
        <f>SUMPRODUCT(--('Input|Historical Data'!$AO$9:$AO$3279=$E107),--('Input|Historical Data'!$AY$9:$AY$3279="SCS"),'Input|Historical Data'!$AS$9:$AS$3279)+SUMPRODUCT(--('Input|Customer Contributions'!$E$9:$E$21=$E107),'Input|Customer Contributions'!M$9:M$21)</f>
        <v>28735.193400000004</v>
      </c>
      <c r="M107" s="44">
        <f>M18+((M18/SUM(M$9:M$80))*'Calc|Overheads'!M$12)</f>
        <v>32001.990356549606</v>
      </c>
      <c r="N107" s="44">
        <f>N18+((N18/SUM(N$9:N$80))*'Calc|Overheads'!N$12)</f>
        <v>27408.09796247763</v>
      </c>
      <c r="O107" s="44">
        <f>O18+((O18/SUM(O$9:O$80))*'Calc|Overheads'!O$12)</f>
        <v>13939.507312986048</v>
      </c>
      <c r="P107" s="44">
        <f>P18+((P18/SUM(P$9:P$80))*'Calc|Overheads'!P$12)</f>
        <v>22792.201473496578</v>
      </c>
      <c r="Q107" s="44">
        <f>Q18+((Q18/SUM(Q$9:Q$80))*'Calc|Overheads'!Q$12)</f>
        <v>24990.229549702086</v>
      </c>
      <c r="R107" s="44">
        <f>R18+((R18/SUM(R$9:R$80))*'Calc|Overheads'!R$12)</f>
        <v>26342.78618648661</v>
      </c>
      <c r="S107" s="44">
        <f>S18+((S18/SUM(S$9:S$80))*'Calc|Overheads'!S$12)</f>
        <v>26740.590949874892</v>
      </c>
      <c r="T107" s="7"/>
      <c r="U107" s="7"/>
    </row>
    <row r="108" spans="1:21" x14ac:dyDescent="0.2">
      <c r="A108" s="7"/>
      <c r="B108" s="7"/>
      <c r="C108" s="7"/>
      <c r="D108" s="7"/>
      <c r="E108" s="39">
        <v>112</v>
      </c>
      <c r="F108" s="39" t="s">
        <v>2224</v>
      </c>
      <c r="G108" s="39" t="str">
        <f>VLOOKUP(E108,Mapping!$E$11:$G$96,3,0)</f>
        <v>Metering Capex</v>
      </c>
      <c r="H108" s="39" t="str">
        <f>VLOOKUP(E108,Mapping!$E$11:$K$96,7,0)</f>
        <v>Metering Services</v>
      </c>
      <c r="I108" s="55">
        <f>SUMPRODUCT(--('Input|Historical Data'!$E$9:$E$3279=$E108),--('Input|Historical Data'!$O$9:$O$3279="SCS"),'Input|Historical Data'!$I$9:$I$3279)+SUMPRODUCT(--('Input|Customer Contributions'!$E$9:$E$21=$E108),'Input|Customer Contributions'!J$9:J$21)</f>
        <v>0</v>
      </c>
      <c r="J108" s="55">
        <f>SUMPRODUCT(--('Input|Historical Data'!$Q$9:$Q$3280=$E108),--('Input|Historical Data'!$AA$9:$AA$3280="SCS"),'Input|Historical Data'!$U$9:$U$3280)+SUMPRODUCT(--('Input|Customer Contributions'!$E$9:$E$21=$E108),'Input|Customer Contributions'!K$9:K$21)</f>
        <v>0</v>
      </c>
      <c r="K108" s="55">
        <f>SUMPRODUCT(--('Input|Historical Data'!$AC$9:$AC$3279=$E108),--('Input|Historical Data'!$AM$9:$AM$3279="SCS"),'Input|Historical Data'!$AG$9:$AG$3279)+SUMPRODUCT(--('Input|Customer Contributions'!$E$9:$E$21=$E108),'Input|Customer Contributions'!L$9:L$21)</f>
        <v>0</v>
      </c>
      <c r="L108" s="55">
        <f>SUMPRODUCT(--('Input|Historical Data'!$AO$9:$AO$3279=$E108),--('Input|Historical Data'!$AY$9:$AY$3279="SCS"),'Input|Historical Data'!$AS$9:$AS$3279)+SUMPRODUCT(--('Input|Customer Contributions'!$E$9:$E$21=$E108),'Input|Customer Contributions'!M$9:M$21)</f>
        <v>0</v>
      </c>
      <c r="M108" s="44">
        <f>M19+((M19/SUM(M$9:M$80))*'Calc|Overheads'!M$12)</f>
        <v>0</v>
      </c>
      <c r="N108" s="44">
        <f>N19+((N19/SUM(N$9:N$80))*'Calc|Overheads'!N$12)</f>
        <v>0</v>
      </c>
      <c r="O108" s="44">
        <f>O19+((O19/SUM(O$9:O$80))*'Calc|Overheads'!O$12)</f>
        <v>0</v>
      </c>
      <c r="P108" s="44">
        <f>P19+((P19/SUM(P$9:P$80))*'Calc|Overheads'!P$12)</f>
        <v>0</v>
      </c>
      <c r="Q108" s="44">
        <f>Q19+((Q19/SUM(Q$9:Q$80))*'Calc|Overheads'!Q$12)</f>
        <v>0</v>
      </c>
      <c r="R108" s="44">
        <f>R19+((R19/SUM(R$9:R$80))*'Calc|Overheads'!R$12)</f>
        <v>0</v>
      </c>
      <c r="S108" s="44">
        <f>S19+((S19/SUM(S$9:S$80))*'Calc|Overheads'!S$12)</f>
        <v>0</v>
      </c>
      <c r="T108" s="7"/>
      <c r="U108" s="7"/>
    </row>
    <row r="109" spans="1:21" x14ac:dyDescent="0.2">
      <c r="A109" s="7"/>
      <c r="B109" s="7"/>
      <c r="C109" s="7"/>
      <c r="D109" s="7"/>
      <c r="E109" s="39">
        <v>113</v>
      </c>
      <c r="F109" s="39" t="s">
        <v>2225</v>
      </c>
      <c r="G109" s="39" t="str">
        <f>VLOOKUP(E109,Mapping!$E$11:$G$96,3,0)</f>
        <v>Metering Capex</v>
      </c>
      <c r="H109" s="39" t="str">
        <f>VLOOKUP(E109,Mapping!$E$11:$K$96,7,0)</f>
        <v>Metering Services</v>
      </c>
      <c r="I109" s="55">
        <f>SUMPRODUCT(--('Input|Historical Data'!$E$9:$E$3279=$E109),--('Input|Historical Data'!$O$9:$O$3279="SCS"),'Input|Historical Data'!$I$9:$I$3279)+SUMPRODUCT(--('Input|Customer Contributions'!$E$9:$E$21=$E109),'Input|Customer Contributions'!J$9:J$21)</f>
        <v>0</v>
      </c>
      <c r="J109" s="55">
        <f>SUMPRODUCT(--('Input|Historical Data'!$Q$9:$Q$3280=$E109),--('Input|Historical Data'!$AA$9:$AA$3280="SCS"),'Input|Historical Data'!$U$9:$U$3280)+SUMPRODUCT(--('Input|Customer Contributions'!$E$9:$E$21=$E109),'Input|Customer Contributions'!K$9:K$21)</f>
        <v>0</v>
      </c>
      <c r="K109" s="55">
        <f>SUMPRODUCT(--('Input|Historical Data'!$AC$9:$AC$3279=$E109),--('Input|Historical Data'!$AM$9:$AM$3279="SCS"),'Input|Historical Data'!$AG$9:$AG$3279)+SUMPRODUCT(--('Input|Customer Contributions'!$E$9:$E$21=$E109),'Input|Customer Contributions'!L$9:L$21)</f>
        <v>0</v>
      </c>
      <c r="L109" s="55">
        <f>SUMPRODUCT(--('Input|Historical Data'!$AO$9:$AO$3279=$E109),--('Input|Historical Data'!$AY$9:$AY$3279="SCS"),'Input|Historical Data'!$AS$9:$AS$3279)+SUMPRODUCT(--('Input|Customer Contributions'!$E$9:$E$21=$E109),'Input|Customer Contributions'!M$9:M$21)</f>
        <v>0</v>
      </c>
      <c r="M109" s="44">
        <f>M20+((M20/SUM(M$9:M$80))*'Calc|Overheads'!M$12)</f>
        <v>0</v>
      </c>
      <c r="N109" s="44">
        <f>N20+((N20/SUM(N$9:N$80))*'Calc|Overheads'!N$12)</f>
        <v>0</v>
      </c>
      <c r="O109" s="44">
        <f>O20+((O20/SUM(O$9:O$80))*'Calc|Overheads'!O$12)</f>
        <v>0</v>
      </c>
      <c r="P109" s="44">
        <f>P20+((P20/SUM(P$9:P$80))*'Calc|Overheads'!P$12)</f>
        <v>0</v>
      </c>
      <c r="Q109" s="44">
        <f>Q20+((Q20/SUM(Q$9:Q$80))*'Calc|Overheads'!Q$12)</f>
        <v>0</v>
      </c>
      <c r="R109" s="44">
        <f>R20+((R20/SUM(R$9:R$80))*'Calc|Overheads'!R$12)</f>
        <v>0</v>
      </c>
      <c r="S109" s="44">
        <f>S20+((S20/SUM(S$9:S$80))*'Calc|Overheads'!S$12)</f>
        <v>0</v>
      </c>
      <c r="T109" s="7"/>
      <c r="U109" s="7"/>
    </row>
    <row r="110" spans="1:21" x14ac:dyDescent="0.2">
      <c r="A110" s="7"/>
      <c r="B110" s="7"/>
      <c r="C110" s="7"/>
      <c r="D110" s="7"/>
      <c r="E110" s="39">
        <v>114</v>
      </c>
      <c r="F110" s="39" t="s">
        <v>2226</v>
      </c>
      <c r="G110" s="39" t="s">
        <v>2299</v>
      </c>
      <c r="H110" s="39" t="s">
        <v>28</v>
      </c>
      <c r="I110" s="55">
        <f>SUMPRODUCT(--('Input|Historical Data'!$E$9:$E$3279=$E110),--('Input|Historical Data'!$O$9:$O$3279="SCS"),'Input|Historical Data'!$I$9:$I$3279)+SUMPRODUCT(--('Input|Customer Contributions'!$E$9:$E$21=$E110),'Input|Customer Contributions'!J$9:J$21)</f>
        <v>318.51160999999996</v>
      </c>
      <c r="J110" s="55">
        <f>SUMPRODUCT(--('Input|Historical Data'!$Q$9:$Q$3280=$E110),--('Input|Historical Data'!$AA$9:$AA$3280="SCS"),'Input|Historical Data'!$U$9:$U$3280)+SUMPRODUCT(--('Input|Customer Contributions'!$E$9:$E$21=$E110),'Input|Customer Contributions'!K$9:K$21)</f>
        <v>0</v>
      </c>
      <c r="K110" s="55">
        <f>SUMPRODUCT(--('Input|Historical Data'!$AC$9:$AC$3279=$E110),--('Input|Historical Data'!$AM$9:$AM$3279="SCS"),'Input|Historical Data'!$AG$9:$AG$3279)+SUMPRODUCT(--('Input|Customer Contributions'!$E$9:$E$21=$E110),'Input|Customer Contributions'!L$9:L$21)</f>
        <v>0</v>
      </c>
      <c r="L110" s="55">
        <f>SUMPRODUCT(--('Input|Historical Data'!$AO$9:$AO$3279=$E110),--('Input|Historical Data'!$AY$9:$AY$3279="SCS"),'Input|Historical Data'!$AS$9:$AS$3279)+SUMPRODUCT(--('Input|Customer Contributions'!$E$9:$E$21=$E110),'Input|Customer Contributions'!M$9:M$21)</f>
        <v>0</v>
      </c>
      <c r="M110" s="44">
        <f>M21+((M21/SUM(M$9:M$80))*'Calc|Overheads'!M$12)</f>
        <v>0</v>
      </c>
      <c r="N110" s="44">
        <f>N21+((N21/SUM(N$9:N$80))*'Calc|Overheads'!N$12)</f>
        <v>0</v>
      </c>
      <c r="O110" s="44">
        <f>O21+((O21/SUM(O$9:O$80))*'Calc|Overheads'!O$12)</f>
        <v>0</v>
      </c>
      <c r="P110" s="44">
        <f>P21+((P21/SUM(P$9:P$80))*'Calc|Overheads'!P$12)</f>
        <v>0</v>
      </c>
      <c r="Q110" s="44">
        <f>Q21+((Q21/SUM(Q$9:Q$80))*'Calc|Overheads'!Q$12)</f>
        <v>0</v>
      </c>
      <c r="R110" s="44">
        <f>R21+((R21/SUM(R$9:R$80))*'Calc|Overheads'!R$12)</f>
        <v>0</v>
      </c>
      <c r="S110" s="44">
        <f>S21+((S21/SUM(S$9:S$80))*'Calc|Overheads'!S$12)</f>
        <v>0</v>
      </c>
      <c r="T110" s="7"/>
      <c r="U110" s="7"/>
    </row>
    <row r="111" spans="1:21" x14ac:dyDescent="0.2">
      <c r="A111" s="7"/>
      <c r="B111" s="7"/>
      <c r="C111" s="7"/>
      <c r="D111" s="7"/>
      <c r="E111" s="39">
        <v>115</v>
      </c>
      <c r="F111" s="39" t="s">
        <v>2227</v>
      </c>
      <c r="G111" s="39" t="s">
        <v>2299</v>
      </c>
      <c r="H111" s="39" t="s">
        <v>28</v>
      </c>
      <c r="I111" s="55">
        <f>SUMPRODUCT(--('Input|Historical Data'!$E$9:$E$3279=$E111),--('Input|Historical Data'!$O$9:$O$3279="SCS"),'Input|Historical Data'!$I$9:$I$3279)+SUMPRODUCT(--('Input|Customer Contributions'!$E$9:$E$21=$E111),'Input|Customer Contributions'!J$9:J$21)</f>
        <v>2348.8232400000002</v>
      </c>
      <c r="J111" s="55">
        <f>SUMPRODUCT(--('Input|Historical Data'!$Q$9:$Q$3280=$E111),--('Input|Historical Data'!$AA$9:$AA$3280="SCS"),'Input|Historical Data'!$U$9:$U$3280)+SUMPRODUCT(--('Input|Customer Contributions'!$E$9:$E$21=$E111),'Input|Customer Contributions'!K$9:K$21)</f>
        <v>0</v>
      </c>
      <c r="K111" s="55">
        <f>SUMPRODUCT(--('Input|Historical Data'!$AC$9:$AC$3279=$E111),--('Input|Historical Data'!$AM$9:$AM$3279="SCS"),'Input|Historical Data'!$AG$9:$AG$3279)+SUMPRODUCT(--('Input|Customer Contributions'!$E$9:$E$21=$E111),'Input|Customer Contributions'!L$9:L$21)</f>
        <v>0</v>
      </c>
      <c r="L111" s="55">
        <f>SUMPRODUCT(--('Input|Historical Data'!$AO$9:$AO$3279=$E111),--('Input|Historical Data'!$AY$9:$AY$3279="SCS"),'Input|Historical Data'!$AS$9:$AS$3279)+SUMPRODUCT(--('Input|Customer Contributions'!$E$9:$E$21=$E111),'Input|Customer Contributions'!M$9:M$21)</f>
        <v>0</v>
      </c>
      <c r="M111" s="44">
        <f>M22+((M22/SUM(M$9:M$80))*'Calc|Overheads'!M$12)</f>
        <v>0</v>
      </c>
      <c r="N111" s="44">
        <f>N22+((N22/SUM(N$9:N$80))*'Calc|Overheads'!N$12)</f>
        <v>0</v>
      </c>
      <c r="O111" s="44">
        <f>O22+((O22/SUM(O$9:O$80))*'Calc|Overheads'!O$12)</f>
        <v>0</v>
      </c>
      <c r="P111" s="44">
        <f>P22+((P22/SUM(P$9:P$80))*'Calc|Overheads'!P$12)</f>
        <v>0</v>
      </c>
      <c r="Q111" s="44">
        <f>Q22+((Q22/SUM(Q$9:Q$80))*'Calc|Overheads'!Q$12)</f>
        <v>0</v>
      </c>
      <c r="R111" s="44">
        <f>R22+((R22/SUM(R$9:R$80))*'Calc|Overheads'!R$12)</f>
        <v>0</v>
      </c>
      <c r="S111" s="44">
        <f>S22+((S22/SUM(S$9:S$80))*'Calc|Overheads'!S$12)</f>
        <v>0</v>
      </c>
      <c r="T111" s="7"/>
      <c r="U111" s="7"/>
    </row>
    <row r="112" spans="1:21" x14ac:dyDescent="0.2">
      <c r="A112" s="7"/>
      <c r="B112" s="7"/>
      <c r="C112" s="7"/>
      <c r="D112" s="7"/>
      <c r="E112" s="39">
        <v>116</v>
      </c>
      <c r="F112" s="39" t="s">
        <v>2228</v>
      </c>
      <c r="G112" s="39" t="str">
        <f>VLOOKUP(E112,Mapping!$E$11:$G$96,3,0)</f>
        <v>Connections</v>
      </c>
      <c r="H112" s="39" t="str">
        <f>VLOOKUP(E112,Mapping!$E$11:$K$96,7,0)</f>
        <v>SCS</v>
      </c>
      <c r="I112" s="55">
        <f>SUMPRODUCT(--('Input|Historical Data'!$E$9:$E$3279=$E112),--('Input|Historical Data'!$O$9:$O$3279="SCS"),'Input|Historical Data'!$I$9:$I$3279)+SUMPRODUCT(--('Input|Customer Contributions'!$E$9:$E$21=$E112),'Input|Customer Contributions'!J$9:J$21)</f>
        <v>16638.669389999995</v>
      </c>
      <c r="J112" s="55">
        <f>SUMPRODUCT(--('Input|Historical Data'!$Q$9:$Q$3280=$E112),--('Input|Historical Data'!$AA$9:$AA$3280="SCS"),'Input|Historical Data'!$U$9:$U$3280)+SUMPRODUCT(--('Input|Customer Contributions'!$E$9:$E$21=$E112),'Input|Customer Contributions'!K$9:K$21)</f>
        <v>29443.25255999999</v>
      </c>
      <c r="K112" s="55">
        <f>SUMPRODUCT(--('Input|Historical Data'!$AC$9:$AC$3279=$E112),--('Input|Historical Data'!$AM$9:$AM$3279="SCS"),'Input|Historical Data'!$AG$9:$AG$3279)+SUMPRODUCT(--('Input|Customer Contributions'!$E$9:$E$21=$E112),'Input|Customer Contributions'!L$9:L$21)</f>
        <v>27411.866499999989</v>
      </c>
      <c r="L112" s="55">
        <f>SUMPRODUCT(--('Input|Historical Data'!$AO$9:$AO$3279=$E112),--('Input|Historical Data'!$AY$9:$AY$3279="SCS"),'Input|Historical Data'!$AS$9:$AS$3279)+SUMPRODUCT(--('Input|Customer Contributions'!$E$9:$E$21=$E112),'Input|Customer Contributions'!M$9:M$21)</f>
        <v>29201.756789999996</v>
      </c>
      <c r="M112" s="44">
        <f>M23+((M23/SUM(M$9:M$80))*'Calc|Overheads'!M$12)</f>
        <v>27000.230682990587</v>
      </c>
      <c r="N112" s="44">
        <f>N23+((N23/SUM(N$9:N$80))*'Calc|Overheads'!N$12)</f>
        <v>37944.288762597207</v>
      </c>
      <c r="O112" s="44">
        <f>O23+((O23/SUM(O$9:O$80))*'Calc|Overheads'!O$12)</f>
        <v>26439.572634036329</v>
      </c>
      <c r="P112" s="44">
        <f>P23+((P23/SUM(P$9:P$80))*'Calc|Overheads'!P$12)</f>
        <v>41983.507746272458</v>
      </c>
      <c r="Q112" s="44">
        <f>Q23+((Q23/SUM(Q$9:Q$80))*'Calc|Overheads'!Q$12)</f>
        <v>30564.062477250463</v>
      </c>
      <c r="R112" s="44">
        <f>R23+((R23/SUM(R$9:R$80))*'Calc|Overheads'!R$12)</f>
        <v>30915.597735697927</v>
      </c>
      <c r="S112" s="44">
        <f>S23+((S23/SUM(S$9:S$80))*'Calc|Overheads'!S$12)</f>
        <v>31179.351379998418</v>
      </c>
      <c r="T112" s="7"/>
      <c r="U112" s="7"/>
    </row>
    <row r="113" spans="1:21" x14ac:dyDescent="0.2">
      <c r="A113" s="7"/>
      <c r="B113" s="7"/>
      <c r="C113" s="7"/>
      <c r="D113" s="7"/>
      <c r="E113" s="39">
        <v>118</v>
      </c>
      <c r="F113" s="39" t="s">
        <v>2229</v>
      </c>
      <c r="G113" s="39" t="str">
        <f>VLOOKUP(E113,Mapping!$E$11:$G$96,3,0)</f>
        <v>Connections</v>
      </c>
      <c r="H113" s="39" t="str">
        <f>VLOOKUP(E113,Mapping!$E$11:$K$96,7,0)</f>
        <v>SCS</v>
      </c>
      <c r="I113" s="55">
        <f>SUMPRODUCT(--('Input|Historical Data'!$E$9:$E$3279=$E113),--('Input|Historical Data'!$O$9:$O$3279="SCS"),'Input|Historical Data'!$I$9:$I$3279)+SUMPRODUCT(--('Input|Customer Contributions'!$E$9:$E$21=$E113),'Input|Customer Contributions'!J$9:J$21)</f>
        <v>99.174520000000001</v>
      </c>
      <c r="J113" s="55">
        <f>SUMPRODUCT(--('Input|Historical Data'!$Q$9:$Q$3280=$E113),--('Input|Historical Data'!$AA$9:$AA$3280="SCS"),'Input|Historical Data'!$U$9:$U$3280)+SUMPRODUCT(--('Input|Customer Contributions'!$E$9:$E$21=$E113),'Input|Customer Contributions'!K$9:K$21)</f>
        <v>24.934709999999999</v>
      </c>
      <c r="K113" s="55">
        <f>SUMPRODUCT(--('Input|Historical Data'!$AC$9:$AC$3279=$E113),--('Input|Historical Data'!$AM$9:$AM$3279="SCS"),'Input|Historical Data'!$AG$9:$AG$3279)+SUMPRODUCT(--('Input|Customer Contributions'!$E$9:$E$21=$E113),'Input|Customer Contributions'!L$9:L$21)</f>
        <v>48.27872</v>
      </c>
      <c r="L113" s="55">
        <f>SUMPRODUCT(--('Input|Historical Data'!$AO$9:$AO$3279=$E113),--('Input|Historical Data'!$AY$9:$AY$3279="SCS"),'Input|Historical Data'!$AS$9:$AS$3279)+SUMPRODUCT(--('Input|Customer Contributions'!$E$9:$E$21=$E113),'Input|Customer Contributions'!M$9:M$21)</f>
        <v>9.5076900000000002</v>
      </c>
      <c r="M113" s="44">
        <f>M24+((M24/SUM(M$9:M$80))*'Calc|Overheads'!M$12)</f>
        <v>6.4931909971262662</v>
      </c>
      <c r="N113" s="44">
        <f>N24+((N24/SUM(N$9:N$80))*'Calc|Overheads'!N$12)</f>
        <v>8.2756282558140377</v>
      </c>
      <c r="O113" s="44">
        <f>O24+((O24/SUM(O$9:O$80))*'Calc|Overheads'!O$12)</f>
        <v>19.5999331733926</v>
      </c>
      <c r="P113" s="44">
        <f>P24+((P24/SUM(P$9:P$80))*'Calc|Overheads'!P$12)</f>
        <v>33.263752101378202</v>
      </c>
      <c r="Q113" s="44">
        <f>Q24+((Q24/SUM(Q$9:Q$80))*'Calc|Overheads'!Q$12)</f>
        <v>33.522259287179693</v>
      </c>
      <c r="R113" s="44">
        <f>R24+((R24/SUM(R$9:R$80))*'Calc|Overheads'!R$12)</f>
        <v>33.683842693614721</v>
      </c>
      <c r="S113" s="44">
        <f>S24+((S24/SUM(S$9:S$80))*'Calc|Overheads'!S$12)</f>
        <v>33.873929908222109</v>
      </c>
      <c r="T113" s="7"/>
      <c r="U113" s="7"/>
    </row>
    <row r="114" spans="1:21" x14ac:dyDescent="0.2">
      <c r="A114" s="7"/>
      <c r="B114" s="7"/>
      <c r="C114" s="7"/>
      <c r="D114" s="7"/>
      <c r="E114" s="39">
        <v>119</v>
      </c>
      <c r="F114" s="39" t="s">
        <v>2230</v>
      </c>
      <c r="G114" s="39" t="str">
        <f>VLOOKUP(E114,Mapping!$E$11:$G$96,3,0)</f>
        <v>Negotiated Capex</v>
      </c>
      <c r="H114" s="39" t="str">
        <f>VLOOKUP(E114,Mapping!$E$11:$K$96,7,0)</f>
        <v>Negotiated Capex</v>
      </c>
      <c r="I114" s="55">
        <f>SUMPRODUCT(--('Input|Historical Data'!$E$9:$E$3279=$E114),--('Input|Historical Data'!$O$9:$O$3279="SCS"),'Input|Historical Data'!$I$9:$I$3279)+SUMPRODUCT(--('Input|Customer Contributions'!$E$9:$E$21=$E114),'Input|Customer Contributions'!J$9:J$21)</f>
        <v>0</v>
      </c>
      <c r="J114" s="55">
        <f>SUMPRODUCT(--('Input|Historical Data'!$Q$9:$Q$3280=$E114),--('Input|Historical Data'!$AA$9:$AA$3280="SCS"),'Input|Historical Data'!$U$9:$U$3280)+SUMPRODUCT(--('Input|Customer Contributions'!$E$9:$E$21=$E114),'Input|Customer Contributions'!K$9:K$21)</f>
        <v>0</v>
      </c>
      <c r="K114" s="55">
        <f>SUMPRODUCT(--('Input|Historical Data'!$AC$9:$AC$3279=$E114),--('Input|Historical Data'!$AM$9:$AM$3279="SCS"),'Input|Historical Data'!$AG$9:$AG$3279)+SUMPRODUCT(--('Input|Customer Contributions'!$E$9:$E$21=$E114),'Input|Customer Contributions'!L$9:L$21)</f>
        <v>0</v>
      </c>
      <c r="L114" s="55">
        <f>SUMPRODUCT(--('Input|Historical Data'!$AO$9:$AO$3279=$E114),--('Input|Historical Data'!$AY$9:$AY$3279="SCS"),'Input|Historical Data'!$AS$9:$AS$3279)+SUMPRODUCT(--('Input|Customer Contributions'!$E$9:$E$21=$E114),'Input|Customer Contributions'!M$9:M$21)</f>
        <v>0</v>
      </c>
      <c r="M114" s="44">
        <f>M25+((M25/SUM(M$9:M$80))*'Calc|Overheads'!M$12)</f>
        <v>0</v>
      </c>
      <c r="N114" s="44">
        <f>N25+((N25/SUM(N$9:N$80))*'Calc|Overheads'!N$12)</f>
        <v>0</v>
      </c>
      <c r="O114" s="44">
        <f>O25+((O25/SUM(O$9:O$80))*'Calc|Overheads'!O$12)</f>
        <v>0</v>
      </c>
      <c r="P114" s="44">
        <f>P25+((P25/SUM(P$9:P$80))*'Calc|Overheads'!P$12)</f>
        <v>0</v>
      </c>
      <c r="Q114" s="44">
        <f>Q25+((Q25/SUM(Q$9:Q$80))*'Calc|Overheads'!Q$12)</f>
        <v>0</v>
      </c>
      <c r="R114" s="44">
        <f>R25+((R25/SUM(R$9:R$80))*'Calc|Overheads'!R$12)</f>
        <v>0</v>
      </c>
      <c r="S114" s="44">
        <f>S25+((S25/SUM(S$9:S$80))*'Calc|Overheads'!S$12)</f>
        <v>0</v>
      </c>
      <c r="T114" s="7"/>
      <c r="U114" s="7"/>
    </row>
    <row r="115" spans="1:21" x14ac:dyDescent="0.2">
      <c r="A115" s="7"/>
      <c r="B115" s="7"/>
      <c r="C115" s="7"/>
      <c r="D115" s="7"/>
      <c r="E115" s="39">
        <v>120</v>
      </c>
      <c r="F115" s="39" t="s">
        <v>2231</v>
      </c>
      <c r="G115" s="39" t="str">
        <f>VLOOKUP(E115,Mapping!$E$11:$G$96,3,0)</f>
        <v>Negotiated Capex</v>
      </c>
      <c r="H115" s="39" t="str">
        <f>VLOOKUP(E115,Mapping!$E$11:$K$96,7,0)</f>
        <v>Negotiated Capex</v>
      </c>
      <c r="I115" s="55">
        <f>SUMPRODUCT(--('Input|Historical Data'!$E$9:$E$3279=$E115),--('Input|Historical Data'!$O$9:$O$3279="SCS"),'Input|Historical Data'!$I$9:$I$3279)+SUMPRODUCT(--('Input|Customer Contributions'!$E$9:$E$21=$E115),'Input|Customer Contributions'!J$9:J$21)</f>
        <v>0</v>
      </c>
      <c r="J115" s="55">
        <f>SUMPRODUCT(--('Input|Historical Data'!$Q$9:$Q$3280=$E115),--('Input|Historical Data'!$AA$9:$AA$3280="SCS"),'Input|Historical Data'!$U$9:$U$3280)+SUMPRODUCT(--('Input|Customer Contributions'!$E$9:$E$21=$E115),'Input|Customer Contributions'!K$9:K$21)</f>
        <v>0</v>
      </c>
      <c r="K115" s="55">
        <f>SUMPRODUCT(--('Input|Historical Data'!$AC$9:$AC$3279=$E115),--('Input|Historical Data'!$AM$9:$AM$3279="SCS"),'Input|Historical Data'!$AG$9:$AG$3279)+SUMPRODUCT(--('Input|Customer Contributions'!$E$9:$E$21=$E115),'Input|Customer Contributions'!L$9:L$21)</f>
        <v>0</v>
      </c>
      <c r="L115" s="55">
        <f>SUMPRODUCT(--('Input|Historical Data'!$AO$9:$AO$3279=$E115),--('Input|Historical Data'!$AY$9:$AY$3279="SCS"),'Input|Historical Data'!$AS$9:$AS$3279)+SUMPRODUCT(--('Input|Customer Contributions'!$E$9:$E$21=$E115),'Input|Customer Contributions'!M$9:M$21)</f>
        <v>0</v>
      </c>
      <c r="M115" s="44">
        <f>M26+((M26/SUM(M$9:M$80))*'Calc|Overheads'!M$12)</f>
        <v>0</v>
      </c>
      <c r="N115" s="44">
        <f>N26+((N26/SUM(N$9:N$80))*'Calc|Overheads'!N$12)</f>
        <v>0</v>
      </c>
      <c r="O115" s="44">
        <f>O26+((O26/SUM(O$9:O$80))*'Calc|Overheads'!O$12)</f>
        <v>0</v>
      </c>
      <c r="P115" s="44">
        <f>P26+((P26/SUM(P$9:P$80))*'Calc|Overheads'!P$12)</f>
        <v>0</v>
      </c>
      <c r="Q115" s="44">
        <f>Q26+((Q26/SUM(Q$9:Q$80))*'Calc|Overheads'!Q$12)</f>
        <v>0</v>
      </c>
      <c r="R115" s="44">
        <f>R26+((R26/SUM(R$9:R$80))*'Calc|Overheads'!R$12)</f>
        <v>0</v>
      </c>
      <c r="S115" s="44">
        <f>S26+((S26/SUM(S$9:S$80))*'Calc|Overheads'!S$12)</f>
        <v>0</v>
      </c>
      <c r="T115" s="7"/>
      <c r="U115" s="7"/>
    </row>
    <row r="116" spans="1:21" x14ac:dyDescent="0.2">
      <c r="A116" s="7"/>
      <c r="B116" s="7"/>
      <c r="C116" s="7"/>
      <c r="D116" s="7"/>
      <c r="E116" s="39">
        <v>121</v>
      </c>
      <c r="F116" s="39" t="s">
        <v>2232</v>
      </c>
      <c r="G116" s="39" t="str">
        <f>VLOOKUP(E116,Mapping!$E$11:$G$96,3,0)</f>
        <v>Connections</v>
      </c>
      <c r="H116" s="39" t="str">
        <f>VLOOKUP(E116,Mapping!$E$11:$K$96,7,0)</f>
        <v>SCS</v>
      </c>
      <c r="I116" s="55">
        <f>SUMPRODUCT(--('Input|Historical Data'!$E$9:$E$3279=$E116),--('Input|Historical Data'!$O$9:$O$3279="SCS"),'Input|Historical Data'!$I$9:$I$3279)+SUMPRODUCT(--('Input|Customer Contributions'!$E$9:$E$21=$E116),'Input|Customer Contributions'!J$9:J$21)</f>
        <v>0</v>
      </c>
      <c r="J116" s="55">
        <f>SUMPRODUCT(--('Input|Historical Data'!$Q$9:$Q$3280=$E116),--('Input|Historical Data'!$AA$9:$AA$3280="SCS"),'Input|Historical Data'!$U$9:$U$3280)+SUMPRODUCT(--('Input|Customer Contributions'!$E$9:$E$21=$E116),'Input|Customer Contributions'!K$9:K$21)</f>
        <v>22.24531</v>
      </c>
      <c r="K116" s="55">
        <f>SUMPRODUCT(--('Input|Historical Data'!$AC$9:$AC$3279=$E116),--('Input|Historical Data'!$AM$9:$AM$3279="SCS"),'Input|Historical Data'!$AG$9:$AG$3279)+SUMPRODUCT(--('Input|Customer Contributions'!$E$9:$E$21=$E116),'Input|Customer Contributions'!L$9:L$21)</f>
        <v>635.20426000000009</v>
      </c>
      <c r="L116" s="55">
        <f>SUMPRODUCT(--('Input|Historical Data'!$AO$9:$AO$3279=$E116),--('Input|Historical Data'!$AY$9:$AY$3279="SCS"),'Input|Historical Data'!$AS$9:$AS$3279)+SUMPRODUCT(--('Input|Customer Contributions'!$E$9:$E$21=$E116),'Input|Customer Contributions'!M$9:M$21)</f>
        <v>11.840850000000001</v>
      </c>
      <c r="M116" s="44">
        <f>M27+((M27/SUM(M$9:M$80))*'Calc|Overheads'!M$12)</f>
        <v>-637.22350169776496</v>
      </c>
      <c r="N116" s="44">
        <f>N27+((N27/SUM(N$9:N$80))*'Calc|Overheads'!N$12)</f>
        <v>0</v>
      </c>
      <c r="O116" s="44">
        <f>O27+((O27/SUM(O$9:O$80))*'Calc|Overheads'!O$12)</f>
        <v>0</v>
      </c>
      <c r="P116" s="44">
        <f>P27+((P27/SUM(P$9:P$80))*'Calc|Overheads'!P$12)</f>
        <v>0</v>
      </c>
      <c r="Q116" s="44">
        <f>Q27+((Q27/SUM(Q$9:Q$80))*'Calc|Overheads'!Q$12)</f>
        <v>0</v>
      </c>
      <c r="R116" s="44">
        <f>R27+((R27/SUM(R$9:R$80))*'Calc|Overheads'!R$12)</f>
        <v>0</v>
      </c>
      <c r="S116" s="44">
        <f>S27+((S27/SUM(S$9:S$80))*'Calc|Overheads'!S$12)</f>
        <v>0</v>
      </c>
      <c r="T116" s="7"/>
      <c r="U116" s="7"/>
    </row>
    <row r="117" spans="1:21" x14ac:dyDescent="0.2">
      <c r="A117" s="7"/>
      <c r="B117" s="7"/>
      <c r="C117" s="7"/>
      <c r="D117" s="7"/>
      <c r="E117" s="39">
        <v>122</v>
      </c>
      <c r="F117" s="39" t="s">
        <v>2233</v>
      </c>
      <c r="G117" s="39" t="str">
        <f>VLOOKUP(E117,Mapping!$E$11:$G$96,3,0)</f>
        <v>Connections</v>
      </c>
      <c r="H117" s="39" t="str">
        <f>VLOOKUP(E117,Mapping!$E$11:$K$96,7,0)</f>
        <v>SCS</v>
      </c>
      <c r="I117" s="55">
        <f>SUMPRODUCT(--('Input|Historical Data'!$E$9:$E$3279=$E117),--('Input|Historical Data'!$O$9:$O$3279="SCS"),'Input|Historical Data'!$I$9:$I$3279)+SUMPRODUCT(--('Input|Customer Contributions'!$E$9:$E$21=$E117),'Input|Customer Contributions'!J$9:J$21)</f>
        <v>0</v>
      </c>
      <c r="J117" s="55">
        <f>SUMPRODUCT(--('Input|Historical Data'!$Q$9:$Q$3280=$E117),--('Input|Historical Data'!$AA$9:$AA$3280="SCS"),'Input|Historical Data'!$U$9:$U$3280)+SUMPRODUCT(--('Input|Customer Contributions'!$E$9:$E$21=$E117),'Input|Customer Contributions'!K$9:K$21)</f>
        <v>0</v>
      </c>
      <c r="K117" s="55">
        <f>SUMPRODUCT(--('Input|Historical Data'!$AC$9:$AC$3279=$E117),--('Input|Historical Data'!$AM$9:$AM$3279="SCS"),'Input|Historical Data'!$AG$9:$AG$3279)+SUMPRODUCT(--('Input|Customer Contributions'!$E$9:$E$21=$E117),'Input|Customer Contributions'!L$9:L$21)</f>
        <v>0</v>
      </c>
      <c r="L117" s="55">
        <f>SUMPRODUCT(--('Input|Historical Data'!$AO$9:$AO$3279=$E117),--('Input|Historical Data'!$AY$9:$AY$3279="SCS"),'Input|Historical Data'!$AS$9:$AS$3279)+SUMPRODUCT(--('Input|Customer Contributions'!$E$9:$E$21=$E117),'Input|Customer Contributions'!M$9:M$21)</f>
        <v>0</v>
      </c>
      <c r="M117" s="44">
        <f>M28+((M28/SUM(M$9:M$80))*'Calc|Overheads'!M$12)</f>
        <v>0</v>
      </c>
      <c r="N117" s="44">
        <f>N28+((N28/SUM(N$9:N$80))*'Calc|Overheads'!N$12)</f>
        <v>0</v>
      </c>
      <c r="O117" s="44">
        <f>O28+((O28/SUM(O$9:O$80))*'Calc|Overheads'!O$12)</f>
        <v>0</v>
      </c>
      <c r="P117" s="44">
        <f>P28+((P28/SUM(P$9:P$80))*'Calc|Overheads'!P$12)</f>
        <v>0</v>
      </c>
      <c r="Q117" s="44">
        <f>Q28+((Q28/SUM(Q$9:Q$80))*'Calc|Overheads'!Q$12)</f>
        <v>0</v>
      </c>
      <c r="R117" s="44">
        <f>R28+((R28/SUM(R$9:R$80))*'Calc|Overheads'!R$12)</f>
        <v>0</v>
      </c>
      <c r="S117" s="44">
        <f>S28+((S28/SUM(S$9:S$80))*'Calc|Overheads'!S$12)</f>
        <v>0</v>
      </c>
      <c r="T117" s="7"/>
      <c r="U117" s="7"/>
    </row>
    <row r="118" spans="1:21" x14ac:dyDescent="0.2">
      <c r="A118" s="7"/>
      <c r="B118" s="7"/>
      <c r="C118" s="7"/>
      <c r="D118" s="7"/>
      <c r="E118" s="39">
        <v>123</v>
      </c>
      <c r="F118" s="39" t="s">
        <v>2234</v>
      </c>
      <c r="G118" s="39" t="str">
        <f>VLOOKUP(E118,Mapping!$E$11:$G$96,3,0)</f>
        <v>Metering Opex</v>
      </c>
      <c r="H118" s="39" t="str">
        <f>VLOOKUP(E118,Mapping!$E$11:$K$96,7,0)</f>
        <v>Connection Services</v>
      </c>
      <c r="I118" s="55">
        <f>SUMPRODUCT(--('Input|Historical Data'!$E$9:$E$3279=$E118),--('Input|Historical Data'!$O$9:$O$3279="SCS"),'Input|Historical Data'!$I$9:$I$3279)+SUMPRODUCT(--('Input|Customer Contributions'!$E$9:$E$21=$E118),'Input|Customer Contributions'!J$9:J$21)</f>
        <v>0</v>
      </c>
      <c r="J118" s="55">
        <f>SUMPRODUCT(--('Input|Historical Data'!$Q$9:$Q$3280=$E118),--('Input|Historical Data'!$AA$9:$AA$3280="SCS"),'Input|Historical Data'!$U$9:$U$3280)+SUMPRODUCT(--('Input|Customer Contributions'!$E$9:$E$21=$E118),'Input|Customer Contributions'!K$9:K$21)</f>
        <v>0</v>
      </c>
      <c r="K118" s="55">
        <f>SUMPRODUCT(--('Input|Historical Data'!$AC$9:$AC$3279=$E118),--('Input|Historical Data'!$AM$9:$AM$3279="SCS"),'Input|Historical Data'!$AG$9:$AG$3279)+SUMPRODUCT(--('Input|Customer Contributions'!$E$9:$E$21=$E118),'Input|Customer Contributions'!L$9:L$21)</f>
        <v>0</v>
      </c>
      <c r="L118" s="55">
        <f>SUMPRODUCT(--('Input|Historical Data'!$AO$9:$AO$3279=$E118),--('Input|Historical Data'!$AY$9:$AY$3279="SCS"),'Input|Historical Data'!$AS$9:$AS$3279)+SUMPRODUCT(--('Input|Customer Contributions'!$E$9:$E$21=$E118),'Input|Customer Contributions'!M$9:M$21)</f>
        <v>0</v>
      </c>
      <c r="M118" s="44">
        <f>M29+((M29/SUM(M$9:M$80))*'Calc|Overheads'!M$12)</f>
        <v>0</v>
      </c>
      <c r="N118" s="44">
        <f>N29+((N29/SUM(N$9:N$80))*'Calc|Overheads'!N$12)</f>
        <v>0</v>
      </c>
      <c r="O118" s="44">
        <f>O29+((O29/SUM(O$9:O$80))*'Calc|Overheads'!O$12)</f>
        <v>0</v>
      </c>
      <c r="P118" s="44">
        <f>P29+((P29/SUM(P$9:P$80))*'Calc|Overheads'!P$12)</f>
        <v>0</v>
      </c>
      <c r="Q118" s="44">
        <f>Q29+((Q29/SUM(Q$9:Q$80))*'Calc|Overheads'!Q$12)</f>
        <v>0</v>
      </c>
      <c r="R118" s="44">
        <f>R29+((R29/SUM(R$9:R$80))*'Calc|Overheads'!R$12)</f>
        <v>0</v>
      </c>
      <c r="S118" s="44">
        <f>S29+((S29/SUM(S$9:S$80))*'Calc|Overheads'!S$12)</f>
        <v>0</v>
      </c>
      <c r="T118" s="7"/>
      <c r="U118" s="7"/>
    </row>
    <row r="119" spans="1:21" x14ac:dyDescent="0.2">
      <c r="A119" s="7"/>
      <c r="B119" s="7"/>
      <c r="C119" s="7"/>
      <c r="D119" s="7"/>
      <c r="E119" s="39">
        <v>124</v>
      </c>
      <c r="F119" s="39" t="s">
        <v>2235</v>
      </c>
      <c r="G119" s="39" t="str">
        <f>VLOOKUP(E119,Mapping!$E$11:$G$96,3,0)</f>
        <v>Metering Opex</v>
      </c>
      <c r="H119" s="39" t="str">
        <f>VLOOKUP(E119,Mapping!$E$11:$K$96,7,0)</f>
        <v>Connection Services</v>
      </c>
      <c r="I119" s="55">
        <f>SUMPRODUCT(--('Input|Historical Data'!$E$9:$E$3279=$E119),--('Input|Historical Data'!$O$9:$O$3279="SCS"),'Input|Historical Data'!$I$9:$I$3279)+SUMPRODUCT(--('Input|Customer Contributions'!$E$9:$E$21=$E119),'Input|Customer Contributions'!J$9:J$21)</f>
        <v>0</v>
      </c>
      <c r="J119" s="55">
        <f>SUMPRODUCT(--('Input|Historical Data'!$Q$9:$Q$3280=$E119),--('Input|Historical Data'!$AA$9:$AA$3280="SCS"),'Input|Historical Data'!$U$9:$U$3280)+SUMPRODUCT(--('Input|Customer Contributions'!$E$9:$E$21=$E119),'Input|Customer Contributions'!K$9:K$21)</f>
        <v>0</v>
      </c>
      <c r="K119" s="55">
        <f>SUMPRODUCT(--('Input|Historical Data'!$AC$9:$AC$3279=$E119),--('Input|Historical Data'!$AM$9:$AM$3279="SCS"),'Input|Historical Data'!$AG$9:$AG$3279)+SUMPRODUCT(--('Input|Customer Contributions'!$E$9:$E$21=$E119),'Input|Customer Contributions'!L$9:L$21)</f>
        <v>0</v>
      </c>
      <c r="L119" s="55">
        <f>SUMPRODUCT(--('Input|Historical Data'!$AO$9:$AO$3279=$E119),--('Input|Historical Data'!$AY$9:$AY$3279="SCS"),'Input|Historical Data'!$AS$9:$AS$3279)+SUMPRODUCT(--('Input|Customer Contributions'!$E$9:$E$21=$E119),'Input|Customer Contributions'!M$9:M$21)</f>
        <v>0</v>
      </c>
      <c r="M119" s="44">
        <f>M30+((M30/SUM(M$9:M$80))*'Calc|Overheads'!M$12)</f>
        <v>0</v>
      </c>
      <c r="N119" s="44">
        <f>N30+((N30/SUM(N$9:N$80))*'Calc|Overheads'!N$12)</f>
        <v>0</v>
      </c>
      <c r="O119" s="44">
        <f>O30+((O30/SUM(O$9:O$80))*'Calc|Overheads'!O$12)</f>
        <v>0</v>
      </c>
      <c r="P119" s="44">
        <f>P30+((P30/SUM(P$9:P$80))*'Calc|Overheads'!P$12)</f>
        <v>0</v>
      </c>
      <c r="Q119" s="44">
        <f>Q30+((Q30/SUM(Q$9:Q$80))*'Calc|Overheads'!Q$12)</f>
        <v>0</v>
      </c>
      <c r="R119" s="44">
        <f>R30+((R30/SUM(R$9:R$80))*'Calc|Overheads'!R$12)</f>
        <v>0</v>
      </c>
      <c r="S119" s="44">
        <f>S30+((S30/SUM(S$9:S$80))*'Calc|Overheads'!S$12)</f>
        <v>0</v>
      </c>
      <c r="T119" s="7"/>
      <c r="U119" s="7"/>
    </row>
    <row r="120" spans="1:21" x14ac:dyDescent="0.2">
      <c r="A120" s="7"/>
      <c r="B120" s="7"/>
      <c r="C120" s="7"/>
      <c r="D120" s="7"/>
      <c r="E120" s="39">
        <v>125</v>
      </c>
      <c r="F120" s="39" t="s">
        <v>2236</v>
      </c>
      <c r="G120" s="39" t="str">
        <f>VLOOKUP(E120,Mapping!$E$11:$G$96,3,0)</f>
        <v>Metering Capex</v>
      </c>
      <c r="H120" s="39" t="str">
        <f>VLOOKUP(E120,Mapping!$E$11:$K$96,7,0)</f>
        <v>Metering Services</v>
      </c>
      <c r="I120" s="55">
        <f>SUMPRODUCT(--('Input|Historical Data'!$E$9:$E$3279=$E120),--('Input|Historical Data'!$O$9:$O$3279="SCS"),'Input|Historical Data'!$I$9:$I$3279)+SUMPRODUCT(--('Input|Customer Contributions'!$E$9:$E$21=$E120),'Input|Customer Contributions'!J$9:J$21)</f>
        <v>0</v>
      </c>
      <c r="J120" s="55">
        <f>SUMPRODUCT(--('Input|Historical Data'!$Q$9:$Q$3280=$E120),--('Input|Historical Data'!$AA$9:$AA$3280="SCS"),'Input|Historical Data'!$U$9:$U$3280)+SUMPRODUCT(--('Input|Customer Contributions'!$E$9:$E$21=$E120),'Input|Customer Contributions'!K$9:K$21)</f>
        <v>0</v>
      </c>
      <c r="K120" s="55">
        <f>SUMPRODUCT(--('Input|Historical Data'!$AC$9:$AC$3279=$E120),--('Input|Historical Data'!$AM$9:$AM$3279="SCS"),'Input|Historical Data'!$AG$9:$AG$3279)+SUMPRODUCT(--('Input|Customer Contributions'!$E$9:$E$21=$E120),'Input|Customer Contributions'!L$9:L$21)</f>
        <v>0</v>
      </c>
      <c r="L120" s="55">
        <f>SUMPRODUCT(--('Input|Historical Data'!$AO$9:$AO$3279=$E120),--('Input|Historical Data'!$AY$9:$AY$3279="SCS"),'Input|Historical Data'!$AS$9:$AS$3279)+SUMPRODUCT(--('Input|Customer Contributions'!$E$9:$E$21=$E120),'Input|Customer Contributions'!M$9:M$21)</f>
        <v>0</v>
      </c>
      <c r="M120" s="44">
        <f>M31+((M31/SUM(M$9:M$80))*'Calc|Overheads'!M$12)</f>
        <v>0</v>
      </c>
      <c r="N120" s="44">
        <f>N31+((N31/SUM(N$9:N$80))*'Calc|Overheads'!N$12)</f>
        <v>0</v>
      </c>
      <c r="O120" s="44">
        <f>O31+((O31/SUM(O$9:O$80))*'Calc|Overheads'!O$12)</f>
        <v>0</v>
      </c>
      <c r="P120" s="44">
        <f>P31+((P31/SUM(P$9:P$80))*'Calc|Overheads'!P$12)</f>
        <v>0</v>
      </c>
      <c r="Q120" s="44">
        <f>Q31+((Q31/SUM(Q$9:Q$80))*'Calc|Overheads'!Q$12)</f>
        <v>0</v>
      </c>
      <c r="R120" s="44">
        <f>R31+((R31/SUM(R$9:R$80))*'Calc|Overheads'!R$12)</f>
        <v>0</v>
      </c>
      <c r="S120" s="44">
        <f>S31+((S31/SUM(S$9:S$80))*'Calc|Overheads'!S$12)</f>
        <v>0</v>
      </c>
      <c r="T120" s="7"/>
      <c r="U120" s="7"/>
    </row>
    <row r="121" spans="1:21" x14ac:dyDescent="0.2">
      <c r="A121" s="7"/>
      <c r="B121" s="7"/>
      <c r="C121" s="7"/>
      <c r="D121" s="7"/>
      <c r="E121" s="39">
        <v>126</v>
      </c>
      <c r="F121" s="39" t="s">
        <v>2237</v>
      </c>
      <c r="G121" s="39" t="str">
        <f>VLOOKUP(E121,Mapping!$E$11:$G$96,3,0)</f>
        <v>Metering Opex</v>
      </c>
      <c r="H121" s="39" t="str">
        <f>VLOOKUP(E121,Mapping!$E$11:$K$96,7,0)</f>
        <v>Connection Services</v>
      </c>
      <c r="I121" s="55">
        <f>SUMPRODUCT(--('Input|Historical Data'!$E$9:$E$3279=$E121),--('Input|Historical Data'!$O$9:$O$3279="SCS"),'Input|Historical Data'!$I$9:$I$3279)+SUMPRODUCT(--('Input|Customer Contributions'!$E$9:$E$21=$E121),'Input|Customer Contributions'!J$9:J$21)</f>
        <v>0</v>
      </c>
      <c r="J121" s="55">
        <f>SUMPRODUCT(--('Input|Historical Data'!$Q$9:$Q$3280=$E121),--('Input|Historical Data'!$AA$9:$AA$3280="SCS"),'Input|Historical Data'!$U$9:$U$3280)+SUMPRODUCT(--('Input|Customer Contributions'!$E$9:$E$21=$E121),'Input|Customer Contributions'!K$9:K$21)</f>
        <v>0</v>
      </c>
      <c r="K121" s="55">
        <f>SUMPRODUCT(--('Input|Historical Data'!$AC$9:$AC$3279=$E121),--('Input|Historical Data'!$AM$9:$AM$3279="SCS"),'Input|Historical Data'!$AG$9:$AG$3279)+SUMPRODUCT(--('Input|Customer Contributions'!$E$9:$E$21=$E121),'Input|Customer Contributions'!L$9:L$21)</f>
        <v>0</v>
      </c>
      <c r="L121" s="55">
        <f>SUMPRODUCT(--('Input|Historical Data'!$AO$9:$AO$3279=$E121),--('Input|Historical Data'!$AY$9:$AY$3279="SCS"),'Input|Historical Data'!$AS$9:$AS$3279)+SUMPRODUCT(--('Input|Customer Contributions'!$E$9:$E$21=$E121),'Input|Customer Contributions'!M$9:M$21)</f>
        <v>0</v>
      </c>
      <c r="M121" s="44">
        <f>M32+((M32/SUM(M$9:M$80))*'Calc|Overheads'!M$12)</f>
        <v>0</v>
      </c>
      <c r="N121" s="44">
        <f>N32+((N32/SUM(N$9:N$80))*'Calc|Overheads'!N$12)</f>
        <v>0</v>
      </c>
      <c r="O121" s="44">
        <f>O32+((O32/SUM(O$9:O$80))*'Calc|Overheads'!O$12)</f>
        <v>0</v>
      </c>
      <c r="P121" s="44">
        <f>P32+((P32/SUM(P$9:P$80))*'Calc|Overheads'!P$12)</f>
        <v>0</v>
      </c>
      <c r="Q121" s="44">
        <f>Q32+((Q32/SUM(Q$9:Q$80))*'Calc|Overheads'!Q$12)</f>
        <v>0</v>
      </c>
      <c r="R121" s="44">
        <f>R32+((R32/SUM(R$9:R$80))*'Calc|Overheads'!R$12)</f>
        <v>0</v>
      </c>
      <c r="S121" s="44">
        <f>S32+((S32/SUM(S$9:S$80))*'Calc|Overheads'!S$12)</f>
        <v>0</v>
      </c>
      <c r="T121" s="7"/>
      <c r="U121" s="7"/>
    </row>
    <row r="122" spans="1:21" x14ac:dyDescent="0.2">
      <c r="A122" s="7"/>
      <c r="B122" s="7"/>
      <c r="C122" s="7"/>
      <c r="D122" s="7"/>
      <c r="E122" s="39">
        <v>130</v>
      </c>
      <c r="F122" s="39" t="s">
        <v>2238</v>
      </c>
      <c r="G122" s="39" t="str">
        <f>VLOOKUP(E122,Mapping!$E$11:$G$96,3,0)</f>
        <v>Fee Based Opex</v>
      </c>
      <c r="H122" s="39" t="str">
        <f>VLOOKUP(E122,Mapping!$E$11:$K$96,7,0)</f>
        <v>Ancillary Network Services</v>
      </c>
      <c r="I122" s="55">
        <f>SUMPRODUCT(--('Input|Historical Data'!$E$9:$E$3279=$E122),--('Input|Historical Data'!$O$9:$O$3279="SCS"),'Input|Historical Data'!$I$9:$I$3279)+SUMPRODUCT(--('Input|Customer Contributions'!$E$9:$E$21=$E122),'Input|Customer Contributions'!J$9:J$21)</f>
        <v>0</v>
      </c>
      <c r="J122" s="55">
        <f>SUMPRODUCT(--('Input|Historical Data'!$Q$9:$Q$3280=$E122),--('Input|Historical Data'!$AA$9:$AA$3280="SCS"),'Input|Historical Data'!$U$9:$U$3280)+SUMPRODUCT(--('Input|Customer Contributions'!$E$9:$E$21=$E122),'Input|Customer Contributions'!K$9:K$21)</f>
        <v>0</v>
      </c>
      <c r="K122" s="55">
        <f>SUMPRODUCT(--('Input|Historical Data'!$AC$9:$AC$3279=$E122),--('Input|Historical Data'!$AM$9:$AM$3279="SCS"),'Input|Historical Data'!$AG$9:$AG$3279)+SUMPRODUCT(--('Input|Customer Contributions'!$E$9:$E$21=$E122),'Input|Customer Contributions'!L$9:L$21)</f>
        <v>0</v>
      </c>
      <c r="L122" s="55">
        <f>SUMPRODUCT(--('Input|Historical Data'!$AO$9:$AO$3279=$E122),--('Input|Historical Data'!$AY$9:$AY$3279="SCS"),'Input|Historical Data'!$AS$9:$AS$3279)+SUMPRODUCT(--('Input|Customer Contributions'!$E$9:$E$21=$E122),'Input|Customer Contributions'!M$9:M$21)</f>
        <v>0</v>
      </c>
      <c r="M122" s="44">
        <f>M33+((M33/SUM(M$9:M$80))*'Calc|Overheads'!M$12)</f>
        <v>0</v>
      </c>
      <c r="N122" s="44">
        <f>N33+((N33/SUM(N$9:N$80))*'Calc|Overheads'!N$12)</f>
        <v>0</v>
      </c>
      <c r="O122" s="44">
        <f>O33+((O33/SUM(O$9:O$80))*'Calc|Overheads'!O$12)</f>
        <v>0</v>
      </c>
      <c r="P122" s="44">
        <f>P33+((P33/SUM(P$9:P$80))*'Calc|Overheads'!P$12)</f>
        <v>0</v>
      </c>
      <c r="Q122" s="44">
        <f>Q33+((Q33/SUM(Q$9:Q$80))*'Calc|Overheads'!Q$12)</f>
        <v>0</v>
      </c>
      <c r="R122" s="44">
        <f>R33+((R33/SUM(R$9:R$80))*'Calc|Overheads'!R$12)</f>
        <v>0</v>
      </c>
      <c r="S122" s="44">
        <f>S33+((S33/SUM(S$9:S$80))*'Calc|Overheads'!S$12)</f>
        <v>0</v>
      </c>
      <c r="T122" s="7"/>
      <c r="U122" s="7"/>
    </row>
    <row r="123" spans="1:21" x14ac:dyDescent="0.2">
      <c r="A123" s="7"/>
      <c r="B123" s="7"/>
      <c r="C123" s="7"/>
      <c r="D123" s="7"/>
      <c r="E123" s="39">
        <v>131</v>
      </c>
      <c r="F123" s="39" t="s">
        <v>2239</v>
      </c>
      <c r="G123" s="39" t="str">
        <f>VLOOKUP(E123,Mapping!$E$11:$G$96,3,0)</f>
        <v>Replacement</v>
      </c>
      <c r="H123" s="39" t="str">
        <f>VLOOKUP(E123,Mapping!$E$11:$K$96,7,0)</f>
        <v>SCS</v>
      </c>
      <c r="I123" s="55">
        <f>SUMPRODUCT(--('Input|Historical Data'!$E$9:$E$3279=$E123),--('Input|Historical Data'!$O$9:$O$3279="SCS"),'Input|Historical Data'!$I$9:$I$3279)+SUMPRODUCT(--('Input|Customer Contributions'!$E$9:$E$21=$E123),'Input|Customer Contributions'!J$9:J$21)</f>
        <v>4082.1177900000002</v>
      </c>
      <c r="J123" s="55">
        <f>SUMPRODUCT(--('Input|Historical Data'!$Q$9:$Q$3280=$E123),--('Input|Historical Data'!$AA$9:$AA$3280="SCS"),'Input|Historical Data'!$U$9:$U$3280)+SUMPRODUCT(--('Input|Customer Contributions'!$E$9:$E$21=$E123),'Input|Customer Contributions'!K$9:K$21)</f>
        <v>5783.749920000002</v>
      </c>
      <c r="K123" s="55">
        <f>SUMPRODUCT(--('Input|Historical Data'!$AC$9:$AC$3279=$E123),--('Input|Historical Data'!$AM$9:$AM$3279="SCS"),'Input|Historical Data'!$AG$9:$AG$3279)+SUMPRODUCT(--('Input|Customer Contributions'!$E$9:$E$21=$E123),'Input|Customer Contributions'!L$9:L$21)</f>
        <v>5267.778440000001</v>
      </c>
      <c r="L123" s="55">
        <f>SUMPRODUCT(--('Input|Historical Data'!$AO$9:$AO$3279=$E123),--('Input|Historical Data'!$AY$9:$AY$3279="SCS"),'Input|Historical Data'!$AS$9:$AS$3279)+SUMPRODUCT(--('Input|Customer Contributions'!$E$9:$E$21=$E123),'Input|Customer Contributions'!M$9:M$21)</f>
        <v>3467.1825802772455</v>
      </c>
      <c r="M123" s="44">
        <f>M34+((M34/SUM(M$9:M$80))*'Calc|Overheads'!M$12)</f>
        <v>4076.0121746149875</v>
      </c>
      <c r="N123" s="44">
        <f>N34+((N34/SUM(N$9:N$80))*'Calc|Overheads'!N$12)</f>
        <v>6323.8196991242639</v>
      </c>
      <c r="O123" s="44">
        <f>O34+((O34/SUM(O$9:O$80))*'Calc|Overheads'!O$12)</f>
        <v>0</v>
      </c>
      <c r="P123" s="44">
        <f>P34+((P34/SUM(P$9:P$80))*'Calc|Overheads'!P$12)</f>
        <v>0</v>
      </c>
      <c r="Q123" s="44">
        <f>Q34+((Q34/SUM(Q$9:Q$80))*'Calc|Overheads'!Q$12)</f>
        <v>0</v>
      </c>
      <c r="R123" s="44">
        <f>R34+((R34/SUM(R$9:R$80))*'Calc|Overheads'!R$12)</f>
        <v>0</v>
      </c>
      <c r="S123" s="44">
        <f>S34+((S34/SUM(S$9:S$80))*'Calc|Overheads'!S$12)</f>
        <v>0</v>
      </c>
      <c r="T123" s="7"/>
      <c r="U123" s="7"/>
    </row>
    <row r="124" spans="1:21" x14ac:dyDescent="0.2">
      <c r="A124" s="7"/>
      <c r="B124" s="7"/>
      <c r="C124" s="7"/>
      <c r="D124" s="7"/>
      <c r="E124" s="39">
        <v>132</v>
      </c>
      <c r="F124" s="39" t="s">
        <v>2240</v>
      </c>
      <c r="G124" s="39" t="str">
        <f>VLOOKUP(E124,Mapping!$E$11:$G$96,3,0)</f>
        <v>Metering Capex</v>
      </c>
      <c r="H124" s="39" t="str">
        <f>VLOOKUP(E124,Mapping!$E$11:$K$96,7,0)</f>
        <v>Metering Services</v>
      </c>
      <c r="I124" s="55">
        <f>SUMPRODUCT(--('Input|Historical Data'!$E$9:$E$3279=$E124),--('Input|Historical Data'!$O$9:$O$3279="SCS"),'Input|Historical Data'!$I$9:$I$3279)+SUMPRODUCT(--('Input|Customer Contributions'!$E$9:$E$21=$E124),'Input|Customer Contributions'!J$9:J$21)</f>
        <v>0</v>
      </c>
      <c r="J124" s="55">
        <f>SUMPRODUCT(--('Input|Historical Data'!$Q$9:$Q$3280=$E124),--('Input|Historical Data'!$AA$9:$AA$3280="SCS"),'Input|Historical Data'!$U$9:$U$3280)+SUMPRODUCT(--('Input|Customer Contributions'!$E$9:$E$21=$E124),'Input|Customer Contributions'!K$9:K$21)</f>
        <v>0</v>
      </c>
      <c r="K124" s="55">
        <f>SUMPRODUCT(--('Input|Historical Data'!$AC$9:$AC$3279=$E124),--('Input|Historical Data'!$AM$9:$AM$3279="SCS"),'Input|Historical Data'!$AG$9:$AG$3279)+SUMPRODUCT(--('Input|Customer Contributions'!$E$9:$E$21=$E124),'Input|Customer Contributions'!L$9:L$21)</f>
        <v>0</v>
      </c>
      <c r="L124" s="55">
        <f>SUMPRODUCT(--('Input|Historical Data'!$AO$9:$AO$3279=$E124),--('Input|Historical Data'!$AY$9:$AY$3279="SCS"),'Input|Historical Data'!$AS$9:$AS$3279)+SUMPRODUCT(--('Input|Customer Contributions'!$E$9:$E$21=$E124),'Input|Customer Contributions'!M$9:M$21)</f>
        <v>0</v>
      </c>
      <c r="M124" s="44">
        <f>M35+((M35/SUM(M$9:M$80))*'Calc|Overheads'!M$12)</f>
        <v>0</v>
      </c>
      <c r="N124" s="44">
        <f>N35+((N35/SUM(N$9:N$80))*'Calc|Overheads'!N$12)</f>
        <v>0</v>
      </c>
      <c r="O124" s="44">
        <f>O35+((O35/SUM(O$9:O$80))*'Calc|Overheads'!O$12)</f>
        <v>0</v>
      </c>
      <c r="P124" s="44">
        <f>P35+((P35/SUM(P$9:P$80))*'Calc|Overheads'!P$12)</f>
        <v>0</v>
      </c>
      <c r="Q124" s="44">
        <f>Q35+((Q35/SUM(Q$9:Q$80))*'Calc|Overheads'!Q$12)</f>
        <v>0</v>
      </c>
      <c r="R124" s="44">
        <f>R35+((R35/SUM(R$9:R$80))*'Calc|Overheads'!R$12)</f>
        <v>0</v>
      </c>
      <c r="S124" s="44">
        <f>S35+((S35/SUM(S$9:S$80))*'Calc|Overheads'!S$12)</f>
        <v>0</v>
      </c>
      <c r="T124" s="7"/>
      <c r="U124" s="7"/>
    </row>
    <row r="125" spans="1:21" x14ac:dyDescent="0.2">
      <c r="A125" s="7"/>
      <c r="B125" s="7"/>
      <c r="C125" s="7"/>
      <c r="D125" s="7"/>
      <c r="E125" s="39">
        <v>133</v>
      </c>
      <c r="F125" s="39" t="s">
        <v>2241</v>
      </c>
      <c r="G125" s="39" t="str">
        <f>VLOOKUP(E125,Mapping!$E$11:$G$96,3,0)</f>
        <v>Metering Capex</v>
      </c>
      <c r="H125" s="39" t="str">
        <f>VLOOKUP(E125,Mapping!$E$11:$K$96,7,0)</f>
        <v>Metering Services</v>
      </c>
      <c r="I125" s="55">
        <f>SUMPRODUCT(--('Input|Historical Data'!$E$9:$E$3279=$E125),--('Input|Historical Data'!$O$9:$O$3279="SCS"),'Input|Historical Data'!$I$9:$I$3279)+SUMPRODUCT(--('Input|Customer Contributions'!$E$9:$E$21=$E125),'Input|Customer Contributions'!J$9:J$21)</f>
        <v>0</v>
      </c>
      <c r="J125" s="55">
        <f>SUMPRODUCT(--('Input|Historical Data'!$Q$9:$Q$3280=$E125),--('Input|Historical Data'!$AA$9:$AA$3280="SCS"),'Input|Historical Data'!$U$9:$U$3280)+SUMPRODUCT(--('Input|Customer Contributions'!$E$9:$E$21=$E125),'Input|Customer Contributions'!K$9:K$21)</f>
        <v>0</v>
      </c>
      <c r="K125" s="55">
        <f>SUMPRODUCT(--('Input|Historical Data'!$AC$9:$AC$3279=$E125),--('Input|Historical Data'!$AM$9:$AM$3279="SCS"),'Input|Historical Data'!$AG$9:$AG$3279)+SUMPRODUCT(--('Input|Customer Contributions'!$E$9:$E$21=$E125),'Input|Customer Contributions'!L$9:L$21)</f>
        <v>0</v>
      </c>
      <c r="L125" s="55">
        <f>SUMPRODUCT(--('Input|Historical Data'!$AO$9:$AO$3279=$E125),--('Input|Historical Data'!$AY$9:$AY$3279="SCS"),'Input|Historical Data'!$AS$9:$AS$3279)+SUMPRODUCT(--('Input|Customer Contributions'!$E$9:$E$21=$E125),'Input|Customer Contributions'!M$9:M$21)</f>
        <v>0</v>
      </c>
      <c r="M125" s="44">
        <f>M36+((M36/SUM(M$9:M$80))*'Calc|Overheads'!M$12)</f>
        <v>0</v>
      </c>
      <c r="N125" s="44">
        <f>N36+((N36/SUM(N$9:N$80))*'Calc|Overheads'!N$12)</f>
        <v>0</v>
      </c>
      <c r="O125" s="44">
        <f>O36+((O36/SUM(O$9:O$80))*'Calc|Overheads'!O$12)</f>
        <v>0</v>
      </c>
      <c r="P125" s="44">
        <f>P36+((P36/SUM(P$9:P$80))*'Calc|Overheads'!P$12)</f>
        <v>0</v>
      </c>
      <c r="Q125" s="44">
        <f>Q36+((Q36/SUM(Q$9:Q$80))*'Calc|Overheads'!Q$12)</f>
        <v>0</v>
      </c>
      <c r="R125" s="44">
        <f>R36+((R36/SUM(R$9:R$80))*'Calc|Overheads'!R$12)</f>
        <v>0</v>
      </c>
      <c r="S125" s="44">
        <f>S36+((S36/SUM(S$9:S$80))*'Calc|Overheads'!S$12)</f>
        <v>0</v>
      </c>
      <c r="T125" s="7"/>
      <c r="U125" s="7"/>
    </row>
    <row r="126" spans="1:21" x14ac:dyDescent="0.2">
      <c r="A126" s="7"/>
      <c r="B126" s="7"/>
      <c r="C126" s="7"/>
      <c r="D126" s="7"/>
      <c r="E126" s="39">
        <v>134</v>
      </c>
      <c r="F126" s="39" t="s">
        <v>2242</v>
      </c>
      <c r="G126" s="39" t="str">
        <f>VLOOKUP(E126,Mapping!$E$11:$G$96,3,0)</f>
        <v>Metering Capex</v>
      </c>
      <c r="H126" s="39" t="str">
        <f>VLOOKUP(E126,Mapping!$E$11:$K$96,7,0)</f>
        <v>Metering Services</v>
      </c>
      <c r="I126" s="55">
        <f>SUMPRODUCT(--('Input|Historical Data'!$E$9:$E$3279=$E126),--('Input|Historical Data'!$O$9:$O$3279="SCS"),'Input|Historical Data'!$I$9:$I$3279)+SUMPRODUCT(--('Input|Customer Contributions'!$E$9:$E$21=$E126),'Input|Customer Contributions'!J$9:J$21)</f>
        <v>0</v>
      </c>
      <c r="J126" s="55">
        <f>SUMPRODUCT(--('Input|Historical Data'!$Q$9:$Q$3280=$E126),--('Input|Historical Data'!$AA$9:$AA$3280="SCS"),'Input|Historical Data'!$U$9:$U$3280)+SUMPRODUCT(--('Input|Customer Contributions'!$E$9:$E$21=$E126),'Input|Customer Contributions'!K$9:K$21)</f>
        <v>0</v>
      </c>
      <c r="K126" s="55">
        <f>SUMPRODUCT(--('Input|Historical Data'!$AC$9:$AC$3279=$E126),--('Input|Historical Data'!$AM$9:$AM$3279="SCS"),'Input|Historical Data'!$AG$9:$AG$3279)+SUMPRODUCT(--('Input|Customer Contributions'!$E$9:$E$21=$E126),'Input|Customer Contributions'!L$9:L$21)</f>
        <v>0</v>
      </c>
      <c r="L126" s="55">
        <f>SUMPRODUCT(--('Input|Historical Data'!$AO$9:$AO$3279=$E126),--('Input|Historical Data'!$AY$9:$AY$3279="SCS"),'Input|Historical Data'!$AS$9:$AS$3279)+SUMPRODUCT(--('Input|Customer Contributions'!$E$9:$E$21=$E126),'Input|Customer Contributions'!M$9:M$21)</f>
        <v>0</v>
      </c>
      <c r="M126" s="44">
        <f>M37+((M37/SUM(M$9:M$80))*'Calc|Overheads'!M$12)</f>
        <v>0</v>
      </c>
      <c r="N126" s="44">
        <f>N37+((N37/SUM(N$9:N$80))*'Calc|Overheads'!N$12)</f>
        <v>0</v>
      </c>
      <c r="O126" s="44">
        <f>O37+((O37/SUM(O$9:O$80))*'Calc|Overheads'!O$12)</f>
        <v>0</v>
      </c>
      <c r="P126" s="44">
        <f>P37+((P37/SUM(P$9:P$80))*'Calc|Overheads'!P$12)</f>
        <v>0</v>
      </c>
      <c r="Q126" s="44">
        <f>Q37+((Q37/SUM(Q$9:Q$80))*'Calc|Overheads'!Q$12)</f>
        <v>0</v>
      </c>
      <c r="R126" s="44">
        <f>R37+((R37/SUM(R$9:R$80))*'Calc|Overheads'!R$12)</f>
        <v>0</v>
      </c>
      <c r="S126" s="44">
        <f>S37+((S37/SUM(S$9:S$80))*'Calc|Overheads'!S$12)</f>
        <v>0</v>
      </c>
      <c r="T126" s="7"/>
      <c r="U126" s="7"/>
    </row>
    <row r="127" spans="1:21" x14ac:dyDescent="0.2">
      <c r="A127" s="7"/>
      <c r="B127" s="7"/>
      <c r="C127" s="7"/>
      <c r="D127" s="7"/>
      <c r="E127" s="39">
        <v>135</v>
      </c>
      <c r="F127" s="39" t="s">
        <v>2243</v>
      </c>
      <c r="G127" s="39" t="str">
        <f>VLOOKUP(E127,Mapping!$E$11:$G$96,3,0)</f>
        <v>Metering Capex</v>
      </c>
      <c r="H127" s="39" t="str">
        <f>VLOOKUP(E127,Mapping!$E$11:$K$96,7,0)</f>
        <v>Metering Services</v>
      </c>
      <c r="I127" s="55">
        <f>SUMPRODUCT(--('Input|Historical Data'!$E$9:$E$3279=$E127),--('Input|Historical Data'!$O$9:$O$3279="SCS"),'Input|Historical Data'!$I$9:$I$3279)+SUMPRODUCT(--('Input|Customer Contributions'!$E$9:$E$21=$E127),'Input|Customer Contributions'!J$9:J$21)</f>
        <v>0</v>
      </c>
      <c r="J127" s="55">
        <f>SUMPRODUCT(--('Input|Historical Data'!$Q$9:$Q$3280=$E127),--('Input|Historical Data'!$AA$9:$AA$3280="SCS"),'Input|Historical Data'!$U$9:$U$3280)+SUMPRODUCT(--('Input|Customer Contributions'!$E$9:$E$21=$E127),'Input|Customer Contributions'!K$9:K$21)</f>
        <v>0</v>
      </c>
      <c r="K127" s="55">
        <f>SUMPRODUCT(--('Input|Historical Data'!$AC$9:$AC$3279=$E127),--('Input|Historical Data'!$AM$9:$AM$3279="SCS"),'Input|Historical Data'!$AG$9:$AG$3279)+SUMPRODUCT(--('Input|Customer Contributions'!$E$9:$E$21=$E127),'Input|Customer Contributions'!L$9:L$21)</f>
        <v>0</v>
      </c>
      <c r="L127" s="55">
        <f>SUMPRODUCT(--('Input|Historical Data'!$AO$9:$AO$3279=$E127),--('Input|Historical Data'!$AY$9:$AY$3279="SCS"),'Input|Historical Data'!$AS$9:$AS$3279)+SUMPRODUCT(--('Input|Customer Contributions'!$E$9:$E$21=$E127),'Input|Customer Contributions'!M$9:M$21)</f>
        <v>0</v>
      </c>
      <c r="M127" s="44">
        <f>M38+((M38/SUM(M$9:M$80))*'Calc|Overheads'!M$12)</f>
        <v>0</v>
      </c>
      <c r="N127" s="44">
        <f>N38+((N38/SUM(N$9:N$80))*'Calc|Overheads'!N$12)</f>
        <v>0</v>
      </c>
      <c r="O127" s="44">
        <f>O38+((O38/SUM(O$9:O$80))*'Calc|Overheads'!O$12)</f>
        <v>0</v>
      </c>
      <c r="P127" s="44">
        <f>P38+((P38/SUM(P$9:P$80))*'Calc|Overheads'!P$12)</f>
        <v>0</v>
      </c>
      <c r="Q127" s="44">
        <f>Q38+((Q38/SUM(Q$9:Q$80))*'Calc|Overheads'!Q$12)</f>
        <v>0</v>
      </c>
      <c r="R127" s="44">
        <f>R38+((R38/SUM(R$9:R$80))*'Calc|Overheads'!R$12)</f>
        <v>0</v>
      </c>
      <c r="S127" s="44">
        <f>S38+((S38/SUM(S$9:S$80))*'Calc|Overheads'!S$12)</f>
        <v>0</v>
      </c>
      <c r="T127" s="7"/>
      <c r="U127" s="7"/>
    </row>
    <row r="128" spans="1:21" x14ac:dyDescent="0.2">
      <c r="A128" s="7"/>
      <c r="B128" s="7"/>
      <c r="C128" s="7"/>
      <c r="D128" s="7"/>
      <c r="E128" s="39">
        <v>136</v>
      </c>
      <c r="F128" s="39" t="s">
        <v>2244</v>
      </c>
      <c r="G128" s="39" t="str">
        <f>VLOOKUP(E128,Mapping!$E$11:$G$96,3,0)</f>
        <v>Metering Capex</v>
      </c>
      <c r="H128" s="39" t="str">
        <f>VLOOKUP(E128,Mapping!$E$11:$K$96,7,0)</f>
        <v>Metering Services</v>
      </c>
      <c r="I128" s="55">
        <f>SUMPRODUCT(--('Input|Historical Data'!$E$9:$E$3279=$E128),--('Input|Historical Data'!$O$9:$O$3279="SCS"),'Input|Historical Data'!$I$9:$I$3279)+SUMPRODUCT(--('Input|Customer Contributions'!$E$9:$E$21=$E128),'Input|Customer Contributions'!J$9:J$21)</f>
        <v>0</v>
      </c>
      <c r="J128" s="55">
        <f>SUMPRODUCT(--('Input|Historical Data'!$Q$9:$Q$3280=$E128),--('Input|Historical Data'!$AA$9:$AA$3280="SCS"),'Input|Historical Data'!$U$9:$U$3280)+SUMPRODUCT(--('Input|Customer Contributions'!$E$9:$E$21=$E128),'Input|Customer Contributions'!K$9:K$21)</f>
        <v>0</v>
      </c>
      <c r="K128" s="55">
        <f>SUMPRODUCT(--('Input|Historical Data'!$AC$9:$AC$3279=$E128),--('Input|Historical Data'!$AM$9:$AM$3279="SCS"),'Input|Historical Data'!$AG$9:$AG$3279)+SUMPRODUCT(--('Input|Customer Contributions'!$E$9:$E$21=$E128),'Input|Customer Contributions'!L$9:L$21)</f>
        <v>0</v>
      </c>
      <c r="L128" s="55">
        <f>SUMPRODUCT(--('Input|Historical Data'!$AO$9:$AO$3279=$E128),--('Input|Historical Data'!$AY$9:$AY$3279="SCS"),'Input|Historical Data'!$AS$9:$AS$3279)+SUMPRODUCT(--('Input|Customer Contributions'!$E$9:$E$21=$E128),'Input|Customer Contributions'!M$9:M$21)</f>
        <v>0</v>
      </c>
      <c r="M128" s="44">
        <f>M39+((M39/SUM(M$9:M$80))*'Calc|Overheads'!M$12)</f>
        <v>0</v>
      </c>
      <c r="N128" s="44">
        <f>N39+((N39/SUM(N$9:N$80))*'Calc|Overheads'!N$12)</f>
        <v>0</v>
      </c>
      <c r="O128" s="44">
        <f>O39+((O39/SUM(O$9:O$80))*'Calc|Overheads'!O$12)</f>
        <v>0</v>
      </c>
      <c r="P128" s="44">
        <f>P39+((P39/SUM(P$9:P$80))*'Calc|Overheads'!P$12)</f>
        <v>0</v>
      </c>
      <c r="Q128" s="44">
        <f>Q39+((Q39/SUM(Q$9:Q$80))*'Calc|Overheads'!Q$12)</f>
        <v>0</v>
      </c>
      <c r="R128" s="44">
        <f>R39+((R39/SUM(R$9:R$80))*'Calc|Overheads'!R$12)</f>
        <v>0</v>
      </c>
      <c r="S128" s="44">
        <f>S39+((S39/SUM(S$9:S$80))*'Calc|Overheads'!S$12)</f>
        <v>0</v>
      </c>
      <c r="T128" s="7"/>
      <c r="U128" s="7"/>
    </row>
    <row r="129" spans="1:21" x14ac:dyDescent="0.2">
      <c r="A129" s="7"/>
      <c r="B129" s="7"/>
      <c r="C129" s="7"/>
      <c r="D129" s="7"/>
      <c r="E129" s="39">
        <v>137</v>
      </c>
      <c r="F129" s="39" t="s">
        <v>2245</v>
      </c>
      <c r="G129" s="39" t="str">
        <f>VLOOKUP(E129,Mapping!$E$11:$G$96,3,0)</f>
        <v>Metering Capex</v>
      </c>
      <c r="H129" s="39" t="str">
        <f>VLOOKUP(E129,Mapping!$E$11:$K$96,7,0)</f>
        <v>Metering Services</v>
      </c>
      <c r="I129" s="55">
        <f>SUMPRODUCT(--('Input|Historical Data'!$E$9:$E$3279=$E129),--('Input|Historical Data'!$O$9:$O$3279="SCS"),'Input|Historical Data'!$I$9:$I$3279)+SUMPRODUCT(--('Input|Customer Contributions'!$E$9:$E$21=$E129),'Input|Customer Contributions'!J$9:J$21)</f>
        <v>0</v>
      </c>
      <c r="J129" s="55">
        <f>SUMPRODUCT(--('Input|Historical Data'!$Q$9:$Q$3280=$E129),--('Input|Historical Data'!$AA$9:$AA$3280="SCS"),'Input|Historical Data'!$U$9:$U$3280)+SUMPRODUCT(--('Input|Customer Contributions'!$E$9:$E$21=$E129),'Input|Customer Contributions'!K$9:K$21)</f>
        <v>0</v>
      </c>
      <c r="K129" s="55">
        <f>SUMPRODUCT(--('Input|Historical Data'!$AC$9:$AC$3279=$E129),--('Input|Historical Data'!$AM$9:$AM$3279="SCS"),'Input|Historical Data'!$AG$9:$AG$3279)+SUMPRODUCT(--('Input|Customer Contributions'!$E$9:$E$21=$E129),'Input|Customer Contributions'!L$9:L$21)</f>
        <v>0</v>
      </c>
      <c r="L129" s="55">
        <f>SUMPRODUCT(--('Input|Historical Data'!$AO$9:$AO$3279=$E129),--('Input|Historical Data'!$AY$9:$AY$3279="SCS"),'Input|Historical Data'!$AS$9:$AS$3279)+SUMPRODUCT(--('Input|Customer Contributions'!$E$9:$E$21=$E129),'Input|Customer Contributions'!M$9:M$21)</f>
        <v>0</v>
      </c>
      <c r="M129" s="44">
        <f>M40+((M40/SUM(M$9:M$80))*'Calc|Overheads'!M$12)</f>
        <v>0</v>
      </c>
      <c r="N129" s="44">
        <f>N40+((N40/SUM(N$9:N$80))*'Calc|Overheads'!N$12)</f>
        <v>0</v>
      </c>
      <c r="O129" s="44">
        <f>O40+((O40/SUM(O$9:O$80))*'Calc|Overheads'!O$12)</f>
        <v>0</v>
      </c>
      <c r="P129" s="44">
        <f>P40+((P40/SUM(P$9:P$80))*'Calc|Overheads'!P$12)</f>
        <v>0</v>
      </c>
      <c r="Q129" s="44">
        <f>Q40+((Q40/SUM(Q$9:Q$80))*'Calc|Overheads'!Q$12)</f>
        <v>0</v>
      </c>
      <c r="R129" s="44">
        <f>R40+((R40/SUM(R$9:R$80))*'Calc|Overheads'!R$12)</f>
        <v>0</v>
      </c>
      <c r="S129" s="44">
        <f>S40+((S40/SUM(S$9:S$80))*'Calc|Overheads'!S$12)</f>
        <v>0</v>
      </c>
      <c r="T129" s="7"/>
      <c r="U129" s="7"/>
    </row>
    <row r="130" spans="1:21" x14ac:dyDescent="0.2">
      <c r="A130" s="7"/>
      <c r="B130" s="7"/>
      <c r="C130" s="7"/>
      <c r="D130" s="7"/>
      <c r="E130" s="39">
        <v>138</v>
      </c>
      <c r="F130" s="39" t="s">
        <v>2246</v>
      </c>
      <c r="G130" s="39" t="str">
        <f>VLOOKUP(E130,Mapping!$E$11:$G$96,3,0)</f>
        <v>Metering Capex</v>
      </c>
      <c r="H130" s="39" t="str">
        <f>VLOOKUP(E130,Mapping!$E$11:$K$96,7,0)</f>
        <v>Metering Services</v>
      </c>
      <c r="I130" s="55">
        <f>SUMPRODUCT(--('Input|Historical Data'!$E$9:$E$3279=$E130),--('Input|Historical Data'!$O$9:$O$3279="SCS"),'Input|Historical Data'!$I$9:$I$3279)+SUMPRODUCT(--('Input|Customer Contributions'!$E$9:$E$21=$E130),'Input|Customer Contributions'!J$9:J$21)</f>
        <v>0</v>
      </c>
      <c r="J130" s="55">
        <f>SUMPRODUCT(--('Input|Historical Data'!$Q$9:$Q$3280=$E130),--('Input|Historical Data'!$AA$9:$AA$3280="SCS"),'Input|Historical Data'!$U$9:$U$3280)+SUMPRODUCT(--('Input|Customer Contributions'!$E$9:$E$21=$E130),'Input|Customer Contributions'!K$9:K$21)</f>
        <v>0</v>
      </c>
      <c r="K130" s="55">
        <f>SUMPRODUCT(--('Input|Historical Data'!$AC$9:$AC$3279=$E130),--('Input|Historical Data'!$AM$9:$AM$3279="SCS"),'Input|Historical Data'!$AG$9:$AG$3279)+SUMPRODUCT(--('Input|Customer Contributions'!$E$9:$E$21=$E130),'Input|Customer Contributions'!L$9:L$21)</f>
        <v>0</v>
      </c>
      <c r="L130" s="55">
        <f>SUMPRODUCT(--('Input|Historical Data'!$AO$9:$AO$3279=$E130),--('Input|Historical Data'!$AY$9:$AY$3279="SCS"),'Input|Historical Data'!$AS$9:$AS$3279)+SUMPRODUCT(--('Input|Customer Contributions'!$E$9:$E$21=$E130),'Input|Customer Contributions'!M$9:M$21)</f>
        <v>0</v>
      </c>
      <c r="M130" s="44">
        <f>M41+((M41/SUM(M$9:M$80))*'Calc|Overheads'!M$12)</f>
        <v>0</v>
      </c>
      <c r="N130" s="44">
        <f>N41+((N41/SUM(N$9:N$80))*'Calc|Overheads'!N$12)</f>
        <v>0</v>
      </c>
      <c r="O130" s="44">
        <f>O41+((O41/SUM(O$9:O$80))*'Calc|Overheads'!O$12)</f>
        <v>0</v>
      </c>
      <c r="P130" s="44">
        <f>P41+((P41/SUM(P$9:P$80))*'Calc|Overheads'!P$12)</f>
        <v>0</v>
      </c>
      <c r="Q130" s="44">
        <f>Q41+((Q41/SUM(Q$9:Q$80))*'Calc|Overheads'!Q$12)</f>
        <v>0</v>
      </c>
      <c r="R130" s="44">
        <f>R41+((R41/SUM(R$9:R$80))*'Calc|Overheads'!R$12)</f>
        <v>0</v>
      </c>
      <c r="S130" s="44">
        <f>S41+((S41/SUM(S$9:S$80))*'Calc|Overheads'!S$12)</f>
        <v>0</v>
      </c>
      <c r="T130" s="7"/>
      <c r="U130" s="7"/>
    </row>
    <row r="131" spans="1:21" x14ac:dyDescent="0.2">
      <c r="A131" s="7"/>
      <c r="B131" s="7"/>
      <c r="C131" s="7"/>
      <c r="D131" s="7"/>
      <c r="E131" s="39">
        <v>139</v>
      </c>
      <c r="F131" s="39" t="s">
        <v>2247</v>
      </c>
      <c r="G131" s="39" t="str">
        <f>VLOOKUP(E131,Mapping!$E$11:$G$96,3,0)</f>
        <v>Replacement</v>
      </c>
      <c r="H131" s="39" t="str">
        <f>VLOOKUP(E131,Mapping!$E$11:$K$96,7,0)</f>
        <v>SCS</v>
      </c>
      <c r="I131" s="55">
        <f>SUMPRODUCT(--('Input|Historical Data'!$E$9:$E$3279=$E131),--('Input|Historical Data'!$O$9:$O$3279="SCS"),'Input|Historical Data'!$I$9:$I$3279)+SUMPRODUCT(--('Input|Customer Contributions'!$E$9:$E$21=$E131),'Input|Customer Contributions'!J$9:J$21)</f>
        <v>578.65487999999982</v>
      </c>
      <c r="J131" s="55">
        <f>SUMPRODUCT(--('Input|Historical Data'!$Q$9:$Q$3280=$E131),--('Input|Historical Data'!$AA$9:$AA$3280="SCS"),'Input|Historical Data'!$U$9:$U$3280)+SUMPRODUCT(--('Input|Customer Contributions'!$E$9:$E$21=$E131),'Input|Customer Contributions'!K$9:K$21)</f>
        <v>42.283189999999991</v>
      </c>
      <c r="K131" s="55">
        <f>SUMPRODUCT(--('Input|Historical Data'!$AC$9:$AC$3279=$E131),--('Input|Historical Data'!$AM$9:$AM$3279="SCS"),'Input|Historical Data'!$AG$9:$AG$3279)+SUMPRODUCT(--('Input|Customer Contributions'!$E$9:$E$21=$E131),'Input|Customer Contributions'!L$9:L$21)</f>
        <v>-2375.8502201834858</v>
      </c>
      <c r="L131" s="55">
        <f>SUMPRODUCT(--('Input|Historical Data'!$AO$9:$AO$3279=$E131),--('Input|Historical Data'!$AY$9:$AY$3279="SCS"),'Input|Historical Data'!$AS$9:$AS$3279)+SUMPRODUCT(--('Input|Customer Contributions'!$E$9:$E$21=$E131),'Input|Customer Contributions'!M$9:M$21)</f>
        <v>0</v>
      </c>
      <c r="M131" s="44">
        <f>M42+((M42/SUM(M$9:M$80))*'Calc|Overheads'!M$12)</f>
        <v>0</v>
      </c>
      <c r="N131" s="44">
        <f>N42+((N42/SUM(N$9:N$80))*'Calc|Overheads'!N$12)</f>
        <v>0</v>
      </c>
      <c r="O131" s="44">
        <f>O42+((O42/SUM(O$9:O$80))*'Calc|Overheads'!O$12)</f>
        <v>0</v>
      </c>
      <c r="P131" s="44">
        <f>P42+((P42/SUM(P$9:P$80))*'Calc|Overheads'!P$12)</f>
        <v>0</v>
      </c>
      <c r="Q131" s="44">
        <f>Q42+((Q42/SUM(Q$9:Q$80))*'Calc|Overheads'!Q$12)</f>
        <v>0</v>
      </c>
      <c r="R131" s="44">
        <f>R42+((R42/SUM(R$9:R$80))*'Calc|Overheads'!R$12)</f>
        <v>0</v>
      </c>
      <c r="S131" s="44">
        <f>S42+((S42/SUM(S$9:S$80))*'Calc|Overheads'!S$12)</f>
        <v>0</v>
      </c>
      <c r="T131" s="7"/>
      <c r="U131" s="7"/>
    </row>
    <row r="132" spans="1:21" x14ac:dyDescent="0.2">
      <c r="A132" s="7"/>
      <c r="B132" s="7"/>
      <c r="C132" s="7"/>
      <c r="D132" s="7"/>
      <c r="E132" s="39">
        <v>140</v>
      </c>
      <c r="F132" s="39" t="s">
        <v>2248</v>
      </c>
      <c r="G132" s="39" t="str">
        <f>VLOOKUP(E132,Mapping!$E$11:$G$96,3,0)</f>
        <v>Public lighting Capex</v>
      </c>
      <c r="H132" s="39" t="str">
        <f>VLOOKUP(E132,Mapping!$E$11:$K$96,7,0)</f>
        <v>Public Lighting</v>
      </c>
      <c r="I132" s="55">
        <f>SUMPRODUCT(--('Input|Historical Data'!$E$9:$E$3279=$E132),--('Input|Historical Data'!$O$9:$O$3279="SCS"),'Input|Historical Data'!$I$9:$I$3279)+SUMPRODUCT(--('Input|Customer Contributions'!$E$9:$E$21=$E132),'Input|Customer Contributions'!J$9:J$21)</f>
        <v>0</v>
      </c>
      <c r="J132" s="55">
        <f>SUMPRODUCT(--('Input|Historical Data'!$Q$9:$Q$3280=$E132),--('Input|Historical Data'!$AA$9:$AA$3280="SCS"),'Input|Historical Data'!$U$9:$U$3280)+SUMPRODUCT(--('Input|Customer Contributions'!$E$9:$E$21=$E132),'Input|Customer Contributions'!K$9:K$21)</f>
        <v>0</v>
      </c>
      <c r="K132" s="55">
        <f>SUMPRODUCT(--('Input|Historical Data'!$AC$9:$AC$3279=$E132),--('Input|Historical Data'!$AM$9:$AM$3279="SCS"),'Input|Historical Data'!$AG$9:$AG$3279)+SUMPRODUCT(--('Input|Customer Contributions'!$E$9:$E$21=$E132),'Input|Customer Contributions'!L$9:L$21)</f>
        <v>0</v>
      </c>
      <c r="L132" s="55">
        <f>SUMPRODUCT(--('Input|Historical Data'!$AO$9:$AO$3279=$E132),--('Input|Historical Data'!$AY$9:$AY$3279="SCS"),'Input|Historical Data'!$AS$9:$AS$3279)+SUMPRODUCT(--('Input|Customer Contributions'!$E$9:$E$21=$E132),'Input|Customer Contributions'!M$9:M$21)</f>
        <v>0</v>
      </c>
      <c r="M132" s="44">
        <f>M43+((M43/SUM(M$9:M$80))*'Calc|Overheads'!M$12)</f>
        <v>0</v>
      </c>
      <c r="N132" s="44">
        <f>N43+((N43/SUM(N$9:N$80))*'Calc|Overheads'!N$12)</f>
        <v>0</v>
      </c>
      <c r="O132" s="44">
        <f>O43+((O43/SUM(O$9:O$80))*'Calc|Overheads'!O$12)</f>
        <v>0</v>
      </c>
      <c r="P132" s="44">
        <f>P43+((P43/SUM(P$9:P$80))*'Calc|Overheads'!P$12)</f>
        <v>0</v>
      </c>
      <c r="Q132" s="44">
        <f>Q43+((Q43/SUM(Q$9:Q$80))*'Calc|Overheads'!Q$12)</f>
        <v>0</v>
      </c>
      <c r="R132" s="44">
        <f>R43+((R43/SUM(R$9:R$80))*'Calc|Overheads'!R$12)</f>
        <v>0</v>
      </c>
      <c r="S132" s="44">
        <f>S43+((S43/SUM(S$9:S$80))*'Calc|Overheads'!S$12)</f>
        <v>0</v>
      </c>
      <c r="T132" s="7"/>
      <c r="U132" s="7"/>
    </row>
    <row r="133" spans="1:21" x14ac:dyDescent="0.2">
      <c r="A133" s="7"/>
      <c r="B133" s="7"/>
      <c r="C133" s="7"/>
      <c r="D133" s="7"/>
      <c r="E133" s="39">
        <v>141</v>
      </c>
      <c r="F133" s="39" t="s">
        <v>2249</v>
      </c>
      <c r="G133" s="39" t="str">
        <f>VLOOKUP(E133,Mapping!$E$11:$G$96,3,0)</f>
        <v>Replacement</v>
      </c>
      <c r="H133" s="39" t="str">
        <f>VLOOKUP(E133,Mapping!$E$11:$K$96,7,0)</f>
        <v>SCS</v>
      </c>
      <c r="I133" s="55">
        <f>SUMPRODUCT(--('Input|Historical Data'!$E$9:$E$3279=$E133),--('Input|Historical Data'!$O$9:$O$3279="SCS"),'Input|Historical Data'!$I$9:$I$3279)+SUMPRODUCT(--('Input|Customer Contributions'!$E$9:$E$21=$E133),'Input|Customer Contributions'!J$9:J$21)</f>
        <v>2649.0541600000001</v>
      </c>
      <c r="J133" s="55">
        <f>SUMPRODUCT(--('Input|Historical Data'!$Q$9:$Q$3280=$E133),--('Input|Historical Data'!$AA$9:$AA$3280="SCS"),'Input|Historical Data'!$U$9:$U$3280)+SUMPRODUCT(--('Input|Customer Contributions'!$E$9:$E$21=$E133),'Input|Customer Contributions'!K$9:K$21)</f>
        <v>4109.3499800000009</v>
      </c>
      <c r="K133" s="55">
        <f>SUMPRODUCT(--('Input|Historical Data'!$AC$9:$AC$3279=$E133),--('Input|Historical Data'!$AM$9:$AM$3279="SCS"),'Input|Historical Data'!$AG$9:$AG$3279)+SUMPRODUCT(--('Input|Customer Contributions'!$E$9:$E$21=$E133),'Input|Customer Contributions'!L$9:L$21)</f>
        <v>6135.6370000000015</v>
      </c>
      <c r="L133" s="55">
        <f>SUMPRODUCT(--('Input|Historical Data'!$AO$9:$AO$3279=$E133),--('Input|Historical Data'!$AY$9:$AY$3279="SCS"),'Input|Historical Data'!$AS$9:$AS$3279)+SUMPRODUCT(--('Input|Customer Contributions'!$E$9:$E$21=$E133),'Input|Customer Contributions'!M$9:M$21)</f>
        <v>6413.7575400000005</v>
      </c>
      <c r="M133" s="44">
        <f>M44+((M44/SUM(M$9:M$80))*'Calc|Overheads'!M$12)</f>
        <v>4756.53364999718</v>
      </c>
      <c r="N133" s="44">
        <f>N44+((N44/SUM(N$9:N$80))*'Calc|Overheads'!N$12)</f>
        <v>5112.1014619305824</v>
      </c>
      <c r="O133" s="44">
        <f>O44+((O44/SUM(O$9:O$80))*'Calc|Overheads'!O$12)</f>
        <v>5209.7120904990825</v>
      </c>
      <c r="P133" s="44">
        <f>P44+((P44/SUM(P$9:P$80))*'Calc|Overheads'!P$12)</f>
        <v>5122.5180611144942</v>
      </c>
      <c r="Q133" s="44">
        <f>Q44+((Q44/SUM(Q$9:Q$80))*'Calc|Overheads'!Q$12)</f>
        <v>5162.3273924298619</v>
      </c>
      <c r="R133" s="44">
        <f>R44+((R44/SUM(R$9:R$80))*'Calc|Overheads'!R$12)</f>
        <v>5187.2107524103367</v>
      </c>
      <c r="S133" s="44">
        <f>S44+((S44/SUM(S$9:S$80))*'Calc|Overheads'!S$12)</f>
        <v>5216.4836133625713</v>
      </c>
      <c r="T133" s="7"/>
      <c r="U133" s="7"/>
    </row>
    <row r="134" spans="1:21" x14ac:dyDescent="0.2">
      <c r="A134" s="7"/>
      <c r="B134" s="7"/>
      <c r="C134" s="7"/>
      <c r="D134" s="7"/>
      <c r="E134" s="39">
        <v>142</v>
      </c>
      <c r="F134" s="39" t="s">
        <v>2250</v>
      </c>
      <c r="G134" s="39" t="str">
        <f>VLOOKUP(E134,Mapping!$E$11:$G$96,3,0)</f>
        <v>Replacement</v>
      </c>
      <c r="H134" s="39" t="str">
        <f>VLOOKUP(E134,Mapping!$E$11:$K$96,7,0)</f>
        <v>SCS</v>
      </c>
      <c r="I134" s="55">
        <f>SUMPRODUCT(--('Input|Historical Data'!$E$9:$E$3279=$E134),--('Input|Historical Data'!$O$9:$O$3279="SCS"),'Input|Historical Data'!$I$9:$I$3279)+SUMPRODUCT(--('Input|Customer Contributions'!$E$9:$E$21=$E134),'Input|Customer Contributions'!J$9:J$21)</f>
        <v>183.48000000000002</v>
      </c>
      <c r="J134" s="55">
        <f>SUMPRODUCT(--('Input|Historical Data'!$Q$9:$Q$3280=$E134),--('Input|Historical Data'!$AA$9:$AA$3280="SCS"),'Input|Historical Data'!$U$9:$U$3280)+SUMPRODUCT(--('Input|Customer Contributions'!$E$9:$E$21=$E134),'Input|Customer Contributions'!K$9:K$21)</f>
        <v>17.091650000000001</v>
      </c>
      <c r="K134" s="55">
        <f>SUMPRODUCT(--('Input|Historical Data'!$AC$9:$AC$3279=$E134),--('Input|Historical Data'!$AM$9:$AM$3279="SCS"),'Input|Historical Data'!$AG$9:$AG$3279)+SUMPRODUCT(--('Input|Customer Contributions'!$E$9:$E$21=$E134),'Input|Customer Contributions'!L$9:L$21)</f>
        <v>-26.865490000000005</v>
      </c>
      <c r="L134" s="55">
        <f>SUMPRODUCT(--('Input|Historical Data'!$AO$9:$AO$3279=$E134),--('Input|Historical Data'!$AY$9:$AY$3279="SCS"),'Input|Historical Data'!$AS$9:$AS$3279)+SUMPRODUCT(--('Input|Customer Contributions'!$E$9:$E$21=$E134),'Input|Customer Contributions'!M$9:M$21)</f>
        <v>0</v>
      </c>
      <c r="M134" s="44">
        <f>M45+((M45/SUM(M$9:M$80))*'Calc|Overheads'!M$12)</f>
        <v>0</v>
      </c>
      <c r="N134" s="44">
        <f>N45+((N45/SUM(N$9:N$80))*'Calc|Overheads'!N$12)</f>
        <v>0</v>
      </c>
      <c r="O134" s="44">
        <f>O45+((O45/SUM(O$9:O$80))*'Calc|Overheads'!O$12)</f>
        <v>0</v>
      </c>
      <c r="P134" s="44">
        <f>P45+((P45/SUM(P$9:P$80))*'Calc|Overheads'!P$12)</f>
        <v>0</v>
      </c>
      <c r="Q134" s="44">
        <f>Q45+((Q45/SUM(Q$9:Q$80))*'Calc|Overheads'!Q$12)</f>
        <v>0</v>
      </c>
      <c r="R134" s="44">
        <f>R45+((R45/SUM(R$9:R$80))*'Calc|Overheads'!R$12)</f>
        <v>0</v>
      </c>
      <c r="S134" s="44">
        <f>S45+((S45/SUM(S$9:S$80))*'Calc|Overheads'!S$12)</f>
        <v>0</v>
      </c>
      <c r="T134" s="7"/>
      <c r="U134" s="7"/>
    </row>
    <row r="135" spans="1:21" x14ac:dyDescent="0.2">
      <c r="A135" s="7"/>
      <c r="B135" s="7"/>
      <c r="C135" s="7"/>
      <c r="D135" s="7"/>
      <c r="E135" s="39">
        <v>143</v>
      </c>
      <c r="F135" s="39" t="s">
        <v>2251</v>
      </c>
      <c r="G135" s="39" t="str">
        <f>VLOOKUP(E135,Mapping!$E$11:$G$96,3,0)</f>
        <v>Replacement</v>
      </c>
      <c r="H135" s="39" t="str">
        <f>VLOOKUP(E135,Mapping!$E$11:$K$96,7,0)</f>
        <v>SCS</v>
      </c>
      <c r="I135" s="55">
        <f>SUMPRODUCT(--('Input|Historical Data'!$E$9:$E$3279=$E135),--('Input|Historical Data'!$O$9:$O$3279="SCS"),'Input|Historical Data'!$I$9:$I$3279)+SUMPRODUCT(--('Input|Customer Contributions'!$E$9:$E$21=$E135),'Input|Customer Contributions'!J$9:J$21)</f>
        <v>2383.0269399999997</v>
      </c>
      <c r="J135" s="55">
        <f>SUMPRODUCT(--('Input|Historical Data'!$Q$9:$Q$3280=$E135),--('Input|Historical Data'!$AA$9:$AA$3280="SCS"),'Input|Historical Data'!$U$9:$U$3280)+SUMPRODUCT(--('Input|Customer Contributions'!$E$9:$E$21=$E135),'Input|Customer Contributions'!K$9:K$21)</f>
        <v>1870.8639400000009</v>
      </c>
      <c r="K135" s="55">
        <f>SUMPRODUCT(--('Input|Historical Data'!$AC$9:$AC$3279=$E135),--('Input|Historical Data'!$AM$9:$AM$3279="SCS"),'Input|Historical Data'!$AG$9:$AG$3279)+SUMPRODUCT(--('Input|Customer Contributions'!$E$9:$E$21=$E135),'Input|Customer Contributions'!L$9:L$21)</f>
        <v>908.72497999999973</v>
      </c>
      <c r="L135" s="55">
        <f>SUMPRODUCT(--('Input|Historical Data'!$AO$9:$AO$3279=$E135),--('Input|Historical Data'!$AY$9:$AY$3279="SCS"),'Input|Historical Data'!$AS$9:$AS$3279)+SUMPRODUCT(--('Input|Customer Contributions'!$E$9:$E$21=$E135),'Input|Customer Contributions'!M$9:M$21)</f>
        <v>802.67031000000031</v>
      </c>
      <c r="M135" s="44">
        <f>M46+((M46/SUM(M$9:M$80))*'Calc|Overheads'!M$12)</f>
        <v>1832.648540548659</v>
      </c>
      <c r="N135" s="44">
        <f>N46+((N46/SUM(N$9:N$80))*'Calc|Overheads'!N$12)</f>
        <v>2213.0843554457442</v>
      </c>
      <c r="O135" s="44">
        <f>O46+((O46/SUM(O$9:O$80))*'Calc|Overheads'!O$12)</f>
        <v>2926.5194570607659</v>
      </c>
      <c r="P135" s="44">
        <f>P46+((P46/SUM(P$9:P$80))*'Calc|Overheads'!P$12)</f>
        <v>3243.4161992313898</v>
      </c>
      <c r="Q135" s="44">
        <f>Q46+((Q46/SUM(Q$9:Q$80))*'Calc|Overheads'!Q$12)</f>
        <v>3026.7591063323348</v>
      </c>
      <c r="R135" s="44">
        <f>R46+((R46/SUM(R$9:R$80))*'Calc|Overheads'!R$12)</f>
        <v>2627.3206009066384</v>
      </c>
      <c r="S135" s="44">
        <f>S46+((S46/SUM(S$9:S$80))*'Calc|Overheads'!S$12)</f>
        <v>2642.1472956946891</v>
      </c>
      <c r="T135" s="7"/>
      <c r="U135" s="7"/>
    </row>
    <row r="136" spans="1:21" x14ac:dyDescent="0.2">
      <c r="A136" s="7"/>
      <c r="B136" s="7"/>
      <c r="C136" s="7"/>
      <c r="D136" s="7"/>
      <c r="E136" s="39">
        <v>144</v>
      </c>
      <c r="F136" s="39" t="s">
        <v>2252</v>
      </c>
      <c r="G136" s="39" t="str">
        <f>VLOOKUP(E136,Mapping!$E$11:$G$96,3,0)</f>
        <v>Replacement</v>
      </c>
      <c r="H136" s="39" t="str">
        <f>VLOOKUP(E136,Mapping!$E$11:$K$96,7,0)</f>
        <v>SCS</v>
      </c>
      <c r="I136" s="55">
        <f>SUMPRODUCT(--('Input|Historical Data'!$E$9:$E$3279=$E136),--('Input|Historical Data'!$O$9:$O$3279="SCS"),'Input|Historical Data'!$I$9:$I$3279)+SUMPRODUCT(--('Input|Customer Contributions'!$E$9:$E$21=$E136),'Input|Customer Contributions'!J$9:J$21)</f>
        <v>488.59541999999993</v>
      </c>
      <c r="J136" s="55">
        <f>SUMPRODUCT(--('Input|Historical Data'!$Q$9:$Q$3280=$E136),--('Input|Historical Data'!$AA$9:$AA$3280="SCS"),'Input|Historical Data'!$U$9:$U$3280)+SUMPRODUCT(--('Input|Customer Contributions'!$E$9:$E$21=$E136),'Input|Customer Contributions'!K$9:K$21)</f>
        <v>276.64323000000002</v>
      </c>
      <c r="K136" s="55">
        <f>SUMPRODUCT(--('Input|Historical Data'!$AC$9:$AC$3279=$E136),--('Input|Historical Data'!$AM$9:$AM$3279="SCS"),'Input|Historical Data'!$AG$9:$AG$3279)+SUMPRODUCT(--('Input|Customer Contributions'!$E$9:$E$21=$E136),'Input|Customer Contributions'!L$9:L$21)</f>
        <v>234.11790999999999</v>
      </c>
      <c r="L136" s="55">
        <f>SUMPRODUCT(--('Input|Historical Data'!$AO$9:$AO$3279=$E136),--('Input|Historical Data'!$AY$9:$AY$3279="SCS"),'Input|Historical Data'!$AS$9:$AS$3279)+SUMPRODUCT(--('Input|Customer Contributions'!$E$9:$E$21=$E136),'Input|Customer Contributions'!M$9:M$21)</f>
        <v>717.86485999999968</v>
      </c>
      <c r="M136" s="44">
        <f>M47+((M47/SUM(M$9:M$80))*'Calc|Overheads'!M$12)</f>
        <v>771.1114022626864</v>
      </c>
      <c r="N136" s="44">
        <f>N47+((N47/SUM(N$9:N$80))*'Calc|Overheads'!N$12)</f>
        <v>653.75714335049543</v>
      </c>
      <c r="O136" s="44">
        <f>O47+((O47/SUM(O$9:O$80))*'Calc|Overheads'!O$12)</f>
        <v>405.29893566641954</v>
      </c>
      <c r="P136" s="44">
        <f>P47+((P47/SUM(P$9:P$80))*'Calc|Overheads'!P$12)</f>
        <v>398.51551909902628</v>
      </c>
      <c r="Q136" s="44">
        <f>Q47+((Q47/SUM(Q$9:Q$80))*'Calc|Overheads'!Q$12)</f>
        <v>401.6125577321468</v>
      </c>
      <c r="R136" s="44">
        <f>R47+((R47/SUM(R$9:R$80))*'Calc|Overheads'!R$12)</f>
        <v>403.54840354103186</v>
      </c>
      <c r="S136" s="44">
        <f>S47+((S47/SUM(S$9:S$80))*'Calc|Overheads'!S$12)</f>
        <v>464.34130260337992</v>
      </c>
      <c r="T136" s="7"/>
      <c r="U136" s="7"/>
    </row>
    <row r="137" spans="1:21" x14ac:dyDescent="0.2">
      <c r="A137" s="7"/>
      <c r="B137" s="7"/>
      <c r="C137" s="7"/>
      <c r="D137" s="7"/>
      <c r="E137" s="39">
        <v>145</v>
      </c>
      <c r="F137" s="39" t="s">
        <v>2253</v>
      </c>
      <c r="G137" s="39" t="str">
        <f>VLOOKUP(E137,Mapping!$E$11:$G$96,3,0)</f>
        <v>Replacement</v>
      </c>
      <c r="H137" s="39" t="str">
        <f>VLOOKUP(E137,Mapping!$E$11:$K$96,7,0)</f>
        <v>SCS</v>
      </c>
      <c r="I137" s="55">
        <f>SUMPRODUCT(--('Input|Historical Data'!$E$9:$E$3279=$E137),--('Input|Historical Data'!$O$9:$O$3279="SCS"),'Input|Historical Data'!$I$9:$I$3279)+SUMPRODUCT(--('Input|Customer Contributions'!$E$9:$E$21=$E137),'Input|Customer Contributions'!J$9:J$21)</f>
        <v>811.42036999999993</v>
      </c>
      <c r="J137" s="55">
        <f>SUMPRODUCT(--('Input|Historical Data'!$Q$9:$Q$3280=$E137),--('Input|Historical Data'!$AA$9:$AA$3280="SCS"),'Input|Historical Data'!$U$9:$U$3280)+SUMPRODUCT(--('Input|Customer Contributions'!$E$9:$E$21=$E137),'Input|Customer Contributions'!K$9:K$21)</f>
        <v>355.03043000000002</v>
      </c>
      <c r="K137" s="55">
        <f>SUMPRODUCT(--('Input|Historical Data'!$AC$9:$AC$3279=$E137),--('Input|Historical Data'!$AM$9:$AM$3279="SCS"),'Input|Historical Data'!$AG$9:$AG$3279)+SUMPRODUCT(--('Input|Customer Contributions'!$E$9:$E$21=$E137),'Input|Customer Contributions'!L$9:L$21)</f>
        <v>362.75546000000003</v>
      </c>
      <c r="L137" s="55">
        <f>SUMPRODUCT(--('Input|Historical Data'!$AO$9:$AO$3279=$E137),--('Input|Historical Data'!$AY$9:$AY$3279="SCS"),'Input|Historical Data'!$AS$9:$AS$3279)+SUMPRODUCT(--('Input|Customer Contributions'!$E$9:$E$21=$E137),'Input|Customer Contributions'!M$9:M$21)</f>
        <v>708.23389000000009</v>
      </c>
      <c r="M137" s="44">
        <f>M48+((M48/SUM(M$9:M$80))*'Calc|Overheads'!M$12)</f>
        <v>1062.4266979500576</v>
      </c>
      <c r="N137" s="44">
        <f>N48+((N48/SUM(N$9:N$80))*'Calc|Overheads'!N$12)</f>
        <v>657.39719338262523</v>
      </c>
      <c r="O137" s="44">
        <f>O48+((O48/SUM(O$9:O$80))*'Calc|Overheads'!O$12)</f>
        <v>818.19694673383242</v>
      </c>
      <c r="P137" s="44">
        <f>P48+((P48/SUM(P$9:P$80))*'Calc|Overheads'!P$12)</f>
        <v>804.50292921873859</v>
      </c>
      <c r="Q137" s="44">
        <f>Q48+((Q48/SUM(Q$9:Q$80))*'Calc|Overheads'!Q$12)</f>
        <v>810.75507382249714</v>
      </c>
      <c r="R137" s="44">
        <f>R48+((R48/SUM(R$9:R$80))*'Calc|Overheads'!R$12)</f>
        <v>814.66306121351488</v>
      </c>
      <c r="S137" s="44">
        <f>S48+((S48/SUM(S$9:S$80))*'Calc|Overheads'!S$12)</f>
        <v>819.26042955887158</v>
      </c>
      <c r="T137" s="7"/>
      <c r="U137" s="7"/>
    </row>
    <row r="138" spans="1:21" x14ac:dyDescent="0.2">
      <c r="A138" s="7"/>
      <c r="B138" s="7"/>
      <c r="C138" s="7"/>
      <c r="D138" s="7"/>
      <c r="E138" s="39">
        <v>146</v>
      </c>
      <c r="F138" s="39" t="s">
        <v>2254</v>
      </c>
      <c r="G138" s="39" t="str">
        <f>VLOOKUP(E138,Mapping!$E$11:$G$96,3,0)</f>
        <v>Quoted Opex</v>
      </c>
      <c r="H138" s="39" t="str">
        <f>VLOOKUP(E138,Mapping!$E$11:$K$96,7,0)</f>
        <v>Ancillary Network Services</v>
      </c>
      <c r="I138" s="55">
        <f>SUMPRODUCT(--('Input|Historical Data'!$E$9:$E$3279=$E138),--('Input|Historical Data'!$O$9:$O$3279="SCS"),'Input|Historical Data'!$I$9:$I$3279)+SUMPRODUCT(--('Input|Customer Contributions'!$E$9:$E$21=$E138),'Input|Customer Contributions'!J$9:J$21)</f>
        <v>0</v>
      </c>
      <c r="J138" s="55">
        <f>SUMPRODUCT(--('Input|Historical Data'!$Q$9:$Q$3280=$E138),--('Input|Historical Data'!$AA$9:$AA$3280="SCS"),'Input|Historical Data'!$U$9:$U$3280)+SUMPRODUCT(--('Input|Customer Contributions'!$E$9:$E$21=$E138),'Input|Customer Contributions'!K$9:K$21)</f>
        <v>0</v>
      </c>
      <c r="K138" s="55">
        <f>SUMPRODUCT(--('Input|Historical Data'!$AC$9:$AC$3279=$E138),--('Input|Historical Data'!$AM$9:$AM$3279="SCS"),'Input|Historical Data'!$AG$9:$AG$3279)+SUMPRODUCT(--('Input|Customer Contributions'!$E$9:$E$21=$E138),'Input|Customer Contributions'!L$9:L$21)</f>
        <v>0</v>
      </c>
      <c r="L138" s="55">
        <f>SUMPRODUCT(--('Input|Historical Data'!$AO$9:$AO$3279=$E138),--('Input|Historical Data'!$AY$9:$AY$3279="SCS"),'Input|Historical Data'!$AS$9:$AS$3279)+SUMPRODUCT(--('Input|Customer Contributions'!$E$9:$E$21=$E138),'Input|Customer Contributions'!M$9:M$21)</f>
        <v>0</v>
      </c>
      <c r="M138" s="44">
        <f>M49+((M49/SUM(M$9:M$80))*'Calc|Overheads'!M$12)</f>
        <v>0</v>
      </c>
      <c r="N138" s="44">
        <f>N49+((N49/SUM(N$9:N$80))*'Calc|Overheads'!N$12)</f>
        <v>0</v>
      </c>
      <c r="O138" s="44">
        <f>O49+((O49/SUM(O$9:O$80))*'Calc|Overheads'!O$12)</f>
        <v>0</v>
      </c>
      <c r="P138" s="44">
        <f>P49+((P49/SUM(P$9:P$80))*'Calc|Overheads'!P$12)</f>
        <v>0</v>
      </c>
      <c r="Q138" s="44">
        <f>Q49+((Q49/SUM(Q$9:Q$80))*'Calc|Overheads'!Q$12)</f>
        <v>0</v>
      </c>
      <c r="R138" s="44">
        <f>R49+((R49/SUM(R$9:R$80))*'Calc|Overheads'!R$12)</f>
        <v>0</v>
      </c>
      <c r="S138" s="44">
        <f>S49+((S49/SUM(S$9:S$80))*'Calc|Overheads'!S$12)</f>
        <v>0</v>
      </c>
      <c r="T138" s="7"/>
      <c r="U138" s="7"/>
    </row>
    <row r="139" spans="1:21" x14ac:dyDescent="0.2">
      <c r="A139" s="7"/>
      <c r="B139" s="7"/>
      <c r="C139" s="7"/>
      <c r="D139" s="7"/>
      <c r="E139" s="39">
        <v>147</v>
      </c>
      <c r="F139" s="39" t="s">
        <v>2255</v>
      </c>
      <c r="G139" s="39" t="str">
        <f>VLOOKUP(E139,Mapping!$E$11:$G$96,3,0)</f>
        <v>Replacement</v>
      </c>
      <c r="H139" s="39" t="str">
        <f>VLOOKUP(E139,Mapping!$E$11:$K$96,7,0)</f>
        <v>SCS</v>
      </c>
      <c r="I139" s="55">
        <f>SUMPRODUCT(--('Input|Historical Data'!$E$9:$E$3279=$E139),--('Input|Historical Data'!$O$9:$O$3279="SCS"),'Input|Historical Data'!$I$9:$I$3279)+SUMPRODUCT(--('Input|Customer Contributions'!$E$9:$E$21=$E139),'Input|Customer Contributions'!J$9:J$21)</f>
        <v>262.08000000000004</v>
      </c>
      <c r="J139" s="55">
        <f>SUMPRODUCT(--('Input|Historical Data'!$Q$9:$Q$3280=$E139),--('Input|Historical Data'!$AA$9:$AA$3280="SCS"),'Input|Historical Data'!$U$9:$U$3280)+SUMPRODUCT(--('Input|Customer Contributions'!$E$9:$E$21=$E139),'Input|Customer Contributions'!K$9:K$21)</f>
        <v>0</v>
      </c>
      <c r="K139" s="55">
        <f>SUMPRODUCT(--('Input|Historical Data'!$AC$9:$AC$3279=$E139),--('Input|Historical Data'!$AM$9:$AM$3279="SCS"),'Input|Historical Data'!$AG$9:$AG$3279)+SUMPRODUCT(--('Input|Customer Contributions'!$E$9:$E$21=$E139),'Input|Customer Contributions'!L$9:L$21)</f>
        <v>0</v>
      </c>
      <c r="L139" s="55">
        <f>SUMPRODUCT(--('Input|Historical Data'!$AO$9:$AO$3279=$E139),--('Input|Historical Data'!$AY$9:$AY$3279="SCS"),'Input|Historical Data'!$AS$9:$AS$3279)+SUMPRODUCT(--('Input|Customer Contributions'!$E$9:$E$21=$E139),'Input|Customer Contributions'!M$9:M$21)</f>
        <v>0</v>
      </c>
      <c r="M139" s="44">
        <f>M50+((M50/SUM(M$9:M$80))*'Calc|Overheads'!M$12)</f>
        <v>0</v>
      </c>
      <c r="N139" s="44">
        <f>N50+((N50/SUM(N$9:N$80))*'Calc|Overheads'!N$12)</f>
        <v>0</v>
      </c>
      <c r="O139" s="44">
        <f>O50+((O50/SUM(O$9:O$80))*'Calc|Overheads'!O$12)</f>
        <v>219.65642713995493</v>
      </c>
      <c r="P139" s="44">
        <f>P50+((P50/SUM(P$9:P$80))*'Calc|Overheads'!P$12)</f>
        <v>215.98007638777349</v>
      </c>
      <c r="Q139" s="44">
        <f>Q50+((Q50/SUM(Q$9:Q$80))*'Calc|Overheads'!Q$12)</f>
        <v>217.65855215220424</v>
      </c>
      <c r="R139" s="44">
        <f>R50+((R50/SUM(R$9:R$80))*'Calc|Overheads'!R$12)</f>
        <v>218.70770608885195</v>
      </c>
      <c r="S139" s="44">
        <f>S50+((S50/SUM(S$9:S$80))*'Calc|Overheads'!S$12)</f>
        <v>219.94193399573743</v>
      </c>
      <c r="T139" s="7"/>
      <c r="U139" s="7"/>
    </row>
    <row r="140" spans="1:21" x14ac:dyDescent="0.2">
      <c r="A140" s="7"/>
      <c r="B140" s="7"/>
      <c r="C140" s="7"/>
      <c r="D140" s="7"/>
      <c r="E140" s="39">
        <v>148</v>
      </c>
      <c r="F140" s="39" t="s">
        <v>2256</v>
      </c>
      <c r="G140" s="39" t="str">
        <f>VLOOKUP(E140,Mapping!$E$11:$G$96,3,0)</f>
        <v>Replacement</v>
      </c>
      <c r="H140" s="39" t="str">
        <f>VLOOKUP(E140,Mapping!$E$11:$K$96,7,0)</f>
        <v>SCS</v>
      </c>
      <c r="I140" s="55">
        <f>SUMPRODUCT(--('Input|Historical Data'!$E$9:$E$3279=$E140),--('Input|Historical Data'!$O$9:$O$3279="SCS"),'Input|Historical Data'!$I$9:$I$3279)+SUMPRODUCT(--('Input|Customer Contributions'!$E$9:$E$21=$E140),'Input|Customer Contributions'!J$9:J$21)</f>
        <v>1954.9335580616532</v>
      </c>
      <c r="J140" s="55">
        <f>SUMPRODUCT(--('Input|Historical Data'!$Q$9:$Q$3280=$E140),--('Input|Historical Data'!$AA$9:$AA$3280="SCS"),'Input|Historical Data'!$U$9:$U$3280)+SUMPRODUCT(--('Input|Customer Contributions'!$E$9:$E$21=$E140),'Input|Customer Contributions'!K$9:K$21)</f>
        <v>450.14527999999996</v>
      </c>
      <c r="K140" s="55">
        <f>SUMPRODUCT(--('Input|Historical Data'!$AC$9:$AC$3279=$E140),--('Input|Historical Data'!$AM$9:$AM$3279="SCS"),'Input|Historical Data'!$AG$9:$AG$3279)+SUMPRODUCT(--('Input|Customer Contributions'!$E$9:$E$21=$E140),'Input|Customer Contributions'!L$9:L$21)</f>
        <v>1993.9144999999999</v>
      </c>
      <c r="L140" s="55">
        <f>SUMPRODUCT(--('Input|Historical Data'!$AO$9:$AO$3279=$E140),--('Input|Historical Data'!$AY$9:$AY$3279="SCS"),'Input|Historical Data'!$AS$9:$AS$3279)+SUMPRODUCT(--('Input|Customer Contributions'!$E$9:$E$21=$E140),'Input|Customer Contributions'!M$9:M$21)</f>
        <v>33.479910000000075</v>
      </c>
      <c r="M140" s="44">
        <f>M51+((M51/SUM(M$9:M$80))*'Calc|Overheads'!M$12)</f>
        <v>0</v>
      </c>
      <c r="N140" s="44">
        <f>N51+((N51/SUM(N$9:N$80))*'Calc|Overheads'!N$12)</f>
        <v>0</v>
      </c>
      <c r="O140" s="44">
        <f>O51+((O51/SUM(O$9:O$80))*'Calc|Overheads'!O$12)</f>
        <v>2587.7554016145923</v>
      </c>
      <c r="P140" s="44">
        <f>P51+((P51/SUM(P$9:P$80))*'Calc|Overheads'!P$12)</f>
        <v>2544.4445973688062</v>
      </c>
      <c r="Q140" s="44">
        <f>Q51+((Q51/SUM(Q$9:Q$80))*'Calc|Overheads'!Q$12)</f>
        <v>2564.2185907021189</v>
      </c>
      <c r="R140" s="44">
        <f>R51+((R51/SUM(R$9:R$80))*'Calc|Overheads'!R$12)</f>
        <v>2576.5785921918796</v>
      </c>
      <c r="S140" s="44">
        <f>S51+((S51/SUM(S$9:S$80))*'Calc|Overheads'!S$12)</f>
        <v>2591.1189358296797</v>
      </c>
      <c r="T140" s="7"/>
      <c r="U140" s="7"/>
    </row>
    <row r="141" spans="1:21" x14ac:dyDescent="0.2">
      <c r="A141" s="7"/>
      <c r="B141" s="7"/>
      <c r="C141" s="7"/>
      <c r="D141" s="7"/>
      <c r="E141" s="39">
        <v>149</v>
      </c>
      <c r="F141" s="39" t="s">
        <v>2257</v>
      </c>
      <c r="G141" s="39" t="str">
        <f>VLOOKUP(E141,Mapping!$E$11:$G$96,3,0)</f>
        <v>Replacement</v>
      </c>
      <c r="H141" s="39" t="str">
        <f>VLOOKUP(E141,Mapping!$E$11:$K$96,7,0)</f>
        <v>SCS</v>
      </c>
      <c r="I141" s="55">
        <f>SUMPRODUCT(--('Input|Historical Data'!$E$9:$E$3279=$E141),--('Input|Historical Data'!$O$9:$O$3279="SCS"),'Input|Historical Data'!$I$9:$I$3279)+SUMPRODUCT(--('Input|Customer Contributions'!$E$9:$E$21=$E141),'Input|Customer Contributions'!J$9:J$21)</f>
        <v>43.986190000000008</v>
      </c>
      <c r="J141" s="55">
        <f>SUMPRODUCT(--('Input|Historical Data'!$Q$9:$Q$3280=$E141),--('Input|Historical Data'!$AA$9:$AA$3280="SCS"),'Input|Historical Data'!$U$9:$U$3280)+SUMPRODUCT(--('Input|Customer Contributions'!$E$9:$E$21=$E141),'Input|Customer Contributions'!K$9:K$21)</f>
        <v>0</v>
      </c>
      <c r="K141" s="55">
        <f>SUMPRODUCT(--('Input|Historical Data'!$AC$9:$AC$3279=$E141),--('Input|Historical Data'!$AM$9:$AM$3279="SCS"),'Input|Historical Data'!$AG$9:$AG$3279)+SUMPRODUCT(--('Input|Customer Contributions'!$E$9:$E$21=$E141),'Input|Customer Contributions'!L$9:L$21)</f>
        <v>0</v>
      </c>
      <c r="L141" s="55">
        <f>SUMPRODUCT(--('Input|Historical Data'!$AO$9:$AO$3279=$E141),--('Input|Historical Data'!$AY$9:$AY$3279="SCS"),'Input|Historical Data'!$AS$9:$AS$3279)+SUMPRODUCT(--('Input|Customer Contributions'!$E$9:$E$21=$E141),'Input|Customer Contributions'!M$9:M$21)</f>
        <v>0</v>
      </c>
      <c r="M141" s="44">
        <f>M52+((M52/SUM(M$9:M$80))*'Calc|Overheads'!M$12)</f>
        <v>0</v>
      </c>
      <c r="N141" s="44">
        <f>N52+((N52/SUM(N$9:N$80))*'Calc|Overheads'!N$12)</f>
        <v>0</v>
      </c>
      <c r="O141" s="44">
        <f>O52+((O52/SUM(O$9:O$80))*'Calc|Overheads'!O$12)</f>
        <v>0</v>
      </c>
      <c r="P141" s="44">
        <f>P52+((P52/SUM(P$9:P$80))*'Calc|Overheads'!P$12)</f>
        <v>0</v>
      </c>
      <c r="Q141" s="44">
        <f>Q52+((Q52/SUM(Q$9:Q$80))*'Calc|Overheads'!Q$12)</f>
        <v>0</v>
      </c>
      <c r="R141" s="44">
        <f>R52+((R52/SUM(R$9:R$80))*'Calc|Overheads'!R$12)</f>
        <v>0</v>
      </c>
      <c r="S141" s="44">
        <f>S52+((S52/SUM(S$9:S$80))*'Calc|Overheads'!S$12)</f>
        <v>0</v>
      </c>
      <c r="T141" s="7"/>
      <c r="U141" s="7"/>
    </row>
    <row r="142" spans="1:21" x14ac:dyDescent="0.2">
      <c r="A142" s="7"/>
      <c r="B142" s="7"/>
      <c r="C142" s="7"/>
      <c r="D142" s="7"/>
      <c r="E142" s="39">
        <v>150</v>
      </c>
      <c r="F142" s="39" t="s">
        <v>2258</v>
      </c>
      <c r="G142" s="39" t="str">
        <f>VLOOKUP(E142,Mapping!$E$11:$G$96,3,0)</f>
        <v>Replacement</v>
      </c>
      <c r="H142" s="39" t="str">
        <f>VLOOKUP(E142,Mapping!$E$11:$K$96,7,0)</f>
        <v>SCS</v>
      </c>
      <c r="I142" s="55">
        <f>SUMPRODUCT(--('Input|Historical Data'!$E$9:$E$3279=$E142),--('Input|Historical Data'!$O$9:$O$3279="SCS"),'Input|Historical Data'!$I$9:$I$3279)+SUMPRODUCT(--('Input|Customer Contributions'!$E$9:$E$21=$E142),'Input|Customer Contributions'!J$9:J$21)</f>
        <v>2144.0670600000012</v>
      </c>
      <c r="J142" s="55">
        <f>SUMPRODUCT(--('Input|Historical Data'!$Q$9:$Q$3280=$E142),--('Input|Historical Data'!$AA$9:$AA$3280="SCS"),'Input|Historical Data'!$U$9:$U$3280)+SUMPRODUCT(--('Input|Customer Contributions'!$E$9:$E$21=$E142),'Input|Customer Contributions'!K$9:K$21)</f>
        <v>1067.85715</v>
      </c>
      <c r="K142" s="55">
        <f>SUMPRODUCT(--('Input|Historical Data'!$AC$9:$AC$3279=$E142),--('Input|Historical Data'!$AM$9:$AM$3279="SCS"),'Input|Historical Data'!$AG$9:$AG$3279)+SUMPRODUCT(--('Input|Customer Contributions'!$E$9:$E$21=$E142),'Input|Customer Contributions'!L$9:L$21)</f>
        <v>1650.8458700000001</v>
      </c>
      <c r="L142" s="55">
        <f>SUMPRODUCT(--('Input|Historical Data'!$AO$9:$AO$3279=$E142),--('Input|Historical Data'!$AY$9:$AY$3279="SCS"),'Input|Historical Data'!$AS$9:$AS$3279)+SUMPRODUCT(--('Input|Customer Contributions'!$E$9:$E$21=$E142),'Input|Customer Contributions'!M$9:M$21)</f>
        <v>2005.0842499999997</v>
      </c>
      <c r="M142" s="44">
        <f>M53+((M53/SUM(M$9:M$80))*'Calc|Overheads'!M$12)</f>
        <v>2525.0987709717524</v>
      </c>
      <c r="N142" s="44">
        <f>N53+((N53/SUM(N$9:N$80))*'Calc|Overheads'!N$12)</f>
        <v>4229.170662404933</v>
      </c>
      <c r="O142" s="44">
        <f>O53+((O53/SUM(O$9:O$80))*'Calc|Overheads'!O$12)</f>
        <v>1450.9909938529959</v>
      </c>
      <c r="P142" s="44">
        <f>P53+((P53/SUM(P$9:P$80))*'Calc|Overheads'!P$12)</f>
        <v>1426.7060143460628</v>
      </c>
      <c r="Q142" s="44">
        <f>Q53+((Q53/SUM(Q$9:Q$80))*'Calc|Overheads'!Q$12)</f>
        <v>1437.7935716249481</v>
      </c>
      <c r="R142" s="44">
        <f>R53+((R53/SUM(R$9:R$80))*'Calc|Overheads'!R$12)</f>
        <v>1444.7239989885477</v>
      </c>
      <c r="S142" s="44">
        <f>S53+((S53/SUM(S$9:S$80))*'Calc|Overheads'!S$12)</f>
        <v>1452.8769749818784</v>
      </c>
      <c r="T142" s="7"/>
      <c r="U142" s="7"/>
    </row>
    <row r="143" spans="1:21" x14ac:dyDescent="0.2">
      <c r="A143" s="7"/>
      <c r="B143" s="7"/>
      <c r="C143" s="7"/>
      <c r="D143" s="7"/>
      <c r="E143" s="39">
        <v>151</v>
      </c>
      <c r="F143" s="39" t="s">
        <v>2259</v>
      </c>
      <c r="G143" s="39" t="str">
        <f>VLOOKUP(E143,Mapping!$E$11:$G$96,3,0)</f>
        <v>Metering Capex</v>
      </c>
      <c r="H143" s="39" t="str">
        <f>VLOOKUP(E143,Mapping!$E$11:$K$96,7,0)</f>
        <v>Metering Services</v>
      </c>
      <c r="I143" s="55">
        <f>SUMPRODUCT(--('Input|Historical Data'!$E$9:$E$3279=$E143),--('Input|Historical Data'!$O$9:$O$3279="SCS"),'Input|Historical Data'!$I$9:$I$3279)+SUMPRODUCT(--('Input|Customer Contributions'!$E$9:$E$21=$E143),'Input|Customer Contributions'!J$9:J$21)</f>
        <v>0</v>
      </c>
      <c r="J143" s="55">
        <f>SUMPRODUCT(--('Input|Historical Data'!$Q$9:$Q$3280=$E143),--('Input|Historical Data'!$AA$9:$AA$3280="SCS"),'Input|Historical Data'!$U$9:$U$3280)+SUMPRODUCT(--('Input|Customer Contributions'!$E$9:$E$21=$E143),'Input|Customer Contributions'!K$9:K$21)</f>
        <v>0</v>
      </c>
      <c r="K143" s="55">
        <f>SUMPRODUCT(--('Input|Historical Data'!$AC$9:$AC$3279=$E143),--('Input|Historical Data'!$AM$9:$AM$3279="SCS"),'Input|Historical Data'!$AG$9:$AG$3279)+SUMPRODUCT(--('Input|Customer Contributions'!$E$9:$E$21=$E143),'Input|Customer Contributions'!L$9:L$21)</f>
        <v>0</v>
      </c>
      <c r="L143" s="55">
        <f>SUMPRODUCT(--('Input|Historical Data'!$AO$9:$AO$3279=$E143),--('Input|Historical Data'!$AY$9:$AY$3279="SCS"),'Input|Historical Data'!$AS$9:$AS$3279)+SUMPRODUCT(--('Input|Customer Contributions'!$E$9:$E$21=$E143),'Input|Customer Contributions'!M$9:M$21)</f>
        <v>0</v>
      </c>
      <c r="M143" s="44">
        <f>M54+((M54/SUM(M$9:M$80))*'Calc|Overheads'!M$12)</f>
        <v>0</v>
      </c>
      <c r="N143" s="44">
        <f>N54+((N54/SUM(N$9:N$80))*'Calc|Overheads'!N$12)</f>
        <v>0</v>
      </c>
      <c r="O143" s="44">
        <f>O54+((O54/SUM(O$9:O$80))*'Calc|Overheads'!O$12)</f>
        <v>0</v>
      </c>
      <c r="P143" s="44">
        <f>P54+((P54/SUM(P$9:P$80))*'Calc|Overheads'!P$12)</f>
        <v>0</v>
      </c>
      <c r="Q143" s="44">
        <f>Q54+((Q54/SUM(Q$9:Q$80))*'Calc|Overheads'!Q$12)</f>
        <v>0</v>
      </c>
      <c r="R143" s="44">
        <f>R54+((R54/SUM(R$9:R$80))*'Calc|Overheads'!R$12)</f>
        <v>0</v>
      </c>
      <c r="S143" s="44">
        <f>S54+((S54/SUM(S$9:S$80))*'Calc|Overheads'!S$12)</f>
        <v>0</v>
      </c>
      <c r="T143" s="7"/>
      <c r="U143" s="7"/>
    </row>
    <row r="144" spans="1:21" x14ac:dyDescent="0.2">
      <c r="A144" s="7"/>
      <c r="B144" s="7"/>
      <c r="C144" s="7"/>
      <c r="D144" s="7"/>
      <c r="E144" s="39">
        <v>152</v>
      </c>
      <c r="F144" s="39" t="s">
        <v>2260</v>
      </c>
      <c r="G144" s="39" t="str">
        <f>VLOOKUP(E144,Mapping!$E$11:$G$96,3,0)</f>
        <v>Replacement</v>
      </c>
      <c r="H144" s="39" t="str">
        <f>VLOOKUP(E144,Mapping!$E$11:$K$96,7,0)</f>
        <v>SCS</v>
      </c>
      <c r="I144" s="55">
        <f>SUMPRODUCT(--('Input|Historical Data'!$E$9:$E$3279=$E144),--('Input|Historical Data'!$O$9:$O$3279="SCS"),'Input|Historical Data'!$I$9:$I$3279)+SUMPRODUCT(--('Input|Customer Contributions'!$E$9:$E$21=$E144),'Input|Customer Contributions'!J$9:J$21)</f>
        <v>91.420560000000023</v>
      </c>
      <c r="J144" s="55">
        <f>SUMPRODUCT(--('Input|Historical Data'!$Q$9:$Q$3280=$E144),--('Input|Historical Data'!$AA$9:$AA$3280="SCS"),'Input|Historical Data'!$U$9:$U$3280)+SUMPRODUCT(--('Input|Customer Contributions'!$E$9:$E$21=$E144),'Input|Customer Contributions'!K$9:K$21)</f>
        <v>1.4242999999999999</v>
      </c>
      <c r="K144" s="55">
        <f>SUMPRODUCT(--('Input|Historical Data'!$AC$9:$AC$3279=$E144),--('Input|Historical Data'!$AM$9:$AM$3279="SCS"),'Input|Historical Data'!$AG$9:$AG$3279)+SUMPRODUCT(--('Input|Customer Contributions'!$E$9:$E$21=$E144),'Input|Customer Contributions'!L$9:L$21)</f>
        <v>-2.2387799999999998</v>
      </c>
      <c r="L144" s="55">
        <f>SUMPRODUCT(--('Input|Historical Data'!$AO$9:$AO$3279=$E144),--('Input|Historical Data'!$AY$9:$AY$3279="SCS"),'Input|Historical Data'!$AS$9:$AS$3279)+SUMPRODUCT(--('Input|Customer Contributions'!$E$9:$E$21=$E144),'Input|Customer Contributions'!M$9:M$21)</f>
        <v>0</v>
      </c>
      <c r="M144" s="44">
        <f>M55+((M55/SUM(M$9:M$80))*'Calc|Overheads'!M$12)</f>
        <v>0</v>
      </c>
      <c r="N144" s="44">
        <f>N55+((N55/SUM(N$9:N$80))*'Calc|Overheads'!N$12)</f>
        <v>0</v>
      </c>
      <c r="O144" s="44">
        <f>O55+((O55/SUM(O$9:O$80))*'Calc|Overheads'!O$12)</f>
        <v>891.43410818644929</v>
      </c>
      <c r="P144" s="44">
        <f>P55+((P55/SUM(P$9:P$80))*'Calc|Overheads'!P$12)</f>
        <v>876.51433325965729</v>
      </c>
      <c r="Q144" s="44">
        <f>Q55+((Q55/SUM(Q$9:Q$80))*'Calc|Overheads'!Q$12)</f>
        <v>883.32611002239469</v>
      </c>
      <c r="R144" s="44">
        <f>R55+((R55/SUM(R$9:R$80))*'Calc|Overheads'!R$12)</f>
        <v>887.58390304963893</v>
      </c>
      <c r="S144" s="44">
        <f>S55+((S55/SUM(S$9:S$80))*'Calc|Overheads'!S$12)</f>
        <v>892.59278381765876</v>
      </c>
      <c r="T144" s="7"/>
      <c r="U144" s="7"/>
    </row>
    <row r="145" spans="1:21" x14ac:dyDescent="0.2">
      <c r="A145" s="7"/>
      <c r="B145" s="7"/>
      <c r="C145" s="7"/>
      <c r="D145" s="7"/>
      <c r="E145" s="39">
        <v>153</v>
      </c>
      <c r="F145" s="39" t="s">
        <v>2261</v>
      </c>
      <c r="G145" s="39" t="s">
        <v>2299</v>
      </c>
      <c r="H145" s="39" t="s">
        <v>28</v>
      </c>
      <c r="I145" s="55">
        <f>SUMPRODUCT(--('Input|Historical Data'!$E$9:$E$3279=$E145),--('Input|Historical Data'!$O$9:$O$3279="SCS"),'Input|Historical Data'!$I$9:$I$3279)+SUMPRODUCT(--('Input|Customer Contributions'!$E$9:$E$21=$E145),'Input|Customer Contributions'!J$9:J$21)</f>
        <v>1325.8551600000003</v>
      </c>
      <c r="J145" s="55">
        <f>SUMPRODUCT(--('Input|Historical Data'!$Q$9:$Q$3280=$E145),--('Input|Historical Data'!$AA$9:$AA$3280="SCS"),'Input|Historical Data'!$U$9:$U$3280)+SUMPRODUCT(--('Input|Customer Contributions'!$E$9:$E$21=$E145),'Input|Customer Contributions'!K$9:K$21)</f>
        <v>0</v>
      </c>
      <c r="K145" s="55">
        <f>SUMPRODUCT(--('Input|Historical Data'!$AC$9:$AC$3279=$E145),--('Input|Historical Data'!$AM$9:$AM$3279="SCS"),'Input|Historical Data'!$AG$9:$AG$3279)+SUMPRODUCT(--('Input|Customer Contributions'!$E$9:$E$21=$E145),'Input|Customer Contributions'!L$9:L$21)</f>
        <v>0</v>
      </c>
      <c r="L145" s="55">
        <f>SUMPRODUCT(--('Input|Historical Data'!$AO$9:$AO$3279=$E145),--('Input|Historical Data'!$AY$9:$AY$3279="SCS"),'Input|Historical Data'!$AS$9:$AS$3279)+SUMPRODUCT(--('Input|Customer Contributions'!$E$9:$E$21=$E145),'Input|Customer Contributions'!M$9:M$21)</f>
        <v>0</v>
      </c>
      <c r="M145" s="44">
        <f>M56+((M56/SUM(M$9:M$80))*'Calc|Overheads'!M$12)</f>
        <v>0</v>
      </c>
      <c r="N145" s="44">
        <f>N56+((N56/SUM(N$9:N$80))*'Calc|Overheads'!N$12)</f>
        <v>0</v>
      </c>
      <c r="O145" s="44">
        <f>O56+((O56/SUM(O$9:O$80))*'Calc|Overheads'!O$12)</f>
        <v>0</v>
      </c>
      <c r="P145" s="44">
        <f>P56+((P56/SUM(P$9:P$80))*'Calc|Overheads'!P$12)</f>
        <v>0</v>
      </c>
      <c r="Q145" s="44">
        <f>Q56+((Q56/SUM(Q$9:Q$80))*'Calc|Overheads'!Q$12)</f>
        <v>0</v>
      </c>
      <c r="R145" s="44">
        <f>R56+((R56/SUM(R$9:R$80))*'Calc|Overheads'!R$12)</f>
        <v>0</v>
      </c>
      <c r="S145" s="44">
        <f>S56+((S56/SUM(S$9:S$80))*'Calc|Overheads'!S$12)</f>
        <v>0</v>
      </c>
      <c r="T145" s="7"/>
      <c r="U145" s="7"/>
    </row>
    <row r="146" spans="1:21" x14ac:dyDescent="0.2">
      <c r="A146" s="7"/>
      <c r="B146" s="7"/>
      <c r="C146" s="7"/>
      <c r="D146" s="7"/>
      <c r="E146" s="39">
        <v>154</v>
      </c>
      <c r="F146" s="39" t="s">
        <v>2262</v>
      </c>
      <c r="G146" s="39" t="str">
        <f>VLOOKUP(E146,Mapping!$E$11:$G$96,3,0)</f>
        <v>Replacement</v>
      </c>
      <c r="H146" s="39" t="str">
        <f>VLOOKUP(E146,Mapping!$E$11:$K$96,7,0)</f>
        <v>SCS</v>
      </c>
      <c r="I146" s="55">
        <f>SUMPRODUCT(--('Input|Historical Data'!$E$9:$E$3279=$E146),--('Input|Historical Data'!$O$9:$O$3279="SCS"),'Input|Historical Data'!$I$9:$I$3279)+SUMPRODUCT(--('Input|Customer Contributions'!$E$9:$E$21=$E146),'Input|Customer Contributions'!J$9:J$21)</f>
        <v>943.27406999999994</v>
      </c>
      <c r="J146" s="55">
        <f>SUMPRODUCT(--('Input|Historical Data'!$Q$9:$Q$3280=$E146),--('Input|Historical Data'!$AA$9:$AA$3280="SCS"),'Input|Historical Data'!$U$9:$U$3280)+SUMPRODUCT(--('Input|Customer Contributions'!$E$9:$E$21=$E146),'Input|Customer Contributions'!K$9:K$21)</f>
        <v>0</v>
      </c>
      <c r="K146" s="55">
        <f>SUMPRODUCT(--('Input|Historical Data'!$AC$9:$AC$3279=$E146),--('Input|Historical Data'!$AM$9:$AM$3279="SCS"),'Input|Historical Data'!$AG$9:$AG$3279)+SUMPRODUCT(--('Input|Customer Contributions'!$E$9:$E$21=$E146),'Input|Customer Contributions'!L$9:L$21)</f>
        <v>0</v>
      </c>
      <c r="L146" s="55">
        <f>SUMPRODUCT(--('Input|Historical Data'!$AO$9:$AO$3279=$E146),--('Input|Historical Data'!$AY$9:$AY$3279="SCS"),'Input|Historical Data'!$AS$9:$AS$3279)+SUMPRODUCT(--('Input|Customer Contributions'!$E$9:$E$21=$E146),'Input|Customer Contributions'!M$9:M$21)</f>
        <v>0</v>
      </c>
      <c r="M146" s="44">
        <f>M57+((M57/SUM(M$9:M$80))*'Calc|Overheads'!M$12)</f>
        <v>253.74676439925406</v>
      </c>
      <c r="N146" s="44">
        <f>N57+((N57/SUM(N$9:N$80))*'Calc|Overheads'!N$12)</f>
        <v>467.5837143756375</v>
      </c>
      <c r="O146" s="44">
        <f>O57+((O57/SUM(O$9:O$80))*'Calc|Overheads'!O$12)</f>
        <v>491.85872448206192</v>
      </c>
      <c r="P146" s="44">
        <f>P57+((P57/SUM(P$9:P$80))*'Calc|Overheads'!P$12)</f>
        <v>483.62657204627419</v>
      </c>
      <c r="Q146" s="44">
        <f>Q57+((Q57/SUM(Q$9:Q$80))*'Calc|Overheads'!Q$12)</f>
        <v>487.38504594715818</v>
      </c>
      <c r="R146" s="44">
        <f>R57+((R57/SUM(R$9:R$80))*'Calc|Overheads'!R$12)</f>
        <v>489.73433079979804</v>
      </c>
      <c r="S146" s="44">
        <f>S57+((S57/SUM(S$9:S$80))*'Calc|Overheads'!S$12)</f>
        <v>492.49803670135157</v>
      </c>
      <c r="T146" s="7"/>
      <c r="U146" s="7"/>
    </row>
    <row r="147" spans="1:21" x14ac:dyDescent="0.2">
      <c r="A147" s="7"/>
      <c r="B147" s="7"/>
      <c r="C147" s="7"/>
      <c r="D147" s="7"/>
      <c r="E147" s="39">
        <v>155</v>
      </c>
      <c r="F147" s="39" t="s">
        <v>2263</v>
      </c>
      <c r="G147" s="39" t="str">
        <f>VLOOKUP(E147,Mapping!$E$11:$G$96,3,0)</f>
        <v>Replacement</v>
      </c>
      <c r="H147" s="39" t="str">
        <f>VLOOKUP(E147,Mapping!$E$11:$K$96,7,0)</f>
        <v>SCS</v>
      </c>
      <c r="I147" s="55">
        <f>SUMPRODUCT(--('Input|Historical Data'!$E$9:$E$3279=$E147),--('Input|Historical Data'!$O$9:$O$3279="SCS"),'Input|Historical Data'!$I$9:$I$3279)+SUMPRODUCT(--('Input|Customer Contributions'!$E$9:$E$21=$E147),'Input|Customer Contributions'!J$9:J$21)</f>
        <v>1438.8664099999999</v>
      </c>
      <c r="J147" s="55">
        <f>SUMPRODUCT(--('Input|Historical Data'!$Q$9:$Q$3280=$E147),--('Input|Historical Data'!$AA$9:$AA$3280="SCS"),'Input|Historical Data'!$U$9:$U$3280)+SUMPRODUCT(--('Input|Customer Contributions'!$E$9:$E$21=$E147),'Input|Customer Contributions'!K$9:K$21)</f>
        <v>88.306989999999999</v>
      </c>
      <c r="K147" s="55">
        <f>SUMPRODUCT(--('Input|Historical Data'!$AC$9:$AC$3279=$E147),--('Input|Historical Data'!$AM$9:$AM$3279="SCS"),'Input|Historical Data'!$AG$9:$AG$3279)+SUMPRODUCT(--('Input|Customer Contributions'!$E$9:$E$21=$E147),'Input|Customer Contributions'!L$9:L$21)</f>
        <v>-138.80499</v>
      </c>
      <c r="L147" s="55">
        <f>SUMPRODUCT(--('Input|Historical Data'!$AO$9:$AO$3279=$E147),--('Input|Historical Data'!$AY$9:$AY$3279="SCS"),'Input|Historical Data'!$AS$9:$AS$3279)+SUMPRODUCT(--('Input|Customer Contributions'!$E$9:$E$21=$E147),'Input|Customer Contributions'!M$9:M$21)</f>
        <v>0</v>
      </c>
      <c r="M147" s="44">
        <f>M58+((M58/SUM(M$9:M$80))*'Calc|Overheads'!M$12)</f>
        <v>0</v>
      </c>
      <c r="N147" s="44">
        <f>N58+((N58/SUM(N$9:N$80))*'Calc|Overheads'!N$12)</f>
        <v>0</v>
      </c>
      <c r="O147" s="44">
        <f>O58+((O58/SUM(O$9:O$80))*'Calc|Overheads'!O$12)</f>
        <v>1865.6462011740543</v>
      </c>
      <c r="P147" s="44">
        <f>P58+((P58/SUM(P$9:P$80))*'Calc|Overheads'!P$12)</f>
        <v>1834.4212108366646</v>
      </c>
      <c r="Q147" s="44">
        <f>Q58+((Q58/SUM(Q$9:Q$80))*'Calc|Overheads'!Q$12)</f>
        <v>1848.677301470779</v>
      </c>
      <c r="R147" s="44">
        <f>R58+((R58/SUM(R$9:R$80))*'Calc|Overheads'!R$12)</f>
        <v>1857.5882633845247</v>
      </c>
      <c r="S147" s="44">
        <f>S58+((S58/SUM(S$9:S$80))*'Calc|Overheads'!S$12)</f>
        <v>1868.0711462932809</v>
      </c>
      <c r="T147" s="7"/>
      <c r="U147" s="7"/>
    </row>
    <row r="148" spans="1:21" x14ac:dyDescent="0.2">
      <c r="A148" s="7"/>
      <c r="B148" s="7"/>
      <c r="C148" s="7"/>
      <c r="D148" s="7"/>
      <c r="E148" s="39">
        <v>156</v>
      </c>
      <c r="F148" s="39" t="s">
        <v>2264</v>
      </c>
      <c r="G148" s="39" t="str">
        <f>VLOOKUP(E148,Mapping!$E$11:$G$96,3,0)</f>
        <v>Replacement</v>
      </c>
      <c r="H148" s="39" t="str">
        <f>VLOOKUP(E148,Mapping!$E$11:$K$96,7,0)</f>
        <v>SCADA/Network control</v>
      </c>
      <c r="I148" s="55">
        <f>SUMPRODUCT(--('Input|Historical Data'!$E$9:$E$3279=$E148),--('Input|Historical Data'!$O$9:$O$3279="SCS"),'Input|Historical Data'!$I$9:$I$3279)+SUMPRODUCT(--('Input|Customer Contributions'!$E$9:$E$21=$E148),'Input|Customer Contributions'!J$9:J$21)</f>
        <v>2387.15425</v>
      </c>
      <c r="J148" s="55">
        <f>SUMPRODUCT(--('Input|Historical Data'!$Q$9:$Q$3280=$E148),--('Input|Historical Data'!$AA$9:$AA$3280="SCS"),'Input|Historical Data'!$U$9:$U$3280)+SUMPRODUCT(--('Input|Customer Contributions'!$E$9:$E$21=$E148),'Input|Customer Contributions'!K$9:K$21)</f>
        <v>3128.1351299999997</v>
      </c>
      <c r="K148" s="55">
        <f>SUMPRODUCT(--('Input|Historical Data'!$AC$9:$AC$3279=$E148),--('Input|Historical Data'!$AM$9:$AM$3279="SCS"),'Input|Historical Data'!$AG$9:$AG$3279)+SUMPRODUCT(--('Input|Customer Contributions'!$E$9:$E$21=$E148),'Input|Customer Contributions'!L$9:L$21)</f>
        <v>3076.9182500000011</v>
      </c>
      <c r="L148" s="55">
        <f>SUMPRODUCT(--('Input|Historical Data'!$AO$9:$AO$3279=$E148),--('Input|Historical Data'!$AY$9:$AY$3279="SCS"),'Input|Historical Data'!$AS$9:$AS$3279)+SUMPRODUCT(--('Input|Customer Contributions'!$E$9:$E$21=$E148),'Input|Customer Contributions'!M$9:M$21)</f>
        <v>2928.2992699999995</v>
      </c>
      <c r="M148" s="44">
        <f>M59+((M59/SUM(M$9:M$80))*'Calc|Overheads'!M$12)</f>
        <v>3695.4807075988042</v>
      </c>
      <c r="N148" s="44">
        <f>N59+((N59/SUM(N$9:N$80))*'Calc|Overheads'!N$12)</f>
        <v>1785.2379033176539</v>
      </c>
      <c r="O148" s="44">
        <f>O59+((O59/SUM(O$9:O$80))*'Calc|Overheads'!O$12)</f>
        <v>3341.8404466184929</v>
      </c>
      <c r="P148" s="44">
        <f>P59+((P59/SUM(P$9:P$80))*'Calc|Overheads'!P$12)</f>
        <v>3269.0578407997077</v>
      </c>
      <c r="Q148" s="44">
        <f>Q59+((Q59/SUM(Q$9:Q$80))*'Calc|Overheads'!Q$12)</f>
        <v>3328.4266583298613</v>
      </c>
      <c r="R148" s="44">
        <f>R59+((R59/SUM(R$9:R$80))*'Calc|Overheads'!R$12)</f>
        <v>3412.7247777015682</v>
      </c>
      <c r="S148" s="44">
        <f>S59+((S59/SUM(S$9:S$80))*'Calc|Overheads'!S$12)</f>
        <v>3431.9837248803551</v>
      </c>
      <c r="T148" s="7"/>
      <c r="U148" s="7"/>
    </row>
    <row r="149" spans="1:21" x14ac:dyDescent="0.2">
      <c r="A149" s="7"/>
      <c r="B149" s="7"/>
      <c r="C149" s="7"/>
      <c r="D149" s="7"/>
      <c r="E149" s="39">
        <v>157</v>
      </c>
      <c r="F149" s="39" t="s">
        <v>2265</v>
      </c>
      <c r="G149" s="39" t="str">
        <f>VLOOKUP(E149,Mapping!$E$11:$G$96,3,0)</f>
        <v>Replacement</v>
      </c>
      <c r="H149" s="39" t="str">
        <f>VLOOKUP(E149,Mapping!$E$11:$K$96,7,0)</f>
        <v>SCS</v>
      </c>
      <c r="I149" s="55">
        <f>SUMPRODUCT(--('Input|Historical Data'!$E$9:$E$3279=$E149),--('Input|Historical Data'!$O$9:$O$3279="SCS"),'Input|Historical Data'!$I$9:$I$3279)+SUMPRODUCT(--('Input|Customer Contributions'!$E$9:$E$21=$E149),'Input|Customer Contributions'!J$9:J$21)</f>
        <v>5705.9947000000002</v>
      </c>
      <c r="J149" s="55">
        <f>SUMPRODUCT(--('Input|Historical Data'!$Q$9:$Q$3280=$E149),--('Input|Historical Data'!$AA$9:$AA$3280="SCS"),'Input|Historical Data'!$U$9:$U$3280)+SUMPRODUCT(--('Input|Customer Contributions'!$E$9:$E$21=$E149),'Input|Customer Contributions'!K$9:K$21)</f>
        <v>3104.3918600000002</v>
      </c>
      <c r="K149" s="55">
        <f>SUMPRODUCT(--('Input|Historical Data'!$AC$9:$AC$3279=$E149),--('Input|Historical Data'!$AM$9:$AM$3279="SCS"),'Input|Historical Data'!$AG$9:$AG$3279)+SUMPRODUCT(--('Input|Customer Contributions'!$E$9:$E$21=$E149),'Input|Customer Contributions'!L$9:L$21)</f>
        <v>6107.7317000000012</v>
      </c>
      <c r="L149" s="55">
        <f>SUMPRODUCT(--('Input|Historical Data'!$AO$9:$AO$3279=$E149),--('Input|Historical Data'!$AY$9:$AY$3279="SCS"),'Input|Historical Data'!$AS$9:$AS$3279)+SUMPRODUCT(--('Input|Customer Contributions'!$E$9:$E$21=$E149),'Input|Customer Contributions'!M$9:M$21)</f>
        <v>3878.25405</v>
      </c>
      <c r="M149" s="44">
        <f>M60+((M60/SUM(M$9:M$80))*'Calc|Overheads'!M$12)</f>
        <v>3590.2049324845561</v>
      </c>
      <c r="N149" s="44">
        <f>N60+((N60/SUM(N$9:N$80))*'Calc|Overheads'!N$12)</f>
        <v>4385.667749048821</v>
      </c>
      <c r="O149" s="44">
        <f>O60+((O60/SUM(O$9:O$80))*'Calc|Overheads'!O$12)</f>
        <v>4281.9536437897605</v>
      </c>
      <c r="P149" s="44">
        <f>P60+((P60/SUM(P$9:P$80))*'Calc|Overheads'!P$12)</f>
        <v>8981.6398880213292</v>
      </c>
      <c r="Q149" s="44">
        <f>Q60+((Q60/SUM(Q$9:Q$80))*'Calc|Overheads'!Q$12)</f>
        <v>7531.236365198909</v>
      </c>
      <c r="R149" s="44">
        <f>R60+((R60/SUM(R$9:R$80))*'Calc|Overheads'!R$12)</f>
        <v>6142.8972940230724</v>
      </c>
      <c r="S149" s="44">
        <f>S60+((S60/SUM(S$9:S$80))*'Calc|Overheads'!S$12)</f>
        <v>9453.1192444238131</v>
      </c>
      <c r="T149" s="7"/>
      <c r="U149" s="7"/>
    </row>
    <row r="150" spans="1:21" x14ac:dyDescent="0.2">
      <c r="A150" s="7"/>
      <c r="B150" s="7"/>
      <c r="C150" s="7"/>
      <c r="D150" s="7"/>
      <c r="E150" s="39">
        <v>158</v>
      </c>
      <c r="F150" s="39" t="s">
        <v>2266</v>
      </c>
      <c r="G150" s="39" t="str">
        <f>VLOOKUP(E150,Mapping!$E$11:$G$96,3,0)</f>
        <v>Replacement</v>
      </c>
      <c r="H150" s="39" t="str">
        <f>VLOOKUP(E150,Mapping!$E$11:$K$96,7,0)</f>
        <v>SCS</v>
      </c>
      <c r="I150" s="55">
        <f>SUMPRODUCT(--('Input|Historical Data'!$E$9:$E$3279=$E150),--('Input|Historical Data'!$O$9:$O$3279="SCS"),'Input|Historical Data'!$I$9:$I$3279)+SUMPRODUCT(--('Input|Customer Contributions'!$E$9:$E$21=$E150),'Input|Customer Contributions'!J$9:J$21)</f>
        <v>30.249080000000003</v>
      </c>
      <c r="J150" s="55">
        <f>SUMPRODUCT(--('Input|Historical Data'!$Q$9:$Q$3280=$E150),--('Input|Historical Data'!$AA$9:$AA$3280="SCS"),'Input|Historical Data'!$U$9:$U$3280)+SUMPRODUCT(--('Input|Customer Contributions'!$E$9:$E$21=$E150),'Input|Customer Contributions'!K$9:K$21)</f>
        <v>38.30519000000001</v>
      </c>
      <c r="K150" s="55">
        <f>SUMPRODUCT(--('Input|Historical Data'!$AC$9:$AC$3279=$E150),--('Input|Historical Data'!$AM$9:$AM$3279="SCS"),'Input|Historical Data'!$AG$9:$AG$3279)+SUMPRODUCT(--('Input|Customer Contributions'!$E$9:$E$21=$E150),'Input|Customer Contributions'!L$9:L$21)</f>
        <v>69.202149999999989</v>
      </c>
      <c r="L150" s="55">
        <f>SUMPRODUCT(--('Input|Historical Data'!$AO$9:$AO$3279=$E150),--('Input|Historical Data'!$AY$9:$AY$3279="SCS"),'Input|Historical Data'!$AS$9:$AS$3279)+SUMPRODUCT(--('Input|Customer Contributions'!$E$9:$E$21=$E150),'Input|Customer Contributions'!M$9:M$21)</f>
        <v>0</v>
      </c>
      <c r="M150" s="44">
        <f>M61+((M61/SUM(M$9:M$80))*'Calc|Overheads'!M$12)</f>
        <v>0</v>
      </c>
      <c r="N150" s="44">
        <f>N61+((N61/SUM(N$9:N$80))*'Calc|Overheads'!N$12)</f>
        <v>1153.8284920716676</v>
      </c>
      <c r="O150" s="44">
        <f>O61+((O61/SUM(O$9:O$80))*'Calc|Overheads'!O$12)</f>
        <v>129.5171566489249</v>
      </c>
      <c r="P150" s="44">
        <f>P61+((P61/SUM(P$9:P$80))*'Calc|Overheads'!P$12)</f>
        <v>127.34945091653906</v>
      </c>
      <c r="Q150" s="44">
        <f>Q61+((Q61/SUM(Q$9:Q$80))*'Calc|Overheads'!Q$12)</f>
        <v>128.33913927368732</v>
      </c>
      <c r="R150" s="44">
        <f>R61+((R61/SUM(R$9:R$80))*'Calc|Overheads'!R$12)</f>
        <v>128.95775734250924</v>
      </c>
      <c r="S150" s="44">
        <f>S61+((S61/SUM(S$9:S$80))*'Calc|Overheads'!S$12)</f>
        <v>129.68550153482784</v>
      </c>
      <c r="T150" s="7"/>
      <c r="U150" s="7"/>
    </row>
    <row r="151" spans="1:21" x14ac:dyDescent="0.2">
      <c r="A151" s="7"/>
      <c r="B151" s="7"/>
      <c r="C151" s="7"/>
      <c r="D151" s="7"/>
      <c r="E151" s="39">
        <v>159</v>
      </c>
      <c r="F151" s="39" t="s">
        <v>2267</v>
      </c>
      <c r="G151" s="39" t="str">
        <f>VLOOKUP(E151,Mapping!$E$11:$G$96,3,0)</f>
        <v>Augmentation</v>
      </c>
      <c r="H151" s="39" t="str">
        <f>VLOOKUP(E151,Mapping!$E$11:$K$96,7,0)</f>
        <v>SCADA/Network control</v>
      </c>
      <c r="I151" s="55">
        <f>SUMPRODUCT(--('Input|Historical Data'!$E$9:$E$3279=$E151),--('Input|Historical Data'!$O$9:$O$3279="SCS"),'Input|Historical Data'!$I$9:$I$3279)+SUMPRODUCT(--('Input|Customer Contributions'!$E$9:$E$21=$E151),'Input|Customer Contributions'!J$9:J$21)</f>
        <v>0</v>
      </c>
      <c r="J151" s="55">
        <f>SUMPRODUCT(--('Input|Historical Data'!$Q$9:$Q$3280=$E151),--('Input|Historical Data'!$AA$9:$AA$3280="SCS"),'Input|Historical Data'!$U$9:$U$3280)+SUMPRODUCT(--('Input|Customer Contributions'!$E$9:$E$21=$E151),'Input|Customer Contributions'!K$9:K$21)</f>
        <v>0</v>
      </c>
      <c r="K151" s="55">
        <f>SUMPRODUCT(--('Input|Historical Data'!$AC$9:$AC$3279=$E151),--('Input|Historical Data'!$AM$9:$AM$3279="SCS"),'Input|Historical Data'!$AG$9:$AG$3279)+SUMPRODUCT(--('Input|Customer Contributions'!$E$9:$E$21=$E151),'Input|Customer Contributions'!L$9:L$21)</f>
        <v>0</v>
      </c>
      <c r="L151" s="55">
        <f>SUMPRODUCT(--('Input|Historical Data'!$AO$9:$AO$3279=$E151),--('Input|Historical Data'!$AY$9:$AY$3279="SCS"),'Input|Historical Data'!$AS$9:$AS$3279)+SUMPRODUCT(--('Input|Customer Contributions'!$E$9:$E$21=$E151),'Input|Customer Contributions'!M$9:M$21)</f>
        <v>0</v>
      </c>
      <c r="M151" s="44">
        <f>M62+((M62/SUM(M$9:M$80))*'Calc|Overheads'!M$12)</f>
        <v>0</v>
      </c>
      <c r="N151" s="44">
        <f>N62+((N62/SUM(N$9:N$80))*'Calc|Overheads'!N$12)</f>
        <v>0</v>
      </c>
      <c r="O151" s="44">
        <f>O62+((O62/SUM(O$9:O$80))*'Calc|Overheads'!O$12)</f>
        <v>0</v>
      </c>
      <c r="P151" s="44">
        <f>P62+((P62/SUM(P$9:P$80))*'Calc|Overheads'!P$12)</f>
        <v>0</v>
      </c>
      <c r="Q151" s="44">
        <f>Q62+((Q62/SUM(Q$9:Q$80))*'Calc|Overheads'!Q$12)</f>
        <v>0</v>
      </c>
      <c r="R151" s="44">
        <f>R62+((R62/SUM(R$9:R$80))*'Calc|Overheads'!R$12)</f>
        <v>0</v>
      </c>
      <c r="S151" s="44">
        <f>S62+((S62/SUM(S$9:S$80))*'Calc|Overheads'!S$12)</f>
        <v>0</v>
      </c>
      <c r="T151" s="7"/>
      <c r="U151" s="7"/>
    </row>
    <row r="152" spans="1:21" x14ac:dyDescent="0.2">
      <c r="A152" s="7"/>
      <c r="B152" s="7"/>
      <c r="C152" s="7"/>
      <c r="D152" s="7"/>
      <c r="E152" s="39">
        <v>160</v>
      </c>
      <c r="F152" s="39" t="s">
        <v>2268</v>
      </c>
      <c r="G152" s="39" t="str">
        <f>VLOOKUP(E152,Mapping!$E$11:$G$96,3,0)</f>
        <v>Augmentation</v>
      </c>
      <c r="H152" s="39" t="str">
        <f>VLOOKUP(E152,Mapping!$E$11:$K$96,7,0)</f>
        <v>SCS</v>
      </c>
      <c r="I152" s="55">
        <f>SUMPRODUCT(--('Input|Historical Data'!$E$9:$E$3279=$E152),--('Input|Historical Data'!$O$9:$O$3279="SCS"),'Input|Historical Data'!$I$9:$I$3279)+SUMPRODUCT(--('Input|Customer Contributions'!$E$9:$E$21=$E152),'Input|Customer Contributions'!J$9:J$21)</f>
        <v>1573.6193600000004</v>
      </c>
      <c r="J152" s="55">
        <f>SUMPRODUCT(--('Input|Historical Data'!$Q$9:$Q$3280=$E152),--('Input|Historical Data'!$AA$9:$AA$3280="SCS"),'Input|Historical Data'!$U$9:$U$3280)+SUMPRODUCT(--('Input|Customer Contributions'!$E$9:$E$21=$E152),'Input|Customer Contributions'!K$9:K$21)</f>
        <v>726.93330000000014</v>
      </c>
      <c r="K152" s="55">
        <f>SUMPRODUCT(--('Input|Historical Data'!$AC$9:$AC$3279=$E152),--('Input|Historical Data'!$AM$9:$AM$3279="SCS"),'Input|Historical Data'!$AG$9:$AG$3279)+SUMPRODUCT(--('Input|Customer Contributions'!$E$9:$E$21=$E152),'Input|Customer Contributions'!L$9:L$21)</f>
        <v>1170.0449500000002</v>
      </c>
      <c r="L152" s="55">
        <f>SUMPRODUCT(--('Input|Historical Data'!$AO$9:$AO$3279=$E152),--('Input|Historical Data'!$AY$9:$AY$3279="SCS"),'Input|Historical Data'!$AS$9:$AS$3279)+SUMPRODUCT(--('Input|Customer Contributions'!$E$9:$E$21=$E152),'Input|Customer Contributions'!M$9:M$21)</f>
        <v>2517.8412699999994</v>
      </c>
      <c r="M152" s="44">
        <f>M63+((M63/SUM(M$9:M$80))*'Calc|Overheads'!M$12)</f>
        <v>1701.4534356729278</v>
      </c>
      <c r="N152" s="44">
        <f>N63+((N63/SUM(N$9:N$80))*'Calc|Overheads'!N$12)</f>
        <v>1949.7714726879858</v>
      </c>
      <c r="O152" s="44">
        <f>O63+((O63/SUM(O$9:O$80))*'Calc|Overheads'!O$12)</f>
        <v>5878.384779498685</v>
      </c>
      <c r="P152" s="44">
        <f>P63+((P63/SUM(P$9:P$80))*'Calc|Overheads'!P$12)</f>
        <v>5526.3752853882434</v>
      </c>
      <c r="Q152" s="44">
        <f>Q63+((Q63/SUM(Q$9:Q$80))*'Calc|Overheads'!Q$12)</f>
        <v>5875.9632465620289</v>
      </c>
      <c r="R152" s="44">
        <f>R63+((R63/SUM(R$9:R$80))*'Calc|Overheads'!R$12)</f>
        <v>5901.4163131045698</v>
      </c>
      <c r="S152" s="44">
        <f>S63+((S63/SUM(S$9:S$80))*'Calc|Overheads'!S$12)</f>
        <v>6047.559611533341</v>
      </c>
      <c r="T152" s="7"/>
      <c r="U152" s="7"/>
    </row>
    <row r="153" spans="1:21" x14ac:dyDescent="0.2">
      <c r="A153" s="7"/>
      <c r="B153" s="7"/>
      <c r="C153" s="7"/>
      <c r="D153" s="7"/>
      <c r="E153" s="39">
        <v>161</v>
      </c>
      <c r="F153" s="39" t="s">
        <v>2269</v>
      </c>
      <c r="G153" s="39" t="str">
        <f>VLOOKUP(E153,Mapping!$E$11:$G$96,3,0)</f>
        <v>Augmentation</v>
      </c>
      <c r="H153" s="39" t="str">
        <f>VLOOKUP(E153,Mapping!$E$11:$K$96,7,0)</f>
        <v>SCS</v>
      </c>
      <c r="I153" s="55">
        <f>SUMPRODUCT(--('Input|Historical Data'!$E$9:$E$3279=$E153),--('Input|Historical Data'!$O$9:$O$3279="SCS"),'Input|Historical Data'!$I$9:$I$3279)+SUMPRODUCT(--('Input|Customer Contributions'!$E$9:$E$21=$E153),'Input|Customer Contributions'!J$9:J$21)</f>
        <v>13260.784000000003</v>
      </c>
      <c r="J153" s="55">
        <f>SUMPRODUCT(--('Input|Historical Data'!$Q$9:$Q$3280=$E153),--('Input|Historical Data'!$AA$9:$AA$3280="SCS"),'Input|Historical Data'!$U$9:$U$3280)+SUMPRODUCT(--('Input|Customer Contributions'!$E$9:$E$21=$E153),'Input|Customer Contributions'!K$9:K$21)</f>
        <v>6535.0168499999991</v>
      </c>
      <c r="K153" s="55">
        <f>SUMPRODUCT(--('Input|Historical Data'!$AC$9:$AC$3279=$E153),--('Input|Historical Data'!$AM$9:$AM$3279="SCS"),'Input|Historical Data'!$AG$9:$AG$3279)+SUMPRODUCT(--('Input|Customer Contributions'!$E$9:$E$21=$E153),'Input|Customer Contributions'!L$9:L$21)</f>
        <v>7423.9801200000038</v>
      </c>
      <c r="L153" s="55">
        <f>SUMPRODUCT(--('Input|Historical Data'!$AO$9:$AO$3279=$E153),--('Input|Historical Data'!$AY$9:$AY$3279="SCS"),'Input|Historical Data'!$AS$9:$AS$3279)+SUMPRODUCT(--('Input|Customer Contributions'!$E$9:$E$21=$E153),'Input|Customer Contributions'!M$9:M$21)</f>
        <v>4521.2564199999979</v>
      </c>
      <c r="M153" s="44">
        <f>M64+((M64/SUM(M$9:M$80))*'Calc|Overheads'!M$12)</f>
        <v>5344.3252986179232</v>
      </c>
      <c r="N153" s="44">
        <f>N64+((N64/SUM(N$9:N$80))*'Calc|Overheads'!N$12)</f>
        <v>7126.700296318897</v>
      </c>
      <c r="O153" s="44">
        <f>O64+((O64/SUM(O$9:O$80))*'Calc|Overheads'!O$12)</f>
        <v>331.11484045169897</v>
      </c>
      <c r="P153" s="44">
        <f>P64+((P64/SUM(P$9:P$80))*'Calc|Overheads'!P$12)</f>
        <v>118.30894454082808</v>
      </c>
      <c r="Q153" s="44">
        <f>Q64+((Q64/SUM(Q$9:Q$80))*'Calc|Overheads'!Q$12)</f>
        <v>2265.3391281073114</v>
      </c>
      <c r="R153" s="44">
        <f>R64+((R64/SUM(R$9:R$80))*'Calc|Overheads'!R$12)</f>
        <v>2509.0593746830036</v>
      </c>
      <c r="S153" s="44">
        <f>S64+((S64/SUM(S$9:S$80))*'Calc|Overheads'!S$12)</f>
        <v>3193.6255804946672</v>
      </c>
      <c r="T153" s="7"/>
      <c r="U153" s="7"/>
    </row>
    <row r="154" spans="1:21" x14ac:dyDescent="0.2">
      <c r="A154" s="7"/>
      <c r="B154" s="7"/>
      <c r="C154" s="7"/>
      <c r="D154" s="7"/>
      <c r="E154" s="75" t="s">
        <v>2405</v>
      </c>
      <c r="F154" s="39" t="s">
        <v>2269</v>
      </c>
      <c r="G154" s="39" t="str">
        <f>VLOOKUP(E154,Mapping!$E$11:$G$96,3,0)</f>
        <v>Land</v>
      </c>
      <c r="H154" s="39" t="str">
        <f>VLOOKUP(E154,Mapping!$E$11:$K$96,7,0)</f>
        <v>Land</v>
      </c>
      <c r="I154" s="121">
        <f>I65</f>
        <v>0</v>
      </c>
      <c r="J154" s="121">
        <f t="shared" ref="J154:K154" si="2">J65</f>
        <v>24630.534</v>
      </c>
      <c r="K154" s="121">
        <f t="shared" si="2"/>
        <v>0</v>
      </c>
      <c r="L154" s="121">
        <f t="shared" ref="L154" si="3">L65</f>
        <v>0</v>
      </c>
      <c r="M154" s="44">
        <f>M65+((M65/SUM(M$9:M$80))*'Calc|Overheads'!M$12)</f>
        <v>0</v>
      </c>
      <c r="N154" s="44">
        <f>N65+((N65/SUM(N$9:N$80))*'Calc|Overheads'!N$12)</f>
        <v>0</v>
      </c>
      <c r="O154" s="44">
        <f>O65+((O65/SUM(O$9:O$80))*'Calc|Overheads'!O$12)</f>
        <v>0</v>
      </c>
      <c r="P154" s="44">
        <f>P65+((P65/SUM(P$9:P$80))*'Calc|Overheads'!P$12)</f>
        <v>0</v>
      </c>
      <c r="Q154" s="44">
        <f>Q65+((Q65/SUM(Q$9:Q$80))*'Calc|Overheads'!Q$12)</f>
        <v>0</v>
      </c>
      <c r="R154" s="44">
        <f>R65+((R65/SUM(R$9:R$80))*'Calc|Overheads'!R$12)</f>
        <v>0</v>
      </c>
      <c r="S154" s="44">
        <f>S65+((S65/SUM(S$9:S$80))*'Calc|Overheads'!S$12)</f>
        <v>0</v>
      </c>
      <c r="T154" s="7"/>
      <c r="U154" s="7"/>
    </row>
    <row r="155" spans="1:21" x14ac:dyDescent="0.2">
      <c r="A155" s="7"/>
      <c r="B155" s="7"/>
      <c r="C155" s="7"/>
      <c r="D155" s="7"/>
      <c r="E155" s="39">
        <v>162</v>
      </c>
      <c r="F155" s="39" t="s">
        <v>2270</v>
      </c>
      <c r="G155" s="39" t="str">
        <f>VLOOKUP(E155,Mapping!$E$11:$G$96,3,0)</f>
        <v>Augmentation</v>
      </c>
      <c r="H155" s="39" t="str">
        <f>VLOOKUP(E155,Mapping!$E$11:$K$96,7,0)</f>
        <v>SCS</v>
      </c>
      <c r="I155" s="55">
        <f>SUMPRODUCT(--('Input|Historical Data'!$E$9:$E$3279=$E155),--('Input|Historical Data'!$O$9:$O$3279="SCS"),'Input|Historical Data'!$I$9:$I$3279)+SUMPRODUCT(--('Input|Customer Contributions'!$E$9:$E$21=$E155),'Input|Customer Contributions'!J$9:J$21)</f>
        <v>20308.094170000004</v>
      </c>
      <c r="J155" s="55">
        <f>SUMPRODUCT(--('Input|Historical Data'!$Q$9:$Q$3280=$E155),--('Input|Historical Data'!$AA$9:$AA$3280="SCS"),'Input|Historical Data'!$U$9:$U$3280)+SUMPRODUCT(--('Input|Customer Contributions'!$E$9:$E$21=$E155),'Input|Customer Contributions'!K$9:K$21)</f>
        <v>8952.464179999999</v>
      </c>
      <c r="K155" s="55">
        <f>SUMPRODUCT(--('Input|Historical Data'!$AC$9:$AC$3279=$E155),--('Input|Historical Data'!$AM$9:$AM$3279="SCS"),'Input|Historical Data'!$AG$9:$AG$3279)+SUMPRODUCT(--('Input|Customer Contributions'!$E$9:$E$21=$E155),'Input|Customer Contributions'!L$9:L$21)</f>
        <v>5504.2144300000009</v>
      </c>
      <c r="L155" s="55">
        <f>SUMPRODUCT(--('Input|Historical Data'!$AO$9:$AO$3279=$E155),--('Input|Historical Data'!$AY$9:$AY$3279="SCS"),'Input|Historical Data'!$AS$9:$AS$3279)+SUMPRODUCT(--('Input|Customer Contributions'!$E$9:$E$21=$E155),'Input|Customer Contributions'!M$9:M$21)</f>
        <v>9361.037460000005</v>
      </c>
      <c r="M155" s="44">
        <f>M66+((M66/SUM(M$9:M$80))*'Calc|Overheads'!M$12)</f>
        <v>22593.535541694491</v>
      </c>
      <c r="N155" s="44">
        <f>N66+((N66/SUM(N$9:N$80))*'Calc|Overheads'!N$12)</f>
        <v>52238.885397992555</v>
      </c>
      <c r="O155" s="44">
        <f>O66+((O66/SUM(O$9:O$80))*'Calc|Overheads'!O$12)</f>
        <v>34880.45469236654</v>
      </c>
      <c r="P155" s="44">
        <f>P66+((P66/SUM(P$9:P$80))*'Calc|Overheads'!P$12)</f>
        <v>12784.77323209906</v>
      </c>
      <c r="Q155" s="44">
        <f>Q66+((Q66/SUM(Q$9:Q$80))*'Calc|Overheads'!Q$12)</f>
        <v>5901.8045705953637</v>
      </c>
      <c r="R155" s="44">
        <f>R66+((R66/SUM(R$9:R$80))*'Calc|Overheads'!R$12)</f>
        <v>10122.225855090077</v>
      </c>
      <c r="S155" s="44">
        <f>S66+((S66/SUM(S$9:S$80))*'Calc|Overheads'!S$12)</f>
        <v>7276.1410335720084</v>
      </c>
      <c r="T155" s="7"/>
      <c r="U155" s="7"/>
    </row>
    <row r="156" spans="1:21" x14ac:dyDescent="0.2">
      <c r="A156" s="7"/>
      <c r="B156" s="7"/>
      <c r="C156" s="7"/>
      <c r="D156" s="7"/>
      <c r="E156" s="39">
        <v>163</v>
      </c>
      <c r="F156" s="39" t="s">
        <v>2271</v>
      </c>
      <c r="G156" s="39" t="str">
        <f>VLOOKUP(E156,Mapping!$E$11:$G$96,3,0)</f>
        <v>Replacement</v>
      </c>
      <c r="H156" s="39" t="str">
        <f>VLOOKUP(E156,Mapping!$E$11:$K$96,7,0)</f>
        <v>SCS</v>
      </c>
      <c r="I156" s="55">
        <f>SUMPRODUCT(--('Input|Historical Data'!$E$9:$E$3279=$E156),--('Input|Historical Data'!$O$9:$O$3279="SCS"),'Input|Historical Data'!$I$9:$I$3279)+SUMPRODUCT(--('Input|Customer Contributions'!$E$9:$E$21=$E156),'Input|Customer Contributions'!J$9:J$21)</f>
        <v>1032.04908</v>
      </c>
      <c r="J156" s="55">
        <f>SUMPRODUCT(--('Input|Historical Data'!$Q$9:$Q$3280=$E156),--('Input|Historical Data'!$AA$9:$AA$3280="SCS"),'Input|Historical Data'!$U$9:$U$3280)+SUMPRODUCT(--('Input|Customer Contributions'!$E$9:$E$21=$E156),'Input|Customer Contributions'!K$9:K$21)</f>
        <v>-23.084049999999998</v>
      </c>
      <c r="K156" s="55">
        <f>SUMPRODUCT(--('Input|Historical Data'!$AC$9:$AC$3279=$E156),--('Input|Historical Data'!$AM$9:$AM$3279="SCS"),'Input|Historical Data'!$AG$9:$AG$3279)+SUMPRODUCT(--('Input|Customer Contributions'!$E$9:$E$21=$E156),'Input|Customer Contributions'!L$9:L$21)</f>
        <v>171.14122999999998</v>
      </c>
      <c r="L156" s="55">
        <f>SUMPRODUCT(--('Input|Historical Data'!$AO$9:$AO$3279=$E156),--('Input|Historical Data'!$AY$9:$AY$3279="SCS"),'Input|Historical Data'!$AS$9:$AS$3279)+SUMPRODUCT(--('Input|Customer Contributions'!$E$9:$E$21=$E156),'Input|Customer Contributions'!M$9:M$21)</f>
        <v>1477.4754500000004</v>
      </c>
      <c r="M156" s="44">
        <f>M67+((M67/SUM(M$9:M$80))*'Calc|Overheads'!M$12)</f>
        <v>2485.628839441632</v>
      </c>
      <c r="N156" s="44">
        <f>N67+((N67/SUM(N$9:N$80))*'Calc|Overheads'!N$12)</f>
        <v>3236.6494860057915</v>
      </c>
      <c r="O156" s="44">
        <f>O67+((O67/SUM(O$9:O$80))*'Calc|Overheads'!O$12)</f>
        <v>1034.4972906984428</v>
      </c>
      <c r="P156" s="44">
        <f>P67+((P67/SUM(P$9:P$80))*'Calc|Overheads'!P$12)</f>
        <v>1017.1830926014044</v>
      </c>
      <c r="Q156" s="44">
        <f>Q67+((Q67/SUM(Q$9:Q$80))*'Calc|Overheads'!Q$12)</f>
        <v>1025.0880679003983</v>
      </c>
      <c r="R156" s="44">
        <f>R67+((R67/SUM(R$9:R$80))*'Calc|Overheads'!R$12)</f>
        <v>1030.0291794313443</v>
      </c>
      <c r="S156" s="44">
        <f>S67+((S67/SUM(S$9:S$80))*'Calc|Overheads'!S$12)</f>
        <v>1035.8419181815925</v>
      </c>
      <c r="T156" s="7"/>
      <c r="U156" s="7"/>
    </row>
    <row r="157" spans="1:21" x14ac:dyDescent="0.2">
      <c r="A157" s="7"/>
      <c r="B157" s="7"/>
      <c r="C157" s="7"/>
      <c r="D157" s="7"/>
      <c r="E157" s="39">
        <v>164</v>
      </c>
      <c r="F157" s="39" t="s">
        <v>2272</v>
      </c>
      <c r="G157" s="39" t="str">
        <f>VLOOKUP(E157,Mapping!$E$11:$G$96,3,0)</f>
        <v>Replacement</v>
      </c>
      <c r="H157" s="39" t="str">
        <f>VLOOKUP(E157,Mapping!$E$11:$K$96,7,0)</f>
        <v>SCS</v>
      </c>
      <c r="I157" s="55">
        <f>SUMPRODUCT(--('Input|Historical Data'!$E$9:$E$3279=$E157),--('Input|Historical Data'!$O$9:$O$3279="SCS"),'Input|Historical Data'!$I$9:$I$3279)+SUMPRODUCT(--('Input|Customer Contributions'!$E$9:$E$21=$E157),'Input|Customer Contributions'!J$9:J$21)</f>
        <v>0</v>
      </c>
      <c r="J157" s="55">
        <f>SUMPRODUCT(--('Input|Historical Data'!$Q$9:$Q$3280=$E157),--('Input|Historical Data'!$AA$9:$AA$3280="SCS"),'Input|Historical Data'!$U$9:$U$3280)+SUMPRODUCT(--('Input|Customer Contributions'!$E$9:$E$21=$E157),'Input|Customer Contributions'!K$9:K$21)</f>
        <v>0</v>
      </c>
      <c r="K157" s="55">
        <f>SUMPRODUCT(--('Input|Historical Data'!$AC$9:$AC$3279=$E157),--('Input|Historical Data'!$AM$9:$AM$3279="SCS"),'Input|Historical Data'!$AG$9:$AG$3279)+SUMPRODUCT(--('Input|Customer Contributions'!$E$9:$E$21=$E157),'Input|Customer Contributions'!L$9:L$21)</f>
        <v>0</v>
      </c>
      <c r="L157" s="55">
        <f>SUMPRODUCT(--('Input|Historical Data'!$AO$9:$AO$3279=$E157),--('Input|Historical Data'!$AY$9:$AY$3279="SCS"),'Input|Historical Data'!$AS$9:$AS$3279)+SUMPRODUCT(--('Input|Customer Contributions'!$E$9:$E$21=$E157),'Input|Customer Contributions'!M$9:M$21)</f>
        <v>0</v>
      </c>
      <c r="M157" s="44">
        <f>M68+((M68/SUM(M$9:M$80))*'Calc|Overheads'!M$12)</f>
        <v>0</v>
      </c>
      <c r="N157" s="44">
        <f>N68+((N68/SUM(N$9:N$80))*'Calc|Overheads'!N$12)</f>
        <v>0</v>
      </c>
      <c r="O157" s="44">
        <f>O68+((O68/SUM(O$9:O$80))*'Calc|Overheads'!O$12)</f>
        <v>0</v>
      </c>
      <c r="P157" s="44">
        <f>P68+((P68/SUM(P$9:P$80))*'Calc|Overheads'!P$12)</f>
        <v>0</v>
      </c>
      <c r="Q157" s="44">
        <f>Q68+((Q68/SUM(Q$9:Q$80))*'Calc|Overheads'!Q$12)</f>
        <v>0</v>
      </c>
      <c r="R157" s="44">
        <f>R68+((R68/SUM(R$9:R$80))*'Calc|Overheads'!R$12)</f>
        <v>0</v>
      </c>
      <c r="S157" s="44">
        <f>S68+((S68/SUM(S$9:S$80))*'Calc|Overheads'!S$12)</f>
        <v>0</v>
      </c>
      <c r="T157" s="7"/>
      <c r="U157" s="7"/>
    </row>
    <row r="158" spans="1:21" x14ac:dyDescent="0.2">
      <c r="A158" s="7"/>
      <c r="B158" s="7"/>
      <c r="C158" s="7"/>
      <c r="D158" s="7"/>
      <c r="E158" s="39">
        <v>165</v>
      </c>
      <c r="F158" s="39" t="s">
        <v>2273</v>
      </c>
      <c r="G158" s="39" t="str">
        <f>VLOOKUP(E158,Mapping!$E$11:$G$96,3,0)</f>
        <v>Replacement</v>
      </c>
      <c r="H158" s="39" t="str">
        <f>VLOOKUP(E158,Mapping!$E$11:$K$96,7,0)</f>
        <v>SCS</v>
      </c>
      <c r="I158" s="55">
        <f>SUMPRODUCT(--('Input|Historical Data'!$E$9:$E$3279=$E158),--('Input|Historical Data'!$O$9:$O$3279="SCS"),'Input|Historical Data'!$I$9:$I$3279)+SUMPRODUCT(--('Input|Customer Contributions'!$E$9:$E$21=$E158),'Input|Customer Contributions'!J$9:J$21)</f>
        <v>0</v>
      </c>
      <c r="J158" s="55">
        <f>SUMPRODUCT(--('Input|Historical Data'!$Q$9:$Q$3280=$E158),--('Input|Historical Data'!$AA$9:$AA$3280="SCS"),'Input|Historical Data'!$U$9:$U$3280)+SUMPRODUCT(--('Input|Customer Contributions'!$E$9:$E$21=$E158),'Input|Customer Contributions'!K$9:K$21)</f>
        <v>0</v>
      </c>
      <c r="K158" s="55">
        <f>SUMPRODUCT(--('Input|Historical Data'!$AC$9:$AC$3279=$E158),--('Input|Historical Data'!$AM$9:$AM$3279="SCS"),'Input|Historical Data'!$AG$9:$AG$3279)+SUMPRODUCT(--('Input|Customer Contributions'!$E$9:$E$21=$E158),'Input|Customer Contributions'!L$9:L$21)</f>
        <v>29.358549999999997</v>
      </c>
      <c r="L158" s="55">
        <f>SUMPRODUCT(--('Input|Historical Data'!$AO$9:$AO$3279=$E158),--('Input|Historical Data'!$AY$9:$AY$3279="SCS"),'Input|Historical Data'!$AS$9:$AS$3279)+SUMPRODUCT(--('Input|Customer Contributions'!$E$9:$E$21=$E158),'Input|Customer Contributions'!M$9:M$21)</f>
        <v>-208.17063999999999</v>
      </c>
      <c r="M158" s="44">
        <f>M69+((M69/SUM(M$9:M$80))*'Calc|Overheads'!M$12)</f>
        <v>-6.8446701021045468</v>
      </c>
      <c r="N158" s="44">
        <f>N69+((N69/SUM(N$9:N$80))*'Calc|Overheads'!N$12)</f>
        <v>0</v>
      </c>
      <c r="O158" s="44">
        <f>O69+((O69/SUM(O$9:O$80))*'Calc|Overheads'!O$12)</f>
        <v>0</v>
      </c>
      <c r="P158" s="44">
        <f>P69+((P69/SUM(P$9:P$80))*'Calc|Overheads'!P$12)</f>
        <v>0</v>
      </c>
      <c r="Q158" s="44">
        <f>Q69+((Q69/SUM(Q$9:Q$80))*'Calc|Overheads'!Q$12)</f>
        <v>0</v>
      </c>
      <c r="R158" s="44">
        <f>R69+((R69/SUM(R$9:R$80))*'Calc|Overheads'!R$12)</f>
        <v>0</v>
      </c>
      <c r="S158" s="44">
        <f>S69+((S69/SUM(S$9:S$80))*'Calc|Overheads'!S$12)</f>
        <v>0</v>
      </c>
      <c r="T158" s="7"/>
      <c r="U158" s="7"/>
    </row>
    <row r="159" spans="1:21" x14ac:dyDescent="0.2">
      <c r="A159" s="7"/>
      <c r="B159" s="7"/>
      <c r="C159" s="7"/>
      <c r="D159" s="7"/>
      <c r="E159" s="39">
        <v>166</v>
      </c>
      <c r="F159" s="39" t="s">
        <v>2274</v>
      </c>
      <c r="G159" s="39" t="str">
        <f>VLOOKUP(E159,Mapping!$E$11:$G$96,3,0)</f>
        <v>Augmentation</v>
      </c>
      <c r="H159" s="39" t="str">
        <f>VLOOKUP(E159,Mapping!$E$11:$K$96,7,0)</f>
        <v>SCS</v>
      </c>
      <c r="I159" s="55">
        <f>SUMPRODUCT(--('Input|Historical Data'!$E$9:$E$3279=$E159),--('Input|Historical Data'!$O$9:$O$3279="SCS"),'Input|Historical Data'!$I$9:$I$3279)+SUMPRODUCT(--('Input|Customer Contributions'!$E$9:$E$21=$E159),'Input|Customer Contributions'!J$9:J$21)</f>
        <v>18.980269999999994</v>
      </c>
      <c r="J159" s="55">
        <f>SUMPRODUCT(--('Input|Historical Data'!$Q$9:$Q$3280=$E159),--('Input|Historical Data'!$AA$9:$AA$3280="SCS"),'Input|Historical Data'!$U$9:$U$3280)+SUMPRODUCT(--('Input|Customer Contributions'!$E$9:$E$21=$E159),'Input|Customer Contributions'!K$9:K$21)</f>
        <v>1.31457</v>
      </c>
      <c r="K159" s="55">
        <f>SUMPRODUCT(--('Input|Historical Data'!$AC$9:$AC$3279=$E159),--('Input|Historical Data'!$AM$9:$AM$3279="SCS"),'Input|Historical Data'!$AG$9:$AG$3279)+SUMPRODUCT(--('Input|Customer Contributions'!$E$9:$E$21=$E159),'Input|Customer Contributions'!L$9:L$21)</f>
        <v>344.95032999999989</v>
      </c>
      <c r="L159" s="55">
        <f>SUMPRODUCT(--('Input|Historical Data'!$AO$9:$AO$3279=$E159),--('Input|Historical Data'!$AY$9:$AY$3279="SCS"),'Input|Historical Data'!$AS$9:$AS$3279)+SUMPRODUCT(--('Input|Customer Contributions'!$E$9:$E$21=$E159),'Input|Customer Contributions'!M$9:M$21)</f>
        <v>270.50956999999988</v>
      </c>
      <c r="M159" s="44">
        <f>M70+((M70/SUM(M$9:M$80))*'Calc|Overheads'!M$12)</f>
        <v>653.36115795972978</v>
      </c>
      <c r="N159" s="44">
        <f>N70+((N70/SUM(N$9:N$80))*'Calc|Overheads'!N$12)</f>
        <v>1098.0567985193481</v>
      </c>
      <c r="O159" s="44">
        <f>O70+((O70/SUM(O$9:O$80))*'Calc|Overheads'!O$12)</f>
        <v>0</v>
      </c>
      <c r="P159" s="44">
        <f>P70+((P70/SUM(P$9:P$80))*'Calc|Overheads'!P$12)</f>
        <v>0</v>
      </c>
      <c r="Q159" s="44">
        <f>Q70+((Q70/SUM(Q$9:Q$80))*'Calc|Overheads'!Q$12)</f>
        <v>0</v>
      </c>
      <c r="R159" s="44">
        <f>R70+((R70/SUM(R$9:R$80))*'Calc|Overheads'!R$12)</f>
        <v>0</v>
      </c>
      <c r="S159" s="44">
        <f>S70+((S70/SUM(S$9:S$80))*'Calc|Overheads'!S$12)</f>
        <v>0</v>
      </c>
      <c r="T159" s="7"/>
      <c r="U159" s="7"/>
    </row>
    <row r="160" spans="1:21" x14ac:dyDescent="0.2">
      <c r="A160" s="7"/>
      <c r="B160" s="7"/>
      <c r="C160" s="7"/>
      <c r="D160" s="7"/>
      <c r="E160" s="39">
        <v>167</v>
      </c>
      <c r="F160" s="39" t="s">
        <v>39</v>
      </c>
      <c r="G160" s="39" t="str">
        <f>VLOOKUP(E160,Mapping!$E$11:$G$96,3,0)</f>
        <v>VBRC Calc</v>
      </c>
      <c r="H160" s="39" t="str">
        <f>VLOOKUP(E160,Mapping!$E$11:$K$96,7,0)</f>
        <v>VBRC Calc</v>
      </c>
      <c r="I160" s="55">
        <f>SUMPRODUCT(--('Input|Historical Data'!$E$9:$E$3279=$E160),--('Input|Historical Data'!$O$9:$O$3279="SCS"),'Input|Historical Data'!$I$9:$I$3279)+SUMPRODUCT(--('Input|Customer Contributions'!$E$9:$E$21=$E160),'Input|Customer Contributions'!J$9:J$21)</f>
        <v>0</v>
      </c>
      <c r="J160" s="55">
        <f>SUMPRODUCT(--('Input|Historical Data'!$Q$9:$Q$3280=$E160),--('Input|Historical Data'!$AA$9:$AA$3280="SCS"),'Input|Historical Data'!$U$9:$U$3280)+SUMPRODUCT(--('Input|Customer Contributions'!$E$9:$E$21=$E160),'Input|Customer Contributions'!K$9:K$21)</f>
        <v>0</v>
      </c>
      <c r="K160" s="55">
        <f>SUMPRODUCT(--('Input|Historical Data'!$AC$9:$AC$3279=$E160),--('Input|Historical Data'!$AM$9:$AM$3279="SCS"),'Input|Historical Data'!$AG$9:$AG$3279)+SUMPRODUCT(--('Input|Customer Contributions'!$E$9:$E$21=$E160),'Input|Customer Contributions'!L$9:L$21)</f>
        <v>0</v>
      </c>
      <c r="L160" s="55">
        <f>SUMPRODUCT(--('Input|Historical Data'!$AO$9:$AO$3279=$E160),--('Input|Historical Data'!$AY$9:$AY$3279="SCS"),'Input|Historical Data'!$AS$9:$AS$3279)+SUMPRODUCT(--('Input|Customer Contributions'!$E$9:$E$21=$E160),'Input|Customer Contributions'!M$9:M$21)</f>
        <v>38.67071</v>
      </c>
      <c r="M160" s="142">
        <f>M71+((M71/SUM(M$9:M$80))*'Calc|Overheads'!M$12)</f>
        <v>7.0194982539123609</v>
      </c>
      <c r="N160" s="44">
        <f>N71+((N71/SUM(N$9:N$80))*'Calc|Overheads'!N$12)</f>
        <v>1186.1091387618942</v>
      </c>
      <c r="O160" s="44">
        <f>O71+((O71/SUM(O$9:O$80))*'Calc|Overheads'!O$12)</f>
        <v>0</v>
      </c>
      <c r="P160" s="44">
        <f>P71+((P71/SUM(P$9:P$80))*'Calc|Overheads'!P$12)</f>
        <v>0</v>
      </c>
      <c r="Q160" s="44">
        <f>Q71+((Q71/SUM(Q$9:Q$80))*'Calc|Overheads'!Q$12)</f>
        <v>0</v>
      </c>
      <c r="R160" s="44">
        <f>R71+((R71/SUM(R$9:R$80))*'Calc|Overheads'!R$12)</f>
        <v>0</v>
      </c>
      <c r="S160" s="44">
        <f>S71+((S71/SUM(S$9:S$80))*'Calc|Overheads'!S$12)</f>
        <v>0</v>
      </c>
      <c r="T160" s="7"/>
      <c r="U160" s="7"/>
    </row>
    <row r="161" spans="1:21" x14ac:dyDescent="0.2">
      <c r="A161" s="7"/>
      <c r="B161" s="7"/>
      <c r="C161" s="7"/>
      <c r="D161" s="7"/>
      <c r="E161" s="39">
        <v>168</v>
      </c>
      <c r="F161" s="39" t="s">
        <v>2275</v>
      </c>
      <c r="G161" s="39" t="str">
        <f>VLOOKUP(E161,Mapping!$E$11:$G$96,3,0)</f>
        <v>Augmentation</v>
      </c>
      <c r="H161" s="39" t="str">
        <f>VLOOKUP(E161,Mapping!$E$11:$K$96,7,0)</f>
        <v>SCADA/Network control</v>
      </c>
      <c r="I161" s="55">
        <f>SUMPRODUCT(--('Input|Historical Data'!$E$9:$E$3279=$E161),--('Input|Historical Data'!$O$9:$O$3279="SCS"),'Input|Historical Data'!$I$9:$I$3279)+SUMPRODUCT(--('Input|Customer Contributions'!$E$9:$E$21=$E161),'Input|Customer Contributions'!J$9:J$21)</f>
        <v>2268.68649</v>
      </c>
      <c r="J161" s="55">
        <f>SUMPRODUCT(--('Input|Historical Data'!$Q$9:$Q$3280=$E161),--('Input|Historical Data'!$AA$9:$AA$3280="SCS"),'Input|Historical Data'!$U$9:$U$3280)+SUMPRODUCT(--('Input|Customer Contributions'!$E$9:$E$21=$E161),'Input|Customer Contributions'!K$9:K$21)</f>
        <v>2412.0588000000002</v>
      </c>
      <c r="K161" s="55">
        <f>SUMPRODUCT(--('Input|Historical Data'!$AC$9:$AC$3279=$E161),--('Input|Historical Data'!$AM$9:$AM$3279="SCS"),'Input|Historical Data'!$AG$9:$AG$3279)+SUMPRODUCT(--('Input|Customer Contributions'!$E$9:$E$21=$E161),'Input|Customer Contributions'!L$9:L$21)</f>
        <v>1723.7396399999998</v>
      </c>
      <c r="L161" s="55">
        <f>SUMPRODUCT(--('Input|Historical Data'!$AO$9:$AO$3279=$E161),--('Input|Historical Data'!$AY$9:$AY$3279="SCS"),'Input|Historical Data'!$AS$9:$AS$3279)+SUMPRODUCT(--('Input|Customer Contributions'!$E$9:$E$21=$E161),'Input|Customer Contributions'!M$9:M$21)</f>
        <v>1447.8988399999998</v>
      </c>
      <c r="M161" s="44">
        <f>M72+((M72/SUM(M$9:M$80))*'Calc|Overheads'!M$12)</f>
        <v>2856.0649103709516</v>
      </c>
      <c r="N161" s="44">
        <f>N72+((N72/SUM(N$9:N$80))*'Calc|Overheads'!N$12)</f>
        <v>2075.6357406887882</v>
      </c>
      <c r="O161" s="44">
        <f>O72+((O72/SUM(O$9:O$80))*'Calc|Overheads'!O$12)</f>
        <v>3488.0881373764014</v>
      </c>
      <c r="P161" s="44">
        <f>P72+((P72/SUM(P$9:P$80))*'Calc|Overheads'!P$12)</f>
        <v>3763.7404681791945</v>
      </c>
      <c r="Q161" s="44">
        <f>Q72+((Q72/SUM(Q$9:Q$80))*'Calc|Overheads'!Q$12)</f>
        <v>2489.26234697973</v>
      </c>
      <c r="R161" s="44">
        <f>R72+((R72/SUM(R$9:R$80))*'Calc|Overheads'!R$12)</f>
        <v>3185.5234431947351</v>
      </c>
      <c r="S161" s="44">
        <f>S72+((S72/SUM(S$9:S$80))*'Calc|Overheads'!S$12)</f>
        <v>3280.5356467560005</v>
      </c>
      <c r="T161" s="7"/>
      <c r="U161" s="7"/>
    </row>
    <row r="162" spans="1:21" x14ac:dyDescent="0.2">
      <c r="A162" s="7"/>
      <c r="B162" s="7"/>
      <c r="C162" s="7"/>
      <c r="D162" s="7"/>
      <c r="E162" s="39">
        <v>169</v>
      </c>
      <c r="F162" s="39" t="s">
        <v>2276</v>
      </c>
      <c r="G162" s="39" t="str">
        <f>VLOOKUP(E162,Mapping!$E$11:$G$96,3,0)</f>
        <v>Augmentation</v>
      </c>
      <c r="H162" s="39" t="str">
        <f>VLOOKUP(E162,Mapping!$E$11:$K$96,7,0)</f>
        <v>SCS</v>
      </c>
      <c r="I162" s="55">
        <f>SUMPRODUCT(--('Input|Historical Data'!$E$9:$E$3279=$E162),--('Input|Historical Data'!$O$9:$O$3279="SCS"),'Input|Historical Data'!$I$9:$I$3279)+SUMPRODUCT(--('Input|Customer Contributions'!$E$9:$E$21=$E162),'Input|Customer Contributions'!J$9:J$21)</f>
        <v>0</v>
      </c>
      <c r="J162" s="55">
        <f>SUMPRODUCT(--('Input|Historical Data'!$Q$9:$Q$3280=$E162),--('Input|Historical Data'!$AA$9:$AA$3280="SCS"),'Input|Historical Data'!$U$9:$U$3280)+SUMPRODUCT(--('Input|Customer Contributions'!$E$9:$E$21=$E162),'Input|Customer Contributions'!K$9:K$21)</f>
        <v>0</v>
      </c>
      <c r="K162" s="55">
        <f>SUMPRODUCT(--('Input|Historical Data'!$AC$9:$AC$3279=$E162),--('Input|Historical Data'!$AM$9:$AM$3279="SCS"),'Input|Historical Data'!$AG$9:$AG$3279)+SUMPRODUCT(--('Input|Customer Contributions'!$E$9:$E$21=$E162),'Input|Customer Contributions'!L$9:L$21)</f>
        <v>0</v>
      </c>
      <c r="L162" s="55">
        <f>SUMPRODUCT(--('Input|Historical Data'!$AO$9:$AO$3279=$E162),--('Input|Historical Data'!$AY$9:$AY$3279="SCS"),'Input|Historical Data'!$AS$9:$AS$3279)+SUMPRODUCT(--('Input|Customer Contributions'!$E$9:$E$21=$E162),'Input|Customer Contributions'!M$9:M$21)</f>
        <v>0</v>
      </c>
      <c r="M162" s="44">
        <f>M73+((M73/SUM(M$9:M$80))*'Calc|Overheads'!M$12)</f>
        <v>0</v>
      </c>
      <c r="N162" s="44">
        <f>N73+((N73/SUM(N$9:N$80))*'Calc|Overheads'!N$12)</f>
        <v>-2532.5942280305985</v>
      </c>
      <c r="O162" s="44">
        <f>O73+((O73/SUM(O$9:O$80))*'Calc|Overheads'!O$12)</f>
        <v>0</v>
      </c>
      <c r="P162" s="44">
        <f>P73+((P73/SUM(P$9:P$80))*'Calc|Overheads'!P$12)</f>
        <v>0</v>
      </c>
      <c r="Q162" s="44">
        <f>Q73+((Q73/SUM(Q$9:Q$80))*'Calc|Overheads'!Q$12)</f>
        <v>0</v>
      </c>
      <c r="R162" s="44">
        <f>R73+((R73/SUM(R$9:R$80))*'Calc|Overheads'!R$12)</f>
        <v>0</v>
      </c>
      <c r="S162" s="44">
        <f>S73+((S73/SUM(S$9:S$80))*'Calc|Overheads'!S$12)</f>
        <v>0</v>
      </c>
      <c r="T162" s="7"/>
      <c r="U162" s="7"/>
    </row>
    <row r="163" spans="1:21" x14ac:dyDescent="0.2">
      <c r="A163" s="7"/>
      <c r="B163" s="7"/>
      <c r="C163" s="7"/>
      <c r="D163" s="7"/>
      <c r="E163" s="39">
        <v>170</v>
      </c>
      <c r="F163" s="39" t="s">
        <v>2250</v>
      </c>
      <c r="G163" s="39" t="str">
        <f>VLOOKUP(E163,Mapping!$E$11:$G$96,3,0)</f>
        <v>Replacement</v>
      </c>
      <c r="H163" s="39" t="str">
        <f>VLOOKUP(E163,Mapping!$E$11:$K$96,7,0)</f>
        <v>SCS</v>
      </c>
      <c r="I163" s="55">
        <f>SUMPRODUCT(--('Input|Historical Data'!$E$9:$E$3279=$E163),--('Input|Historical Data'!$O$9:$O$3279="SCS"),'Input|Historical Data'!$I$9:$I$3279)+SUMPRODUCT(--('Input|Customer Contributions'!$E$9:$E$21=$E163),'Input|Customer Contributions'!J$9:J$21)</f>
        <v>0</v>
      </c>
      <c r="J163" s="55">
        <f>SUMPRODUCT(--('Input|Historical Data'!$Q$9:$Q$3280=$E163),--('Input|Historical Data'!$AA$9:$AA$3280="SCS"),'Input|Historical Data'!$U$9:$U$3280)+SUMPRODUCT(--('Input|Customer Contributions'!$E$9:$E$21=$E163),'Input|Customer Contributions'!K$9:K$21)</f>
        <v>0</v>
      </c>
      <c r="K163" s="55">
        <f>SUMPRODUCT(--('Input|Historical Data'!$AC$9:$AC$3279=$E163),--('Input|Historical Data'!$AM$9:$AM$3279="SCS"),'Input|Historical Data'!$AG$9:$AG$3279)+SUMPRODUCT(--('Input|Customer Contributions'!$E$9:$E$21=$E163),'Input|Customer Contributions'!L$9:L$21)</f>
        <v>0</v>
      </c>
      <c r="L163" s="55">
        <f>SUMPRODUCT(--('Input|Historical Data'!$AO$9:$AO$3279=$E163),--('Input|Historical Data'!$AY$9:$AY$3279="SCS"),'Input|Historical Data'!$AS$9:$AS$3279)+SUMPRODUCT(--('Input|Customer Contributions'!$E$9:$E$21=$E163),'Input|Customer Contributions'!M$9:M$21)</f>
        <v>0</v>
      </c>
      <c r="M163" s="44">
        <f>M74+((M74/SUM(M$9:M$80))*'Calc|Overheads'!M$12)</f>
        <v>0</v>
      </c>
      <c r="N163" s="44">
        <f>N74+((N74/SUM(N$9:N$80))*'Calc|Overheads'!N$12)</f>
        <v>0</v>
      </c>
      <c r="O163" s="44">
        <f>O74+((O74/SUM(O$9:O$80))*'Calc|Overheads'!O$12)</f>
        <v>0</v>
      </c>
      <c r="P163" s="44">
        <f>P74+((P74/SUM(P$9:P$80))*'Calc|Overheads'!P$12)</f>
        <v>0</v>
      </c>
      <c r="Q163" s="44">
        <f>Q74+((Q74/SUM(Q$9:Q$80))*'Calc|Overheads'!Q$12)</f>
        <v>0</v>
      </c>
      <c r="R163" s="44">
        <f>R74+((R74/SUM(R$9:R$80))*'Calc|Overheads'!R$12)</f>
        <v>0</v>
      </c>
      <c r="S163" s="44">
        <f>S74+((S74/SUM(S$9:S$80))*'Calc|Overheads'!S$12)</f>
        <v>0</v>
      </c>
      <c r="T163" s="7"/>
      <c r="U163" s="7"/>
    </row>
    <row r="164" spans="1:21" x14ac:dyDescent="0.2">
      <c r="A164" s="7"/>
      <c r="B164" s="7"/>
      <c r="C164" s="7"/>
      <c r="D164" s="7"/>
      <c r="E164" s="39">
        <v>171</v>
      </c>
      <c r="F164" s="39" t="s">
        <v>2277</v>
      </c>
      <c r="G164" s="39" t="str">
        <f>VLOOKUP(E164,Mapping!$E$11:$G$96,3,0)</f>
        <v>Connections</v>
      </c>
      <c r="H164" s="39" t="str">
        <f>VLOOKUP(E164,Mapping!$E$11:$K$96,7,0)</f>
        <v>SCS</v>
      </c>
      <c r="I164" s="55">
        <f>SUMPRODUCT(--('Input|Historical Data'!$E$9:$E$3279=$E164),--('Input|Historical Data'!$O$9:$O$3279="SCS"),'Input|Historical Data'!$I$9:$I$3279)+SUMPRODUCT(--('Input|Customer Contributions'!$E$9:$E$21=$E164),'Input|Customer Contributions'!J$9:J$21)</f>
        <v>0</v>
      </c>
      <c r="J164" s="55">
        <f>SUMPRODUCT(--('Input|Historical Data'!$Q$9:$Q$3280=$E164),--('Input|Historical Data'!$AA$9:$AA$3280="SCS"),'Input|Historical Data'!$U$9:$U$3280)+SUMPRODUCT(--('Input|Customer Contributions'!$E$9:$E$21=$E164),'Input|Customer Contributions'!K$9:K$21)</f>
        <v>0</v>
      </c>
      <c r="K164" s="55">
        <f>SUMPRODUCT(--('Input|Historical Data'!$AC$9:$AC$3279=$E164),--('Input|Historical Data'!$AM$9:$AM$3279="SCS"),'Input|Historical Data'!$AG$9:$AG$3279)+SUMPRODUCT(--('Input|Customer Contributions'!$E$9:$E$21=$E164),'Input|Customer Contributions'!L$9:L$21)</f>
        <v>0</v>
      </c>
      <c r="L164" s="55">
        <f>SUMPRODUCT(--('Input|Historical Data'!$AO$9:$AO$3279=$E164),--('Input|Historical Data'!$AY$9:$AY$3279="SCS"),'Input|Historical Data'!$AS$9:$AS$3279)+SUMPRODUCT(--('Input|Customer Contributions'!$E$9:$E$21=$E164),'Input|Customer Contributions'!M$9:M$21)</f>
        <v>0</v>
      </c>
      <c r="M164" s="44">
        <f>M75+((M75/SUM(M$9:M$80))*'Calc|Overheads'!M$12)</f>
        <v>0</v>
      </c>
      <c r="N164" s="44">
        <f>N75+((N75/SUM(N$9:N$80))*'Calc|Overheads'!N$12)</f>
        <v>0</v>
      </c>
      <c r="O164" s="44">
        <f>O75+((O75/SUM(O$9:O$80))*'Calc|Overheads'!O$12)</f>
        <v>0</v>
      </c>
      <c r="P164" s="44">
        <f>P75+((P75/SUM(P$9:P$80))*'Calc|Overheads'!P$12)</f>
        <v>0</v>
      </c>
      <c r="Q164" s="44">
        <f>Q75+((Q75/SUM(Q$9:Q$80))*'Calc|Overheads'!Q$12)</f>
        <v>0</v>
      </c>
      <c r="R164" s="44">
        <f>R75+((R75/SUM(R$9:R$80))*'Calc|Overheads'!R$12)</f>
        <v>0</v>
      </c>
      <c r="S164" s="44">
        <f>S75+((S75/SUM(S$9:S$80))*'Calc|Overheads'!S$12)</f>
        <v>0</v>
      </c>
      <c r="T164" s="7"/>
      <c r="U164" s="7"/>
    </row>
    <row r="165" spans="1:21" x14ac:dyDescent="0.2">
      <c r="A165" s="7"/>
      <c r="B165" s="7"/>
      <c r="C165" s="7"/>
      <c r="D165" s="7"/>
      <c r="E165" s="39">
        <v>172</v>
      </c>
      <c r="F165" s="39" t="s">
        <v>2278</v>
      </c>
      <c r="G165" s="39" t="str">
        <f>VLOOKUP(E165,Mapping!$E$11:$G$96,3,0)</f>
        <v>Replacement</v>
      </c>
      <c r="H165" s="39" t="str">
        <f>VLOOKUP(E165,Mapping!$E$11:$K$96,7,0)</f>
        <v>SCS</v>
      </c>
      <c r="I165" s="55">
        <f>SUMPRODUCT(--('Input|Historical Data'!$E$9:$E$3279=$E165),--('Input|Historical Data'!$O$9:$O$3279="SCS"),'Input|Historical Data'!$I$9:$I$3279)+SUMPRODUCT(--('Input|Customer Contributions'!$E$9:$E$21=$E165),'Input|Customer Contributions'!J$9:J$21)</f>
        <v>254.33132999999995</v>
      </c>
      <c r="J165" s="55">
        <f>SUMPRODUCT(--('Input|Historical Data'!$Q$9:$Q$3280=$E165),--('Input|Historical Data'!$AA$9:$AA$3280="SCS"),'Input|Historical Data'!$U$9:$U$3280)+SUMPRODUCT(--('Input|Customer Contributions'!$E$9:$E$21=$E165),'Input|Customer Contributions'!K$9:K$21)</f>
        <v>7.8223800000000008</v>
      </c>
      <c r="K165" s="55">
        <f>SUMPRODUCT(--('Input|Historical Data'!$AC$9:$AC$3279=$E165),--('Input|Historical Data'!$AM$9:$AM$3279="SCS"),'Input|Historical Data'!$AG$9:$AG$3279)+SUMPRODUCT(--('Input|Customer Contributions'!$E$9:$E$21=$E165),'Input|Customer Contributions'!L$9:L$21)</f>
        <v>58.961819999999996</v>
      </c>
      <c r="L165" s="55">
        <f>SUMPRODUCT(--('Input|Historical Data'!$AO$9:$AO$3279=$E165),--('Input|Historical Data'!$AY$9:$AY$3279="SCS"),'Input|Historical Data'!$AS$9:$AS$3279)+SUMPRODUCT(--('Input|Customer Contributions'!$E$9:$E$21=$E165),'Input|Customer Contributions'!M$9:M$21)</f>
        <v>126.17611000000001</v>
      </c>
      <c r="M165" s="44">
        <f>M76+((M76/SUM(M$9:M$80))*'Calc|Overheads'!M$12)</f>
        <v>47.92931598097028</v>
      </c>
      <c r="N165" s="44">
        <f>N76+((N76/SUM(N$9:N$80))*'Calc|Overheads'!N$12)</f>
        <v>70.725099491269944</v>
      </c>
      <c r="O165" s="44">
        <f>O76+((O76/SUM(O$9:O$80))*'Calc|Overheads'!O$12)</f>
        <v>0</v>
      </c>
      <c r="P165" s="44">
        <f>P76+((P76/SUM(P$9:P$80))*'Calc|Overheads'!P$12)</f>
        <v>0</v>
      </c>
      <c r="Q165" s="44">
        <f>Q76+((Q76/SUM(Q$9:Q$80))*'Calc|Overheads'!Q$12)</f>
        <v>0</v>
      </c>
      <c r="R165" s="44">
        <f>R76+((R76/SUM(R$9:R$80))*'Calc|Overheads'!R$12)</f>
        <v>0</v>
      </c>
      <c r="S165" s="44">
        <f>S76+((S76/SUM(S$9:S$80))*'Calc|Overheads'!S$12)</f>
        <v>0</v>
      </c>
      <c r="T165" s="7"/>
      <c r="U165" s="7"/>
    </row>
    <row r="166" spans="1:21" x14ac:dyDescent="0.2">
      <c r="A166" s="7"/>
      <c r="B166" s="7"/>
      <c r="C166" s="7"/>
      <c r="D166" s="7"/>
      <c r="E166" s="39">
        <v>174</v>
      </c>
      <c r="F166" s="39" t="s">
        <v>2279</v>
      </c>
      <c r="G166" s="39" t="str">
        <f>VLOOKUP(E166,Mapping!$E$11:$G$96,3,0)</f>
        <v>Replacement</v>
      </c>
      <c r="H166" s="39" t="str">
        <f>VLOOKUP(E166,Mapping!$E$11:$K$96,7,0)</f>
        <v>SCS</v>
      </c>
      <c r="I166" s="55">
        <f>SUMPRODUCT(--('Input|Historical Data'!$E$9:$E$3279=$E166),--('Input|Historical Data'!$O$9:$O$3279="SCS"),'Input|Historical Data'!$I$9:$I$3279)+SUMPRODUCT(--('Input|Customer Contributions'!$E$9:$E$21=$E166),'Input|Customer Contributions'!J$9:J$21)</f>
        <v>104.80971999999997</v>
      </c>
      <c r="J166" s="55">
        <f>SUMPRODUCT(--('Input|Historical Data'!$Q$9:$Q$3280=$E166),--('Input|Historical Data'!$AA$9:$AA$3280="SCS"),'Input|Historical Data'!$U$9:$U$3280)+SUMPRODUCT(--('Input|Customer Contributions'!$E$9:$E$21=$E166),'Input|Customer Contributions'!K$9:K$21)</f>
        <v>16.08192</v>
      </c>
      <c r="K166" s="55">
        <f>SUMPRODUCT(--('Input|Historical Data'!$AC$9:$AC$3279=$E166),--('Input|Historical Data'!$AM$9:$AM$3279="SCS"),'Input|Historical Data'!$AG$9:$AG$3279)+SUMPRODUCT(--('Input|Customer Contributions'!$E$9:$E$21=$E166),'Input|Customer Contributions'!L$9:L$21)</f>
        <v>117.45247000000001</v>
      </c>
      <c r="L166" s="55">
        <f>SUMPRODUCT(--('Input|Historical Data'!$AO$9:$AO$3279=$E166),--('Input|Historical Data'!$AY$9:$AY$3279="SCS"),'Input|Historical Data'!$AS$9:$AS$3279)+SUMPRODUCT(--('Input|Customer Contributions'!$E$9:$E$21=$E166),'Input|Customer Contributions'!M$9:M$21)</f>
        <v>106.6574</v>
      </c>
      <c r="M166" s="44">
        <f>M77+((M77/SUM(M$9:M$80))*'Calc|Overheads'!M$12)</f>
        <v>183.21043576853967</v>
      </c>
      <c r="N166" s="44">
        <f>N77+((N77/SUM(N$9:N$80))*'Calc|Overheads'!N$12)</f>
        <v>0</v>
      </c>
      <c r="O166" s="44">
        <f>O77+((O77/SUM(O$9:O$80))*'Calc|Overheads'!O$12)</f>
        <v>0</v>
      </c>
      <c r="P166" s="44">
        <f>P77+((P77/SUM(P$9:P$80))*'Calc|Overheads'!P$12)</f>
        <v>0</v>
      </c>
      <c r="Q166" s="44">
        <f>Q77+((Q77/SUM(Q$9:Q$80))*'Calc|Overheads'!Q$12)</f>
        <v>0</v>
      </c>
      <c r="R166" s="44">
        <f>R77+((R77/SUM(R$9:R$80))*'Calc|Overheads'!R$12)</f>
        <v>0</v>
      </c>
      <c r="S166" s="44">
        <f>S77+((S77/SUM(S$9:S$80))*'Calc|Overheads'!S$12)</f>
        <v>0</v>
      </c>
      <c r="T166" s="7"/>
      <c r="U166" s="7"/>
    </row>
    <row r="167" spans="1:21" x14ac:dyDescent="0.2">
      <c r="A167" s="7"/>
      <c r="B167" s="7"/>
      <c r="C167" s="7"/>
      <c r="D167" s="7"/>
      <c r="E167" s="39">
        <v>175</v>
      </c>
      <c r="F167" s="39" t="s">
        <v>2280</v>
      </c>
      <c r="G167" s="39" t="str">
        <f>VLOOKUP(E167,Mapping!$E$11:$G$96,3,0)</f>
        <v>Metering Capex</v>
      </c>
      <c r="H167" s="39" t="str">
        <f>VLOOKUP(E167,Mapping!$E$11:$K$96,7,0)</f>
        <v>Metering Services</v>
      </c>
      <c r="I167" s="55">
        <f>SUMPRODUCT(--('Input|Historical Data'!$E$9:$E$3279=$E167),--('Input|Historical Data'!$O$9:$O$3279="SCS"),'Input|Historical Data'!$I$9:$I$3279)+SUMPRODUCT(--('Input|Customer Contributions'!$E$9:$E$21=$E167),'Input|Customer Contributions'!J$9:J$21)</f>
        <v>0</v>
      </c>
      <c r="J167" s="55">
        <f>SUMPRODUCT(--('Input|Historical Data'!$Q$9:$Q$3280=$E167),--('Input|Historical Data'!$AA$9:$AA$3280="SCS"),'Input|Historical Data'!$U$9:$U$3280)+SUMPRODUCT(--('Input|Customer Contributions'!$E$9:$E$21=$E167),'Input|Customer Contributions'!K$9:K$21)</f>
        <v>0</v>
      </c>
      <c r="K167" s="55">
        <f>SUMPRODUCT(--('Input|Historical Data'!$AC$9:$AC$3279=$E167),--('Input|Historical Data'!$AM$9:$AM$3279="SCS"),'Input|Historical Data'!$AG$9:$AG$3279)+SUMPRODUCT(--('Input|Customer Contributions'!$E$9:$E$21=$E167),'Input|Customer Contributions'!L$9:L$21)</f>
        <v>0</v>
      </c>
      <c r="L167" s="55">
        <f>SUMPRODUCT(--('Input|Historical Data'!$AO$9:$AO$3279=$E167),--('Input|Historical Data'!$AY$9:$AY$3279="SCS"),'Input|Historical Data'!$AS$9:$AS$3279)+SUMPRODUCT(--('Input|Customer Contributions'!$E$9:$E$21=$E167),'Input|Customer Contributions'!M$9:M$21)</f>
        <v>0</v>
      </c>
      <c r="M167" s="44">
        <f>M78+((M78/SUM(M$9:M$80))*'Calc|Overheads'!M$12)</f>
        <v>0</v>
      </c>
      <c r="N167" s="44">
        <f>N78+((N78/SUM(N$9:N$80))*'Calc|Overheads'!N$12)</f>
        <v>0</v>
      </c>
      <c r="O167" s="44">
        <f>O78+((O78/SUM(O$9:O$80))*'Calc|Overheads'!O$12)</f>
        <v>0</v>
      </c>
      <c r="P167" s="44">
        <f>P78+((P78/SUM(P$9:P$80))*'Calc|Overheads'!P$12)</f>
        <v>0</v>
      </c>
      <c r="Q167" s="44">
        <f>Q78+((Q78/SUM(Q$9:Q$80))*'Calc|Overheads'!Q$12)</f>
        <v>0</v>
      </c>
      <c r="R167" s="44">
        <f>R78+((R78/SUM(R$9:R$80))*'Calc|Overheads'!R$12)</f>
        <v>0</v>
      </c>
      <c r="S167" s="44">
        <f>S78+((S78/SUM(S$9:S$80))*'Calc|Overheads'!S$12)</f>
        <v>0</v>
      </c>
      <c r="T167" s="7"/>
      <c r="U167" s="7"/>
    </row>
    <row r="168" spans="1:21" x14ac:dyDescent="0.2">
      <c r="A168" s="7"/>
      <c r="B168" s="7"/>
      <c r="C168" s="7"/>
      <c r="D168" s="7"/>
      <c r="E168" s="39">
        <v>176</v>
      </c>
      <c r="F168" s="39" t="s">
        <v>2281</v>
      </c>
      <c r="G168" s="39" t="str">
        <f>VLOOKUP(E168,Mapping!$E$11:$G$96,3,0)</f>
        <v>Metering Capex</v>
      </c>
      <c r="H168" s="39" t="str">
        <f>VLOOKUP(E168,Mapping!$E$11:$K$96,7,0)</f>
        <v>Metering Services</v>
      </c>
      <c r="I168" s="55">
        <f>SUMPRODUCT(--('Input|Historical Data'!$E$9:$E$3279=$E168),--('Input|Historical Data'!$O$9:$O$3279="SCS"),'Input|Historical Data'!$I$9:$I$3279)+SUMPRODUCT(--('Input|Customer Contributions'!$E$9:$E$21=$E168),'Input|Customer Contributions'!J$9:J$21)</f>
        <v>0</v>
      </c>
      <c r="J168" s="55">
        <f>SUMPRODUCT(--('Input|Historical Data'!$Q$9:$Q$3280=$E168),--('Input|Historical Data'!$AA$9:$AA$3280="SCS"),'Input|Historical Data'!$U$9:$U$3280)+SUMPRODUCT(--('Input|Customer Contributions'!$E$9:$E$21=$E168),'Input|Customer Contributions'!K$9:K$21)</f>
        <v>0</v>
      </c>
      <c r="K168" s="55">
        <f>SUMPRODUCT(--('Input|Historical Data'!$AC$9:$AC$3279=$E168),--('Input|Historical Data'!$AM$9:$AM$3279="SCS"),'Input|Historical Data'!$AG$9:$AG$3279)+SUMPRODUCT(--('Input|Customer Contributions'!$E$9:$E$21=$E168),'Input|Customer Contributions'!L$9:L$21)</f>
        <v>0</v>
      </c>
      <c r="L168" s="55">
        <f>SUMPRODUCT(--('Input|Historical Data'!$AO$9:$AO$3279=$E168),--('Input|Historical Data'!$AY$9:$AY$3279="SCS"),'Input|Historical Data'!$AS$9:$AS$3279)+SUMPRODUCT(--('Input|Customer Contributions'!$E$9:$E$21=$E168),'Input|Customer Contributions'!M$9:M$21)</f>
        <v>0</v>
      </c>
      <c r="M168" s="44">
        <f>M79+((M79/SUM(M$9:M$80))*'Calc|Overheads'!M$12)</f>
        <v>0</v>
      </c>
      <c r="N168" s="44">
        <f>N79+((N79/SUM(N$9:N$80))*'Calc|Overheads'!N$12)</f>
        <v>0</v>
      </c>
      <c r="O168" s="44">
        <f>O79+((O79/SUM(O$9:O$80))*'Calc|Overheads'!O$12)</f>
        <v>0</v>
      </c>
      <c r="P168" s="44">
        <f>P79+((P79/SUM(P$9:P$80))*'Calc|Overheads'!P$12)</f>
        <v>0</v>
      </c>
      <c r="Q168" s="44">
        <f>Q79+((Q79/SUM(Q$9:Q$80))*'Calc|Overheads'!Q$12)</f>
        <v>0</v>
      </c>
      <c r="R168" s="44">
        <f>R79+((R79/SUM(R$9:R$80))*'Calc|Overheads'!R$12)</f>
        <v>0</v>
      </c>
      <c r="S168" s="44">
        <f>S79+((S79/SUM(S$9:S$80))*'Calc|Overheads'!S$12)</f>
        <v>0</v>
      </c>
      <c r="T168" s="7"/>
      <c r="U168" s="7"/>
    </row>
    <row r="169" spans="1:21" x14ac:dyDescent="0.2">
      <c r="A169" s="7"/>
      <c r="B169" s="7"/>
      <c r="C169" s="7"/>
      <c r="D169" s="7"/>
      <c r="E169" s="39">
        <v>177</v>
      </c>
      <c r="F169" s="39" t="s">
        <v>2282</v>
      </c>
      <c r="G169" s="39" t="str">
        <f>VLOOKUP(E169,Mapping!$E$11:$G$96,3,0)</f>
        <v>Augmentation</v>
      </c>
      <c r="H169" s="39" t="str">
        <f>VLOOKUP(E169,Mapping!$E$11:$K$96,7,0)</f>
        <v>SCS</v>
      </c>
      <c r="I169" s="55">
        <f>SUMPRODUCT(--('Input|Historical Data'!$E$9:$E$3279=$E169),--('Input|Historical Data'!$O$9:$O$3279="SCS"),'Input|Historical Data'!$I$9:$I$3279)+SUMPRODUCT(--('Input|Customer Contributions'!$E$9:$E$21=$E169),'Input|Customer Contributions'!J$9:J$21)</f>
        <v>1787.0868500000006</v>
      </c>
      <c r="J169" s="55">
        <f>SUMPRODUCT(--('Input|Historical Data'!$Q$9:$Q$3280=$E169),--('Input|Historical Data'!$AA$9:$AA$3280="SCS"),'Input|Historical Data'!$U$9:$U$3280)+SUMPRODUCT(--('Input|Customer Contributions'!$E$9:$E$21=$E169),'Input|Customer Contributions'!K$9:K$21)</f>
        <v>3652.73837</v>
      </c>
      <c r="K169" s="55">
        <f>SUMPRODUCT(--('Input|Historical Data'!$AC$9:$AC$3279=$E169),--('Input|Historical Data'!$AM$9:$AM$3279="SCS"),'Input|Historical Data'!$AG$9:$AG$3279)+SUMPRODUCT(--('Input|Customer Contributions'!$E$9:$E$21=$E169),'Input|Customer Contributions'!L$9:L$21)</f>
        <v>4972.6366499999995</v>
      </c>
      <c r="L169" s="55">
        <f>SUMPRODUCT(--('Input|Historical Data'!$AO$9:$AO$3279=$E169),--('Input|Historical Data'!$AY$9:$AY$3279="SCS"),'Input|Historical Data'!$AS$9:$AS$3279)+SUMPRODUCT(--('Input|Customer Contributions'!$E$9:$E$21=$E169),'Input|Customer Contributions'!M$9:M$21)</f>
        <v>13891.546600000001</v>
      </c>
      <c r="M169" s="44">
        <f>M80+((M80/SUM(M$9:M$80))*'Calc|Overheads'!M$12)</f>
        <v>5538.8424821185381</v>
      </c>
      <c r="N169" s="44">
        <f>N80+((N80/SUM(N$9:N$80))*'Calc|Overheads'!N$12)</f>
        <v>561.38655218183658</v>
      </c>
      <c r="O169" s="44">
        <f>O80+((O80/SUM(O$9:O$80))*'Calc|Overheads'!O$12)</f>
        <v>2596.979140797639</v>
      </c>
      <c r="P169" s="44">
        <f>P80+((P80/SUM(P$9:P$80))*'Calc|Overheads'!P$12)</f>
        <v>9540.8567068145494</v>
      </c>
      <c r="Q169" s="44">
        <f>Q80+((Q80/SUM(Q$9:Q$80))*'Calc|Overheads'!Q$12)</f>
        <v>11141.47231857887</v>
      </c>
      <c r="R169" s="44">
        <f>R80+((R80/SUM(R$9:R$80))*'Calc|Overheads'!R$12)</f>
        <v>5265.5527130141636</v>
      </c>
      <c r="S169" s="44">
        <f>S80+((S80/SUM(S$9:S$80))*'Calc|Overheads'!S$12)</f>
        <v>0</v>
      </c>
      <c r="T169" s="7"/>
      <c r="U169" s="7"/>
    </row>
    <row r="170" spans="1:21" x14ac:dyDescent="0.2">
      <c r="A170" s="7"/>
      <c r="B170" s="7"/>
      <c r="C170" s="7"/>
      <c r="D170" s="7"/>
      <c r="E170" s="39">
        <v>200</v>
      </c>
      <c r="F170" s="39" t="s">
        <v>2283</v>
      </c>
      <c r="G170" s="39" t="str">
        <f>VLOOKUP(E170,Mapping!$E$11:$G$96,3,0)</f>
        <v>Non-network general assets - IT</v>
      </c>
      <c r="H170" s="39" t="str">
        <f>VLOOKUP(E170,Mapping!$E$11:$K$96,7,0)</f>
        <v>Non-network general assets - IT</v>
      </c>
      <c r="I170" s="55">
        <f>SUMPRODUCT(--('Input|Historical Data'!$E$9:$E$3279=$E170),--('Input|Historical Data'!$O$9:$O$3279="SCS"),'Input|Historical Data'!$I$9:$I$3279)+SUMPRODUCT(--('Input|Customer Contributions'!$E$9:$E$21=$E170),'Input|Customer Contributions'!J$9:J$21)</f>
        <v>20154.474179999997</v>
      </c>
      <c r="J170" s="55">
        <f>SUMPRODUCT(--('Input|Historical Data'!$Q$9:$Q$3280=$E170),--('Input|Historical Data'!$AA$9:$AA$3280="SCS"),'Input|Historical Data'!$U$9:$U$3280)+SUMPRODUCT(--('Input|Customer Contributions'!$E$9:$E$21=$E170),'Input|Customer Contributions'!K$9:K$21)</f>
        <v>12827.645500000001</v>
      </c>
      <c r="K170" s="55">
        <f>SUMPRODUCT(--('Input|Historical Data'!$AC$9:$AC$3279=$E170),--('Input|Historical Data'!$AM$9:$AM$3279="SCS"),'Input|Historical Data'!$AG$9:$AG$3279)+SUMPRODUCT(--('Input|Customer Contributions'!$E$9:$E$21=$E170),'Input|Customer Contributions'!L$9:L$21)</f>
        <v>8587.3536000000004</v>
      </c>
      <c r="L170" s="55">
        <f>SUMPRODUCT(--('Input|Historical Data'!$AO$9:$AO$3279=$E170),--('Input|Historical Data'!$AY$9:$AY$3279="SCS"),'Input|Historical Data'!$AS$9:$AS$3279)+SUMPRODUCT(--('Input|Customer Contributions'!$E$9:$E$21=$E170),'Input|Customer Contributions'!M$9:M$21)</f>
        <v>8067.3696899999995</v>
      </c>
      <c r="M170" s="118">
        <f t="shared" ref="M170:S170" si="4">M81</f>
        <v>13597.156943539447</v>
      </c>
      <c r="N170" s="118">
        <f t="shared" si="4"/>
        <v>15082.025062420344</v>
      </c>
      <c r="O170" s="118">
        <f t="shared" si="4"/>
        <v>21087.511715403558</v>
      </c>
      <c r="P170" s="118">
        <f t="shared" si="4"/>
        <v>16640.889079535777</v>
      </c>
      <c r="Q170" s="118">
        <f t="shared" si="4"/>
        <v>19171.293675292494</v>
      </c>
      <c r="R170" s="118">
        <f t="shared" si="4"/>
        <v>14004.789147707606</v>
      </c>
      <c r="S170" s="118">
        <f t="shared" si="4"/>
        <v>7905.1542768717572</v>
      </c>
      <c r="T170" s="7"/>
      <c r="U170" s="7"/>
    </row>
    <row r="171" spans="1:21" x14ac:dyDescent="0.2">
      <c r="A171" s="7"/>
      <c r="B171" s="7"/>
      <c r="C171" s="7"/>
      <c r="D171" s="7"/>
      <c r="E171" s="39">
        <v>205</v>
      </c>
      <c r="F171" s="39" t="s">
        <v>2284</v>
      </c>
      <c r="G171" s="39" t="str">
        <f>VLOOKUP(E171,Mapping!$E$11:$G$96,3,0)</f>
        <v>Metering Capex</v>
      </c>
      <c r="H171" s="39" t="str">
        <f>VLOOKUP(E171,Mapping!$E$11:$K$96,7,0)</f>
        <v>Metering Services</v>
      </c>
      <c r="I171" s="55">
        <f>SUMPRODUCT(--('Input|Historical Data'!$E$9:$E$3279=$E171),--('Input|Historical Data'!$O$9:$O$3279="SCS"),'Input|Historical Data'!$I$9:$I$3279)+SUMPRODUCT(--('Input|Customer Contributions'!$E$9:$E$21=$E171),'Input|Customer Contributions'!J$9:J$21)</f>
        <v>0</v>
      </c>
      <c r="J171" s="55">
        <f>SUMPRODUCT(--('Input|Historical Data'!$Q$9:$Q$3280=$E171),--('Input|Historical Data'!$AA$9:$AA$3280="SCS"),'Input|Historical Data'!$U$9:$U$3280)+SUMPRODUCT(--('Input|Customer Contributions'!$E$9:$E$21=$E171),'Input|Customer Contributions'!K$9:K$21)</f>
        <v>0</v>
      </c>
      <c r="K171" s="55">
        <f>SUMPRODUCT(--('Input|Historical Data'!$AC$9:$AC$3279=$E171),--('Input|Historical Data'!$AM$9:$AM$3279="SCS"),'Input|Historical Data'!$AG$9:$AG$3279)+SUMPRODUCT(--('Input|Customer Contributions'!$E$9:$E$21=$E171),'Input|Customer Contributions'!L$9:L$21)</f>
        <v>0</v>
      </c>
      <c r="L171" s="55">
        <f>SUMPRODUCT(--('Input|Historical Data'!$AO$9:$AO$3279=$E171),--('Input|Historical Data'!$AY$9:$AY$3279="SCS"),'Input|Historical Data'!$AS$9:$AS$3279)+SUMPRODUCT(--('Input|Customer Contributions'!$E$9:$E$21=$E171),'Input|Customer Contributions'!M$9:M$21)</f>
        <v>0</v>
      </c>
      <c r="M171" s="118">
        <f t="shared" ref="M171:S182" si="5">M82</f>
        <v>0</v>
      </c>
      <c r="N171" s="118">
        <f t="shared" si="5"/>
        <v>0</v>
      </c>
      <c r="O171" s="118">
        <f t="shared" si="5"/>
        <v>0</v>
      </c>
      <c r="P171" s="118">
        <f t="shared" si="5"/>
        <v>0</v>
      </c>
      <c r="Q171" s="118">
        <f t="shared" si="5"/>
        <v>0</v>
      </c>
      <c r="R171" s="118">
        <f t="shared" si="5"/>
        <v>0</v>
      </c>
      <c r="S171" s="118">
        <f t="shared" si="5"/>
        <v>0</v>
      </c>
      <c r="T171" s="7"/>
      <c r="U171" s="7"/>
    </row>
    <row r="172" spans="1:21" x14ac:dyDescent="0.2">
      <c r="A172" s="7"/>
      <c r="B172" s="7"/>
      <c r="C172" s="7"/>
      <c r="D172" s="7"/>
      <c r="E172" s="39">
        <v>210</v>
      </c>
      <c r="F172" s="39" t="s">
        <v>2285</v>
      </c>
      <c r="G172" s="39" t="str">
        <f>VLOOKUP(E172,Mapping!$E$11:$G$96,3,0)</f>
        <v>Non-network general assets - Other</v>
      </c>
      <c r="H172" s="39" t="str">
        <f>VLOOKUP(E172,Mapping!$E$11:$K$96,7,0)</f>
        <v>Non-network general assets - Other</v>
      </c>
      <c r="I172" s="55">
        <f>SUMPRODUCT(--('Input|Historical Data'!$E$9:$E$3279=$E172),--('Input|Historical Data'!$O$9:$O$3279="SCS"),'Input|Historical Data'!$I$9:$I$3279)+SUMPRODUCT(--('Input|Customer Contributions'!$E$9:$E$21=$E172),'Input|Customer Contributions'!J$9:J$21)</f>
        <v>228.85261000000003</v>
      </c>
      <c r="J172" s="55">
        <f>SUMPRODUCT(--('Input|Historical Data'!$Q$9:$Q$3280=$E172),--('Input|Historical Data'!$AA$9:$AA$3280="SCS"),'Input|Historical Data'!$U$9:$U$3280)+SUMPRODUCT(--('Input|Customer Contributions'!$E$9:$E$21=$E172),'Input|Customer Contributions'!K$9:K$21)</f>
        <v>65.245810000000006</v>
      </c>
      <c r="K172" s="55">
        <f>SUMPRODUCT(--('Input|Historical Data'!$AC$9:$AC$3279=$E172),--('Input|Historical Data'!$AM$9:$AM$3279="SCS"),'Input|Historical Data'!$AG$9:$AG$3279)+SUMPRODUCT(--('Input|Customer Contributions'!$E$9:$E$21=$E172),'Input|Customer Contributions'!L$9:L$21)</f>
        <v>150.07804999999999</v>
      </c>
      <c r="L172" s="55">
        <f>SUMPRODUCT(--('Input|Historical Data'!$AO$9:$AO$3279=$E172),--('Input|Historical Data'!$AY$9:$AY$3279="SCS"),'Input|Historical Data'!$AS$9:$AS$3279)+SUMPRODUCT(--('Input|Customer Contributions'!$E$9:$E$21=$E172),'Input|Customer Contributions'!M$9:M$21)</f>
        <v>245.73042000000001</v>
      </c>
      <c r="M172" s="118">
        <f t="shared" si="5"/>
        <v>449.4527120052187</v>
      </c>
      <c r="N172" s="118">
        <f t="shared" si="5"/>
        <v>617.68351676317286</v>
      </c>
      <c r="O172" s="118">
        <f t="shared" si="5"/>
        <v>240.48725769571891</v>
      </c>
      <c r="P172" s="118">
        <f t="shared" si="5"/>
        <v>240.48725769571891</v>
      </c>
      <c r="Q172" s="118">
        <f t="shared" si="5"/>
        <v>240.48725769571891</v>
      </c>
      <c r="R172" s="118">
        <f t="shared" si="5"/>
        <v>240.48725769571891</v>
      </c>
      <c r="S172" s="118">
        <f t="shared" si="5"/>
        <v>240.48725769571891</v>
      </c>
      <c r="T172" s="7"/>
      <c r="U172" s="7"/>
    </row>
    <row r="173" spans="1:21" x14ac:dyDescent="0.2">
      <c r="A173" s="7"/>
      <c r="B173" s="7"/>
      <c r="C173" s="7"/>
      <c r="D173" s="7"/>
      <c r="E173" s="39">
        <v>215</v>
      </c>
      <c r="F173" s="39" t="s">
        <v>2286</v>
      </c>
      <c r="G173" s="39" t="str">
        <f>VLOOKUP(E173,Mapping!$E$11:$G$96,3,0)</f>
        <v>Metering Capex</v>
      </c>
      <c r="H173" s="39" t="str">
        <f>VLOOKUP(E173,Mapping!$E$11:$K$96,7,0)</f>
        <v>Metering Services</v>
      </c>
      <c r="I173" s="55">
        <f>SUMPRODUCT(--('Input|Historical Data'!$E$9:$E$3279=$E173),--('Input|Historical Data'!$O$9:$O$3279="SCS"),'Input|Historical Data'!$I$9:$I$3279)+SUMPRODUCT(--('Input|Customer Contributions'!$E$9:$E$21=$E173),'Input|Customer Contributions'!J$9:J$21)</f>
        <v>0</v>
      </c>
      <c r="J173" s="55">
        <f>SUMPRODUCT(--('Input|Historical Data'!$Q$9:$Q$3280=$E173),--('Input|Historical Data'!$AA$9:$AA$3280="SCS"),'Input|Historical Data'!$U$9:$U$3280)+SUMPRODUCT(--('Input|Customer Contributions'!$E$9:$E$21=$E173),'Input|Customer Contributions'!K$9:K$21)</f>
        <v>0</v>
      </c>
      <c r="K173" s="55">
        <f>SUMPRODUCT(--('Input|Historical Data'!$AC$9:$AC$3279=$E173),--('Input|Historical Data'!$AM$9:$AM$3279="SCS"),'Input|Historical Data'!$AG$9:$AG$3279)+SUMPRODUCT(--('Input|Customer Contributions'!$E$9:$E$21=$E173),'Input|Customer Contributions'!L$9:L$21)</f>
        <v>0</v>
      </c>
      <c r="L173" s="55">
        <f>SUMPRODUCT(--('Input|Historical Data'!$AO$9:$AO$3279=$E173),--('Input|Historical Data'!$AY$9:$AY$3279="SCS"),'Input|Historical Data'!$AS$9:$AS$3279)+SUMPRODUCT(--('Input|Customer Contributions'!$E$9:$E$21=$E173),'Input|Customer Contributions'!M$9:M$21)</f>
        <v>0</v>
      </c>
      <c r="M173" s="118">
        <f t="shared" si="5"/>
        <v>0</v>
      </c>
      <c r="N173" s="118">
        <f t="shared" si="5"/>
        <v>0</v>
      </c>
      <c r="O173" s="118">
        <f t="shared" si="5"/>
        <v>0</v>
      </c>
      <c r="P173" s="118">
        <f t="shared" si="5"/>
        <v>0</v>
      </c>
      <c r="Q173" s="118">
        <f t="shared" si="5"/>
        <v>0</v>
      </c>
      <c r="R173" s="118">
        <f t="shared" si="5"/>
        <v>0</v>
      </c>
      <c r="S173" s="118">
        <f t="shared" si="5"/>
        <v>0</v>
      </c>
      <c r="T173" s="7"/>
      <c r="U173" s="7"/>
    </row>
    <row r="174" spans="1:21" x14ac:dyDescent="0.2">
      <c r="A174" s="7"/>
      <c r="B174" s="7"/>
      <c r="C174" s="7"/>
      <c r="D174" s="7"/>
      <c r="E174" s="39">
        <v>220</v>
      </c>
      <c r="F174" s="39" t="s">
        <v>2287</v>
      </c>
      <c r="G174" s="39" t="str">
        <f>VLOOKUP(E174,Mapping!$E$11:$G$96,3,0)</f>
        <v>Non-network general assets - Other</v>
      </c>
      <c r="H174" s="39" t="str">
        <f>VLOOKUP(E174,Mapping!$E$11:$K$96,7,0)</f>
        <v>Non-network general assets - Other</v>
      </c>
      <c r="I174" s="55">
        <f>SUMPRODUCT(--('Input|Historical Data'!$E$9:$E$3279=$E174),--('Input|Historical Data'!$O$9:$O$3279="SCS"),'Input|Historical Data'!$I$9:$I$3279)+SUMPRODUCT(--('Input|Customer Contributions'!$E$9:$E$21=$E174),'Input|Customer Contributions'!J$9:J$21)</f>
        <v>8.9209999999999994</v>
      </c>
      <c r="J174" s="55">
        <f>SUMPRODUCT(--('Input|Historical Data'!$Q$9:$Q$3280=$E174),--('Input|Historical Data'!$AA$9:$AA$3280="SCS"),'Input|Historical Data'!$U$9:$U$3280)+SUMPRODUCT(--('Input|Customer Contributions'!$E$9:$E$21=$E174),'Input|Customer Contributions'!K$9:K$21)</f>
        <v>0</v>
      </c>
      <c r="K174" s="55">
        <f>SUMPRODUCT(--('Input|Historical Data'!$AC$9:$AC$3279=$E174),--('Input|Historical Data'!$AM$9:$AM$3279="SCS"),'Input|Historical Data'!$AG$9:$AG$3279)+SUMPRODUCT(--('Input|Customer Contributions'!$E$9:$E$21=$E174),'Input|Customer Contributions'!L$9:L$21)</f>
        <v>0</v>
      </c>
      <c r="L174" s="55">
        <f>SUMPRODUCT(--('Input|Historical Data'!$AO$9:$AO$3279=$E174),--('Input|Historical Data'!$AY$9:$AY$3279="SCS"),'Input|Historical Data'!$AS$9:$AS$3279)+SUMPRODUCT(--('Input|Customer Contributions'!$E$9:$E$21=$E174),'Input|Customer Contributions'!M$9:M$21)</f>
        <v>0</v>
      </c>
      <c r="M174" s="118">
        <f t="shared" si="5"/>
        <v>0</v>
      </c>
      <c r="N174" s="118">
        <f t="shared" si="5"/>
        <v>0</v>
      </c>
      <c r="O174" s="118">
        <f t="shared" si="5"/>
        <v>0</v>
      </c>
      <c r="P174" s="118">
        <f t="shared" si="5"/>
        <v>0</v>
      </c>
      <c r="Q174" s="118">
        <f t="shared" si="5"/>
        <v>0</v>
      </c>
      <c r="R174" s="118">
        <f t="shared" si="5"/>
        <v>0</v>
      </c>
      <c r="S174" s="118">
        <f t="shared" si="5"/>
        <v>0</v>
      </c>
      <c r="T174" s="7"/>
      <c r="U174" s="7"/>
    </row>
    <row r="175" spans="1:21" x14ac:dyDescent="0.2">
      <c r="A175" s="7"/>
      <c r="B175" s="7"/>
      <c r="C175" s="7"/>
      <c r="D175" s="7"/>
      <c r="E175" s="39">
        <v>225</v>
      </c>
      <c r="F175" s="39" t="s">
        <v>2288</v>
      </c>
      <c r="G175" s="39" t="str">
        <f>VLOOKUP(E175,Mapping!$E$11:$G$96,3,0)</f>
        <v>Metering Capex</v>
      </c>
      <c r="H175" s="39" t="str">
        <f>VLOOKUP(E175,Mapping!$E$11:$K$96,7,0)</f>
        <v>Metering Services</v>
      </c>
      <c r="I175" s="55">
        <f>SUMPRODUCT(--('Input|Historical Data'!$E$9:$E$3279=$E175),--('Input|Historical Data'!$O$9:$O$3279="SCS"),'Input|Historical Data'!$I$9:$I$3279)+SUMPRODUCT(--('Input|Customer Contributions'!$E$9:$E$21=$E175),'Input|Customer Contributions'!J$9:J$21)</f>
        <v>0</v>
      </c>
      <c r="J175" s="55">
        <f>SUMPRODUCT(--('Input|Historical Data'!$Q$9:$Q$3280=$E175),--('Input|Historical Data'!$AA$9:$AA$3280="SCS"),'Input|Historical Data'!$U$9:$U$3280)+SUMPRODUCT(--('Input|Customer Contributions'!$E$9:$E$21=$E175),'Input|Customer Contributions'!K$9:K$21)</f>
        <v>0</v>
      </c>
      <c r="K175" s="55">
        <f>SUMPRODUCT(--('Input|Historical Data'!$AC$9:$AC$3279=$E175),--('Input|Historical Data'!$AM$9:$AM$3279="SCS"),'Input|Historical Data'!$AG$9:$AG$3279)+SUMPRODUCT(--('Input|Customer Contributions'!$E$9:$E$21=$E175),'Input|Customer Contributions'!L$9:L$21)</f>
        <v>0</v>
      </c>
      <c r="L175" s="55">
        <f>SUMPRODUCT(--('Input|Historical Data'!$AO$9:$AO$3279=$E175),--('Input|Historical Data'!$AY$9:$AY$3279="SCS"),'Input|Historical Data'!$AS$9:$AS$3279)+SUMPRODUCT(--('Input|Customer Contributions'!$E$9:$E$21=$E175),'Input|Customer Contributions'!M$9:M$21)</f>
        <v>0</v>
      </c>
      <c r="M175" s="118">
        <f t="shared" si="5"/>
        <v>0</v>
      </c>
      <c r="N175" s="118">
        <f t="shared" si="5"/>
        <v>0</v>
      </c>
      <c r="O175" s="118">
        <f t="shared" si="5"/>
        <v>0</v>
      </c>
      <c r="P175" s="118">
        <f t="shared" si="5"/>
        <v>0</v>
      </c>
      <c r="Q175" s="118">
        <f t="shared" si="5"/>
        <v>0</v>
      </c>
      <c r="R175" s="118">
        <f t="shared" si="5"/>
        <v>0</v>
      </c>
      <c r="S175" s="118">
        <f t="shared" si="5"/>
        <v>0</v>
      </c>
      <c r="T175" s="7"/>
      <c r="U175" s="7"/>
    </row>
    <row r="176" spans="1:21" x14ac:dyDescent="0.2">
      <c r="A176" s="7"/>
      <c r="B176" s="7"/>
      <c r="C176" s="7"/>
      <c r="D176" s="7"/>
      <c r="E176" s="39">
        <v>230</v>
      </c>
      <c r="F176" s="39" t="s">
        <v>2289</v>
      </c>
      <c r="G176" s="39" t="str">
        <f>VLOOKUP(E176,Mapping!$E$11:$G$96,3,0)</f>
        <v>Non-network general assets - Other</v>
      </c>
      <c r="H176" s="39" t="str">
        <f>VLOOKUP(E176,Mapping!$E$11:$K$96,7,0)</f>
        <v>Non-network general assets - Other</v>
      </c>
      <c r="I176" s="55">
        <f>SUMPRODUCT(--('Input|Historical Data'!$E$9:$E$3279=$E176),--('Input|Historical Data'!$O$9:$O$3279="SCS"),'Input|Historical Data'!$I$9:$I$3279)+SUMPRODUCT(--('Input|Customer Contributions'!$E$9:$E$21=$E176),'Input|Customer Contributions'!J$9:J$21)</f>
        <v>19.823160000000001</v>
      </c>
      <c r="J176" s="55">
        <f>SUMPRODUCT(--('Input|Historical Data'!$Q$9:$Q$3280=$E176),--('Input|Historical Data'!$AA$9:$AA$3280="SCS"),'Input|Historical Data'!$U$9:$U$3280)+SUMPRODUCT(--('Input|Customer Contributions'!$E$9:$E$21=$E176),'Input|Customer Contributions'!K$9:K$21)</f>
        <v>2663.9867100000001</v>
      </c>
      <c r="K176" s="55">
        <f>SUMPRODUCT(--('Input|Historical Data'!$AC$9:$AC$3279=$E176),--('Input|Historical Data'!$AM$9:$AM$3279="SCS"),'Input|Historical Data'!$AG$9:$AG$3279)+SUMPRODUCT(--('Input|Customer Contributions'!$E$9:$E$21=$E176),'Input|Customer Contributions'!L$9:L$21)</f>
        <v>15835.51093</v>
      </c>
      <c r="L176" s="55">
        <f>SUMPRODUCT(--('Input|Historical Data'!$AO$9:$AO$3279=$E176),--('Input|Historical Data'!$AY$9:$AY$3279="SCS"),'Input|Historical Data'!$AS$9:$AS$3279)+SUMPRODUCT(--('Input|Customer Contributions'!$E$9:$E$21=$E176),'Input|Customer Contributions'!M$9:M$21)</f>
        <v>1170.8917999999999</v>
      </c>
      <c r="M176" s="118">
        <f t="shared" si="5"/>
        <v>3128.6446272584531</v>
      </c>
      <c r="N176" s="118">
        <f t="shared" si="5"/>
        <v>1635.1968688815411</v>
      </c>
      <c r="O176" s="118">
        <f t="shared" si="5"/>
        <v>4744.2746881943858</v>
      </c>
      <c r="P176" s="118">
        <f t="shared" si="5"/>
        <v>3870.5640390748817</v>
      </c>
      <c r="Q176" s="118">
        <f t="shared" si="5"/>
        <v>2813.3568752237934</v>
      </c>
      <c r="R176" s="118">
        <f t="shared" si="5"/>
        <v>1946.7774893624153</v>
      </c>
      <c r="S176" s="118">
        <f t="shared" si="5"/>
        <v>1946.7774893624153</v>
      </c>
      <c r="T176" s="7"/>
      <c r="U176" s="7"/>
    </row>
    <row r="177" spans="1:21" x14ac:dyDescent="0.2">
      <c r="A177" s="7"/>
      <c r="B177" s="7"/>
      <c r="C177" s="7"/>
      <c r="D177" s="7"/>
      <c r="E177" s="39">
        <v>235</v>
      </c>
      <c r="F177" s="39" t="s">
        <v>2290</v>
      </c>
      <c r="G177" s="39" t="str">
        <f>VLOOKUP(E177,Mapping!$E$11:$G$96,3,0)</f>
        <v>Metering Capex</v>
      </c>
      <c r="H177" s="39" t="str">
        <f>VLOOKUP(E177,Mapping!$E$11:$K$96,7,0)</f>
        <v>Metering Services</v>
      </c>
      <c r="I177" s="55">
        <f>SUMPRODUCT(--('Input|Historical Data'!$E$9:$E$3279=$E177),--('Input|Historical Data'!$O$9:$O$3279="SCS"),'Input|Historical Data'!$I$9:$I$3279)+SUMPRODUCT(--('Input|Customer Contributions'!$E$9:$E$21=$E177),'Input|Customer Contributions'!J$9:J$21)</f>
        <v>0</v>
      </c>
      <c r="J177" s="55">
        <f>SUMPRODUCT(--('Input|Historical Data'!$Q$9:$Q$3280=$E177),--('Input|Historical Data'!$AA$9:$AA$3280="SCS"),'Input|Historical Data'!$U$9:$U$3280)+SUMPRODUCT(--('Input|Customer Contributions'!$E$9:$E$21=$E177),'Input|Customer Contributions'!K$9:K$21)</f>
        <v>0</v>
      </c>
      <c r="K177" s="55">
        <f>SUMPRODUCT(--('Input|Historical Data'!$AC$9:$AC$3279=$E177),--('Input|Historical Data'!$AM$9:$AM$3279="SCS"),'Input|Historical Data'!$AG$9:$AG$3279)+SUMPRODUCT(--('Input|Customer Contributions'!$E$9:$E$21=$E177),'Input|Customer Contributions'!L$9:L$21)</f>
        <v>0</v>
      </c>
      <c r="L177" s="55">
        <f>SUMPRODUCT(--('Input|Historical Data'!$AO$9:$AO$3279=$E177),--('Input|Historical Data'!$AY$9:$AY$3279="SCS"),'Input|Historical Data'!$AS$9:$AS$3279)+SUMPRODUCT(--('Input|Customer Contributions'!$E$9:$E$21=$E177),'Input|Customer Contributions'!M$9:M$21)</f>
        <v>0</v>
      </c>
      <c r="M177" s="118">
        <f t="shared" si="5"/>
        <v>0</v>
      </c>
      <c r="N177" s="118">
        <f t="shared" si="5"/>
        <v>0</v>
      </c>
      <c r="O177" s="118">
        <f t="shared" si="5"/>
        <v>0</v>
      </c>
      <c r="P177" s="118">
        <f t="shared" si="5"/>
        <v>0</v>
      </c>
      <c r="Q177" s="118">
        <f t="shared" si="5"/>
        <v>0</v>
      </c>
      <c r="R177" s="118">
        <f t="shared" si="5"/>
        <v>0</v>
      </c>
      <c r="S177" s="118">
        <f t="shared" si="5"/>
        <v>0</v>
      </c>
      <c r="T177" s="7"/>
      <c r="U177" s="7"/>
    </row>
    <row r="178" spans="1:21" x14ac:dyDescent="0.2">
      <c r="A178" s="7"/>
      <c r="B178" s="7"/>
      <c r="C178" s="7"/>
      <c r="D178" s="7"/>
      <c r="E178" s="39">
        <v>240</v>
      </c>
      <c r="F178" s="39" t="s">
        <v>2291</v>
      </c>
      <c r="G178" s="39" t="str">
        <f>VLOOKUP(E178,Mapping!$E$11:$G$96,3,0)</f>
        <v>Non-network general assets - Other</v>
      </c>
      <c r="H178" s="39" t="str">
        <f>VLOOKUP(E178,Mapping!$E$11:$K$96,7,0)</f>
        <v>Non-network general assets - Other</v>
      </c>
      <c r="I178" s="55">
        <f>SUMPRODUCT(--('Input|Historical Data'!$E$9:$E$3279=$E178),--('Input|Historical Data'!$O$9:$O$3279="SCS"),'Input|Historical Data'!$I$9:$I$3279)+SUMPRODUCT(--('Input|Customer Contributions'!$E$9:$E$21=$E178),'Input|Customer Contributions'!J$9:J$21)</f>
        <v>229.14574999999999</v>
      </c>
      <c r="J178" s="55">
        <f>SUMPRODUCT(--('Input|Historical Data'!$Q$9:$Q$3280=$E178),--('Input|Historical Data'!$AA$9:$AA$3280="SCS"),'Input|Historical Data'!$U$9:$U$3280)+SUMPRODUCT(--('Input|Customer Contributions'!$E$9:$E$21=$E178),'Input|Customer Contributions'!K$9:K$21)</f>
        <v>434.37441999999999</v>
      </c>
      <c r="K178" s="55">
        <f>SUMPRODUCT(--('Input|Historical Data'!$AC$9:$AC$3279=$E178),--('Input|Historical Data'!$AM$9:$AM$3279="SCS"),'Input|Historical Data'!$AG$9:$AG$3279)+SUMPRODUCT(--('Input|Customer Contributions'!$E$9:$E$21=$E178),'Input|Customer Contributions'!L$9:L$21)</f>
        <v>42.799010000000003</v>
      </c>
      <c r="L178" s="55">
        <f>SUMPRODUCT(--('Input|Historical Data'!$AO$9:$AO$3279=$E178),--('Input|Historical Data'!$AY$9:$AY$3279="SCS"),'Input|Historical Data'!$AS$9:$AS$3279)+SUMPRODUCT(--('Input|Customer Contributions'!$E$9:$E$21=$E178),'Input|Customer Contributions'!M$9:M$21)</f>
        <v>83.908749999999998</v>
      </c>
      <c r="M178" s="118">
        <f t="shared" si="5"/>
        <v>2606.0950097799623</v>
      </c>
      <c r="N178" s="118">
        <f t="shared" si="5"/>
        <v>4225.4001905017276</v>
      </c>
      <c r="O178" s="118">
        <f t="shared" si="5"/>
        <v>1241.9830617729704</v>
      </c>
      <c r="P178" s="118">
        <f t="shared" si="5"/>
        <v>1241.9830617729704</v>
      </c>
      <c r="Q178" s="118">
        <f t="shared" si="5"/>
        <v>827.98870784864721</v>
      </c>
      <c r="R178" s="118">
        <f t="shared" si="5"/>
        <v>413.9943539243236</v>
      </c>
      <c r="S178" s="118">
        <f t="shared" si="5"/>
        <v>413.9943539243236</v>
      </c>
      <c r="T178" s="7"/>
      <c r="U178" s="7"/>
    </row>
    <row r="179" spans="1:21" x14ac:dyDescent="0.2">
      <c r="A179" s="7"/>
      <c r="B179" s="7"/>
      <c r="C179" s="7"/>
      <c r="D179" s="7"/>
      <c r="E179" s="39">
        <v>245</v>
      </c>
      <c r="F179" s="39" t="s">
        <v>2292</v>
      </c>
      <c r="G179" s="39" t="str">
        <f>VLOOKUP(E179,Mapping!$E$11:$G$96,3,0)</f>
        <v>Metering Capex</v>
      </c>
      <c r="H179" s="39" t="str">
        <f>VLOOKUP(E179,Mapping!$E$11:$K$96,7,0)</f>
        <v>Metering Services</v>
      </c>
      <c r="I179" s="55">
        <f>SUMPRODUCT(--('Input|Historical Data'!$E$9:$E$3279=$E179),--('Input|Historical Data'!$O$9:$O$3279="SCS"),'Input|Historical Data'!$I$9:$I$3279)+SUMPRODUCT(--('Input|Customer Contributions'!$E$9:$E$21=$E179),'Input|Customer Contributions'!J$9:J$21)</f>
        <v>0</v>
      </c>
      <c r="J179" s="55">
        <f>SUMPRODUCT(--('Input|Historical Data'!$Q$9:$Q$3280=$E179),--('Input|Historical Data'!$AA$9:$AA$3280="SCS"),'Input|Historical Data'!$U$9:$U$3280)+SUMPRODUCT(--('Input|Customer Contributions'!$E$9:$E$21=$E179),'Input|Customer Contributions'!K$9:K$21)</f>
        <v>0</v>
      </c>
      <c r="K179" s="55">
        <f>SUMPRODUCT(--('Input|Historical Data'!$AC$9:$AC$3279=$E179),--('Input|Historical Data'!$AM$9:$AM$3279="SCS"),'Input|Historical Data'!$AG$9:$AG$3279)+SUMPRODUCT(--('Input|Customer Contributions'!$E$9:$E$21=$E179),'Input|Customer Contributions'!L$9:L$21)</f>
        <v>0</v>
      </c>
      <c r="L179" s="55">
        <f>SUMPRODUCT(--('Input|Historical Data'!$AO$9:$AO$3279=$E179),--('Input|Historical Data'!$AY$9:$AY$3279="SCS"),'Input|Historical Data'!$AS$9:$AS$3279)+SUMPRODUCT(--('Input|Customer Contributions'!$E$9:$E$21=$E179),'Input|Customer Contributions'!M$9:M$21)</f>
        <v>0</v>
      </c>
      <c r="M179" s="118">
        <f t="shared" si="5"/>
        <v>0</v>
      </c>
      <c r="N179" s="118">
        <f t="shared" si="5"/>
        <v>0</v>
      </c>
      <c r="O179" s="118">
        <f t="shared" si="5"/>
        <v>0</v>
      </c>
      <c r="P179" s="118">
        <f t="shared" si="5"/>
        <v>0</v>
      </c>
      <c r="Q179" s="118">
        <f t="shared" si="5"/>
        <v>0</v>
      </c>
      <c r="R179" s="118">
        <f t="shared" si="5"/>
        <v>0</v>
      </c>
      <c r="S179" s="118">
        <f t="shared" si="5"/>
        <v>0</v>
      </c>
      <c r="T179" s="7"/>
      <c r="U179" s="7"/>
    </row>
    <row r="180" spans="1:21" x14ac:dyDescent="0.2">
      <c r="A180" s="7"/>
      <c r="B180" s="7"/>
      <c r="C180" s="7"/>
      <c r="D180" s="7"/>
      <c r="E180" s="39">
        <v>260</v>
      </c>
      <c r="F180" s="39" t="s">
        <v>2293</v>
      </c>
      <c r="G180" s="39" t="str">
        <f>VLOOKUP(E180,Mapping!$E$11:$G$96,3,0)</f>
        <v>Non-network general assets - Other</v>
      </c>
      <c r="H180" s="39" t="str">
        <f>VLOOKUP(E180,Mapping!$E$11:$K$96,7,0)</f>
        <v>Non-network general assets - Other</v>
      </c>
      <c r="I180" s="55">
        <f>SUMPRODUCT(--('Input|Historical Data'!$E$9:$E$3279=$E180),--('Input|Historical Data'!$O$9:$O$3279="SCS"),'Input|Historical Data'!$I$9:$I$3279)+SUMPRODUCT(--('Input|Customer Contributions'!$E$9:$E$21=$E180),'Input|Customer Contributions'!J$9:J$21)</f>
        <v>0</v>
      </c>
      <c r="J180" s="55">
        <f>SUMPRODUCT(--('Input|Historical Data'!$Q$9:$Q$3280=$E180),--('Input|Historical Data'!$AA$9:$AA$3280="SCS"),'Input|Historical Data'!$U$9:$U$3280)+SUMPRODUCT(--('Input|Customer Contributions'!$E$9:$E$21=$E180),'Input|Customer Contributions'!K$9:K$21)</f>
        <v>0</v>
      </c>
      <c r="K180" s="55">
        <f>SUMPRODUCT(--('Input|Historical Data'!$AC$9:$AC$3279=$E180),--('Input|Historical Data'!$AM$9:$AM$3279="SCS"),'Input|Historical Data'!$AG$9:$AG$3279)+SUMPRODUCT(--('Input|Customer Contributions'!$E$9:$E$21=$E180),'Input|Customer Contributions'!L$9:L$21)</f>
        <v>0</v>
      </c>
      <c r="L180" s="55">
        <f>SUMPRODUCT(--('Input|Historical Data'!$AO$9:$AO$3279=$E180),--('Input|Historical Data'!$AY$9:$AY$3279="SCS"),'Input|Historical Data'!$AS$9:$AS$3279)+SUMPRODUCT(--('Input|Customer Contributions'!$E$9:$E$21=$E180),'Input|Customer Contributions'!M$9:M$21)</f>
        <v>0</v>
      </c>
      <c r="M180" s="118">
        <f t="shared" si="5"/>
        <v>0</v>
      </c>
      <c r="N180" s="118">
        <f t="shared" si="5"/>
        <v>0</v>
      </c>
      <c r="O180" s="118">
        <f t="shared" si="5"/>
        <v>0</v>
      </c>
      <c r="P180" s="118">
        <f t="shared" si="5"/>
        <v>0</v>
      </c>
      <c r="Q180" s="118">
        <f t="shared" si="5"/>
        <v>0</v>
      </c>
      <c r="R180" s="118">
        <f t="shared" si="5"/>
        <v>0</v>
      </c>
      <c r="S180" s="118">
        <f t="shared" si="5"/>
        <v>0</v>
      </c>
      <c r="T180" s="7"/>
      <c r="U180" s="7"/>
    </row>
    <row r="181" spans="1:21" x14ac:dyDescent="0.2">
      <c r="A181" s="7"/>
      <c r="B181" s="7"/>
      <c r="C181" s="7"/>
      <c r="D181" s="7"/>
      <c r="E181" s="39">
        <v>270</v>
      </c>
      <c r="F181" s="39" t="s">
        <v>2294</v>
      </c>
      <c r="G181" s="39" t="str">
        <f>VLOOKUP(E181,Mapping!$E$11:$G$96,3,0)</f>
        <v>Non-network general assets - IT</v>
      </c>
      <c r="H181" s="39" t="str">
        <f>VLOOKUP(E181,Mapping!$E$11:$K$96,7,0)</f>
        <v>Non-network general assets - IT</v>
      </c>
      <c r="I181" s="55">
        <f>SUMPRODUCT(--('Input|Historical Data'!$E$9:$E$3279=$E181),--('Input|Historical Data'!$O$9:$O$3279="SCS"),'Input|Historical Data'!$I$9:$I$3279)+SUMPRODUCT(--('Input|Customer Contributions'!$E$9:$E$21=$E181),'Input|Customer Contributions'!J$9:J$21)</f>
        <v>513.35351000000003</v>
      </c>
      <c r="J181" s="55">
        <f>SUMPRODUCT(--('Input|Historical Data'!$Q$9:$Q$3280=$E181),--('Input|Historical Data'!$AA$9:$AA$3280="SCS"),'Input|Historical Data'!$U$9:$U$3280)+SUMPRODUCT(--('Input|Customer Contributions'!$E$9:$E$21=$E181),'Input|Customer Contributions'!K$9:K$21)</f>
        <v>0</v>
      </c>
      <c r="K181" s="55">
        <f>SUMPRODUCT(--('Input|Historical Data'!$AC$9:$AC$3279=$E181),--('Input|Historical Data'!$AM$9:$AM$3279="SCS"),'Input|Historical Data'!$AG$9:$AG$3279)+SUMPRODUCT(--('Input|Customer Contributions'!$E$9:$E$21=$E181),'Input|Customer Contributions'!L$9:L$21)</f>
        <v>0</v>
      </c>
      <c r="L181" s="55">
        <f>SUMPRODUCT(--('Input|Historical Data'!$AO$9:$AO$3279=$E181),--('Input|Historical Data'!$AY$9:$AY$3279="SCS"),'Input|Historical Data'!$AS$9:$AS$3279)+SUMPRODUCT(--('Input|Customer Contributions'!$E$9:$E$21=$E181),'Input|Customer Contributions'!M$9:M$21)</f>
        <v>0</v>
      </c>
      <c r="M181" s="118">
        <f t="shared" si="5"/>
        <v>0</v>
      </c>
      <c r="N181" s="118">
        <f t="shared" si="5"/>
        <v>0</v>
      </c>
      <c r="O181" s="118">
        <f t="shared" si="5"/>
        <v>0</v>
      </c>
      <c r="P181" s="118">
        <f t="shared" si="5"/>
        <v>0</v>
      </c>
      <c r="Q181" s="118">
        <f t="shared" si="5"/>
        <v>0</v>
      </c>
      <c r="R181" s="118">
        <f t="shared" si="5"/>
        <v>0</v>
      </c>
      <c r="S181" s="118">
        <f t="shared" si="5"/>
        <v>0</v>
      </c>
      <c r="T181" s="7"/>
      <c r="U181" s="7"/>
    </row>
    <row r="182" spans="1:21" x14ac:dyDescent="0.2">
      <c r="A182" s="7"/>
      <c r="B182" s="7"/>
      <c r="C182" s="7"/>
      <c r="D182" s="7"/>
      <c r="E182" s="39">
        <v>273</v>
      </c>
      <c r="F182" s="39" t="s">
        <v>2295</v>
      </c>
      <c r="G182" s="39" t="str">
        <f>VLOOKUP(E182,Mapping!$E$11:$G$96,3,0)</f>
        <v>Non-network general assets - Other</v>
      </c>
      <c r="H182" s="39" t="str">
        <f>VLOOKUP(E182,Mapping!$E$11:$K$96,7,0)</f>
        <v>Non-network general assets - Other</v>
      </c>
      <c r="I182" s="55">
        <f>SUMPRODUCT(--('Input|Historical Data'!$E$9:$E$3279=$E182),--('Input|Historical Data'!$O$9:$O$3279="SCS"),'Input|Historical Data'!$I$9:$I$3279)+SUMPRODUCT(--('Input|Customer Contributions'!$E$9:$E$21=$E182),'Input|Customer Contributions'!J$9:J$21)</f>
        <v>0</v>
      </c>
      <c r="J182" s="55">
        <f>SUMPRODUCT(--('Input|Historical Data'!$Q$9:$Q$3280=$E182),--('Input|Historical Data'!$AA$9:$AA$3280="SCS"),'Input|Historical Data'!$U$9:$U$3280)+SUMPRODUCT(--('Input|Customer Contributions'!$E$9:$E$21=$E182),'Input|Customer Contributions'!K$9:K$21)</f>
        <v>23.982489999999999</v>
      </c>
      <c r="K182" s="55">
        <f>SUMPRODUCT(--('Input|Historical Data'!$AC$9:$AC$3279=$E182),--('Input|Historical Data'!$AM$9:$AM$3279="SCS"),'Input|Historical Data'!$AG$9:$AG$3279)+SUMPRODUCT(--('Input|Customer Contributions'!$E$9:$E$21=$E182),'Input|Customer Contributions'!L$9:L$21)</f>
        <v>0</v>
      </c>
      <c r="L182" s="55">
        <f>SUMPRODUCT(--('Input|Historical Data'!$AO$9:$AO$3279=$E182),--('Input|Historical Data'!$AY$9:$AY$3279="SCS"),'Input|Historical Data'!$AS$9:$AS$3279)+SUMPRODUCT(--('Input|Customer Contributions'!$E$9:$E$21=$E182),'Input|Customer Contributions'!M$9:M$21)</f>
        <v>0</v>
      </c>
      <c r="M182" s="118">
        <f t="shared" si="5"/>
        <v>0</v>
      </c>
      <c r="N182" s="118">
        <f t="shared" si="5"/>
        <v>0</v>
      </c>
      <c r="O182" s="118">
        <f t="shared" si="5"/>
        <v>0</v>
      </c>
      <c r="P182" s="118">
        <f t="shared" si="5"/>
        <v>0</v>
      </c>
      <c r="Q182" s="118">
        <f t="shared" si="5"/>
        <v>0</v>
      </c>
      <c r="R182" s="118">
        <f t="shared" si="5"/>
        <v>0</v>
      </c>
      <c r="S182" s="118">
        <f t="shared" si="5"/>
        <v>0</v>
      </c>
      <c r="T182" s="7"/>
      <c r="U182" s="7"/>
    </row>
    <row r="183" spans="1:21" x14ac:dyDescent="0.2">
      <c r="A183" s="7"/>
      <c r="B183" s="7"/>
      <c r="C183" s="7"/>
      <c r="D183" s="7"/>
      <c r="E183" s="60" t="s">
        <v>2329</v>
      </c>
      <c r="F183" s="60"/>
      <c r="G183" s="60"/>
      <c r="H183" s="60"/>
      <c r="I183" s="61">
        <f>SUM(I98:I182)</f>
        <v>166336.9884780616</v>
      </c>
      <c r="J183" s="61">
        <f>SUM(J98:J182)</f>
        <v>162218.33993999998</v>
      </c>
      <c r="K183" s="61">
        <f t="shared" ref="K183:L183" si="6">SUM(K98:K182)</f>
        <v>147773.7785398165</v>
      </c>
      <c r="L183" s="61">
        <f t="shared" si="6"/>
        <v>152480.43505027727</v>
      </c>
      <c r="M183" s="61">
        <f t="shared" ref="M183" si="7">SUM(M98:M182)</f>
        <v>180644.01721592873</v>
      </c>
      <c r="N183" s="61">
        <f t="shared" ref="N183" si="8">SUM(N98:N182)</f>
        <v>213325.73766151001</v>
      </c>
      <c r="O183" s="61">
        <f t="shared" ref="O183" si="9">SUM(O98:O182)</f>
        <v>162080.76680452941</v>
      </c>
      <c r="P183" s="61">
        <f t="shared" ref="P183" si="10">SUM(P98:P182)</f>
        <v>181442.6459855357</v>
      </c>
      <c r="Q183" s="61">
        <f t="shared" ref="Q183" si="11">SUM(Q98:Q182)</f>
        <v>170554.82480659342</v>
      </c>
      <c r="R183" s="61">
        <f t="shared" ref="R183" si="12">SUM(R98:R182)</f>
        <v>159574.44112828857</v>
      </c>
      <c r="S183" s="61">
        <f t="shared" ref="S183" si="13">SUM(S98:S182)</f>
        <v>151006.54146943186</v>
      </c>
      <c r="T183" s="7"/>
      <c r="U183" s="7"/>
    </row>
    <row r="184" spans="1:2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</row>
    <row r="185" spans="1:2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102"/>
      <c r="M185" s="102"/>
      <c r="N185" s="102"/>
      <c r="O185" s="102"/>
      <c r="P185" s="102"/>
      <c r="Q185" s="102"/>
      <c r="R185" s="102"/>
      <c r="S185" s="102"/>
      <c r="T185" s="7"/>
      <c r="U185" s="7"/>
    </row>
    <row r="186" spans="1:2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</row>
    <row r="187" spans="1:2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</row>
    <row r="188" spans="1:21" s="21" customFormat="1" x14ac:dyDescent="0.2">
      <c r="A188" s="22" t="s">
        <v>9</v>
      </c>
      <c r="B188" s="22"/>
      <c r="C188" s="15"/>
      <c r="D188" s="24"/>
      <c r="E188" s="25"/>
      <c r="F188" s="25"/>
      <c r="G188" s="25"/>
      <c r="H188" s="26"/>
      <c r="I188" s="20"/>
      <c r="J188" s="20"/>
      <c r="K188" s="20"/>
      <c r="L188" s="25"/>
      <c r="M188" s="25"/>
    </row>
    <row r="189" spans="1:2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</row>
    <row r="190" spans="1:2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</row>
    <row r="191" spans="1:2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</row>
    <row r="192" spans="1:2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</row>
    <row r="193" spans="1:21" hidden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</row>
    <row r="194" spans="1:21" hidden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</row>
    <row r="195" spans="1:21" hidden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</row>
    <row r="196" spans="1:21" hidden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</row>
    <row r="197" spans="1:21" hidden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</row>
    <row r="198" spans="1:21" hidden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</row>
    <row r="199" spans="1:21" hidden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</row>
    <row r="200" spans="1:21" hidden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</row>
    <row r="201" spans="1:21" hidden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</row>
    <row r="202" spans="1:21" hidden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</row>
    <row r="203" spans="1:21" hidden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</row>
    <row r="204" spans="1:21" hidden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</row>
    <row r="205" spans="1:21" hidden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</row>
    <row r="206" spans="1:21" hidden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</row>
    <row r="207" spans="1:21" hidden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</row>
    <row r="208" spans="1:21" hidden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</row>
    <row r="209" spans="1:21" hidden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</row>
    <row r="210" spans="1:21" hidden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</row>
    <row r="211" spans="1:21" hidden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</row>
    <row r="212" spans="1:21" hidden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</row>
    <row r="213" spans="1:21" hidden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</row>
    <row r="214" spans="1:21" hidden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</row>
    <row r="215" spans="1:21" hidden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</row>
    <row r="216" spans="1:21" hidden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</row>
    <row r="217" spans="1:21" hidden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 hidden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 hidden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 hidden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 hidden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</row>
    <row r="222" spans="1:21" hidden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</row>
    <row r="223" spans="1:21" hidden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 hidden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</row>
    <row r="225" spans="1:21" hidden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</row>
    <row r="226" spans="1:21" hidden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</row>
    <row r="227" spans="1:21" hidden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</row>
    <row r="228" spans="1:21" hidden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</row>
    <row r="229" spans="1:21" hidden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</row>
    <row r="230" spans="1:21" hidden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</row>
    <row r="231" spans="1:21" hidden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</row>
    <row r="232" spans="1:21" hidden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 hidden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</row>
    <row r="234" spans="1:21" hidden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</row>
    <row r="235" spans="1:21" hidden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 hidden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 hidden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</row>
    <row r="238" spans="1:21" hidden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</row>
    <row r="239" spans="1:21" hidden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</row>
    <row r="240" spans="1:21" hidden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</row>
    <row r="241" spans="1:21" hidden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</row>
    <row r="242" spans="1:21" hidden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</row>
    <row r="243" spans="1:21" hidden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</row>
    <row r="244" spans="1:21" hidden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</row>
    <row r="245" spans="1:21" hidden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 hidden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</row>
    <row r="247" spans="1:21" hidden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</row>
    <row r="248" spans="1:21" hidden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</row>
    <row r="249" spans="1:21" hidden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 hidden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</row>
    <row r="251" spans="1:21" hidden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</row>
    <row r="252" spans="1:21" hidden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</row>
    <row r="253" spans="1:21" hidden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</row>
    <row r="254" spans="1:21" hidden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</row>
    <row r="255" spans="1:21" hidden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</row>
    <row r="256" spans="1:21" hidden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</row>
    <row r="257" spans="1:21" hidden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</row>
    <row r="258" spans="1:21" hidden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 hidden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</row>
    <row r="260" spans="1:21" hidden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</row>
    <row r="261" spans="1:21" hidden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</row>
    <row r="262" spans="1:21" hidden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 hidden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</row>
    <row r="264" spans="1:21" hidden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</row>
    <row r="265" spans="1:21" hidden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</row>
    <row r="266" spans="1:21" hidden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</row>
    <row r="267" spans="1:21" hidden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</row>
    <row r="268" spans="1:21" hidden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</row>
    <row r="269" spans="1:21" hidden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</row>
    <row r="270" spans="1:21" hidden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</row>
    <row r="271" spans="1:21" hidden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 hidden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</row>
    <row r="273" spans="1:21" hidden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</row>
    <row r="274" spans="1:21" hidden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</row>
    <row r="275" spans="1:21" hidden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 hidden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</row>
    <row r="277" spans="1:21" hidden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</row>
    <row r="278" spans="1:21" hidden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</row>
    <row r="279" spans="1:21" hidden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</row>
    <row r="280" spans="1:21" hidden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</row>
    <row r="281" spans="1:21" hidden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</row>
    <row r="282" spans="1:21" hidden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</row>
    <row r="283" spans="1:21" hidden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</row>
    <row r="284" spans="1:21" hidden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 hidden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idden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</row>
    <row r="287" spans="1:21" hidden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 hidden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 hidden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 hidden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 hidden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 hidden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 hidden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</row>
    <row r="294" spans="1:21" hidden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5" spans="1:21" hidden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</row>
    <row r="296" spans="1:21" hidden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</row>
    <row r="297" spans="1:21" hidden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</row>
    <row r="298" spans="1:21" hidden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</row>
    <row r="299" spans="1:21" hidden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</row>
    <row r="300" spans="1:21" hidden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</row>
    <row r="301" spans="1:21" hidden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</row>
    <row r="302" spans="1:21" hidden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</row>
    <row r="303" spans="1:21" hidden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</row>
    <row r="304" spans="1:21" hidden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</row>
    <row r="305" spans="1:21" hidden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</row>
    <row r="306" spans="1:21" hidden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</row>
    <row r="307" spans="1:21" hidden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</row>
    <row r="308" spans="1:21" hidden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</row>
    <row r="309" spans="1:21" hidden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</row>
    <row r="310" spans="1:21" hidden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</row>
    <row r="311" spans="1:21" hidden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</row>
    <row r="312" spans="1:21" hidden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</row>
    <row r="313" spans="1:21" hidden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</row>
    <row r="314" spans="1:21" hidden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</row>
    <row r="315" spans="1:21" hidden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</row>
    <row r="316" spans="1:21" hidden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</row>
    <row r="317" spans="1:21" hidden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</row>
    <row r="318" spans="1:21" hidden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</row>
    <row r="319" spans="1:21" hidden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</row>
    <row r="320" spans="1:21" hidden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</row>
    <row r="321" spans="1:21" hidden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</row>
    <row r="322" spans="1:21" hidden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</row>
    <row r="323" spans="1:21" hidden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</row>
    <row r="324" spans="1:21" hidden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</row>
    <row r="325" spans="1:21" hidden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</row>
    <row r="326" spans="1:21" hidden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</row>
    <row r="327" spans="1:21" hidden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</row>
    <row r="328" spans="1:21" hidden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</row>
    <row r="329" spans="1:21" hidden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</row>
    <row r="330" spans="1:21" hidden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</row>
    <row r="331" spans="1:21" hidden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</row>
    <row r="332" spans="1:21" hidden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</row>
    <row r="333" spans="1:21" hidden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</row>
    <row r="334" spans="1:21" hidden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</row>
    <row r="335" spans="1:21" hidden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</row>
    <row r="336" spans="1:21" hidden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</row>
    <row r="337" spans="1:21" hidden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</row>
    <row r="338" spans="1:21" hidden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</row>
    <row r="339" spans="1:21" hidden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</row>
    <row r="340" spans="1:21" hidden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</row>
    <row r="341" spans="1:21" hidden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</row>
    <row r="342" spans="1:21" hidden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</row>
    <row r="343" spans="1:21" hidden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</row>
    <row r="344" spans="1:21" hidden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</row>
    <row r="345" spans="1:21" hidden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</row>
    <row r="346" spans="1:21" hidden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</row>
    <row r="347" spans="1:21" hidden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</row>
    <row r="348" spans="1:21" hidden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</row>
    <row r="349" spans="1:21" hidden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</row>
    <row r="350" spans="1:21" hidden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</row>
    <row r="351" spans="1:21" hidden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</row>
    <row r="352" spans="1:21" hidden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</row>
    <row r="353" spans="1:21" hidden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</row>
    <row r="354" spans="1:21" hidden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</row>
    <row r="355" spans="1:21" hidden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</row>
    <row r="356" spans="1:21" hidden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</row>
    <row r="357" spans="1:21" hidden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</row>
    <row r="358" spans="1:21" hidden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</row>
    <row r="359" spans="1:21" hidden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</row>
    <row r="360" spans="1:21" hidden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</row>
    <row r="361" spans="1:21" hidden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</row>
    <row r="362" spans="1:21" hidden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</row>
    <row r="363" spans="1:21" hidden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</row>
    <row r="364" spans="1:21" hidden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</row>
    <row r="365" spans="1:21" hidden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</row>
    <row r="366" spans="1:21" hidden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</row>
    <row r="367" spans="1:21" hidden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</row>
    <row r="368" spans="1:21" hidden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</row>
    <row r="369" spans="1:21" hidden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</row>
    <row r="370" spans="1:21" hidden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</row>
    <row r="371" spans="1:21" hidden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</row>
    <row r="372" spans="1:21" hidden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</row>
    <row r="373" spans="1:21" hidden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</row>
    <row r="374" spans="1:21" hidden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idden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</row>
    <row r="376" spans="1:21" hidden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</row>
    <row r="377" spans="1:21" hidden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</row>
    <row r="378" spans="1:21" hidden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</row>
    <row r="379" spans="1:21" hidden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</row>
    <row r="380" spans="1:21" hidden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</row>
    <row r="381" spans="1:21" hidden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</row>
    <row r="382" spans="1:21" hidden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</row>
    <row r="383" spans="1:21" hidden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</row>
    <row r="384" spans="1:21" hidden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</row>
    <row r="385" spans="1:21" hidden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</row>
    <row r="386" spans="1:21" hidden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</row>
    <row r="387" spans="1:21" hidden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</row>
    <row r="388" spans="1:21" hidden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</row>
    <row r="389" spans="1:21" hidden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</row>
    <row r="390" spans="1:21" hidden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</row>
    <row r="391" spans="1:21" hidden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</row>
    <row r="392" spans="1:21" hidden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</row>
    <row r="393" spans="1:21" hidden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</row>
    <row r="394" spans="1:21" hidden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</row>
    <row r="395" spans="1:21" hidden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</row>
    <row r="396" spans="1:21" hidden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</row>
    <row r="397" spans="1:21" hidden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</row>
    <row r="398" spans="1:21" hidden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</row>
    <row r="399" spans="1:21" hidden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</row>
    <row r="400" spans="1:21" hidden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</row>
    <row r="401" spans="1:21" hidden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</row>
    <row r="402" spans="1:21" hidden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</row>
    <row r="403" spans="1:21" hidden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</row>
  </sheetData>
  <autoFilter ref="E7:S94">
    <filterColumn colId="3">
      <filters>
        <filter val="SCADA/Network control"/>
      </filters>
    </filterColumn>
  </autoFilter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505"/>
  <sheetViews>
    <sheetView topLeftCell="A82" zoomScale="80" zoomScaleNormal="80" workbookViewId="0">
      <selection activeCell="B125" sqref="A125:B127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7" width="11.625" bestFit="1" customWidth="1"/>
    <col min="18" max="18" width="9" customWidth="1"/>
    <col min="19" max="22" width="0" hidden="1" customWidth="1"/>
    <col min="23" max="16384" width="9" hidden="1"/>
  </cols>
  <sheetData>
    <row r="1" spans="1:18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8"/>
      <c r="I1" s="19"/>
      <c r="J1" s="20"/>
      <c r="K1" s="20"/>
      <c r="L1" s="17"/>
      <c r="M1" s="17"/>
      <c r="N1" s="17"/>
      <c r="O1" s="17"/>
      <c r="P1" s="17"/>
      <c r="Q1" s="17"/>
      <c r="R1" s="17"/>
    </row>
    <row r="2" spans="1:18" x14ac:dyDescent="0.2">
      <c r="A2" s="22" t="str">
        <f ca="1" xml:space="preserve"> "Sheet: " &amp; RIGHT(CELL("filename", $A$1), LEN(CELL("filename", $A$1)) - SEARCH("]", CELL("filename", $A$1)))</f>
        <v>Sheet: Immediate deductions</v>
      </c>
      <c r="B2" s="22"/>
      <c r="C2" s="15"/>
      <c r="D2" s="16"/>
      <c r="E2" s="17"/>
      <c r="F2" s="17"/>
      <c r="G2" s="17"/>
      <c r="H2" s="17"/>
      <c r="I2" s="23"/>
      <c r="J2" s="20"/>
      <c r="K2" s="20"/>
      <c r="L2" s="17"/>
      <c r="M2" s="17"/>
      <c r="N2" s="17"/>
      <c r="O2" s="17"/>
      <c r="P2" s="17"/>
      <c r="Q2" s="17"/>
      <c r="R2" s="17"/>
    </row>
    <row r="3" spans="1:18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6"/>
      <c r="K3" s="20"/>
      <c r="L3" s="17"/>
      <c r="M3" s="17"/>
      <c r="N3" s="17"/>
      <c r="O3" s="17"/>
      <c r="P3" s="17"/>
      <c r="Q3" s="17"/>
      <c r="R3" s="17"/>
    </row>
    <row r="4" spans="1:18" x14ac:dyDescent="0.2">
      <c r="A4" s="22"/>
      <c r="B4" s="22"/>
      <c r="C4" s="15"/>
      <c r="D4" s="16"/>
      <c r="E4" s="17"/>
      <c r="F4" s="17"/>
      <c r="G4" s="17"/>
      <c r="H4" s="17"/>
      <c r="I4" s="23"/>
      <c r="J4" s="20"/>
      <c r="K4" s="20"/>
      <c r="L4" s="17"/>
      <c r="M4" s="17"/>
      <c r="N4" s="17"/>
      <c r="O4" s="17"/>
      <c r="P4" s="17"/>
      <c r="Q4" s="17"/>
      <c r="R4" s="17"/>
    </row>
    <row r="5" spans="1:18" x14ac:dyDescent="0.2">
      <c r="A5" s="22"/>
      <c r="B5" s="22"/>
      <c r="C5" s="22"/>
      <c r="D5" s="22"/>
      <c r="E5" s="261" t="s">
        <v>2068</v>
      </c>
      <c r="F5" s="262"/>
      <c r="G5" s="166"/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31" t="s">
        <v>2432</v>
      </c>
      <c r="N5" s="31" t="s">
        <v>2433</v>
      </c>
      <c r="O5" s="31" t="s">
        <v>2434</v>
      </c>
      <c r="P5" s="31" t="s">
        <v>2435</v>
      </c>
      <c r="Q5" s="31" t="s">
        <v>2436</v>
      </c>
      <c r="R5" s="17"/>
    </row>
    <row r="6" spans="1:18" x14ac:dyDescent="0.2">
      <c r="A6" s="1"/>
      <c r="B6" s="1"/>
      <c r="C6" s="2"/>
      <c r="D6" s="3"/>
      <c r="E6" s="167"/>
      <c r="F6" s="167"/>
      <c r="G6" s="167"/>
      <c r="H6" s="168" t="s">
        <v>2443</v>
      </c>
      <c r="I6" s="168" t="s">
        <v>2443</v>
      </c>
      <c r="J6" s="168" t="s">
        <v>2443</v>
      </c>
      <c r="K6" s="169"/>
      <c r="L6" s="8"/>
      <c r="M6" s="168" t="s">
        <v>2444</v>
      </c>
      <c r="N6" s="168" t="s">
        <v>2444</v>
      </c>
      <c r="O6" s="168" t="s">
        <v>2444</v>
      </c>
      <c r="P6" s="168" t="s">
        <v>2444</v>
      </c>
      <c r="Q6" s="168" t="s">
        <v>2444</v>
      </c>
      <c r="R6" s="167"/>
    </row>
    <row r="7" spans="1:18" x14ac:dyDescent="0.2">
      <c r="A7" s="1"/>
      <c r="B7" s="1"/>
      <c r="C7" s="2"/>
      <c r="D7" s="3"/>
      <c r="E7" s="167"/>
      <c r="F7" s="167"/>
      <c r="G7" s="167"/>
      <c r="H7" s="170"/>
      <c r="I7" s="170"/>
      <c r="J7" s="170"/>
      <c r="K7" s="6"/>
      <c r="L7" s="167"/>
      <c r="M7" s="167"/>
      <c r="N7" s="167"/>
      <c r="O7" s="167"/>
      <c r="P7" s="167"/>
      <c r="Q7" s="167"/>
      <c r="R7" s="167"/>
    </row>
    <row r="8" spans="1:18" x14ac:dyDescent="0.2">
      <c r="A8" s="22" t="s">
        <v>2445</v>
      </c>
      <c r="B8" s="22"/>
      <c r="C8" s="15"/>
      <c r="D8" s="24"/>
      <c r="E8" s="171"/>
      <c r="F8" s="171"/>
      <c r="G8" s="171"/>
      <c r="H8" s="35" t="s">
        <v>2367</v>
      </c>
      <c r="I8" s="35" t="s">
        <v>2367</v>
      </c>
      <c r="J8" s="35" t="s">
        <v>2367</v>
      </c>
      <c r="K8" s="7"/>
      <c r="L8" s="7"/>
      <c r="M8" s="35" t="s">
        <v>2428</v>
      </c>
      <c r="N8" s="35" t="s">
        <v>2428</v>
      </c>
      <c r="O8" s="35" t="s">
        <v>2428</v>
      </c>
      <c r="P8" s="35" t="s">
        <v>2428</v>
      </c>
      <c r="Q8" s="35" t="s">
        <v>2428</v>
      </c>
    </row>
    <row r="9" spans="1:18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 x14ac:dyDescent="0.2">
      <c r="A10" s="7"/>
      <c r="B10" s="7"/>
      <c r="C10" s="7"/>
      <c r="D10" s="7"/>
      <c r="E10" s="172" t="s">
        <v>2307</v>
      </c>
      <c r="F10" s="7"/>
      <c r="G10" s="7"/>
      <c r="H10" s="173">
        <f>H31+H52+H74</f>
        <v>6822.946185714819</v>
      </c>
      <c r="I10" s="173">
        <f t="shared" ref="I10:Q10" si="0">I31+I52+I74</f>
        <v>18279.49980146387</v>
      </c>
      <c r="J10" s="173">
        <f t="shared" si="0"/>
        <v>11061.86525571474</v>
      </c>
      <c r="K10" s="7"/>
      <c r="L10" s="7"/>
      <c r="M10" s="173">
        <f t="shared" si="0"/>
        <v>11581.501205514343</v>
      </c>
      <c r="N10" s="173">
        <f t="shared" si="0"/>
        <v>12253.034041918203</v>
      </c>
      <c r="O10" s="173">
        <f t="shared" si="0"/>
        <v>12047.475321176864</v>
      </c>
      <c r="P10" s="173">
        <f t="shared" si="0"/>
        <v>11906.254151755897</v>
      </c>
      <c r="Q10" s="173">
        <f t="shared" si="0"/>
        <v>12273.773397591922</v>
      </c>
      <c r="R10" s="7"/>
    </row>
    <row r="11" spans="1:18" x14ac:dyDescent="0.2">
      <c r="A11" s="7"/>
      <c r="B11" s="7"/>
      <c r="C11" s="7"/>
      <c r="D11" s="7"/>
      <c r="E11" s="172" t="s">
        <v>2310</v>
      </c>
      <c r="F11" s="7"/>
      <c r="G11" s="7"/>
      <c r="H11" s="173">
        <f t="shared" ref="H11:Q21" si="1">H32+H53+H75</f>
        <v>31564.50110848845</v>
      </c>
      <c r="I11" s="173">
        <f t="shared" si="1"/>
        <v>25911.114678157504</v>
      </c>
      <c r="J11" s="173">
        <f t="shared" si="1"/>
        <v>32853.782815697283</v>
      </c>
      <c r="K11" s="7"/>
      <c r="L11" s="7"/>
      <c r="M11" s="173">
        <f t="shared" si="1"/>
        <v>29537.89785361254</v>
      </c>
      <c r="N11" s="173">
        <f t="shared" si="1"/>
        <v>31242.809270190577</v>
      </c>
      <c r="O11" s="173">
        <f t="shared" si="1"/>
        <v>30718.43180597241</v>
      </c>
      <c r="P11" s="173">
        <f t="shared" si="1"/>
        <v>30359.227558658124</v>
      </c>
      <c r="Q11" s="173">
        <f t="shared" si="1"/>
        <v>31291.882186810792</v>
      </c>
      <c r="R11" s="7"/>
    </row>
    <row r="12" spans="1:18" x14ac:dyDescent="0.2">
      <c r="A12" s="7"/>
      <c r="B12" s="7"/>
      <c r="C12" s="7"/>
      <c r="D12" s="7"/>
      <c r="E12" s="172" t="s">
        <v>2311</v>
      </c>
      <c r="F12" s="7"/>
      <c r="G12" s="7"/>
      <c r="H12" s="173">
        <f t="shared" si="1"/>
        <v>0</v>
      </c>
      <c r="I12" s="173">
        <f t="shared" si="1"/>
        <v>0</v>
      </c>
      <c r="J12" s="173">
        <f t="shared" si="1"/>
        <v>0</v>
      </c>
      <c r="K12" s="7"/>
      <c r="L12" s="7"/>
      <c r="M12" s="173">
        <f t="shared" si="1"/>
        <v>0</v>
      </c>
      <c r="N12" s="173">
        <f t="shared" si="1"/>
        <v>0</v>
      </c>
      <c r="O12" s="173">
        <f t="shared" si="1"/>
        <v>0</v>
      </c>
      <c r="P12" s="173">
        <f t="shared" si="1"/>
        <v>0</v>
      </c>
      <c r="Q12" s="173">
        <f t="shared" si="1"/>
        <v>0</v>
      </c>
      <c r="R12" s="7"/>
    </row>
    <row r="13" spans="1:18" x14ac:dyDescent="0.2">
      <c r="A13" s="7"/>
      <c r="B13" s="7"/>
      <c r="C13" s="7"/>
      <c r="D13" s="7"/>
      <c r="E13" s="172" t="s">
        <v>2312</v>
      </c>
      <c r="F13" s="7"/>
      <c r="G13" s="7"/>
      <c r="H13" s="173">
        <f t="shared" si="1"/>
        <v>0</v>
      </c>
      <c r="I13" s="173">
        <f t="shared" si="1"/>
        <v>0</v>
      </c>
      <c r="J13" s="173">
        <f t="shared" si="1"/>
        <v>0</v>
      </c>
      <c r="K13" s="7"/>
      <c r="L13" s="7"/>
      <c r="M13" s="173">
        <f t="shared" si="1"/>
        <v>0</v>
      </c>
      <c r="N13" s="173">
        <f t="shared" si="1"/>
        <v>0</v>
      </c>
      <c r="O13" s="173">
        <f t="shared" si="1"/>
        <v>0</v>
      </c>
      <c r="P13" s="173">
        <f t="shared" si="1"/>
        <v>0</v>
      </c>
      <c r="Q13" s="173">
        <f t="shared" si="1"/>
        <v>0</v>
      </c>
      <c r="R13" s="7"/>
    </row>
    <row r="14" spans="1:18" x14ac:dyDescent="0.2">
      <c r="A14" s="7"/>
      <c r="B14" s="7"/>
      <c r="C14" s="7"/>
      <c r="D14" s="7"/>
      <c r="E14" s="172" t="s">
        <v>2309</v>
      </c>
      <c r="F14" s="7"/>
      <c r="G14" s="7"/>
      <c r="H14" s="173">
        <f t="shared" si="1"/>
        <v>490.09290665309959</v>
      </c>
      <c r="I14" s="173">
        <f t="shared" si="1"/>
        <v>393.81760804821931</v>
      </c>
      <c r="J14" s="173">
        <f t="shared" si="1"/>
        <v>301.6804370189526</v>
      </c>
      <c r="K14" s="7"/>
      <c r="L14" s="7"/>
      <c r="M14" s="173">
        <f t="shared" si="1"/>
        <v>1301.5792460133955</v>
      </c>
      <c r="N14" s="173">
        <f t="shared" si="1"/>
        <v>1190.5827267587376</v>
      </c>
      <c r="O14" s="173">
        <f t="shared" si="1"/>
        <v>1046.6131685731934</v>
      </c>
      <c r="P14" s="173">
        <f t="shared" si="1"/>
        <v>1234.5576696733756</v>
      </c>
      <c r="Q14" s="173">
        <f t="shared" si="1"/>
        <v>1317.9419151655516</v>
      </c>
      <c r="R14" s="7"/>
    </row>
    <row r="15" spans="1:18" x14ac:dyDescent="0.2">
      <c r="A15" s="7"/>
      <c r="B15" s="7"/>
      <c r="C15" s="7"/>
      <c r="D15" s="7"/>
      <c r="E15" s="172" t="s">
        <v>2301</v>
      </c>
      <c r="F15" s="7"/>
      <c r="G15" s="7"/>
      <c r="H15" s="173">
        <f t="shared" si="1"/>
        <v>0</v>
      </c>
      <c r="I15" s="173">
        <f t="shared" si="1"/>
        <v>0</v>
      </c>
      <c r="J15" s="173">
        <f t="shared" si="1"/>
        <v>0</v>
      </c>
      <c r="K15" s="7"/>
      <c r="L15" s="7"/>
      <c r="M15" s="173">
        <f t="shared" si="1"/>
        <v>0</v>
      </c>
      <c r="N15" s="173">
        <f t="shared" si="1"/>
        <v>0</v>
      </c>
      <c r="O15" s="173">
        <f t="shared" si="1"/>
        <v>0</v>
      </c>
      <c r="P15" s="173">
        <f t="shared" si="1"/>
        <v>0</v>
      </c>
      <c r="Q15" s="173">
        <f t="shared" si="1"/>
        <v>0</v>
      </c>
      <c r="R15" s="7"/>
    </row>
    <row r="16" spans="1:18" x14ac:dyDescent="0.2">
      <c r="A16" s="7"/>
      <c r="B16" s="7"/>
      <c r="C16" s="7"/>
      <c r="D16" s="7"/>
      <c r="E16" s="172" t="s">
        <v>2302</v>
      </c>
      <c r="F16" s="7"/>
      <c r="G16" s="7"/>
      <c r="H16" s="173">
        <f t="shared" si="1"/>
        <v>0</v>
      </c>
      <c r="I16" s="173">
        <f t="shared" si="1"/>
        <v>0</v>
      </c>
      <c r="J16" s="173">
        <f t="shared" si="1"/>
        <v>0</v>
      </c>
      <c r="K16" s="7"/>
      <c r="L16" s="7"/>
      <c r="M16" s="173">
        <f t="shared" si="1"/>
        <v>0</v>
      </c>
      <c r="N16" s="173">
        <f t="shared" si="1"/>
        <v>0</v>
      </c>
      <c r="O16" s="173">
        <f t="shared" si="1"/>
        <v>0</v>
      </c>
      <c r="P16" s="173">
        <f t="shared" si="1"/>
        <v>0</v>
      </c>
      <c r="Q16" s="173">
        <f t="shared" si="1"/>
        <v>0</v>
      </c>
      <c r="R16" s="7"/>
    </row>
    <row r="17" spans="1:18" x14ac:dyDescent="0.2">
      <c r="A17" s="7"/>
      <c r="B17" s="7"/>
      <c r="C17" s="7"/>
      <c r="D17" s="7"/>
      <c r="E17" s="172" t="s">
        <v>39</v>
      </c>
      <c r="F17" s="7"/>
      <c r="G17" s="7"/>
      <c r="H17" s="173">
        <f>H38+H59+H81+H111</f>
        <v>0</v>
      </c>
      <c r="I17" s="173">
        <f>I38+I59+I81+I111</f>
        <v>0</v>
      </c>
      <c r="J17" s="173">
        <f>J38+J59+J81+J111</f>
        <v>0</v>
      </c>
      <c r="K17" s="7"/>
      <c r="L17" s="7"/>
      <c r="M17" s="173">
        <f>M38+M59+M81+M111</f>
        <v>0</v>
      </c>
      <c r="N17" s="173">
        <f>N38+N59+N81+N111</f>
        <v>0</v>
      </c>
      <c r="O17" s="173">
        <f>O38+O59+O81+O111</f>
        <v>0</v>
      </c>
      <c r="P17" s="173">
        <f>P38+P59+P81+P111</f>
        <v>0</v>
      </c>
      <c r="Q17" s="173">
        <f>Q38+Q59+Q81+Q111</f>
        <v>0</v>
      </c>
      <c r="R17" s="7"/>
    </row>
    <row r="18" spans="1:18" x14ac:dyDescent="0.2">
      <c r="A18" s="7"/>
      <c r="B18" s="7"/>
      <c r="C18" s="7"/>
      <c r="D18" s="7"/>
      <c r="E18" s="172" t="s">
        <v>2313</v>
      </c>
      <c r="F18" s="7"/>
      <c r="G18" s="7"/>
      <c r="H18" s="173">
        <f t="shared" si="1"/>
        <v>0</v>
      </c>
      <c r="I18" s="173">
        <f t="shared" si="1"/>
        <v>0</v>
      </c>
      <c r="J18" s="173">
        <f t="shared" si="1"/>
        <v>0</v>
      </c>
      <c r="K18" s="7"/>
      <c r="L18" s="7"/>
      <c r="M18" s="173">
        <f t="shared" si="1"/>
        <v>0</v>
      </c>
      <c r="N18" s="173">
        <f t="shared" si="1"/>
        <v>0</v>
      </c>
      <c r="O18" s="173">
        <f t="shared" si="1"/>
        <v>0</v>
      </c>
      <c r="P18" s="173">
        <f t="shared" si="1"/>
        <v>0</v>
      </c>
      <c r="Q18" s="173">
        <f t="shared" si="1"/>
        <v>0</v>
      </c>
      <c r="R18" s="7"/>
    </row>
    <row r="19" spans="1:18" x14ac:dyDescent="0.2">
      <c r="A19" s="7"/>
      <c r="B19" s="7"/>
      <c r="C19" s="7"/>
      <c r="D19" s="7"/>
      <c r="E19" s="172" t="s">
        <v>2314</v>
      </c>
      <c r="F19" s="7"/>
      <c r="G19" s="7"/>
      <c r="H19" s="173">
        <f t="shared" si="1"/>
        <v>0</v>
      </c>
      <c r="I19" s="173">
        <f t="shared" si="1"/>
        <v>0</v>
      </c>
      <c r="J19" s="173">
        <f t="shared" si="1"/>
        <v>0</v>
      </c>
      <c r="K19" s="7"/>
      <c r="L19" s="7"/>
      <c r="M19" s="173">
        <f t="shared" si="1"/>
        <v>0</v>
      </c>
      <c r="N19" s="173">
        <f t="shared" si="1"/>
        <v>0</v>
      </c>
      <c r="O19" s="173">
        <f t="shared" si="1"/>
        <v>0</v>
      </c>
      <c r="P19" s="173">
        <f t="shared" si="1"/>
        <v>0</v>
      </c>
      <c r="Q19" s="173">
        <f t="shared" si="1"/>
        <v>0</v>
      </c>
      <c r="R19" s="7"/>
    </row>
    <row r="20" spans="1:18" x14ac:dyDescent="0.2">
      <c r="A20" s="7"/>
      <c r="B20" s="7"/>
      <c r="C20" s="7"/>
      <c r="D20" s="7"/>
      <c r="E20" s="172" t="s">
        <v>2315</v>
      </c>
      <c r="F20" s="7"/>
      <c r="G20" s="7"/>
      <c r="H20" s="173">
        <f t="shared" si="1"/>
        <v>0</v>
      </c>
      <c r="I20" s="173">
        <f t="shared" si="1"/>
        <v>0</v>
      </c>
      <c r="J20" s="173">
        <f t="shared" si="1"/>
        <v>0</v>
      </c>
      <c r="K20" s="7"/>
      <c r="L20" s="7"/>
      <c r="M20" s="173">
        <f t="shared" si="1"/>
        <v>0</v>
      </c>
      <c r="N20" s="173">
        <f t="shared" si="1"/>
        <v>0</v>
      </c>
      <c r="O20" s="173">
        <f t="shared" si="1"/>
        <v>0</v>
      </c>
      <c r="P20" s="173">
        <f t="shared" si="1"/>
        <v>0</v>
      </c>
      <c r="Q20" s="173">
        <f t="shared" si="1"/>
        <v>0</v>
      </c>
      <c r="R20" s="7"/>
    </row>
    <row r="21" spans="1:18" x14ac:dyDescent="0.2">
      <c r="A21" s="7"/>
      <c r="B21" s="7"/>
      <c r="C21" s="7"/>
      <c r="D21" s="7"/>
      <c r="E21" s="172" t="s">
        <v>2440</v>
      </c>
      <c r="F21" s="7"/>
      <c r="G21" s="7"/>
      <c r="H21" s="173">
        <f t="shared" si="1"/>
        <v>0</v>
      </c>
      <c r="I21" s="173">
        <f t="shared" si="1"/>
        <v>0</v>
      </c>
      <c r="J21" s="173">
        <f t="shared" si="1"/>
        <v>0</v>
      </c>
      <c r="K21" s="7"/>
      <c r="L21" s="7"/>
      <c r="M21" s="173">
        <f t="shared" si="1"/>
        <v>0</v>
      </c>
      <c r="N21" s="173">
        <f t="shared" si="1"/>
        <v>0</v>
      </c>
      <c r="O21" s="173">
        <f t="shared" si="1"/>
        <v>0</v>
      </c>
      <c r="P21" s="173">
        <f t="shared" si="1"/>
        <v>0</v>
      </c>
      <c r="Q21" s="173">
        <f t="shared" si="1"/>
        <v>0</v>
      </c>
      <c r="R21" s="7"/>
    </row>
    <row r="22" spans="1:18" x14ac:dyDescent="0.2">
      <c r="A22" s="7"/>
      <c r="B22" s="7"/>
      <c r="C22" s="7"/>
      <c r="D22" s="7"/>
      <c r="E22" s="172"/>
      <c r="F22" s="7"/>
      <c r="G22" s="7"/>
      <c r="H22" s="174"/>
      <c r="I22" s="174"/>
      <c r="J22" s="174"/>
      <c r="K22" s="7"/>
      <c r="L22" s="7"/>
      <c r="M22" s="174"/>
      <c r="N22" s="174"/>
      <c r="O22" s="174"/>
      <c r="P22" s="174"/>
      <c r="Q22" s="174"/>
      <c r="R22" s="7"/>
    </row>
    <row r="23" spans="1:18" x14ac:dyDescent="0.2">
      <c r="A23" s="7"/>
      <c r="B23" s="7"/>
      <c r="C23" s="7"/>
      <c r="D23" s="7"/>
      <c r="E23" s="172"/>
      <c r="F23" s="7"/>
      <c r="G23" s="7"/>
      <c r="H23" s="174"/>
      <c r="I23" s="174"/>
      <c r="J23" s="174"/>
      <c r="K23" s="7"/>
      <c r="L23" s="7"/>
      <c r="M23" s="174"/>
      <c r="N23" s="174"/>
      <c r="O23" s="174"/>
      <c r="P23" s="174"/>
      <c r="Q23" s="174"/>
      <c r="R23" s="7"/>
    </row>
    <row r="24" spans="1:18" x14ac:dyDescent="0.2">
      <c r="A24" s="7"/>
      <c r="B24" s="7"/>
      <c r="C24" s="7"/>
      <c r="D24" s="7"/>
      <c r="E24" s="172"/>
      <c r="F24" s="7"/>
      <c r="G24" s="7"/>
      <c r="H24" s="174"/>
      <c r="I24" s="174"/>
      <c r="J24" s="174"/>
      <c r="K24" s="7"/>
      <c r="L24" s="7"/>
      <c r="M24" s="174"/>
      <c r="N24" s="174"/>
      <c r="O24" s="174"/>
      <c r="P24" s="174"/>
      <c r="Q24" s="174"/>
      <c r="R24" s="7"/>
    </row>
    <row r="25" spans="1:18" x14ac:dyDescent="0.2">
      <c r="A25" s="7"/>
      <c r="B25" s="7"/>
      <c r="C25" s="7"/>
      <c r="D25" s="7"/>
      <c r="E25" s="7"/>
      <c r="F25" s="7"/>
      <c r="G25" s="7"/>
      <c r="H25" s="174"/>
      <c r="I25" s="174"/>
      <c r="J25" s="174"/>
      <c r="K25" s="7"/>
      <c r="L25" s="7"/>
      <c r="M25" s="174"/>
      <c r="N25" s="174"/>
      <c r="O25" s="174"/>
      <c r="P25" s="174"/>
      <c r="Q25" s="174"/>
      <c r="R25" s="7"/>
    </row>
    <row r="26" spans="1:18" x14ac:dyDescent="0.2">
      <c r="A26" s="7"/>
      <c r="B26" s="7"/>
      <c r="C26" s="7"/>
      <c r="D26" s="7"/>
      <c r="E26" s="9" t="s">
        <v>2209</v>
      </c>
      <c r="F26" s="7"/>
      <c r="G26" s="7"/>
      <c r="H26" s="175">
        <f t="shared" ref="H26:J26" si="2">SUM(H10:H24)</f>
        <v>38877.540200856369</v>
      </c>
      <c r="I26" s="175">
        <f t="shared" si="2"/>
        <v>44584.4320876696</v>
      </c>
      <c r="J26" s="175">
        <f t="shared" si="2"/>
        <v>44217.328508430975</v>
      </c>
      <c r="K26" s="7"/>
      <c r="L26" s="7"/>
      <c r="M26" s="175">
        <f t="shared" ref="M26:Q26" si="3">SUM(M10:M24)</f>
        <v>42420.978305140277</v>
      </c>
      <c r="N26" s="176">
        <f t="shared" si="3"/>
        <v>44686.426038867517</v>
      </c>
      <c r="O26" s="176">
        <f t="shared" si="3"/>
        <v>43812.520295722468</v>
      </c>
      <c r="P26" s="176">
        <f t="shared" si="3"/>
        <v>43500.039380087401</v>
      </c>
      <c r="Q26" s="176">
        <f t="shared" si="3"/>
        <v>44883.59749956827</v>
      </c>
      <c r="R26" s="7"/>
    </row>
    <row r="27" spans="1:18" x14ac:dyDescent="0.2">
      <c r="A27" s="7"/>
      <c r="B27" s="7"/>
      <c r="C27" s="7"/>
      <c r="D27" s="7"/>
      <c r="E27" s="7"/>
      <c r="F27" s="7"/>
      <c r="G27" s="7"/>
      <c r="H27" s="146">
        <f>H26-H113</f>
        <v>0</v>
      </c>
      <c r="I27" s="146">
        <f>I26-I113</f>
        <v>0</v>
      </c>
      <c r="J27" s="146">
        <f>J26-J113</f>
        <v>0</v>
      </c>
      <c r="K27" s="7"/>
      <c r="L27" s="7"/>
      <c r="M27" s="146">
        <f>M26-M113</f>
        <v>0</v>
      </c>
      <c r="N27" s="146">
        <f>N26-N113</f>
        <v>0</v>
      </c>
      <c r="O27" s="146">
        <f>O26-O113</f>
        <v>0</v>
      </c>
      <c r="P27" s="146">
        <f>P26-P113</f>
        <v>0</v>
      </c>
      <c r="Q27" s="146">
        <f>Q26-Q113</f>
        <v>0</v>
      </c>
      <c r="R27" s="7"/>
    </row>
    <row r="28" spans="1:18" x14ac:dyDescent="0.2">
      <c r="A28" s="7"/>
      <c r="B28" s="7"/>
      <c r="C28" s="7"/>
      <c r="D28" s="7"/>
      <c r="E28" s="7"/>
      <c r="F28" s="7"/>
      <c r="G28" s="7"/>
      <c r="H28" s="146"/>
      <c r="I28" s="146"/>
      <c r="J28" s="146"/>
      <c r="K28" s="7"/>
      <c r="L28" s="7"/>
      <c r="M28" s="146"/>
      <c r="N28" s="146"/>
      <c r="O28" s="146"/>
      <c r="P28" s="146"/>
      <c r="Q28" s="146"/>
      <c r="R28" s="7"/>
    </row>
    <row r="29" spans="1:18" x14ac:dyDescent="0.2">
      <c r="A29" s="22" t="s">
        <v>2446</v>
      </c>
      <c r="B29" s="22"/>
      <c r="C29" s="15"/>
      <c r="D29" s="24"/>
      <c r="E29" s="171"/>
      <c r="F29" s="171"/>
      <c r="G29" s="171"/>
      <c r="H29" s="35" t="s">
        <v>2367</v>
      </c>
      <c r="I29" s="35" t="s">
        <v>2367</v>
      </c>
      <c r="J29" s="35" t="s">
        <v>2367</v>
      </c>
      <c r="K29" s="7"/>
      <c r="L29" s="7"/>
      <c r="M29" s="35" t="s">
        <v>2428</v>
      </c>
      <c r="N29" s="35" t="s">
        <v>2428</v>
      </c>
      <c r="O29" s="35" t="s">
        <v>2428</v>
      </c>
      <c r="P29" s="35" t="s">
        <v>2428</v>
      </c>
      <c r="Q29" s="35" t="s">
        <v>2428</v>
      </c>
    </row>
    <row r="30" spans="1:18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</row>
    <row r="31" spans="1:18" x14ac:dyDescent="0.2">
      <c r="A31" s="7"/>
      <c r="B31" s="7"/>
      <c r="C31" s="7"/>
      <c r="D31" s="7"/>
      <c r="E31" s="172" t="s">
        <v>2307</v>
      </c>
      <c r="F31" s="7"/>
      <c r="G31" s="7"/>
      <c r="H31" s="173">
        <v>2520.4141251850074</v>
      </c>
      <c r="I31" s="173">
        <v>6836.599222569781</v>
      </c>
      <c r="J31" s="173">
        <v>3581.2220449724641</v>
      </c>
      <c r="K31" s="7"/>
      <c r="L31" s="7"/>
      <c r="M31" s="173">
        <f>(M$95+M$99)*'Output|PTRM'!G11/SUM('Output|PTRM'!G$11:G$12)</f>
        <v>4719.6853732597137</v>
      </c>
      <c r="N31" s="173">
        <f>(N$95+N$99)*'Output|PTRM'!H11/SUM('Output|PTRM'!H$11:H$12)</f>
        <v>4983.9942598602111</v>
      </c>
      <c r="O31" s="173">
        <f>(O$95+O$99)*'Output|PTRM'!I11/SUM('Output|PTRM'!I$11:I$12)</f>
        <v>4864.6476619604855</v>
      </c>
      <c r="P31" s="173">
        <f>(P$95+P$99)*'Output|PTRM'!J11/SUM('Output|PTRM'!J$11:J$12)</f>
        <v>4726.3721792891101</v>
      </c>
      <c r="Q31" s="173">
        <f>(Q$95+Q$99)*'Output|PTRM'!K11/SUM('Output|PTRM'!K$11:K$12)</f>
        <v>4910.7409500549957</v>
      </c>
      <c r="R31" s="7"/>
    </row>
    <row r="32" spans="1:18" x14ac:dyDescent="0.2">
      <c r="A32" s="7"/>
      <c r="B32" s="7"/>
      <c r="C32" s="7"/>
      <c r="D32" s="7"/>
      <c r="E32" s="172" t="s">
        <v>2310</v>
      </c>
      <c r="F32" s="7"/>
      <c r="G32" s="7"/>
      <c r="H32" s="173">
        <v>11660.009075671362</v>
      </c>
      <c r="I32" s="173">
        <v>9690.8508650998174</v>
      </c>
      <c r="J32" s="173">
        <v>10636.243396612454</v>
      </c>
      <c r="K32" s="7"/>
      <c r="L32" s="7"/>
      <c r="M32" s="173">
        <f>(M$95+M$99)*'Output|PTRM'!G12/SUM('Output|PTRM'!G$11:G$12)</f>
        <v>12037.263734873764</v>
      </c>
      <c r="N32" s="173">
        <f>(N$95+N$99)*'Output|PTRM'!H12/SUM('Output|PTRM'!H$11:H$12)</f>
        <v>12708.19794769462</v>
      </c>
      <c r="O32" s="173">
        <f>(O$95+O$99)*'Output|PTRM'!I12/SUM('Output|PTRM'!I$11:I$12)</f>
        <v>12403.789464614461</v>
      </c>
      <c r="P32" s="173">
        <f>(P$95+P$99)*'Output|PTRM'!J12/SUM('Output|PTRM'!J$11:J$12)</f>
        <v>12051.566066795889</v>
      </c>
      <c r="Q32" s="173">
        <f>(Q$95+Q$99)*'Output|PTRM'!K12/SUM('Output|PTRM'!K$11:K$12)</f>
        <v>12519.892805680862</v>
      </c>
      <c r="R32" s="7"/>
    </row>
    <row r="33" spans="1:18" x14ac:dyDescent="0.2">
      <c r="A33" s="7"/>
      <c r="B33" s="7"/>
      <c r="C33" s="7"/>
      <c r="D33" s="7"/>
      <c r="E33" s="172" t="s">
        <v>2311</v>
      </c>
      <c r="F33" s="7"/>
      <c r="G33" s="7"/>
      <c r="H33" s="174"/>
      <c r="I33" s="174"/>
      <c r="J33" s="174"/>
      <c r="K33" s="7"/>
      <c r="L33" s="7"/>
      <c r="M33" s="174"/>
      <c r="N33" s="174"/>
      <c r="O33" s="174"/>
      <c r="P33" s="174"/>
      <c r="Q33" s="174"/>
      <c r="R33" s="7"/>
    </row>
    <row r="34" spans="1:18" x14ac:dyDescent="0.2">
      <c r="A34" s="7"/>
      <c r="B34" s="7"/>
      <c r="C34" s="7"/>
      <c r="D34" s="7"/>
      <c r="E34" s="172" t="s">
        <v>2312</v>
      </c>
      <c r="F34" s="7"/>
      <c r="G34" s="7"/>
      <c r="H34" s="174"/>
      <c r="I34" s="174"/>
      <c r="J34" s="174"/>
      <c r="K34" s="7"/>
      <c r="L34" s="7"/>
      <c r="M34" s="174"/>
      <c r="N34" s="174"/>
      <c r="O34" s="174"/>
      <c r="P34" s="174"/>
      <c r="Q34" s="174"/>
      <c r="R34" s="7"/>
    </row>
    <row r="35" spans="1:18" x14ac:dyDescent="0.2">
      <c r="A35" s="7"/>
      <c r="B35" s="7"/>
      <c r="C35" s="7"/>
      <c r="D35" s="7"/>
      <c r="E35" s="172" t="s">
        <v>2309</v>
      </c>
      <c r="F35" s="7"/>
      <c r="G35" s="7"/>
      <c r="H35" s="174"/>
      <c r="I35" s="174"/>
      <c r="J35" s="174"/>
      <c r="K35" s="7"/>
      <c r="L35" s="7"/>
      <c r="M35" s="174"/>
      <c r="N35" s="174"/>
      <c r="O35" s="174"/>
      <c r="P35" s="174"/>
      <c r="Q35" s="174"/>
      <c r="R35" s="7"/>
    </row>
    <row r="36" spans="1:18" x14ac:dyDescent="0.2">
      <c r="A36" s="7"/>
      <c r="B36" s="7"/>
      <c r="C36" s="7"/>
      <c r="D36" s="7"/>
      <c r="E36" s="172" t="s">
        <v>2301</v>
      </c>
      <c r="F36" s="7"/>
      <c r="G36" s="7"/>
      <c r="H36" s="174"/>
      <c r="I36" s="174"/>
      <c r="J36" s="174"/>
      <c r="K36" s="7"/>
      <c r="L36" s="7"/>
      <c r="M36" s="174"/>
      <c r="N36" s="174"/>
      <c r="O36" s="174"/>
      <c r="P36" s="174"/>
      <c r="Q36" s="174"/>
      <c r="R36" s="7"/>
    </row>
    <row r="37" spans="1:18" x14ac:dyDescent="0.2">
      <c r="A37" s="7"/>
      <c r="B37" s="7"/>
      <c r="C37" s="7"/>
      <c r="D37" s="7"/>
      <c r="E37" s="172" t="s">
        <v>2302</v>
      </c>
      <c r="F37" s="7"/>
      <c r="G37" s="7"/>
      <c r="H37" s="174"/>
      <c r="I37" s="174"/>
      <c r="J37" s="174"/>
      <c r="K37" s="7"/>
      <c r="L37" s="7"/>
      <c r="M37" s="174"/>
      <c r="N37" s="173"/>
      <c r="O37" s="174"/>
      <c r="P37" s="174"/>
      <c r="Q37" s="174"/>
      <c r="R37" s="7"/>
    </row>
    <row r="38" spans="1:18" x14ac:dyDescent="0.2">
      <c r="A38" s="7"/>
      <c r="B38" s="7"/>
      <c r="C38" s="7"/>
      <c r="D38" s="7"/>
      <c r="E38" s="172" t="s">
        <v>39</v>
      </c>
      <c r="F38" s="7"/>
      <c r="G38" s="7"/>
      <c r="H38" s="174"/>
      <c r="I38" s="174"/>
      <c r="J38" s="174"/>
      <c r="K38" s="7"/>
      <c r="L38" s="7"/>
      <c r="M38" s="174"/>
      <c r="N38" s="174"/>
      <c r="O38" s="174"/>
      <c r="P38" s="174"/>
      <c r="Q38" s="174"/>
      <c r="R38" s="7"/>
    </row>
    <row r="39" spans="1:18" x14ac:dyDescent="0.2">
      <c r="A39" s="7"/>
      <c r="B39" s="7"/>
      <c r="C39" s="7"/>
      <c r="D39" s="7"/>
      <c r="E39" s="172" t="s">
        <v>2313</v>
      </c>
      <c r="F39" s="7"/>
      <c r="G39" s="7"/>
      <c r="H39" s="174"/>
      <c r="I39" s="174"/>
      <c r="J39" s="174"/>
      <c r="K39" s="7"/>
      <c r="L39" s="7"/>
      <c r="M39" s="174"/>
      <c r="N39" s="174"/>
      <c r="O39" s="174"/>
      <c r="P39" s="174"/>
      <c r="Q39" s="174"/>
      <c r="R39" s="7"/>
    </row>
    <row r="40" spans="1:18" x14ac:dyDescent="0.2">
      <c r="A40" s="7"/>
      <c r="B40" s="7"/>
      <c r="C40" s="7"/>
      <c r="D40" s="7"/>
      <c r="E40" s="172" t="s">
        <v>2314</v>
      </c>
      <c r="F40" s="7"/>
      <c r="G40" s="7"/>
      <c r="H40" s="174"/>
      <c r="I40" s="174"/>
      <c r="J40" s="174"/>
      <c r="K40" s="7"/>
      <c r="L40" s="7"/>
      <c r="M40" s="174"/>
      <c r="N40" s="174"/>
      <c r="O40" s="174"/>
      <c r="P40" s="174"/>
      <c r="Q40" s="174"/>
      <c r="R40" s="7"/>
    </row>
    <row r="41" spans="1:18" x14ac:dyDescent="0.2">
      <c r="A41" s="7"/>
      <c r="B41" s="7"/>
      <c r="C41" s="7"/>
      <c r="D41" s="7"/>
      <c r="E41" s="172" t="s">
        <v>2315</v>
      </c>
      <c r="F41" s="7"/>
      <c r="G41" s="7"/>
      <c r="H41" s="174"/>
      <c r="I41" s="174"/>
      <c r="J41" s="174"/>
      <c r="K41" s="7"/>
      <c r="L41" s="7"/>
      <c r="M41" s="174"/>
      <c r="N41" s="173"/>
      <c r="O41" s="174"/>
      <c r="P41" s="174"/>
      <c r="Q41" s="174"/>
      <c r="R41" s="7"/>
    </row>
    <row r="42" spans="1:18" x14ac:dyDescent="0.2">
      <c r="A42" s="7"/>
      <c r="B42" s="7"/>
      <c r="C42" s="7"/>
      <c r="D42" s="7"/>
      <c r="E42" s="172" t="s">
        <v>2440</v>
      </c>
      <c r="F42" s="7"/>
      <c r="G42" s="7"/>
      <c r="H42" s="174"/>
      <c r="I42" s="174"/>
      <c r="J42" s="174"/>
      <c r="K42" s="7"/>
      <c r="L42" s="7"/>
      <c r="M42" s="174"/>
      <c r="N42" s="174"/>
      <c r="O42" s="174"/>
      <c r="P42" s="174"/>
      <c r="Q42" s="174"/>
      <c r="R42" s="7"/>
    </row>
    <row r="43" spans="1:18" x14ac:dyDescent="0.2">
      <c r="A43" s="7"/>
      <c r="B43" s="7"/>
      <c r="C43" s="7"/>
      <c r="D43" s="7"/>
      <c r="E43" s="172"/>
      <c r="F43" s="7"/>
      <c r="G43" s="7"/>
      <c r="H43" s="174"/>
      <c r="I43" s="174"/>
      <c r="J43" s="174"/>
      <c r="K43" s="7"/>
      <c r="L43" s="7"/>
      <c r="M43" s="174"/>
      <c r="N43" s="174"/>
      <c r="O43" s="174"/>
      <c r="P43" s="174"/>
      <c r="Q43" s="174"/>
      <c r="R43" s="7"/>
    </row>
    <row r="44" spans="1:18" x14ac:dyDescent="0.2">
      <c r="A44" s="7"/>
      <c r="B44" s="7"/>
      <c r="C44" s="7"/>
      <c r="D44" s="7"/>
      <c r="E44" s="172"/>
      <c r="F44" s="7"/>
      <c r="G44" s="7"/>
      <c r="H44" s="174"/>
      <c r="I44" s="174"/>
      <c r="J44" s="174"/>
      <c r="K44" s="7"/>
      <c r="L44" s="7"/>
      <c r="M44" s="174"/>
      <c r="N44" s="174"/>
      <c r="O44" s="174"/>
      <c r="P44" s="174"/>
      <c r="Q44" s="174"/>
      <c r="R44" s="7"/>
    </row>
    <row r="45" spans="1:18" x14ac:dyDescent="0.2">
      <c r="A45" s="7"/>
      <c r="B45" s="7"/>
      <c r="C45" s="7"/>
      <c r="D45" s="7"/>
      <c r="E45" s="172"/>
      <c r="F45" s="7"/>
      <c r="G45" s="7"/>
      <c r="H45" s="174"/>
      <c r="I45" s="174"/>
      <c r="J45" s="174"/>
      <c r="K45" s="7"/>
      <c r="L45" s="7"/>
      <c r="M45" s="174"/>
      <c r="N45" s="174"/>
      <c r="O45" s="174"/>
      <c r="P45" s="174"/>
      <c r="Q45" s="174"/>
      <c r="R45" s="7"/>
    </row>
    <row r="46" spans="1:18" x14ac:dyDescent="0.2">
      <c r="A46" s="7"/>
      <c r="B46" s="7"/>
      <c r="C46" s="7"/>
      <c r="D46" s="7"/>
      <c r="E46" s="7"/>
      <c r="F46" s="7"/>
      <c r="G46" s="7"/>
      <c r="H46" s="174"/>
      <c r="I46" s="174"/>
      <c r="J46" s="174"/>
      <c r="K46" s="7"/>
      <c r="L46" s="7"/>
      <c r="M46" s="174"/>
      <c r="N46" s="174"/>
      <c r="O46" s="174"/>
      <c r="P46" s="174"/>
      <c r="Q46" s="174"/>
      <c r="R46" s="7"/>
    </row>
    <row r="47" spans="1:18" x14ac:dyDescent="0.2">
      <c r="A47" s="7"/>
      <c r="B47" s="7"/>
      <c r="C47" s="7"/>
      <c r="D47" s="7"/>
      <c r="E47" s="9" t="s">
        <v>2209</v>
      </c>
      <c r="F47" s="7"/>
      <c r="G47" s="7"/>
      <c r="H47" s="175">
        <f t="shared" ref="H47:J47" si="4">SUM(H31:H45)</f>
        <v>14180.423200856369</v>
      </c>
      <c r="I47" s="175">
        <f t="shared" si="4"/>
        <v>16527.450087669597</v>
      </c>
      <c r="J47" s="175">
        <f t="shared" si="4"/>
        <v>14217.465441584918</v>
      </c>
      <c r="K47" s="7"/>
      <c r="L47" s="7"/>
      <c r="M47" s="175">
        <f t="shared" ref="M47:Q47" si="5">SUM(M31:M45)</f>
        <v>16756.949108133478</v>
      </c>
      <c r="N47" s="176">
        <f t="shared" si="5"/>
        <v>17692.192207554832</v>
      </c>
      <c r="O47" s="176">
        <f t="shared" si="5"/>
        <v>17268.437126574947</v>
      </c>
      <c r="P47" s="176">
        <f t="shared" si="5"/>
        <v>16777.938246084999</v>
      </c>
      <c r="Q47" s="176">
        <f t="shared" si="5"/>
        <v>17430.633755735857</v>
      </c>
      <c r="R47" s="7"/>
    </row>
    <row r="48" spans="1:18" x14ac:dyDescent="0.2">
      <c r="A48" s="7"/>
      <c r="B48" s="7"/>
      <c r="C48" s="7"/>
      <c r="D48" s="7"/>
      <c r="E48" s="7"/>
      <c r="F48" s="7"/>
      <c r="G48" s="7"/>
      <c r="H48" s="146">
        <f>H47-H95-H99</f>
        <v>-2.6147972675971687E-12</v>
      </c>
      <c r="I48" s="146">
        <f t="shared" ref="I48:Q48" si="6">I47-I95-I99</f>
        <v>0</v>
      </c>
      <c r="J48" s="146">
        <f t="shared" si="6"/>
        <v>1.0231815394945443E-12</v>
      </c>
      <c r="K48" s="146"/>
      <c r="L48" s="146"/>
      <c r="M48" s="146">
        <f t="shared" si="6"/>
        <v>0</v>
      </c>
      <c r="N48" s="146">
        <f t="shared" si="6"/>
        <v>0</v>
      </c>
      <c r="O48" s="146">
        <f t="shared" si="6"/>
        <v>0</v>
      </c>
      <c r="P48" s="146">
        <f t="shared" si="6"/>
        <v>0</v>
      </c>
      <c r="Q48" s="146">
        <f t="shared" si="6"/>
        <v>-1.8189894035458565E-12</v>
      </c>
      <c r="R48" s="7"/>
    </row>
    <row r="49" spans="1:18" x14ac:dyDescent="0.2">
      <c r="A49" s="7"/>
      <c r="B49" s="7"/>
      <c r="C49" s="7"/>
      <c r="D49" s="7"/>
      <c r="E49" s="7"/>
      <c r="F49" s="7"/>
      <c r="G49" s="7"/>
      <c r="H49" s="174"/>
      <c r="I49" s="174"/>
      <c r="J49" s="174"/>
      <c r="K49" s="7"/>
      <c r="L49" s="7"/>
      <c r="M49" s="7"/>
      <c r="N49" s="7"/>
      <c r="O49" s="7"/>
      <c r="P49" s="7"/>
      <c r="Q49" s="7"/>
      <c r="R49" s="7"/>
    </row>
    <row r="50" spans="1:18" x14ac:dyDescent="0.2">
      <c r="A50" s="22" t="s">
        <v>2447</v>
      </c>
      <c r="B50" s="22"/>
      <c r="C50" s="15"/>
      <c r="D50" s="24"/>
      <c r="E50" s="171"/>
      <c r="F50" s="171"/>
      <c r="G50" s="171"/>
      <c r="H50" s="35" t="s">
        <v>2367</v>
      </c>
      <c r="I50" s="35" t="s">
        <v>2367</v>
      </c>
      <c r="J50" s="35" t="s">
        <v>2367</v>
      </c>
      <c r="K50" s="7"/>
      <c r="L50" s="7"/>
      <c r="M50" s="35" t="s">
        <v>2428</v>
      </c>
      <c r="N50" s="35" t="s">
        <v>2428</v>
      </c>
      <c r="O50" s="35" t="s">
        <v>2428</v>
      </c>
      <c r="P50" s="35" t="s">
        <v>2428</v>
      </c>
      <c r="Q50" s="35" t="s">
        <v>2428</v>
      </c>
    </row>
    <row r="51" spans="1:18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1:18" x14ac:dyDescent="0.2">
      <c r="A52" s="7"/>
      <c r="B52" s="7"/>
      <c r="C52" s="7"/>
      <c r="D52" s="7"/>
      <c r="E52" s="172" t="s">
        <v>2307</v>
      </c>
      <c r="F52" s="7"/>
      <c r="G52" s="7"/>
      <c r="H52" s="173">
        <v>2983.1515326141907</v>
      </c>
      <c r="I52" s="173">
        <v>7999.0037439402249</v>
      </c>
      <c r="J52" s="173">
        <v>5213.4241403033975</v>
      </c>
      <c r="K52" s="7"/>
      <c r="L52" s="7"/>
      <c r="M52" s="173">
        <f>M$103*'Output|PTRM'!G11/SUM('Output|PTRM'!G$11:G$15)</f>
        <v>4638.3286970294021</v>
      </c>
      <c r="N52" s="173">
        <f>N$103*'Output|PTRM'!H11/SUM('Output|PTRM'!H$11:H$15)</f>
        <v>4913.5967279217384</v>
      </c>
      <c r="O52" s="173">
        <f>O$103*'Output|PTRM'!I11/SUM('Output|PTRM'!I$11:I$15)</f>
        <v>4855.3205845241837</v>
      </c>
      <c r="P52" s="173">
        <f>P$103*'Output|PTRM'!J11/SUM('Output|PTRM'!J$11:J$15)</f>
        <v>4853.3294113832681</v>
      </c>
      <c r="Q52" s="173">
        <f>Q$103*'Output|PTRM'!K11/SUM('Output|PTRM'!K$11:K$15)</f>
        <v>4977.1322246851332</v>
      </c>
      <c r="R52" s="7"/>
    </row>
    <row r="53" spans="1:18" x14ac:dyDescent="0.2">
      <c r="A53" s="7"/>
      <c r="B53" s="7"/>
      <c r="C53" s="7"/>
      <c r="D53" s="7"/>
      <c r="E53" s="172" t="s">
        <v>2310</v>
      </c>
      <c r="F53" s="7"/>
      <c r="G53" s="7"/>
      <c r="H53" s="173">
        <v>13800.737583880651</v>
      </c>
      <c r="I53" s="173">
        <v>11338.55442278832</v>
      </c>
      <c r="J53" s="173">
        <v>15483.889965406581</v>
      </c>
      <c r="K53" s="7"/>
      <c r="L53" s="7"/>
      <c r="M53" s="173">
        <f>M$103*'Output|PTRM'!G12/SUM('Output|PTRM'!G$11:G$15)</f>
        <v>11829.768596760219</v>
      </c>
      <c r="N53" s="173">
        <f>N$103*'Output|PTRM'!H12/SUM('Output|PTRM'!H$11:H$15)</f>
        <v>12528.698188212884</v>
      </c>
      <c r="O53" s="173">
        <f>O$103*'Output|PTRM'!I12/SUM('Output|PTRM'!I$11:I$15)</f>
        <v>12380.00745348451</v>
      </c>
      <c r="P53" s="173">
        <f>P$103*'Output|PTRM'!J12/SUM('Output|PTRM'!J$11:J$15)</f>
        <v>12375.288662520546</v>
      </c>
      <c r="Q53" s="173">
        <f>Q$103*'Output|PTRM'!K12/SUM('Output|PTRM'!K$11:K$15)</f>
        <v>12689.156802714246</v>
      </c>
      <c r="R53" s="7"/>
    </row>
    <row r="54" spans="1:18" x14ac:dyDescent="0.2">
      <c r="A54" s="7"/>
      <c r="B54" s="7"/>
      <c r="C54" s="7"/>
      <c r="D54" s="7"/>
      <c r="E54" s="172" t="s">
        <v>2311</v>
      </c>
      <c r="F54" s="7"/>
      <c r="G54" s="7"/>
      <c r="H54" s="173">
        <v>0</v>
      </c>
      <c r="I54" s="173">
        <v>0</v>
      </c>
      <c r="J54" s="173">
        <v>0</v>
      </c>
      <c r="K54" s="7"/>
      <c r="L54" s="7"/>
      <c r="M54" s="173">
        <f>M$103*'Output|PTRM'!G13/SUM('Output|PTRM'!G$11:G$15)</f>
        <v>0</v>
      </c>
      <c r="N54" s="173">
        <f>N$103*'Output|PTRM'!H13/SUM('Output|PTRM'!H$11:H$15)</f>
        <v>0</v>
      </c>
      <c r="O54" s="173">
        <f>O$103*'Output|PTRM'!I13/SUM('Output|PTRM'!I$11:I$15)</f>
        <v>0</v>
      </c>
      <c r="P54" s="173">
        <f>P$103*'Output|PTRM'!J13/SUM('Output|PTRM'!J$11:J$15)</f>
        <v>0</v>
      </c>
      <c r="Q54" s="173">
        <f>Q$103*'Output|PTRM'!K13/SUM('Output|PTRM'!K$11:K$15)</f>
        <v>0</v>
      </c>
      <c r="R54" s="7"/>
    </row>
    <row r="55" spans="1:18" x14ac:dyDescent="0.2">
      <c r="A55" s="7"/>
      <c r="B55" s="7"/>
      <c r="C55" s="7"/>
      <c r="D55" s="7"/>
      <c r="E55" s="172" t="s">
        <v>2312</v>
      </c>
      <c r="F55" s="7"/>
      <c r="G55" s="7"/>
      <c r="H55" s="173">
        <v>0</v>
      </c>
      <c r="I55" s="173">
        <v>0</v>
      </c>
      <c r="J55" s="173">
        <v>0</v>
      </c>
      <c r="K55" s="7"/>
      <c r="L55" s="7"/>
      <c r="M55" s="173">
        <f>M$103*'Output|PTRM'!G14/SUM('Output|PTRM'!G$11:G$15)</f>
        <v>0</v>
      </c>
      <c r="N55" s="173">
        <f>N$103*'Output|PTRM'!H14/SUM('Output|PTRM'!H$11:H$15)</f>
        <v>0</v>
      </c>
      <c r="O55" s="173">
        <f>O$103*'Output|PTRM'!I14/SUM('Output|PTRM'!I$11:I$15)</f>
        <v>0</v>
      </c>
      <c r="P55" s="173">
        <f>P$103*'Output|PTRM'!J14/SUM('Output|PTRM'!J$11:J$15)</f>
        <v>0</v>
      </c>
      <c r="Q55" s="173">
        <f>Q$103*'Output|PTRM'!K14/SUM('Output|PTRM'!K$11:K$15)</f>
        <v>0</v>
      </c>
      <c r="R55" s="7"/>
    </row>
    <row r="56" spans="1:18" x14ac:dyDescent="0.2">
      <c r="A56" s="7"/>
      <c r="B56" s="7"/>
      <c r="C56" s="7"/>
      <c r="D56" s="7"/>
      <c r="E56" s="172" t="s">
        <v>2309</v>
      </c>
      <c r="F56" s="7"/>
      <c r="G56" s="7"/>
      <c r="H56" s="173">
        <v>339.80488350515736</v>
      </c>
      <c r="I56" s="173">
        <v>275.29283327145185</v>
      </c>
      <c r="J56" s="173">
        <v>210.24770580601245</v>
      </c>
      <c r="K56" s="7"/>
      <c r="L56" s="7"/>
      <c r="M56" s="173">
        <f>M$103*'Output|PTRM'!G15/SUM('Output|PTRM'!G$11:G$15)</f>
        <v>879.81847893142287</v>
      </c>
      <c r="N56" s="173">
        <f>N$103*'Output|PTRM'!H15/SUM('Output|PTRM'!H$11:H$15)</f>
        <v>804.78901834619285</v>
      </c>
      <c r="O56" s="173">
        <f>O$103*'Output|PTRM'!I15/SUM('Output|PTRM'!I$11:I$15)</f>
        <v>707.47102708042644</v>
      </c>
      <c r="P56" s="173">
        <f>P$103*'Output|PTRM'!J15/SUM('Output|PTRM'!J$11:J$15)</f>
        <v>834.51442116339069</v>
      </c>
      <c r="Q56" s="173">
        <f>Q$103*'Output|PTRM'!K15/SUM('Output|PTRM'!K$11:K$15)</f>
        <v>890.87902613114363</v>
      </c>
      <c r="R56" s="7"/>
    </row>
    <row r="57" spans="1:18" x14ac:dyDescent="0.2">
      <c r="A57" s="7"/>
      <c r="B57" s="7"/>
      <c r="C57" s="7"/>
      <c r="D57" s="7"/>
      <c r="E57" s="172" t="s">
        <v>2301</v>
      </c>
      <c r="F57" s="7"/>
      <c r="G57" s="7"/>
      <c r="H57" s="177"/>
      <c r="I57" s="177"/>
      <c r="J57" s="177"/>
      <c r="K57" s="7"/>
      <c r="L57" s="7"/>
      <c r="M57" s="177"/>
      <c r="N57" s="177"/>
      <c r="O57" s="177"/>
      <c r="P57" s="177"/>
      <c r="Q57" s="177"/>
      <c r="R57" s="7"/>
    </row>
    <row r="58" spans="1:18" x14ac:dyDescent="0.2">
      <c r="A58" s="7"/>
      <c r="B58" s="7"/>
      <c r="C58" s="7"/>
      <c r="D58" s="7"/>
      <c r="E58" s="172" t="s">
        <v>2302</v>
      </c>
      <c r="F58" s="7"/>
      <c r="G58" s="7"/>
      <c r="H58" s="177"/>
      <c r="I58" s="177"/>
      <c r="J58" s="177"/>
      <c r="K58" s="7"/>
      <c r="L58" s="7"/>
      <c r="M58" s="177"/>
      <c r="N58" s="177"/>
      <c r="O58" s="177"/>
      <c r="P58" s="177"/>
      <c r="Q58" s="177"/>
      <c r="R58" s="7"/>
    </row>
    <row r="59" spans="1:18" x14ac:dyDescent="0.2">
      <c r="A59" s="7"/>
      <c r="B59" s="7"/>
      <c r="C59" s="7"/>
      <c r="D59" s="7"/>
      <c r="E59" s="172" t="s">
        <v>39</v>
      </c>
      <c r="F59" s="7"/>
      <c r="G59" s="7"/>
      <c r="H59" s="177"/>
      <c r="I59" s="177"/>
      <c r="J59" s="177"/>
      <c r="K59" s="7"/>
      <c r="L59" s="7"/>
      <c r="M59" s="177"/>
      <c r="N59" s="177"/>
      <c r="O59" s="177"/>
      <c r="P59" s="177"/>
      <c r="Q59" s="177"/>
      <c r="R59" s="7"/>
    </row>
    <row r="60" spans="1:18" x14ac:dyDescent="0.2">
      <c r="A60" s="7"/>
      <c r="B60" s="7"/>
      <c r="C60" s="7"/>
      <c r="D60" s="7"/>
      <c r="E60" s="172" t="s">
        <v>2313</v>
      </c>
      <c r="F60" s="7"/>
      <c r="G60" s="7"/>
      <c r="H60" s="177"/>
      <c r="I60" s="177"/>
      <c r="J60" s="177"/>
      <c r="K60" s="7"/>
      <c r="L60" s="7"/>
      <c r="M60" s="177"/>
      <c r="N60" s="177"/>
      <c r="O60" s="177"/>
      <c r="P60" s="177"/>
      <c r="Q60" s="177"/>
      <c r="R60" s="7"/>
    </row>
    <row r="61" spans="1:18" x14ac:dyDescent="0.2">
      <c r="A61" s="7"/>
      <c r="B61" s="7"/>
      <c r="C61" s="7"/>
      <c r="D61" s="7"/>
      <c r="E61" s="172" t="s">
        <v>2314</v>
      </c>
      <c r="F61" s="7"/>
      <c r="G61" s="7"/>
      <c r="H61" s="177"/>
      <c r="I61" s="177"/>
      <c r="J61" s="177"/>
      <c r="K61" s="7"/>
      <c r="L61" s="7"/>
      <c r="M61" s="177"/>
      <c r="N61" s="177"/>
      <c r="O61" s="177"/>
      <c r="P61" s="177"/>
      <c r="Q61" s="177"/>
      <c r="R61" s="7"/>
    </row>
    <row r="62" spans="1:18" x14ac:dyDescent="0.2">
      <c r="A62" s="7"/>
      <c r="B62" s="7"/>
      <c r="C62" s="7"/>
      <c r="D62" s="7"/>
      <c r="E62" s="172" t="s">
        <v>2315</v>
      </c>
      <c r="F62" s="7"/>
      <c r="G62" s="7"/>
      <c r="H62" s="177"/>
      <c r="I62" s="177"/>
      <c r="J62" s="177"/>
      <c r="K62" s="7"/>
      <c r="L62" s="7"/>
      <c r="M62" s="177"/>
      <c r="N62" s="177"/>
      <c r="O62" s="177"/>
      <c r="P62" s="177"/>
      <c r="Q62" s="177"/>
      <c r="R62" s="7"/>
    </row>
    <row r="63" spans="1:18" x14ac:dyDescent="0.2">
      <c r="A63" s="7"/>
      <c r="B63" s="7"/>
      <c r="C63" s="7"/>
      <c r="D63" s="7"/>
      <c r="E63" s="172" t="s">
        <v>2440</v>
      </c>
      <c r="F63" s="7"/>
      <c r="G63" s="7"/>
      <c r="H63" s="177"/>
      <c r="I63" s="177"/>
      <c r="J63" s="177"/>
      <c r="K63" s="7"/>
      <c r="L63" s="7"/>
      <c r="M63" s="177"/>
      <c r="N63" s="177"/>
      <c r="O63" s="177"/>
      <c r="P63" s="177"/>
      <c r="Q63" s="177"/>
      <c r="R63" s="7"/>
    </row>
    <row r="64" spans="1:18" x14ac:dyDescent="0.2">
      <c r="A64" s="7"/>
      <c r="B64" s="7"/>
      <c r="C64" s="7"/>
      <c r="D64" s="7"/>
      <c r="E64" s="172"/>
      <c r="F64" s="7"/>
      <c r="G64" s="7"/>
      <c r="H64" s="174"/>
      <c r="I64" s="174"/>
      <c r="J64" s="174"/>
      <c r="K64" s="7"/>
      <c r="L64" s="7"/>
      <c r="M64" s="174"/>
      <c r="N64" s="174"/>
      <c r="O64" s="174"/>
      <c r="P64" s="174"/>
      <c r="Q64" s="174"/>
      <c r="R64" s="7"/>
    </row>
    <row r="65" spans="1:18" x14ac:dyDescent="0.2">
      <c r="A65" s="7"/>
      <c r="B65" s="7"/>
      <c r="C65" s="7"/>
      <c r="D65" s="7"/>
      <c r="E65" s="172"/>
      <c r="F65" s="7"/>
      <c r="G65" s="7"/>
      <c r="H65" s="174"/>
      <c r="I65" s="174"/>
      <c r="J65" s="174"/>
      <c r="K65" s="7"/>
      <c r="L65" s="7"/>
      <c r="M65" s="174"/>
      <c r="N65" s="174"/>
      <c r="O65" s="174"/>
      <c r="P65" s="174"/>
      <c r="Q65" s="174"/>
      <c r="R65" s="7"/>
    </row>
    <row r="66" spans="1:18" x14ac:dyDescent="0.2">
      <c r="A66" s="7"/>
      <c r="B66" s="7"/>
      <c r="C66" s="7"/>
      <c r="D66" s="7"/>
      <c r="E66" s="172"/>
      <c r="F66" s="7"/>
      <c r="G66" s="7"/>
      <c r="H66" s="174"/>
      <c r="I66" s="174"/>
      <c r="J66" s="174"/>
      <c r="K66" s="7"/>
      <c r="L66" s="7"/>
      <c r="M66" s="174"/>
      <c r="N66" s="174"/>
      <c r="O66" s="174"/>
      <c r="P66" s="174"/>
      <c r="Q66" s="174"/>
      <c r="R66" s="7"/>
    </row>
    <row r="67" spans="1:18" x14ac:dyDescent="0.2">
      <c r="A67" s="7"/>
      <c r="B67" s="7"/>
      <c r="C67" s="7"/>
      <c r="D67" s="7"/>
      <c r="E67" s="7"/>
      <c r="F67" s="7"/>
      <c r="G67" s="7"/>
      <c r="H67" s="174"/>
      <c r="I67" s="174"/>
      <c r="J67" s="174"/>
      <c r="K67" s="7"/>
      <c r="L67" s="7"/>
      <c r="M67" s="174"/>
      <c r="N67" s="174"/>
      <c r="O67" s="174"/>
      <c r="P67" s="174"/>
      <c r="Q67" s="174"/>
      <c r="R67" s="7"/>
    </row>
    <row r="68" spans="1:18" x14ac:dyDescent="0.2">
      <c r="A68" s="7"/>
      <c r="B68" s="7"/>
      <c r="C68" s="7"/>
      <c r="D68" s="7"/>
      <c r="E68" s="9" t="s">
        <v>2209</v>
      </c>
      <c r="F68" s="7"/>
      <c r="G68" s="7"/>
      <c r="H68" s="175">
        <f t="shared" ref="H68" si="7">SUM(H52:H66)</f>
        <v>17123.694</v>
      </c>
      <c r="I68" s="175">
        <f t="shared" ref="I68:Q68" si="8">SUM(I52:I66)</f>
        <v>19612.850999999995</v>
      </c>
      <c r="J68" s="175">
        <f t="shared" si="8"/>
        <v>20907.561811515992</v>
      </c>
      <c r="K68" s="7"/>
      <c r="L68" s="7"/>
      <c r="M68" s="175">
        <f t="shared" si="8"/>
        <v>17347.915772721044</v>
      </c>
      <c r="N68" s="175">
        <f t="shared" si="8"/>
        <v>18247.083934480816</v>
      </c>
      <c r="O68" s="175">
        <f t="shared" si="8"/>
        <v>17942.799065089122</v>
      </c>
      <c r="P68" s="175">
        <f t="shared" si="8"/>
        <v>18063.132495067206</v>
      </c>
      <c r="Q68" s="175">
        <f t="shared" si="8"/>
        <v>18557.168053530524</v>
      </c>
      <c r="R68" s="7"/>
    </row>
    <row r="69" spans="1:18" x14ac:dyDescent="0.2">
      <c r="A69" s="7"/>
      <c r="B69" s="7"/>
      <c r="C69" s="7"/>
      <c r="D69" s="7"/>
      <c r="E69" s="7"/>
      <c r="F69" s="7"/>
      <c r="G69" s="7"/>
      <c r="H69" s="146">
        <f>H68-H103</f>
        <v>0</v>
      </c>
      <c r="I69" s="146">
        <f>I68-I103</f>
        <v>0</v>
      </c>
      <c r="J69" s="146">
        <f>J68-J103</f>
        <v>0</v>
      </c>
      <c r="K69" s="7"/>
      <c r="L69" s="7"/>
      <c r="M69" s="146">
        <f>M68-M103</f>
        <v>0</v>
      </c>
      <c r="N69" s="146">
        <f>N68-N103</f>
        <v>0</v>
      </c>
      <c r="O69" s="146">
        <f>O68-O103</f>
        <v>0</v>
      </c>
      <c r="P69" s="146">
        <f>P68-P103</f>
        <v>0</v>
      </c>
      <c r="Q69" s="146">
        <f>Q68-Q103</f>
        <v>0</v>
      </c>
      <c r="R69" s="7"/>
    </row>
    <row r="70" spans="1:18" x14ac:dyDescent="0.2">
      <c r="A70" s="7"/>
      <c r="B70" s="7"/>
      <c r="C70" s="7"/>
      <c r="D70" s="7"/>
      <c r="E70" s="7"/>
      <c r="F70" s="7"/>
      <c r="G70" s="7"/>
      <c r="H70" s="174"/>
      <c r="I70" s="174"/>
      <c r="J70" s="174"/>
      <c r="K70" s="7"/>
      <c r="L70" s="7"/>
      <c r="M70" s="7"/>
      <c r="N70" s="7"/>
      <c r="O70" s="7"/>
      <c r="P70" s="7"/>
      <c r="Q70" s="7"/>
      <c r="R70" s="7"/>
    </row>
    <row r="71" spans="1:18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1:18" x14ac:dyDescent="0.2">
      <c r="A72" s="22" t="s">
        <v>2448</v>
      </c>
      <c r="B72" s="22"/>
      <c r="C72" s="15"/>
      <c r="D72" s="24"/>
      <c r="E72" s="171"/>
      <c r="F72" s="171"/>
      <c r="G72" s="171"/>
      <c r="H72" s="35" t="s">
        <v>2367</v>
      </c>
      <c r="I72" s="35" t="s">
        <v>2367</v>
      </c>
      <c r="J72" s="35" t="s">
        <v>2367</v>
      </c>
      <c r="K72" s="7"/>
      <c r="L72" s="7"/>
      <c r="M72" s="35" t="s">
        <v>2428</v>
      </c>
      <c r="N72" s="35" t="s">
        <v>2428</v>
      </c>
      <c r="O72" s="35" t="s">
        <v>2428</v>
      </c>
      <c r="P72" s="35" t="s">
        <v>2428</v>
      </c>
      <c r="Q72" s="35" t="s">
        <v>2428</v>
      </c>
    </row>
    <row r="73" spans="1:18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x14ac:dyDescent="0.2">
      <c r="A74" s="7"/>
      <c r="B74" s="7"/>
      <c r="C74" s="7"/>
      <c r="D74" s="7"/>
      <c r="E74" s="172" t="s">
        <v>2307</v>
      </c>
      <c r="F74" s="7"/>
      <c r="G74" s="7"/>
      <c r="H74" s="173">
        <v>1319.3805279156215</v>
      </c>
      <c r="I74" s="173">
        <v>3443.8968349538632</v>
      </c>
      <c r="J74" s="173">
        <v>2267.2190704388777</v>
      </c>
      <c r="K74" s="7"/>
      <c r="L74" s="7"/>
      <c r="M74" s="173">
        <f>M$107*'Output|PTRM'!G11/SUM('Output|PTRM'!G$11:G$15)</f>
        <v>2223.487135225228</v>
      </c>
      <c r="N74" s="173">
        <f>N$107*'Output|PTRM'!H11/SUM('Output|PTRM'!H$11:H$15)</f>
        <v>2355.4430541362531</v>
      </c>
      <c r="O74" s="173">
        <f>O$107*'Output|PTRM'!I11/SUM('Output|PTRM'!I$11:I$15)</f>
        <v>2327.5070746921942</v>
      </c>
      <c r="P74" s="173">
        <f>P$107*'Output|PTRM'!J11/SUM('Output|PTRM'!J$11:J$15)</f>
        <v>2326.552561083517</v>
      </c>
      <c r="Q74" s="173">
        <f>Q$107*'Output|PTRM'!K11/SUM('Output|PTRM'!K$11:K$15)</f>
        <v>2385.900222851792</v>
      </c>
      <c r="R74" s="7"/>
    </row>
    <row r="75" spans="1:18" x14ac:dyDescent="0.2">
      <c r="A75" s="7"/>
      <c r="B75" s="7"/>
      <c r="C75" s="7"/>
      <c r="D75" s="7"/>
      <c r="E75" s="172" t="s">
        <v>2310</v>
      </c>
      <c r="F75" s="7"/>
      <c r="G75" s="7"/>
      <c r="H75" s="173">
        <v>6103.7544489364363</v>
      </c>
      <c r="I75" s="173">
        <v>4881.7093902693678</v>
      </c>
      <c r="J75" s="173">
        <v>6733.6494536782493</v>
      </c>
      <c r="K75" s="7"/>
      <c r="L75" s="7"/>
      <c r="M75" s="173">
        <f>M$107*'Output|PTRM'!G12/SUM('Output|PTRM'!G$11:G$15)</f>
        <v>5670.8655219785542</v>
      </c>
      <c r="N75" s="173">
        <f>N$107*'Output|PTRM'!H12/SUM('Output|PTRM'!H$11:H$15)</f>
        <v>6005.9131342830715</v>
      </c>
      <c r="O75" s="173">
        <f>O$107*'Output|PTRM'!I12/SUM('Output|PTRM'!I$11:I$15)</f>
        <v>5934.6348878734407</v>
      </c>
      <c r="P75" s="173">
        <f>P$107*'Output|PTRM'!J12/SUM('Output|PTRM'!J$11:J$15)</f>
        <v>5932.372829341688</v>
      </c>
      <c r="Q75" s="173">
        <f>Q$107*'Output|PTRM'!K12/SUM('Output|PTRM'!K$11:K$15)</f>
        <v>6082.8325784156832</v>
      </c>
      <c r="R75" s="7"/>
    </row>
    <row r="76" spans="1:18" x14ac:dyDescent="0.2">
      <c r="A76" s="7"/>
      <c r="B76" s="7"/>
      <c r="C76" s="7"/>
      <c r="D76" s="7"/>
      <c r="E76" s="172" t="s">
        <v>2311</v>
      </c>
      <c r="F76" s="7"/>
      <c r="G76" s="7"/>
      <c r="H76" s="173">
        <v>0</v>
      </c>
      <c r="I76" s="173">
        <v>0</v>
      </c>
      <c r="J76" s="173">
        <v>0</v>
      </c>
      <c r="K76" s="7"/>
      <c r="L76" s="7"/>
      <c r="M76" s="173">
        <f>M$107*'Output|PTRM'!G13/SUM('Output|PTRM'!G$11:G$15)</f>
        <v>0</v>
      </c>
      <c r="N76" s="173">
        <f>N$107*'Output|PTRM'!H13/SUM('Output|PTRM'!H$11:H$15)</f>
        <v>0</v>
      </c>
      <c r="O76" s="173">
        <f>O$107*'Output|PTRM'!I13/SUM('Output|PTRM'!I$11:I$15)</f>
        <v>0</v>
      </c>
      <c r="P76" s="173">
        <f>P$107*'Output|PTRM'!J13/SUM('Output|PTRM'!J$11:J$15)</f>
        <v>0</v>
      </c>
      <c r="Q76" s="173">
        <f>Q$107*'Output|PTRM'!K13/SUM('Output|PTRM'!K$11:K$15)</f>
        <v>0</v>
      </c>
      <c r="R76" s="7"/>
    </row>
    <row r="77" spans="1:18" x14ac:dyDescent="0.2">
      <c r="A77" s="7"/>
      <c r="B77" s="7"/>
      <c r="C77" s="7"/>
      <c r="D77" s="7"/>
      <c r="E77" s="172" t="s">
        <v>2312</v>
      </c>
      <c r="F77" s="7"/>
      <c r="G77" s="7"/>
      <c r="H77" s="173">
        <v>0</v>
      </c>
      <c r="I77" s="173">
        <v>0</v>
      </c>
      <c r="J77" s="173">
        <v>0</v>
      </c>
      <c r="K77" s="7"/>
      <c r="L77" s="7"/>
      <c r="M77" s="173">
        <f>M$107*'Output|PTRM'!G14/SUM('Output|PTRM'!G$11:G$15)</f>
        <v>0</v>
      </c>
      <c r="N77" s="173">
        <f>N$107*'Output|PTRM'!H14/SUM('Output|PTRM'!H$11:H$15)</f>
        <v>0</v>
      </c>
      <c r="O77" s="173">
        <f>O$107*'Output|PTRM'!I14/SUM('Output|PTRM'!I$11:I$15)</f>
        <v>0</v>
      </c>
      <c r="P77" s="173">
        <f>P$107*'Output|PTRM'!J14/SUM('Output|PTRM'!J$11:J$15)</f>
        <v>0</v>
      </c>
      <c r="Q77" s="173">
        <f>Q$107*'Output|PTRM'!K14/SUM('Output|PTRM'!K$11:K$15)</f>
        <v>0</v>
      </c>
      <c r="R77" s="7"/>
    </row>
    <row r="78" spans="1:18" x14ac:dyDescent="0.2">
      <c r="A78" s="7"/>
      <c r="B78" s="7"/>
      <c r="C78" s="7"/>
      <c r="D78" s="7"/>
      <c r="E78" s="172" t="s">
        <v>2309</v>
      </c>
      <c r="F78" s="7"/>
      <c r="G78" s="7"/>
      <c r="H78" s="173">
        <v>150.28802314794223</v>
      </c>
      <c r="I78" s="173">
        <v>118.52477477676744</v>
      </c>
      <c r="J78" s="173">
        <v>91.432731212940155</v>
      </c>
      <c r="K78" s="7"/>
      <c r="L78" s="7"/>
      <c r="M78" s="173">
        <f>M$107*'Output|PTRM'!G15/SUM('Output|PTRM'!G$11:G$15)</f>
        <v>421.76076708197263</v>
      </c>
      <c r="N78" s="173">
        <f>N$107*'Output|PTRM'!H15/SUM('Output|PTRM'!H$11:H$15)</f>
        <v>385.79370841254485</v>
      </c>
      <c r="O78" s="173">
        <f>O$107*'Output|PTRM'!I15/SUM('Output|PTRM'!I$11:I$15)</f>
        <v>339.142141492767</v>
      </c>
      <c r="P78" s="173">
        <f>P$107*'Output|PTRM'!J15/SUM('Output|PTRM'!J$11:J$15)</f>
        <v>400.04324850998483</v>
      </c>
      <c r="Q78" s="173">
        <f>Q$107*'Output|PTRM'!K15/SUM('Output|PTRM'!K$11:K$15)</f>
        <v>427.06288903440804</v>
      </c>
      <c r="R78" s="7"/>
    </row>
    <row r="79" spans="1:18" x14ac:dyDescent="0.2">
      <c r="A79" s="7"/>
      <c r="B79" s="7"/>
      <c r="C79" s="7"/>
      <c r="D79" s="7"/>
      <c r="E79" s="172" t="s">
        <v>2301</v>
      </c>
      <c r="F79" s="7"/>
      <c r="G79" s="7"/>
      <c r="H79" s="177"/>
      <c r="I79" s="177"/>
      <c r="J79" s="177"/>
      <c r="K79" s="7"/>
      <c r="L79" s="7"/>
      <c r="M79" s="177"/>
      <c r="N79" s="177"/>
      <c r="O79" s="177"/>
      <c r="P79" s="177"/>
      <c r="Q79" s="177"/>
      <c r="R79" s="7"/>
    </row>
    <row r="80" spans="1:18" x14ac:dyDescent="0.2">
      <c r="A80" s="7"/>
      <c r="B80" s="7"/>
      <c r="C80" s="7"/>
      <c r="D80" s="7"/>
      <c r="E80" s="172" t="s">
        <v>2302</v>
      </c>
      <c r="F80" s="7"/>
      <c r="G80" s="7"/>
      <c r="H80" s="177"/>
      <c r="I80" s="177"/>
      <c r="J80" s="177"/>
      <c r="K80" s="7"/>
      <c r="L80" s="7"/>
      <c r="M80" s="177"/>
      <c r="N80" s="177"/>
      <c r="O80" s="177"/>
      <c r="P80" s="177"/>
      <c r="Q80" s="177"/>
      <c r="R80" s="7"/>
    </row>
    <row r="81" spans="1:18" x14ac:dyDescent="0.2">
      <c r="A81" s="7"/>
      <c r="B81" s="7"/>
      <c r="C81" s="7"/>
      <c r="D81" s="7"/>
      <c r="E81" s="172" t="s">
        <v>39</v>
      </c>
      <c r="F81" s="7"/>
      <c r="G81" s="7"/>
      <c r="H81" s="177"/>
      <c r="I81" s="177"/>
      <c r="J81" s="177"/>
      <c r="K81" s="7"/>
      <c r="L81" s="7"/>
      <c r="M81" s="177"/>
      <c r="N81" s="177"/>
      <c r="O81" s="177"/>
      <c r="P81" s="177"/>
      <c r="Q81" s="177"/>
      <c r="R81" s="7"/>
    </row>
    <row r="82" spans="1:18" x14ac:dyDescent="0.2">
      <c r="A82" s="7"/>
      <c r="B82" s="7"/>
      <c r="C82" s="7"/>
      <c r="D82" s="7"/>
      <c r="E82" s="172" t="s">
        <v>2313</v>
      </c>
      <c r="F82" s="7"/>
      <c r="G82" s="7"/>
      <c r="H82" s="177"/>
      <c r="I82" s="177"/>
      <c r="J82" s="177"/>
      <c r="K82" s="7"/>
      <c r="L82" s="7"/>
      <c r="M82" s="177"/>
      <c r="N82" s="177"/>
      <c r="O82" s="177"/>
      <c r="P82" s="177"/>
      <c r="Q82" s="177"/>
      <c r="R82" s="7"/>
    </row>
    <row r="83" spans="1:18" x14ac:dyDescent="0.2">
      <c r="A83" s="7"/>
      <c r="B83" s="7"/>
      <c r="C83" s="7"/>
      <c r="D83" s="7"/>
      <c r="E83" s="172" t="s">
        <v>2314</v>
      </c>
      <c r="F83" s="7"/>
      <c r="G83" s="7"/>
      <c r="H83" s="177"/>
      <c r="I83" s="177"/>
      <c r="J83" s="177"/>
      <c r="K83" s="7"/>
      <c r="L83" s="7"/>
      <c r="M83" s="177"/>
      <c r="N83" s="177"/>
      <c r="O83" s="177"/>
      <c r="P83" s="177"/>
      <c r="Q83" s="177"/>
      <c r="R83" s="7"/>
    </row>
    <row r="84" spans="1:18" x14ac:dyDescent="0.2">
      <c r="A84" s="7"/>
      <c r="B84" s="7"/>
      <c r="C84" s="7"/>
      <c r="D84" s="7"/>
      <c r="E84" s="172" t="s">
        <v>2315</v>
      </c>
      <c r="F84" s="7"/>
      <c r="G84" s="7"/>
      <c r="H84" s="177"/>
      <c r="I84" s="177"/>
      <c r="J84" s="177"/>
      <c r="K84" s="7"/>
      <c r="L84" s="7"/>
      <c r="M84" s="177"/>
      <c r="N84" s="177"/>
      <c r="O84" s="177"/>
      <c r="P84" s="177"/>
      <c r="Q84" s="177"/>
      <c r="R84" s="7"/>
    </row>
    <row r="85" spans="1:18" x14ac:dyDescent="0.2">
      <c r="A85" s="7"/>
      <c r="B85" s="7"/>
      <c r="C85" s="7"/>
      <c r="D85" s="7"/>
      <c r="E85" s="172" t="s">
        <v>2440</v>
      </c>
      <c r="F85" s="7"/>
      <c r="G85" s="7"/>
      <c r="H85" s="177"/>
      <c r="I85" s="177"/>
      <c r="J85" s="177"/>
      <c r="K85" s="7"/>
      <c r="L85" s="7"/>
      <c r="M85" s="177"/>
      <c r="N85" s="177"/>
      <c r="O85" s="177"/>
      <c r="P85" s="177"/>
      <c r="Q85" s="177"/>
      <c r="R85" s="7"/>
    </row>
    <row r="86" spans="1:18" x14ac:dyDescent="0.2">
      <c r="A86" s="7"/>
      <c r="B86" s="7"/>
      <c r="C86" s="7"/>
      <c r="D86" s="7"/>
      <c r="E86" s="172"/>
      <c r="F86" s="7"/>
      <c r="G86" s="7"/>
      <c r="H86" s="174"/>
      <c r="I86" s="174"/>
      <c r="J86" s="174"/>
      <c r="K86" s="7"/>
      <c r="L86" s="7"/>
      <c r="M86" s="174"/>
      <c r="N86" s="174"/>
      <c r="O86" s="174"/>
      <c r="P86" s="174"/>
      <c r="Q86" s="174"/>
      <c r="R86" s="7"/>
    </row>
    <row r="87" spans="1:18" x14ac:dyDescent="0.2">
      <c r="A87" s="7"/>
      <c r="B87" s="7"/>
      <c r="C87" s="7"/>
      <c r="D87" s="7"/>
      <c r="E87" s="172"/>
      <c r="F87" s="7"/>
      <c r="G87" s="7"/>
      <c r="H87" s="174"/>
      <c r="I87" s="174"/>
      <c r="J87" s="174"/>
      <c r="K87" s="7"/>
      <c r="L87" s="7"/>
      <c r="M87" s="174"/>
      <c r="N87" s="174"/>
      <c r="O87" s="174"/>
      <c r="P87" s="174"/>
      <c r="Q87" s="174"/>
      <c r="R87" s="7"/>
    </row>
    <row r="88" spans="1:18" x14ac:dyDescent="0.2">
      <c r="A88" s="7"/>
      <c r="B88" s="7"/>
      <c r="C88" s="7"/>
      <c r="D88" s="7"/>
      <c r="E88" s="172"/>
      <c r="F88" s="7"/>
      <c r="G88" s="7"/>
      <c r="H88" s="174"/>
      <c r="I88" s="174"/>
      <c r="J88" s="174"/>
      <c r="K88" s="7"/>
      <c r="L88" s="7"/>
      <c r="M88" s="174"/>
      <c r="N88" s="174"/>
      <c r="O88" s="174"/>
      <c r="P88" s="174"/>
      <c r="Q88" s="174"/>
      <c r="R88" s="7"/>
    </row>
    <row r="89" spans="1:18" x14ac:dyDescent="0.2">
      <c r="A89" s="7"/>
      <c r="B89" s="7"/>
      <c r="C89" s="7"/>
      <c r="D89" s="7"/>
      <c r="E89" s="7"/>
      <c r="F89" s="7"/>
      <c r="G89" s="7"/>
      <c r="H89" s="174"/>
      <c r="I89" s="174"/>
      <c r="J89" s="174"/>
      <c r="K89" s="7"/>
      <c r="L89" s="7"/>
      <c r="M89" s="174"/>
      <c r="N89" s="174"/>
      <c r="O89" s="174"/>
      <c r="P89" s="174"/>
      <c r="Q89" s="174"/>
      <c r="R89" s="7"/>
    </row>
    <row r="90" spans="1:18" x14ac:dyDescent="0.2">
      <c r="A90" s="7"/>
      <c r="B90" s="7"/>
      <c r="C90" s="7"/>
      <c r="D90" s="7"/>
      <c r="E90" s="9" t="s">
        <v>2209</v>
      </c>
      <c r="F90" s="7"/>
      <c r="G90" s="7"/>
      <c r="H90" s="175">
        <f t="shared" ref="H90:J90" si="9">SUM(H74:H88)</f>
        <v>7573.4229999999998</v>
      </c>
      <c r="I90" s="175">
        <f t="shared" si="9"/>
        <v>8444.1309999999994</v>
      </c>
      <c r="J90" s="175">
        <f t="shared" si="9"/>
        <v>9092.3012553300669</v>
      </c>
      <c r="K90" s="7"/>
      <c r="L90" s="7"/>
      <c r="M90" s="175">
        <f t="shared" ref="M90:Q90" si="10">SUM(M74:M88)</f>
        <v>8316.1134242857552</v>
      </c>
      <c r="N90" s="176">
        <f t="shared" si="10"/>
        <v>8747.1498968318683</v>
      </c>
      <c r="O90" s="176">
        <f t="shared" si="10"/>
        <v>8601.2841040584008</v>
      </c>
      <c r="P90" s="176">
        <f t="shared" si="10"/>
        <v>8658.96863893519</v>
      </c>
      <c r="Q90" s="176">
        <f t="shared" si="10"/>
        <v>8895.795690301884</v>
      </c>
      <c r="R90" s="7"/>
    </row>
    <row r="91" spans="1:18" x14ac:dyDescent="0.2">
      <c r="A91" s="7"/>
      <c r="B91" s="7"/>
      <c r="C91" s="7"/>
      <c r="D91" s="7"/>
      <c r="E91" s="7"/>
      <c r="F91" s="7"/>
      <c r="G91" s="7"/>
      <c r="H91" s="146">
        <f>H90-H107</f>
        <v>0</v>
      </c>
      <c r="I91" s="146">
        <f>I90-I107</f>
        <v>0</v>
      </c>
      <c r="J91" s="146">
        <f>J90-J107</f>
        <v>0</v>
      </c>
      <c r="K91" s="7"/>
      <c r="L91" s="7"/>
      <c r="M91" s="146">
        <f>M90-M107</f>
        <v>0</v>
      </c>
      <c r="N91" s="146">
        <f>N90-N107</f>
        <v>0</v>
      </c>
      <c r="O91" s="146">
        <f>O90-O107</f>
        <v>0</v>
      </c>
      <c r="P91" s="146">
        <f>P90-P107</f>
        <v>0</v>
      </c>
      <c r="Q91" s="146">
        <f>Q90-Q107</f>
        <v>0</v>
      </c>
      <c r="R91" s="7"/>
    </row>
    <row r="92" spans="1:18" x14ac:dyDescent="0.2">
      <c r="A92" s="7"/>
      <c r="B92" s="7"/>
      <c r="C92" s="7"/>
      <c r="D92" s="7"/>
      <c r="E92" s="7"/>
      <c r="F92" s="7"/>
      <c r="G92" s="7"/>
      <c r="H92" s="174"/>
      <c r="I92" s="174"/>
      <c r="J92" s="174"/>
      <c r="K92" s="7"/>
      <c r="L92" s="7"/>
      <c r="M92" s="7"/>
      <c r="N92" s="7"/>
      <c r="O92" s="7"/>
      <c r="P92" s="7"/>
      <c r="Q92" s="7"/>
      <c r="R92" s="7"/>
    </row>
    <row r="93" spans="1:18" x14ac:dyDescent="0.2">
      <c r="A93" s="22" t="s">
        <v>2449</v>
      </c>
      <c r="B93" s="22"/>
      <c r="C93" s="15"/>
      <c r="D93" s="24"/>
      <c r="E93" s="171"/>
      <c r="F93" s="171"/>
      <c r="G93" s="171"/>
      <c r="H93" s="35" t="s">
        <v>2367</v>
      </c>
      <c r="I93" s="35" t="s">
        <v>2367</v>
      </c>
      <c r="J93" s="35" t="s">
        <v>2367</v>
      </c>
      <c r="K93" s="7"/>
      <c r="L93" s="7"/>
      <c r="M93" s="35" t="s">
        <v>2428</v>
      </c>
      <c r="N93" s="35" t="s">
        <v>2428</v>
      </c>
      <c r="O93" s="35" t="s">
        <v>2428</v>
      </c>
      <c r="P93" s="35" t="s">
        <v>2428</v>
      </c>
      <c r="Q93" s="35" t="s">
        <v>2428</v>
      </c>
    </row>
    <row r="94" spans="1:18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x14ac:dyDescent="0.2">
      <c r="A95" s="7"/>
      <c r="B95" s="7"/>
      <c r="C95" s="7"/>
      <c r="D95" s="7"/>
      <c r="E95" s="178" t="s">
        <v>2450</v>
      </c>
      <c r="F95" s="7"/>
      <c r="G95" s="7"/>
      <c r="H95" s="174">
        <v>13604.132486173638</v>
      </c>
      <c r="I95" s="174">
        <v>14945.788228638503</v>
      </c>
      <c r="J95" s="174">
        <v>13316.019992585918</v>
      </c>
      <c r="K95" s="7"/>
      <c r="L95" s="7"/>
      <c r="M95" s="174">
        <f t="shared" ref="M95:Q95" si="11">M96</f>
        <v>15739.636322116961</v>
      </c>
      <c r="N95" s="174">
        <f t="shared" si="11"/>
        <v>16029.643437370556</v>
      </c>
      <c r="O95" s="174">
        <f t="shared" si="11"/>
        <v>15806.031418779083</v>
      </c>
      <c r="P95" s="174">
        <f t="shared" si="11"/>
        <v>15497.312763092663</v>
      </c>
      <c r="Q95" s="174">
        <f t="shared" si="11"/>
        <v>15713.488184603199</v>
      </c>
      <c r="R95" s="7"/>
    </row>
    <row r="96" spans="1:18" x14ac:dyDescent="0.2">
      <c r="A96" s="7"/>
      <c r="B96" s="7"/>
      <c r="C96" s="7"/>
      <c r="D96" s="7"/>
      <c r="E96" s="178" t="s">
        <v>2451</v>
      </c>
      <c r="F96" s="7"/>
      <c r="G96" s="7"/>
      <c r="H96" s="173">
        <f>'Output|Functional'!H95*1000/Inflation!M26-H100</f>
        <v>12071.434531509787</v>
      </c>
      <c r="I96" s="174">
        <f>'Output|Functional'!I95*1000/Inflation!N26-I100</f>
        <v>12184.646663921412</v>
      </c>
      <c r="J96" s="174">
        <f>'Output|Functional'!J95*1000/Inflation!O26-J100</f>
        <v>13845.073307051012</v>
      </c>
      <c r="K96" s="7"/>
      <c r="L96" s="7"/>
      <c r="M96" s="174">
        <f>'Output|Functional'!M95*1000-M100</f>
        <v>15739.636322116961</v>
      </c>
      <c r="N96" s="174">
        <f>'Output|Functional'!N95*1000-N100</f>
        <v>16029.643437370556</v>
      </c>
      <c r="O96" s="174">
        <f>'Output|Functional'!O95*1000-O100</f>
        <v>15806.031418779083</v>
      </c>
      <c r="P96" s="174">
        <f>'Output|Functional'!P95*1000-P100</f>
        <v>15497.312763092663</v>
      </c>
      <c r="Q96" s="174">
        <f>'Output|Functional'!Q95*1000-Q100</f>
        <v>15713.488184603199</v>
      </c>
      <c r="R96" s="7"/>
    </row>
    <row r="97" spans="1:18" x14ac:dyDescent="0.2">
      <c r="A97" s="7"/>
      <c r="B97" s="7"/>
      <c r="C97" s="7"/>
      <c r="D97" s="7"/>
      <c r="E97" s="178"/>
      <c r="F97" s="7"/>
      <c r="G97" s="7"/>
      <c r="H97" s="179">
        <f>H95/H96</f>
        <v>1.12696899864412</v>
      </c>
      <c r="I97" s="179">
        <f t="shared" ref="I97:Q97" si="12">I95/I96</f>
        <v>1.2266082588092437</v>
      </c>
      <c r="J97" s="179">
        <f t="shared" si="12"/>
        <v>0.96178761190121986</v>
      </c>
      <c r="K97" s="7"/>
      <c r="L97" s="7"/>
      <c r="M97" s="179">
        <f t="shared" si="12"/>
        <v>1</v>
      </c>
      <c r="N97" s="179">
        <f t="shared" si="12"/>
        <v>1</v>
      </c>
      <c r="O97" s="179">
        <f t="shared" si="12"/>
        <v>1</v>
      </c>
      <c r="P97" s="179">
        <f t="shared" si="12"/>
        <v>1</v>
      </c>
      <c r="Q97" s="179">
        <f t="shared" si="12"/>
        <v>1</v>
      </c>
      <c r="R97" s="7"/>
    </row>
    <row r="98" spans="1:18" x14ac:dyDescent="0.2">
      <c r="A98" s="7"/>
      <c r="B98" s="7"/>
      <c r="C98" s="7"/>
      <c r="D98" s="7"/>
      <c r="E98" s="178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1:18" x14ac:dyDescent="0.2">
      <c r="A99" s="7"/>
      <c r="B99" s="7"/>
      <c r="C99" s="7"/>
      <c r="D99" s="7"/>
      <c r="E99" s="178" t="s">
        <v>2452</v>
      </c>
      <c r="F99" s="7"/>
      <c r="G99" s="7"/>
      <c r="H99" s="174">
        <v>576.29071468273366</v>
      </c>
      <c r="I99" s="174">
        <v>1581.6618590310929</v>
      </c>
      <c r="J99" s="174">
        <v>901.44544899899927</v>
      </c>
      <c r="K99" s="7"/>
      <c r="L99" s="7"/>
      <c r="M99" s="174">
        <f>M100*AVERAGE($H$101:$J$101)</f>
        <v>1017.3127860165162</v>
      </c>
      <c r="N99" s="174">
        <f t="shared" ref="N99:Q99" si="13">N100*AVERAGE($H$101:$J$101)</f>
        <v>1662.5487701842767</v>
      </c>
      <c r="O99" s="174">
        <f t="shared" si="13"/>
        <v>1462.4057077958657</v>
      </c>
      <c r="P99" s="174">
        <f t="shared" si="13"/>
        <v>1280.6254829923362</v>
      </c>
      <c r="Q99" s="174">
        <f t="shared" si="13"/>
        <v>1717.1455711326598</v>
      </c>
      <c r="R99" s="7"/>
    </row>
    <row r="100" spans="1:18" x14ac:dyDescent="0.2">
      <c r="A100" s="7"/>
      <c r="B100" s="7"/>
      <c r="C100" s="7"/>
      <c r="D100" s="7"/>
      <c r="E100" s="178" t="s">
        <v>2453</v>
      </c>
      <c r="F100" s="7"/>
      <c r="G100" s="7"/>
      <c r="H100" s="173">
        <f>SUM('Calc|Consolidated Capex'!J59:J60)</f>
        <v>5376.7916800000003</v>
      </c>
      <c r="I100" s="174">
        <f>SUM('Calc|Consolidated Capex'!K59:K60)</f>
        <v>7865.7218900000007</v>
      </c>
      <c r="J100" s="174">
        <f>SUM('Calc|Consolidated Capex'!L59:L60)</f>
        <v>5958.9719999999998</v>
      </c>
      <c r="K100" s="174"/>
      <c r="L100" s="174"/>
      <c r="M100" s="174">
        <f>SUM('Calc|Consolidated Capex'!O59:O60)</f>
        <v>6641.2994415325429</v>
      </c>
      <c r="N100" s="174">
        <f>SUM('Calc|Consolidated Capex'!P59:P60)</f>
        <v>10853.578536234178</v>
      </c>
      <c r="O100" s="174">
        <f>SUM('Calc|Consolidated Capex'!Q59:Q60)</f>
        <v>9546.989228857492</v>
      </c>
      <c r="P100" s="174">
        <f>SUM('Calc|Consolidated Capex'!R59:R60)</f>
        <v>8360.2776077477374</v>
      </c>
      <c r="Q100" s="174">
        <f>SUM('Calc|Consolidated Capex'!S59:S60)</f>
        <v>11210.001564266457</v>
      </c>
      <c r="R100" s="7"/>
    </row>
    <row r="101" spans="1:18" x14ac:dyDescent="0.2">
      <c r="A101" s="7"/>
      <c r="B101" s="7"/>
      <c r="C101" s="7"/>
      <c r="D101" s="7"/>
      <c r="E101" s="178"/>
      <c r="F101" s="7"/>
      <c r="G101" s="7"/>
      <c r="H101" s="179">
        <f>H99/H100</f>
        <v>0.10718114983445548</v>
      </c>
      <c r="I101" s="179">
        <f t="shared" ref="I101:J101" si="14">I99/I100</f>
        <v>0.20108286068973802</v>
      </c>
      <c r="J101" s="179">
        <f t="shared" si="14"/>
        <v>0.15127532886528067</v>
      </c>
      <c r="K101" s="7"/>
      <c r="L101" s="7"/>
      <c r="M101" s="179">
        <f t="shared" ref="M101:Q101" si="15">M99/M100</f>
        <v>0.15317977979649139</v>
      </c>
      <c r="N101" s="179">
        <f t="shared" si="15"/>
        <v>0.15317977979649139</v>
      </c>
      <c r="O101" s="179">
        <f t="shared" si="15"/>
        <v>0.15317977979649139</v>
      </c>
      <c r="P101" s="179">
        <f t="shared" si="15"/>
        <v>0.15317977979649139</v>
      </c>
      <c r="Q101" s="179">
        <f t="shared" si="15"/>
        <v>0.15317977979649139</v>
      </c>
      <c r="R101" s="7"/>
    </row>
    <row r="102" spans="1:18" x14ac:dyDescent="0.2">
      <c r="A102" s="7"/>
      <c r="B102" s="7"/>
      <c r="C102" s="7"/>
      <c r="D102" s="7"/>
      <c r="E102" s="178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1:18" x14ac:dyDescent="0.2">
      <c r="A103" s="7"/>
      <c r="B103" s="7"/>
      <c r="C103" s="7"/>
      <c r="D103" s="7"/>
      <c r="E103" s="178" t="s">
        <v>2454</v>
      </c>
      <c r="F103" s="7"/>
      <c r="G103" s="7"/>
      <c r="H103" s="174">
        <v>17123.694</v>
      </c>
      <c r="I103" s="174">
        <v>19612.850999999999</v>
      </c>
      <c r="J103" s="174">
        <v>20907.561811515989</v>
      </c>
      <c r="K103" s="7"/>
      <c r="L103" s="7"/>
      <c r="M103" s="174">
        <f t="shared" ref="M103:Q103" si="16">M104</f>
        <v>17347.915772721044</v>
      </c>
      <c r="N103" s="174">
        <f t="shared" si="16"/>
        <v>18247.083934480816</v>
      </c>
      <c r="O103" s="174">
        <f t="shared" si="16"/>
        <v>17942.799065089119</v>
      </c>
      <c r="P103" s="174">
        <f t="shared" si="16"/>
        <v>18063.132495067206</v>
      </c>
      <c r="Q103" s="174">
        <f t="shared" si="16"/>
        <v>18557.16805353052</v>
      </c>
      <c r="R103" s="7"/>
    </row>
    <row r="104" spans="1:18" x14ac:dyDescent="0.2">
      <c r="A104" s="7"/>
      <c r="B104" s="7"/>
      <c r="C104" s="7"/>
      <c r="D104" s="7"/>
      <c r="E104" s="178" t="s">
        <v>2455</v>
      </c>
      <c r="F104" s="7"/>
      <c r="G104" s="7"/>
      <c r="H104" s="174">
        <f>'Calc|Weightings'!N106</f>
        <v>16688.223440000002</v>
      </c>
      <c r="I104" s="174">
        <f>'Calc|Weightings'!X106</f>
        <v>17696.946160000003</v>
      </c>
      <c r="J104" s="174">
        <f>'Calc|Weightings'!AH106</f>
        <v>17928.32916367225</v>
      </c>
      <c r="K104" s="7"/>
      <c r="L104" s="7"/>
      <c r="M104" s="174">
        <f>'Calc|Overheads'!O20</f>
        <v>17347.915772721044</v>
      </c>
      <c r="N104" s="174">
        <f>'Calc|Overheads'!P20</f>
        <v>18247.083934480816</v>
      </c>
      <c r="O104" s="174">
        <f>'Calc|Overheads'!Q20</f>
        <v>17942.799065089119</v>
      </c>
      <c r="P104" s="174">
        <f>'Calc|Overheads'!R20</f>
        <v>18063.132495067206</v>
      </c>
      <c r="Q104" s="174">
        <f>'Calc|Overheads'!S20</f>
        <v>18557.16805353052</v>
      </c>
      <c r="R104" s="7"/>
    </row>
    <row r="105" spans="1:18" x14ac:dyDescent="0.2">
      <c r="A105" s="7"/>
      <c r="B105" s="7"/>
      <c r="C105" s="7"/>
      <c r="D105" s="7"/>
      <c r="E105" s="178"/>
      <c r="F105" s="7"/>
      <c r="G105" s="7"/>
      <c r="H105" s="179">
        <f>H103/H104</f>
        <v>1.0260944828289043</v>
      </c>
      <c r="I105" s="179">
        <f t="shared" ref="I105:J105" si="17">I103/I104</f>
        <v>1.1082618900842041</v>
      </c>
      <c r="J105" s="179">
        <f t="shared" si="17"/>
        <v>1.1661745844046911</v>
      </c>
      <c r="K105" s="7"/>
      <c r="L105" s="7"/>
      <c r="M105" s="179">
        <f t="shared" ref="M105:Q105" si="18">M103/M104</f>
        <v>1</v>
      </c>
      <c r="N105" s="179">
        <f t="shared" si="18"/>
        <v>1</v>
      </c>
      <c r="O105" s="179">
        <f t="shared" si="18"/>
        <v>1</v>
      </c>
      <c r="P105" s="179">
        <f t="shared" si="18"/>
        <v>1</v>
      </c>
      <c r="Q105" s="179">
        <f t="shared" si="18"/>
        <v>1</v>
      </c>
      <c r="R105" s="7"/>
    </row>
    <row r="106" spans="1:18" x14ac:dyDescent="0.2">
      <c r="A106" s="7"/>
      <c r="B106" s="7"/>
      <c r="C106" s="7"/>
      <c r="D106" s="7"/>
      <c r="E106" s="178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1:18" x14ac:dyDescent="0.2">
      <c r="A107" s="7"/>
      <c r="B107" s="7"/>
      <c r="C107" s="7"/>
      <c r="D107" s="7"/>
      <c r="E107" s="178" t="s">
        <v>2456</v>
      </c>
      <c r="F107" s="7"/>
      <c r="G107" s="7"/>
      <c r="H107" s="173">
        <v>7573.4229999999998</v>
      </c>
      <c r="I107" s="174">
        <v>8444.1309999999994</v>
      </c>
      <c r="J107" s="174">
        <v>9092.3012553300669</v>
      </c>
      <c r="K107" s="7"/>
      <c r="L107" s="7"/>
      <c r="M107" s="174">
        <f>M108*AVERAGE($H$109:$J$109)</f>
        <v>8316.1134242857552</v>
      </c>
      <c r="N107" s="174">
        <f>N108*AVERAGE($H$109:$J$109)</f>
        <v>8747.1498968318701</v>
      </c>
      <c r="O107" s="174">
        <f>O108*AVERAGE($H$109:$J$109)</f>
        <v>8601.2841040584008</v>
      </c>
      <c r="P107" s="174">
        <f>P108*AVERAGE($H$109:$J$109)</f>
        <v>8658.96863893519</v>
      </c>
      <c r="Q107" s="174">
        <f>Q108*AVERAGE($H$109:$J$109)</f>
        <v>8895.7956903018821</v>
      </c>
      <c r="R107" s="7"/>
    </row>
    <row r="108" spans="1:18" x14ac:dyDescent="0.2">
      <c r="A108" s="7"/>
      <c r="B108" s="7"/>
      <c r="C108" s="7"/>
      <c r="D108" s="7"/>
      <c r="E108" s="178" t="s">
        <v>2455</v>
      </c>
      <c r="F108" s="7"/>
      <c r="G108" s="7"/>
      <c r="H108" s="174">
        <f>H104</f>
        <v>16688.223440000002</v>
      </c>
      <c r="I108" s="174">
        <f t="shared" ref="I108:Q108" si="19">I104</f>
        <v>17696.946160000003</v>
      </c>
      <c r="J108" s="174">
        <f t="shared" si="19"/>
        <v>17928.32916367225</v>
      </c>
      <c r="K108" s="7"/>
      <c r="L108" s="7"/>
      <c r="M108" s="174">
        <f t="shared" si="19"/>
        <v>17347.915772721044</v>
      </c>
      <c r="N108" s="174">
        <f t="shared" si="19"/>
        <v>18247.083934480816</v>
      </c>
      <c r="O108" s="174">
        <f t="shared" si="19"/>
        <v>17942.799065089119</v>
      </c>
      <c r="P108" s="174">
        <f t="shared" si="19"/>
        <v>18063.132495067206</v>
      </c>
      <c r="Q108" s="174">
        <f t="shared" si="19"/>
        <v>18557.16805353052</v>
      </c>
      <c r="R108" s="7"/>
    </row>
    <row r="109" spans="1:18" x14ac:dyDescent="0.2">
      <c r="A109" s="7"/>
      <c r="B109" s="7"/>
      <c r="C109" s="7"/>
      <c r="D109" s="7"/>
      <c r="E109" s="178"/>
      <c r="F109" s="7"/>
      <c r="G109" s="7"/>
      <c r="H109" s="179">
        <f t="shared" ref="H109:Q109" si="20">H107/H108</f>
        <v>0.45381840836618131</v>
      </c>
      <c r="I109" s="179">
        <f t="shared" si="20"/>
        <v>0.47715187262568909</v>
      </c>
      <c r="J109" s="179">
        <f t="shared" si="20"/>
        <v>0.50714716203189658</v>
      </c>
      <c r="K109" s="7"/>
      <c r="L109" s="7"/>
      <c r="M109" s="179">
        <f t="shared" si="20"/>
        <v>0.47937248100792235</v>
      </c>
      <c r="N109" s="179">
        <f t="shared" si="20"/>
        <v>0.47937248100792235</v>
      </c>
      <c r="O109" s="179">
        <f t="shared" si="20"/>
        <v>0.47937248100792235</v>
      </c>
      <c r="P109" s="179">
        <f t="shared" si="20"/>
        <v>0.4793724810079224</v>
      </c>
      <c r="Q109" s="179">
        <f t="shared" si="20"/>
        <v>0.47937248100792229</v>
      </c>
      <c r="R109" s="7"/>
    </row>
    <row r="110" spans="1:18" x14ac:dyDescent="0.2">
      <c r="A110" s="7"/>
      <c r="B110" s="7"/>
      <c r="C110" s="7"/>
      <c r="D110" s="7"/>
      <c r="E110" s="178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1:18" x14ac:dyDescent="0.2">
      <c r="A111" s="7"/>
      <c r="B111" s="7"/>
      <c r="C111" s="7"/>
      <c r="D111" s="7"/>
      <c r="E111" s="178"/>
      <c r="F111" s="7"/>
      <c r="G111" s="7"/>
      <c r="H111" s="174"/>
      <c r="I111" s="174"/>
      <c r="J111" s="174"/>
      <c r="K111" s="7"/>
      <c r="L111" s="7"/>
      <c r="M111" s="7"/>
      <c r="N111" s="7"/>
      <c r="O111" s="7"/>
      <c r="P111" s="7"/>
      <c r="Q111" s="7"/>
      <c r="R111" s="7"/>
    </row>
    <row r="112" spans="1:18" x14ac:dyDescent="0.2">
      <c r="A112" s="7"/>
      <c r="B112" s="7"/>
      <c r="C112" s="7"/>
      <c r="D112" s="7"/>
      <c r="E112" s="178"/>
      <c r="F112" s="7"/>
      <c r="G112" s="7"/>
      <c r="H112" s="180"/>
      <c r="I112" s="180"/>
      <c r="J112" s="180"/>
      <c r="K112" s="7"/>
      <c r="L112" s="7"/>
      <c r="M112" s="180"/>
      <c r="N112" s="180"/>
      <c r="O112" s="180"/>
      <c r="P112" s="180"/>
      <c r="Q112" s="180"/>
      <c r="R112" s="7"/>
    </row>
    <row r="113" spans="1:18" s="151" customFormat="1" x14ac:dyDescent="0.2">
      <c r="A113" s="95"/>
      <c r="B113" s="95"/>
      <c r="C113" s="95"/>
      <c r="D113" s="95"/>
      <c r="E113" s="181" t="s">
        <v>2445</v>
      </c>
      <c r="F113" s="95"/>
      <c r="G113" s="95"/>
      <c r="H113" s="96">
        <f>H95+H99+H103+H107</f>
        <v>38877.540200856369</v>
      </c>
      <c r="I113" s="96">
        <f t="shared" ref="I113:Q113" si="21">I95+I99+I103+I107</f>
        <v>44584.432087669593</v>
      </c>
      <c r="J113" s="96">
        <f t="shared" si="21"/>
        <v>44217.328508430968</v>
      </c>
      <c r="K113" s="96"/>
      <c r="L113" s="96"/>
      <c r="M113" s="96">
        <f t="shared" si="21"/>
        <v>42420.978305140277</v>
      </c>
      <c r="N113" s="96">
        <f t="shared" si="21"/>
        <v>44686.426038867517</v>
      </c>
      <c r="O113" s="96">
        <f t="shared" si="21"/>
        <v>43812.520295722468</v>
      </c>
      <c r="P113" s="96">
        <f t="shared" si="21"/>
        <v>43500.039380087394</v>
      </c>
      <c r="Q113" s="96">
        <f t="shared" si="21"/>
        <v>44883.597499568263</v>
      </c>
      <c r="R113" s="95"/>
    </row>
    <row r="114" spans="1:18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</row>
    <row r="115" spans="1:18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1:18" x14ac:dyDescent="0.2">
      <c r="A116" s="22" t="s">
        <v>2457</v>
      </c>
      <c r="B116" s="22"/>
      <c r="C116" s="15"/>
      <c r="D116" s="24"/>
      <c r="E116" s="171"/>
      <c r="F116" s="171"/>
      <c r="G116" s="171"/>
      <c r="H116" s="35" t="s">
        <v>2367</v>
      </c>
      <c r="I116" s="35" t="s">
        <v>2367</v>
      </c>
      <c r="J116" s="35" t="s">
        <v>2367</v>
      </c>
      <c r="K116" s="7"/>
      <c r="L116" s="7"/>
      <c r="M116" s="7"/>
      <c r="N116" s="7"/>
      <c r="O116" s="7"/>
      <c r="P116" s="7"/>
      <c r="Q116" s="7"/>
      <c r="R116" s="7"/>
    </row>
    <row r="117" spans="1:18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1:18" x14ac:dyDescent="0.2">
      <c r="A118" s="7"/>
      <c r="B118" s="7"/>
      <c r="C118" s="7"/>
      <c r="D118" s="7"/>
      <c r="E118" s="181" t="s">
        <v>2445</v>
      </c>
      <c r="F118" s="7"/>
      <c r="G118" s="7"/>
      <c r="H118" s="174">
        <v>38876.185460856374</v>
      </c>
      <c r="I118" s="174">
        <v>44584.4320876696</v>
      </c>
      <c r="J118" s="174">
        <v>44217.328508430975</v>
      </c>
      <c r="K118" s="7"/>
      <c r="L118" s="7"/>
      <c r="M118" s="7"/>
      <c r="N118" s="7"/>
      <c r="O118" s="7"/>
      <c r="P118" s="7"/>
      <c r="Q118" s="7"/>
      <c r="R118" s="7"/>
    </row>
    <row r="119" spans="1:18" x14ac:dyDescent="0.2">
      <c r="A119" s="7"/>
      <c r="B119" s="7"/>
      <c r="C119" s="7"/>
      <c r="D119" s="7"/>
      <c r="E119" s="7"/>
      <c r="F119" s="7"/>
      <c r="G119" s="7"/>
      <c r="H119" s="146">
        <f>H113-H118</f>
        <v>1.3547399999952177</v>
      </c>
      <c r="I119" s="146">
        <f t="shared" ref="I119:J119" si="22">I113-I118</f>
        <v>0</v>
      </c>
      <c r="J119" s="146">
        <f t="shared" si="22"/>
        <v>0</v>
      </c>
      <c r="K119" s="7"/>
      <c r="L119" s="7"/>
      <c r="M119" s="7"/>
      <c r="N119" s="7"/>
      <c r="O119" s="7"/>
      <c r="P119" s="7"/>
      <c r="Q119" s="7"/>
      <c r="R119" s="7"/>
    </row>
    <row r="120" spans="1:18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1:18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1:18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1:18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1:18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1:18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1:18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1:18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1:18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1:18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1:18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1:18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1:18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1:18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1:18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1:18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1:18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1:18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1:18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1:18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1:18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1:18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1:18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1:18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1:18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</row>
    <row r="146" spans="1:18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1:18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1:18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1:18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1:18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1:18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1:18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1:18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1:18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1:18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1:18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1:18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1:18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1:18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1:18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1:18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1:18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1:18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1:18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1:18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1:18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1:18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1:18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1:18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1:18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1:18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1:18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1:18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1:18" s="21" customFormat="1" x14ac:dyDescent="0.2">
      <c r="A180" s="22" t="s">
        <v>9</v>
      </c>
      <c r="B180" s="22"/>
      <c r="C180" s="15"/>
      <c r="D180" s="24"/>
      <c r="E180" s="171"/>
      <c r="F180" s="171"/>
      <c r="G180" s="171"/>
      <c r="H180" s="20"/>
      <c r="I180" s="20"/>
      <c r="J180" s="171"/>
      <c r="K180" s="171"/>
    </row>
    <row r="181" spans="1:18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1:18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1:18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1:18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1:18" hidden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1:18" hidden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1:18" hidden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1:18" hidden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1:18" hidden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1:18" hidden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1:18" hidden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1:18" hidden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1:18" hidden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1:18" hidden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1:18" hidden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1:18" hidden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1:18" hidden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1:18" hidden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1:18" hidden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1:18" hidden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1:18" hidden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1:18" hidden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1:18" hidden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1:18" hidden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1:18" hidden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1:18" hidden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1:18" hidden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hidden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1:18" hidden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1:18" hidden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1:18" hidden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1:18" hidden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1:18" hidden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1:18" hidden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1:18" hidden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1:18" hidden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1:18" hidden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1:18" hidden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1:18" hidden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1:18" hidden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1:18" hidden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1:18" hidden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1:18" hidden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1:18" hidden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1:18" hidden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1:18" hidden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1:18" hidden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hidden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1:18" hidden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1:18" hidden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1:18" hidden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1:18" hidden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1:18" hidden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1:18" hidden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1:18" hidden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1:18" hidden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1:18" hidden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hidden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hidden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1:18" hidden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hidden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hidden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1:18" hidden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hidden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1:18" hidden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1:18" hidden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1:18" hidden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hidden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1:18" hidden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1:18" hidden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1:18" hidden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1:18" hidden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1:18" hidden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1:18" hidden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1:18" hidden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1:18" hidden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1:18" hidden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1:18" hidden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1:18" hidden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1:18" hidden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1:18" hidden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1:18" hidden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1:18" hidden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1:18" hidden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hidden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1:18" hidden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18" hidden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hidden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1:18" hidden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</row>
    <row r="270" spans="1:18" hidden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1:18" hidden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1:18" hidden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1:18" hidden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1:18" hidden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1:18" hidden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1:18" hidden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1:18" hidden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1:18" hidden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1:18" hidden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1:18" hidden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1:18" hidden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1:18" hidden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1:18" hidden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1:18" hidden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1:18" hidden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1:18" hidden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1:18" hidden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1:18" hidden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1:18" hidden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1:18" hidden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1:18" hidden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1:18" hidden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1:18" hidden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1:18" hidden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1:18" hidden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1:18" hidden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1:18" hidden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hidden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1:18" hidden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1:18" hidden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</row>
    <row r="301" spans="1:18" hidden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1:18" hidden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1:18" hidden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1:18" hidden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1:18" hidden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1:18" hidden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1:18" hidden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1:18" hidden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1:18" hidden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8" hidden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1:18" hidden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1:18" hidden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1:18" hidden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1:18" hidden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1:18" hidden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1:18" hidden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1:18" hidden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1:18" hidden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1:18" hidden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1:18" hidden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1:18" hidden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1:18" hidden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1:18" hidden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1:18" hidden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1:18" hidden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1:18" hidden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1:18" hidden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1:18" hidden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1:18" hidden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1:18" hidden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1:18" hidden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</row>
    <row r="332" spans="1:18" hidden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1:18" hidden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1:18" hidden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1:18" hidden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1:18" hidden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1:18" hidden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1:18" hidden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1:18" hidden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1:18" hidden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1:18" hidden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1:18" hidden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1:18" hidden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1:18" hidden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1:18" hidden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1:18" hidden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1:18" hidden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1:18" hidden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1:18" hidden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1:18" hidden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1:18" hidden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1:18" hidden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1:18" hidden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1:18" hidden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1:18" hidden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1:18" hidden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1:18" hidden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1:18" hidden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1:18" hidden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1:18" hidden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1:18" hidden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1:18" hidden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</row>
    <row r="363" spans="1:18" hidden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1:18" hidden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1:18" hidden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1:18" hidden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1:18" hidden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1:18" hidden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1:18" hidden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1:18" hidden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1:18" hidden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1:18" hidden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1:18" hidden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1:18" hidden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1:18" hidden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1:18" hidden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1:18" hidden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1:18" hidden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1:18" hidden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1:18" hidden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1:18" hidden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1:18" hidden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1:18" hidden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1:18" hidden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1:18" hidden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1:18" hidden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1:18" hidden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1:18" hidden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1:18" hidden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1:18" hidden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1:18" hidden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1:18" hidden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1:18" hidden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1:18" hidden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1:18" hidden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1:18" x14ac:dyDescent="0.2"/>
    <row r="397" spans="1:18" x14ac:dyDescent="0.2"/>
    <row r="398" spans="1:18" x14ac:dyDescent="0.2"/>
    <row r="399" spans="1:18" x14ac:dyDescent="0.2"/>
    <row r="400" spans="1:18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-0.499984740745262"/>
  </sheetPr>
  <dimension ref="A1:V390"/>
  <sheetViews>
    <sheetView zoomScale="70" zoomScaleNormal="70" workbookViewId="0">
      <pane xSplit="5" ySplit="5" topLeftCell="F21" activePane="bottomRight" state="frozen"/>
      <selection activeCell="I2" sqref="I2"/>
      <selection pane="topRight" activeCell="I2" sqref="I2"/>
      <selection pane="bottomLeft" activeCell="I2" sqref="I2"/>
      <selection pane="bottomRight" activeCell="L121" sqref="G121:L121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7" width="11.5" bestFit="1" customWidth="1"/>
    <col min="18" max="18" width="10.25" customWidth="1"/>
    <col min="19" max="22" width="0" hidden="1" customWidth="1"/>
    <col min="23" max="16384" width="9" hidden="1"/>
  </cols>
  <sheetData>
    <row r="1" spans="1:18" x14ac:dyDescent="0.2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  <c r="M1" s="17"/>
      <c r="N1" s="17"/>
      <c r="O1" s="17"/>
      <c r="P1" s="17"/>
      <c r="Q1" s="17"/>
      <c r="R1" s="17"/>
    </row>
    <row r="2" spans="1:18" x14ac:dyDescent="0.2">
      <c r="A2" s="22" t="str">
        <f ca="1" xml:space="preserve"> "Sheet: " &amp; RIGHT(CELL("filename", $A$1), LEN(CELL("filename", $A$1)) - SEARCH("]", CELL("filename", $A$1)))</f>
        <v>Sheet: Output|Functional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  <c r="M2" s="17"/>
      <c r="N2" s="17"/>
      <c r="O2" s="17"/>
      <c r="P2" s="17"/>
      <c r="Q2" s="17"/>
      <c r="R2" s="17"/>
    </row>
    <row r="3" spans="1:18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  <c r="M3" s="17"/>
      <c r="N3" s="17"/>
      <c r="O3" s="17"/>
      <c r="P3" s="17"/>
      <c r="Q3" s="17"/>
      <c r="R3" s="17"/>
    </row>
    <row r="4" spans="1:18" x14ac:dyDescent="0.2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  <c r="M4" s="17"/>
      <c r="N4" s="17"/>
      <c r="O4" s="17"/>
      <c r="P4" s="17"/>
      <c r="Q4" s="17"/>
      <c r="R4" s="17"/>
    </row>
    <row r="5" spans="1:18" x14ac:dyDescent="0.2">
      <c r="A5" s="22"/>
      <c r="B5" s="22"/>
      <c r="C5" s="22"/>
      <c r="D5" s="22"/>
      <c r="E5" s="22"/>
      <c r="F5" s="22"/>
      <c r="G5" s="31">
        <v>2015</v>
      </c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31" t="s">
        <v>2432</v>
      </c>
      <c r="N5" s="31" t="s">
        <v>2433</v>
      </c>
      <c r="O5" s="31" t="s">
        <v>2434</v>
      </c>
      <c r="P5" s="31" t="s">
        <v>2435</v>
      </c>
      <c r="Q5" s="31" t="s">
        <v>2436</v>
      </c>
      <c r="R5" s="31" t="s">
        <v>2209</v>
      </c>
    </row>
    <row r="6" spans="1:18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  <c r="M6" s="4"/>
      <c r="N6" s="4"/>
      <c r="O6" s="4"/>
      <c r="P6" s="4"/>
      <c r="Q6" s="4"/>
      <c r="R6" s="4"/>
    </row>
    <row r="7" spans="1:18" x14ac:dyDescent="0.2">
      <c r="A7" s="22" t="s">
        <v>2378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25"/>
    </row>
    <row r="8" spans="1:18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 x14ac:dyDescent="0.2">
      <c r="A9" s="59" t="s">
        <v>2332</v>
      </c>
      <c r="B9" s="13"/>
      <c r="C9" s="13"/>
      <c r="D9" s="13"/>
      <c r="E9" s="13"/>
      <c r="F9" s="13"/>
      <c r="G9" s="63" t="s">
        <v>2439</v>
      </c>
      <c r="H9" s="63" t="s">
        <v>2439</v>
      </c>
      <c r="I9" s="63" t="s">
        <v>2439</v>
      </c>
      <c r="J9" s="63" t="s">
        <v>2439</v>
      </c>
      <c r="K9" s="63" t="s">
        <v>2439</v>
      </c>
      <c r="L9" s="63" t="s">
        <v>2439</v>
      </c>
      <c r="M9" s="63" t="s">
        <v>2439</v>
      </c>
      <c r="N9" s="63" t="s">
        <v>2439</v>
      </c>
      <c r="O9" s="63" t="s">
        <v>2439</v>
      </c>
      <c r="P9" s="63" t="s">
        <v>2439</v>
      </c>
      <c r="Q9" s="63" t="s">
        <v>2439</v>
      </c>
      <c r="R9" s="13"/>
    </row>
    <row r="10" spans="1:18" x14ac:dyDescent="0.2">
      <c r="A10" s="7"/>
      <c r="B10" s="7"/>
      <c r="C10" s="7"/>
      <c r="D10" s="7"/>
      <c r="E10" s="7"/>
      <c r="F10" s="7"/>
      <c r="G10" s="7" t="s">
        <v>2321</v>
      </c>
      <c r="H10" s="7" t="s">
        <v>2321</v>
      </c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 x14ac:dyDescent="0.2">
      <c r="A11" s="7"/>
      <c r="B11" s="7"/>
      <c r="C11" s="7"/>
      <c r="D11" s="7"/>
      <c r="E11" s="39" t="s">
        <v>2333</v>
      </c>
      <c r="F11" s="7"/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44">
        <v>0</v>
      </c>
      <c r="R11" s="7"/>
    </row>
    <row r="12" spans="1:18" x14ac:dyDescent="0.2">
      <c r="A12" s="7"/>
      <c r="B12" s="7"/>
      <c r="C12" s="7"/>
      <c r="D12" s="7"/>
      <c r="E12" s="39" t="s">
        <v>2299</v>
      </c>
      <c r="F12" s="7"/>
      <c r="G12" s="44">
        <f>(SUMPRODUCT(--('Input|Customer Contributions'!$H$63:$H$76="SCS"),'Input|Customer Contributions'!J$63:J$76)/1000)*HLOOKUP(G$5,Inflation!$L$11:$V$26,16,0)</f>
        <v>28.760665467671078</v>
      </c>
      <c r="H12" s="44">
        <f>(SUMPRODUCT(--('Input|Customer Contributions'!$H$63:$H$76="SCS"),'Input|Customer Contributions'!K$63:K$76)/1000)*HLOOKUP(H$5,Inflation!$L$11:$V$26,16,0)</f>
        <v>48.809351873874917</v>
      </c>
      <c r="I12" s="44">
        <f>(SUMPRODUCT(--('Input|Customer Contributions'!$H$63:$H$76="SCS"),'Input|Customer Contributions'!L$63:L$76)/1000)*HLOOKUP(I$5,Inflation!$L$11:$V$26,16,0)</f>
        <v>49.810027458799908</v>
      </c>
      <c r="J12" s="44">
        <f>(SUMPRODUCT(--('Input|Customer Contributions'!$H$63:$H$76="SCS"),'Input|Customer Contributions'!M$63:M$76)/1000)*HLOOKUP(J$5,Inflation!$L$11:$V$26,16,0)</f>
        <v>54.763022849584225</v>
      </c>
      <c r="K12" s="44">
        <f>SUMPRODUCT(--('Input|Customer Contributions'!$H$63:$H$76="SCS"),'Input|Customer Contributions'!N$63:N$76)/1000</f>
        <v>53.976235237169945</v>
      </c>
      <c r="L12" s="44">
        <f>SUMPRODUCT(--('Input|Customer Contributions'!$H$63:$H$76="SCS"),'Input|Customer Contributions'!O$63:O$76)/1000</f>
        <v>60.479137891112856</v>
      </c>
      <c r="M12" s="44">
        <f>SUMPRODUCT(--('Input|Customer Contributions'!$H$63:$H$76="SCS"),'Input|Customer Contributions'!P$63:P$76)/1000</f>
        <v>38.030828942055457</v>
      </c>
      <c r="N12" s="44">
        <f>SUMPRODUCT(--('Input|Customer Contributions'!$H$63:$H$76="SCS"),'Input|Customer Contributions'!Q$63:Q$76)/1000</f>
        <v>61.044322000759188</v>
      </c>
      <c r="O12" s="44">
        <f>SUMPRODUCT(--('Input|Customer Contributions'!$H$63:$H$76="SCS"),'Input|Customer Contributions'!R$63:R$76)/1000</f>
        <v>53.303208959086504</v>
      </c>
      <c r="P12" s="44">
        <f>SUMPRODUCT(--('Input|Customer Contributions'!$H$63:$H$76="SCS"),'Input|Customer Contributions'!S$63:S$76)/1000</f>
        <v>51.873619225727822</v>
      </c>
      <c r="Q12" s="44">
        <f>SUMPRODUCT(--('Input|Customer Contributions'!$H$63:$H$76="SCS"),'Input|Customer Contributions'!T$63:T$76)/1000</f>
        <v>52.227591488393919</v>
      </c>
      <c r="R12" s="7"/>
    </row>
    <row r="13" spans="1:18" x14ac:dyDescent="0.2">
      <c r="A13" s="7"/>
      <c r="B13" s="7"/>
      <c r="C13" s="7"/>
      <c r="D13" s="7"/>
      <c r="E13" s="39" t="s">
        <v>2300</v>
      </c>
      <c r="F13" s="7"/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7"/>
    </row>
    <row r="14" spans="1:18" x14ac:dyDescent="0.2">
      <c r="A14" s="7"/>
      <c r="B14" s="7"/>
      <c r="C14" s="7"/>
      <c r="D14" s="7"/>
      <c r="E14" s="39" t="s">
        <v>2309</v>
      </c>
      <c r="F14" s="7"/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7"/>
    </row>
    <row r="15" spans="1:18" x14ac:dyDescent="0.2">
      <c r="A15" s="7"/>
      <c r="B15" s="7"/>
      <c r="C15" s="7"/>
      <c r="D15" s="7"/>
      <c r="E15" s="39" t="s">
        <v>2301</v>
      </c>
      <c r="F15" s="7"/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0</v>
      </c>
      <c r="R15" s="7"/>
    </row>
    <row r="16" spans="1:18" x14ac:dyDescent="0.2">
      <c r="A16" s="7"/>
      <c r="B16" s="7"/>
      <c r="C16" s="7"/>
      <c r="D16" s="7"/>
      <c r="E16" s="39" t="s">
        <v>2302</v>
      </c>
      <c r="F16" s="7"/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7"/>
    </row>
    <row r="17" spans="1:18" x14ac:dyDescent="0.2">
      <c r="A17" s="7"/>
      <c r="B17" s="7"/>
      <c r="C17" s="7"/>
      <c r="D17" s="7"/>
      <c r="E17" s="39" t="s">
        <v>39</v>
      </c>
      <c r="F17" s="7"/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7"/>
    </row>
    <row r="18" spans="1:18" x14ac:dyDescent="0.2">
      <c r="A18" s="7"/>
      <c r="B18" s="7"/>
      <c r="C18" s="7"/>
      <c r="D18" s="7"/>
      <c r="E18" s="39" t="s">
        <v>2404</v>
      </c>
      <c r="F18" s="7"/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  <c r="Q18" s="44">
        <v>0</v>
      </c>
      <c r="R18" s="7"/>
    </row>
    <row r="19" spans="1:18" x14ac:dyDescent="0.2">
      <c r="A19" s="7"/>
      <c r="B19" s="7"/>
      <c r="C19" s="7"/>
      <c r="D19" s="7"/>
      <c r="E19" s="39" t="s">
        <v>2315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0</v>
      </c>
      <c r="R19" s="7"/>
    </row>
    <row r="20" spans="1:18" x14ac:dyDescent="0.2">
      <c r="A20" s="7"/>
      <c r="B20" s="7"/>
      <c r="C20" s="7"/>
      <c r="D20" s="7"/>
      <c r="E20" s="39"/>
      <c r="F20" s="7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7"/>
    </row>
    <row r="21" spans="1:18" x14ac:dyDescent="0.2">
      <c r="A21" s="7"/>
      <c r="B21" s="7"/>
      <c r="C21" s="7"/>
      <c r="D21" s="7"/>
      <c r="E21" s="7"/>
      <c r="F21" s="7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7"/>
    </row>
    <row r="22" spans="1:18" x14ac:dyDescent="0.2">
      <c r="A22" s="7"/>
      <c r="B22" s="7"/>
      <c r="C22" s="7"/>
      <c r="D22" s="7"/>
      <c r="E22" s="9" t="s">
        <v>2209</v>
      </c>
      <c r="F22" s="7"/>
      <c r="G22" s="61">
        <f t="shared" ref="G22:Q22" si="0">SUM(G11:G19)</f>
        <v>28.760665467671078</v>
      </c>
      <c r="H22" s="61">
        <f t="shared" si="0"/>
        <v>48.809351873874917</v>
      </c>
      <c r="I22" s="61">
        <f t="shared" si="0"/>
        <v>49.810027458799908</v>
      </c>
      <c r="J22" s="61">
        <f t="shared" si="0"/>
        <v>54.763022849584225</v>
      </c>
      <c r="K22" s="61">
        <f t="shared" si="0"/>
        <v>53.976235237169945</v>
      </c>
      <c r="L22" s="61">
        <f t="shared" si="0"/>
        <v>60.479137891112856</v>
      </c>
      <c r="M22" s="61">
        <f t="shared" si="0"/>
        <v>38.030828942055457</v>
      </c>
      <c r="N22" s="61">
        <f t="shared" si="0"/>
        <v>61.044322000759188</v>
      </c>
      <c r="O22" s="61">
        <f t="shared" si="0"/>
        <v>53.303208959086504</v>
      </c>
      <c r="P22" s="61">
        <f t="shared" si="0"/>
        <v>51.873619225727822</v>
      </c>
      <c r="Q22" s="61">
        <f t="shared" si="0"/>
        <v>52.227591488393919</v>
      </c>
      <c r="R22" s="7"/>
    </row>
    <row r="23" spans="1:18" x14ac:dyDescent="0.2">
      <c r="A23" s="7"/>
      <c r="B23" s="7"/>
      <c r="C23" s="7"/>
      <c r="D23" s="7"/>
      <c r="E23" s="7"/>
      <c r="F23" s="7"/>
      <c r="G23" s="65">
        <f>G22-('Input|Customer Contributions'!J77/1000*Inflation!L$26)</f>
        <v>0</v>
      </c>
      <c r="H23" s="65">
        <f>H22-('Input|Customer Contributions'!K77/1000*Inflation!M$26)</f>
        <v>0</v>
      </c>
      <c r="I23" s="65">
        <f>I22-('Input|Customer Contributions'!L77/1000*Inflation!N$26)</f>
        <v>0</v>
      </c>
      <c r="J23" s="65">
        <f>J22-('Input|Customer Contributions'!M77/1000*Inflation!O$26)</f>
        <v>0</v>
      </c>
      <c r="K23" s="65">
        <f>K22-'Input|Customer Contributions'!N77/1000</f>
        <v>0</v>
      </c>
      <c r="L23" s="65">
        <f>L22-'Input|Customer Contributions'!O77/1000</f>
        <v>0</v>
      </c>
      <c r="M23" s="65">
        <f>M22-'Input|Customer Contributions'!P77/1000</f>
        <v>0</v>
      </c>
      <c r="N23" s="65">
        <f>N22-'Input|Customer Contributions'!Q77/1000</f>
        <v>0</v>
      </c>
      <c r="O23" s="65">
        <f>O22-'Input|Customer Contributions'!R77/1000</f>
        <v>0</v>
      </c>
      <c r="P23" s="65">
        <f>P22-'Input|Customer Contributions'!S77/1000</f>
        <v>0</v>
      </c>
      <c r="Q23" s="65">
        <f>Q22-'Input|Customer Contributions'!T77/1000</f>
        <v>0</v>
      </c>
      <c r="R23" s="7"/>
    </row>
    <row r="24" spans="1:18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</row>
    <row r="25" spans="1:18" x14ac:dyDescent="0.2">
      <c r="A25" s="59" t="s">
        <v>2325</v>
      </c>
      <c r="B25" s="13"/>
      <c r="C25" s="13"/>
      <c r="D25" s="13"/>
      <c r="E25" s="13"/>
      <c r="F25" s="13"/>
      <c r="G25" s="63" t="s">
        <v>2439</v>
      </c>
      <c r="H25" s="63" t="s">
        <v>2439</v>
      </c>
      <c r="I25" s="63" t="s">
        <v>2439</v>
      </c>
      <c r="J25" s="63" t="s">
        <v>2439</v>
      </c>
      <c r="K25" s="63" t="s">
        <v>2439</v>
      </c>
      <c r="L25" s="63" t="s">
        <v>2439</v>
      </c>
      <c r="M25" s="63" t="s">
        <v>2439</v>
      </c>
      <c r="N25" s="63" t="s">
        <v>2439</v>
      </c>
      <c r="O25" s="63" t="s">
        <v>2439</v>
      </c>
      <c r="P25" s="63" t="s">
        <v>2439</v>
      </c>
      <c r="Q25" s="63" t="s">
        <v>2439</v>
      </c>
      <c r="R25" s="13"/>
    </row>
    <row r="26" spans="1:18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x14ac:dyDescent="0.2">
      <c r="A27" s="7"/>
      <c r="B27" s="7"/>
      <c r="C27" s="7"/>
      <c r="D27" s="7"/>
      <c r="E27" s="39" t="s">
        <v>2333</v>
      </c>
      <c r="F27" s="7"/>
      <c r="G27" s="44">
        <f>(SUMPRODUCT(--('Calc|Consolidated Capex'!$G$9:$G$93=$E27),'Calc|Consolidated Capex'!I$9:I$93)/1000+SUMPRODUCT(--('Input|VBRC Calc'!$F$12:$F$18=$E27),'Input|VBRC Calc'!I$12:I$18)/1000)*HLOOKUP(G$5,Inflation!$L$11:$V$26,16,0)+'Input|Provisions'!I51</f>
        <v>35.241557331105881</v>
      </c>
      <c r="H27" s="44">
        <f>(SUMPRODUCT(--('Calc|Consolidated Capex'!$G$9:$G$93=$E27),'Calc|Consolidated Capex'!J$9:J$93)/1000+SUMPRODUCT(--('Input|VBRC Calc'!$F$12:$F$18=$E27),'Input|VBRC Calc'!J$12:J$18)/1000)*HLOOKUP(H$5,Inflation!$L$11:$V$26,16,0)+'Input|Provisions'!J51</f>
        <v>21.066720257554572</v>
      </c>
      <c r="I27" s="44">
        <f>(SUMPRODUCT(--('Calc|Consolidated Capex'!$G$9:$G$93=$E27),'Calc|Consolidated Capex'!K$9:K$93)/1000+SUMPRODUCT(--('Input|VBRC Calc'!$F$12:$F$18=$E27),'Input|VBRC Calc'!K$12:K$18)/1000)*HLOOKUP(I$5,Inflation!$L$11:$V$26,16,0)+'Input|Provisions'!K51</f>
        <v>20.278463964669687</v>
      </c>
      <c r="J27" s="44">
        <f>(SUMPRODUCT(--('Calc|Consolidated Capex'!$G$9:$G$93=$E27),'Calc|Consolidated Capex'!L$9:L$93)/1000+SUMPRODUCT(--('Input|VBRC Calc'!$F$12:$F$18=$E27),'Input|VBRC Calc'!L$12:L$18)/1000)*HLOOKUP(J$5,Inflation!$L$11:$V$26,16,0)+'Input|Provisions'!L51</f>
        <v>29.923145589104887</v>
      </c>
      <c r="K27" s="44">
        <f>SUMPRODUCT(--('Calc|Consolidated Capex'!$G$9:$G$93=$E27),'Calc|Consolidated Capex'!M$9:M$93)/1000+SUMPRODUCT(--('Input|VBRC Calc'!$F$12:$F$18=$E27),'Input|VBRC Calc'!M$12:M$18)/1000</f>
        <v>34.0776589731082</v>
      </c>
      <c r="L27" s="44">
        <f>SUMPRODUCT(--('Calc|Consolidated Capex'!$G$9:$G$93=$E27),'Calc|Consolidated Capex'!N$9:N$93)/1000+SUMPRODUCT(--('Input|VBRC Calc'!$F$12:$F$18=$E27),'Input|VBRC Calc'!N$12:N$18)/1000</f>
        <v>57.32784599512739</v>
      </c>
      <c r="M27" s="44">
        <f>SUMPRODUCT(--('Calc|Consolidated Capex'!$G$9:$G$93=$E27),'Calc|Consolidated Capex'!O$9:O$93)/1000+SUMPRODUCT(--('Input|VBRC Calc'!$F$12:$F$18=$E27),'Input|VBRC Calc'!O$12:O$18)/1000</f>
        <v>41.095475668393348</v>
      </c>
      <c r="N27" s="44">
        <f>SUMPRODUCT(--('Calc|Consolidated Capex'!$G$9:$G$93=$E27),'Calc|Consolidated Capex'!P$9:P$93)/1000+SUMPRODUCT(--('Input|VBRC Calc'!$F$12:$F$18=$E27),'Input|VBRC Calc'!P$12:P$18)/1000</f>
        <v>28.114974501881683</v>
      </c>
      <c r="O27" s="44">
        <f>SUMPRODUCT(--('Calc|Consolidated Capex'!$G$9:$G$93=$E27),'Calc|Consolidated Capex'!Q$9:Q$93)/1000+SUMPRODUCT(--('Input|VBRC Calc'!$F$12:$F$18=$E27),'Input|VBRC Calc'!Q$12:Q$18)/1000</f>
        <v>24.328735358289951</v>
      </c>
      <c r="P27" s="44">
        <f>SUMPRODUCT(--('Calc|Consolidated Capex'!$G$9:$G$93=$E27),'Calc|Consolidated Capex'!R$9:R$93)/1000+SUMPRODUCT(--('Input|VBRC Calc'!$F$12:$F$18=$E27),'Input|VBRC Calc'!R$12:R$18)/1000</f>
        <v>23.608287432970886</v>
      </c>
      <c r="Q27" s="44">
        <f>SUMPRODUCT(--('Calc|Consolidated Capex'!$G$9:$G$93=$E27),'Calc|Consolidated Capex'!S$9:S$93)/1000+SUMPRODUCT(--('Input|VBRC Calc'!$F$12:$F$18=$E27),'Input|VBRC Calc'!S$12:S$18)/1000</f>
        <v>17.224081413004591</v>
      </c>
      <c r="R27" s="7"/>
    </row>
    <row r="28" spans="1:18" x14ac:dyDescent="0.2">
      <c r="A28" s="7"/>
      <c r="B28" s="7"/>
      <c r="C28" s="7"/>
      <c r="D28" s="7"/>
      <c r="E28" s="39" t="s">
        <v>2299</v>
      </c>
      <c r="F28" s="7"/>
      <c r="G28" s="44">
        <f>(SUMPRODUCT(--('Calc|Consolidated Capex'!$G$9:$G$93=$E28),'Calc|Consolidated Capex'!I$9:I$93)/1000+SUMPRODUCT(--('Input|VBRC Calc'!$F$12:$F$18=$E28),'Input|VBRC Calc'!I$12:I$18)/1000)*HLOOKUP(G$5,Inflation!$L$11:$V$26,16,0)+'Input|Provisions'!I52</f>
        <v>66.737061884158877</v>
      </c>
      <c r="H28" s="44">
        <f>(SUMPRODUCT(--('Calc|Consolidated Capex'!$G$9:$G$93=$E28),'Calc|Consolidated Capex'!J$9:J$93)/1000+SUMPRODUCT(--('Input|VBRC Calc'!$F$12:$F$18=$E28),'Input|VBRC Calc'!J$12:J$18)/1000)*HLOOKUP(H$5,Inflation!$L$11:$V$26,16,0)+'Input|Provisions'!J52</f>
        <v>75.360768203709313</v>
      </c>
      <c r="I28" s="44">
        <f>(SUMPRODUCT(--('Calc|Consolidated Capex'!$G$9:$G$93=$E28),'Calc|Consolidated Capex'!K$9:K$93)/1000+SUMPRODUCT(--('Input|VBRC Calc'!$F$12:$F$18=$E28),'Input|VBRC Calc'!K$12:K$18)/1000)*HLOOKUP(I$5,Inflation!$L$11:$V$26,16,0)+'Input|Provisions'!K52</f>
        <v>72.99609644339057</v>
      </c>
      <c r="J28" s="44">
        <f>(SUMPRODUCT(--('Calc|Consolidated Capex'!$G$9:$G$93=$E28),'Calc|Consolidated Capex'!L$9:L$93)/1000+SUMPRODUCT(--('Input|VBRC Calc'!$F$12:$F$18=$E28),'Input|VBRC Calc'!L$12:L$18)/1000)*HLOOKUP(J$5,Inflation!$L$11:$V$26,16,0)+'Input|Provisions'!L52</f>
        <v>82.599730998394207</v>
      </c>
      <c r="K28" s="44">
        <f>SUMPRODUCT(--('Calc|Consolidated Capex'!$G$9:$G$93=$E28),'Calc|Consolidated Capex'!M$9:M$93)/1000+SUMPRODUCT(--('Input|VBRC Calc'!$F$12:$F$18=$E28),'Input|VBRC Calc'!M$12:M$18)/1000</f>
        <v>85.333623079263134</v>
      </c>
      <c r="L28" s="44">
        <f>SUMPRODUCT(--('Calc|Consolidated Capex'!$G$9:$G$93=$E28),'Calc|Consolidated Capex'!N$9:N$93)/1000+SUMPRODUCT(--('Input|VBRC Calc'!$F$12:$F$18=$E28),'Input|VBRC Calc'!N$12:N$18)/1000</f>
        <v>87.986448341715857</v>
      </c>
      <c r="M28" s="44">
        <f>SUMPRODUCT(--('Calc|Consolidated Capex'!$G$9:$G$93=$E28),'Calc|Consolidated Capex'!O$9:O$93)/1000+SUMPRODUCT(--('Input|VBRC Calc'!$F$12:$F$18=$E28),'Input|VBRC Calc'!O$12:O$18)/1000</f>
        <v>53.954707190924388</v>
      </c>
      <c r="N28" s="44">
        <f>SUMPRODUCT(--('Calc|Consolidated Capex'!$G$9:$G$93=$E28),'Calc|Consolidated Capex'!P$9:P$93)/1000+SUMPRODUCT(--('Input|VBRC Calc'!$F$12:$F$18=$E28),'Input|VBRC Calc'!P$12:P$18)/1000</f>
        <v>86.264460661921433</v>
      </c>
      <c r="O28" s="44">
        <f>SUMPRODUCT(--('Calc|Consolidated Capex'!$G$9:$G$93=$E28),'Calc|Consolidated Capex'!Q$9:Q$93)/1000+SUMPRODUCT(--('Input|VBRC Calc'!$F$12:$F$18=$E28),'Input|VBRC Calc'!Q$12:Q$18)/1000</f>
        <v>79.97763954680677</v>
      </c>
      <c r="P28" s="44">
        <f>SUMPRODUCT(--('Calc|Consolidated Capex'!$G$9:$G$93=$E28),'Calc|Consolidated Capex'!R$9:R$93)/1000+SUMPRODUCT(--('Input|VBRC Calc'!$F$12:$F$18=$E28),'Input|VBRC Calc'!R$12:R$18)/1000</f>
        <v>77.658770175502184</v>
      </c>
      <c r="Q28" s="44">
        <f>SUMPRODUCT(--('Calc|Consolidated Capex'!$G$9:$G$93=$E28),'Calc|Consolidated Capex'!S$9:S$93)/1000+SUMPRODUCT(--('Input|VBRC Calc'!$F$12:$F$18=$E28),'Input|VBRC Calc'!S$12:S$18)/1000</f>
        <v>78.293038405314931</v>
      </c>
      <c r="R28" s="7"/>
    </row>
    <row r="29" spans="1:18" x14ac:dyDescent="0.2">
      <c r="A29" s="7"/>
      <c r="B29" s="7"/>
      <c r="C29" s="7"/>
      <c r="D29" s="7"/>
      <c r="E29" s="39" t="s">
        <v>2300</v>
      </c>
      <c r="F29" s="7"/>
      <c r="G29" s="44">
        <f>(SUMPRODUCT(--('Calc|Consolidated Capex'!$G$9:$G$93=$E29),'Calc|Consolidated Capex'!I$9:I$93)/1000+SUMPRODUCT(--('Input|VBRC Calc'!$F$12:$F$18=$E29),'Input|VBRC Calc'!I$12:I$18)/1000)*HLOOKUP(G$5,Inflation!$L$11:$V$26,16,0)+'Input|Provisions'!I53</f>
        <v>24.130620459711011</v>
      </c>
      <c r="H29" s="44">
        <f>(SUMPRODUCT(--('Calc|Consolidated Capex'!$G$9:$G$93=$E29),'Calc|Consolidated Capex'!J$9:J$93)/1000+SUMPRODUCT(--('Input|VBRC Calc'!$F$12:$F$18=$E29),'Input|VBRC Calc'!J$12:J$18)/1000)*HLOOKUP(H$5,Inflation!$L$11:$V$26,16,0)+'Input|Provisions'!J53</f>
        <v>19.227091004680666</v>
      </c>
      <c r="I29" s="44">
        <f>(SUMPRODUCT(--('Calc|Consolidated Capex'!$G$9:$G$93=$E29),'Calc|Consolidated Capex'!K$9:K$93)/1000+SUMPRODUCT(--('Input|VBRC Calc'!$F$12:$F$18=$E29),'Input|VBRC Calc'!K$12:K$18)/1000)*HLOOKUP(I$5,Inflation!$L$11:$V$26,16,0)+'Input|Provisions'!K53</f>
        <v>21.675387142421641</v>
      </c>
      <c r="J29" s="44">
        <f>(SUMPRODUCT(--('Calc|Consolidated Capex'!$G$9:$G$93=$E29),'Calc|Consolidated Capex'!L$9:L$93)/1000+SUMPRODUCT(--('Input|VBRC Calc'!$F$12:$F$18=$E29),'Input|VBRC Calc'!L$12:L$18)/1000)*HLOOKUP(J$5,Inflation!$L$11:$V$26,16,0)+'Input|Provisions'!L53</f>
        <v>20.973339733837101</v>
      </c>
      <c r="K29" s="44">
        <f>SUMPRODUCT(--('Calc|Consolidated Capex'!$G$9:$G$93=$E29),'Calc|Consolidated Capex'!M$9:M$93)/1000+SUMPRODUCT(--('Input|VBRC Calc'!$F$12:$F$18=$E29),'Input|VBRC Calc'!M$12:M$18)/1000</f>
        <v>22.257653914403949</v>
      </c>
      <c r="L29" s="44">
        <f>SUMPRODUCT(--('Calc|Consolidated Capex'!$G$9:$G$93=$E29),'Calc|Consolidated Capex'!N$9:N$93)/1000+SUMPRODUCT(--('Input|VBRC Calc'!$F$12:$F$18=$E29),'Input|VBRC Calc'!N$12:N$18)/1000</f>
        <v>27.257405729529552</v>
      </c>
      <c r="M29" s="44">
        <f>SUMPRODUCT(--('Calc|Consolidated Capex'!$G$9:$G$93=$E29),'Calc|Consolidated Capex'!O$9:O$93)/1000+SUMPRODUCT(--('Input|VBRC Calc'!$F$12:$F$18=$E29),'Input|VBRC Calc'!O$12:O$18)/1000</f>
        <v>22.348678852775031</v>
      </c>
      <c r="N29" s="44">
        <f>SUMPRODUCT(--('Calc|Consolidated Capex'!$G$9:$G$93=$E29),'Calc|Consolidated Capex'!P$9:P$93)/1000+SUMPRODUCT(--('Input|VBRC Calc'!$F$12:$F$18=$E29),'Input|VBRC Calc'!P$12:P$18)/1000</f>
        <v>26.885109189425023</v>
      </c>
      <c r="O29" s="44">
        <f>SUMPRODUCT(--('Calc|Consolidated Capex'!$G$9:$G$93=$E29),'Calc|Consolidated Capex'!Q$9:Q$93)/1000+SUMPRODUCT(--('Input|VBRC Calc'!$F$12:$F$18=$E29),'Input|VBRC Calc'!Q$12:Q$18)/1000</f>
        <v>25.365892251524539</v>
      </c>
      <c r="P29" s="44">
        <f>SUMPRODUCT(--('Calc|Consolidated Capex'!$G$9:$G$93=$E29),'Calc|Consolidated Capex'!R$9:R$93)/1000+SUMPRODUCT(--('Input|VBRC Calc'!$F$12:$F$18=$E29),'Input|VBRC Calc'!R$12:R$18)/1000</f>
        <v>23.816944734376353</v>
      </c>
      <c r="Q29" s="44">
        <f>SUMPRODUCT(--('Calc|Consolidated Capex'!$G$9:$G$93=$E29),'Calc|Consolidated Capex'!S$9:S$93)/1000+SUMPRODUCT(--('Input|VBRC Calc'!$F$12:$F$18=$E29),'Input|VBRC Calc'!S$12:S$18)/1000</f>
        <v>26.717577059021579</v>
      </c>
      <c r="R29" s="7"/>
    </row>
    <row r="30" spans="1:18" x14ac:dyDescent="0.2">
      <c r="A30" s="7"/>
      <c r="B30" s="7"/>
      <c r="C30" s="7"/>
      <c r="D30" s="7"/>
      <c r="E30" s="39" t="s">
        <v>2309</v>
      </c>
      <c r="F30" s="7"/>
      <c r="G30" s="44">
        <f>(SUMPRODUCT(--('Calc|Consolidated Capex'!$G$9:$G$93=$E30),'Calc|Consolidated Capex'!I$9:I$93)/1000+SUMPRODUCT(--('Input|VBRC Calc'!$F$12:$F$18=$E30),'Input|VBRC Calc'!I$12:I$18)/1000)*HLOOKUP(G$5,Inflation!$L$11:$V$26,16,0)+'Input|Provisions'!I54</f>
        <v>0</v>
      </c>
      <c r="H30" s="44">
        <f>(SUMPRODUCT(--('Calc|Consolidated Capex'!$G$9:$G$93=$E30),'Calc|Consolidated Capex'!J$9:J$93)/1000+SUMPRODUCT(--('Input|VBRC Calc'!$F$12:$F$18=$E30),'Input|VBRC Calc'!J$12:J$18)/1000)*HLOOKUP(H$5,Inflation!$L$11:$V$26,16,0)+'Input|Provisions'!J54</f>
        <v>0</v>
      </c>
      <c r="I30" s="44">
        <f>(SUMPRODUCT(--('Calc|Consolidated Capex'!$G$9:$G$93=$E30),'Calc|Consolidated Capex'!K$9:K$93)/1000+SUMPRODUCT(--('Input|VBRC Calc'!$F$12:$F$18=$E30),'Input|VBRC Calc'!K$12:K$18)/1000)*HLOOKUP(I$5,Inflation!$L$11:$V$26,16,0)+'Input|Provisions'!K54</f>
        <v>0</v>
      </c>
      <c r="J30" s="44">
        <f>(SUMPRODUCT(--('Calc|Consolidated Capex'!$G$9:$G$93=$E30),'Calc|Consolidated Capex'!L$9:L$93)/1000+SUMPRODUCT(--('Input|VBRC Calc'!$F$12:$F$18=$E30),'Input|VBRC Calc'!L$12:L$18)/1000)*HLOOKUP(J$5,Inflation!$L$11:$V$26,16,0)+'Input|Provisions'!L54</f>
        <v>0</v>
      </c>
      <c r="K30" s="44">
        <f>SUMPRODUCT(--('Calc|Consolidated Capex'!$G$9:$G$93=$E30),'Calc|Consolidated Capex'!M$9:M$93)/1000+SUMPRODUCT(--('Input|VBRC Calc'!$F$12:$F$18=$E30),'Input|VBRC Calc'!M$12:M$18)/1000</f>
        <v>0</v>
      </c>
      <c r="L30" s="44">
        <f>SUMPRODUCT(--('Calc|Consolidated Capex'!$G$9:$G$93=$E30),'Calc|Consolidated Capex'!N$9:N$93)/1000+SUMPRODUCT(--('Input|VBRC Calc'!$F$12:$F$18=$E30),'Input|VBRC Calc'!N$12:N$18)/1000</f>
        <v>0</v>
      </c>
      <c r="M30" s="44">
        <f>SUMPRODUCT(--('Calc|Consolidated Capex'!$G$9:$G$93=$E30),'Calc|Consolidated Capex'!O$9:O$93)/1000+SUMPRODUCT(--('Input|VBRC Calc'!$F$12:$F$18=$E30),'Input|VBRC Calc'!O$12:O$18)/1000</f>
        <v>0</v>
      </c>
      <c r="N30" s="44">
        <f>SUMPRODUCT(--('Calc|Consolidated Capex'!$G$9:$G$93=$E30),'Calc|Consolidated Capex'!P$9:P$93)/1000+SUMPRODUCT(--('Input|VBRC Calc'!$F$12:$F$18=$E30),'Input|VBRC Calc'!P$12:P$18)/1000</f>
        <v>0</v>
      </c>
      <c r="O30" s="44">
        <f>SUMPRODUCT(--('Calc|Consolidated Capex'!$G$9:$G$93=$E30),'Calc|Consolidated Capex'!Q$9:Q$93)/1000+SUMPRODUCT(--('Input|VBRC Calc'!$F$12:$F$18=$E30),'Input|VBRC Calc'!Q$12:Q$18)/1000</f>
        <v>0</v>
      </c>
      <c r="P30" s="44">
        <f>SUMPRODUCT(--('Calc|Consolidated Capex'!$G$9:$G$93=$E30),'Calc|Consolidated Capex'!R$9:R$93)/1000+SUMPRODUCT(--('Input|VBRC Calc'!$F$12:$F$18=$E30),'Input|VBRC Calc'!R$12:R$18)/1000</f>
        <v>0</v>
      </c>
      <c r="Q30" s="44">
        <f>SUMPRODUCT(--('Calc|Consolidated Capex'!$G$9:$G$93=$E30),'Calc|Consolidated Capex'!S$9:S$93)/1000+SUMPRODUCT(--('Input|VBRC Calc'!$F$12:$F$18=$E30),'Input|VBRC Calc'!S$12:S$18)/1000</f>
        <v>0</v>
      </c>
      <c r="R30" s="7"/>
    </row>
    <row r="31" spans="1:18" x14ac:dyDescent="0.2">
      <c r="A31" s="7"/>
      <c r="B31" s="7"/>
      <c r="C31" s="7"/>
      <c r="D31" s="7"/>
      <c r="E31" s="39" t="s">
        <v>2301</v>
      </c>
      <c r="F31" s="7"/>
      <c r="G31" s="44">
        <f>(SUMPRODUCT(--('Calc|Consolidated Capex'!$G$9:$G$93=$E31),'Calc|Consolidated Capex'!I$9:I$93)/1000+SUMPRODUCT(--('Input|VBRC Calc'!$F$12:$F$18=$E31),'Input|VBRC Calc'!I$12:I$18)/1000)*HLOOKUP(G$5,Inflation!$L$11:$V$26,16,0)+'Input|Provisions'!I55</f>
        <v>23.060038724204549</v>
      </c>
      <c r="H31" s="44">
        <f>(SUMPRODUCT(--('Calc|Consolidated Capex'!$G$9:$G$93=$E31),'Calc|Consolidated Capex'!J$9:J$93)/1000+SUMPRODUCT(--('Input|VBRC Calc'!$F$12:$F$18=$E31),'Input|VBRC Calc'!J$12:J$18)/1000)*HLOOKUP(H$5,Inflation!$L$11:$V$26,16,0)+'Input|Provisions'!J55</f>
        <v>14.143579159710111</v>
      </c>
      <c r="I31" s="44">
        <f>(SUMPRODUCT(--('Calc|Consolidated Capex'!$G$9:$G$93=$E31),'Calc|Consolidated Capex'!K$9:K$93)/1000+SUMPRODUCT(--('Input|VBRC Calc'!$F$12:$F$18=$E31),'Input|VBRC Calc'!K$12:K$18)/1000)*HLOOKUP(I$5,Inflation!$L$11:$V$26,16,0)+'Input|Provisions'!K55</f>
        <v>9.3489835376569559</v>
      </c>
      <c r="J31" s="44">
        <f>(SUMPRODUCT(--('Calc|Consolidated Capex'!$G$9:$G$93=$E31),'Calc|Consolidated Capex'!L$9:L$93)/1000+SUMPRODUCT(--('Input|VBRC Calc'!$F$12:$F$18=$E31),'Input|VBRC Calc'!L$12:L$18)/1000)*HLOOKUP(J$5,Inflation!$L$11:$V$26,16,0)+'Input|Provisions'!L55</f>
        <v>8.6076247735821383</v>
      </c>
      <c r="K31" s="44">
        <f>SUMPRODUCT(--('Calc|Consolidated Capex'!$G$9:$G$93=$E31),'Calc|Consolidated Capex'!M$9:M$93)/1000+SUMPRODUCT(--('Input|VBRC Calc'!$F$12:$F$18=$E31),'Input|VBRC Calc'!M$12:M$18)/1000</f>
        <v>13.597156943539447</v>
      </c>
      <c r="L31" s="44">
        <f>SUMPRODUCT(--('Calc|Consolidated Capex'!$G$9:$G$93=$E31),'Calc|Consolidated Capex'!N$9:N$93)/1000+SUMPRODUCT(--('Input|VBRC Calc'!$F$12:$F$18=$E31),'Input|VBRC Calc'!N$12:N$18)/1000</f>
        <v>15.082025062420344</v>
      </c>
      <c r="M31" s="44">
        <f>SUMPRODUCT(--('Calc|Consolidated Capex'!$G$9:$G$93=$E31),'Calc|Consolidated Capex'!O$9:O$93)/1000+SUMPRODUCT(--('Input|VBRC Calc'!$F$12:$F$18=$E31),'Input|VBRC Calc'!O$12:O$18)/1000</f>
        <v>21.087511715403558</v>
      </c>
      <c r="N31" s="44">
        <f>SUMPRODUCT(--('Calc|Consolidated Capex'!$G$9:$G$93=$E31),'Calc|Consolidated Capex'!P$9:P$93)/1000+SUMPRODUCT(--('Input|VBRC Calc'!$F$12:$F$18=$E31),'Input|VBRC Calc'!P$12:P$18)/1000</f>
        <v>16.640889079535775</v>
      </c>
      <c r="O31" s="44">
        <f>SUMPRODUCT(--('Calc|Consolidated Capex'!$G$9:$G$93=$E31),'Calc|Consolidated Capex'!Q$9:Q$93)/1000+SUMPRODUCT(--('Input|VBRC Calc'!$F$12:$F$18=$E31),'Input|VBRC Calc'!Q$12:Q$18)/1000</f>
        <v>19.171293675292496</v>
      </c>
      <c r="P31" s="44">
        <f>SUMPRODUCT(--('Calc|Consolidated Capex'!$G$9:$G$93=$E31),'Calc|Consolidated Capex'!R$9:R$93)/1000+SUMPRODUCT(--('Input|VBRC Calc'!$F$12:$F$18=$E31),'Input|VBRC Calc'!R$12:R$18)/1000</f>
        <v>14.004789147707607</v>
      </c>
      <c r="Q31" s="44">
        <f>SUMPRODUCT(--('Calc|Consolidated Capex'!$G$9:$G$93=$E31),'Calc|Consolidated Capex'!S$9:S$93)/1000+SUMPRODUCT(--('Input|VBRC Calc'!$F$12:$F$18=$E31),'Input|VBRC Calc'!S$12:S$18)/1000</f>
        <v>7.9051542768717571</v>
      </c>
      <c r="R31" s="7"/>
    </row>
    <row r="32" spans="1:18" x14ac:dyDescent="0.2">
      <c r="A32" s="7"/>
      <c r="B32" s="7"/>
      <c r="C32" s="7"/>
      <c r="D32" s="7"/>
      <c r="E32" s="39" t="s">
        <v>2302</v>
      </c>
      <c r="F32" s="7"/>
      <c r="G32" s="44">
        <f>(SUMPRODUCT(--('Calc|Consolidated Capex'!$G$9:$G$93=$E32),'Calc|Consolidated Capex'!I$9:I$93)/1000+SUMPRODUCT(--('Input|VBRC Calc'!$F$12:$F$18=$E32),'Input|VBRC Calc'!I$12:I$18)/1000)*HLOOKUP(G$5,Inflation!$L$11:$V$26,16,0)+'Input|Provisions'!I56</f>
        <v>0.54308084663139111</v>
      </c>
      <c r="H32" s="44">
        <f>(SUMPRODUCT(--('Calc|Consolidated Capex'!$G$9:$G$93=$E32),'Calc|Consolidated Capex'!J$9:J$93)/1000+SUMPRODUCT(--('Input|VBRC Calc'!$F$12:$F$18=$E32),'Input|VBRC Calc'!J$12:J$18)/1000)*HLOOKUP(H$5,Inflation!$L$11:$V$26,16,0)+'Input|Provisions'!J56</f>
        <v>3.5145906886700473</v>
      </c>
      <c r="I32" s="44">
        <f>(SUMPRODUCT(--('Calc|Consolidated Capex'!$G$9:$G$93=$E32),'Calc|Consolidated Capex'!K$9:K$93)/1000+SUMPRODUCT(--('Input|VBRC Calc'!$F$12:$F$18=$E32),'Input|VBRC Calc'!K$12:K$18)/1000)*HLOOKUP(I$5,Inflation!$L$11:$V$26,16,0)+'Input|Provisions'!K56</f>
        <v>2.5362336069472793</v>
      </c>
      <c r="J32" s="44">
        <f>(SUMPRODUCT(--('Calc|Consolidated Capex'!$G$9:$G$93=$E32),'Calc|Consolidated Capex'!L$9:L$93)/1000+SUMPRODUCT(--('Input|VBRC Calc'!$F$12:$F$18=$E32),'Input|VBRC Calc'!L$12:L$18)/1000)*HLOOKUP(J$5,Inflation!$L$11:$V$26,16,0)+'Input|Provisions'!L56</f>
        <v>1.6010184294528393</v>
      </c>
      <c r="K32" s="44">
        <f>SUMPRODUCT(--('Calc|Consolidated Capex'!$G$9:$G$93=$E32),'Calc|Consolidated Capex'!M$9:M$93)/1000+SUMPRODUCT(--('Input|VBRC Calc'!$F$12:$F$18=$E32),'Input|VBRC Calc'!M$12:M$18)/1000</f>
        <v>6.1841923490436335</v>
      </c>
      <c r="L32" s="44">
        <f>SUMPRODUCT(--('Calc|Consolidated Capex'!$G$9:$G$93=$E32),'Calc|Consolidated Capex'!N$9:N$93)/1000+SUMPRODUCT(--('Input|VBRC Calc'!$F$12:$F$18=$E32),'Input|VBRC Calc'!N$12:N$18)/1000</f>
        <v>6.4782805761464415</v>
      </c>
      <c r="M32" s="44">
        <f>SUMPRODUCT(--('Calc|Consolidated Capex'!$G$9:$G$93=$E32),'Calc|Consolidated Capex'!O$9:O$93)/1000+SUMPRODUCT(--('Input|VBRC Calc'!$F$12:$F$18=$E32),'Input|VBRC Calc'!O$12:O$18)/1000</f>
        <v>6.2267450076630748</v>
      </c>
      <c r="N32" s="44">
        <f>SUMPRODUCT(--('Calc|Consolidated Capex'!$G$9:$G$93=$E32),'Calc|Consolidated Capex'!P$9:P$93)/1000+SUMPRODUCT(--('Input|VBRC Calc'!$F$12:$F$18=$E32),'Input|VBRC Calc'!P$12:P$18)/1000</f>
        <v>5.3530343585435709</v>
      </c>
      <c r="O32" s="44">
        <f>SUMPRODUCT(--('Calc|Consolidated Capex'!$G$9:$G$93=$E32),'Calc|Consolidated Capex'!Q$9:Q$93)/1000+SUMPRODUCT(--('Input|VBRC Calc'!$F$12:$F$18=$E32),'Input|VBRC Calc'!Q$12:Q$18)/1000</f>
        <v>3.8818328407681597</v>
      </c>
      <c r="P32" s="44">
        <f>SUMPRODUCT(--('Calc|Consolidated Capex'!$G$9:$G$93=$E32),'Calc|Consolidated Capex'!R$9:R$93)/1000+SUMPRODUCT(--('Input|VBRC Calc'!$F$12:$F$18=$E32),'Input|VBRC Calc'!R$12:R$18)/1000</f>
        <v>2.6012591009824577</v>
      </c>
      <c r="Q32" s="44">
        <f>SUMPRODUCT(--('Calc|Consolidated Capex'!$G$9:$G$93=$E32),'Calc|Consolidated Capex'!S$9:S$93)/1000+SUMPRODUCT(--('Input|VBRC Calc'!$F$12:$F$18=$E32),'Input|VBRC Calc'!S$12:S$18)/1000</f>
        <v>2.6012591009824577</v>
      </c>
      <c r="R32" s="7"/>
    </row>
    <row r="33" spans="1:18" x14ac:dyDescent="0.2">
      <c r="A33" s="7"/>
      <c r="B33" s="7"/>
      <c r="C33" s="7"/>
      <c r="D33" s="7"/>
      <c r="E33" s="39" t="s">
        <v>39</v>
      </c>
      <c r="F33" s="7"/>
      <c r="G33" s="44">
        <f>(SUMPRODUCT(--('Calc|Consolidated Capex'!$G$9:$G$93=$E33),'Calc|Consolidated Capex'!I$9:I$93)/1000+SUMPRODUCT(--('Input|VBRC Calc'!$F$12:$F$18=$E33),'Input|VBRC Calc'!I$12:I$18)/1000)*HLOOKUP(G$5,Inflation!$L$11:$V$26,16,0)+'Input|Provisions'!I57</f>
        <v>0</v>
      </c>
      <c r="H33" s="44">
        <f>(SUMPRODUCT(--('Calc|Consolidated Capex'!$G$9:$G$93=$E33),'Calc|Consolidated Capex'!J$9:J$93)/1000+SUMPRODUCT(--('Input|VBRC Calc'!$F$12:$F$18=$E33),'Input|VBRC Calc'!J$12:J$18)/1000)*HLOOKUP(H$5,Inflation!$L$11:$V$26,16,0)+'Input|Provisions'!J57</f>
        <v>0</v>
      </c>
      <c r="I33" s="44">
        <f>(SUMPRODUCT(--('Calc|Consolidated Capex'!$G$9:$G$93=$E33),'Calc|Consolidated Capex'!K$9:K$93)/1000+SUMPRODUCT(--('Input|VBRC Calc'!$F$12:$F$18=$E33),'Input|VBRC Calc'!K$12:K$18)/1000)*HLOOKUP(I$5,Inflation!$L$11:$V$26,16,0)+'Input|Provisions'!K57</f>
        <v>0</v>
      </c>
      <c r="J33" s="44">
        <f>(SUMPRODUCT(--('Calc|Consolidated Capex'!$G$9:$G$93=$E33),'Calc|Consolidated Capex'!L$9:L$93)/1000+SUMPRODUCT(--('Input|VBRC Calc'!$F$12:$F$18=$E33),'Input|VBRC Calc'!L$12:L$18)/1000)*HLOOKUP(J$5,Inflation!$L$11:$V$26,16,0)+'Input|Provisions'!L57</f>
        <v>0</v>
      </c>
      <c r="K33" s="44">
        <f>SUMPRODUCT(--('Calc|Consolidated Capex'!$G$9:$G$93=$E33),'Calc|Consolidated Capex'!M$9:M$93)/1000+SUMPRODUCT(--('Input|VBRC Calc'!$F$12:$F$18=$E33),'Input|VBRC Calc'!M$12:M$18)/1000</f>
        <v>0</v>
      </c>
      <c r="L33" s="44">
        <f>SUMPRODUCT(--('Calc|Consolidated Capex'!$G$9:$G$93=$E33),'Calc|Consolidated Capex'!N$9:N$93)/1000+SUMPRODUCT(--('Input|VBRC Calc'!$F$12:$F$18=$E33),'Input|VBRC Calc'!N$12:N$18)/1000</f>
        <v>0</v>
      </c>
      <c r="M33" s="44">
        <f>SUMPRODUCT(--('Calc|Consolidated Capex'!$G$9:$G$93=$E33),'Calc|Consolidated Capex'!O$9:O$93)/1000+SUMPRODUCT(--('Input|VBRC Calc'!$F$12:$F$18=$E33),'Input|VBRC Calc'!O$12:O$18)/1000</f>
        <v>0</v>
      </c>
      <c r="N33" s="44">
        <f>SUMPRODUCT(--('Calc|Consolidated Capex'!$G$9:$G$93=$E33),'Calc|Consolidated Capex'!P$9:P$93)/1000+SUMPRODUCT(--('Input|VBRC Calc'!$F$12:$F$18=$E33),'Input|VBRC Calc'!P$12:P$18)/1000</f>
        <v>0</v>
      </c>
      <c r="O33" s="44">
        <f>SUMPRODUCT(--('Calc|Consolidated Capex'!$G$9:$G$93=$E33),'Calc|Consolidated Capex'!Q$9:Q$93)/1000+SUMPRODUCT(--('Input|VBRC Calc'!$F$12:$F$18=$E33),'Input|VBRC Calc'!Q$12:Q$18)/1000</f>
        <v>0</v>
      </c>
      <c r="P33" s="44">
        <f>SUMPRODUCT(--('Calc|Consolidated Capex'!$G$9:$G$93=$E33),'Calc|Consolidated Capex'!R$9:R$93)/1000+SUMPRODUCT(--('Input|VBRC Calc'!$F$12:$F$18=$E33),'Input|VBRC Calc'!R$12:R$18)/1000</f>
        <v>0</v>
      </c>
      <c r="Q33" s="44">
        <f>SUMPRODUCT(--('Calc|Consolidated Capex'!$G$9:$G$93=$E33),'Calc|Consolidated Capex'!S$9:S$93)/1000+SUMPRODUCT(--('Input|VBRC Calc'!$F$12:$F$18=$E33),'Input|VBRC Calc'!S$12:S$18)/1000</f>
        <v>0</v>
      </c>
      <c r="R33" s="7"/>
    </row>
    <row r="34" spans="1:18" x14ac:dyDescent="0.2">
      <c r="A34" s="7"/>
      <c r="B34" s="7"/>
      <c r="C34" s="7"/>
      <c r="D34" s="7"/>
      <c r="E34" s="39" t="s">
        <v>2404</v>
      </c>
      <c r="F34" s="7"/>
      <c r="G34" s="44">
        <f>(SUMPRODUCT(--('Calc|Consolidated Capex'!$G$9:$G$93=$E34),'Calc|Consolidated Capex'!I$9:I$93)/1000+SUMPRODUCT(--('Input|VBRC Calc'!$F$12:$F$18=$E34),'Input|VBRC Calc'!I$12:I$18)/1000)*HLOOKUP(G$5,Inflation!$L$11:$V$26,16,0)</f>
        <v>0</v>
      </c>
      <c r="H34" s="44">
        <f>(SUMPRODUCT(--('Calc|Consolidated Capex'!$G$9:$G$93=$E34),'Calc|Consolidated Capex'!J$9:J$93)/1000+SUMPRODUCT(--('Input|VBRC Calc'!$F$12:$F$18=$E34),'Input|VBRC Calc'!J$12:J$18)/1000)*HLOOKUP(H$5,Inflation!$L$11:$V$26,16,0)</f>
        <v>0</v>
      </c>
      <c r="I34" s="44">
        <f>(SUMPRODUCT(--('Calc|Consolidated Capex'!$G$9:$G$93=$E34),'Calc|Consolidated Capex'!K$9:K$93)/1000+SUMPRODUCT(--('Input|VBRC Calc'!$F$12:$F$18=$E34),'Input|VBRC Calc'!K$12:K$18)/1000)*HLOOKUP(I$5,Inflation!$L$11:$V$26,16,0)</f>
        <v>0</v>
      </c>
      <c r="J34" s="44">
        <f>(SUMPRODUCT(--('Calc|Consolidated Capex'!$G$9:$G$93=$E34),'Calc|Consolidated Capex'!L$9:L$93)/1000+SUMPRODUCT(--('Input|VBRC Calc'!$F$12:$F$18=$E34),'Input|VBRC Calc'!L$12:L$18)/1000)*HLOOKUP(J$5,Inflation!$L$11:$V$26,16,0)</f>
        <v>0</v>
      </c>
      <c r="K34" s="44">
        <f>SUMPRODUCT(--('Calc|Consolidated Capex'!$G$9:$G$93=$E34),'Calc|Consolidated Capex'!M$9:M$93)/1000+SUMPRODUCT(--('Input|VBRC Calc'!$F$12:$F$18=$E34),'Input|VBRC Calc'!M$12:M$18)/1000</f>
        <v>0</v>
      </c>
      <c r="L34" s="44">
        <f>SUMPRODUCT(--('Calc|Consolidated Capex'!$G$9:$G$93=$E34),'Calc|Consolidated Capex'!N$9:N$93)/1000+SUMPRODUCT(--('Input|VBRC Calc'!$F$12:$F$18=$E34),'Input|VBRC Calc'!N$12:N$18)/1000</f>
        <v>0</v>
      </c>
      <c r="M34" s="44">
        <f>SUMPRODUCT(--('Calc|Consolidated Capex'!$G$9:$G$93=$E34),'Calc|Consolidated Capex'!O$9:O$93)/1000+SUMPRODUCT(--('Input|VBRC Calc'!$F$12:$F$18=$E34),'Input|VBRC Calc'!O$12:O$18)/1000</f>
        <v>0</v>
      </c>
      <c r="N34" s="44">
        <f>SUMPRODUCT(--('Calc|Consolidated Capex'!$G$9:$G$93=$E34),'Calc|Consolidated Capex'!P$9:P$93)/1000+SUMPRODUCT(--('Input|VBRC Calc'!$F$12:$F$18=$E34),'Input|VBRC Calc'!P$12:P$18)/1000</f>
        <v>0</v>
      </c>
      <c r="O34" s="44">
        <f>SUMPRODUCT(--('Calc|Consolidated Capex'!$G$9:$G$93=$E34),'Calc|Consolidated Capex'!Q$9:Q$93)/1000+SUMPRODUCT(--('Input|VBRC Calc'!$F$12:$F$18=$E34),'Input|VBRC Calc'!Q$12:Q$18)/1000</f>
        <v>0</v>
      </c>
      <c r="P34" s="44">
        <f>SUMPRODUCT(--('Calc|Consolidated Capex'!$G$9:$G$93=$E34),'Calc|Consolidated Capex'!R$9:R$93)/1000+SUMPRODUCT(--('Input|VBRC Calc'!$F$12:$F$18=$E34),'Input|VBRC Calc'!R$12:R$18)/1000</f>
        <v>0</v>
      </c>
      <c r="Q34" s="44">
        <f>SUMPRODUCT(--('Calc|Consolidated Capex'!$G$9:$G$93=$E34),'Calc|Consolidated Capex'!S$9:S$93)/1000+SUMPRODUCT(--('Input|VBRC Calc'!$F$12:$F$18=$E34),'Input|VBRC Calc'!S$12:S$18)/1000</f>
        <v>0</v>
      </c>
      <c r="R34" s="7"/>
    </row>
    <row r="35" spans="1:18" x14ac:dyDescent="0.2">
      <c r="A35" s="7"/>
      <c r="B35" s="7"/>
      <c r="C35" s="7"/>
      <c r="D35" s="7"/>
      <c r="E35" s="39" t="s">
        <v>2315</v>
      </c>
      <c r="F35" s="7"/>
      <c r="G35" s="44">
        <f>(SUMPRODUCT(--('Calc|Consolidated Capex'!$G$9:$G$93=$E35),'Calc|Consolidated Capex'!I$9:I$93)/1000+SUMPRODUCT(--('Input|VBRC Calc'!$F$12:$F$18=$E35),'Input|VBRC Calc'!I$12:I$18)/1000)*HLOOKUP(G$5,Inflation!$L$11:$V$26,16,0)+'Input|Provisions'!I58</f>
        <v>0</v>
      </c>
      <c r="H35" s="44">
        <f>(SUMPRODUCT(--('Calc|Consolidated Capex'!$G$9:$G$93=$E35),'Calc|Consolidated Capex'!J$9:J$93)/1000+SUMPRODUCT(--('Input|VBRC Calc'!$F$12:$F$18=$E35),'Input|VBRC Calc'!J$12:J$18)/1000)*HLOOKUP(H$5,Inflation!$L$11:$V$26,16,0)+'Input|Provisions'!J58</f>
        <v>27.157275851981669</v>
      </c>
      <c r="I35" s="44">
        <f>(SUMPRODUCT(--('Calc|Consolidated Capex'!$G$9:$G$93=$E35),'Calc|Consolidated Capex'!K$9:K$93)/1000+SUMPRODUCT(--('Input|VBRC Calc'!$F$12:$F$18=$E35),'Input|VBRC Calc'!K$12:K$18)/1000)*HLOOKUP(I$5,Inflation!$L$11:$V$26,16,0)+'Input|Provisions'!K58</f>
        <v>0</v>
      </c>
      <c r="J35" s="44">
        <f>(SUMPRODUCT(--('Calc|Consolidated Capex'!$G$9:$G$93=$E35),'Calc|Consolidated Capex'!L$9:L$93)/1000+SUMPRODUCT(--('Input|VBRC Calc'!$F$12:$F$18=$E35),'Input|VBRC Calc'!L$12:L$18)/1000)*HLOOKUP(J$5,Inflation!$L$11:$V$26,16,0)+'Input|Provisions'!L58</f>
        <v>0</v>
      </c>
      <c r="K35" s="44">
        <f>SUMPRODUCT(--('Calc|Consolidated Capex'!$G$9:$G$93=$E35),'Calc|Consolidated Capex'!M$9:M$93)/1000+SUMPRODUCT(--('Input|VBRC Calc'!$F$12:$F$18=$E35),'Input|VBRC Calc'!M$12:M$18)/1000</f>
        <v>0</v>
      </c>
      <c r="L35" s="44">
        <f>SUMPRODUCT(--('Calc|Consolidated Capex'!$G$9:$G$93=$E35),'Calc|Consolidated Capex'!N$9:N$93)/1000+SUMPRODUCT(--('Input|VBRC Calc'!$F$12:$F$18=$E35),'Input|VBRC Calc'!N$12:N$18)/1000</f>
        <v>0</v>
      </c>
      <c r="M35" s="44">
        <f>SUMPRODUCT(--('Calc|Consolidated Capex'!$G$9:$G$93=$E35),'Calc|Consolidated Capex'!O$9:O$93)/1000+SUMPRODUCT(--('Input|VBRC Calc'!$F$12:$F$18=$E35),'Input|VBRC Calc'!O$12:O$18)/1000</f>
        <v>0</v>
      </c>
      <c r="N35" s="44">
        <f>SUMPRODUCT(--('Calc|Consolidated Capex'!$G$9:$G$93=$E35),'Calc|Consolidated Capex'!P$9:P$93)/1000+SUMPRODUCT(--('Input|VBRC Calc'!$F$12:$F$18=$E35),'Input|VBRC Calc'!P$12:P$18)/1000</f>
        <v>0</v>
      </c>
      <c r="O35" s="44">
        <f>SUMPRODUCT(--('Calc|Consolidated Capex'!$G$9:$G$93=$E35),'Calc|Consolidated Capex'!Q$9:Q$93)/1000+SUMPRODUCT(--('Input|VBRC Calc'!$F$12:$F$18=$E35),'Input|VBRC Calc'!Q$12:Q$18)/1000</f>
        <v>0</v>
      </c>
      <c r="P35" s="44">
        <f>SUMPRODUCT(--('Calc|Consolidated Capex'!$G$9:$G$93=$E35),'Calc|Consolidated Capex'!R$9:R$93)/1000+SUMPRODUCT(--('Input|VBRC Calc'!$F$12:$F$18=$E35),'Input|VBRC Calc'!R$12:R$18)/1000</f>
        <v>0</v>
      </c>
      <c r="Q35" s="44">
        <f>SUMPRODUCT(--('Calc|Consolidated Capex'!$G$9:$G$93=$E35),'Calc|Consolidated Capex'!S$9:S$93)/1000+SUMPRODUCT(--('Input|VBRC Calc'!$F$12:$F$18=$E35),'Input|VBRC Calc'!S$12:S$18)/1000</f>
        <v>0</v>
      </c>
      <c r="R35" s="7"/>
    </row>
    <row r="36" spans="1:18" x14ac:dyDescent="0.2">
      <c r="A36" s="7"/>
      <c r="B36" s="7"/>
      <c r="C36" s="7"/>
      <c r="D36" s="7"/>
      <c r="E36" s="39"/>
      <c r="F36" s="7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7"/>
    </row>
    <row r="37" spans="1:18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 x14ac:dyDescent="0.2">
      <c r="A38" s="7"/>
      <c r="B38" s="7"/>
      <c r="C38" s="7"/>
      <c r="D38" s="7"/>
      <c r="E38" s="9" t="s">
        <v>2209</v>
      </c>
      <c r="F38" s="7"/>
      <c r="G38" s="61">
        <f>SUM(G27:G35)</f>
        <v>149.71235924581171</v>
      </c>
      <c r="H38" s="61">
        <f>SUM(H27:H35)</f>
        <v>160.47002516630636</v>
      </c>
      <c r="I38" s="61">
        <f t="shared" ref="I38:Q38" si="1">SUM(I27:I35)</f>
        <v>126.83516469508614</v>
      </c>
      <c r="J38" s="61">
        <f t="shared" ref="J38" si="2">SUM(J27:J35)</f>
        <v>143.70485952437116</v>
      </c>
      <c r="K38" s="61">
        <f t="shared" si="1"/>
        <v>161.45028525935837</v>
      </c>
      <c r="L38" s="61">
        <f t="shared" si="1"/>
        <v>194.13200570493959</v>
      </c>
      <c r="M38" s="61">
        <f t="shared" si="1"/>
        <v>144.71311843515943</v>
      </c>
      <c r="N38" s="61">
        <f t="shared" si="1"/>
        <v>163.25846779130748</v>
      </c>
      <c r="O38" s="61">
        <f t="shared" si="1"/>
        <v>152.72539367268192</v>
      </c>
      <c r="P38" s="61">
        <f t="shared" si="1"/>
        <v>141.69005059153946</v>
      </c>
      <c r="Q38" s="61">
        <f t="shared" si="1"/>
        <v>132.74111025519531</v>
      </c>
      <c r="R38" s="7"/>
    </row>
    <row r="39" spans="1:18" x14ac:dyDescent="0.2">
      <c r="A39" s="7"/>
      <c r="B39" s="7"/>
      <c r="C39" s="7"/>
      <c r="D39" s="7"/>
      <c r="E39" s="7"/>
      <c r="F39" s="7"/>
      <c r="G39" s="65">
        <f>G38-('Calc|Consolidated Capex'!I94/1000*Inflation!L$26)-'Input|Provisions'!I59</f>
        <v>2.8144153674247718E-14</v>
      </c>
      <c r="H39" s="65">
        <f>H38-('Calc|Consolidated Capex'!J94/1000*Inflation!M$26)-'Input|Provisions'!J59</f>
        <v>-2.0788926136106056E-14</v>
      </c>
      <c r="I39" s="65">
        <f>I38-('Calc|Consolidated Capex'!K94/1000*Inflation!N$26)-'Input|Provisions'!K59</f>
        <v>0</v>
      </c>
      <c r="J39" s="65">
        <f>J38-('Calc|Consolidated Capex'!L94/1000*Inflation!O$26)-'Input|Provisions'!L59</f>
        <v>-1.8207657603852567E-14</v>
      </c>
      <c r="K39" s="65">
        <f>K38-'Calc|Consolidated Capex'!M94/1000</f>
        <v>0</v>
      </c>
      <c r="L39" s="65">
        <f>L38-'Calc|Consolidated Capex'!N94/1000</f>
        <v>0</v>
      </c>
      <c r="M39" s="65">
        <f>M38-'Calc|Consolidated Capex'!O94/1000</f>
        <v>0</v>
      </c>
      <c r="N39" s="65">
        <f>N38-'Calc|Consolidated Capex'!P94/1000</f>
        <v>0</v>
      </c>
      <c r="O39" s="65">
        <f>O38-'Calc|Consolidated Capex'!Q94/1000</f>
        <v>0</v>
      </c>
      <c r="P39" s="65">
        <f>P38-'Calc|Consolidated Capex'!R94/1000</f>
        <v>0</v>
      </c>
      <c r="Q39" s="65">
        <f>Q38-'Calc|Consolidated Capex'!S94/1000</f>
        <v>0</v>
      </c>
      <c r="R39" s="7"/>
    </row>
    <row r="40" spans="1:18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1:18" x14ac:dyDescent="0.2">
      <c r="A41" s="59" t="s">
        <v>2330</v>
      </c>
      <c r="B41" s="13"/>
      <c r="C41" s="13"/>
      <c r="D41" s="13"/>
      <c r="E41" s="13"/>
      <c r="F41" s="13"/>
      <c r="G41" s="63" t="s">
        <v>2439</v>
      </c>
      <c r="H41" s="63" t="s">
        <v>2439</v>
      </c>
      <c r="I41" s="63" t="s">
        <v>2439</v>
      </c>
      <c r="J41" s="63" t="s">
        <v>2439</v>
      </c>
      <c r="K41" s="63" t="s">
        <v>2439</v>
      </c>
      <c r="L41" s="63" t="s">
        <v>2439</v>
      </c>
      <c r="M41" s="63" t="s">
        <v>2439</v>
      </c>
      <c r="N41" s="63" t="s">
        <v>2439</v>
      </c>
      <c r="O41" s="63" t="s">
        <v>2439</v>
      </c>
      <c r="P41" s="63" t="s">
        <v>2439</v>
      </c>
      <c r="Q41" s="63" t="s">
        <v>2439</v>
      </c>
      <c r="R41" s="13"/>
    </row>
    <row r="42" spans="1:18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</row>
    <row r="43" spans="1:18" x14ac:dyDescent="0.2">
      <c r="A43" s="7"/>
      <c r="B43" s="7"/>
      <c r="C43" s="7"/>
      <c r="D43" s="7"/>
      <c r="E43" s="39" t="s">
        <v>2333</v>
      </c>
      <c r="F43" s="7"/>
      <c r="G43" s="44">
        <f>(SUMPRODUCT(--('Calc|Consolidated Capex'!$G$98:$G$182=$E43),'Calc|Consolidated Capex'!I$98:I$182)/1000+SUMPRODUCT(--('Input|VBRC Calc'!$F$28:$F$34=$E43),'Input|VBRC Calc'!I$28:I$34)/1000)*HLOOKUP(G$5,Inflation!$L$11:$V$26,16,0)+'Input|Provisions'!I51</f>
        <v>43.756477144563192</v>
      </c>
      <c r="H43" s="44">
        <f>(SUMPRODUCT(--('Calc|Consolidated Capex'!$G$98:$G$182=$E43),'Calc|Consolidated Capex'!J$98:J$182)/1000+SUMPRODUCT(--('Input|VBRC Calc'!$F$28:$F$34=$E43),'Input|VBRC Calc'!J$28:J$34)/1000)*HLOOKUP(H$5,Inflation!$L$11:$V$26,16,0)+'Input|Provisions'!J51</f>
        <v>24.566190591331026</v>
      </c>
      <c r="I43" s="44">
        <f>(SUMPRODUCT(--('Calc|Consolidated Capex'!$G$98:$G$182=$E43),'Calc|Consolidated Capex'!K$98:K$182)/1000+SUMPRODUCT(--('Input|VBRC Calc'!$F$28:$F$34=$E43),'Input|VBRC Calc'!K$28:K$34)/1000)*HLOOKUP(I$5,Inflation!$L$11:$V$26,16,0)+'Input|Provisions'!K51</f>
        <v>23.014477434478856</v>
      </c>
      <c r="J43" s="44">
        <f>(SUMPRODUCT(--('Calc|Consolidated Capex'!$G$98:$G$182=$E43),'Calc|Consolidated Capex'!L$98:L$182)/1000+SUMPRODUCT(--('Input|VBRC Calc'!$F$28:$F$34=$E43),'Input|VBRC Calc'!L$28:L$34)/1000)*HLOOKUP(J$5,Inflation!$L$11:$V$26,16,0)+'Input|Provisions'!L51</f>
        <v>34.195000183166499</v>
      </c>
      <c r="K43" s="44">
        <f>K27*(1+'Calc|Overheads'!M$27)</f>
        <v>38.694602324688468</v>
      </c>
      <c r="L43" s="44">
        <f>L27*(1+'Calc|Overheads'!N$27)</f>
        <v>63.703951169120714</v>
      </c>
      <c r="M43" s="44">
        <f>M27*(1+'Calc|Overheads'!O$27)</f>
        <v>47.175021590490971</v>
      </c>
      <c r="N43" s="44">
        <f>N27*(1+'Calc|Overheads'!P$27)</f>
        <v>31.734054637021874</v>
      </c>
      <c r="O43" s="44">
        <f>O27*(1+'Calc|Overheads'!Q$27)</f>
        <v>27.673841610823303</v>
      </c>
      <c r="P43" s="44">
        <f>P27*(1+'Calc|Overheads'!R$27)</f>
        <v>26.983777699086552</v>
      </c>
      <c r="Q43" s="44">
        <f>Q27*(1+'Calc|Overheads'!S$27)</f>
        <v>19.797861872356016</v>
      </c>
      <c r="R43" s="7"/>
    </row>
    <row r="44" spans="1:18" x14ac:dyDescent="0.2">
      <c r="A44" s="7"/>
      <c r="B44" s="7"/>
      <c r="C44" s="7"/>
      <c r="D44" s="7"/>
      <c r="E44" s="39" t="s">
        <v>2299</v>
      </c>
      <c r="F44" s="7"/>
      <c r="G44" s="44">
        <f>(SUMPRODUCT(--('Calc|Consolidated Capex'!$G$98:$G$182=$E44),'Calc|Consolidated Capex'!I$98:I$182)/1000+SUMPRODUCT(--('Input|VBRC Calc'!$F$28:$F$34=$E44),'Input|VBRC Calc'!I$28:I$34)/1000)*HLOOKUP(G$5,Inflation!$L$11:$V$26,16,0)+'Input|Provisions'!I52</f>
        <v>87.469550980222579</v>
      </c>
      <c r="H44" s="44">
        <f>(SUMPRODUCT(--('Calc|Consolidated Capex'!$G$98:$G$182=$E44),'Calc|Consolidated Capex'!J$98:J$182)/1000+SUMPRODUCT(--('Input|VBRC Calc'!$F$28:$F$34=$E44),'Input|VBRC Calc'!J$28:J$34)/1000)*HLOOKUP(H$5,Inflation!$L$11:$V$26,16,0)+'Input|Provisions'!J52</f>
        <v>87.057575985396454</v>
      </c>
      <c r="I44" s="44">
        <f>(SUMPRODUCT(--('Calc|Consolidated Capex'!$G$98:$G$182=$E44),'Calc|Consolidated Capex'!K$98:K$182)/1000+SUMPRODUCT(--('Input|VBRC Calc'!$F$28:$F$34=$E44),'Input|VBRC Calc'!K$28:K$34)/1000)*HLOOKUP(I$5,Inflation!$L$11:$V$26,16,0)+'Input|Provisions'!K52</f>
        <v>85.329167456502617</v>
      </c>
      <c r="J44" s="127">
        <f>(SUMPRODUCT(--('Calc|Consolidated Capex'!$G$98:$G$182=$E44),'Calc|Consolidated Capex'!L$98:L$182)/1000+SUMPRODUCT(--('Input|VBRC Calc'!$F$28:$F$34=$E44),'Input|VBRC Calc'!L$28:L$34)/1000)*HLOOKUP(J$5,Inflation!$L$11:$V$26,16,0)+'Input|Provisions'!L52</f>
        <v>94.327229888263247</v>
      </c>
      <c r="K44" s="44">
        <f>K28*(1+'Calc|Overheads'!M$27)</f>
        <v>96.894878036740224</v>
      </c>
      <c r="L44" s="44">
        <f>L28*(1+'Calc|Overheads'!N$27)</f>
        <v>97.77245789387301</v>
      </c>
      <c r="M44" s="44">
        <f>M28*(1+'Calc|Overheads'!O$27)</f>
        <v>61.936610666805969</v>
      </c>
      <c r="N44" s="44">
        <f>N28*(1+'Calc|Overheads'!P$27)</f>
        <v>97.368792125186587</v>
      </c>
      <c r="O44" s="44">
        <f>O28*(1+'Calc|Overheads'!Q$27)</f>
        <v>90.974253146770181</v>
      </c>
      <c r="P44" s="44">
        <f>P28*(1+'Calc|Overheads'!R$27)</f>
        <v>88.762346559438711</v>
      </c>
      <c r="Q44" s="44">
        <f>Q28*(1+'Calc|Overheads'!S$27)</f>
        <v>89.992303377361935</v>
      </c>
      <c r="R44" s="7"/>
    </row>
    <row r="45" spans="1:18" x14ac:dyDescent="0.2">
      <c r="A45" s="7"/>
      <c r="B45" s="7"/>
      <c r="C45" s="7"/>
      <c r="D45" s="7"/>
      <c r="E45" s="39" t="s">
        <v>2300</v>
      </c>
      <c r="F45" s="7"/>
      <c r="G45" s="44">
        <f>(SUMPRODUCT(--('Calc|Consolidated Capex'!$G$98:$G$182=$E45),'Calc|Consolidated Capex'!I$98:I$182)/1000+SUMPRODUCT(--('Input|VBRC Calc'!$F$28:$F$34=$E45),'Input|VBRC Calc'!I$28:I$34)/1000)*HLOOKUP(G$5,Inflation!$L$11:$V$26,16,0)+'Input|Provisions'!I53</f>
        <v>30.760622700401381</v>
      </c>
      <c r="H45" s="44">
        <f>(SUMPRODUCT(--('Calc|Consolidated Capex'!$G$98:$G$182=$E45),'Calc|Consolidated Capex'!J$98:J$182)/1000+SUMPRODUCT(--('Input|VBRC Calc'!$F$28:$F$34=$E45),'Input|VBRC Calc'!J$28:J$34)/1000)*HLOOKUP(H$5,Inflation!$L$11:$V$26,16,0)+'Input|Provisions'!J53</f>
        <v>22.420418050093822</v>
      </c>
      <c r="I45" s="44">
        <f>(SUMPRODUCT(--('Calc|Consolidated Capex'!$G$98:$G$182=$E45),'Calc|Consolidated Capex'!K$98:K$182)/1000+SUMPRODUCT(--('Input|VBRC Calc'!$F$28:$F$34=$E45),'Input|VBRC Calc'!K$28:K$34)/1000)*HLOOKUP(I$5,Inflation!$L$11:$V$26,16,0)+'Input|Provisions'!K53</f>
        <v>25.737530009511957</v>
      </c>
      <c r="J45" s="44">
        <f>(SUMPRODUCT(--('Calc|Consolidated Capex'!$G$98:$G$182=$E45),'Calc|Consolidated Capex'!L$98:L$182)/1000+SUMPRODUCT(--('Input|VBRC Calc'!$F$28:$F$34=$E45),'Input|VBRC Calc'!L$28:L$34)/1000)*HLOOKUP(J$5,Inflation!$L$11:$V$26,16,0)+'Input|Provisions'!L53</f>
        <v>23.960861536233999</v>
      </c>
      <c r="K45" s="44">
        <f>K29*(1+'Calc|Overheads'!M$27)</f>
        <v>25.273187561916973</v>
      </c>
      <c r="L45" s="44">
        <f>L29*(1+'Calc|Overheads'!N$27)</f>
        <v>30.289022959949488</v>
      </c>
      <c r="M45" s="44">
        <f>M29*(1+'Calc|Overheads'!O$27)</f>
        <v>25.654877824165833</v>
      </c>
      <c r="N45" s="44">
        <f>N29*(1+'Calc|Overheads'!P$27)</f>
        <v>30.345875785247866</v>
      </c>
      <c r="O45" s="44">
        <f>O29*(1+'Calc|Overheads'!Q$27)</f>
        <v>28.853603532939299</v>
      </c>
      <c r="P45" s="44">
        <f>P29*(1+'Calc|Overheads'!R$27)</f>
        <v>27.222268621073258</v>
      </c>
      <c r="Q45" s="44">
        <f>Q29*(1+'Calc|Overheads'!S$27)</f>
        <v>30.709962841859692</v>
      </c>
      <c r="R45" s="7"/>
    </row>
    <row r="46" spans="1:18" x14ac:dyDescent="0.2">
      <c r="A46" s="7"/>
      <c r="B46" s="7"/>
      <c r="C46" s="7"/>
      <c r="D46" s="7"/>
      <c r="E46" s="39" t="s">
        <v>2309</v>
      </c>
      <c r="F46" s="7"/>
      <c r="G46" s="44">
        <f>(SUMPRODUCT(--('Calc|Consolidated Capex'!$G$98:$G$182=$E46),'Calc|Consolidated Capex'!I$98:I$182)/1000+SUMPRODUCT(--('Input|VBRC Calc'!$F$28:$F$34=$E46),'Input|VBRC Calc'!I$28:I$34)/1000)*HLOOKUP(G$5,Inflation!$L$11:$V$26,16,0)+'Input|Provisions'!I54</f>
        <v>0</v>
      </c>
      <c r="H46" s="44">
        <f>(SUMPRODUCT(--('Calc|Consolidated Capex'!$G$98:$G$182=$E46),'Calc|Consolidated Capex'!J$98:J$182)/1000+SUMPRODUCT(--('Input|VBRC Calc'!$F$28:$F$34=$E46),'Input|VBRC Calc'!J$28:J$34)/1000)*HLOOKUP(H$5,Inflation!$L$11:$V$26,16,0)+'Input|Provisions'!J54</f>
        <v>0</v>
      </c>
      <c r="I46" s="44">
        <f>(SUMPRODUCT(--('Calc|Consolidated Capex'!$G$98:$G$182=$E46),'Calc|Consolidated Capex'!K$98:K$182)/1000+SUMPRODUCT(--('Input|VBRC Calc'!$F$28:$F$34=$E46),'Input|VBRC Calc'!K$28:K$34)/1000)*HLOOKUP(I$5,Inflation!$L$11:$V$26,16,0)+'Input|Provisions'!K54</f>
        <v>0</v>
      </c>
      <c r="J46" s="44">
        <f>(SUMPRODUCT(--('Calc|Consolidated Capex'!$G$98:$G$182=$E46),'Calc|Consolidated Capex'!L$98:L$182)/1000+SUMPRODUCT(--('Input|VBRC Calc'!$F$28:$F$34=$E46),'Input|VBRC Calc'!L$28:L$34)/1000)*HLOOKUP(J$5,Inflation!$L$11:$V$26,16,0)+'Input|Provisions'!L54</f>
        <v>0</v>
      </c>
      <c r="K46" s="44">
        <f>K30*(1+'Calc|Overheads'!M$27)</f>
        <v>0</v>
      </c>
      <c r="L46" s="44">
        <f>L30*(1+'Calc|Overheads'!N$27)</f>
        <v>0</v>
      </c>
      <c r="M46" s="44">
        <f>M30*(1+'Calc|Overheads'!O$27)</f>
        <v>0</v>
      </c>
      <c r="N46" s="44">
        <f>N30*(1+'Calc|Overheads'!P$27)</f>
        <v>0</v>
      </c>
      <c r="O46" s="44">
        <f>O30*(1+'Calc|Overheads'!Q$27)</f>
        <v>0</v>
      </c>
      <c r="P46" s="44">
        <f>P30*(1+'Calc|Overheads'!R$27)</f>
        <v>0</v>
      </c>
      <c r="Q46" s="44">
        <f>Q30*(1+'Calc|Overheads'!S$27)</f>
        <v>0</v>
      </c>
      <c r="R46" s="7"/>
    </row>
    <row r="47" spans="1:18" x14ac:dyDescent="0.2">
      <c r="A47" s="7"/>
      <c r="B47" s="7"/>
      <c r="C47" s="7"/>
      <c r="D47" s="7"/>
      <c r="E47" s="39" t="s">
        <v>2301</v>
      </c>
      <c r="F47" s="7"/>
      <c r="G47" s="44">
        <f>(SUMPRODUCT(--('Calc|Consolidated Capex'!$G$98:$G$182=$E47),'Calc|Consolidated Capex'!I$98:I$182)/1000+SUMPRODUCT(--('Input|VBRC Calc'!$F$28:$F$34=$E47),'Input|VBRC Calc'!I$28:I$34)/1000)*HLOOKUP(G$5,Inflation!$L$11:$V$26,16,0)+'Input|Provisions'!I55</f>
        <v>23.060038724204549</v>
      </c>
      <c r="H47" s="44">
        <f>(SUMPRODUCT(--('Calc|Consolidated Capex'!$G$98:$G$182=$E47),'Calc|Consolidated Capex'!J$98:J$182)/1000+SUMPRODUCT(--('Input|VBRC Calc'!$F$28:$F$34=$E47),'Input|VBRC Calc'!J$28:J$34)/1000)*HLOOKUP(H$5,Inflation!$L$11:$V$26,16,0)+'Input|Provisions'!J55</f>
        <v>14.143579159710111</v>
      </c>
      <c r="I47" s="44">
        <f>(SUMPRODUCT(--('Calc|Consolidated Capex'!$G$98:$G$182=$E47),'Calc|Consolidated Capex'!K$98:K$182)/1000+SUMPRODUCT(--('Input|VBRC Calc'!$F$28:$F$34=$E47),'Input|VBRC Calc'!K$28:K$34)/1000)*HLOOKUP(I$5,Inflation!$L$11:$V$26,16,0)+'Input|Provisions'!K55</f>
        <v>9.3489835376569559</v>
      </c>
      <c r="J47" s="44">
        <f>(SUMPRODUCT(--('Calc|Consolidated Capex'!$G$98:$G$182=$E47),'Calc|Consolidated Capex'!L$98:L$182)/1000+SUMPRODUCT(--('Input|VBRC Calc'!$F$28:$F$34=$E47),'Input|VBRC Calc'!L$28:L$34)/1000)*HLOOKUP(J$5,Inflation!$L$11:$V$26,16,0)+'Input|Provisions'!L55</f>
        <v>8.6076247735821383</v>
      </c>
      <c r="K47" s="44">
        <f t="shared" ref="K47:Q47" si="3">K31</f>
        <v>13.597156943539447</v>
      </c>
      <c r="L47" s="44">
        <f t="shared" si="3"/>
        <v>15.082025062420344</v>
      </c>
      <c r="M47" s="44">
        <f t="shared" si="3"/>
        <v>21.087511715403558</v>
      </c>
      <c r="N47" s="44">
        <f t="shared" si="3"/>
        <v>16.640889079535775</v>
      </c>
      <c r="O47" s="44">
        <f t="shared" si="3"/>
        <v>19.171293675292496</v>
      </c>
      <c r="P47" s="44">
        <f t="shared" si="3"/>
        <v>14.004789147707607</v>
      </c>
      <c r="Q47" s="44">
        <f t="shared" si="3"/>
        <v>7.9051542768717571</v>
      </c>
      <c r="R47" s="7"/>
    </row>
    <row r="48" spans="1:18" x14ac:dyDescent="0.2">
      <c r="A48" s="7"/>
      <c r="B48" s="7"/>
      <c r="C48" s="7"/>
      <c r="D48" s="7"/>
      <c r="E48" s="39" t="s">
        <v>2302</v>
      </c>
      <c r="F48" s="7"/>
      <c r="G48" s="44">
        <f>(SUMPRODUCT(--('Calc|Consolidated Capex'!$G$98:$G$182=$E48),'Calc|Consolidated Capex'!I$98:I$182)/1000+SUMPRODUCT(--('Input|VBRC Calc'!$F$28:$F$34=$E48),'Input|VBRC Calc'!I$28:I$34)/1000)*HLOOKUP(G$5,Inflation!$L$11:$V$26,16,0)+'Input|Provisions'!I56</f>
        <v>0.54308084663139111</v>
      </c>
      <c r="H48" s="44">
        <f>(SUMPRODUCT(--('Calc|Consolidated Capex'!$G$98:$G$182=$E48),'Calc|Consolidated Capex'!J$98:J$182)/1000+SUMPRODUCT(--('Input|VBRC Calc'!$F$28:$F$34=$E48),'Input|VBRC Calc'!J$28:J$34)/1000)*HLOOKUP(H$5,Inflation!$L$11:$V$26,16,0)+'Input|Provisions'!J56</f>
        <v>3.5145906886700473</v>
      </c>
      <c r="I48" s="44">
        <f>(SUMPRODUCT(--('Calc|Consolidated Capex'!$G$98:$G$182=$E48),'Calc|Consolidated Capex'!K$98:K$182)/1000+SUMPRODUCT(--('Input|VBRC Calc'!$F$28:$F$34=$E48),'Input|VBRC Calc'!K$28:K$34)/1000)*HLOOKUP(I$5,Inflation!$L$11:$V$26,16,0)+'Input|Provisions'!K56</f>
        <v>2.5362336069472793</v>
      </c>
      <c r="J48" s="44">
        <f>(SUMPRODUCT(--('Calc|Consolidated Capex'!$G$98:$G$182=$E48),'Calc|Consolidated Capex'!L$98:L$182)/1000+SUMPRODUCT(--('Input|VBRC Calc'!$F$28:$F$34=$E48),'Input|VBRC Calc'!L$28:L$34)/1000)*HLOOKUP(J$5,Inflation!$L$11:$V$26,16,0)+'Input|Provisions'!L56</f>
        <v>1.6010184294528393</v>
      </c>
      <c r="K48" s="44">
        <f t="shared" ref="K48:Q48" si="4">K32</f>
        <v>6.1841923490436335</v>
      </c>
      <c r="L48" s="44">
        <f t="shared" si="4"/>
        <v>6.4782805761464415</v>
      </c>
      <c r="M48" s="44">
        <f t="shared" si="4"/>
        <v>6.2267450076630748</v>
      </c>
      <c r="N48" s="44">
        <f t="shared" si="4"/>
        <v>5.3530343585435709</v>
      </c>
      <c r="O48" s="44">
        <f t="shared" si="4"/>
        <v>3.8818328407681597</v>
      </c>
      <c r="P48" s="44">
        <f t="shared" si="4"/>
        <v>2.6012591009824577</v>
      </c>
      <c r="Q48" s="44">
        <f t="shared" si="4"/>
        <v>2.6012591009824577</v>
      </c>
      <c r="R48" s="7"/>
    </row>
    <row r="49" spans="1:18" x14ac:dyDescent="0.2">
      <c r="A49" s="7"/>
      <c r="B49" s="7"/>
      <c r="C49" s="7"/>
      <c r="D49" s="7"/>
      <c r="E49" s="39" t="s">
        <v>39</v>
      </c>
      <c r="F49" s="7"/>
      <c r="G49" s="44">
        <f>(SUMPRODUCT(--('Calc|Consolidated Capex'!$G$98:$G$182=$E49),'Calc|Consolidated Capex'!I$98:I$182)/1000+SUMPRODUCT(--('Input|VBRC Calc'!$F$28:$F$34=$E49),'Input|VBRC Calc'!I$28:I$34)/1000)*HLOOKUP(G$5,Inflation!$L$11:$V$26,16,0)+'Input|Provisions'!I57</f>
        <v>0</v>
      </c>
      <c r="H49" s="44">
        <f>(SUMPRODUCT(--('Calc|Consolidated Capex'!$G$98:$G$182=$E49),'Calc|Consolidated Capex'!J$98:J$182)/1000+SUMPRODUCT(--('Input|VBRC Calc'!$F$28:$F$34=$E49),'Input|VBRC Calc'!J$28:J$34)/1000)*HLOOKUP(H$5,Inflation!$L$11:$V$26,16,0)+'Input|Provisions'!J57</f>
        <v>0</v>
      </c>
      <c r="I49" s="44">
        <f>(SUMPRODUCT(--('Calc|Consolidated Capex'!$G$98:$G$182=$E49),'Calc|Consolidated Capex'!K$98:K$182)/1000+SUMPRODUCT(--('Input|VBRC Calc'!$F$28:$F$34=$E49),'Input|VBRC Calc'!K$28:K$34)/1000)*HLOOKUP(I$5,Inflation!$L$11:$V$26,16,0)+'Input|Provisions'!K57</f>
        <v>0</v>
      </c>
      <c r="J49" s="44">
        <f>(SUMPRODUCT(--('Calc|Consolidated Capex'!$G$98:$G$182=$E49),'Calc|Consolidated Capex'!L$98:L$182)/1000+SUMPRODUCT(--('Input|VBRC Calc'!$F$28:$F$34=$E49),'Input|VBRC Calc'!L$28:L$34)/1000)*HLOOKUP(J$5,Inflation!$L$11:$V$26,16,0)+'Input|Provisions'!L57</f>
        <v>0</v>
      </c>
      <c r="K49" s="44">
        <f>K33*(1+'Calc|Overheads'!M$27)</f>
        <v>0</v>
      </c>
      <c r="L49" s="44">
        <f>L33*(1+'Calc|Overheads'!N$27)</f>
        <v>0</v>
      </c>
      <c r="M49" s="44">
        <f>M33*(1+'Calc|Overheads'!O$27)</f>
        <v>0</v>
      </c>
      <c r="N49" s="44">
        <f>N33*(1+'Calc|Overheads'!P$27)</f>
        <v>0</v>
      </c>
      <c r="O49" s="44">
        <f>O33*(1+'Calc|Overheads'!Q$27)</f>
        <v>0</v>
      </c>
      <c r="P49" s="44">
        <f>P33*(1+'Calc|Overheads'!R$27)</f>
        <v>0</v>
      </c>
      <c r="Q49" s="44">
        <f>Q33*(1+'Calc|Overheads'!S$27)</f>
        <v>0</v>
      </c>
      <c r="R49" s="7"/>
    </row>
    <row r="50" spans="1:18" x14ac:dyDescent="0.2">
      <c r="A50" s="7"/>
      <c r="B50" s="7"/>
      <c r="C50" s="7"/>
      <c r="D50" s="7"/>
      <c r="E50" s="39" t="s">
        <v>2404</v>
      </c>
      <c r="F50" s="7"/>
      <c r="G50" s="44">
        <f>(SUMPRODUCT(--('Calc|Consolidated Capex'!$G$98:$G$182=$E50),'Calc|Consolidated Capex'!I$98:I$182)/1000+SUMPRODUCT(--('Input|VBRC Calc'!$F$28:$F$34=$E50),'Input|VBRC Calc'!I$28:I$34)/1000)*HLOOKUP(G$5,Inflation!$L$11:$V$26,16,0)</f>
        <v>0</v>
      </c>
      <c r="H50" s="44">
        <f>(SUMPRODUCT(--('Calc|Consolidated Capex'!$G$98:$G$182=$E50),'Calc|Consolidated Capex'!J$98:J$182)/1000+SUMPRODUCT(--('Input|VBRC Calc'!$F$28:$F$34=$E50),'Input|VBRC Calc'!J$28:J$34)/1000)*HLOOKUP(H$5,Inflation!$L$11:$V$26,16,0)</f>
        <v>0</v>
      </c>
      <c r="I50" s="44">
        <f>(SUMPRODUCT(--('Calc|Consolidated Capex'!$G$98:$G$182=$E50),'Calc|Consolidated Capex'!K$98:K$182)/1000+SUMPRODUCT(--('Input|VBRC Calc'!$F$28:$F$34=$E50),'Input|VBRC Calc'!K$28:K$34)/1000)*HLOOKUP(I$5,Inflation!$L$11:$V$26,16,0)</f>
        <v>0</v>
      </c>
      <c r="J50" s="44">
        <f>(SUMPRODUCT(--('Calc|Consolidated Capex'!$G$98:$G$182=$E50),'Calc|Consolidated Capex'!L$98:L$182)/1000+SUMPRODUCT(--('Input|VBRC Calc'!$F$28:$F$34=$E50),'Input|VBRC Calc'!L$28:L$34)/1000)*HLOOKUP(J$5,Inflation!$L$11:$V$26,16,0)</f>
        <v>0</v>
      </c>
      <c r="K50" s="44">
        <f>K34*(1+'Calc|Overheads'!M$27)</f>
        <v>0</v>
      </c>
      <c r="L50" s="44">
        <f>L34*(1+'Calc|Overheads'!N$27)</f>
        <v>0</v>
      </c>
      <c r="M50" s="44">
        <f>M34*(1+'Calc|Overheads'!O$27)</f>
        <v>0</v>
      </c>
      <c r="N50" s="44">
        <f>N34*(1+'Calc|Overheads'!P$27)</f>
        <v>0</v>
      </c>
      <c r="O50" s="44">
        <f>O34*(1+'Calc|Overheads'!Q$27)</f>
        <v>0</v>
      </c>
      <c r="P50" s="44">
        <f>P34*(1+'Calc|Overheads'!R$27)</f>
        <v>0</v>
      </c>
      <c r="Q50" s="44">
        <f>Q34*(1+'Calc|Overheads'!S$27)</f>
        <v>0</v>
      </c>
      <c r="R50" s="7"/>
    </row>
    <row r="51" spans="1:18" x14ac:dyDescent="0.2">
      <c r="A51" s="7"/>
      <c r="B51" s="7"/>
      <c r="C51" s="7"/>
      <c r="D51" s="7"/>
      <c r="E51" s="39" t="s">
        <v>2315</v>
      </c>
      <c r="F51" s="7"/>
      <c r="G51" s="44">
        <f>(SUMPRODUCT(--('Calc|Consolidated Capex'!$G$98:$G$182=$E51),'Calc|Consolidated Capex'!I$98:I$182)/1000+SUMPRODUCT(--('Input|VBRC Calc'!$F$28:$F$34=$E51),'Input|VBRC Calc'!I$28:I$34)/1000)*HLOOKUP(G$5,Inflation!$L$11:$V$26,16,0)+'Input|Provisions'!I58</f>
        <v>0</v>
      </c>
      <c r="H51" s="44">
        <f>(SUMPRODUCT(--('Calc|Consolidated Capex'!$G$98:$G$182=$E51),'Calc|Consolidated Capex'!J$98:J$182)/1000+SUMPRODUCT(--('Input|VBRC Calc'!$F$28:$F$34=$E51),'Input|VBRC Calc'!J$28:J$34)/1000)*HLOOKUP(H$5,Inflation!$L$11:$V$26,16,0)+'Input|Provisions'!J58</f>
        <v>27.157275851981669</v>
      </c>
      <c r="I51" s="44">
        <f>(SUMPRODUCT(--('Calc|Consolidated Capex'!$G$98:$G$182=$E51),'Calc|Consolidated Capex'!K$98:K$182)/1000+SUMPRODUCT(--('Input|VBRC Calc'!$F$28:$F$34=$E51),'Input|VBRC Calc'!K$28:K$34)/1000)*HLOOKUP(I$5,Inflation!$L$11:$V$26,16,0)+'Input|Provisions'!K58</f>
        <v>0</v>
      </c>
      <c r="J51" s="44">
        <f>(SUMPRODUCT(--('Calc|Consolidated Capex'!$G$98:$G$182=$E51),'Calc|Consolidated Capex'!L$98:L$182)/1000+SUMPRODUCT(--('Input|VBRC Calc'!$F$28:$F$34=$E51),'Input|VBRC Calc'!L$28:L$34)/1000)*HLOOKUP(J$5,Inflation!$L$11:$V$26,16,0)+'Input|Provisions'!L58</f>
        <v>0</v>
      </c>
      <c r="K51" s="44">
        <f t="shared" ref="K51:Q51" si="5">K35</f>
        <v>0</v>
      </c>
      <c r="L51" s="44">
        <f t="shared" si="5"/>
        <v>0</v>
      </c>
      <c r="M51" s="44">
        <f t="shared" si="5"/>
        <v>0</v>
      </c>
      <c r="N51" s="44">
        <f t="shared" si="5"/>
        <v>0</v>
      </c>
      <c r="O51" s="44">
        <f t="shared" si="5"/>
        <v>0</v>
      </c>
      <c r="P51" s="44">
        <f t="shared" si="5"/>
        <v>0</v>
      </c>
      <c r="Q51" s="44">
        <f t="shared" si="5"/>
        <v>0</v>
      </c>
      <c r="R51" s="7"/>
    </row>
    <row r="52" spans="1:18" x14ac:dyDescent="0.2">
      <c r="A52" s="7"/>
      <c r="B52" s="7"/>
      <c r="C52" s="7"/>
      <c r="D52" s="7"/>
      <c r="E52" s="39"/>
      <c r="F52" s="7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7"/>
    </row>
    <row r="53" spans="1:18" x14ac:dyDescent="0.2">
      <c r="A53" s="7"/>
      <c r="B53" s="7"/>
      <c r="C53" s="7"/>
      <c r="D53" s="7"/>
      <c r="E53" s="39"/>
      <c r="F53" s="7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7"/>
    </row>
    <row r="54" spans="1:18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 x14ac:dyDescent="0.2">
      <c r="A55" s="7"/>
      <c r="B55" s="7"/>
      <c r="C55" s="7"/>
      <c r="D55" s="7"/>
      <c r="E55" s="9" t="s">
        <v>2209</v>
      </c>
      <c r="F55" s="7"/>
      <c r="G55" s="61">
        <f>SUM(G43:G51)</f>
        <v>185.58977039602311</v>
      </c>
      <c r="H55" s="61">
        <f t="shared" ref="H55:J55" si="6">SUM(H43:H51)</f>
        <v>178.85963032718311</v>
      </c>
      <c r="I55" s="61">
        <f t="shared" si="6"/>
        <v>145.96639204509765</v>
      </c>
      <c r="J55" s="61">
        <f t="shared" si="6"/>
        <v>162.69173481069873</v>
      </c>
      <c r="K55" s="61">
        <f t="shared" ref="K55:Q55" si="7">SUM(K43:K51)</f>
        <v>180.64401721592876</v>
      </c>
      <c r="L55" s="61">
        <f t="shared" si="7"/>
        <v>213.32573766150998</v>
      </c>
      <c r="M55" s="61">
        <f t="shared" si="7"/>
        <v>162.08076680452942</v>
      </c>
      <c r="N55" s="61">
        <f t="shared" si="7"/>
        <v>181.44264598553568</v>
      </c>
      <c r="O55" s="61">
        <f t="shared" si="7"/>
        <v>170.55482480659344</v>
      </c>
      <c r="P55" s="61">
        <f t="shared" si="7"/>
        <v>159.57444112828858</v>
      </c>
      <c r="Q55" s="61">
        <f t="shared" si="7"/>
        <v>151.00654146943185</v>
      </c>
      <c r="R55" s="7"/>
    </row>
    <row r="56" spans="1:18" x14ac:dyDescent="0.2">
      <c r="A56" s="7"/>
      <c r="B56" s="7"/>
      <c r="C56" s="7"/>
      <c r="D56" s="7"/>
      <c r="E56" s="7"/>
      <c r="F56" s="7"/>
      <c r="G56" s="65">
        <f>G55-('Calc|Consolidated Capex'!I183/1000*Inflation!L$26)-'Input|Provisions'!I59</f>
        <v>1.1340928196545974E-13</v>
      </c>
      <c r="H56" s="65">
        <f>H55-('Calc|Consolidated Capex'!J183/1000*Inflation!M$26)-'Input|Provisions'!J59</f>
        <v>7.6327832942979512E-15</v>
      </c>
      <c r="I56" s="65">
        <f>I55-('Calc|Consolidated Capex'!K183/1000*Inflation!N$26)-'Input|Provisions'!K59</f>
        <v>4.2632564145606011E-14</v>
      </c>
      <c r="J56" s="65">
        <f>J55-('Calc|Consolidated Capex'!L183/1000*Inflation!O$26)-'Input|Provisions'!L59</f>
        <v>-1.8207657603852567E-14</v>
      </c>
      <c r="K56" s="65">
        <f>K55-'Calc|Consolidated Capex'!M183/1000</f>
        <v>0</v>
      </c>
      <c r="L56" s="65">
        <f>L55-'Calc|Consolidated Capex'!N183/1000</f>
        <v>0</v>
      </c>
      <c r="M56" s="65">
        <f>M55-'Calc|Consolidated Capex'!O183/1000</f>
        <v>0</v>
      </c>
      <c r="N56" s="65">
        <f>N55-'Calc|Consolidated Capex'!P183/1000</f>
        <v>0</v>
      </c>
      <c r="O56" s="65">
        <f>O55-'Calc|Consolidated Capex'!Q183/1000</f>
        <v>0</v>
      </c>
      <c r="P56" s="65">
        <f>P55-'Calc|Consolidated Capex'!R183/1000</f>
        <v>0</v>
      </c>
      <c r="Q56" s="65">
        <f>Q55-'Calc|Consolidated Capex'!S183/1000</f>
        <v>0</v>
      </c>
      <c r="R56" s="7"/>
    </row>
    <row r="57" spans="1:18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x14ac:dyDescent="0.2">
      <c r="A58" s="59" t="s">
        <v>2369</v>
      </c>
      <c r="B58" s="13"/>
      <c r="C58" s="13"/>
      <c r="D58" s="13"/>
      <c r="E58" s="13"/>
      <c r="F58" s="13"/>
      <c r="G58" s="63" t="s">
        <v>2439</v>
      </c>
      <c r="H58" s="63" t="s">
        <v>2439</v>
      </c>
      <c r="I58" s="63" t="s">
        <v>2439</v>
      </c>
      <c r="J58" s="63" t="s">
        <v>2439</v>
      </c>
      <c r="K58" s="63" t="s">
        <v>2439</v>
      </c>
      <c r="L58" s="63" t="s">
        <v>2439</v>
      </c>
      <c r="M58" s="63" t="s">
        <v>2439</v>
      </c>
      <c r="N58" s="63" t="s">
        <v>2439</v>
      </c>
      <c r="O58" s="63" t="s">
        <v>2439</v>
      </c>
      <c r="P58" s="63" t="s">
        <v>2439</v>
      </c>
      <c r="Q58" s="63" t="s">
        <v>2439</v>
      </c>
      <c r="R58" s="13"/>
    </row>
    <row r="59" spans="1:18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 x14ac:dyDescent="0.2">
      <c r="A60" s="7"/>
      <c r="B60" s="7"/>
      <c r="C60" s="7"/>
      <c r="D60" s="7"/>
      <c r="E60" s="39" t="s">
        <v>2333</v>
      </c>
      <c r="F60" s="7"/>
      <c r="G60" s="44">
        <f t="shared" ref="G60:Q60" si="8">G43-G11</f>
        <v>43.756477144563192</v>
      </c>
      <c r="H60" s="44">
        <f t="shared" si="8"/>
        <v>24.566190591331026</v>
      </c>
      <c r="I60" s="44">
        <f t="shared" si="8"/>
        <v>23.014477434478856</v>
      </c>
      <c r="J60" s="44">
        <f t="shared" si="8"/>
        <v>34.195000183166499</v>
      </c>
      <c r="K60" s="44">
        <f t="shared" si="8"/>
        <v>38.694602324688468</v>
      </c>
      <c r="L60" s="44">
        <f t="shared" si="8"/>
        <v>63.703951169120714</v>
      </c>
      <c r="M60" s="44">
        <f>M43-M11</f>
        <v>47.175021590490971</v>
      </c>
      <c r="N60" s="44">
        <f t="shared" si="8"/>
        <v>31.734054637021874</v>
      </c>
      <c r="O60" s="44">
        <f t="shared" si="8"/>
        <v>27.673841610823303</v>
      </c>
      <c r="P60" s="44">
        <f t="shared" si="8"/>
        <v>26.983777699086552</v>
      </c>
      <c r="Q60" s="44">
        <f t="shared" si="8"/>
        <v>19.797861872356016</v>
      </c>
      <c r="R60" s="7"/>
    </row>
    <row r="61" spans="1:18" x14ac:dyDescent="0.2">
      <c r="A61" s="7"/>
      <c r="B61" s="7"/>
      <c r="C61" s="7"/>
      <c r="D61" s="7"/>
      <c r="E61" s="39" t="s">
        <v>2299</v>
      </c>
      <c r="F61" s="7"/>
      <c r="G61" s="44">
        <f>G44-G12</f>
        <v>58.708885512551504</v>
      </c>
      <c r="H61" s="44">
        <f t="shared" ref="H61:Q61" si="9">H44-H12</f>
        <v>38.248224111521537</v>
      </c>
      <c r="I61" s="44">
        <f t="shared" si="9"/>
        <v>35.519139997702709</v>
      </c>
      <c r="J61" s="44">
        <f t="shared" si="9"/>
        <v>39.564207038679022</v>
      </c>
      <c r="K61" s="44">
        <f t="shared" si="9"/>
        <v>42.918642799570279</v>
      </c>
      <c r="L61" s="44">
        <f t="shared" si="9"/>
        <v>37.293320002760154</v>
      </c>
      <c r="M61" s="44">
        <f t="shared" si="9"/>
        <v>23.905781724750511</v>
      </c>
      <c r="N61" s="44">
        <f t="shared" si="9"/>
        <v>36.3244701244274</v>
      </c>
      <c r="O61" s="44">
        <f t="shared" si="9"/>
        <v>37.671044187683677</v>
      </c>
      <c r="P61" s="44">
        <f t="shared" si="9"/>
        <v>36.888727333710889</v>
      </c>
      <c r="Q61" s="44">
        <f t="shared" si="9"/>
        <v>37.764711888968016</v>
      </c>
      <c r="R61" s="7"/>
    </row>
    <row r="62" spans="1:18" x14ac:dyDescent="0.2">
      <c r="A62" s="7"/>
      <c r="B62" s="7"/>
      <c r="C62" s="7"/>
      <c r="D62" s="7"/>
      <c r="E62" s="39" t="s">
        <v>2300</v>
      </c>
      <c r="F62" s="7"/>
      <c r="G62" s="44">
        <f t="shared" ref="G62:Q62" si="10">G45-G13</f>
        <v>30.760622700401381</v>
      </c>
      <c r="H62" s="44">
        <f t="shared" si="10"/>
        <v>22.420418050093822</v>
      </c>
      <c r="I62" s="44">
        <f t="shared" si="10"/>
        <v>25.737530009511957</v>
      </c>
      <c r="J62" s="44">
        <f t="shared" si="10"/>
        <v>23.960861536233999</v>
      </c>
      <c r="K62" s="44">
        <f t="shared" si="10"/>
        <v>25.273187561916973</v>
      </c>
      <c r="L62" s="44">
        <f t="shared" si="10"/>
        <v>30.289022959949488</v>
      </c>
      <c r="M62" s="44">
        <f t="shared" si="10"/>
        <v>25.654877824165833</v>
      </c>
      <c r="N62" s="44">
        <f t="shared" si="10"/>
        <v>30.345875785247866</v>
      </c>
      <c r="O62" s="44">
        <f t="shared" si="10"/>
        <v>28.853603532939299</v>
      </c>
      <c r="P62" s="44">
        <f t="shared" si="10"/>
        <v>27.222268621073258</v>
      </c>
      <c r="Q62" s="44">
        <f t="shared" si="10"/>
        <v>30.709962841859692</v>
      </c>
      <c r="R62" s="7"/>
    </row>
    <row r="63" spans="1:18" x14ac:dyDescent="0.2">
      <c r="A63" s="7"/>
      <c r="B63" s="7"/>
      <c r="C63" s="7"/>
      <c r="D63" s="7"/>
      <c r="E63" s="39" t="s">
        <v>2309</v>
      </c>
      <c r="F63" s="7"/>
      <c r="G63" s="44">
        <f t="shared" ref="G63:Q63" si="11">G46-G14</f>
        <v>0</v>
      </c>
      <c r="H63" s="44">
        <f t="shared" si="11"/>
        <v>0</v>
      </c>
      <c r="I63" s="44">
        <f t="shared" si="11"/>
        <v>0</v>
      </c>
      <c r="J63" s="44">
        <f t="shared" si="11"/>
        <v>0</v>
      </c>
      <c r="K63" s="44">
        <f t="shared" si="11"/>
        <v>0</v>
      </c>
      <c r="L63" s="44">
        <f t="shared" si="11"/>
        <v>0</v>
      </c>
      <c r="M63" s="44">
        <f t="shared" si="11"/>
        <v>0</v>
      </c>
      <c r="N63" s="44">
        <f t="shared" si="11"/>
        <v>0</v>
      </c>
      <c r="O63" s="44">
        <f t="shared" si="11"/>
        <v>0</v>
      </c>
      <c r="P63" s="44">
        <f t="shared" si="11"/>
        <v>0</v>
      </c>
      <c r="Q63" s="44">
        <f t="shared" si="11"/>
        <v>0</v>
      </c>
      <c r="R63" s="7"/>
    </row>
    <row r="64" spans="1:18" x14ac:dyDescent="0.2">
      <c r="A64" s="7"/>
      <c r="B64" s="7"/>
      <c r="C64" s="7"/>
      <c r="D64" s="7"/>
      <c r="E64" s="39" t="s">
        <v>2301</v>
      </c>
      <c r="F64" s="7"/>
      <c r="G64" s="44">
        <f t="shared" ref="G64:Q64" si="12">G47-G15</f>
        <v>23.060038724204549</v>
      </c>
      <c r="H64" s="44">
        <f t="shared" si="12"/>
        <v>14.143579159710111</v>
      </c>
      <c r="I64" s="44">
        <f t="shared" si="12"/>
        <v>9.3489835376569559</v>
      </c>
      <c r="J64" s="44">
        <f t="shared" si="12"/>
        <v>8.6076247735821383</v>
      </c>
      <c r="K64" s="44">
        <f t="shared" si="12"/>
        <v>13.597156943539447</v>
      </c>
      <c r="L64" s="44">
        <f t="shared" si="12"/>
        <v>15.082025062420344</v>
      </c>
      <c r="M64" s="44">
        <f t="shared" si="12"/>
        <v>21.087511715403558</v>
      </c>
      <c r="N64" s="44">
        <f t="shared" si="12"/>
        <v>16.640889079535775</v>
      </c>
      <c r="O64" s="44">
        <f t="shared" si="12"/>
        <v>19.171293675292496</v>
      </c>
      <c r="P64" s="44">
        <f t="shared" si="12"/>
        <v>14.004789147707607</v>
      </c>
      <c r="Q64" s="44">
        <f t="shared" si="12"/>
        <v>7.9051542768717571</v>
      </c>
      <c r="R64" s="7"/>
    </row>
    <row r="65" spans="1:18" x14ac:dyDescent="0.2">
      <c r="A65" s="7"/>
      <c r="B65" s="7"/>
      <c r="C65" s="7"/>
      <c r="D65" s="7"/>
      <c r="E65" s="39" t="s">
        <v>2302</v>
      </c>
      <c r="F65" s="7"/>
      <c r="G65" s="44">
        <f t="shared" ref="G65:Q65" si="13">G48-G16</f>
        <v>0.54308084663139111</v>
      </c>
      <c r="H65" s="44">
        <f t="shared" si="13"/>
        <v>3.5145906886700473</v>
      </c>
      <c r="I65" s="44">
        <f t="shared" si="13"/>
        <v>2.5362336069472793</v>
      </c>
      <c r="J65" s="44">
        <f t="shared" si="13"/>
        <v>1.6010184294528393</v>
      </c>
      <c r="K65" s="44">
        <f t="shared" si="13"/>
        <v>6.1841923490436335</v>
      </c>
      <c r="L65" s="44">
        <f t="shared" si="13"/>
        <v>6.4782805761464415</v>
      </c>
      <c r="M65" s="44">
        <f t="shared" si="13"/>
        <v>6.2267450076630748</v>
      </c>
      <c r="N65" s="44">
        <f t="shared" si="13"/>
        <v>5.3530343585435709</v>
      </c>
      <c r="O65" s="44">
        <f t="shared" si="13"/>
        <v>3.8818328407681597</v>
      </c>
      <c r="P65" s="44">
        <f t="shared" si="13"/>
        <v>2.6012591009824577</v>
      </c>
      <c r="Q65" s="44">
        <f t="shared" si="13"/>
        <v>2.6012591009824577</v>
      </c>
      <c r="R65" s="7"/>
    </row>
    <row r="66" spans="1:18" x14ac:dyDescent="0.2">
      <c r="A66" s="7"/>
      <c r="B66" s="7"/>
      <c r="C66" s="7"/>
      <c r="D66" s="7"/>
      <c r="E66" s="39" t="s">
        <v>39</v>
      </c>
      <c r="F66" s="7"/>
      <c r="G66" s="44">
        <f t="shared" ref="G66:Q66" si="14">G49-G17</f>
        <v>0</v>
      </c>
      <c r="H66" s="44">
        <f t="shared" si="14"/>
        <v>0</v>
      </c>
      <c r="I66" s="44">
        <f t="shared" si="14"/>
        <v>0</v>
      </c>
      <c r="J66" s="44">
        <f t="shared" si="14"/>
        <v>0</v>
      </c>
      <c r="K66" s="44">
        <f t="shared" si="14"/>
        <v>0</v>
      </c>
      <c r="L66" s="44">
        <f t="shared" si="14"/>
        <v>0</v>
      </c>
      <c r="M66" s="44">
        <f t="shared" si="14"/>
        <v>0</v>
      </c>
      <c r="N66" s="44">
        <f t="shared" si="14"/>
        <v>0</v>
      </c>
      <c r="O66" s="44">
        <f t="shared" si="14"/>
        <v>0</v>
      </c>
      <c r="P66" s="44">
        <f t="shared" si="14"/>
        <v>0</v>
      </c>
      <c r="Q66" s="44">
        <f t="shared" si="14"/>
        <v>0</v>
      </c>
      <c r="R66" s="7"/>
    </row>
    <row r="67" spans="1:18" x14ac:dyDescent="0.2">
      <c r="A67" s="7"/>
      <c r="B67" s="7"/>
      <c r="C67" s="7"/>
      <c r="D67" s="7"/>
      <c r="E67" s="39" t="s">
        <v>2404</v>
      </c>
      <c r="F67" s="7"/>
      <c r="G67" s="44">
        <f t="shared" ref="G67:Q67" si="15">G50-G18</f>
        <v>0</v>
      </c>
      <c r="H67" s="44">
        <f t="shared" si="15"/>
        <v>0</v>
      </c>
      <c r="I67" s="44">
        <f t="shared" si="15"/>
        <v>0</v>
      </c>
      <c r="J67" s="44">
        <f t="shared" si="15"/>
        <v>0</v>
      </c>
      <c r="K67" s="44">
        <f t="shared" si="15"/>
        <v>0</v>
      </c>
      <c r="L67" s="44">
        <f t="shared" si="15"/>
        <v>0</v>
      </c>
      <c r="M67" s="44">
        <f t="shared" si="15"/>
        <v>0</v>
      </c>
      <c r="N67" s="44">
        <f t="shared" si="15"/>
        <v>0</v>
      </c>
      <c r="O67" s="44">
        <f t="shared" si="15"/>
        <v>0</v>
      </c>
      <c r="P67" s="44">
        <f t="shared" si="15"/>
        <v>0</v>
      </c>
      <c r="Q67" s="44">
        <f t="shared" si="15"/>
        <v>0</v>
      </c>
      <c r="R67" s="7"/>
    </row>
    <row r="68" spans="1:18" x14ac:dyDescent="0.2">
      <c r="A68" s="7"/>
      <c r="B68" s="7"/>
      <c r="C68" s="7"/>
      <c r="D68" s="7"/>
      <c r="E68" s="39" t="s">
        <v>2315</v>
      </c>
      <c r="F68" s="7"/>
      <c r="G68" s="44">
        <f t="shared" ref="G68:Q68" si="16">G51-G19</f>
        <v>0</v>
      </c>
      <c r="H68" s="44">
        <f t="shared" si="16"/>
        <v>27.157275851981669</v>
      </c>
      <c r="I68" s="44">
        <f t="shared" si="16"/>
        <v>0</v>
      </c>
      <c r="J68" s="44">
        <f t="shared" si="16"/>
        <v>0</v>
      </c>
      <c r="K68" s="44">
        <f t="shared" si="16"/>
        <v>0</v>
      </c>
      <c r="L68" s="44">
        <f t="shared" si="16"/>
        <v>0</v>
      </c>
      <c r="M68" s="44">
        <f t="shared" si="16"/>
        <v>0</v>
      </c>
      <c r="N68" s="44">
        <f t="shared" si="16"/>
        <v>0</v>
      </c>
      <c r="O68" s="44">
        <f t="shared" si="16"/>
        <v>0</v>
      </c>
      <c r="P68" s="44">
        <f t="shared" si="16"/>
        <v>0</v>
      </c>
      <c r="Q68" s="44">
        <f t="shared" si="16"/>
        <v>0</v>
      </c>
      <c r="R68" s="7"/>
    </row>
    <row r="69" spans="1:18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1:18" x14ac:dyDescent="0.2">
      <c r="A70" s="7"/>
      <c r="B70" s="7"/>
      <c r="C70" s="7"/>
      <c r="D70" s="7"/>
      <c r="E70" s="9" t="s">
        <v>2209</v>
      </c>
      <c r="F70" s="7"/>
      <c r="G70" s="61">
        <f>SUM(G60:G68)</f>
        <v>156.82910492835202</v>
      </c>
      <c r="H70" s="61">
        <f>SUM(H60:H68)</f>
        <v>130.05027845330821</v>
      </c>
      <c r="I70" s="61">
        <f t="shared" ref="I70:Q70" si="17">SUM(I60:I68)</f>
        <v>96.156364586297755</v>
      </c>
      <c r="J70" s="61">
        <f t="shared" si="17"/>
        <v>107.92871196111449</v>
      </c>
      <c r="K70" s="61">
        <f t="shared" si="17"/>
        <v>126.6677819787588</v>
      </c>
      <c r="L70" s="61">
        <f t="shared" si="17"/>
        <v>152.84659977039712</v>
      </c>
      <c r="M70" s="61">
        <f t="shared" si="17"/>
        <v>124.04993786247395</v>
      </c>
      <c r="N70" s="61">
        <f t="shared" si="17"/>
        <v>120.39832398477648</v>
      </c>
      <c r="O70" s="61">
        <f t="shared" si="17"/>
        <v>117.25161584750693</v>
      </c>
      <c r="P70" s="61">
        <f t="shared" si="17"/>
        <v>107.70082190256078</v>
      </c>
      <c r="Q70" s="61">
        <f t="shared" si="17"/>
        <v>98.77894998103794</v>
      </c>
      <c r="R70" s="7"/>
    </row>
    <row r="71" spans="1:18" s="7" customFormat="1" x14ac:dyDescent="0.2">
      <c r="G71" s="65">
        <f>G55-G22-G70</f>
        <v>0</v>
      </c>
      <c r="H71" s="65">
        <f t="shared" ref="H71:Q71" si="18">H55-H22-H70</f>
        <v>0</v>
      </c>
      <c r="I71" s="65">
        <f t="shared" si="18"/>
        <v>0</v>
      </c>
      <c r="J71" s="65">
        <f t="shared" si="18"/>
        <v>0</v>
      </c>
      <c r="K71" s="65">
        <f t="shared" si="18"/>
        <v>0</v>
      </c>
      <c r="L71" s="65">
        <f t="shared" si="18"/>
        <v>0</v>
      </c>
      <c r="M71" s="65">
        <f t="shared" si="18"/>
        <v>0</v>
      </c>
      <c r="N71" s="65">
        <f t="shared" si="18"/>
        <v>0</v>
      </c>
      <c r="O71" s="65">
        <f t="shared" si="18"/>
        <v>0</v>
      </c>
      <c r="P71" s="65">
        <f t="shared" si="18"/>
        <v>0</v>
      </c>
      <c r="Q71" s="65">
        <f t="shared" si="18"/>
        <v>0</v>
      </c>
    </row>
    <row r="72" spans="1:18" s="7" customFormat="1" x14ac:dyDescent="0.2"/>
    <row r="73" spans="1:18" x14ac:dyDescent="0.2">
      <c r="A73" s="22" t="s">
        <v>2380</v>
      </c>
      <c r="B73" s="22"/>
      <c r="C73" s="15"/>
      <c r="D73" s="24"/>
      <c r="E73" s="25"/>
      <c r="F73" s="2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25"/>
    </row>
    <row r="74" spans="1:18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1:18" x14ac:dyDescent="0.2">
      <c r="A75" s="59" t="s">
        <v>2332</v>
      </c>
      <c r="B75" s="13"/>
      <c r="C75" s="13"/>
      <c r="D75" s="13"/>
      <c r="E75" s="13"/>
      <c r="F75" s="13"/>
      <c r="G75" s="63" t="s">
        <v>2439</v>
      </c>
      <c r="H75" s="63" t="s">
        <v>2439</v>
      </c>
      <c r="I75" s="63" t="s">
        <v>2439</v>
      </c>
      <c r="J75" s="63" t="s">
        <v>2439</v>
      </c>
      <c r="K75" s="63" t="s">
        <v>2439</v>
      </c>
      <c r="L75" s="63" t="s">
        <v>2439</v>
      </c>
      <c r="M75" s="63" t="s">
        <v>2439</v>
      </c>
      <c r="N75" s="63" t="s">
        <v>2439</v>
      </c>
      <c r="O75" s="63" t="s">
        <v>2439</v>
      </c>
      <c r="P75" s="63" t="s">
        <v>2439</v>
      </c>
      <c r="Q75" s="63" t="s">
        <v>2439</v>
      </c>
      <c r="R75" s="13"/>
    </row>
    <row r="76" spans="1:18" x14ac:dyDescent="0.2">
      <c r="A76" s="7"/>
      <c r="B76" s="7"/>
      <c r="C76" s="7"/>
      <c r="D76" s="7"/>
      <c r="E76" s="7"/>
      <c r="F76" s="7"/>
      <c r="G76" s="7" t="s">
        <v>2321</v>
      </c>
      <c r="H76" s="7" t="s">
        <v>2321</v>
      </c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1:18" x14ac:dyDescent="0.2">
      <c r="A77" s="7"/>
      <c r="B77" s="7"/>
      <c r="C77" s="7"/>
      <c r="D77" s="7"/>
      <c r="E77" s="39" t="s">
        <v>2333</v>
      </c>
      <c r="F77" s="7"/>
      <c r="G77" s="44">
        <f>G11</f>
        <v>0</v>
      </c>
      <c r="H77" s="44">
        <f t="shared" ref="H77:I77" si="19">H11</f>
        <v>0</v>
      </c>
      <c r="I77" s="44">
        <f t="shared" si="19"/>
        <v>0</v>
      </c>
      <c r="J77" s="44">
        <f t="shared" ref="J77" si="20">J11</f>
        <v>0</v>
      </c>
      <c r="K77" s="44">
        <f>K11*(1+Inflation!P85)</f>
        <v>0</v>
      </c>
      <c r="L77" s="44">
        <f>L11*(1+Inflation!Q85)</f>
        <v>0</v>
      </c>
      <c r="M77" s="44">
        <f>M11*(1+Inflation!R85)</f>
        <v>0</v>
      </c>
      <c r="N77" s="44">
        <f>N11*(1+Inflation!S85)</f>
        <v>0</v>
      </c>
      <c r="O77" s="44">
        <f>O11*(1+Inflation!T85)</f>
        <v>0</v>
      </c>
      <c r="P77" s="44">
        <f>P11*(1+Inflation!U85)</f>
        <v>0</v>
      </c>
      <c r="Q77" s="44">
        <f>Q11*(1+Inflation!V85)</f>
        <v>0</v>
      </c>
      <c r="R77" s="7"/>
    </row>
    <row r="78" spans="1:18" x14ac:dyDescent="0.2">
      <c r="A78" s="7"/>
      <c r="B78" s="7"/>
      <c r="C78" s="7"/>
      <c r="D78" s="7"/>
      <c r="E78" s="39" t="s">
        <v>2299</v>
      </c>
      <c r="F78" s="7"/>
      <c r="G78" s="44">
        <f t="shared" ref="G78:I78" si="21">G12</f>
        <v>28.760665467671078</v>
      </c>
      <c r="H78" s="44">
        <f t="shared" si="21"/>
        <v>48.809351873874917</v>
      </c>
      <c r="I78" s="44">
        <f t="shared" si="21"/>
        <v>49.810027458799908</v>
      </c>
      <c r="J78" s="44">
        <f t="shared" ref="J78" si="22">J12</f>
        <v>54.763022849584225</v>
      </c>
      <c r="K78" s="44">
        <f>K12*(1+Inflation!P86)</f>
        <v>53.976235237169945</v>
      </c>
      <c r="L78" s="44">
        <f>L12*(1+Inflation!Q86)</f>
        <v>60.479137891112856</v>
      </c>
      <c r="M78" s="44">
        <f>M12*(1+Inflation!R86)</f>
        <v>38.054173712491952</v>
      </c>
      <c r="N78" s="44">
        <f>N12*(1+Inflation!S86)</f>
        <v>61.042486376086565</v>
      </c>
      <c r="O78" s="44">
        <f>O12*(1+Inflation!T86)</f>
        <v>53.291650574973609</v>
      </c>
      <c r="P78" s="44">
        <f>P12*(1+Inflation!U86)</f>
        <v>51.911327696717024</v>
      </c>
      <c r="Q78" s="44">
        <f>Q12*(1+Inflation!V86)</f>
        <v>52.3997985148266</v>
      </c>
      <c r="R78" s="7"/>
    </row>
    <row r="79" spans="1:18" x14ac:dyDescent="0.2">
      <c r="A79" s="7"/>
      <c r="B79" s="7"/>
      <c r="C79" s="7"/>
      <c r="D79" s="7"/>
      <c r="E79" s="39" t="s">
        <v>2300</v>
      </c>
      <c r="F79" s="7"/>
      <c r="G79" s="44">
        <f t="shared" ref="G79:I79" si="23">G13</f>
        <v>0</v>
      </c>
      <c r="H79" s="44">
        <f t="shared" si="23"/>
        <v>0</v>
      </c>
      <c r="I79" s="44">
        <f t="shared" si="23"/>
        <v>0</v>
      </c>
      <c r="J79" s="44">
        <f t="shared" ref="J79" si="24">J13</f>
        <v>0</v>
      </c>
      <c r="K79" s="44">
        <f>K13*(1+Inflation!P87)</f>
        <v>0</v>
      </c>
      <c r="L79" s="44">
        <f>L13*(1+Inflation!Q87)</f>
        <v>0</v>
      </c>
      <c r="M79" s="44">
        <f>M13*(1+Inflation!R87)</f>
        <v>0</v>
      </c>
      <c r="N79" s="44">
        <f>N13*(1+Inflation!S87)</f>
        <v>0</v>
      </c>
      <c r="O79" s="44">
        <f>O13*(1+Inflation!T87)</f>
        <v>0</v>
      </c>
      <c r="P79" s="44">
        <f>P13*(1+Inflation!U87)</f>
        <v>0</v>
      </c>
      <c r="Q79" s="44">
        <f>Q13*(1+Inflation!V87)</f>
        <v>0</v>
      </c>
      <c r="R79" s="7"/>
    </row>
    <row r="80" spans="1:18" x14ac:dyDescent="0.2">
      <c r="A80" s="7"/>
      <c r="B80" s="7"/>
      <c r="C80" s="7"/>
      <c r="D80" s="7"/>
      <c r="E80" s="39" t="s">
        <v>2309</v>
      </c>
      <c r="F80" s="7"/>
      <c r="G80" s="44">
        <f t="shared" ref="G80:I80" si="25">G14</f>
        <v>0</v>
      </c>
      <c r="H80" s="44">
        <f t="shared" si="25"/>
        <v>0</v>
      </c>
      <c r="I80" s="44">
        <f t="shared" si="25"/>
        <v>0</v>
      </c>
      <c r="J80" s="44">
        <f t="shared" ref="J80" si="26">J14</f>
        <v>0</v>
      </c>
      <c r="K80" s="44">
        <f>K14*(1+Inflation!P88)</f>
        <v>0</v>
      </c>
      <c r="L80" s="44">
        <f>L14*(1+Inflation!Q88)</f>
        <v>0</v>
      </c>
      <c r="M80" s="44">
        <f>M14*(1+Inflation!R88)</f>
        <v>0</v>
      </c>
      <c r="N80" s="44">
        <f>N14*(1+Inflation!S88)</f>
        <v>0</v>
      </c>
      <c r="O80" s="44">
        <f>O14*(1+Inflation!T88)</f>
        <v>0</v>
      </c>
      <c r="P80" s="44">
        <f>P14*(1+Inflation!U88)</f>
        <v>0</v>
      </c>
      <c r="Q80" s="44">
        <f>Q14*(1+Inflation!V88)</f>
        <v>0</v>
      </c>
      <c r="R80" s="7"/>
    </row>
    <row r="81" spans="1:18" x14ac:dyDescent="0.2">
      <c r="A81" s="7"/>
      <c r="B81" s="7"/>
      <c r="C81" s="7"/>
      <c r="D81" s="7"/>
      <c r="E81" s="39" t="s">
        <v>2301</v>
      </c>
      <c r="F81" s="7"/>
      <c r="G81" s="44">
        <f t="shared" ref="G81:I81" si="27">G15</f>
        <v>0</v>
      </c>
      <c r="H81" s="44">
        <f t="shared" si="27"/>
        <v>0</v>
      </c>
      <c r="I81" s="44">
        <f t="shared" si="27"/>
        <v>0</v>
      </c>
      <c r="J81" s="44">
        <f t="shared" ref="J81" si="28">J15</f>
        <v>0</v>
      </c>
      <c r="K81" s="44">
        <f>K15*(1+Inflation!P89)</f>
        <v>0</v>
      </c>
      <c r="L81" s="44">
        <f>L15*(1+Inflation!Q89)</f>
        <v>0</v>
      </c>
      <c r="M81" s="44">
        <f>M15*(1+Inflation!R89)</f>
        <v>0</v>
      </c>
      <c r="N81" s="44">
        <f>N15*(1+Inflation!S89)</f>
        <v>0</v>
      </c>
      <c r="O81" s="44">
        <f>O15*(1+Inflation!T89)</f>
        <v>0</v>
      </c>
      <c r="P81" s="44">
        <f>P15*(1+Inflation!U89)</f>
        <v>0</v>
      </c>
      <c r="Q81" s="44">
        <f>Q15*(1+Inflation!V89)</f>
        <v>0</v>
      </c>
      <c r="R81" s="7"/>
    </row>
    <row r="82" spans="1:18" x14ac:dyDescent="0.2">
      <c r="A82" s="7"/>
      <c r="B82" s="7"/>
      <c r="C82" s="7"/>
      <c r="D82" s="7"/>
      <c r="E82" s="39" t="s">
        <v>2302</v>
      </c>
      <c r="F82" s="7"/>
      <c r="G82" s="44">
        <f t="shared" ref="G82:I82" si="29">G16</f>
        <v>0</v>
      </c>
      <c r="H82" s="44">
        <f t="shared" si="29"/>
        <v>0</v>
      </c>
      <c r="I82" s="44">
        <f t="shared" si="29"/>
        <v>0</v>
      </c>
      <c r="J82" s="44">
        <f t="shared" ref="J82" si="30">J16</f>
        <v>0</v>
      </c>
      <c r="K82" s="44">
        <f>K16*(1+Inflation!P90)</f>
        <v>0</v>
      </c>
      <c r="L82" s="44">
        <f>L16*(1+Inflation!Q90)</f>
        <v>0</v>
      </c>
      <c r="M82" s="44">
        <f>M16*(1+Inflation!R90)</f>
        <v>0</v>
      </c>
      <c r="N82" s="44">
        <f>N16*(1+Inflation!S90)</f>
        <v>0</v>
      </c>
      <c r="O82" s="44">
        <f>O16*(1+Inflation!T90)</f>
        <v>0</v>
      </c>
      <c r="P82" s="44">
        <f>P16*(1+Inflation!U90)</f>
        <v>0</v>
      </c>
      <c r="Q82" s="44">
        <f>Q16*(1+Inflation!V90)</f>
        <v>0</v>
      </c>
      <c r="R82" s="7"/>
    </row>
    <row r="83" spans="1:18" x14ac:dyDescent="0.2">
      <c r="A83" s="7"/>
      <c r="B83" s="7"/>
      <c r="C83" s="7"/>
      <c r="D83" s="7"/>
      <c r="E83" s="39" t="s">
        <v>39</v>
      </c>
      <c r="F83" s="7"/>
      <c r="G83" s="44">
        <f t="shared" ref="G83:I84" si="31">G17</f>
        <v>0</v>
      </c>
      <c r="H83" s="44">
        <f t="shared" si="31"/>
        <v>0</v>
      </c>
      <c r="I83" s="44">
        <f t="shared" si="31"/>
        <v>0</v>
      </c>
      <c r="J83" s="44">
        <f t="shared" ref="J83" si="32">J17</f>
        <v>0</v>
      </c>
      <c r="K83" s="44">
        <f>K17*(1+Inflation!P91)</f>
        <v>0</v>
      </c>
      <c r="L83" s="44">
        <f>L17*(1+Inflation!Q91)</f>
        <v>0</v>
      </c>
      <c r="M83" s="44">
        <f>M17*(1+Inflation!R91)</f>
        <v>0</v>
      </c>
      <c r="N83" s="44">
        <f>N17*(1+Inflation!S91)</f>
        <v>0</v>
      </c>
      <c r="O83" s="44">
        <f>O17*(1+Inflation!T91)</f>
        <v>0</v>
      </c>
      <c r="P83" s="44">
        <f>P17*(1+Inflation!U91)</f>
        <v>0</v>
      </c>
      <c r="Q83" s="44">
        <f>Q17*(1+Inflation!V91)</f>
        <v>0</v>
      </c>
      <c r="R83" s="7"/>
    </row>
    <row r="84" spans="1:18" x14ac:dyDescent="0.2">
      <c r="A84" s="7"/>
      <c r="B84" s="7"/>
      <c r="C84" s="7"/>
      <c r="D84" s="7"/>
      <c r="E84" s="39" t="s">
        <v>2404</v>
      </c>
      <c r="F84" s="7"/>
      <c r="G84" s="44">
        <f t="shared" si="31"/>
        <v>0</v>
      </c>
      <c r="H84" s="44">
        <f t="shared" si="31"/>
        <v>0</v>
      </c>
      <c r="I84" s="44">
        <f t="shared" si="31"/>
        <v>0</v>
      </c>
      <c r="J84" s="44">
        <f t="shared" ref="J84" si="33">J18</f>
        <v>0</v>
      </c>
      <c r="K84" s="44">
        <f>K18*(1+Inflation!P91)</f>
        <v>0</v>
      </c>
      <c r="L84" s="44">
        <f>L18*(1+Inflation!Q91)</f>
        <v>0</v>
      </c>
      <c r="M84" s="44">
        <f>M18*(1+Inflation!R91)</f>
        <v>0</v>
      </c>
      <c r="N84" s="44">
        <f>N18*(1+Inflation!S91)</f>
        <v>0</v>
      </c>
      <c r="O84" s="44">
        <f>O18*(1+Inflation!T91)</f>
        <v>0</v>
      </c>
      <c r="P84" s="44">
        <f>P18*(1+Inflation!U91)</f>
        <v>0</v>
      </c>
      <c r="Q84" s="44">
        <f>Q18*(1+Inflation!V91)</f>
        <v>0</v>
      </c>
      <c r="R84" s="7"/>
    </row>
    <row r="85" spans="1:18" x14ac:dyDescent="0.2">
      <c r="A85" s="7"/>
      <c r="B85" s="7"/>
      <c r="C85" s="7"/>
      <c r="D85" s="7"/>
      <c r="E85" s="39" t="s">
        <v>2315</v>
      </c>
      <c r="F85" s="7"/>
      <c r="G85" s="44">
        <f t="shared" ref="G85:I85" si="34">G19</f>
        <v>0</v>
      </c>
      <c r="H85" s="44">
        <f t="shared" si="34"/>
        <v>0</v>
      </c>
      <c r="I85" s="44">
        <f t="shared" si="34"/>
        <v>0</v>
      </c>
      <c r="J85" s="44">
        <f t="shared" ref="J85" si="35">J19</f>
        <v>0</v>
      </c>
      <c r="K85" s="44">
        <f>K19*(1+Inflation!P92)</f>
        <v>0</v>
      </c>
      <c r="L85" s="44">
        <f>L19*(1+Inflation!Q92)</f>
        <v>0</v>
      </c>
      <c r="M85" s="44">
        <f>M19*(1+Inflation!R92)</f>
        <v>0</v>
      </c>
      <c r="N85" s="44">
        <f>N19*(1+Inflation!S92)</f>
        <v>0</v>
      </c>
      <c r="O85" s="44">
        <f>O19*(1+Inflation!T92)</f>
        <v>0</v>
      </c>
      <c r="P85" s="44">
        <f>P19*(1+Inflation!U92)</f>
        <v>0</v>
      </c>
      <c r="Q85" s="44">
        <f>Q19*(1+Inflation!V92)</f>
        <v>0</v>
      </c>
      <c r="R85" s="7"/>
    </row>
    <row r="86" spans="1:18" x14ac:dyDescent="0.2">
      <c r="A86" s="7"/>
      <c r="B86" s="7"/>
      <c r="C86" s="7"/>
      <c r="D86" s="7"/>
      <c r="E86" s="39"/>
      <c r="F86" s="7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7"/>
    </row>
    <row r="87" spans="1:18" x14ac:dyDescent="0.2">
      <c r="A87" s="7"/>
      <c r="B87" s="7"/>
      <c r="C87" s="7"/>
      <c r="D87" s="7"/>
      <c r="E87" s="7"/>
      <c r="F87" s="7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7"/>
    </row>
    <row r="88" spans="1:18" x14ac:dyDescent="0.2">
      <c r="A88" s="7"/>
      <c r="B88" s="7"/>
      <c r="C88" s="7"/>
      <c r="D88" s="7"/>
      <c r="E88" s="9" t="s">
        <v>2209</v>
      </c>
      <c r="F88" s="7"/>
      <c r="G88" s="61">
        <f t="shared" ref="G88:Q88" si="36">SUM(G77:G85)</f>
        <v>28.760665467671078</v>
      </c>
      <c r="H88" s="61">
        <f t="shared" si="36"/>
        <v>48.809351873874917</v>
      </c>
      <c r="I88" s="61">
        <f t="shared" si="36"/>
        <v>49.810027458799908</v>
      </c>
      <c r="J88" s="61">
        <f t="shared" ref="J88" si="37">SUM(J77:J85)</f>
        <v>54.763022849584225</v>
      </c>
      <c r="K88" s="61">
        <f t="shared" si="36"/>
        <v>53.976235237169945</v>
      </c>
      <c r="L88" s="61">
        <f t="shared" si="36"/>
        <v>60.479137891112856</v>
      </c>
      <c r="M88" s="61">
        <f t="shared" si="36"/>
        <v>38.054173712491952</v>
      </c>
      <c r="N88" s="61">
        <f t="shared" si="36"/>
        <v>61.042486376086565</v>
      </c>
      <c r="O88" s="61">
        <f t="shared" si="36"/>
        <v>53.291650574973609</v>
      </c>
      <c r="P88" s="61">
        <f t="shared" si="36"/>
        <v>51.911327696717024</v>
      </c>
      <c r="Q88" s="61">
        <f t="shared" si="36"/>
        <v>52.3997985148266</v>
      </c>
      <c r="R88" s="7"/>
    </row>
    <row r="89" spans="1:18" x14ac:dyDescent="0.2">
      <c r="A89" s="7"/>
      <c r="B89" s="7"/>
      <c r="C89" s="7"/>
      <c r="D89" s="7"/>
      <c r="E89" s="7"/>
      <c r="F89" s="7"/>
      <c r="G89" s="65">
        <f>G88-G22</f>
        <v>0</v>
      </c>
      <c r="H89" s="65">
        <f t="shared" ref="H89:I89" si="38">H88-H22</f>
        <v>0</v>
      </c>
      <c r="I89" s="65">
        <f t="shared" si="38"/>
        <v>0</v>
      </c>
      <c r="J89" s="65">
        <f t="shared" ref="J89" si="39">J88-J22</f>
        <v>0</v>
      </c>
      <c r="K89" s="65">
        <f>K88-K22*(1+Inflation!P86)</f>
        <v>0</v>
      </c>
      <c r="L89" s="65">
        <f>L88-L22*(1+Inflation!Q86)</f>
        <v>0</v>
      </c>
      <c r="M89" s="65">
        <f>M88-M22*(1+Inflation!R86)</f>
        <v>0</v>
      </c>
      <c r="N89" s="65">
        <f>N88-N22*(1+Inflation!S86)</f>
        <v>0</v>
      </c>
      <c r="O89" s="65">
        <f>O88-O22*(1+Inflation!T86)</f>
        <v>0</v>
      </c>
      <c r="P89" s="65">
        <f>P88-P22*(1+Inflation!U86)</f>
        <v>0</v>
      </c>
      <c r="Q89" s="65">
        <f>Q88-Q22*(1+Inflation!V86)</f>
        <v>0</v>
      </c>
      <c r="R89" s="7"/>
    </row>
    <row r="90" spans="1:18" s="7" customFormat="1" x14ac:dyDescent="0.2"/>
    <row r="91" spans="1:18" s="7" customFormat="1" x14ac:dyDescent="0.2">
      <c r="A91" s="59" t="s">
        <v>2325</v>
      </c>
      <c r="B91" s="13"/>
      <c r="C91" s="13"/>
      <c r="D91" s="13"/>
      <c r="E91" s="13"/>
      <c r="F91" s="13"/>
      <c r="G91" s="63" t="s">
        <v>2439</v>
      </c>
      <c r="H91" s="63" t="s">
        <v>2439</v>
      </c>
      <c r="I91" s="63" t="s">
        <v>2439</v>
      </c>
      <c r="J91" s="63" t="s">
        <v>2439</v>
      </c>
      <c r="K91" s="63" t="s">
        <v>2439</v>
      </c>
      <c r="L91" s="63" t="s">
        <v>2439</v>
      </c>
      <c r="M91" s="63" t="s">
        <v>2439</v>
      </c>
      <c r="N91" s="63" t="s">
        <v>2439</v>
      </c>
      <c r="O91" s="63" t="s">
        <v>2439</v>
      </c>
      <c r="P91" s="63" t="s">
        <v>2439</v>
      </c>
      <c r="Q91" s="63" t="s">
        <v>2439</v>
      </c>
      <c r="R91" s="13"/>
    </row>
    <row r="92" spans="1:18" s="7" customFormat="1" x14ac:dyDescent="0.2"/>
    <row r="93" spans="1:18" s="7" customFormat="1" x14ac:dyDescent="0.2">
      <c r="E93" s="39" t="s">
        <v>2333</v>
      </c>
      <c r="G93" s="44">
        <f>G27</f>
        <v>35.241557331105881</v>
      </c>
      <c r="H93" s="44">
        <f t="shared" ref="H93:I93" si="40">H27</f>
        <v>21.066720257554572</v>
      </c>
      <c r="I93" s="44">
        <f t="shared" si="40"/>
        <v>20.278463964669687</v>
      </c>
      <c r="J93" s="44">
        <f t="shared" ref="J93" si="41">J27</f>
        <v>29.923145589104887</v>
      </c>
      <c r="K93" s="44">
        <f>K27*(1+Inflation!P85)</f>
        <v>34.0776589731082</v>
      </c>
      <c r="L93" s="44">
        <f>L27*(1+Inflation!Q85)</f>
        <v>57.32784599512739</v>
      </c>
      <c r="M93" s="156">
        <f>(M27-('Calc|Consolidated Capex'!O62+'Calc|Consolidated Capex'!O72)/10^3)*(1+Inflation!R85)+('Calc|Consolidated Capex'!O62+'Calc|Consolidated Capex'!O72)/10^3*(1+Inflation!R88)</f>
        <v>41.16239371404513</v>
      </c>
      <c r="N93" s="156">
        <f>(N27-('Calc|Consolidated Capex'!P62+'Calc|Consolidated Capex'!P72)/10^3)*(1+Inflation!S85)+('Calc|Consolidated Capex'!P62+'Calc|Consolidated Capex'!P72)/10^3*(1+Inflation!S88)</f>
        <v>28.112717380678241</v>
      </c>
      <c r="O93" s="156">
        <f>(O27-('Calc|Consolidated Capex'!Q62+'Calc|Consolidated Capex'!Q72)/10^3)*(1+Inflation!T85)+('Calc|Consolidated Capex'!Q62+'Calc|Consolidated Capex'!Q72)/10^3*(1+Inflation!T88)</f>
        <v>24.314708562669114</v>
      </c>
      <c r="P93" s="156">
        <f>(P27-('Calc|Consolidated Capex'!R62+'Calc|Consolidated Capex'!R72)/10^3)*(1+Inflation!U85)+('Calc|Consolidated Capex'!R62+'Calc|Consolidated Capex'!R72)/10^3*(1+Inflation!U88)</f>
        <v>23.654101759978154</v>
      </c>
      <c r="Q93" s="156">
        <f>(Q27-('Calc|Consolidated Capex'!S62+'Calc|Consolidated Capex'!S72)/10^3)*(1+Inflation!V85)+('Calc|Consolidated Capex'!S62+'Calc|Consolidated Capex'!S72)/10^3*(1+Inflation!V88)</f>
        <v>17.376725944362029</v>
      </c>
    </row>
    <row r="94" spans="1:18" s="7" customFormat="1" x14ac:dyDescent="0.2">
      <c r="E94" s="39" t="s">
        <v>2299</v>
      </c>
      <c r="G94" s="44">
        <f t="shared" ref="G94:I94" si="42">G28</f>
        <v>66.737061884158877</v>
      </c>
      <c r="H94" s="44">
        <f t="shared" si="42"/>
        <v>75.360768203709313</v>
      </c>
      <c r="I94" s="44">
        <f t="shared" si="42"/>
        <v>72.99609644339057</v>
      </c>
      <c r="J94" s="44">
        <f t="shared" ref="J94" si="43">J28</f>
        <v>82.599730998394207</v>
      </c>
      <c r="K94" s="44">
        <f>K28*(1+Inflation!P86)</f>
        <v>85.333623079263134</v>
      </c>
      <c r="L94" s="44">
        <f>L28*(1+Inflation!Q86)</f>
        <v>87.986448341715857</v>
      </c>
      <c r="M94" s="44">
        <f>M28*(1+Inflation!R86)</f>
        <v>53.987826643967587</v>
      </c>
      <c r="N94" s="44">
        <f>N28*(1+Inflation!S86)</f>
        <v>86.261866658627241</v>
      </c>
      <c r="O94" s="44">
        <f>O28*(1+Inflation!T86)</f>
        <v>79.960297020974338</v>
      </c>
      <c r="P94" s="44">
        <f>P28*(1+Inflation!U86)</f>
        <v>77.715222636809671</v>
      </c>
      <c r="Q94" s="44">
        <f>Q28*(1+Inflation!V86)</f>
        <v>78.551189527163146</v>
      </c>
    </row>
    <row r="95" spans="1:18" s="7" customFormat="1" x14ac:dyDescent="0.2">
      <c r="E95" s="39" t="s">
        <v>2300</v>
      </c>
      <c r="G95" s="44">
        <f t="shared" ref="G95:I95" si="44">G29</f>
        <v>24.130620459711011</v>
      </c>
      <c r="H95" s="44">
        <f t="shared" si="44"/>
        <v>19.227091004680666</v>
      </c>
      <c r="I95" s="44">
        <f t="shared" si="44"/>
        <v>21.675387142421641</v>
      </c>
      <c r="J95" s="44">
        <f t="shared" ref="J95" si="45">J29</f>
        <v>20.973339733837101</v>
      </c>
      <c r="K95" s="44">
        <f>K29*(1+Inflation!P87)</f>
        <v>22.257653914403949</v>
      </c>
      <c r="L95" s="44">
        <f>L29*(1+Inflation!Q87)</f>
        <v>27.257405729529552</v>
      </c>
      <c r="M95" s="156">
        <f>(M29-'Calc|Consolidated Capex'!O59/10^3)*(1+Inflation!R87)+'Calc|Consolidated Capex'!O59/10^3*(1+Inflation!R88)</f>
        <v>22.380935763649504</v>
      </c>
      <c r="N95" s="156">
        <f>(N29-'Calc|Consolidated Capex'!P59/10^3)*(1+Inflation!S87)+'Calc|Consolidated Capex'!P59/10^3*(1+Inflation!S88)</f>
        <v>26.883221973604734</v>
      </c>
      <c r="O95" s="156">
        <f>(O29-'Calc|Consolidated Capex'!Q59/10^3)*(1+Inflation!T87)+'Calc|Consolidated Capex'!Q59/10^3*(1+Inflation!T88)</f>
        <v>25.353020647636576</v>
      </c>
      <c r="P95" s="156">
        <f>(P29-'Calc|Consolidated Capex'!R59/10^3)*(1+Inflation!U87)+'Calc|Consolidated Capex'!R59/10^3*(1+Inflation!U88)</f>
        <v>23.857590370840402</v>
      </c>
      <c r="Q95" s="156">
        <f>(Q29-'Calc|Consolidated Capex'!S59/10^3)*(1+Inflation!V87)+'Calc|Consolidated Capex'!S59/10^3*(1+Inflation!V88)</f>
        <v>26.923489748869656</v>
      </c>
    </row>
    <row r="96" spans="1:18" s="7" customFormat="1" x14ac:dyDescent="0.2">
      <c r="E96" s="39" t="s">
        <v>2309</v>
      </c>
      <c r="G96" s="44">
        <f t="shared" ref="G96:I96" si="46">G30</f>
        <v>0</v>
      </c>
      <c r="H96" s="44">
        <f t="shared" si="46"/>
        <v>0</v>
      </c>
      <c r="I96" s="44">
        <f t="shared" si="46"/>
        <v>0</v>
      </c>
      <c r="J96" s="44">
        <f t="shared" ref="J96" si="47">J30</f>
        <v>0</v>
      </c>
      <c r="K96" s="44">
        <f>K30*(1+Inflation!P88)</f>
        <v>0</v>
      </c>
      <c r="L96" s="44">
        <f>L30*(1+Inflation!Q88)</f>
        <v>0</v>
      </c>
      <c r="M96" s="44">
        <f>M30*(1+Inflation!R88)</f>
        <v>0</v>
      </c>
      <c r="N96" s="44">
        <f>N30*(1+Inflation!S88)</f>
        <v>0</v>
      </c>
      <c r="O96" s="44">
        <f>O30*(1+Inflation!T88)</f>
        <v>0</v>
      </c>
      <c r="P96" s="44">
        <f>P30*(1+Inflation!U88)</f>
        <v>0</v>
      </c>
      <c r="Q96" s="44">
        <f>Q30*(1+Inflation!V88)</f>
        <v>0</v>
      </c>
    </row>
    <row r="97" spans="1:18" s="7" customFormat="1" x14ac:dyDescent="0.2">
      <c r="E97" s="39" t="s">
        <v>2301</v>
      </c>
      <c r="G97" s="44">
        <f t="shared" ref="G97:I97" si="48">G31</f>
        <v>23.060038724204549</v>
      </c>
      <c r="H97" s="44">
        <f t="shared" si="48"/>
        <v>14.143579159710111</v>
      </c>
      <c r="I97" s="44">
        <f t="shared" si="48"/>
        <v>9.3489835376569559</v>
      </c>
      <c r="J97" s="44">
        <f t="shared" ref="J97" si="49">J31</f>
        <v>8.6076247735821383</v>
      </c>
      <c r="K97" s="44">
        <f>K31*(1+Inflation!P89)</f>
        <v>13.597156943539447</v>
      </c>
      <c r="L97" s="44">
        <f>L31*(1+Inflation!Q89)</f>
        <v>15.082025062420344</v>
      </c>
      <c r="M97" s="44">
        <f>M31*(1+Inflation!R89)</f>
        <v>21.113765359285395</v>
      </c>
      <c r="N97" s="44">
        <f>N31*(1+Inflation!S89)</f>
        <v>16.639874174108801</v>
      </c>
      <c r="O97" s="142">
        <f>O31*(1+Inflation!T89)</f>
        <v>19.162862160138385</v>
      </c>
      <c r="P97" s="44">
        <f>P31*(1+Inflation!U89)</f>
        <v>14.025437213949138</v>
      </c>
      <c r="Q97" s="44">
        <f>Q31*(1+Inflation!V89)</f>
        <v>7.9580196931494331</v>
      </c>
    </row>
    <row r="98" spans="1:18" s="7" customFormat="1" x14ac:dyDescent="0.2">
      <c r="E98" s="39" t="s">
        <v>2302</v>
      </c>
      <c r="G98" s="44">
        <f t="shared" ref="G98:I98" si="50">G32</f>
        <v>0.54308084663139111</v>
      </c>
      <c r="H98" s="44">
        <f t="shared" si="50"/>
        <v>3.5145906886700473</v>
      </c>
      <c r="I98" s="44">
        <f t="shared" si="50"/>
        <v>2.5362336069472793</v>
      </c>
      <c r="J98" s="44">
        <f t="shared" ref="J98" si="51">J32</f>
        <v>1.6010184294528393</v>
      </c>
      <c r="K98" s="44">
        <f>K32*(1+Inflation!P90)</f>
        <v>6.1841923490436335</v>
      </c>
      <c r="L98" s="44">
        <f>L32*(1+Inflation!Q90)</f>
        <v>6.4782805761464415</v>
      </c>
      <c r="M98" s="44">
        <f>M32*(1+Inflation!R90)</f>
        <v>6.2295367733013682</v>
      </c>
      <c r="N98" s="44">
        <f>N32*(1+Inflation!S90)</f>
        <v>5.3529167868691951</v>
      </c>
      <c r="O98" s="44">
        <f>O32*(1+Inflation!T90)</f>
        <v>3.8812180254802326</v>
      </c>
      <c r="P98" s="44">
        <f>P32*(1+Inflation!U90)</f>
        <v>2.6026402484331692</v>
      </c>
      <c r="Q98" s="44">
        <f>Q32*(1+Inflation!V90)</f>
        <v>2.6075237759349634</v>
      </c>
    </row>
    <row r="99" spans="1:18" s="7" customFormat="1" x14ac:dyDescent="0.2">
      <c r="E99" s="39" t="s">
        <v>39</v>
      </c>
      <c r="G99" s="44">
        <f t="shared" ref="G99:I100" si="52">G33</f>
        <v>0</v>
      </c>
      <c r="H99" s="44">
        <f t="shared" si="52"/>
        <v>0</v>
      </c>
      <c r="I99" s="44">
        <f t="shared" si="52"/>
        <v>0</v>
      </c>
      <c r="J99" s="44">
        <f t="shared" ref="J99" si="53">J33</f>
        <v>0</v>
      </c>
      <c r="K99" s="44">
        <f>K33*(1+Inflation!P91)</f>
        <v>0</v>
      </c>
      <c r="L99" s="44">
        <f>L33*(1+Inflation!Q91)</f>
        <v>0</v>
      </c>
      <c r="M99" s="44">
        <f>M33*(1+Inflation!R91)</f>
        <v>0</v>
      </c>
      <c r="N99" s="44">
        <f>N33*(1+Inflation!S91)</f>
        <v>0</v>
      </c>
      <c r="O99" s="44">
        <f>O33*(1+Inflation!T91)</f>
        <v>0</v>
      </c>
      <c r="P99" s="44">
        <f>P33*(1+Inflation!U91)</f>
        <v>0</v>
      </c>
      <c r="Q99" s="44">
        <f>Q33*(1+Inflation!V91)</f>
        <v>0</v>
      </c>
    </row>
    <row r="100" spans="1:18" s="7" customFormat="1" x14ac:dyDescent="0.2">
      <c r="E100" s="39" t="s">
        <v>2404</v>
      </c>
      <c r="G100" s="44">
        <f t="shared" si="52"/>
        <v>0</v>
      </c>
      <c r="H100" s="44">
        <f t="shared" si="52"/>
        <v>0</v>
      </c>
      <c r="I100" s="44">
        <f t="shared" si="52"/>
        <v>0</v>
      </c>
      <c r="J100" s="44">
        <f t="shared" ref="J100" si="54">J34</f>
        <v>0</v>
      </c>
      <c r="K100" s="44">
        <f>K34*(1+Inflation!P91)</f>
        <v>0</v>
      </c>
      <c r="L100" s="44">
        <f>L34*(1+Inflation!Q91)</f>
        <v>0</v>
      </c>
      <c r="M100" s="44">
        <f>M34*(1+Inflation!R91)</f>
        <v>0</v>
      </c>
      <c r="N100" s="44">
        <f>N34*(1+Inflation!S91)</f>
        <v>0</v>
      </c>
      <c r="O100" s="44">
        <f>O34*(1+Inflation!T91)</f>
        <v>0</v>
      </c>
      <c r="P100" s="44">
        <f>P34*(1+Inflation!U91)</f>
        <v>0</v>
      </c>
      <c r="Q100" s="44">
        <f>Q34*(1+Inflation!V91)</f>
        <v>0</v>
      </c>
    </row>
    <row r="101" spans="1:18" s="7" customFormat="1" x14ac:dyDescent="0.2">
      <c r="E101" s="39" t="s">
        <v>2315</v>
      </c>
      <c r="G101" s="44">
        <f t="shared" ref="G101:I101" si="55">G35</f>
        <v>0</v>
      </c>
      <c r="H101" s="44">
        <f t="shared" si="55"/>
        <v>27.157275851981669</v>
      </c>
      <c r="I101" s="44">
        <f t="shared" si="55"/>
        <v>0</v>
      </c>
      <c r="J101" s="44">
        <f t="shared" ref="J101" si="56">J35</f>
        <v>0</v>
      </c>
      <c r="K101" s="44">
        <f>K35*(1+Inflation!P92)</f>
        <v>0</v>
      </c>
      <c r="L101" s="44">
        <f>L35*(1+Inflation!Q92)</f>
        <v>0</v>
      </c>
      <c r="M101" s="44">
        <f>M35*(1+Inflation!R92)</f>
        <v>0</v>
      </c>
      <c r="N101" s="44">
        <f>N35*(1+Inflation!S92)</f>
        <v>0</v>
      </c>
      <c r="O101" s="142">
        <f>O35*(1+Inflation!T92)</f>
        <v>0</v>
      </c>
      <c r="P101" s="44">
        <f>P35*(1+Inflation!U92)</f>
        <v>0</v>
      </c>
      <c r="Q101" s="44">
        <f>Q35*(1+Inflation!V92)</f>
        <v>0</v>
      </c>
    </row>
    <row r="102" spans="1:18" s="7" customFormat="1" x14ac:dyDescent="0.2">
      <c r="E102" s="39"/>
      <c r="G102" s="44"/>
      <c r="H102" s="44"/>
      <c r="I102" s="44"/>
      <c r="J102" s="44"/>
      <c r="K102" s="44"/>
      <c r="L102" s="44"/>
      <c r="M102" s="44"/>
      <c r="N102" s="44"/>
      <c r="O102" s="142"/>
      <c r="P102" s="44"/>
      <c r="Q102" s="44"/>
    </row>
    <row r="103" spans="1:18" s="7" customFormat="1" x14ac:dyDescent="0.2"/>
    <row r="104" spans="1:18" s="7" customFormat="1" x14ac:dyDescent="0.2">
      <c r="E104" s="9" t="s">
        <v>2209</v>
      </c>
      <c r="G104" s="61">
        <f>SUM(G93:G101)</f>
        <v>149.71235924581171</v>
      </c>
      <c r="H104" s="61">
        <f>SUM(H93:H101)</f>
        <v>160.47002516630636</v>
      </c>
      <c r="I104" s="61">
        <f t="shared" ref="I104:Q104" si="57">SUM(I93:I101)</f>
        <v>126.83516469508614</v>
      </c>
      <c r="J104" s="61">
        <f t="shared" ref="J104" si="58">SUM(J93:J101)</f>
        <v>143.70485952437116</v>
      </c>
      <c r="K104" s="61">
        <f t="shared" si="57"/>
        <v>161.45028525935837</v>
      </c>
      <c r="L104" s="61">
        <f t="shared" si="57"/>
        <v>194.13200570493959</v>
      </c>
      <c r="M104" s="61">
        <f t="shared" si="57"/>
        <v>144.87445825424899</v>
      </c>
      <c r="N104" s="61">
        <f t="shared" si="57"/>
        <v>163.25059697388824</v>
      </c>
      <c r="O104" s="145">
        <f t="shared" si="57"/>
        <v>152.67210641689863</v>
      </c>
      <c r="P104" s="61">
        <f t="shared" si="57"/>
        <v>141.85499223001054</v>
      </c>
      <c r="Q104" s="61">
        <f t="shared" si="57"/>
        <v>133.41694868947923</v>
      </c>
    </row>
    <row r="105" spans="1:18" s="7" customFormat="1" x14ac:dyDescent="0.2"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</row>
    <row r="106" spans="1:18" s="7" customFormat="1" x14ac:dyDescent="0.2"/>
    <row r="107" spans="1:18" s="7" customFormat="1" x14ac:dyDescent="0.2">
      <c r="A107" s="59" t="s">
        <v>2330</v>
      </c>
      <c r="B107" s="13"/>
      <c r="C107" s="13"/>
      <c r="D107" s="13"/>
      <c r="E107" s="13"/>
      <c r="F107" s="13"/>
      <c r="G107" s="63" t="s">
        <v>2439</v>
      </c>
      <c r="H107" s="63" t="s">
        <v>2439</v>
      </c>
      <c r="I107" s="63" t="s">
        <v>2439</v>
      </c>
      <c r="J107" s="63" t="s">
        <v>2439</v>
      </c>
      <c r="K107" s="63" t="s">
        <v>2439</v>
      </c>
      <c r="L107" s="63" t="s">
        <v>2439</v>
      </c>
      <c r="M107" s="63" t="s">
        <v>2439</v>
      </c>
      <c r="N107" s="63" t="s">
        <v>2439</v>
      </c>
      <c r="O107" s="63" t="s">
        <v>2439</v>
      </c>
      <c r="P107" s="63" t="s">
        <v>2439</v>
      </c>
      <c r="Q107" s="63" t="s">
        <v>2439</v>
      </c>
      <c r="R107" s="13"/>
    </row>
    <row r="108" spans="1:18" s="7" customFormat="1" x14ac:dyDescent="0.2"/>
    <row r="109" spans="1:18" s="7" customFormat="1" x14ac:dyDescent="0.2">
      <c r="E109" s="39" t="s">
        <v>2333</v>
      </c>
      <c r="G109" s="44">
        <f>G43</f>
        <v>43.756477144563192</v>
      </c>
      <c r="H109" s="44">
        <f t="shared" ref="H109:I109" si="59">H43</f>
        <v>24.566190591331026</v>
      </c>
      <c r="I109" s="44">
        <f t="shared" si="59"/>
        <v>23.014477434478856</v>
      </c>
      <c r="J109" s="44">
        <f t="shared" ref="J109" si="60">J43</f>
        <v>34.195000183166499</v>
      </c>
      <c r="K109" s="44">
        <f>K93*(1+'Calc|Overheads'!M$32)</f>
        <v>38.694602324688468</v>
      </c>
      <c r="L109" s="44">
        <f>L93*(1+'Calc|Overheads'!N$32)</f>
        <v>63.703951169120714</v>
      </c>
      <c r="M109" s="44">
        <f>M93*(1+'Calc|Overheads'!O$32)</f>
        <v>47.238074092919788</v>
      </c>
      <c r="N109" s="44">
        <f>N93*(1+'Calc|Overheads'!P$32)</f>
        <v>31.744198911863073</v>
      </c>
      <c r="O109" s="142">
        <f>O93*(1+'Calc|Overheads'!Q$32)</f>
        <v>27.680291938040284</v>
      </c>
      <c r="P109" s="44">
        <f>P93*(1+'Calc|Overheads'!R$32)</f>
        <v>27.066045389948815</v>
      </c>
      <c r="Q109" s="44">
        <f>Q93*(1+'Calc|Overheads'!S$32)</f>
        <v>20.001545929051446</v>
      </c>
    </row>
    <row r="110" spans="1:18" s="7" customFormat="1" x14ac:dyDescent="0.2">
      <c r="E110" s="39" t="s">
        <v>2299</v>
      </c>
      <c r="G110" s="44">
        <f t="shared" ref="G110:I110" si="61">G44</f>
        <v>87.469550980222579</v>
      </c>
      <c r="H110" s="44">
        <f t="shared" si="61"/>
        <v>87.057575985396454</v>
      </c>
      <c r="I110" s="44">
        <f t="shared" si="61"/>
        <v>85.329167456502617</v>
      </c>
      <c r="J110" s="127">
        <f t="shared" ref="J110" si="62">J44</f>
        <v>94.327229888263247</v>
      </c>
      <c r="K110" s="44">
        <f>K94*(1+'Calc|Overheads'!M$32)</f>
        <v>96.894878036740224</v>
      </c>
      <c r="L110" s="44">
        <f>L94*(1+'Calc|Overheads'!N$32)</f>
        <v>97.77245789387301</v>
      </c>
      <c r="M110" s="44">
        <f>M94*(1+'Calc|Overheads'!O$32)</f>
        <v>61.956575529601956</v>
      </c>
      <c r="N110" s="44">
        <f>N94*(1+'Calc|Overheads'!P$32)</f>
        <v>97.404808529897025</v>
      </c>
      <c r="O110" s="44">
        <f>O94*(1+'Calc|Overheads'!Q$32)</f>
        <v>91.028208678229689</v>
      </c>
      <c r="P110" s="44">
        <f>P94*(1+'Calc|Overheads'!R$32)</f>
        <v>88.92511602096917</v>
      </c>
      <c r="Q110" s="44">
        <f>Q94*(1+'Calc|Overheads'!S$32)</f>
        <v>90.416642936061564</v>
      </c>
    </row>
    <row r="111" spans="1:18" s="7" customFormat="1" x14ac:dyDescent="0.2">
      <c r="E111" s="39" t="s">
        <v>2300</v>
      </c>
      <c r="G111" s="44">
        <f t="shared" ref="G111:I111" si="63">G45</f>
        <v>30.760622700401381</v>
      </c>
      <c r="H111" s="44">
        <f t="shared" si="63"/>
        <v>22.420418050093822</v>
      </c>
      <c r="I111" s="44">
        <f t="shared" si="63"/>
        <v>25.737530009511957</v>
      </c>
      <c r="J111" s="44">
        <f t="shared" ref="J111" si="64">J45</f>
        <v>23.960861536233999</v>
      </c>
      <c r="K111" s="44">
        <f>K95*(1+'Calc|Overheads'!M$32)</f>
        <v>25.273187561916973</v>
      </c>
      <c r="L111" s="44">
        <f>L95*(1+'Calc|Overheads'!N$32)</f>
        <v>30.289022959949488</v>
      </c>
      <c r="M111" s="44">
        <f>M95*(1+'Calc|Overheads'!O$32)</f>
        <v>25.684422271861525</v>
      </c>
      <c r="N111" s="44">
        <f>N95*(1+'Calc|Overheads'!P$32)</f>
        <v>30.355882505630916</v>
      </c>
      <c r="O111" s="44">
        <f>O95*(1+'Calc|Overheads'!Q$32)</f>
        <v>28.862324680099178</v>
      </c>
      <c r="P111" s="44">
        <f>P95*(1+'Calc|Overheads'!R$32)</f>
        <v>27.298885851777467</v>
      </c>
      <c r="Q111" s="44">
        <f>Q95*(1+'Calc|Overheads'!S$32)</f>
        <v>30.990384408812357</v>
      </c>
    </row>
    <row r="112" spans="1:18" s="7" customFormat="1" x14ac:dyDescent="0.2">
      <c r="E112" s="39" t="s">
        <v>2309</v>
      </c>
      <c r="G112" s="44">
        <f t="shared" ref="G112:I112" si="65">G46</f>
        <v>0</v>
      </c>
      <c r="H112" s="44">
        <f t="shared" si="65"/>
        <v>0</v>
      </c>
      <c r="I112" s="44">
        <f t="shared" si="65"/>
        <v>0</v>
      </c>
      <c r="J112" s="44">
        <f t="shared" ref="J112" si="66">J46</f>
        <v>0</v>
      </c>
      <c r="K112" s="44">
        <f>K96*(1+'Calc|Overheads'!M$32)</f>
        <v>0</v>
      </c>
      <c r="L112" s="44">
        <f>L96*(1+'Calc|Overheads'!N$32)</f>
        <v>0</v>
      </c>
      <c r="M112" s="44">
        <f>M96*(1+'Calc|Overheads'!O$32)</f>
        <v>0</v>
      </c>
      <c r="N112" s="44">
        <f>N96*(1+'Calc|Overheads'!P$32)</f>
        <v>0</v>
      </c>
      <c r="O112" s="44">
        <f>O96*(1+'Calc|Overheads'!Q$32)</f>
        <v>0</v>
      </c>
      <c r="P112" s="44">
        <f>P96*(1+'Calc|Overheads'!R$32)</f>
        <v>0</v>
      </c>
      <c r="Q112" s="44">
        <f>Q96*(1+'Calc|Overheads'!S$32)</f>
        <v>0</v>
      </c>
    </row>
    <row r="113" spans="1:18" s="7" customFormat="1" x14ac:dyDescent="0.2">
      <c r="E113" s="39" t="s">
        <v>2301</v>
      </c>
      <c r="G113" s="44">
        <f t="shared" ref="G113:I113" si="67">G47</f>
        <v>23.060038724204549</v>
      </c>
      <c r="H113" s="44">
        <f t="shared" si="67"/>
        <v>14.143579159710111</v>
      </c>
      <c r="I113" s="44">
        <f t="shared" si="67"/>
        <v>9.3489835376569559</v>
      </c>
      <c r="J113" s="44">
        <f t="shared" ref="J113" si="68">J47</f>
        <v>8.6076247735821383</v>
      </c>
      <c r="K113" s="44">
        <f t="shared" ref="K113:Q113" si="69">K97</f>
        <v>13.597156943539447</v>
      </c>
      <c r="L113" s="44">
        <f t="shared" si="69"/>
        <v>15.082025062420344</v>
      </c>
      <c r="M113" s="44">
        <f t="shared" si="69"/>
        <v>21.113765359285395</v>
      </c>
      <c r="N113" s="44">
        <f t="shared" si="69"/>
        <v>16.639874174108801</v>
      </c>
      <c r="O113" s="119">
        <f t="shared" si="69"/>
        <v>19.162862160138385</v>
      </c>
      <c r="P113" s="44">
        <f t="shared" si="69"/>
        <v>14.025437213949138</v>
      </c>
      <c r="Q113" s="44">
        <f t="shared" si="69"/>
        <v>7.9580196931494331</v>
      </c>
    </row>
    <row r="114" spans="1:18" s="7" customFormat="1" x14ac:dyDescent="0.2">
      <c r="E114" s="39" t="s">
        <v>2302</v>
      </c>
      <c r="G114" s="119">
        <f t="shared" ref="G114:I114" si="70">G48</f>
        <v>0.54308084663139111</v>
      </c>
      <c r="H114" s="44">
        <f t="shared" si="70"/>
        <v>3.5145906886700473</v>
      </c>
      <c r="I114" s="44">
        <f t="shared" si="70"/>
        <v>2.5362336069472793</v>
      </c>
      <c r="J114" s="44">
        <f t="shared" ref="J114" si="71">J48</f>
        <v>1.6010184294528393</v>
      </c>
      <c r="K114" s="44">
        <f t="shared" ref="K114:Q114" si="72">K98</f>
        <v>6.1841923490436335</v>
      </c>
      <c r="L114" s="44">
        <f t="shared" si="72"/>
        <v>6.4782805761464415</v>
      </c>
      <c r="M114" s="44">
        <f t="shared" si="72"/>
        <v>6.2295367733013682</v>
      </c>
      <c r="N114" s="44">
        <f t="shared" si="72"/>
        <v>5.3529167868691951</v>
      </c>
      <c r="O114" s="44">
        <f t="shared" si="72"/>
        <v>3.8812180254802326</v>
      </c>
      <c r="P114" s="44">
        <f t="shared" si="72"/>
        <v>2.6026402484331692</v>
      </c>
      <c r="Q114" s="44">
        <f t="shared" si="72"/>
        <v>2.6075237759349634</v>
      </c>
    </row>
    <row r="115" spans="1:18" s="7" customFormat="1" x14ac:dyDescent="0.2">
      <c r="E115" s="39" t="s">
        <v>39</v>
      </c>
      <c r="G115" s="44">
        <f t="shared" ref="G115:I116" si="73">G49</f>
        <v>0</v>
      </c>
      <c r="H115" s="44">
        <f t="shared" si="73"/>
        <v>0</v>
      </c>
      <c r="I115" s="44">
        <f t="shared" si="73"/>
        <v>0</v>
      </c>
      <c r="J115" s="44">
        <f t="shared" ref="J115" si="74">J49</f>
        <v>0</v>
      </c>
      <c r="K115" s="44">
        <f>K99*(1+'Calc|Overheads'!M$32)</f>
        <v>0</v>
      </c>
      <c r="L115" s="44">
        <f>L99*(1+'Calc|Overheads'!N$32)</f>
        <v>0</v>
      </c>
      <c r="M115" s="44">
        <f>M99*(1+'Calc|Overheads'!O$32)</f>
        <v>0</v>
      </c>
      <c r="N115" s="44">
        <f>N99*(1+'Calc|Overheads'!P$32)</f>
        <v>0</v>
      </c>
      <c r="O115" s="44">
        <f>O99*(1+'Calc|Overheads'!Q$32)</f>
        <v>0</v>
      </c>
      <c r="P115" s="44">
        <f>P99*(1+'Calc|Overheads'!R$32)</f>
        <v>0</v>
      </c>
      <c r="Q115" s="44">
        <f>Q99*(1+'Calc|Overheads'!S$32)</f>
        <v>0</v>
      </c>
    </row>
    <row r="116" spans="1:18" s="7" customFormat="1" x14ac:dyDescent="0.2">
      <c r="E116" s="39" t="s">
        <v>2404</v>
      </c>
      <c r="G116" s="44">
        <f t="shared" si="73"/>
        <v>0</v>
      </c>
      <c r="H116" s="44">
        <f t="shared" si="73"/>
        <v>0</v>
      </c>
      <c r="I116" s="44">
        <f t="shared" si="73"/>
        <v>0</v>
      </c>
      <c r="J116" s="44">
        <f t="shared" ref="J116" si="75">J50</f>
        <v>0</v>
      </c>
      <c r="K116" s="44">
        <f>K100*(1+'Calc|Overheads'!M$32)</f>
        <v>0</v>
      </c>
      <c r="L116" s="44">
        <f>L100*(1+'Calc|Overheads'!N$32)</f>
        <v>0</v>
      </c>
      <c r="M116" s="44">
        <f>M100*(1+'Calc|Overheads'!O$32)</f>
        <v>0</v>
      </c>
      <c r="N116" s="44">
        <f>N100*(1+'Calc|Overheads'!P$32)</f>
        <v>0</v>
      </c>
      <c r="O116" s="44">
        <f>O100*(1+'Calc|Overheads'!Q$32)</f>
        <v>0</v>
      </c>
      <c r="P116" s="44">
        <f>P100*(1+'Calc|Overheads'!R$32)</f>
        <v>0</v>
      </c>
      <c r="Q116" s="44">
        <f>Q100*(1+'Calc|Overheads'!S$32)</f>
        <v>0</v>
      </c>
    </row>
    <row r="117" spans="1:18" s="7" customFormat="1" x14ac:dyDescent="0.2">
      <c r="E117" s="39" t="s">
        <v>2315</v>
      </c>
      <c r="G117" s="44">
        <f t="shared" ref="G117:I117" si="76">G51</f>
        <v>0</v>
      </c>
      <c r="H117" s="44">
        <f t="shared" si="76"/>
        <v>27.157275851981669</v>
      </c>
      <c r="I117" s="44">
        <f t="shared" si="76"/>
        <v>0</v>
      </c>
      <c r="J117" s="44">
        <f t="shared" ref="J117" si="77">J51</f>
        <v>0</v>
      </c>
      <c r="K117" s="44">
        <f t="shared" ref="K117:Q117" si="78">K101</f>
        <v>0</v>
      </c>
      <c r="L117" s="44">
        <f t="shared" si="78"/>
        <v>0</v>
      </c>
      <c r="M117" s="44">
        <f t="shared" si="78"/>
        <v>0</v>
      </c>
      <c r="N117" s="44">
        <f t="shared" si="78"/>
        <v>0</v>
      </c>
      <c r="O117" s="44">
        <f t="shared" si="78"/>
        <v>0</v>
      </c>
      <c r="P117" s="44">
        <f t="shared" si="78"/>
        <v>0</v>
      </c>
      <c r="Q117" s="44">
        <f t="shared" si="78"/>
        <v>0</v>
      </c>
    </row>
    <row r="118" spans="1:18" s="7" customFormat="1" x14ac:dyDescent="0.2">
      <c r="E118" s="39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8" s="7" customFormat="1" x14ac:dyDescent="0.2"/>
    <row r="120" spans="1:18" s="7" customFormat="1" x14ac:dyDescent="0.2">
      <c r="E120" s="9" t="s">
        <v>2209</v>
      </c>
      <c r="G120" s="61">
        <f>SUM(G109:G117)</f>
        <v>185.58977039602311</v>
      </c>
      <c r="H120" s="61">
        <f>SUM(H109:H117)</f>
        <v>178.85963032718311</v>
      </c>
      <c r="I120" s="61">
        <f t="shared" ref="I120:Q120" si="79">SUM(I109:I117)</f>
        <v>145.96639204509765</v>
      </c>
      <c r="J120" s="61">
        <f t="shared" ref="J120" si="80">SUM(J109:J117)</f>
        <v>162.69173481069873</v>
      </c>
      <c r="K120" s="61">
        <f t="shared" si="79"/>
        <v>180.64401721592876</v>
      </c>
      <c r="L120" s="61">
        <f t="shared" si="79"/>
        <v>213.32573766150998</v>
      </c>
      <c r="M120" s="61">
        <f t="shared" si="79"/>
        <v>162.22237402697004</v>
      </c>
      <c r="N120" s="61">
        <f t="shared" si="79"/>
        <v>181.49768090836901</v>
      </c>
      <c r="O120" s="61">
        <f t="shared" si="79"/>
        <v>170.61490548198776</v>
      </c>
      <c r="P120" s="61">
        <f t="shared" si="79"/>
        <v>159.91812472507777</v>
      </c>
      <c r="Q120" s="61">
        <f t="shared" si="79"/>
        <v>151.97411674300974</v>
      </c>
    </row>
    <row r="121" spans="1:18" s="7" customFormat="1" x14ac:dyDescent="0.2">
      <c r="G121" s="65"/>
      <c r="H121" s="65"/>
      <c r="I121" s="65"/>
      <c r="J121" s="65"/>
      <c r="K121" s="65"/>
      <c r="L121" s="65"/>
      <c r="M121" s="65">
        <f>M120-'Output|PTRM'!G27</f>
        <v>0</v>
      </c>
      <c r="N121" s="65">
        <f>N120-'Output|PTRM'!H27</f>
        <v>0</v>
      </c>
      <c r="O121" s="146">
        <f>O120-'Output|PTRM'!I27</f>
        <v>0</v>
      </c>
      <c r="P121" s="65">
        <f>P120-'Output|PTRM'!J27</f>
        <v>0</v>
      </c>
      <c r="Q121" s="65">
        <f>Q120-'Output|PTRM'!K27</f>
        <v>0</v>
      </c>
    </row>
    <row r="122" spans="1:18" s="7" customFormat="1" x14ac:dyDescent="0.2">
      <c r="L122" s="44"/>
      <c r="M122" s="44"/>
      <c r="N122" s="44"/>
      <c r="O122" s="44"/>
    </row>
    <row r="123" spans="1:18" s="7" customFormat="1" x14ac:dyDescent="0.2">
      <c r="A123" s="59" t="s">
        <v>2369</v>
      </c>
      <c r="B123" s="13"/>
      <c r="C123" s="13"/>
      <c r="D123" s="13"/>
      <c r="E123" s="13"/>
      <c r="F123" s="13"/>
      <c r="G123" s="63" t="s">
        <v>2439</v>
      </c>
      <c r="H123" s="63" t="s">
        <v>2439</v>
      </c>
      <c r="I123" s="63" t="s">
        <v>2439</v>
      </c>
      <c r="J123" s="63" t="s">
        <v>2439</v>
      </c>
      <c r="K123" s="63" t="s">
        <v>2439</v>
      </c>
      <c r="L123" s="63" t="s">
        <v>2439</v>
      </c>
      <c r="M123" s="63" t="s">
        <v>2439</v>
      </c>
      <c r="N123" s="63" t="s">
        <v>2439</v>
      </c>
      <c r="O123" s="63" t="s">
        <v>2439</v>
      </c>
      <c r="P123" s="63" t="s">
        <v>2439</v>
      </c>
      <c r="Q123" s="63" t="s">
        <v>2439</v>
      </c>
      <c r="R123" s="13"/>
    </row>
    <row r="124" spans="1:18" s="7" customFormat="1" x14ac:dyDescent="0.2"/>
    <row r="125" spans="1:18" s="7" customFormat="1" x14ac:dyDescent="0.2">
      <c r="E125" s="39" t="s">
        <v>2333</v>
      </c>
      <c r="G125" s="44">
        <f>G109-G77</f>
        <v>43.756477144563192</v>
      </c>
      <c r="H125" s="44">
        <f t="shared" ref="H125:Q125" si="81">H109-H77</f>
        <v>24.566190591331026</v>
      </c>
      <c r="I125" s="44">
        <f t="shared" si="81"/>
        <v>23.014477434478856</v>
      </c>
      <c r="J125" s="44">
        <f t="shared" si="81"/>
        <v>34.195000183166499</v>
      </c>
      <c r="K125" s="44">
        <f t="shared" si="81"/>
        <v>38.694602324688468</v>
      </c>
      <c r="L125" s="44">
        <f t="shared" si="81"/>
        <v>63.703951169120714</v>
      </c>
      <c r="M125" s="44">
        <f t="shared" si="81"/>
        <v>47.238074092919788</v>
      </c>
      <c r="N125" s="44">
        <f t="shared" si="81"/>
        <v>31.744198911863073</v>
      </c>
      <c r="O125" s="44">
        <f t="shared" si="81"/>
        <v>27.680291938040284</v>
      </c>
      <c r="P125" s="44">
        <f t="shared" si="81"/>
        <v>27.066045389948815</v>
      </c>
      <c r="Q125" s="44">
        <f t="shared" si="81"/>
        <v>20.001545929051446</v>
      </c>
      <c r="R125" s="102">
        <f>SUM(M125:Q125)</f>
        <v>153.7301562618234</v>
      </c>
    </row>
    <row r="126" spans="1:18" s="7" customFormat="1" x14ac:dyDescent="0.2">
      <c r="E126" s="39" t="s">
        <v>2299</v>
      </c>
      <c r="G126" s="44">
        <f t="shared" ref="G126:Q126" si="82">G110-G78</f>
        <v>58.708885512551504</v>
      </c>
      <c r="H126" s="44">
        <f t="shared" si="82"/>
        <v>38.248224111521537</v>
      </c>
      <c r="I126" s="44">
        <f t="shared" si="82"/>
        <v>35.519139997702709</v>
      </c>
      <c r="J126" s="127">
        <f t="shared" si="82"/>
        <v>39.564207038679022</v>
      </c>
      <c r="K126" s="44">
        <f t="shared" si="82"/>
        <v>42.918642799570279</v>
      </c>
      <c r="L126" s="44">
        <f t="shared" si="82"/>
        <v>37.293320002760154</v>
      </c>
      <c r="M126" s="44">
        <f t="shared" si="82"/>
        <v>23.902401817110004</v>
      </c>
      <c r="N126" s="44">
        <f t="shared" si="82"/>
        <v>36.36232215381046</v>
      </c>
      <c r="O126" s="44">
        <f t="shared" si="82"/>
        <v>37.73655810325608</v>
      </c>
      <c r="P126" s="44">
        <f t="shared" si="82"/>
        <v>37.013788324252147</v>
      </c>
      <c r="Q126" s="44">
        <f t="shared" si="82"/>
        <v>38.016844421234964</v>
      </c>
      <c r="R126" s="102">
        <f t="shared" ref="R126:R136" si="83">SUM(M126:Q126)</f>
        <v>173.03191481966365</v>
      </c>
    </row>
    <row r="127" spans="1:18" s="7" customFormat="1" x14ac:dyDescent="0.2">
      <c r="E127" s="39" t="s">
        <v>2300</v>
      </c>
      <c r="G127" s="44">
        <f t="shared" ref="G127:Q127" si="84">G111-G79</f>
        <v>30.760622700401381</v>
      </c>
      <c r="H127" s="44">
        <f t="shared" si="84"/>
        <v>22.420418050093822</v>
      </c>
      <c r="I127" s="44">
        <f t="shared" si="84"/>
        <v>25.737530009511957</v>
      </c>
      <c r="J127" s="44">
        <f t="shared" si="84"/>
        <v>23.960861536233999</v>
      </c>
      <c r="K127" s="44">
        <f t="shared" si="84"/>
        <v>25.273187561916973</v>
      </c>
      <c r="L127" s="44">
        <f t="shared" si="84"/>
        <v>30.289022959949488</v>
      </c>
      <c r="M127" s="44">
        <f t="shared" si="84"/>
        <v>25.684422271861525</v>
      </c>
      <c r="N127" s="44">
        <f t="shared" si="84"/>
        <v>30.355882505630916</v>
      </c>
      <c r="O127" s="44">
        <f t="shared" si="84"/>
        <v>28.862324680099178</v>
      </c>
      <c r="P127" s="44">
        <f t="shared" si="84"/>
        <v>27.298885851777467</v>
      </c>
      <c r="Q127" s="44">
        <f t="shared" si="84"/>
        <v>30.990384408812357</v>
      </c>
      <c r="R127" s="102">
        <f t="shared" si="83"/>
        <v>143.19189971818145</v>
      </c>
    </row>
    <row r="128" spans="1:18" s="7" customFormat="1" x14ac:dyDescent="0.2">
      <c r="E128" s="39" t="s">
        <v>2309</v>
      </c>
      <c r="G128" s="44">
        <f t="shared" ref="G128:Q128" si="85">G112-G80</f>
        <v>0</v>
      </c>
      <c r="H128" s="44">
        <f t="shared" si="85"/>
        <v>0</v>
      </c>
      <c r="I128" s="44">
        <f t="shared" si="85"/>
        <v>0</v>
      </c>
      <c r="J128" s="44">
        <f t="shared" si="85"/>
        <v>0</v>
      </c>
      <c r="K128" s="44">
        <f t="shared" si="85"/>
        <v>0</v>
      </c>
      <c r="L128" s="44">
        <f t="shared" si="85"/>
        <v>0</v>
      </c>
      <c r="M128" s="44">
        <f t="shared" si="85"/>
        <v>0</v>
      </c>
      <c r="N128" s="44">
        <f t="shared" si="85"/>
        <v>0</v>
      </c>
      <c r="O128" s="44">
        <f t="shared" si="85"/>
        <v>0</v>
      </c>
      <c r="P128" s="44">
        <f t="shared" si="85"/>
        <v>0</v>
      </c>
      <c r="Q128" s="44">
        <f t="shared" si="85"/>
        <v>0</v>
      </c>
      <c r="R128" s="102">
        <f t="shared" si="83"/>
        <v>0</v>
      </c>
    </row>
    <row r="129" spans="1:18" s="7" customFormat="1" x14ac:dyDescent="0.2">
      <c r="E129" s="39" t="s">
        <v>2301</v>
      </c>
      <c r="G129" s="44">
        <f t="shared" ref="G129:Q129" si="86">G113-G81</f>
        <v>23.060038724204549</v>
      </c>
      <c r="H129" s="44">
        <f t="shared" si="86"/>
        <v>14.143579159710111</v>
      </c>
      <c r="I129" s="44">
        <f t="shared" si="86"/>
        <v>9.3489835376569559</v>
      </c>
      <c r="J129" s="44">
        <f t="shared" si="86"/>
        <v>8.6076247735821383</v>
      </c>
      <c r="K129" s="44">
        <f t="shared" si="86"/>
        <v>13.597156943539447</v>
      </c>
      <c r="L129" s="44">
        <f t="shared" si="86"/>
        <v>15.082025062420344</v>
      </c>
      <c r="M129" s="44">
        <f t="shared" si="86"/>
        <v>21.113765359285395</v>
      </c>
      <c r="N129" s="44">
        <f t="shared" si="86"/>
        <v>16.639874174108801</v>
      </c>
      <c r="O129" s="44">
        <f t="shared" si="86"/>
        <v>19.162862160138385</v>
      </c>
      <c r="P129" s="44">
        <f t="shared" si="86"/>
        <v>14.025437213949138</v>
      </c>
      <c r="Q129" s="44">
        <f t="shared" si="86"/>
        <v>7.9580196931494331</v>
      </c>
      <c r="R129" s="102">
        <f t="shared" si="83"/>
        <v>78.899958600631152</v>
      </c>
    </row>
    <row r="130" spans="1:18" s="7" customFormat="1" x14ac:dyDescent="0.2">
      <c r="E130" s="39" t="s">
        <v>2302</v>
      </c>
      <c r="G130" s="44">
        <f t="shared" ref="G130:Q130" si="87">G114-G82</f>
        <v>0.54308084663139111</v>
      </c>
      <c r="H130" s="44">
        <f t="shared" si="87"/>
        <v>3.5145906886700473</v>
      </c>
      <c r="I130" s="44">
        <f t="shared" si="87"/>
        <v>2.5362336069472793</v>
      </c>
      <c r="J130" s="44">
        <f t="shared" si="87"/>
        <v>1.6010184294528393</v>
      </c>
      <c r="K130" s="44">
        <f t="shared" si="87"/>
        <v>6.1841923490436335</v>
      </c>
      <c r="L130" s="44">
        <f t="shared" si="87"/>
        <v>6.4782805761464415</v>
      </c>
      <c r="M130" s="44">
        <f t="shared" si="87"/>
        <v>6.2295367733013682</v>
      </c>
      <c r="N130" s="44">
        <f t="shared" si="87"/>
        <v>5.3529167868691951</v>
      </c>
      <c r="O130" s="44">
        <f t="shared" si="87"/>
        <v>3.8812180254802326</v>
      </c>
      <c r="P130" s="44">
        <f t="shared" si="87"/>
        <v>2.6026402484331692</v>
      </c>
      <c r="Q130" s="44">
        <f t="shared" si="87"/>
        <v>2.6075237759349634</v>
      </c>
      <c r="R130" s="102">
        <f t="shared" si="83"/>
        <v>20.67383561001893</v>
      </c>
    </row>
    <row r="131" spans="1:18" s="7" customFormat="1" x14ac:dyDescent="0.2">
      <c r="E131" s="39" t="s">
        <v>39</v>
      </c>
      <c r="G131" s="44">
        <f t="shared" ref="G131:Q131" si="88">G115-G83</f>
        <v>0</v>
      </c>
      <c r="H131" s="44">
        <f t="shared" si="88"/>
        <v>0</v>
      </c>
      <c r="I131" s="44">
        <f t="shared" si="88"/>
        <v>0</v>
      </c>
      <c r="J131" s="44">
        <f t="shared" si="88"/>
        <v>0</v>
      </c>
      <c r="K131" s="44">
        <f t="shared" si="88"/>
        <v>0</v>
      </c>
      <c r="L131" s="44">
        <f t="shared" si="88"/>
        <v>0</v>
      </c>
      <c r="M131" s="44">
        <f t="shared" si="88"/>
        <v>0</v>
      </c>
      <c r="N131" s="44">
        <f t="shared" si="88"/>
        <v>0</v>
      </c>
      <c r="O131" s="44">
        <f t="shared" si="88"/>
        <v>0</v>
      </c>
      <c r="P131" s="44">
        <f t="shared" si="88"/>
        <v>0</v>
      </c>
      <c r="Q131" s="44">
        <f t="shared" si="88"/>
        <v>0</v>
      </c>
      <c r="R131" s="102">
        <f t="shared" si="83"/>
        <v>0</v>
      </c>
    </row>
    <row r="132" spans="1:18" s="7" customFormat="1" x14ac:dyDescent="0.2">
      <c r="E132" s="39" t="s">
        <v>2404</v>
      </c>
      <c r="G132" s="44">
        <f t="shared" ref="G132:Q132" si="89">G116-G84</f>
        <v>0</v>
      </c>
      <c r="H132" s="119">
        <f t="shared" si="89"/>
        <v>0</v>
      </c>
      <c r="I132" s="44">
        <f t="shared" si="89"/>
        <v>0</v>
      </c>
      <c r="J132" s="44">
        <f t="shared" si="89"/>
        <v>0</v>
      </c>
      <c r="K132" s="44">
        <f t="shared" si="89"/>
        <v>0</v>
      </c>
      <c r="L132" s="44">
        <f t="shared" si="89"/>
        <v>0</v>
      </c>
      <c r="M132" s="44">
        <f t="shared" si="89"/>
        <v>0</v>
      </c>
      <c r="N132" s="44">
        <f t="shared" si="89"/>
        <v>0</v>
      </c>
      <c r="O132" s="44">
        <f t="shared" si="89"/>
        <v>0</v>
      </c>
      <c r="P132" s="44">
        <f t="shared" si="89"/>
        <v>0</v>
      </c>
      <c r="Q132" s="44">
        <f t="shared" si="89"/>
        <v>0</v>
      </c>
      <c r="R132" s="102">
        <f t="shared" si="83"/>
        <v>0</v>
      </c>
    </row>
    <row r="133" spans="1:18" s="7" customFormat="1" x14ac:dyDescent="0.2">
      <c r="E133" s="39" t="s">
        <v>2315</v>
      </c>
      <c r="G133" s="44">
        <f t="shared" ref="G133:Q133" si="90">G117-G85</f>
        <v>0</v>
      </c>
      <c r="H133" s="44">
        <f t="shared" si="90"/>
        <v>27.157275851981669</v>
      </c>
      <c r="I133" s="44">
        <f t="shared" si="90"/>
        <v>0</v>
      </c>
      <c r="J133" s="44">
        <f t="shared" si="90"/>
        <v>0</v>
      </c>
      <c r="K133" s="44">
        <f t="shared" si="90"/>
        <v>0</v>
      </c>
      <c r="L133" s="44">
        <f t="shared" si="90"/>
        <v>0</v>
      </c>
      <c r="M133" s="44">
        <f t="shared" si="90"/>
        <v>0</v>
      </c>
      <c r="N133" s="44">
        <f t="shared" si="90"/>
        <v>0</v>
      </c>
      <c r="O133" s="44">
        <f t="shared" si="90"/>
        <v>0</v>
      </c>
      <c r="P133" s="44">
        <f t="shared" si="90"/>
        <v>0</v>
      </c>
      <c r="Q133" s="44">
        <f t="shared" si="90"/>
        <v>0</v>
      </c>
      <c r="R133" s="102">
        <f t="shared" si="83"/>
        <v>0</v>
      </c>
    </row>
    <row r="134" spans="1:18" s="7" customFormat="1" x14ac:dyDescent="0.2">
      <c r="E134" s="39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102">
        <f t="shared" si="83"/>
        <v>0</v>
      </c>
    </row>
    <row r="135" spans="1:18" s="7" customFormat="1" x14ac:dyDescent="0.2">
      <c r="R135" s="102">
        <f t="shared" si="83"/>
        <v>0</v>
      </c>
    </row>
    <row r="136" spans="1:18" s="7" customFormat="1" x14ac:dyDescent="0.2">
      <c r="E136" s="9" t="s">
        <v>2209</v>
      </c>
      <c r="G136" s="61">
        <f>SUM(G125:G133)</f>
        <v>156.82910492835202</v>
      </c>
      <c r="H136" s="61">
        <f>SUM(H125:H133)</f>
        <v>130.05027845330821</v>
      </c>
      <c r="I136" s="61">
        <f t="shared" ref="I136:Q136" si="91">SUM(I125:I133)</f>
        <v>96.156364586297755</v>
      </c>
      <c r="J136" s="145">
        <f t="shared" si="91"/>
        <v>107.92871196111449</v>
      </c>
      <c r="K136" s="61">
        <f t="shared" si="91"/>
        <v>126.6677819787588</v>
      </c>
      <c r="L136" s="145">
        <f t="shared" si="91"/>
        <v>152.84659977039712</v>
      </c>
      <c r="M136" s="61">
        <f t="shared" si="91"/>
        <v>124.16820031447807</v>
      </c>
      <c r="N136" s="61">
        <f t="shared" si="91"/>
        <v>120.45519453228245</v>
      </c>
      <c r="O136" s="61">
        <f t="shared" si="91"/>
        <v>117.32325490701416</v>
      </c>
      <c r="P136" s="61">
        <f t="shared" si="91"/>
        <v>108.00679702836074</v>
      </c>
      <c r="Q136" s="61">
        <f t="shared" si="91"/>
        <v>99.574318228183174</v>
      </c>
      <c r="R136" s="219">
        <f t="shared" si="83"/>
        <v>569.52776501031849</v>
      </c>
    </row>
    <row r="137" spans="1:18" s="7" customFormat="1" x14ac:dyDescent="0.2">
      <c r="G137" s="65">
        <f>G120-G88-G136</f>
        <v>0</v>
      </c>
      <c r="H137" s="65">
        <f t="shared" ref="H137:Q137" si="92">H120-H88-H136</f>
        <v>0</v>
      </c>
      <c r="I137" s="65">
        <f t="shared" si="92"/>
        <v>0</v>
      </c>
      <c r="J137" s="65">
        <f t="shared" si="92"/>
        <v>0</v>
      </c>
      <c r="K137" s="65">
        <f t="shared" si="92"/>
        <v>0</v>
      </c>
      <c r="L137" s="65">
        <f t="shared" si="92"/>
        <v>0</v>
      </c>
      <c r="M137" s="65">
        <f t="shared" si="92"/>
        <v>0</v>
      </c>
      <c r="N137" s="65">
        <f t="shared" si="92"/>
        <v>0</v>
      </c>
      <c r="O137" s="65">
        <f t="shared" si="92"/>
        <v>0</v>
      </c>
      <c r="P137" s="65">
        <f t="shared" si="92"/>
        <v>0</v>
      </c>
      <c r="Q137" s="65">
        <f t="shared" si="92"/>
        <v>0</v>
      </c>
    </row>
    <row r="138" spans="1:18" s="7" customFormat="1" x14ac:dyDescent="0.2">
      <c r="H138" s="129"/>
    </row>
    <row r="139" spans="1:18" s="7" customFormat="1" x14ac:dyDescent="0.2"/>
    <row r="140" spans="1:18" s="7" customFormat="1" x14ac:dyDescent="0.2">
      <c r="A140" s="22" t="s">
        <v>9</v>
      </c>
      <c r="B140" s="22"/>
      <c r="C140" s="15"/>
      <c r="D140" s="24"/>
      <c r="E140" s="25"/>
      <c r="F140" s="25"/>
      <c r="G140" s="20"/>
      <c r="H140" s="20"/>
      <c r="I140" s="20"/>
      <c r="J140" s="20"/>
      <c r="K140" s="25"/>
      <c r="L140" s="25"/>
      <c r="M140" s="21"/>
      <c r="N140" s="21"/>
      <c r="O140" s="21"/>
      <c r="P140" s="21"/>
      <c r="Q140" s="21"/>
      <c r="R140" s="21"/>
    </row>
    <row r="141" spans="1:18" s="7" customFormat="1" x14ac:dyDescent="0.2"/>
    <row r="142" spans="1:18" s="7" customFormat="1" x14ac:dyDescent="0.2"/>
    <row r="143" spans="1:18" s="7" customFormat="1" hidden="1" x14ac:dyDescent="0.2"/>
    <row r="144" spans="1:18" s="7" customFormat="1" hidden="1" x14ac:dyDescent="0.2"/>
    <row r="145" s="7" customFormat="1" hidden="1" x14ac:dyDescent="0.2"/>
    <row r="146" s="7" customFormat="1" hidden="1" x14ac:dyDescent="0.2"/>
    <row r="147" s="7" customFormat="1" hidden="1" x14ac:dyDescent="0.2"/>
    <row r="148" s="7" customFormat="1" hidden="1" x14ac:dyDescent="0.2"/>
    <row r="149" s="7" customFormat="1" hidden="1" x14ac:dyDescent="0.2"/>
    <row r="150" s="7" customFormat="1" hidden="1" x14ac:dyDescent="0.2"/>
    <row r="151" s="7" customFormat="1" hidden="1" x14ac:dyDescent="0.2"/>
    <row r="152" s="7" customFormat="1" hidden="1" x14ac:dyDescent="0.2"/>
    <row r="153" s="7" customFormat="1" hidden="1" x14ac:dyDescent="0.2"/>
    <row r="154" s="7" customFormat="1" hidden="1" x14ac:dyDescent="0.2"/>
    <row r="155" s="7" customFormat="1" hidden="1" x14ac:dyDescent="0.2"/>
    <row r="156" s="7" customFormat="1" hidden="1" x14ac:dyDescent="0.2"/>
    <row r="157" s="7" customFormat="1" hidden="1" x14ac:dyDescent="0.2"/>
    <row r="158" s="7" customFormat="1" hidden="1" x14ac:dyDescent="0.2"/>
    <row r="159" s="7" customFormat="1" hidden="1" x14ac:dyDescent="0.2"/>
    <row r="160" s="7" customFormat="1" hidden="1" x14ac:dyDescent="0.2"/>
    <row r="161" s="7" customFormat="1" hidden="1" x14ac:dyDescent="0.2"/>
    <row r="162" s="7" customFormat="1" hidden="1" x14ac:dyDescent="0.2"/>
    <row r="163" s="7" customFormat="1" hidden="1" x14ac:dyDescent="0.2"/>
    <row r="164" s="7" customFormat="1" hidden="1" x14ac:dyDescent="0.2"/>
    <row r="165" s="7" customFormat="1" hidden="1" x14ac:dyDescent="0.2"/>
    <row r="166" s="7" customFormat="1" hidden="1" x14ac:dyDescent="0.2"/>
    <row r="167" s="7" customFormat="1" hidden="1" x14ac:dyDescent="0.2"/>
    <row r="168" s="7" customFormat="1" hidden="1" x14ac:dyDescent="0.2"/>
    <row r="169" s="7" customFormat="1" hidden="1" x14ac:dyDescent="0.2"/>
    <row r="170" s="7" customFormat="1" hidden="1" x14ac:dyDescent="0.2"/>
    <row r="171" s="7" customFormat="1" hidden="1" x14ac:dyDescent="0.2"/>
    <row r="172" s="7" customFormat="1" hidden="1" x14ac:dyDescent="0.2"/>
    <row r="173" s="7" customFormat="1" hidden="1" x14ac:dyDescent="0.2"/>
    <row r="174" s="7" customFormat="1" hidden="1" x14ac:dyDescent="0.2"/>
    <row r="175" s="7" customFormat="1" hidden="1" x14ac:dyDescent="0.2"/>
    <row r="176" s="7" customFormat="1" hidden="1" x14ac:dyDescent="0.2"/>
    <row r="177" s="7" customFormat="1" hidden="1" x14ac:dyDescent="0.2"/>
    <row r="178" s="7" customFormat="1" hidden="1" x14ac:dyDescent="0.2"/>
    <row r="179" s="7" customFormat="1" hidden="1" x14ac:dyDescent="0.2"/>
    <row r="180" s="7" customFormat="1" hidden="1" x14ac:dyDescent="0.2"/>
    <row r="181" s="7" customFormat="1" hidden="1" x14ac:dyDescent="0.2"/>
    <row r="182" s="7" customFormat="1" hidden="1" x14ac:dyDescent="0.2"/>
    <row r="183" s="7" customFormat="1" hidden="1" x14ac:dyDescent="0.2"/>
    <row r="184" s="7" customFormat="1" hidden="1" x14ac:dyDescent="0.2"/>
    <row r="185" s="7" customFormat="1" hidden="1" x14ac:dyDescent="0.2"/>
    <row r="186" s="7" customFormat="1" hidden="1" x14ac:dyDescent="0.2"/>
    <row r="187" s="7" customFormat="1" hidden="1" x14ac:dyDescent="0.2"/>
    <row r="188" s="7" customFormat="1" hidden="1" x14ac:dyDescent="0.2"/>
    <row r="189" s="7" customFormat="1" hidden="1" x14ac:dyDescent="0.2"/>
    <row r="190" s="7" customFormat="1" hidden="1" x14ac:dyDescent="0.2"/>
    <row r="191" s="7" customFormat="1" hidden="1" x14ac:dyDescent="0.2"/>
    <row r="192" s="7" customFormat="1" hidden="1" x14ac:dyDescent="0.2"/>
    <row r="193" s="7" customFormat="1" hidden="1" x14ac:dyDescent="0.2"/>
    <row r="194" s="7" customFormat="1" hidden="1" x14ac:dyDescent="0.2"/>
    <row r="195" s="7" customFormat="1" hidden="1" x14ac:dyDescent="0.2"/>
    <row r="196" s="7" customFormat="1" hidden="1" x14ac:dyDescent="0.2"/>
    <row r="197" s="7" customFormat="1" hidden="1" x14ac:dyDescent="0.2"/>
    <row r="198" s="7" customFormat="1" hidden="1" x14ac:dyDescent="0.2"/>
    <row r="199" s="7" customFormat="1" hidden="1" x14ac:dyDescent="0.2"/>
    <row r="200" s="7" customFormat="1" hidden="1" x14ac:dyDescent="0.2"/>
    <row r="201" s="7" customFormat="1" hidden="1" x14ac:dyDescent="0.2"/>
    <row r="202" s="7" customFormat="1" hidden="1" x14ac:dyDescent="0.2"/>
    <row r="203" s="7" customFormat="1" hidden="1" x14ac:dyDescent="0.2"/>
    <row r="204" s="7" customFormat="1" hidden="1" x14ac:dyDescent="0.2"/>
    <row r="205" s="7" customFormat="1" hidden="1" x14ac:dyDescent="0.2"/>
    <row r="206" s="7" customFormat="1" hidden="1" x14ac:dyDescent="0.2"/>
    <row r="207" s="7" customFormat="1" hidden="1" x14ac:dyDescent="0.2"/>
    <row r="208" s="7" customFormat="1" hidden="1" x14ac:dyDescent="0.2"/>
    <row r="209" s="7" customFormat="1" hidden="1" x14ac:dyDescent="0.2"/>
    <row r="210" s="7" customFormat="1" hidden="1" x14ac:dyDescent="0.2"/>
    <row r="211" s="7" customFormat="1" hidden="1" x14ac:dyDescent="0.2"/>
    <row r="212" s="7" customFormat="1" hidden="1" x14ac:dyDescent="0.2"/>
    <row r="213" s="7" customFormat="1" hidden="1" x14ac:dyDescent="0.2"/>
    <row r="214" s="7" customFormat="1" hidden="1" x14ac:dyDescent="0.2"/>
    <row r="215" s="7" customFormat="1" hidden="1" x14ac:dyDescent="0.2"/>
    <row r="216" s="7" customFormat="1" hidden="1" x14ac:dyDescent="0.2"/>
    <row r="217" s="7" customFormat="1" hidden="1" x14ac:dyDescent="0.2"/>
    <row r="218" s="7" customFormat="1" hidden="1" x14ac:dyDescent="0.2"/>
    <row r="219" s="7" customFormat="1" hidden="1" x14ac:dyDescent="0.2"/>
    <row r="220" s="7" customFormat="1" hidden="1" x14ac:dyDescent="0.2"/>
    <row r="221" s="7" customFormat="1" hidden="1" x14ac:dyDescent="0.2"/>
    <row r="222" s="7" customFormat="1" hidden="1" x14ac:dyDescent="0.2"/>
    <row r="223" s="7" customFormat="1" hidden="1" x14ac:dyDescent="0.2"/>
    <row r="224" s="7" customFormat="1" hidden="1" x14ac:dyDescent="0.2"/>
    <row r="225" s="7" customFormat="1" hidden="1" x14ac:dyDescent="0.2"/>
    <row r="226" s="7" customFormat="1" hidden="1" x14ac:dyDescent="0.2"/>
    <row r="227" s="7" customFormat="1" hidden="1" x14ac:dyDescent="0.2"/>
    <row r="228" s="7" customFormat="1" hidden="1" x14ac:dyDescent="0.2"/>
    <row r="229" s="7" customFormat="1" hidden="1" x14ac:dyDescent="0.2"/>
    <row r="230" s="7" customFormat="1" hidden="1" x14ac:dyDescent="0.2"/>
    <row r="231" s="7" customFormat="1" hidden="1" x14ac:dyDescent="0.2"/>
    <row r="232" s="7" customFormat="1" hidden="1" x14ac:dyDescent="0.2"/>
    <row r="233" s="7" customFormat="1" hidden="1" x14ac:dyDescent="0.2"/>
    <row r="234" s="7" customFormat="1" hidden="1" x14ac:dyDescent="0.2"/>
    <row r="235" s="7" customFormat="1" hidden="1" x14ac:dyDescent="0.2"/>
    <row r="236" s="7" customFormat="1" hidden="1" x14ac:dyDescent="0.2"/>
    <row r="237" s="7" customFormat="1" hidden="1" x14ac:dyDescent="0.2"/>
    <row r="238" s="7" customFormat="1" hidden="1" x14ac:dyDescent="0.2"/>
    <row r="239" s="7" customFormat="1" hidden="1" x14ac:dyDescent="0.2"/>
    <row r="240" s="7" customFormat="1" hidden="1" x14ac:dyDescent="0.2"/>
    <row r="241" s="7" customFormat="1" hidden="1" x14ac:dyDescent="0.2"/>
    <row r="242" s="7" customFormat="1" hidden="1" x14ac:dyDescent="0.2"/>
    <row r="243" s="7" customFormat="1" hidden="1" x14ac:dyDescent="0.2"/>
    <row r="244" s="7" customFormat="1" hidden="1" x14ac:dyDescent="0.2"/>
    <row r="245" s="7" customFormat="1" hidden="1" x14ac:dyDescent="0.2"/>
    <row r="246" s="7" customFormat="1" hidden="1" x14ac:dyDescent="0.2"/>
    <row r="247" s="7" customFormat="1" hidden="1" x14ac:dyDescent="0.2"/>
    <row r="248" s="7" customFormat="1" hidden="1" x14ac:dyDescent="0.2"/>
    <row r="249" s="7" customFormat="1" hidden="1" x14ac:dyDescent="0.2"/>
    <row r="250" s="7" customFormat="1" hidden="1" x14ac:dyDescent="0.2"/>
    <row r="251" s="7" customFormat="1" hidden="1" x14ac:dyDescent="0.2"/>
    <row r="252" s="7" customFormat="1" hidden="1" x14ac:dyDescent="0.2"/>
    <row r="253" s="7" customFormat="1" hidden="1" x14ac:dyDescent="0.2"/>
    <row r="254" s="7" customFormat="1" hidden="1" x14ac:dyDescent="0.2"/>
    <row r="255" s="7" customFormat="1" hidden="1" x14ac:dyDescent="0.2"/>
    <row r="256" s="7" customFormat="1" hidden="1" x14ac:dyDescent="0.2"/>
    <row r="257" s="7" customFormat="1" hidden="1" x14ac:dyDescent="0.2"/>
    <row r="258" s="7" customFormat="1" hidden="1" x14ac:dyDescent="0.2"/>
    <row r="259" s="7" customFormat="1" hidden="1" x14ac:dyDescent="0.2"/>
    <row r="260" s="7" customFormat="1" hidden="1" x14ac:dyDescent="0.2"/>
    <row r="261" s="7" customFormat="1" hidden="1" x14ac:dyDescent="0.2"/>
    <row r="262" s="7" customFormat="1" hidden="1" x14ac:dyDescent="0.2"/>
    <row r="263" s="7" customFormat="1" hidden="1" x14ac:dyDescent="0.2"/>
    <row r="264" s="7" customFormat="1" hidden="1" x14ac:dyDescent="0.2"/>
    <row r="265" s="7" customFormat="1" hidden="1" x14ac:dyDescent="0.2"/>
    <row r="266" s="7" customFormat="1" hidden="1" x14ac:dyDescent="0.2"/>
    <row r="267" s="7" customFormat="1" hidden="1" x14ac:dyDescent="0.2"/>
    <row r="268" s="7" customFormat="1" hidden="1" x14ac:dyDescent="0.2"/>
    <row r="269" s="7" customFormat="1" hidden="1" x14ac:dyDescent="0.2"/>
    <row r="270" s="7" customFormat="1" hidden="1" x14ac:dyDescent="0.2"/>
    <row r="271" s="7" customFormat="1" hidden="1" x14ac:dyDescent="0.2"/>
    <row r="272" s="7" customFormat="1" hidden="1" x14ac:dyDescent="0.2"/>
    <row r="273" s="7" customFormat="1" hidden="1" x14ac:dyDescent="0.2"/>
    <row r="274" s="7" customFormat="1" hidden="1" x14ac:dyDescent="0.2"/>
    <row r="275" s="7" customFormat="1" hidden="1" x14ac:dyDescent="0.2"/>
    <row r="276" s="7" customFormat="1" hidden="1" x14ac:dyDescent="0.2"/>
    <row r="277" s="7" customFormat="1" hidden="1" x14ac:dyDescent="0.2"/>
    <row r="278" s="7" customFormat="1" hidden="1" x14ac:dyDescent="0.2"/>
    <row r="279" s="7" customFormat="1" hidden="1" x14ac:dyDescent="0.2"/>
    <row r="280" s="7" customFormat="1" hidden="1" x14ac:dyDescent="0.2"/>
    <row r="281" s="7" customFormat="1" hidden="1" x14ac:dyDescent="0.2"/>
    <row r="282" s="7" customFormat="1" hidden="1" x14ac:dyDescent="0.2"/>
    <row r="283" s="7" customFormat="1" hidden="1" x14ac:dyDescent="0.2"/>
    <row r="284" s="7" customFormat="1" hidden="1" x14ac:dyDescent="0.2"/>
    <row r="285" s="7" customFormat="1" hidden="1" x14ac:dyDescent="0.2"/>
    <row r="286" s="7" customFormat="1" hidden="1" x14ac:dyDescent="0.2"/>
    <row r="287" s="7" customFormat="1" hidden="1" x14ac:dyDescent="0.2"/>
    <row r="288" s="7" customFormat="1" hidden="1" x14ac:dyDescent="0.2"/>
    <row r="289" s="7" customFormat="1" hidden="1" x14ac:dyDescent="0.2"/>
    <row r="290" s="7" customFormat="1" hidden="1" x14ac:dyDescent="0.2"/>
    <row r="291" s="7" customFormat="1" hidden="1" x14ac:dyDescent="0.2"/>
    <row r="292" s="7" customFormat="1" hidden="1" x14ac:dyDescent="0.2"/>
    <row r="293" s="7" customFormat="1" hidden="1" x14ac:dyDescent="0.2"/>
    <row r="294" s="7" customFormat="1" hidden="1" x14ac:dyDescent="0.2"/>
    <row r="295" s="7" customFormat="1" hidden="1" x14ac:dyDescent="0.2"/>
    <row r="296" s="7" customFormat="1" hidden="1" x14ac:dyDescent="0.2"/>
    <row r="297" s="7" customFormat="1" hidden="1" x14ac:dyDescent="0.2"/>
    <row r="298" s="7" customFormat="1" hidden="1" x14ac:dyDescent="0.2"/>
    <row r="299" s="7" customFormat="1" hidden="1" x14ac:dyDescent="0.2"/>
    <row r="300" s="7" customFormat="1" hidden="1" x14ac:dyDescent="0.2"/>
    <row r="301" s="7" customFormat="1" hidden="1" x14ac:dyDescent="0.2"/>
    <row r="302" s="7" customFormat="1" hidden="1" x14ac:dyDescent="0.2"/>
    <row r="303" s="7" customFormat="1" hidden="1" x14ac:dyDescent="0.2"/>
    <row r="304" s="7" customFormat="1" hidden="1" x14ac:dyDescent="0.2"/>
    <row r="305" s="7" customFormat="1" hidden="1" x14ac:dyDescent="0.2"/>
    <row r="306" s="7" customFormat="1" hidden="1" x14ac:dyDescent="0.2"/>
    <row r="307" s="7" customFormat="1" hidden="1" x14ac:dyDescent="0.2"/>
    <row r="308" s="7" customFormat="1" hidden="1" x14ac:dyDescent="0.2"/>
    <row r="309" s="7" customFormat="1" hidden="1" x14ac:dyDescent="0.2"/>
    <row r="310" s="7" customFormat="1" hidden="1" x14ac:dyDescent="0.2"/>
    <row r="311" s="7" customFormat="1" hidden="1" x14ac:dyDescent="0.2"/>
    <row r="312" s="7" customFormat="1" hidden="1" x14ac:dyDescent="0.2"/>
    <row r="313" s="7" customFormat="1" hidden="1" x14ac:dyDescent="0.2"/>
    <row r="314" s="7" customFormat="1" hidden="1" x14ac:dyDescent="0.2"/>
    <row r="315" s="7" customFormat="1" hidden="1" x14ac:dyDescent="0.2"/>
    <row r="316" s="7" customFormat="1" hidden="1" x14ac:dyDescent="0.2"/>
    <row r="317" s="7" customFormat="1" hidden="1" x14ac:dyDescent="0.2"/>
    <row r="318" s="7" customFormat="1" hidden="1" x14ac:dyDescent="0.2"/>
    <row r="319" s="7" customFormat="1" hidden="1" x14ac:dyDescent="0.2"/>
    <row r="320" s="7" customFormat="1" hidden="1" x14ac:dyDescent="0.2"/>
    <row r="321" s="7" customFormat="1" hidden="1" x14ac:dyDescent="0.2"/>
    <row r="322" s="7" customFormat="1" hidden="1" x14ac:dyDescent="0.2"/>
    <row r="323" s="7" customFormat="1" hidden="1" x14ac:dyDescent="0.2"/>
    <row r="324" s="7" customFormat="1" hidden="1" x14ac:dyDescent="0.2"/>
    <row r="325" s="7" customFormat="1" hidden="1" x14ac:dyDescent="0.2"/>
    <row r="326" s="7" customFormat="1" hidden="1" x14ac:dyDescent="0.2"/>
    <row r="327" s="7" customFormat="1" hidden="1" x14ac:dyDescent="0.2"/>
    <row r="328" s="7" customFormat="1" hidden="1" x14ac:dyDescent="0.2"/>
    <row r="329" s="7" customFormat="1" hidden="1" x14ac:dyDescent="0.2"/>
    <row r="330" s="7" customFormat="1" hidden="1" x14ac:dyDescent="0.2"/>
    <row r="331" s="7" customFormat="1" hidden="1" x14ac:dyDescent="0.2"/>
    <row r="332" s="7" customFormat="1" hidden="1" x14ac:dyDescent="0.2"/>
    <row r="333" s="7" customFormat="1" hidden="1" x14ac:dyDescent="0.2"/>
    <row r="334" s="7" customFormat="1" hidden="1" x14ac:dyDescent="0.2"/>
    <row r="335" s="7" customFormat="1" hidden="1" x14ac:dyDescent="0.2"/>
    <row r="336" s="7" customFormat="1" hidden="1" x14ac:dyDescent="0.2"/>
    <row r="337" s="7" customFormat="1" hidden="1" x14ac:dyDescent="0.2"/>
    <row r="338" s="7" customFormat="1" hidden="1" x14ac:dyDescent="0.2"/>
    <row r="339" s="7" customFormat="1" hidden="1" x14ac:dyDescent="0.2"/>
    <row r="340" s="7" customFormat="1" hidden="1" x14ac:dyDescent="0.2"/>
    <row r="341" s="7" customFormat="1" hidden="1" x14ac:dyDescent="0.2"/>
    <row r="342" s="7" customFormat="1" hidden="1" x14ac:dyDescent="0.2"/>
    <row r="343" s="7" customFormat="1" hidden="1" x14ac:dyDescent="0.2"/>
    <row r="344" s="7" customFormat="1" hidden="1" x14ac:dyDescent="0.2"/>
    <row r="345" s="7" customFormat="1" hidden="1" x14ac:dyDescent="0.2"/>
    <row r="346" s="7" customFormat="1" hidden="1" x14ac:dyDescent="0.2"/>
    <row r="347" s="7" customFormat="1" hidden="1" x14ac:dyDescent="0.2"/>
    <row r="348" s="7" customFormat="1" hidden="1" x14ac:dyDescent="0.2"/>
    <row r="349" s="7" customFormat="1" hidden="1" x14ac:dyDescent="0.2"/>
    <row r="350" s="7" customFormat="1" hidden="1" x14ac:dyDescent="0.2"/>
    <row r="351" s="7" customFormat="1" hidden="1" x14ac:dyDescent="0.2"/>
    <row r="352" s="7" customFormat="1" hidden="1" x14ac:dyDescent="0.2"/>
    <row r="353" s="7" customFormat="1" hidden="1" x14ac:dyDescent="0.2"/>
    <row r="354" s="7" customFormat="1" hidden="1" x14ac:dyDescent="0.2"/>
    <row r="355" s="7" customFormat="1" hidden="1" x14ac:dyDescent="0.2"/>
    <row r="356" s="7" customFormat="1" hidden="1" x14ac:dyDescent="0.2"/>
    <row r="357" s="7" customFormat="1" hidden="1" x14ac:dyDescent="0.2"/>
    <row r="358" s="7" customFormat="1" hidden="1" x14ac:dyDescent="0.2"/>
    <row r="359" s="7" customFormat="1" hidden="1" x14ac:dyDescent="0.2"/>
    <row r="360" s="7" customFormat="1" hidden="1" x14ac:dyDescent="0.2"/>
    <row r="361" s="7" customFormat="1" hidden="1" x14ac:dyDescent="0.2"/>
    <row r="362" s="7" customFormat="1" hidden="1" x14ac:dyDescent="0.2"/>
    <row r="363" s="7" customFormat="1" hidden="1" x14ac:dyDescent="0.2"/>
    <row r="364" s="7" customFormat="1" hidden="1" x14ac:dyDescent="0.2"/>
    <row r="365" s="7" customFormat="1" hidden="1" x14ac:dyDescent="0.2"/>
    <row r="366" s="7" customFormat="1" hidden="1" x14ac:dyDescent="0.2"/>
    <row r="367" s="7" customFormat="1" hidden="1" x14ac:dyDescent="0.2"/>
    <row r="368" s="7" customFormat="1" hidden="1" x14ac:dyDescent="0.2"/>
    <row r="369" s="7" customFormat="1" hidden="1" x14ac:dyDescent="0.2"/>
    <row r="370" s="7" customFormat="1" hidden="1" x14ac:dyDescent="0.2"/>
    <row r="371" s="7" customFormat="1" hidden="1" x14ac:dyDescent="0.2"/>
    <row r="372" s="7" customFormat="1" hidden="1" x14ac:dyDescent="0.2"/>
    <row r="373" s="7" customFormat="1" hidden="1" x14ac:dyDescent="0.2"/>
    <row r="374" s="7" customFormat="1" hidden="1" x14ac:dyDescent="0.2"/>
    <row r="375" s="7" customFormat="1" hidden="1" x14ac:dyDescent="0.2"/>
    <row r="376" s="7" customFormat="1" hidden="1" x14ac:dyDescent="0.2"/>
    <row r="377" s="7" customFormat="1" hidden="1" x14ac:dyDescent="0.2"/>
    <row r="378" s="7" customFormat="1" hidden="1" x14ac:dyDescent="0.2"/>
    <row r="379" s="7" customFormat="1" hidden="1" x14ac:dyDescent="0.2"/>
    <row r="380" s="7" customFormat="1" hidden="1" x14ac:dyDescent="0.2"/>
    <row r="381" s="7" customFormat="1" hidden="1" x14ac:dyDescent="0.2"/>
    <row r="382" s="7" customFormat="1" hidden="1" x14ac:dyDescent="0.2"/>
    <row r="383" s="7" customFormat="1" hidden="1" x14ac:dyDescent="0.2"/>
    <row r="384" s="7" customFormat="1" hidden="1" x14ac:dyDescent="0.2"/>
    <row r="385" spans="1:18" s="7" customFormat="1" hidden="1" x14ac:dyDescent="0.2"/>
    <row r="386" spans="1:18" s="7" customFormat="1" hidden="1" x14ac:dyDescent="0.2"/>
    <row r="387" spans="1:18" s="7" customFormat="1" hidden="1" x14ac:dyDescent="0.2"/>
    <row r="388" spans="1:18" s="7" customFormat="1" hidden="1" x14ac:dyDescent="0.2"/>
    <row r="389" spans="1:18" s="7" customFormat="1" hidden="1" x14ac:dyDescent="0.2"/>
    <row r="390" spans="1:18" hidden="1" x14ac:dyDescent="0.2">
      <c r="A390" s="22"/>
      <c r="B390" s="22"/>
      <c r="C390" s="15"/>
      <c r="D390" s="24"/>
      <c r="E390" s="25"/>
      <c r="F390" s="25"/>
      <c r="G390" s="26"/>
      <c r="H390" s="26"/>
      <c r="I390" s="20"/>
      <c r="J390" s="20"/>
      <c r="K390" s="25"/>
      <c r="L390" s="25"/>
      <c r="M390" s="21"/>
      <c r="N390" s="21"/>
      <c r="O390" s="21"/>
      <c r="P390" s="21"/>
      <c r="Q390" s="21"/>
      <c r="R390" s="2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2:M31"/>
  <sheetViews>
    <sheetView workbookViewId="0">
      <selection activeCell="H34" sqref="H34"/>
    </sheetView>
  </sheetViews>
  <sheetFormatPr defaultRowHeight="12.75" x14ac:dyDescent="0.2"/>
  <cols>
    <col min="1" max="1" width="9" style="208"/>
    <col min="2" max="2" width="31.5" style="208" bestFit="1" customWidth="1"/>
    <col min="3" max="7" width="9" style="208"/>
    <col min="8" max="8" width="8" style="208" bestFit="1" customWidth="1"/>
    <col min="9" max="9" width="9" style="208"/>
    <col min="10" max="10" width="13.875" style="208" bestFit="1" customWidth="1"/>
    <col min="11" max="11" width="14.875" style="208" bestFit="1" customWidth="1"/>
    <col min="12" max="13" width="5.375" style="208" bestFit="1" customWidth="1"/>
    <col min="14" max="16384" width="9" style="208"/>
  </cols>
  <sheetData>
    <row r="2" spans="2:13" x14ac:dyDescent="0.2">
      <c r="B2" s="209" t="s">
        <v>2473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</row>
    <row r="3" spans="2:13" x14ac:dyDescent="0.2">
      <c r="B3" s="211" t="s">
        <v>2474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</row>
    <row r="4" spans="2:13" x14ac:dyDescent="0.2">
      <c r="B4" s="209" t="s">
        <v>2475</v>
      </c>
      <c r="C4" s="212" t="s">
        <v>2432</v>
      </c>
      <c r="D4" s="212" t="s">
        <v>2433</v>
      </c>
      <c r="E4" s="212" t="s">
        <v>2434</v>
      </c>
      <c r="F4" s="212" t="s">
        <v>2435</v>
      </c>
      <c r="G4" s="212" t="s">
        <v>2436</v>
      </c>
      <c r="H4" s="210"/>
      <c r="I4" s="210"/>
      <c r="J4" s="210"/>
      <c r="K4" s="210"/>
      <c r="L4" s="210"/>
      <c r="M4" s="210"/>
    </row>
    <row r="5" spans="2:13" x14ac:dyDescent="0.2">
      <c r="B5" s="213" t="s">
        <v>2333</v>
      </c>
      <c r="C5" s="210">
        <f>IFERROR('Output|Functional - proposed'!M93,"")</f>
        <v>45.621388438530779</v>
      </c>
      <c r="D5" s="210">
        <f>IFERROR('Output|Functional - proposed'!N93,"")</f>
        <v>35.254320550153537</v>
      </c>
      <c r="E5" s="210">
        <f>IFERROR('Output|Functional - proposed'!O93,"")</f>
        <v>39.345362547968556</v>
      </c>
      <c r="F5" s="210">
        <f>IFERROR('Output|Functional - proposed'!P93,"")</f>
        <v>36.343671212899068</v>
      </c>
      <c r="G5" s="210">
        <f>IFERROR('Output|Functional - proposed'!Q93,"")</f>
        <v>22.362081790563256</v>
      </c>
      <c r="H5" s="212">
        <f t="shared" ref="H5:H13" si="0">SUM(C5:G5)</f>
        <v>178.92682454011521</v>
      </c>
      <c r="I5" s="210"/>
      <c r="J5" s="210"/>
      <c r="K5" s="210"/>
      <c r="L5" s="210"/>
      <c r="M5" s="210"/>
    </row>
    <row r="6" spans="2:13" x14ac:dyDescent="0.2">
      <c r="B6" s="213" t="s">
        <v>2299</v>
      </c>
      <c r="C6" s="210">
        <f>IFERROR('Output|Functional - proposed'!M94,"")</f>
        <v>92.908732240800973</v>
      </c>
      <c r="D6" s="210">
        <f>IFERROR('Output|Functional - proposed'!N94,"")</f>
        <v>87.434807928667823</v>
      </c>
      <c r="E6" s="210">
        <f>IFERROR('Output|Functional - proposed'!O94,"")</f>
        <v>82.348211157518023</v>
      </c>
      <c r="F6" s="210">
        <f>IFERROR('Output|Functional - proposed'!P94,"")</f>
        <v>80.96721442367766</v>
      </c>
      <c r="G6" s="210">
        <f>IFERROR('Output|Functional - proposed'!Q94,"")</f>
        <v>82.629080189990063</v>
      </c>
      <c r="H6" s="212">
        <f t="shared" si="0"/>
        <v>426.28804594065457</v>
      </c>
      <c r="I6" s="210"/>
      <c r="J6" s="210"/>
      <c r="K6" s="210"/>
      <c r="L6" s="210"/>
      <c r="M6" s="210"/>
    </row>
    <row r="7" spans="2:13" x14ac:dyDescent="0.2">
      <c r="B7" s="213" t="s">
        <v>2300</v>
      </c>
      <c r="C7" s="210">
        <f>IFERROR('Output|Functional - proposed'!M95,"")</f>
        <v>53.710503841029315</v>
      </c>
      <c r="D7" s="210">
        <f>IFERROR('Output|Functional - proposed'!N95,"")</f>
        <v>61.877321900070378</v>
      </c>
      <c r="E7" s="210">
        <f>IFERROR('Output|Functional - proposed'!O95,"")</f>
        <v>68.432927581889103</v>
      </c>
      <c r="F7" s="210">
        <f>IFERROR('Output|Functional - proposed'!P95,"")</f>
        <v>65.724782266404176</v>
      </c>
      <c r="G7" s="210">
        <f>IFERROR('Output|Functional - proposed'!Q95,"")</f>
        <v>58.313240518140567</v>
      </c>
      <c r="H7" s="212">
        <f t="shared" si="0"/>
        <v>308.05877610753356</v>
      </c>
      <c r="I7" s="210"/>
      <c r="J7" s="210"/>
      <c r="K7" s="210"/>
      <c r="L7" s="210"/>
      <c r="M7" s="210"/>
    </row>
    <row r="8" spans="2:13" x14ac:dyDescent="0.2">
      <c r="B8" s="213" t="s">
        <v>2301</v>
      </c>
      <c r="C8" s="210">
        <f>IFERROR('Output|Functional - proposed'!M97,"")</f>
        <v>24.621798210128141</v>
      </c>
      <c r="D8" s="210">
        <f>IFERROR('Output|Functional - proposed'!N97,"")</f>
        <v>19.924064315743966</v>
      </c>
      <c r="E8" s="210">
        <f>IFERROR('Output|Functional - proposed'!O97,"")</f>
        <v>23.188071313188388</v>
      </c>
      <c r="F8" s="210">
        <f>IFERROR('Output|Functional - proposed'!P97,"")</f>
        <v>17.960593372162798</v>
      </c>
      <c r="G8" s="210">
        <f>IFERROR('Output|Functional - proposed'!Q97,"")</f>
        <v>10.379514249872111</v>
      </c>
      <c r="H8" s="212">
        <f t="shared" si="0"/>
        <v>96.074041461095405</v>
      </c>
      <c r="I8" s="210"/>
      <c r="J8" s="210"/>
      <c r="K8" s="210"/>
      <c r="L8" s="214"/>
      <c r="M8" s="210"/>
    </row>
    <row r="9" spans="2:13" x14ac:dyDescent="0.2">
      <c r="B9" s="213" t="s">
        <v>2302</v>
      </c>
      <c r="C9" s="210">
        <f>IFERROR('Output|Functional - proposed'!M98,"")</f>
        <v>6.284810978011155</v>
      </c>
      <c r="D9" s="210">
        <f>IFERROR('Output|Functional - proposed'!N98,"")</f>
        <v>5.4437058157307137</v>
      </c>
      <c r="E9" s="210">
        <f>IFERROR('Output|Functional - proposed'!O98,"")</f>
        <v>3.9744465568103533</v>
      </c>
      <c r="F9" s="210">
        <f>IFERROR('Output|Functional - proposed'!P98,"")</f>
        <v>2.6771532308994344</v>
      </c>
      <c r="G9" s="210">
        <f>IFERROR('Output|Functional - proposed'!Q98,"")</f>
        <v>2.692162968803002</v>
      </c>
      <c r="H9" s="212">
        <f t="shared" si="0"/>
        <v>21.072279550254656</v>
      </c>
      <c r="I9" s="210"/>
      <c r="J9" s="210"/>
      <c r="K9" s="210"/>
      <c r="L9" s="210"/>
      <c r="M9" s="210"/>
    </row>
    <row r="10" spans="2:13" x14ac:dyDescent="0.2">
      <c r="B10" s="213" t="s">
        <v>2403</v>
      </c>
      <c r="C10" s="210">
        <f>IFERROR('Output|Functional - proposed'!M120-'Output|Functional - proposed'!M104,"")</f>
        <v>21.158244335231586</v>
      </c>
      <c r="D10" s="210">
        <f>IFERROR('Output|Functional - proposed'!N120-'Output|Functional - proposed'!N104,"")</f>
        <v>21.610801049787455</v>
      </c>
      <c r="E10" s="210">
        <f>IFERROR('Output|Functional - proposed'!O120-'Output|Functional - proposed'!O104,"")</f>
        <v>22.060248661802063</v>
      </c>
      <c r="F10" s="210">
        <f>IFERROR('Output|Functional - proposed'!P120-'Output|Functional - proposed'!P104,"")</f>
        <v>22.501142692609278</v>
      </c>
      <c r="G10" s="210">
        <f>IFERROR('Output|Functional - proposed'!Q120-'Output|Functional - proposed'!Q104,"")</f>
        <v>22.931776944594304</v>
      </c>
      <c r="H10" s="212">
        <f t="shared" si="0"/>
        <v>110.26221368402469</v>
      </c>
      <c r="I10" s="210"/>
      <c r="J10" s="210"/>
      <c r="K10" s="210"/>
      <c r="L10" s="210"/>
      <c r="M10" s="210"/>
    </row>
    <row r="11" spans="2:13" x14ac:dyDescent="0.2">
      <c r="B11" s="213" t="s">
        <v>2476</v>
      </c>
      <c r="C11" s="210">
        <f>IFERROR('Output|PTRM - proposed'!G48,"")</f>
        <v>65.489206063205728</v>
      </c>
      <c r="D11" s="210">
        <f>IFERROR('Output|PTRM - proposed'!H48,"")</f>
        <v>61.874702873696478</v>
      </c>
      <c r="E11" s="210">
        <f>IFERROR('Output|PTRM - proposed'!I48,"")</f>
        <v>54.891586447128873</v>
      </c>
      <c r="F11" s="210">
        <f>IFERROR('Output|PTRM - proposed'!J48,"")</f>
        <v>54.091125371003379</v>
      </c>
      <c r="G11" s="210">
        <f>IFERROR('Output|PTRM - proposed'!K48,"")</f>
        <v>55.127762891212662</v>
      </c>
      <c r="H11" s="212">
        <f t="shared" si="0"/>
        <v>291.47438364624713</v>
      </c>
      <c r="I11" s="210"/>
      <c r="J11" s="210"/>
      <c r="K11" s="210"/>
      <c r="L11" s="210"/>
      <c r="M11" s="210"/>
    </row>
    <row r="12" spans="2:13" x14ac:dyDescent="0.2">
      <c r="B12" s="213" t="s">
        <v>2331</v>
      </c>
      <c r="C12" s="210">
        <f>IFERROR('Output|PTRM - proposed'!G69,"")</f>
        <v>0.43577231873097599</v>
      </c>
      <c r="D12" s="210">
        <f>IFERROR('Output|PTRM - proposed'!H69,"")</f>
        <v>0.43577231873097599</v>
      </c>
      <c r="E12" s="210">
        <f>IFERROR('Output|PTRM - proposed'!I69,"")</f>
        <v>0.43577231873097599</v>
      </c>
      <c r="F12" s="210">
        <f>IFERROR('Output|PTRM - proposed'!J69,"")</f>
        <v>0.43577231873097599</v>
      </c>
      <c r="G12" s="210">
        <f>IFERROR('Output|PTRM - proposed'!K69,"")</f>
        <v>0.43577231873097599</v>
      </c>
      <c r="H12" s="212">
        <f t="shared" si="0"/>
        <v>2.1788615936548799</v>
      </c>
      <c r="I12" s="210"/>
      <c r="J12" s="210"/>
      <c r="K12" s="210"/>
      <c r="L12" s="210"/>
      <c r="M12" s="210"/>
    </row>
    <row r="13" spans="2:13" x14ac:dyDescent="0.2">
      <c r="B13" s="209" t="s">
        <v>2477</v>
      </c>
      <c r="C13" s="212">
        <f>IFERROR(SUM(C5:C10),"")</f>
        <v>244.30547804373197</v>
      </c>
      <c r="D13" s="212">
        <f>IFERROR(SUM(D5:D10),"")</f>
        <v>231.54502156015388</v>
      </c>
      <c r="E13" s="212">
        <f>IFERROR(SUM(E5:E10),"")</f>
        <v>239.3492678191765</v>
      </c>
      <c r="F13" s="212">
        <f>IFERROR(SUM(F5:F10),"")</f>
        <v>226.17455719865239</v>
      </c>
      <c r="G13" s="212">
        <f>IFERROR(SUM(G5:G10),"")</f>
        <v>199.30785666196329</v>
      </c>
      <c r="H13" s="212">
        <f t="shared" si="0"/>
        <v>1140.6821812836781</v>
      </c>
      <c r="I13" s="210"/>
      <c r="J13" s="210"/>
      <c r="K13" s="210"/>
      <c r="L13" s="210"/>
      <c r="M13" s="210"/>
    </row>
    <row r="14" spans="2:13" x14ac:dyDescent="0.2">
      <c r="B14" s="213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</row>
    <row r="15" spans="2:13" x14ac:dyDescent="0.2">
      <c r="B15" s="209" t="s">
        <v>2478</v>
      </c>
      <c r="C15" s="212">
        <f>IFERROR(C13-SUM(C11:C12),"")</f>
        <v>178.38049966179526</v>
      </c>
      <c r="D15" s="212">
        <f>IFERROR(D13-SUM(D11:D12),"")</f>
        <v>169.23454636772644</v>
      </c>
      <c r="E15" s="212">
        <f>IFERROR(E13-SUM(E11:E12),"")</f>
        <v>184.02190905331665</v>
      </c>
      <c r="F15" s="212">
        <f>IFERROR(F13-SUM(F11:F12),"")</f>
        <v>171.64765950891803</v>
      </c>
      <c r="G15" s="212">
        <f>IFERROR(G13-SUM(G11:G12),"")</f>
        <v>143.74432145201965</v>
      </c>
      <c r="H15" s="215">
        <f>SUM(C15:G15)</f>
        <v>847.02893604377596</v>
      </c>
      <c r="I15" s="210" t="b">
        <f>H15='Output|PTRM - proposed'!L91</f>
        <v>1</v>
      </c>
      <c r="J15" s="210"/>
      <c r="K15" s="210"/>
      <c r="L15" s="210"/>
      <c r="M15" s="210"/>
    </row>
    <row r="16" spans="2:13" x14ac:dyDescent="0.2">
      <c r="B16" s="213" t="s">
        <v>2479</v>
      </c>
      <c r="C16" s="210">
        <f>IFERROR(C6-C11,"")</f>
        <v>27.419526177595245</v>
      </c>
      <c r="D16" s="210">
        <f>IFERROR(D6-D11,"")</f>
        <v>25.560105054971345</v>
      </c>
      <c r="E16" s="210">
        <f>IFERROR(E6-E11,"")</f>
        <v>27.45662471038915</v>
      </c>
      <c r="F16" s="210">
        <f>IFERROR(F6-F11,"")</f>
        <v>26.876089052674281</v>
      </c>
      <c r="G16" s="210">
        <f>IFERROR(G6-G11,"")</f>
        <v>27.501317298777401</v>
      </c>
      <c r="H16" s="212">
        <f>SUM(C16:G16)</f>
        <v>134.81366229440741</v>
      </c>
      <c r="I16" s="210"/>
      <c r="J16" s="210"/>
      <c r="K16" s="210"/>
      <c r="L16" s="210"/>
      <c r="M16" s="210"/>
    </row>
    <row r="17" spans="2:13" x14ac:dyDescent="0.2">
      <c r="B17" s="213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</row>
    <row r="18" spans="2:13" x14ac:dyDescent="0.2">
      <c r="B18" s="213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</row>
    <row r="19" spans="2:13" x14ac:dyDescent="0.2">
      <c r="B19" s="209" t="s">
        <v>2480</v>
      </c>
      <c r="C19" s="212" t="s">
        <v>2432</v>
      </c>
      <c r="D19" s="212" t="s">
        <v>2433</v>
      </c>
      <c r="E19" s="212" t="s">
        <v>2434</v>
      </c>
      <c r="F19" s="212" t="s">
        <v>2435</v>
      </c>
      <c r="G19" s="212" t="s">
        <v>2436</v>
      </c>
      <c r="H19" s="210"/>
      <c r="I19" s="210"/>
      <c r="J19" s="212" t="s">
        <v>2481</v>
      </c>
      <c r="K19" s="212" t="s">
        <v>2482</v>
      </c>
      <c r="L19" s="210"/>
      <c r="M19" s="210"/>
    </row>
    <row r="20" spans="2:13" x14ac:dyDescent="0.2">
      <c r="B20" s="213" t="s">
        <v>2333</v>
      </c>
      <c r="C20" s="210">
        <f>IFERROR('Output|Functional'!M93,"")</f>
        <v>41.16239371404513</v>
      </c>
      <c r="D20" s="210">
        <f>IFERROR('Output|Functional'!N93,"")</f>
        <v>28.112717380678241</v>
      </c>
      <c r="E20" s="210">
        <f>IFERROR('Output|Functional'!O93,"")</f>
        <v>24.314708562669114</v>
      </c>
      <c r="F20" s="210">
        <f>IFERROR('Output|Functional'!P93,"")</f>
        <v>23.654101759978154</v>
      </c>
      <c r="G20" s="210">
        <f>IFERROR('Output|Functional'!Q93,"")</f>
        <v>17.376725944362029</v>
      </c>
      <c r="H20" s="212">
        <f t="shared" ref="H20:H27" si="1">SUM(C20:G20)</f>
        <v>134.62064736173267</v>
      </c>
      <c r="I20" s="210"/>
      <c r="J20" s="210">
        <f t="shared" ref="J20:J28" si="2">IFERROR(H20-H5,"")</f>
        <v>-44.306177178382541</v>
      </c>
      <c r="K20" s="214">
        <f t="shared" ref="K20:K28" si="3">IFERROR(H20/H5-1,"")</f>
        <v>-0.24762177103550587</v>
      </c>
      <c r="L20" s="210"/>
      <c r="M20" s="210"/>
    </row>
    <row r="21" spans="2:13" x14ac:dyDescent="0.2">
      <c r="B21" s="213" t="s">
        <v>2299</v>
      </c>
      <c r="C21" s="210">
        <f>IFERROR('Output|Functional'!M94,"")</f>
        <v>53.987826643967587</v>
      </c>
      <c r="D21" s="210">
        <f>IFERROR('Output|Functional'!N94,"")</f>
        <v>86.261866658627241</v>
      </c>
      <c r="E21" s="210">
        <f>IFERROR('Output|Functional'!O94,"")</f>
        <v>79.960297020974338</v>
      </c>
      <c r="F21" s="210">
        <f>IFERROR('Output|Functional'!P94,"")</f>
        <v>77.715222636809671</v>
      </c>
      <c r="G21" s="210">
        <f>IFERROR('Output|Functional'!Q94,"")</f>
        <v>78.551189527163146</v>
      </c>
      <c r="H21" s="212">
        <f t="shared" si="1"/>
        <v>376.47640248754203</v>
      </c>
      <c r="I21" s="210"/>
      <c r="J21" s="210">
        <f t="shared" si="2"/>
        <v>-49.811643453112538</v>
      </c>
      <c r="K21" s="214">
        <f t="shared" si="3"/>
        <v>-0.11684973089779538</v>
      </c>
      <c r="L21" s="210"/>
      <c r="M21" s="210"/>
    </row>
    <row r="22" spans="2:13" x14ac:dyDescent="0.2">
      <c r="B22" s="213" t="s">
        <v>2300</v>
      </c>
      <c r="C22" s="210">
        <f>IFERROR('Output|Functional'!M95,"")</f>
        <v>22.380935763649504</v>
      </c>
      <c r="D22" s="210">
        <f>IFERROR('Output|Functional'!N95,"")</f>
        <v>26.883221973604734</v>
      </c>
      <c r="E22" s="210">
        <f>IFERROR('Output|Functional'!O95,"")</f>
        <v>25.353020647636576</v>
      </c>
      <c r="F22" s="210">
        <f>IFERROR('Output|Functional'!P95,"")</f>
        <v>23.857590370840402</v>
      </c>
      <c r="G22" s="210">
        <f>IFERROR('Output|Functional'!Q95,"")</f>
        <v>26.923489748869656</v>
      </c>
      <c r="H22" s="212">
        <f t="shared" si="1"/>
        <v>125.39825850460088</v>
      </c>
      <c r="I22" s="210"/>
      <c r="J22" s="210">
        <f t="shared" si="2"/>
        <v>-182.66051760293269</v>
      </c>
      <c r="K22" s="214">
        <f t="shared" si="3"/>
        <v>-0.59294047684968954</v>
      </c>
      <c r="L22" s="210"/>
      <c r="M22" s="210"/>
    </row>
    <row r="23" spans="2:13" x14ac:dyDescent="0.2">
      <c r="B23" s="213" t="s">
        <v>2301</v>
      </c>
      <c r="C23" s="210">
        <f>IFERROR('Output|Functional'!M97,"")</f>
        <v>21.113765359285395</v>
      </c>
      <c r="D23" s="210">
        <f>IFERROR('Output|Functional'!N97,"")</f>
        <v>16.639874174108801</v>
      </c>
      <c r="E23" s="210">
        <f>IFERROR('Output|Functional'!O97,"")</f>
        <v>19.162862160138385</v>
      </c>
      <c r="F23" s="210">
        <f>IFERROR('Output|Functional'!P97,"")</f>
        <v>14.025437213949138</v>
      </c>
      <c r="G23" s="210">
        <f>IFERROR('Output|Functional'!Q97,"")</f>
        <v>7.9580196931494331</v>
      </c>
      <c r="H23" s="212">
        <f t="shared" si="1"/>
        <v>78.899958600631152</v>
      </c>
      <c r="I23" s="210"/>
      <c r="J23" s="210">
        <f t="shared" si="2"/>
        <v>-17.174082860464253</v>
      </c>
      <c r="K23" s="214">
        <f t="shared" si="3"/>
        <v>-0.1787588259979549</v>
      </c>
      <c r="L23" s="210"/>
      <c r="M23" s="210"/>
    </row>
    <row r="24" spans="2:13" x14ac:dyDescent="0.2">
      <c r="B24" s="213" t="s">
        <v>2302</v>
      </c>
      <c r="C24" s="210">
        <f>IFERROR('Output|Functional'!M98,"")</f>
        <v>6.2295367733013682</v>
      </c>
      <c r="D24" s="210">
        <f>IFERROR('Output|Functional'!N98,"")</f>
        <v>5.3529167868691951</v>
      </c>
      <c r="E24" s="210">
        <f>IFERROR('Output|Functional'!O98,"")</f>
        <v>3.8812180254802326</v>
      </c>
      <c r="F24" s="210">
        <f>IFERROR('Output|Functional'!P98,"")</f>
        <v>2.6026402484331692</v>
      </c>
      <c r="G24" s="210">
        <f>IFERROR('Output|Functional'!Q98,"")</f>
        <v>2.6075237759349634</v>
      </c>
      <c r="H24" s="212">
        <f t="shared" si="1"/>
        <v>20.67383561001893</v>
      </c>
      <c r="I24" s="210"/>
      <c r="J24" s="210">
        <f t="shared" si="2"/>
        <v>-0.39844394023572605</v>
      </c>
      <c r="K24" s="214">
        <f t="shared" si="3"/>
        <v>-1.89084403177876E-2</v>
      </c>
      <c r="L24" s="210"/>
      <c r="M24" s="210"/>
    </row>
    <row r="25" spans="2:13" x14ac:dyDescent="0.2">
      <c r="B25" s="213" t="s">
        <v>2403</v>
      </c>
      <c r="C25" s="210">
        <f>IFERROR('Output|Functional'!M120-'Output|Functional'!M104,"")</f>
        <v>17.347915772721052</v>
      </c>
      <c r="D25" s="210">
        <f>IFERROR('Output|Functional'!N120-'Output|Functional'!N104,"")</f>
        <v>18.24708393448077</v>
      </c>
      <c r="E25" s="210">
        <f>IFERROR('Output|Functional'!O120-'Output|Functional'!O104,"")</f>
        <v>17.942799065089133</v>
      </c>
      <c r="F25" s="210">
        <f>IFERROR('Output|Functional'!P120-'Output|Functional'!P104,"")</f>
        <v>18.063132495067237</v>
      </c>
      <c r="G25" s="210">
        <f>IFERROR('Output|Functional'!Q120-'Output|Functional'!Q104,"")</f>
        <v>18.557168053530518</v>
      </c>
      <c r="H25" s="212">
        <f t="shared" si="1"/>
        <v>90.158099320888709</v>
      </c>
      <c r="I25" s="210"/>
      <c r="J25" s="210">
        <f t="shared" si="2"/>
        <v>-20.104114363135977</v>
      </c>
      <c r="K25" s="214">
        <f t="shared" si="3"/>
        <v>-0.18233004482159021</v>
      </c>
      <c r="L25" s="210"/>
      <c r="M25" s="210"/>
    </row>
    <row r="26" spans="2:13" x14ac:dyDescent="0.2">
      <c r="B26" s="213" t="s">
        <v>2476</v>
      </c>
      <c r="C26" s="210">
        <f>IFERROR('Output|PTRM'!G48,"")</f>
        <v>38.054173712491952</v>
      </c>
      <c r="D26" s="210">
        <f>IFERROR('Output|PTRM'!H48,"")</f>
        <v>61.042486376086565</v>
      </c>
      <c r="E26" s="210">
        <f>IFERROR('Output|PTRM'!I48,"")</f>
        <v>53.291650574973609</v>
      </c>
      <c r="F26" s="210">
        <f>IFERROR('Output|PTRM'!J48,"")</f>
        <v>51.911327696717024</v>
      </c>
      <c r="G26" s="210">
        <f>IFERROR('Output|PTRM'!K48,"")</f>
        <v>52.399798514826607</v>
      </c>
      <c r="H26" s="212">
        <f t="shared" si="1"/>
        <v>256.69943687509573</v>
      </c>
      <c r="I26" s="210"/>
      <c r="J26" s="210">
        <f t="shared" si="2"/>
        <v>-34.774946771151406</v>
      </c>
      <c r="K26" s="214">
        <f t="shared" si="3"/>
        <v>-0.11930704282183713</v>
      </c>
      <c r="L26" s="210"/>
      <c r="M26" s="210"/>
    </row>
    <row r="27" spans="2:13" x14ac:dyDescent="0.2">
      <c r="B27" s="213" t="s">
        <v>2331</v>
      </c>
      <c r="C27" s="210">
        <f>IFERROR('Output|PTRM'!G69,"")</f>
        <v>0.43577231873097599</v>
      </c>
      <c r="D27" s="210">
        <f>IFERROR('Output|PTRM'!H69,"")</f>
        <v>0.43577231873097599</v>
      </c>
      <c r="E27" s="210">
        <f>IFERROR('Output|PTRM'!I69,"")</f>
        <v>0.43577231873097599</v>
      </c>
      <c r="F27" s="210">
        <f>IFERROR('Output|PTRM'!J69,"")</f>
        <v>0.43577231873097599</v>
      </c>
      <c r="G27" s="210">
        <f>IFERROR('Output|PTRM'!K69,"")</f>
        <v>0.43577231873097599</v>
      </c>
      <c r="H27" s="212">
        <f t="shared" si="1"/>
        <v>2.1788615936548799</v>
      </c>
      <c r="I27" s="210"/>
      <c r="J27" s="210">
        <f t="shared" si="2"/>
        <v>0</v>
      </c>
      <c r="K27" s="214">
        <f t="shared" si="3"/>
        <v>0</v>
      </c>
      <c r="L27" s="210"/>
      <c r="M27" s="210"/>
    </row>
    <row r="28" spans="2:13" x14ac:dyDescent="0.2">
      <c r="B28" s="209" t="s">
        <v>2477</v>
      </c>
      <c r="C28" s="212">
        <f>IFERROR(SUM(C20:C25),"")</f>
        <v>162.22237402697004</v>
      </c>
      <c r="D28" s="212">
        <f>IFERROR(SUM(D20:D25),"")</f>
        <v>181.49768090836901</v>
      </c>
      <c r="E28" s="212">
        <f>IFERROR(SUM(E20:E25),"")</f>
        <v>170.61490548198776</v>
      </c>
      <c r="F28" s="212">
        <f>IFERROR(SUM(F20:F25),"")</f>
        <v>159.91812472507777</v>
      </c>
      <c r="G28" s="212">
        <f>IFERROR(SUM(G20:G25),"")</f>
        <v>151.97411674300974</v>
      </c>
      <c r="H28" s="212">
        <f t="shared" ref="H28" si="4">SUM(C28:G28)</f>
        <v>826.22720188541427</v>
      </c>
      <c r="I28" s="210"/>
      <c r="J28" s="210">
        <f t="shared" si="2"/>
        <v>-314.45497939826384</v>
      </c>
      <c r="K28" s="214">
        <f t="shared" si="3"/>
        <v>-0.27567273738280784</v>
      </c>
      <c r="L28" s="210"/>
      <c r="M28" s="210"/>
    </row>
    <row r="29" spans="2:13" x14ac:dyDescent="0.2">
      <c r="B29" s="213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</row>
    <row r="30" spans="2:13" x14ac:dyDescent="0.2">
      <c r="B30" s="209" t="s">
        <v>2478</v>
      </c>
      <c r="C30" s="212">
        <f>IFERROR(C28-SUM(C26:C27),"")</f>
        <v>123.73242799574712</v>
      </c>
      <c r="D30" s="212">
        <f>IFERROR(D28-SUM(D26:D27),"")</f>
        <v>120.01942221355147</v>
      </c>
      <c r="E30" s="212">
        <f>IFERROR(E28-SUM(E26:E27),"")</f>
        <v>116.88748258828318</v>
      </c>
      <c r="F30" s="212">
        <f>IFERROR(F28-SUM(F26:F27),"")</f>
        <v>107.57102470962977</v>
      </c>
      <c r="G30" s="212">
        <f>IFERROR(G28-SUM(G26:G27),"")</f>
        <v>99.138545909452162</v>
      </c>
      <c r="H30" s="215">
        <f>SUM(C30:G30)</f>
        <v>567.3489034166638</v>
      </c>
      <c r="I30" s="210" t="b">
        <f>H30='Output|PTRM'!L89</f>
        <v>1</v>
      </c>
      <c r="J30" s="212">
        <f>IFERROR(H30-H15,"")</f>
        <v>-279.68003262711215</v>
      </c>
      <c r="K30" s="216">
        <f>IFERROR(H30/H15-1,"")</f>
        <v>-0.33018946664728555</v>
      </c>
      <c r="L30" s="210"/>
      <c r="M30" s="210"/>
    </row>
    <row r="31" spans="2:13" x14ac:dyDescent="0.2">
      <c r="B31" s="213" t="s">
        <v>2479</v>
      </c>
      <c r="C31" s="210">
        <f>IFERROR(C21-C26,"")</f>
        <v>15.933652931475635</v>
      </c>
      <c r="D31" s="210">
        <f>IFERROR(D21-D26,"")</f>
        <v>25.219380282540676</v>
      </c>
      <c r="E31" s="210">
        <f>IFERROR(E21-E26,"")</f>
        <v>26.668646446000729</v>
      </c>
      <c r="F31" s="210">
        <f>IFERROR(F21-F26,"")</f>
        <v>25.803894940092647</v>
      </c>
      <c r="G31" s="210">
        <f>IFERROR(G21-G26,"")</f>
        <v>26.151391012336539</v>
      </c>
      <c r="H31" s="212">
        <f>SUM(C31:G31)</f>
        <v>119.77696561244622</v>
      </c>
      <c r="I31" s="210"/>
      <c r="J31" s="210">
        <f>IFERROR(H31-H16,"")</f>
        <v>-15.036696681961189</v>
      </c>
      <c r="K31" s="214">
        <f>IFERROR(H31/H16-1,"")</f>
        <v>-0.1115368904460432</v>
      </c>
      <c r="L31" s="214"/>
      <c r="M31" s="210"/>
    </row>
  </sheetData>
  <conditionalFormatting sqref="I15">
    <cfRule type="cellIs" dxfId="13" priority="3" operator="equal">
      <formula>TRUE</formula>
    </cfRule>
    <cfRule type="cellIs" dxfId="12" priority="4" operator="equal">
      <formula>FALSE</formula>
    </cfRule>
  </conditionalFormatting>
  <conditionalFormatting sqref="I30">
    <cfRule type="cellIs" dxfId="11" priority="1" operator="equal">
      <formula>TRUE</formula>
    </cfRule>
    <cfRule type="cellIs" dxfId="10" priority="2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2:U31"/>
  <sheetViews>
    <sheetView topLeftCell="C7" zoomScale="115" zoomScaleNormal="115" workbookViewId="0">
      <selection activeCell="L18" sqref="L18"/>
    </sheetView>
  </sheetViews>
  <sheetFormatPr defaultRowHeight="12.75" x14ac:dyDescent="0.2"/>
  <cols>
    <col min="1" max="1" width="9" style="208"/>
    <col min="2" max="2" width="35.75" style="208" customWidth="1"/>
    <col min="3" max="7" width="9" style="208"/>
    <col min="8" max="8" width="8" style="208" bestFit="1" customWidth="1"/>
    <col min="9" max="9" width="6" style="208" bestFit="1" customWidth="1"/>
    <col min="10" max="10" width="13.875" style="208" bestFit="1" customWidth="1"/>
    <col min="11" max="11" width="14.875" style="208" bestFit="1" customWidth="1"/>
    <col min="12" max="13" width="9" style="208"/>
    <col min="14" max="14" width="20.25" style="208" bestFit="1" customWidth="1"/>
    <col min="15" max="16384" width="9" style="208"/>
  </cols>
  <sheetData>
    <row r="2" spans="2:21" x14ac:dyDescent="0.2">
      <c r="B2" s="209" t="s">
        <v>2473</v>
      </c>
      <c r="C2" s="210"/>
      <c r="D2" s="210"/>
      <c r="E2" s="210"/>
      <c r="F2" s="210"/>
      <c r="G2" s="210"/>
      <c r="H2" s="210"/>
      <c r="I2" s="210"/>
      <c r="J2" s="210"/>
      <c r="K2" s="210"/>
      <c r="M2" s="210"/>
      <c r="N2" s="209" t="s">
        <v>2475</v>
      </c>
      <c r="O2" s="212" t="s">
        <v>2432</v>
      </c>
      <c r="P2" s="212" t="s">
        <v>2433</v>
      </c>
      <c r="Q2" s="212" t="s">
        <v>2434</v>
      </c>
      <c r="R2" s="212" t="s">
        <v>2435</v>
      </c>
      <c r="S2" s="212" t="s">
        <v>2436</v>
      </c>
      <c r="T2" s="210"/>
      <c r="U2" s="210"/>
    </row>
    <row r="3" spans="2:21" x14ac:dyDescent="0.2">
      <c r="B3" s="209" t="s">
        <v>2497</v>
      </c>
      <c r="C3" s="212" t="s">
        <v>2432</v>
      </c>
      <c r="D3" s="212" t="s">
        <v>2433</v>
      </c>
      <c r="E3" s="212" t="s">
        <v>2434</v>
      </c>
      <c r="F3" s="212" t="s">
        <v>2435</v>
      </c>
      <c r="G3" s="212" t="s">
        <v>2436</v>
      </c>
      <c r="H3" s="210"/>
      <c r="I3" s="210"/>
      <c r="J3" s="210"/>
      <c r="K3" s="210"/>
      <c r="M3" s="217" t="s">
        <v>2485</v>
      </c>
      <c r="N3" s="213" t="s">
        <v>2491</v>
      </c>
      <c r="O3" s="210">
        <f>IFERROR(('[2]Project List'!F8*[2]Inflation!$K$10*(1+[3]Inflation!R$85))/10^3,"")</f>
        <v>6.713659558025391</v>
      </c>
      <c r="P3" s="210">
        <f>IFERROR(('[2]Project List'!G8*[2]Inflation!$K$10*(1+[3]Inflation!S$85))/10^3,"")</f>
        <v>6.2193538981329164</v>
      </c>
      <c r="Q3" s="210">
        <f>IFERROR(('[2]Project List'!H8*[2]Inflation!$K$10*(1+[3]Inflation!T$85))/10^3,"")</f>
        <v>6.6388551328690228</v>
      </c>
      <c r="R3" s="210">
        <f>IFERROR(('[2]Project List'!I8*[2]Inflation!$K$10*(1+[3]Inflation!U$85))/10^3,"")</f>
        <v>6.6334674705580552</v>
      </c>
      <c r="S3" s="210">
        <f>IFERROR(('[2]Project List'!J8*[2]Inflation!$K$10*(1+[3]Inflation!V$85))/10^3,"")</f>
        <v>6.8320501182642834</v>
      </c>
      <c r="T3" s="212">
        <f t="shared" ref="T3:T8" si="0">SUM(O3:S3)</f>
        <v>33.037386177849669</v>
      </c>
      <c r="U3" s="210" t="b">
        <v>1</v>
      </c>
    </row>
    <row r="4" spans="2:21" x14ac:dyDescent="0.2">
      <c r="B4" s="213" t="s">
        <v>2483</v>
      </c>
      <c r="C4" s="210">
        <f>IFERROR(Comp!C7,"")</f>
        <v>53.710503841029315</v>
      </c>
      <c r="D4" s="210">
        <f>IFERROR(Comp!D7,"")</f>
        <v>61.877321900070378</v>
      </c>
      <c r="E4" s="210">
        <f>IFERROR(Comp!E7,"")</f>
        <v>68.432927581889103</v>
      </c>
      <c r="F4" s="210">
        <f>IFERROR(Comp!F7,"")</f>
        <v>65.724782266404176</v>
      </c>
      <c r="G4" s="210">
        <f>IFERROR(Comp!G7,"")</f>
        <v>58.313240518140567</v>
      </c>
      <c r="H4" s="212">
        <f>SUM(C4:G4)</f>
        <v>308.05877610753356</v>
      </c>
      <c r="I4" s="210"/>
      <c r="J4" s="210"/>
      <c r="K4" s="210"/>
      <c r="M4" s="217" t="s">
        <v>2485</v>
      </c>
      <c r="N4" s="213" t="s">
        <v>2492</v>
      </c>
      <c r="O4" s="210">
        <f>IFERROR(('[2]Project List'!F21*[2]Inflation!$K$10*(1+[3]Inflation!R$85))/10^3,"")</f>
        <v>1.4837878239925466</v>
      </c>
      <c r="P4" s="210">
        <f>IFERROR(('[2]Project List'!G21*[2]Inflation!$K$10*(1+[3]Inflation!S$85))/10^3,"")</f>
        <v>1.6195413763330524</v>
      </c>
      <c r="Q4" s="210">
        <f>IFERROR(('[2]Project List'!H21*[2]Inflation!$K$10*(1+[3]Inflation!T$85))/10^3,"")</f>
        <v>1.7594558301910577</v>
      </c>
      <c r="R4" s="210">
        <f>IFERROR(('[2]Project List'!I21*[2]Inflation!$K$10*(1+[3]Inflation!U$85))/10^3,"")</f>
        <v>1.8426294676590893</v>
      </c>
      <c r="S4" s="210">
        <f>IFERROR(('[2]Project List'!J21*[2]Inflation!$K$10*(1+[3]Inflation!V$85))/10^3,"")</f>
        <v>1.9155759351831185</v>
      </c>
      <c r="T4" s="212">
        <f t="shared" si="0"/>
        <v>8.6209904333588643</v>
      </c>
      <c r="U4" s="210" t="b">
        <v>1</v>
      </c>
    </row>
    <row r="5" spans="2:21" x14ac:dyDescent="0.2">
      <c r="B5" s="213" t="s">
        <v>2484</v>
      </c>
      <c r="C5" s="210">
        <f>IFERROR(O8,"")</f>
        <v>13.208120723013572</v>
      </c>
      <c r="D5" s="210">
        <f t="shared" ref="D5:G5" si="1">IFERROR(P8,"")</f>
        <v>12.264687122915568</v>
      </c>
      <c r="E5" s="210">
        <f t="shared" si="1"/>
        <v>12.822817051103057</v>
      </c>
      <c r="F5" s="210">
        <f t="shared" si="1"/>
        <v>10.565153115437068</v>
      </c>
      <c r="G5" s="210">
        <f t="shared" si="1"/>
        <v>11.174185394398119</v>
      </c>
      <c r="H5" s="212">
        <f t="shared" ref="H5:H15" si="2">SUM(C5:G5)</f>
        <v>60.034963406867391</v>
      </c>
      <c r="I5" s="210"/>
      <c r="J5" s="210"/>
      <c r="K5" s="210"/>
      <c r="M5" s="217" t="s">
        <v>2485</v>
      </c>
      <c r="N5" s="213" t="s">
        <v>2493</v>
      </c>
      <c r="O5" s="210">
        <f>IFERROR(('[4]Project List'!F15*[4]Inflation!$K$10*(1+[3]Inflation!R$85))/10^6,"")</f>
        <v>1.1075071402108276</v>
      </c>
      <c r="P5" s="210">
        <f>IFERROR(('[4]Project List'!G15*[4]Inflation!$K$10*(1+[3]Inflation!S$85))/10^6,"")</f>
        <v>1.1268794463965024</v>
      </c>
      <c r="Q5" s="210">
        <f>IFERROR(('[4]Project List'!H15*[4]Inflation!$K$10*(1+[3]Inflation!T$85))/10^6,"")</f>
        <v>1.1465031192384865</v>
      </c>
      <c r="R5" s="210">
        <f>IFERROR(('[4]Project List'!I15*[4]Inflation!$K$10*(1+[3]Inflation!U$85))/10^6,"")</f>
        <v>1.1637563855242776</v>
      </c>
      <c r="S5" s="210">
        <f>IFERROR(('[4]Project List'!J15*[4]Inflation!$K$10*(1+[3]Inflation!V$85))/10^6,"")</f>
        <v>1.1798671027783982</v>
      </c>
      <c r="T5" s="212">
        <f t="shared" si="0"/>
        <v>5.7245131941484919</v>
      </c>
      <c r="U5" s="210" t="b">
        <v>1</v>
      </c>
    </row>
    <row r="6" spans="2:21" x14ac:dyDescent="0.2">
      <c r="B6" s="213" t="s">
        <v>2485</v>
      </c>
      <c r="C6" s="210">
        <f>IFERROR(Comp!C5-SUM(O3:O5),"")</f>
        <v>36.316433916302017</v>
      </c>
      <c r="D6" s="210">
        <f>IFERROR(Comp!D5-SUM(P3:P5),"")</f>
        <v>26.288545829291067</v>
      </c>
      <c r="E6" s="210">
        <f>IFERROR(Comp!E5-SUM(Q3:Q5),"")</f>
        <v>29.800548465669991</v>
      </c>
      <c r="F6" s="210">
        <f>IFERROR(Comp!F5-SUM(R3:R5),"")</f>
        <v>26.703817889157644</v>
      </c>
      <c r="G6" s="210">
        <f>IFERROR(Comp!G5-SUM(S3:S5),"")</f>
        <v>12.434588634337455</v>
      </c>
      <c r="H6" s="212">
        <f t="shared" si="2"/>
        <v>131.54393473475818</v>
      </c>
      <c r="I6" s="210"/>
      <c r="J6" s="210"/>
      <c r="K6" s="210"/>
      <c r="M6" s="218" t="s">
        <v>2494</v>
      </c>
      <c r="N6" s="213" t="s">
        <v>2495</v>
      </c>
      <c r="O6" s="210">
        <v>2.7928001233377402</v>
      </c>
      <c r="P6" s="210">
        <v>3.2989124020530953</v>
      </c>
      <c r="Q6" s="210">
        <v>3.2780029688044903</v>
      </c>
      <c r="R6" s="210">
        <v>0.92529979169564458</v>
      </c>
      <c r="S6" s="210">
        <v>1.2466922381723193</v>
      </c>
      <c r="T6" s="212">
        <f>SUM(O6:S6)</f>
        <v>11.541707524063289</v>
      </c>
      <c r="U6" s="210" t="b">
        <v>1</v>
      </c>
    </row>
    <row r="7" spans="2:21" x14ac:dyDescent="0.2">
      <c r="B7" s="213" t="s">
        <v>2486</v>
      </c>
      <c r="C7" s="210">
        <f>IFERROR(Comp!C6,"")</f>
        <v>92.908732240800973</v>
      </c>
      <c r="D7" s="210">
        <f>IFERROR(Comp!D6,"")</f>
        <v>87.434807928667823</v>
      </c>
      <c r="E7" s="210">
        <f>IFERROR(Comp!E6,"")</f>
        <v>82.348211157518023</v>
      </c>
      <c r="F7" s="210">
        <f>IFERROR(Comp!F6,"")</f>
        <v>80.96721442367766</v>
      </c>
      <c r="G7" s="210">
        <f>IFERROR(Comp!G6,"")</f>
        <v>82.629080189990063</v>
      </c>
      <c r="H7" s="212">
        <f t="shared" si="2"/>
        <v>426.28804594065457</v>
      </c>
      <c r="I7" s="210"/>
      <c r="J7" s="210"/>
      <c r="K7" s="210"/>
      <c r="M7" s="218" t="s">
        <v>2494</v>
      </c>
      <c r="N7" s="213" t="s">
        <v>2496</v>
      </c>
      <c r="O7" s="210">
        <v>1.1103660774470656</v>
      </c>
      <c r="P7" s="210">
        <v>0</v>
      </c>
      <c r="Q7" s="210">
        <v>0</v>
      </c>
      <c r="R7" s="210">
        <v>0</v>
      </c>
      <c r="S7" s="210">
        <v>0</v>
      </c>
      <c r="T7" s="212">
        <f t="shared" si="0"/>
        <v>1.1103660774470656</v>
      </c>
      <c r="U7" s="210" t="b">
        <v>1</v>
      </c>
    </row>
    <row r="8" spans="2:21" x14ac:dyDescent="0.2">
      <c r="B8" s="213" t="s">
        <v>2487</v>
      </c>
      <c r="C8" s="210">
        <f>IFERROR(Comp!C8-SUM(O6:O7),"")</f>
        <v>20.718632009343334</v>
      </c>
      <c r="D8" s="210">
        <f>IFERROR(Comp!D8-SUM(P6:P7),"")</f>
        <v>16.625151913690871</v>
      </c>
      <c r="E8" s="210">
        <f>IFERROR(Comp!E8-SUM(Q6:Q7),"")</f>
        <v>19.910068344383898</v>
      </c>
      <c r="F8" s="210">
        <f>IFERROR(Comp!F8-SUM(R6:R7),"")</f>
        <v>17.035293580467155</v>
      </c>
      <c r="G8" s="210">
        <f>IFERROR(Comp!G8-SUM(S6:S7),"")</f>
        <v>9.1328220116997922</v>
      </c>
      <c r="H8" s="212">
        <f t="shared" si="2"/>
        <v>83.421967859585052</v>
      </c>
      <c r="I8" s="210"/>
      <c r="J8" s="210"/>
      <c r="K8" s="210"/>
      <c r="M8" s="210"/>
      <c r="N8" s="210"/>
      <c r="O8" s="212">
        <f>IFERROR(SUM(O3:O7),"")</f>
        <v>13.208120723013572</v>
      </c>
      <c r="P8" s="212">
        <f t="shared" ref="P8:S8" si="3">IFERROR(SUM(P3:P7),"")</f>
        <v>12.264687122915568</v>
      </c>
      <c r="Q8" s="212">
        <f t="shared" si="3"/>
        <v>12.822817051103057</v>
      </c>
      <c r="R8" s="212">
        <f t="shared" si="3"/>
        <v>10.565153115437068</v>
      </c>
      <c r="S8" s="212">
        <f t="shared" si="3"/>
        <v>11.174185394398119</v>
      </c>
      <c r="T8" s="215">
        <f t="shared" si="0"/>
        <v>60.034963406867391</v>
      </c>
      <c r="U8" s="210"/>
    </row>
    <row r="9" spans="2:21" x14ac:dyDescent="0.2">
      <c r="B9" s="213" t="s">
        <v>2488</v>
      </c>
      <c r="C9" s="210">
        <f>IFERROR(Comp!C9,"")</f>
        <v>6.284810978011155</v>
      </c>
      <c r="D9" s="210">
        <f>IFERROR(Comp!D9,"")</f>
        <v>5.4437058157307137</v>
      </c>
      <c r="E9" s="210">
        <f>IFERROR(Comp!E9,"")</f>
        <v>3.9744465568103533</v>
      </c>
      <c r="F9" s="210">
        <f>IFERROR(Comp!F9,"")</f>
        <v>2.6771532308994344</v>
      </c>
      <c r="G9" s="210">
        <f>IFERROR(Comp!G9,"")</f>
        <v>2.692162968803002</v>
      </c>
      <c r="H9" s="212">
        <f t="shared" si="2"/>
        <v>21.072279550254656</v>
      </c>
      <c r="I9" s="210"/>
      <c r="J9" s="210"/>
      <c r="K9" s="210"/>
      <c r="M9" s="210"/>
      <c r="N9" s="210"/>
      <c r="O9" s="210"/>
      <c r="P9" s="210"/>
      <c r="Q9" s="210"/>
      <c r="R9" s="210"/>
      <c r="S9" s="210"/>
      <c r="T9" s="210"/>
      <c r="U9" s="210"/>
    </row>
    <row r="10" spans="2:21" x14ac:dyDescent="0.2">
      <c r="B10" s="213" t="s">
        <v>2403</v>
      </c>
      <c r="C10" s="210">
        <f>IFERROR(Comp!C10,"")</f>
        <v>21.158244335231586</v>
      </c>
      <c r="D10" s="210">
        <f>IFERROR(Comp!D10,"")</f>
        <v>21.610801049787455</v>
      </c>
      <c r="E10" s="210">
        <f>IFERROR(Comp!E10,"")</f>
        <v>22.060248661802063</v>
      </c>
      <c r="F10" s="210">
        <f>IFERROR(Comp!F10,"")</f>
        <v>22.501142692609278</v>
      </c>
      <c r="G10" s="210">
        <f>IFERROR(Comp!G10,"")</f>
        <v>22.931776944594304</v>
      </c>
      <c r="H10" s="212">
        <f t="shared" si="2"/>
        <v>110.26221368402469</v>
      </c>
      <c r="I10" s="210"/>
      <c r="J10" s="210"/>
      <c r="K10" s="210"/>
      <c r="M10" s="210"/>
      <c r="N10" s="210"/>
      <c r="O10" s="210"/>
      <c r="P10" s="210"/>
      <c r="Q10" s="210"/>
      <c r="R10" s="210"/>
      <c r="S10" s="210"/>
      <c r="T10" s="210"/>
      <c r="U10" s="210"/>
    </row>
    <row r="11" spans="2:21" x14ac:dyDescent="0.2">
      <c r="B11" s="209" t="s">
        <v>2477</v>
      </c>
      <c r="C11" s="212">
        <f>IFERROR(SUM(C4:C10),"")</f>
        <v>244.30547804373197</v>
      </c>
      <c r="D11" s="212">
        <f t="shared" ref="D11:G11" si="4">IFERROR(SUM(D4:D10),"")</f>
        <v>231.54502156015388</v>
      </c>
      <c r="E11" s="212">
        <f t="shared" si="4"/>
        <v>239.3492678191765</v>
      </c>
      <c r="F11" s="212">
        <f t="shared" si="4"/>
        <v>226.17455719865239</v>
      </c>
      <c r="G11" s="212">
        <f t="shared" si="4"/>
        <v>199.30785666196331</v>
      </c>
      <c r="H11" s="215">
        <f t="shared" si="2"/>
        <v>1140.6821812836781</v>
      </c>
      <c r="I11" s="210" t="b">
        <f>H11=Comp!H13</f>
        <v>1</v>
      </c>
      <c r="J11" s="210"/>
      <c r="K11" s="210"/>
      <c r="M11" s="210"/>
      <c r="N11" s="210"/>
      <c r="O11" s="210"/>
      <c r="P11" s="210"/>
      <c r="Q11" s="210"/>
      <c r="R11" s="210"/>
      <c r="S11" s="210"/>
      <c r="T11" s="210"/>
      <c r="U11" s="210"/>
    </row>
    <row r="12" spans="2:21" x14ac:dyDescent="0.2">
      <c r="B12" s="213" t="s">
        <v>2489</v>
      </c>
      <c r="C12" s="210">
        <f>IFERROR(Comp!C11,"")</f>
        <v>65.489206063205728</v>
      </c>
      <c r="D12" s="210">
        <f>IFERROR(Comp!D11,"")</f>
        <v>61.874702873696478</v>
      </c>
      <c r="E12" s="210">
        <f>IFERROR(Comp!E11,"")</f>
        <v>54.891586447128873</v>
      </c>
      <c r="F12" s="210">
        <f>IFERROR(Comp!F11,"")</f>
        <v>54.091125371003379</v>
      </c>
      <c r="G12" s="210">
        <f>IFERROR(Comp!G11,"")</f>
        <v>55.127762891212662</v>
      </c>
      <c r="H12" s="212">
        <f t="shared" si="2"/>
        <v>291.47438364624713</v>
      </c>
      <c r="I12" s="210"/>
      <c r="J12" s="210"/>
      <c r="K12" s="210"/>
      <c r="M12" s="210"/>
      <c r="N12" s="210"/>
      <c r="O12" s="210"/>
      <c r="P12" s="210"/>
      <c r="Q12" s="210"/>
      <c r="R12" s="210"/>
      <c r="S12" s="210"/>
      <c r="T12" s="210"/>
      <c r="U12" s="210"/>
    </row>
    <row r="13" spans="2:21" x14ac:dyDescent="0.2">
      <c r="B13" s="213" t="s">
        <v>2490</v>
      </c>
      <c r="C13" s="210">
        <f>IFERROR(Comp!C12,"")</f>
        <v>0.43577231873097599</v>
      </c>
      <c r="D13" s="210">
        <f>IFERROR(Comp!D12,"")</f>
        <v>0.43577231873097599</v>
      </c>
      <c r="E13" s="210">
        <f>IFERROR(Comp!E12,"")</f>
        <v>0.43577231873097599</v>
      </c>
      <c r="F13" s="210">
        <f>IFERROR(Comp!F12,"")</f>
        <v>0.43577231873097599</v>
      </c>
      <c r="G13" s="210">
        <f>IFERROR(Comp!G12,"")</f>
        <v>0.43577231873097599</v>
      </c>
      <c r="H13" s="212">
        <f t="shared" si="2"/>
        <v>2.1788615936548799</v>
      </c>
      <c r="I13" s="210"/>
      <c r="J13" s="210"/>
      <c r="K13" s="210"/>
      <c r="M13" s="210"/>
      <c r="N13" s="209" t="s">
        <v>2480</v>
      </c>
      <c r="O13" s="212" t="s">
        <v>2432</v>
      </c>
      <c r="P13" s="212" t="s">
        <v>2433</v>
      </c>
      <c r="Q13" s="212" t="s">
        <v>2434</v>
      </c>
      <c r="R13" s="212" t="s">
        <v>2435</v>
      </c>
      <c r="S13" s="212" t="s">
        <v>2436</v>
      </c>
      <c r="T13" s="210"/>
      <c r="U13" s="210"/>
    </row>
    <row r="14" spans="2:21" x14ac:dyDescent="0.2">
      <c r="B14" s="209" t="s">
        <v>2478</v>
      </c>
      <c r="C14" s="212">
        <f>IFERROR(C11-SUM(C12:C13),"")</f>
        <v>178.38049966179526</v>
      </c>
      <c r="D14" s="212">
        <f t="shared" ref="D14:G14" si="5">IFERROR(D11-SUM(D12:D13),"")</f>
        <v>169.23454636772644</v>
      </c>
      <c r="E14" s="212">
        <f t="shared" si="5"/>
        <v>184.02190905331665</v>
      </c>
      <c r="F14" s="212">
        <f t="shared" si="5"/>
        <v>171.64765950891803</v>
      </c>
      <c r="G14" s="212">
        <f t="shared" si="5"/>
        <v>143.74432145201968</v>
      </c>
      <c r="H14" s="215">
        <f t="shared" si="2"/>
        <v>847.02893604377596</v>
      </c>
      <c r="I14" s="210" t="b">
        <f>H14=Comp!H15</f>
        <v>1</v>
      </c>
      <c r="J14" s="210"/>
      <c r="K14" s="210"/>
      <c r="M14" s="217" t="s">
        <v>2485</v>
      </c>
      <c r="N14" s="213" t="s">
        <v>2491</v>
      </c>
      <c r="O14" s="210">
        <v>3.6855256266353282</v>
      </c>
      <c r="P14" s="210">
        <v>3.3498171031123576</v>
      </c>
      <c r="Q14" s="210">
        <v>3.5128392859756747</v>
      </c>
      <c r="R14" s="210">
        <v>3.4665211850681841</v>
      </c>
      <c r="S14" s="210">
        <v>3.5452557845255059</v>
      </c>
      <c r="T14" s="212">
        <f t="shared" ref="T14:T19" si="6">SUM(O14:S14)</f>
        <v>17.559958985317049</v>
      </c>
      <c r="U14" s="210"/>
    </row>
    <row r="15" spans="2:21" x14ac:dyDescent="0.2">
      <c r="B15" s="213" t="s">
        <v>2479</v>
      </c>
      <c r="C15" s="210">
        <f>IFERROR(C7-C12,"")</f>
        <v>27.419526177595245</v>
      </c>
      <c r="D15" s="210">
        <f t="shared" ref="D15:G15" si="7">IFERROR(D7-D12,"")</f>
        <v>25.560105054971345</v>
      </c>
      <c r="E15" s="210">
        <f t="shared" si="7"/>
        <v>27.45662471038915</v>
      </c>
      <c r="F15" s="210">
        <f t="shared" si="7"/>
        <v>26.876089052674281</v>
      </c>
      <c r="G15" s="210">
        <f t="shared" si="7"/>
        <v>27.501317298777401</v>
      </c>
      <c r="H15" s="212">
        <f t="shared" si="2"/>
        <v>134.81366229440741</v>
      </c>
      <c r="I15" s="210"/>
      <c r="J15" s="210"/>
      <c r="K15" s="210"/>
      <c r="M15" s="217" t="s">
        <v>2485</v>
      </c>
      <c r="N15" s="213" t="s">
        <v>2492</v>
      </c>
      <c r="O15" s="210">
        <v>1.4435489099386376</v>
      </c>
      <c r="P15" s="210">
        <v>1.5459215570592904</v>
      </c>
      <c r="Q15" s="210">
        <v>1.6499205718726737</v>
      </c>
      <c r="R15" s="210">
        <v>1.7065178952861055</v>
      </c>
      <c r="S15" s="210">
        <v>1.7616331857532994</v>
      </c>
      <c r="T15" s="212">
        <f t="shared" si="6"/>
        <v>8.107542119910006</v>
      </c>
      <c r="U15" s="210"/>
    </row>
    <row r="16" spans="2:21" x14ac:dyDescent="0.2">
      <c r="B16" s="213"/>
      <c r="C16" s="210"/>
      <c r="D16" s="210"/>
      <c r="E16" s="210"/>
      <c r="F16" s="210"/>
      <c r="G16" s="210"/>
      <c r="H16" s="210"/>
      <c r="I16" s="210"/>
      <c r="J16" s="210"/>
      <c r="K16" s="210"/>
      <c r="M16" s="217" t="s">
        <v>2485</v>
      </c>
      <c r="N16" s="213" t="s">
        <v>2493</v>
      </c>
      <c r="O16" s="210">
        <v>1.0886083127893744</v>
      </c>
      <c r="P16" s="210">
        <v>1.0867715839499035</v>
      </c>
      <c r="Q16" s="210">
        <v>1.0862388231093947</v>
      </c>
      <c r="R16" s="210">
        <v>1.0889309029862089</v>
      </c>
      <c r="S16" s="210">
        <v>1.0962626404171416</v>
      </c>
      <c r="T16" s="212">
        <f t="shared" si="6"/>
        <v>5.4468122632520233</v>
      </c>
      <c r="U16" s="210"/>
    </row>
    <row r="17" spans="2:21" x14ac:dyDescent="0.2">
      <c r="B17" s="213"/>
      <c r="C17" s="210"/>
      <c r="D17" s="210"/>
      <c r="E17" s="210"/>
      <c r="F17" s="210"/>
      <c r="G17" s="210"/>
      <c r="H17" s="210"/>
      <c r="I17" s="210"/>
      <c r="J17" s="210"/>
      <c r="K17" s="210"/>
      <c r="M17" s="218" t="s">
        <v>2494</v>
      </c>
      <c r="N17" s="213" t="s">
        <v>2495</v>
      </c>
      <c r="O17" s="210">
        <v>2.7614451277132961</v>
      </c>
      <c r="P17" s="210">
        <v>3.208665987210884</v>
      </c>
      <c r="Q17" s="210">
        <v>3.1394140752799427</v>
      </c>
      <c r="R17" s="210">
        <v>0.8765156999851228</v>
      </c>
      <c r="S17" s="210">
        <v>1.1729332270871315</v>
      </c>
      <c r="T17" s="212">
        <f t="shared" si="6"/>
        <v>11.158974117276378</v>
      </c>
      <c r="U17" s="210"/>
    </row>
    <row r="18" spans="2:21" x14ac:dyDescent="0.2">
      <c r="B18" s="213"/>
      <c r="C18" s="210"/>
      <c r="D18" s="210"/>
      <c r="E18" s="210"/>
      <c r="F18" s="210"/>
      <c r="G18" s="210"/>
      <c r="H18" s="210"/>
      <c r="I18" s="210"/>
      <c r="J18" s="210"/>
      <c r="K18" s="210"/>
      <c r="M18" s="218" t="s">
        <v>2494</v>
      </c>
      <c r="N18" s="213" t="s">
        <v>2496</v>
      </c>
      <c r="O18" s="210">
        <v>1.0934574391975567</v>
      </c>
      <c r="P18" s="210">
        <v>0</v>
      </c>
      <c r="Q18" s="210">
        <v>0</v>
      </c>
      <c r="R18" s="210">
        <v>0</v>
      </c>
      <c r="S18" s="210">
        <v>0</v>
      </c>
      <c r="T18" s="212">
        <f t="shared" si="6"/>
        <v>1.0934574391975567</v>
      </c>
      <c r="U18" s="210"/>
    </row>
    <row r="19" spans="2:21" x14ac:dyDescent="0.2">
      <c r="B19" s="209" t="s">
        <v>2480</v>
      </c>
      <c r="C19" s="212" t="s">
        <v>2432</v>
      </c>
      <c r="D19" s="212" t="s">
        <v>2433</v>
      </c>
      <c r="E19" s="212" t="s">
        <v>2434</v>
      </c>
      <c r="F19" s="212" t="s">
        <v>2435</v>
      </c>
      <c r="G19" s="212" t="s">
        <v>2436</v>
      </c>
      <c r="H19" s="210"/>
      <c r="I19" s="210"/>
      <c r="J19" s="212" t="s">
        <v>2481</v>
      </c>
      <c r="K19" s="212" t="s">
        <v>2482</v>
      </c>
      <c r="M19" s="210"/>
      <c r="N19" s="210"/>
      <c r="O19" s="212">
        <f>IFERROR(SUM(O14:O18),"")</f>
        <v>10.072585416274194</v>
      </c>
      <c r="P19" s="212">
        <f t="shared" ref="P19:S19" si="8">IFERROR(SUM(P14:P18),"")</f>
        <v>9.1911762313324346</v>
      </c>
      <c r="Q19" s="212">
        <f t="shared" si="8"/>
        <v>9.3884127562376847</v>
      </c>
      <c r="R19" s="212">
        <f t="shared" si="8"/>
        <v>7.1384856833256212</v>
      </c>
      <c r="S19" s="212">
        <f t="shared" si="8"/>
        <v>7.5760848377830792</v>
      </c>
      <c r="T19" s="215">
        <f t="shared" si="6"/>
        <v>43.366744924953011</v>
      </c>
      <c r="U19" s="210"/>
    </row>
    <row r="20" spans="2:21" x14ac:dyDescent="0.2">
      <c r="B20" s="213" t="s">
        <v>2483</v>
      </c>
      <c r="C20" s="210">
        <f>IFERROR(Comp!C22,"")</f>
        <v>22.380935763649504</v>
      </c>
      <c r="D20" s="210">
        <f>IFERROR(Comp!D22,"")</f>
        <v>26.883221973604734</v>
      </c>
      <c r="E20" s="210">
        <f>IFERROR(Comp!E22,"")</f>
        <v>25.353020647636576</v>
      </c>
      <c r="F20" s="210">
        <f>IFERROR(Comp!F22,"")</f>
        <v>23.857590370840402</v>
      </c>
      <c r="G20" s="210">
        <f>IFERROR(Comp!G22,"")</f>
        <v>26.923489748869656</v>
      </c>
      <c r="H20" s="212">
        <f t="shared" ref="H20:H31" si="9">SUM(C20:G20)</f>
        <v>125.39825850460088</v>
      </c>
      <c r="I20" s="210"/>
      <c r="J20" s="210">
        <f t="shared" ref="J20:J31" si="10">IFERROR(H20-H4,"")</f>
        <v>-182.66051760293269</v>
      </c>
      <c r="K20" s="214">
        <f t="shared" ref="K20:K31" si="11">IFERROR(H20/H4-1,"")</f>
        <v>-0.59294047684968954</v>
      </c>
      <c r="M20" s="210"/>
      <c r="N20" s="210"/>
      <c r="O20" s="210"/>
      <c r="P20" s="210"/>
      <c r="Q20" s="210"/>
      <c r="R20" s="210"/>
      <c r="S20" s="210"/>
      <c r="T20" s="210"/>
      <c r="U20" s="210"/>
    </row>
    <row r="21" spans="2:21" x14ac:dyDescent="0.2">
      <c r="B21" s="213" t="s">
        <v>2484</v>
      </c>
      <c r="C21" s="210">
        <f>IFERROR(O19,"")</f>
        <v>10.072585416274194</v>
      </c>
      <c r="D21" s="210">
        <f t="shared" ref="D21:G21" si="12">IFERROR(P19,"")</f>
        <v>9.1911762313324346</v>
      </c>
      <c r="E21" s="210">
        <f t="shared" si="12"/>
        <v>9.3884127562376847</v>
      </c>
      <c r="F21" s="210">
        <f t="shared" si="12"/>
        <v>7.1384856833256212</v>
      </c>
      <c r="G21" s="210">
        <f t="shared" si="12"/>
        <v>7.5760848377830792</v>
      </c>
      <c r="H21" s="212">
        <f t="shared" si="9"/>
        <v>43.366744924953011</v>
      </c>
      <c r="I21" s="210"/>
      <c r="J21" s="210">
        <f t="shared" si="10"/>
        <v>-16.66821848191438</v>
      </c>
      <c r="K21" s="214">
        <f t="shared" si="11"/>
        <v>-0.27764185294743937</v>
      </c>
    </row>
    <row r="22" spans="2:21" x14ac:dyDescent="0.2">
      <c r="B22" s="213" t="s">
        <v>2485</v>
      </c>
      <c r="C22" s="210">
        <f>IFERROR(Comp!C20-SUM(O14:O16),"")</f>
        <v>34.944710864681788</v>
      </c>
      <c r="D22" s="210">
        <f>IFERROR(Comp!D20-SUM(P14:P16),"")</f>
        <v>22.130207136556692</v>
      </c>
      <c r="E22" s="210">
        <f>IFERROR(Comp!E20-SUM(Q14:Q16),"")</f>
        <v>18.065709881711371</v>
      </c>
      <c r="F22" s="210">
        <f>IFERROR(Comp!F20-SUM(R14:R16),"")</f>
        <v>17.392131776637655</v>
      </c>
      <c r="G22" s="210">
        <f>IFERROR(Comp!G20-SUM(S14:S16),"")</f>
        <v>10.973574333666082</v>
      </c>
      <c r="H22" s="212">
        <f t="shared" si="9"/>
        <v>103.50633399325358</v>
      </c>
      <c r="I22" s="210"/>
      <c r="J22" s="210">
        <f t="shared" si="10"/>
        <v>-28.037600741504605</v>
      </c>
      <c r="K22" s="214">
        <f t="shared" si="11"/>
        <v>-0.21314248200070118</v>
      </c>
    </row>
    <row r="23" spans="2:21" x14ac:dyDescent="0.2">
      <c r="B23" s="213" t="s">
        <v>2486</v>
      </c>
      <c r="C23" s="210">
        <f>IFERROR(Comp!C21,"")</f>
        <v>53.987826643967587</v>
      </c>
      <c r="D23" s="210">
        <f>IFERROR(Comp!D21,"")</f>
        <v>86.261866658627241</v>
      </c>
      <c r="E23" s="210">
        <f>IFERROR(Comp!E21,"")</f>
        <v>79.960297020974338</v>
      </c>
      <c r="F23" s="210">
        <f>IFERROR(Comp!F21,"")</f>
        <v>77.715222636809671</v>
      </c>
      <c r="G23" s="210">
        <f>IFERROR(Comp!G21,"")</f>
        <v>78.551189527163146</v>
      </c>
      <c r="H23" s="212">
        <f t="shared" si="9"/>
        <v>376.47640248754203</v>
      </c>
      <c r="I23" s="210"/>
      <c r="J23" s="210">
        <f t="shared" si="10"/>
        <v>-49.811643453112538</v>
      </c>
      <c r="K23" s="214">
        <f t="shared" si="11"/>
        <v>-0.11684973089779538</v>
      </c>
    </row>
    <row r="24" spans="2:21" x14ac:dyDescent="0.2">
      <c r="B24" s="213" t="s">
        <v>2487</v>
      </c>
      <c r="C24" s="210">
        <f>IFERROR(Comp!C23-SUM(O17:O18),"")</f>
        <v>17.258862792374543</v>
      </c>
      <c r="D24" s="210">
        <f>IFERROR(Comp!D23-SUM(P17:P18),"")</f>
        <v>13.431208186897917</v>
      </c>
      <c r="E24" s="210">
        <f>IFERROR(Comp!E23-SUM(Q17:Q18),"")</f>
        <v>16.023448084858444</v>
      </c>
      <c r="F24" s="210">
        <f>IFERROR(Comp!F23-SUM(R17:R18),"")</f>
        <v>13.148921513964014</v>
      </c>
      <c r="G24" s="210">
        <f>IFERROR(Comp!G23-SUM(S17:S18),"")</f>
        <v>6.7850864660623014</v>
      </c>
      <c r="H24" s="212">
        <f t="shared" si="9"/>
        <v>66.647527044157215</v>
      </c>
      <c r="I24" s="210"/>
      <c r="J24" s="210">
        <f t="shared" si="10"/>
        <v>-16.774440815427837</v>
      </c>
      <c r="K24" s="214">
        <f t="shared" si="11"/>
        <v>-0.20107941883680325</v>
      </c>
    </row>
    <row r="25" spans="2:21" x14ac:dyDescent="0.2">
      <c r="B25" s="213" t="s">
        <v>2488</v>
      </c>
      <c r="C25" s="210">
        <f>IFERROR(Comp!C24,"")</f>
        <v>6.2295367733013682</v>
      </c>
      <c r="D25" s="210">
        <f>IFERROR(Comp!D24,"")</f>
        <v>5.3529167868691951</v>
      </c>
      <c r="E25" s="210">
        <f>IFERROR(Comp!E24,"")</f>
        <v>3.8812180254802326</v>
      </c>
      <c r="F25" s="210">
        <f>IFERROR(Comp!F24,"")</f>
        <v>2.6026402484331692</v>
      </c>
      <c r="G25" s="210">
        <f>IFERROR(Comp!G24,"")</f>
        <v>2.6075237759349634</v>
      </c>
      <c r="H25" s="212">
        <f t="shared" si="9"/>
        <v>20.67383561001893</v>
      </c>
      <c r="I25" s="210"/>
      <c r="J25" s="210">
        <f t="shared" si="10"/>
        <v>-0.39844394023572605</v>
      </c>
      <c r="K25" s="214">
        <f t="shared" si="11"/>
        <v>-1.89084403177876E-2</v>
      </c>
    </row>
    <row r="26" spans="2:21" x14ac:dyDescent="0.2">
      <c r="B26" s="213" t="s">
        <v>2403</v>
      </c>
      <c r="C26" s="210">
        <f>IFERROR(Comp!C25,"")</f>
        <v>17.347915772721052</v>
      </c>
      <c r="D26" s="210">
        <f>IFERROR(Comp!D25,"")</f>
        <v>18.24708393448077</v>
      </c>
      <c r="E26" s="210">
        <f>IFERROR(Comp!E25,"")</f>
        <v>17.942799065089133</v>
      </c>
      <c r="F26" s="210">
        <f>IFERROR(Comp!F25,"")</f>
        <v>18.063132495067237</v>
      </c>
      <c r="G26" s="210">
        <f>IFERROR(Comp!G25,"")</f>
        <v>18.557168053530518</v>
      </c>
      <c r="H26" s="212">
        <f t="shared" si="9"/>
        <v>90.158099320888709</v>
      </c>
      <c r="I26" s="210"/>
      <c r="J26" s="210">
        <f t="shared" si="10"/>
        <v>-20.104114363135977</v>
      </c>
      <c r="K26" s="214">
        <f t="shared" si="11"/>
        <v>-0.18233004482159021</v>
      </c>
    </row>
    <row r="27" spans="2:21" x14ac:dyDescent="0.2">
      <c r="B27" s="209" t="s">
        <v>2477</v>
      </c>
      <c r="C27" s="212">
        <f>IFERROR(SUM(C20:C26),"")</f>
        <v>162.22237402697004</v>
      </c>
      <c r="D27" s="212">
        <f t="shared" ref="D27" si="13">IFERROR(SUM(D20:D26),"")</f>
        <v>181.49768090836898</v>
      </c>
      <c r="E27" s="212">
        <f t="shared" ref="E27" si="14">IFERROR(SUM(E20:E26),"")</f>
        <v>170.61490548198776</v>
      </c>
      <c r="F27" s="212">
        <f t="shared" ref="F27" si="15">IFERROR(SUM(F20:F26),"")</f>
        <v>159.91812472507777</v>
      </c>
      <c r="G27" s="212">
        <f t="shared" ref="G27" si="16">IFERROR(SUM(G20:G26),"")</f>
        <v>151.97411674300974</v>
      </c>
      <c r="H27" s="215">
        <f t="shared" si="9"/>
        <v>826.22720188541427</v>
      </c>
      <c r="I27" s="210" t="b">
        <f>H27=Comp!H28</f>
        <v>1</v>
      </c>
      <c r="J27" s="210">
        <f t="shared" si="10"/>
        <v>-314.45497939826384</v>
      </c>
      <c r="K27" s="214">
        <f t="shared" si="11"/>
        <v>-0.27567273738280784</v>
      </c>
    </row>
    <row r="28" spans="2:21" x14ac:dyDescent="0.2">
      <c r="B28" s="213" t="s">
        <v>2489</v>
      </c>
      <c r="C28" s="210">
        <f>IFERROR(Comp!C26,"")</f>
        <v>38.054173712491952</v>
      </c>
      <c r="D28" s="210">
        <f>IFERROR(Comp!D26,"")</f>
        <v>61.042486376086565</v>
      </c>
      <c r="E28" s="210">
        <f>IFERROR(Comp!E26,"")</f>
        <v>53.291650574973609</v>
      </c>
      <c r="F28" s="210">
        <f>IFERROR(Comp!F26,"")</f>
        <v>51.911327696717024</v>
      </c>
      <c r="G28" s="210">
        <f>IFERROR(Comp!G26,"")</f>
        <v>52.399798514826607</v>
      </c>
      <c r="H28" s="212">
        <f t="shared" si="9"/>
        <v>256.69943687509573</v>
      </c>
      <c r="I28" s="210"/>
      <c r="J28" s="210">
        <f t="shared" si="10"/>
        <v>-34.774946771151406</v>
      </c>
      <c r="K28" s="214">
        <f t="shared" si="11"/>
        <v>-0.11930704282183713</v>
      </c>
    </row>
    <row r="29" spans="2:21" x14ac:dyDescent="0.2">
      <c r="B29" s="213" t="s">
        <v>2490</v>
      </c>
      <c r="C29" s="210">
        <f>IFERROR(Comp!C27,"")</f>
        <v>0.43577231873097599</v>
      </c>
      <c r="D29" s="210">
        <f>IFERROR(Comp!D27,"")</f>
        <v>0.43577231873097599</v>
      </c>
      <c r="E29" s="210">
        <f>IFERROR(Comp!E27,"")</f>
        <v>0.43577231873097599</v>
      </c>
      <c r="F29" s="210">
        <f>IFERROR(Comp!F27,"")</f>
        <v>0.43577231873097599</v>
      </c>
      <c r="G29" s="210">
        <f>IFERROR(Comp!G27,"")</f>
        <v>0.43577231873097599</v>
      </c>
      <c r="H29" s="212">
        <f t="shared" si="9"/>
        <v>2.1788615936548799</v>
      </c>
      <c r="I29" s="210"/>
      <c r="J29" s="210">
        <f t="shared" si="10"/>
        <v>0</v>
      </c>
      <c r="K29" s="214">
        <f t="shared" si="11"/>
        <v>0</v>
      </c>
    </row>
    <row r="30" spans="2:21" x14ac:dyDescent="0.2">
      <c r="B30" s="209" t="s">
        <v>2478</v>
      </c>
      <c r="C30" s="212">
        <f>IFERROR(C27-SUM(C28:C29),"")</f>
        <v>123.73242799574712</v>
      </c>
      <c r="D30" s="212">
        <f t="shared" ref="D30" si="17">IFERROR(D27-SUM(D28:D29),"")</f>
        <v>120.01942221355144</v>
      </c>
      <c r="E30" s="212">
        <f t="shared" ref="E30" si="18">IFERROR(E27-SUM(E28:E29),"")</f>
        <v>116.88748258828318</v>
      </c>
      <c r="F30" s="212">
        <f t="shared" ref="F30" si="19">IFERROR(F27-SUM(F28:F29),"")</f>
        <v>107.57102470962977</v>
      </c>
      <c r="G30" s="212">
        <f t="shared" ref="G30" si="20">IFERROR(G27-SUM(G28:G29),"")</f>
        <v>99.138545909452162</v>
      </c>
      <c r="H30" s="215">
        <f>SUM(C30:G30)</f>
        <v>567.34890341666369</v>
      </c>
      <c r="I30" s="210" t="b">
        <f>H30=Comp!H30</f>
        <v>1</v>
      </c>
      <c r="J30" s="210">
        <f t="shared" si="10"/>
        <v>-279.68003262711227</v>
      </c>
      <c r="K30" s="214">
        <f t="shared" si="11"/>
        <v>-0.33018946664728577</v>
      </c>
    </row>
    <row r="31" spans="2:21" x14ac:dyDescent="0.2">
      <c r="B31" s="213" t="s">
        <v>2479</v>
      </c>
      <c r="C31" s="210">
        <f>IFERROR(C23-C28,"")</f>
        <v>15.933652931475635</v>
      </c>
      <c r="D31" s="210">
        <f t="shared" ref="D31:G31" si="21">IFERROR(D23-D28,"")</f>
        <v>25.219380282540676</v>
      </c>
      <c r="E31" s="210">
        <f t="shared" si="21"/>
        <v>26.668646446000729</v>
      </c>
      <c r="F31" s="210">
        <f t="shared" si="21"/>
        <v>25.803894940092647</v>
      </c>
      <c r="G31" s="210">
        <f t="shared" si="21"/>
        <v>26.151391012336539</v>
      </c>
      <c r="H31" s="212">
        <f t="shared" si="9"/>
        <v>119.77696561244622</v>
      </c>
      <c r="I31" s="210"/>
      <c r="J31" s="210">
        <f t="shared" si="10"/>
        <v>-15.036696681961189</v>
      </c>
      <c r="K31" s="214">
        <f t="shared" si="11"/>
        <v>-0.1115368904460432</v>
      </c>
    </row>
  </sheetData>
  <conditionalFormatting sqref="I11">
    <cfRule type="cellIs" dxfId="9" priority="9" operator="equal">
      <formula>TRUE</formula>
    </cfRule>
    <cfRule type="cellIs" dxfId="8" priority="10" operator="equal">
      <formula>FALSE</formula>
    </cfRule>
  </conditionalFormatting>
  <conditionalFormatting sqref="I14">
    <cfRule type="cellIs" dxfId="7" priority="7" operator="equal">
      <formula>TRUE</formula>
    </cfRule>
    <cfRule type="cellIs" dxfId="6" priority="8" operator="equal">
      <formula>FALSE</formula>
    </cfRule>
  </conditionalFormatting>
  <conditionalFormatting sqref="I27">
    <cfRule type="cellIs" dxfId="5" priority="5" operator="equal">
      <formula>TRUE</formula>
    </cfRule>
    <cfRule type="cellIs" dxfId="4" priority="6" operator="equal">
      <formula>FALSE</formula>
    </cfRule>
  </conditionalFormatting>
  <conditionalFormatting sqref="I30">
    <cfRule type="cellIs" dxfId="3" priority="3" operator="equal">
      <formula>TRUE</formula>
    </cfRule>
    <cfRule type="cellIs" dxfId="2" priority="4" operator="equal">
      <formula>FALSE</formula>
    </cfRule>
  </conditionalFormatting>
  <conditionalFormatting sqref="U3:U7">
    <cfRule type="cellIs" dxfId="1" priority="1" operator="equal">
      <formula>TRUE</formula>
    </cfRule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C7:P56"/>
  <sheetViews>
    <sheetView tabSelected="1" topLeftCell="A19" workbookViewId="0">
      <selection activeCell="G37" sqref="G37"/>
    </sheetView>
  </sheetViews>
  <sheetFormatPr defaultRowHeight="12.75" x14ac:dyDescent="0.2"/>
  <cols>
    <col min="3" max="3" width="54.375" customWidth="1"/>
    <col min="4" max="4" width="13.375" bestFit="1" customWidth="1"/>
    <col min="5" max="5" width="10.625" bestFit="1" customWidth="1"/>
    <col min="6" max="6" width="11" customWidth="1"/>
    <col min="7" max="8" width="10.625" bestFit="1" customWidth="1"/>
    <col min="9" max="9" width="18.125" customWidth="1"/>
  </cols>
  <sheetData>
    <row r="7" spans="3:9" x14ac:dyDescent="0.2">
      <c r="C7" s="206" t="s">
        <v>2471</v>
      </c>
      <c r="D7" s="202" t="s">
        <v>2432</v>
      </c>
      <c r="E7" s="202" t="s">
        <v>2433</v>
      </c>
      <c r="F7" s="202" t="s">
        <v>2434</v>
      </c>
      <c r="G7" s="202" t="s">
        <v>2435</v>
      </c>
      <c r="H7" s="202" t="s">
        <v>2436</v>
      </c>
      <c r="I7" s="204" t="s">
        <v>2209</v>
      </c>
    </row>
    <row r="8" spans="3:9" x14ac:dyDescent="0.2">
      <c r="C8" s="201" t="str">
        <f>'Output|Functional'!E27</f>
        <v>Augmentation</v>
      </c>
      <c r="D8" s="203">
        <f>'Output|Functional'!M93</f>
        <v>41.16239371404513</v>
      </c>
      <c r="E8" s="203">
        <f>'Output|Functional'!N93</f>
        <v>28.112717380678241</v>
      </c>
      <c r="F8" s="203">
        <f>'Output|Functional'!O93</f>
        <v>24.314708562669114</v>
      </c>
      <c r="G8" s="203">
        <f>'Output|Functional'!P93</f>
        <v>23.654101759978154</v>
      </c>
      <c r="H8" s="203">
        <f>'Output|Functional'!Q93</f>
        <v>17.376725944362029</v>
      </c>
      <c r="I8" s="203">
        <f>SUM(D8:H8)</f>
        <v>134.62064736173267</v>
      </c>
    </row>
    <row r="9" spans="3:9" x14ac:dyDescent="0.2">
      <c r="C9" s="201" t="str">
        <f>'Output|Functional'!E28</f>
        <v>Connections</v>
      </c>
      <c r="D9" s="203">
        <f>'Output|Functional'!M94</f>
        <v>53.987826643967587</v>
      </c>
      <c r="E9" s="203">
        <f>'Output|Functional'!N94</f>
        <v>86.261866658627241</v>
      </c>
      <c r="F9" s="203">
        <f>'Output|Functional'!O94</f>
        <v>79.960297020974338</v>
      </c>
      <c r="G9" s="203">
        <f>'Output|Functional'!P94</f>
        <v>77.715222636809671</v>
      </c>
      <c r="H9" s="203">
        <f>'Output|Functional'!Q94</f>
        <v>78.551189527163146</v>
      </c>
      <c r="I9" s="203">
        <f t="shared" ref="I9:I15" si="0">SUM(D9:H9)</f>
        <v>376.47640248754203</v>
      </c>
    </row>
    <row r="10" spans="3:9" x14ac:dyDescent="0.2">
      <c r="C10" s="201" t="str">
        <f>'Output|Functional'!E29</f>
        <v>Replacement</v>
      </c>
      <c r="D10" s="203">
        <f>'Output|Functional'!M95</f>
        <v>22.380935763649504</v>
      </c>
      <c r="E10" s="203">
        <f>'Output|Functional'!N95</f>
        <v>26.883221973604734</v>
      </c>
      <c r="F10" s="203">
        <f>'Output|Functional'!O95</f>
        <v>25.353020647636576</v>
      </c>
      <c r="G10" s="203">
        <f>'Output|Functional'!P95</f>
        <v>23.857590370840402</v>
      </c>
      <c r="H10" s="203">
        <f>'Output|Functional'!Q95</f>
        <v>26.923489748869656</v>
      </c>
      <c r="I10" s="203">
        <f t="shared" si="0"/>
        <v>125.39825850460088</v>
      </c>
    </row>
    <row r="11" spans="3:9" x14ac:dyDescent="0.2">
      <c r="C11" s="201" t="str">
        <f>'Output|Functional'!E30</f>
        <v>SCADA/Network control</v>
      </c>
      <c r="D11" s="203">
        <f>'Output|Functional'!M96</f>
        <v>0</v>
      </c>
      <c r="E11" s="203">
        <f>'Output|Functional'!N96</f>
        <v>0</v>
      </c>
      <c r="F11" s="203">
        <f>'Output|Functional'!O96</f>
        <v>0</v>
      </c>
      <c r="G11" s="203">
        <f>'Output|Functional'!P96</f>
        <v>0</v>
      </c>
      <c r="H11" s="203">
        <f>'Output|Functional'!Q96</f>
        <v>0</v>
      </c>
      <c r="I11" s="203">
        <f t="shared" si="0"/>
        <v>0</v>
      </c>
    </row>
    <row r="12" spans="3:9" x14ac:dyDescent="0.2">
      <c r="C12" s="201" t="str">
        <f>'Output|Functional'!E31</f>
        <v>Non-network general assets - IT</v>
      </c>
      <c r="D12" s="203">
        <f>'Output|Functional'!M97</f>
        <v>21.113765359285395</v>
      </c>
      <c r="E12" s="203">
        <f>'Output|Functional'!N97</f>
        <v>16.639874174108801</v>
      </c>
      <c r="F12" s="203">
        <f>'Output|Functional'!O97</f>
        <v>19.162862160138385</v>
      </c>
      <c r="G12" s="203">
        <f>'Output|Functional'!P97</f>
        <v>14.025437213949138</v>
      </c>
      <c r="H12" s="203">
        <f>'Output|Functional'!Q97</f>
        <v>7.9580196931494331</v>
      </c>
      <c r="I12" s="203">
        <f t="shared" si="0"/>
        <v>78.899958600631152</v>
      </c>
    </row>
    <row r="13" spans="3:9" x14ac:dyDescent="0.2">
      <c r="C13" s="201" t="str">
        <f>'Output|Functional'!E32</f>
        <v>Non-network general assets - Other</v>
      </c>
      <c r="D13" s="203">
        <f>'Output|Functional'!M98</f>
        <v>6.2295367733013682</v>
      </c>
      <c r="E13" s="203">
        <f>'Output|Functional'!N98</f>
        <v>5.3529167868691951</v>
      </c>
      <c r="F13" s="203">
        <f>'Output|Functional'!O98</f>
        <v>3.8812180254802326</v>
      </c>
      <c r="G13" s="203">
        <f>'Output|Functional'!P98</f>
        <v>2.6026402484331692</v>
      </c>
      <c r="H13" s="203">
        <f>'Output|Functional'!Q98</f>
        <v>2.6075237759349634</v>
      </c>
      <c r="I13" s="203">
        <f t="shared" si="0"/>
        <v>20.67383561001893</v>
      </c>
    </row>
    <row r="14" spans="3:9" x14ac:dyDescent="0.2">
      <c r="C14" s="201" t="str">
        <f>'Output|Functional'!E33</f>
        <v>VBRC</v>
      </c>
      <c r="D14" s="203">
        <f>'Output|Functional'!M33</f>
        <v>0</v>
      </c>
      <c r="E14" s="203">
        <f>'Output|Functional'!N33</f>
        <v>0</v>
      </c>
      <c r="F14" s="203">
        <f>'Output|Functional'!O33</f>
        <v>0</v>
      </c>
      <c r="G14" s="203">
        <f>'Output|Functional'!P33</f>
        <v>0</v>
      </c>
      <c r="H14" s="203">
        <f>'Output|Functional'!Q33</f>
        <v>0</v>
      </c>
      <c r="I14" s="203">
        <f t="shared" si="0"/>
        <v>0</v>
      </c>
    </row>
    <row r="15" spans="3:9" x14ac:dyDescent="0.2">
      <c r="C15" s="201" t="s">
        <v>2403</v>
      </c>
      <c r="D15" s="203">
        <f>'Calc|Overheads'!O20/10^3</f>
        <v>17.347915772721045</v>
      </c>
      <c r="E15" s="203">
        <f>'Calc|Overheads'!P20/10^3</f>
        <v>18.247083934480816</v>
      </c>
      <c r="F15" s="203">
        <f>'Calc|Overheads'!Q20/10^3</f>
        <v>17.942799065089119</v>
      </c>
      <c r="G15" s="203">
        <f>'Calc|Overheads'!R20/10^3</f>
        <v>18.063132495067205</v>
      </c>
      <c r="H15" s="203">
        <f>'Calc|Overheads'!S20/10^3</f>
        <v>18.557168053530521</v>
      </c>
      <c r="I15" s="203">
        <f t="shared" si="0"/>
        <v>90.158099320888709</v>
      </c>
    </row>
    <row r="16" spans="3:9" x14ac:dyDescent="0.2">
      <c r="C16" s="201" t="s">
        <v>2468</v>
      </c>
      <c r="D16" s="205">
        <f>SUM(D8:D15)</f>
        <v>162.22237402697004</v>
      </c>
      <c r="E16" s="205">
        <f t="shared" ref="E16:H16" si="1">SUM(E8:E15)</f>
        <v>181.49768090836906</v>
      </c>
      <c r="F16" s="205">
        <f t="shared" si="1"/>
        <v>170.61490548198776</v>
      </c>
      <c r="G16" s="205">
        <f t="shared" si="1"/>
        <v>159.91812472507775</v>
      </c>
      <c r="H16" s="205">
        <f t="shared" si="1"/>
        <v>151.97411674300974</v>
      </c>
      <c r="I16" s="205">
        <f>SUM(D16:H16)</f>
        <v>826.22720188541439</v>
      </c>
    </row>
    <row r="17" spans="3:16" x14ac:dyDescent="0.2">
      <c r="C17" s="201" t="s">
        <v>2469</v>
      </c>
      <c r="D17" s="203">
        <f>'Output|Functional'!M78</f>
        <v>38.054173712491952</v>
      </c>
      <c r="E17" s="203">
        <f>'Output|Functional'!N78</f>
        <v>61.042486376086565</v>
      </c>
      <c r="F17" s="203">
        <f>'Output|Functional'!O78</f>
        <v>53.291650574973609</v>
      </c>
      <c r="G17" s="203">
        <f>'Output|Functional'!P78</f>
        <v>51.911327696717024</v>
      </c>
      <c r="H17" s="203">
        <f>'Output|Functional'!Q78</f>
        <v>52.3997985148266</v>
      </c>
      <c r="I17" s="203">
        <f>SUM(D17:H17)</f>
        <v>256.69943687509573</v>
      </c>
    </row>
    <row r="18" spans="3:16" x14ac:dyDescent="0.2">
      <c r="C18" s="201" t="s">
        <v>2331</v>
      </c>
      <c r="D18" s="203">
        <f>'Output|PTRM'!G59</f>
        <v>0.43577231873097599</v>
      </c>
      <c r="E18" s="203">
        <f>'Output|PTRM'!H59</f>
        <v>0.43577231873097599</v>
      </c>
      <c r="F18" s="203">
        <f>'Output|PTRM'!I59</f>
        <v>0.43577231873097599</v>
      </c>
      <c r="G18" s="203">
        <f>'Output|PTRM'!J59</f>
        <v>0.43577231873097599</v>
      </c>
      <c r="H18" s="203">
        <f>'Output|PTRM'!K59</f>
        <v>0.43577231873097599</v>
      </c>
      <c r="I18" s="203">
        <f>SUM(D18:H18)</f>
        <v>2.1788615936548799</v>
      </c>
    </row>
    <row r="19" spans="3:16" x14ac:dyDescent="0.2">
      <c r="C19" s="201" t="s">
        <v>2470</v>
      </c>
      <c r="D19" s="203">
        <f>D16-D17-D18</f>
        <v>123.73242799574712</v>
      </c>
      <c r="E19" s="203">
        <f t="shared" ref="E19:I19" si="2">E16-E17-E18</f>
        <v>120.01942221355151</v>
      </c>
      <c r="F19" s="203">
        <f t="shared" si="2"/>
        <v>116.88748258828318</v>
      </c>
      <c r="G19" s="203">
        <f t="shared" si="2"/>
        <v>107.57102470962974</v>
      </c>
      <c r="H19" s="203">
        <f t="shared" si="2"/>
        <v>99.138545909452162</v>
      </c>
      <c r="I19" s="234">
        <f t="shared" si="2"/>
        <v>567.3489034166638</v>
      </c>
    </row>
    <row r="23" spans="3:16" ht="22.5" x14ac:dyDescent="0.2">
      <c r="C23" s="220"/>
      <c r="D23" s="236" t="s">
        <v>2501</v>
      </c>
      <c r="E23" s="221" t="s">
        <v>2502</v>
      </c>
      <c r="F23" s="221" t="s">
        <v>2503</v>
      </c>
      <c r="G23" s="221" t="s">
        <v>2481</v>
      </c>
      <c r="H23" s="221" t="s">
        <v>2482</v>
      </c>
    </row>
    <row r="24" spans="3:16" x14ac:dyDescent="0.2">
      <c r="C24" s="222" t="str">
        <f>'Output|Functional'!E43</f>
        <v>Augmentation</v>
      </c>
      <c r="D24" s="238">
        <f>Comp2!H6</f>
        <v>131.54393473475818</v>
      </c>
      <c r="E24" s="237">
        <f>'Output|Functional - proposed'!R93-SUM(Comp2!T3:T5)</f>
        <v>131.54393473475818</v>
      </c>
      <c r="F24" s="237">
        <f>I8-SUM(Comp2!T14:T16)</f>
        <v>103.50633399325359</v>
      </c>
      <c r="G24" s="244">
        <f>F24-E24</f>
        <v>-28.03760074150459</v>
      </c>
      <c r="H24" s="226">
        <f>F24/E24-1</f>
        <v>-0.21314248200070107</v>
      </c>
    </row>
    <row r="25" spans="3:16" x14ac:dyDescent="0.2">
      <c r="C25" s="225" t="s">
        <v>2484</v>
      </c>
      <c r="D25" s="239">
        <f>Comp2!H5</f>
        <v>60.034963406867391</v>
      </c>
      <c r="E25" s="240">
        <f>Comp2!T8</f>
        <v>60.034963406867391</v>
      </c>
      <c r="F25" s="240">
        <f>Comp2!T19</f>
        <v>43.366744924953011</v>
      </c>
      <c r="G25" s="245">
        <f t="shared" ref="G25:G34" si="3">F25-E25</f>
        <v>-16.66821848191438</v>
      </c>
      <c r="H25" s="227">
        <f>F25/E25-1</f>
        <v>-0.27764185294743937</v>
      </c>
    </row>
    <row r="26" spans="3:16" x14ac:dyDescent="0.2">
      <c r="C26" s="222" t="str">
        <f>'Output|Functional'!E44</f>
        <v>Connections</v>
      </c>
      <c r="D26" s="238">
        <f>Comp2!H7</f>
        <v>426.28804594065457</v>
      </c>
      <c r="E26" s="237">
        <f>'Output|Functional - proposed'!R94</f>
        <v>426.28804594065457</v>
      </c>
      <c r="F26" s="237">
        <f>I9</f>
        <v>376.47640248754203</v>
      </c>
      <c r="G26" s="244">
        <f t="shared" si="3"/>
        <v>-49.811643453112538</v>
      </c>
      <c r="H26" s="226">
        <f t="shared" ref="H26:H34" si="4">F26/E26-1</f>
        <v>-0.11684973089779538</v>
      </c>
      <c r="I26" s="232"/>
      <c r="J26" s="232"/>
      <c r="K26" s="222"/>
      <c r="L26" s="223"/>
      <c r="M26" s="223"/>
      <c r="N26" s="223"/>
      <c r="O26" s="224"/>
      <c r="P26" s="224"/>
    </row>
    <row r="27" spans="3:16" x14ac:dyDescent="0.2">
      <c r="C27" s="225" t="str">
        <f>'Output|Functional'!E45</f>
        <v>Replacement</v>
      </c>
      <c r="D27" s="239">
        <f>Comp2!H4</f>
        <v>308.05877610753356</v>
      </c>
      <c r="E27" s="240">
        <f>'Output|Functional - proposed'!R95-D36+D37</f>
        <v>260.71233951024595</v>
      </c>
      <c r="F27" s="240">
        <f>I10</f>
        <v>125.39825850460088</v>
      </c>
      <c r="G27" s="245">
        <f t="shared" si="3"/>
        <v>-135.31408100564508</v>
      </c>
      <c r="H27" s="227">
        <f t="shared" si="4"/>
        <v>-0.51901678785068506</v>
      </c>
      <c r="J27" s="256"/>
    </row>
    <row r="28" spans="3:16" x14ac:dyDescent="0.2">
      <c r="C28" s="222" t="str">
        <f>'Output|Functional'!E47</f>
        <v>Non-network general assets - IT</v>
      </c>
      <c r="D28" s="238">
        <f>Comp2!H8</f>
        <v>83.421967859585052</v>
      </c>
      <c r="E28" s="237">
        <f>'Output|Functional - proposed'!R97-SUM(Comp2!T6:T7)</f>
        <v>83.421967859585052</v>
      </c>
      <c r="F28" s="237">
        <f>I12-SUM(Comp2!T17:T18)</f>
        <v>66.647527044157215</v>
      </c>
      <c r="G28" s="244">
        <f t="shared" si="3"/>
        <v>-16.774440815427837</v>
      </c>
      <c r="H28" s="226">
        <f t="shared" si="4"/>
        <v>-0.20107941883680325</v>
      </c>
    </row>
    <row r="29" spans="3:16" x14ac:dyDescent="0.2">
      <c r="C29" s="225" t="str">
        <f>'Output|Functional'!E48</f>
        <v>Non-network general assets - Other</v>
      </c>
      <c r="D29" s="239">
        <f>Comp2!H9</f>
        <v>21.072279550254656</v>
      </c>
      <c r="E29" s="240">
        <f>'Output|Functional - proposed'!R98</f>
        <v>21.072279550254656</v>
      </c>
      <c r="F29" s="240">
        <f>I13</f>
        <v>20.67383561001893</v>
      </c>
      <c r="G29" s="245">
        <f t="shared" si="3"/>
        <v>-0.39844394023572605</v>
      </c>
      <c r="H29" s="227">
        <f t="shared" si="4"/>
        <v>-1.89084403177876E-2</v>
      </c>
    </row>
    <row r="30" spans="3:16" x14ac:dyDescent="0.2">
      <c r="C30" s="222" t="s">
        <v>2403</v>
      </c>
      <c r="D30" s="239">
        <f>Comp2!H10</f>
        <v>110.26221368402469</v>
      </c>
      <c r="E30" s="237">
        <f>'Output|Functional - proposed'!R121</f>
        <v>110.26221368402457</v>
      </c>
      <c r="F30" s="237">
        <f>I15</f>
        <v>90.158099320888709</v>
      </c>
      <c r="G30" s="244">
        <f t="shared" si="3"/>
        <v>-20.104114363135864</v>
      </c>
      <c r="H30" s="226">
        <f t="shared" si="4"/>
        <v>-0.18233004482158932</v>
      </c>
      <c r="K30" s="257"/>
    </row>
    <row r="31" spans="3:16" x14ac:dyDescent="0.2">
      <c r="C31" s="228" t="s">
        <v>2468</v>
      </c>
      <c r="D31" s="241">
        <f>SUM(D24:D30)</f>
        <v>1140.6821812836783</v>
      </c>
      <c r="E31" s="242">
        <f>SUM(E24:E30)</f>
        <v>1093.3357446863902</v>
      </c>
      <c r="F31" s="242">
        <f>SUM(F24:F30)</f>
        <v>826.22720188541439</v>
      </c>
      <c r="G31" s="246">
        <f t="shared" si="3"/>
        <v>-267.10854280097578</v>
      </c>
      <c r="H31" s="229">
        <f t="shared" si="4"/>
        <v>-0.24430605520685011</v>
      </c>
    </row>
    <row r="32" spans="3:16" x14ac:dyDescent="0.2">
      <c r="C32" s="222" t="s">
        <v>2469</v>
      </c>
      <c r="D32" s="238">
        <f>Comp2!H12</f>
        <v>291.47438364624713</v>
      </c>
      <c r="E32" s="237">
        <f>SUM('Output|Functional - proposed'!M88:Q88)</f>
        <v>291.47438364624713</v>
      </c>
      <c r="F32" s="237">
        <f>I17</f>
        <v>256.69943687509573</v>
      </c>
      <c r="G32" s="244">
        <f t="shared" si="3"/>
        <v>-34.774946771151406</v>
      </c>
      <c r="H32" s="226">
        <f t="shared" si="4"/>
        <v>-0.11930704282183713</v>
      </c>
    </row>
    <row r="33" spans="3:9" x14ac:dyDescent="0.2">
      <c r="C33" s="225" t="s">
        <v>2331</v>
      </c>
      <c r="D33" s="239">
        <f>Comp2!H13</f>
        <v>2.1788615936548799</v>
      </c>
      <c r="E33" s="240">
        <f>SUM('Output|PTRM'!G59:K59)</f>
        <v>2.1788615936548799</v>
      </c>
      <c r="F33" s="240">
        <f>I18</f>
        <v>2.1788615936548799</v>
      </c>
      <c r="G33" s="245">
        <f t="shared" si="3"/>
        <v>0</v>
      </c>
      <c r="H33" s="227">
        <f t="shared" si="4"/>
        <v>0</v>
      </c>
    </row>
    <row r="34" spans="3:9" x14ac:dyDescent="0.2">
      <c r="C34" s="230" t="s">
        <v>2470</v>
      </c>
      <c r="D34" s="243">
        <f>D31-D32-D33</f>
        <v>847.0289360437763</v>
      </c>
      <c r="E34" s="243">
        <f>E31-E32-E33</f>
        <v>799.68249944648812</v>
      </c>
      <c r="F34" s="243">
        <f>F31-SUM(F32:F33)</f>
        <v>567.3489034166638</v>
      </c>
      <c r="G34" s="247">
        <f t="shared" si="3"/>
        <v>-232.33359602982432</v>
      </c>
      <c r="H34" s="231">
        <f t="shared" si="4"/>
        <v>-0.29053230024495647</v>
      </c>
    </row>
    <row r="36" spans="3:9" x14ac:dyDescent="0.2">
      <c r="C36" s="201" t="s">
        <v>2472</v>
      </c>
      <c r="D36" s="205">
        <v>69.929735065669206</v>
      </c>
    </row>
    <row r="37" spans="3:9" x14ac:dyDescent="0.2">
      <c r="C37" s="201" t="s">
        <v>2498</v>
      </c>
      <c r="D37" s="235">
        <f>I42/10^3</f>
        <v>22.583298468381603</v>
      </c>
    </row>
    <row r="41" spans="3:9" x14ac:dyDescent="0.2">
      <c r="D41" s="206" t="s">
        <v>2432</v>
      </c>
      <c r="E41" s="206" t="s">
        <v>2433</v>
      </c>
      <c r="F41" s="206" t="s">
        <v>2434</v>
      </c>
      <c r="G41" s="206" t="s">
        <v>2435</v>
      </c>
      <c r="H41" s="206" t="s">
        <v>2436</v>
      </c>
      <c r="I41" s="206" t="s">
        <v>2499</v>
      </c>
    </row>
    <row r="42" spans="3:9" x14ac:dyDescent="0.2">
      <c r="C42" s="151" t="s">
        <v>2500</v>
      </c>
      <c r="D42" s="203">
        <v>4333.5149089130718</v>
      </c>
      <c r="E42" s="203">
        <v>4426.2050791646234</v>
      </c>
      <c r="F42" s="203">
        <v>4518.2584601815533</v>
      </c>
      <c r="G42" s="203">
        <v>4608.5599438718891</v>
      </c>
      <c r="H42" s="203">
        <v>4696.7600762504653</v>
      </c>
      <c r="I42" s="203">
        <f>SUM(D42:H42)</f>
        <v>22583.298468381603</v>
      </c>
    </row>
    <row r="48" spans="3:9" x14ac:dyDescent="0.2">
      <c r="C48" s="236"/>
      <c r="D48" s="221" t="s">
        <v>2504</v>
      </c>
      <c r="E48" s="221" t="s">
        <v>2505</v>
      </c>
      <c r="F48" s="221" t="s">
        <v>2506</v>
      </c>
      <c r="G48" s="221" t="s">
        <v>2507</v>
      </c>
      <c r="H48" s="221" t="s">
        <v>2508</v>
      </c>
      <c r="I48" s="221" t="s">
        <v>2209</v>
      </c>
    </row>
    <row r="49" spans="3:9" x14ac:dyDescent="0.2">
      <c r="C49" s="248" t="s">
        <v>2501</v>
      </c>
      <c r="D49" s="237">
        <f>Comp!C15</f>
        <v>178.38049966179526</v>
      </c>
      <c r="E49" s="237">
        <f>Comp!D15</f>
        <v>169.23454636772644</v>
      </c>
      <c r="F49" s="237">
        <f>Comp!E15</f>
        <v>184.02190905331665</v>
      </c>
      <c r="G49" s="237">
        <f>Comp!F15</f>
        <v>171.64765950891803</v>
      </c>
      <c r="H49" s="237">
        <f>Comp!G15</f>
        <v>143.74432145201965</v>
      </c>
      <c r="I49" s="237">
        <f>SUM(D49:H49)</f>
        <v>847.02893604377596</v>
      </c>
    </row>
    <row r="50" spans="3:9" x14ac:dyDescent="0.2">
      <c r="C50" s="249" t="s">
        <v>2510</v>
      </c>
      <c r="D50" s="255">
        <f>D49-($D$36/5)+(D42/10^3)</f>
        <v>168.72806755757446</v>
      </c>
      <c r="E50" s="255">
        <f t="shared" ref="E50:H50" si="5">E49-($D$36/5)+(E42/10^3)</f>
        <v>159.6748044337572</v>
      </c>
      <c r="F50" s="255">
        <f t="shared" si="5"/>
        <v>174.55422050036435</v>
      </c>
      <c r="G50" s="255">
        <f t="shared" si="5"/>
        <v>162.27027243965605</v>
      </c>
      <c r="H50" s="255">
        <f t="shared" si="5"/>
        <v>134.45513451513625</v>
      </c>
      <c r="I50" s="255">
        <f>SUM(D50:H50)</f>
        <v>799.68249944648835</v>
      </c>
    </row>
    <row r="51" spans="3:9" x14ac:dyDescent="0.2">
      <c r="C51" s="248" t="s">
        <v>2503</v>
      </c>
      <c r="D51" s="237">
        <f>'Output|PTRM'!G89</f>
        <v>123.73242799574712</v>
      </c>
      <c r="E51" s="237">
        <f>'Output|PTRM'!H89</f>
        <v>120.01942221355145</v>
      </c>
      <c r="F51" s="237">
        <f>'Output|PTRM'!I89</f>
        <v>116.88748258828319</v>
      </c>
      <c r="G51" s="237">
        <f>'Output|PTRM'!J89</f>
        <v>107.57102470962975</v>
      </c>
      <c r="H51" s="237">
        <f>'Output|PTRM'!K89</f>
        <v>99.138545909452191</v>
      </c>
      <c r="I51" s="237">
        <f>SUM(D51:H51)</f>
        <v>567.34890341666369</v>
      </c>
    </row>
    <row r="52" spans="3:9" x14ac:dyDescent="0.2">
      <c r="C52" s="249" t="s">
        <v>2481</v>
      </c>
      <c r="D52" s="255">
        <f>D51-D50</f>
        <v>-44.995639561827346</v>
      </c>
      <c r="E52" s="255">
        <f t="shared" ref="E52:I52" si="6">E51-E50</f>
        <v>-39.655382220205752</v>
      </c>
      <c r="F52" s="255">
        <f t="shared" si="6"/>
        <v>-57.66673791208116</v>
      </c>
      <c r="G52" s="255">
        <f t="shared" si="6"/>
        <v>-54.6992477300263</v>
      </c>
      <c r="H52" s="255">
        <f t="shared" si="6"/>
        <v>-35.316588605684061</v>
      </c>
      <c r="I52" s="255">
        <f t="shared" si="6"/>
        <v>-232.33359602982466</v>
      </c>
    </row>
    <row r="53" spans="3:9" ht="13.5" thickBot="1" x14ac:dyDescent="0.25">
      <c r="C53" s="250" t="s">
        <v>2509</v>
      </c>
      <c r="D53" s="254">
        <f>D51/D50-1</f>
        <v>-0.26667548685386111</v>
      </c>
      <c r="E53" s="254">
        <f t="shared" ref="E53:I53" si="7">E51/E50-1</f>
        <v>-0.24835090520907577</v>
      </c>
      <c r="F53" s="254">
        <f t="shared" si="7"/>
        <v>-0.33036576111868232</v>
      </c>
      <c r="G53" s="254">
        <f t="shared" si="7"/>
        <v>-0.33708729829345341</v>
      </c>
      <c r="H53" s="254">
        <f t="shared" si="7"/>
        <v>-0.26266448457353853</v>
      </c>
      <c r="I53" s="254">
        <f t="shared" si="7"/>
        <v>-0.2905323002449568</v>
      </c>
    </row>
    <row r="55" spans="3:9" x14ac:dyDescent="0.2">
      <c r="C55" s="251"/>
    </row>
    <row r="56" spans="3:9" x14ac:dyDescent="0.2">
      <c r="C56" s="252"/>
      <c r="D56" s="253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-0.499984740745262"/>
  </sheetPr>
  <dimension ref="A1:V179"/>
  <sheetViews>
    <sheetView zoomScale="80" zoomScaleNormal="80" workbookViewId="0">
      <pane xSplit="5" ySplit="5" topLeftCell="F87" activePane="bottomRight" state="frozen"/>
      <selection activeCell="I2" sqref="I2"/>
      <selection pane="topRight" activeCell="I2" sqref="I2"/>
      <selection pane="bottomLeft" activeCell="I2" sqref="I2"/>
      <selection pane="bottomRight" activeCell="J55" sqref="J55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0.87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</row>
    <row r="2" spans="1:12" x14ac:dyDescent="0.2">
      <c r="A2" s="22" t="str">
        <f ca="1" xml:space="preserve"> "Sheet: " &amp; RIGHT(CELL("filename", $A$1), LEN(CELL("filename", $A$1)) - SEARCH("]", CELL("filename", $A$1)))</f>
        <v>Sheet: Output|PTRM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</row>
    <row r="3" spans="1:12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x14ac:dyDescent="0.2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</row>
    <row r="5" spans="1:12" x14ac:dyDescent="0.2">
      <c r="A5" s="22"/>
      <c r="B5" s="22"/>
      <c r="C5" s="22"/>
      <c r="D5" s="22"/>
      <c r="E5" s="22"/>
      <c r="F5" s="22"/>
      <c r="G5" s="31" t="s">
        <v>2432</v>
      </c>
      <c r="H5" s="31" t="s">
        <v>2433</v>
      </c>
      <c r="I5" s="31" t="s">
        <v>2434</v>
      </c>
      <c r="J5" s="31" t="s">
        <v>2435</v>
      </c>
      <c r="K5" s="31" t="s">
        <v>2436</v>
      </c>
      <c r="L5" s="17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</row>
    <row r="7" spans="1:12" x14ac:dyDescent="0.2">
      <c r="A7" s="22" t="s">
        <v>2438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">
      <c r="A9" s="59" t="s">
        <v>2330</v>
      </c>
      <c r="B9" s="13"/>
      <c r="C9" s="13"/>
      <c r="D9" s="13"/>
      <c r="E9" s="13"/>
      <c r="F9" s="13"/>
      <c r="G9" s="63" t="s">
        <v>2437</v>
      </c>
      <c r="H9" s="63" t="s">
        <v>2437</v>
      </c>
      <c r="I9" s="63" t="s">
        <v>2437</v>
      </c>
      <c r="J9" s="63" t="s">
        <v>2437</v>
      </c>
      <c r="K9" s="63" t="s">
        <v>2437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">
      <c r="A11" s="7"/>
      <c r="B11" s="7"/>
      <c r="C11" s="7"/>
      <c r="D11" s="7"/>
      <c r="E11" s="39" t="s">
        <v>2307</v>
      </c>
      <c r="F11" s="7"/>
      <c r="G11" s="44">
        <f>(((SUMPRODUCT(--('Calc|Consolidated Capex'!$H$9:$H$93="SCS"),'Calc|Consolidated Capex'!O$9:O$93)/1000*'Calc|Weightings'!$AQ127+SUMPRODUCT(--('Input|VBRC Calc'!$G$28:$G$34=$E11),'Input|VBRC Calc'!O$28:O$34)/1000)*(1+Inflation!R72))*(1+'Calc|Overheads'!O$32))</f>
        <v>36.062745403696496</v>
      </c>
      <c r="H11" s="44">
        <f>(((SUMPRODUCT(--('Calc|Consolidated Capex'!$H$9:$H$93="SCS"),'Calc|Consolidated Capex'!P$9:P$93)/1000*'Calc|Weightings'!$AQ127+SUMPRODUCT(--('Input|VBRC Calc'!$G$28:$G$34=$E11),'Input|VBRC Calc'!P$28:P$34)/1000)*(1+Inflation!S72))*(1+'Calc|Overheads'!P$32))</f>
        <v>42.951668778812859</v>
      </c>
      <c r="I11" s="44">
        <f>(((SUMPRODUCT(--('Calc|Consolidated Capex'!$H$9:$H$93="SCS"),'Calc|Consolidated Capex'!Q$9:Q$93)/1000*'Calc|Weightings'!$AQ127+SUMPRODUCT(--('Input|VBRC Calc'!$G$28:$G$34=$E11),'Input|VBRC Calc'!Q$28:Q$34)/1000)*(1+Inflation!T72))*(1+'Calc|Overheads'!Q$32))</f>
        <v>39.932658396134393</v>
      </c>
      <c r="J11" s="44">
        <f>(((SUMPRODUCT(--('Calc|Consolidated Capex'!$H$9:$H$93="SCS"),'Calc|Consolidated Capex'!R$9:R$93)/1000*'Calc|Weightings'!$AQ127+SUMPRODUCT(--('Input|VBRC Calc'!$G$28:$G$34=$E11),'Input|VBRC Calc'!R$28:R$34)/1000)*(1+Inflation!U72))*(1+'Calc|Overheads'!R$32))</f>
        <v>38.500177138624863</v>
      </c>
      <c r="K11" s="44">
        <f>(((SUMPRODUCT(--('Calc|Consolidated Capex'!$H$9:$H$93="SCS"),'Calc|Consolidated Capex'!S$9:S$93)/1000*'Calc|Weightings'!$AQ127+SUMPRODUCT(--('Input|VBRC Calc'!$G$28:$G$34=$E11),'Input|VBRC Calc'!S$28:S$34)/1000)*(1+Inflation!V72))*(1+'Calc|Overheads'!S$32))</f>
        <v>37.926539483728085</v>
      </c>
      <c r="L11" s="7"/>
    </row>
    <row r="12" spans="1:12" x14ac:dyDescent="0.2">
      <c r="A12" s="7"/>
      <c r="B12" s="7"/>
      <c r="C12" s="7"/>
      <c r="D12" s="7"/>
      <c r="E12" s="39" t="s">
        <v>2310</v>
      </c>
      <c r="F12" s="7"/>
      <c r="G12" s="156">
        <f>(SUM('Output|Functional'!M109:M111)-G15)-G11</f>
        <v>91.97578717584868</v>
      </c>
      <c r="H12" s="156">
        <f>(SUM('Output|Functional'!N109:N111)-H15)-H11</f>
        <v>109.5182459219522</v>
      </c>
      <c r="I12" s="156">
        <f>(SUM('Output|Functional'!O109:O111)-I15)-I11</f>
        <v>101.81956061919686</v>
      </c>
      <c r="J12" s="156">
        <f>(SUM('Output|Functional'!P109:P111)-J15)-J11</f>
        <v>98.169888186687459</v>
      </c>
      <c r="K12" s="156">
        <f>(SUM('Output|Functional'!Q109:Q111)-K15)-K11</f>
        <v>96.693393859714917</v>
      </c>
      <c r="L12" s="7"/>
    </row>
    <row r="13" spans="1:12" x14ac:dyDescent="0.2">
      <c r="A13" s="7"/>
      <c r="B13" s="7"/>
      <c r="C13" s="7"/>
      <c r="D13" s="7"/>
      <c r="E13" s="39" t="s">
        <v>2311</v>
      </c>
      <c r="F13" s="7"/>
      <c r="G13" s="119">
        <f>((SUMPRODUCT(--('Calc|Consolidated Capex'!$H$9:$H$93=$E13),'Calc|Consolidated Capex'!O$9:O$93)/1000+SUMPRODUCT(--('Input|VBRC Calc'!$G$28:$G$34=$E13),'Input|VBRC Calc'!O$28:O$34)/1000)*(1+Inflation!R75))</f>
        <v>0</v>
      </c>
      <c r="H13" s="119">
        <f>((SUMPRODUCT(--('Calc|Consolidated Capex'!$H$9:$H$93=$E13),'Calc|Consolidated Capex'!P$9:P$93)/1000+SUMPRODUCT(--('Input|VBRC Calc'!$G$28:$G$34=$E13),'Input|VBRC Calc'!P$28:P$34)/1000)*(1+Inflation!S75))</f>
        <v>0</v>
      </c>
      <c r="I13" s="119">
        <f>((SUMPRODUCT(--('Calc|Consolidated Capex'!$H$9:$H$93=$E13),'Calc|Consolidated Capex'!Q$9:Q$93)/1000+SUMPRODUCT(--('Input|VBRC Calc'!$G$28:$G$34=$E13),'Input|VBRC Calc'!Q$28:Q$34)/1000)*(1+Inflation!T75))</f>
        <v>0</v>
      </c>
      <c r="J13" s="119">
        <f>((SUMPRODUCT(--('Calc|Consolidated Capex'!$H$9:$H$93=$E13),'Calc|Consolidated Capex'!R$9:R$93)/1000+SUMPRODUCT(--('Input|VBRC Calc'!$G$28:$G$34=$E13),'Input|VBRC Calc'!R$28:R$34)/1000)*(1+Inflation!U75))</f>
        <v>0</v>
      </c>
      <c r="K13" s="119">
        <f>((SUMPRODUCT(--('Calc|Consolidated Capex'!$H$9:$H$93=$E13),'Calc|Consolidated Capex'!S$9:S$93)/1000+SUMPRODUCT(--('Input|VBRC Calc'!$G$28:$G$34=$E13),'Input|VBRC Calc'!S$28:S$34)/1000)*(1+Inflation!V75))</f>
        <v>0</v>
      </c>
      <c r="L13" s="7"/>
    </row>
    <row r="14" spans="1:12" x14ac:dyDescent="0.2">
      <c r="A14" s="7"/>
      <c r="B14" s="7"/>
      <c r="C14" s="7"/>
      <c r="D14" s="7"/>
      <c r="E14" s="39" t="s">
        <v>2312</v>
      </c>
      <c r="F14" s="7"/>
      <c r="G14" s="119">
        <f>((SUMPRODUCT(--('Calc|Consolidated Capex'!$H$9:$H$93=$E14),'Calc|Consolidated Capex'!O$9:O$93)/1000+SUMPRODUCT(--('Input|VBRC Calc'!$G$28:$G$34=$E14),'Input|VBRC Calc'!O$28:O$34)/1000)*(1+Inflation!R76))</f>
        <v>0</v>
      </c>
      <c r="H14" s="119">
        <f>((SUMPRODUCT(--('Calc|Consolidated Capex'!$H$9:$H$93=$E14),'Calc|Consolidated Capex'!P$9:P$93)/1000+SUMPRODUCT(--('Input|VBRC Calc'!$G$28:$G$34=$E14),'Input|VBRC Calc'!P$28:P$34)/1000)*(1+Inflation!S76))</f>
        <v>0</v>
      </c>
      <c r="I14" s="119">
        <f>((SUMPRODUCT(--('Calc|Consolidated Capex'!$H$9:$H$93=$E14),'Calc|Consolidated Capex'!Q$9:Q$93)/1000+SUMPRODUCT(--('Input|VBRC Calc'!$G$28:$G$34=$E14),'Input|VBRC Calc'!Q$28:Q$34)/1000)*(1+Inflation!T76))</f>
        <v>0</v>
      </c>
      <c r="J14" s="119">
        <f>((SUMPRODUCT(--('Calc|Consolidated Capex'!$H$9:$H$93=$E14),'Calc|Consolidated Capex'!R$9:R$93)/1000+SUMPRODUCT(--('Input|VBRC Calc'!$G$28:$G$34=$E14),'Input|VBRC Calc'!R$28:R$34)/1000)*(1+Inflation!U76))</f>
        <v>0</v>
      </c>
      <c r="K14" s="119">
        <f>((SUMPRODUCT(--('Calc|Consolidated Capex'!$H$9:$H$93=$E14),'Calc|Consolidated Capex'!S$9:S$93)/1000+SUMPRODUCT(--('Input|VBRC Calc'!$G$28:$G$34=$E14),'Input|VBRC Calc'!S$28:S$34)/1000)*(1+Inflation!V76))</f>
        <v>0</v>
      </c>
      <c r="L14" s="7"/>
    </row>
    <row r="15" spans="1:12" x14ac:dyDescent="0.2">
      <c r="A15" s="7"/>
      <c r="B15" s="7"/>
      <c r="C15" s="7"/>
      <c r="D15" s="7"/>
      <c r="E15" s="39" t="s">
        <v>2309</v>
      </c>
      <c r="F15" s="7"/>
      <c r="G15" s="142">
        <f>(((SUMPRODUCT(--('Calc|Consolidated Capex'!$H$9:$H$93=$E15),'Calc|Consolidated Capex'!O$9:O$93)/1000+SUMPRODUCT(--('Input|VBRC Calc'!$G$28:$G$34=$E15),'Input|VBRC Calc'!O$28:O$34)/1000)*(1+Inflation!R76))*(1+'Calc|Overheads'!O$32))</f>
        <v>6.8405393148381028</v>
      </c>
      <c r="H15" s="44">
        <f>(((SUMPRODUCT(--('Calc|Consolidated Capex'!$H$9:$H$93=$E15),'Calc|Consolidated Capex'!P$9:P$93)/1000+SUMPRODUCT(--('Input|VBRC Calc'!$G$28:$G$34=$E15),'Input|VBRC Calc'!P$28:P$34)/1000)*(1+Inflation!S76))*(1+'Calc|Overheads'!P$32))</f>
        <v>7.0349752466259368</v>
      </c>
      <c r="I15" s="44">
        <f>(((SUMPRODUCT(--('Calc|Consolidated Capex'!$H$9:$H$93=$E15),'Calc|Consolidated Capex'!Q$9:Q$93)/1000+SUMPRODUCT(--('Input|VBRC Calc'!$G$28:$G$34=$E15),'Input|VBRC Calc'!Q$28:Q$34)/1000)*(1+Inflation!T76))*(1+'Calc|Overheads'!Q$32))</f>
        <v>5.8186062810378969</v>
      </c>
      <c r="J15" s="44">
        <f>(((SUMPRODUCT(--('Calc|Consolidated Capex'!$H$9:$H$93=$E15),'Calc|Consolidated Capex'!R$9:R$93)/1000+SUMPRODUCT(--('Input|VBRC Calc'!$G$28:$G$34=$E15),'Input|VBRC Calc'!R$28:R$34)/1000)*(1+Inflation!U76))*(1+'Calc|Overheads'!R$32))</f>
        <v>6.6199819373831303</v>
      </c>
      <c r="K15" s="44">
        <f>(((SUMPRODUCT(--('Calc|Consolidated Capex'!$H$9:$H$93=$E15),'Calc|Consolidated Capex'!S$9:S$93)/1000+SUMPRODUCT(--('Input|VBRC Calc'!$G$28:$G$34=$E15),'Input|VBRC Calc'!S$28:S$34)/1000)*(1+Inflation!V76))*(1+'Calc|Overheads'!S$32))</f>
        <v>6.7886399304823701</v>
      </c>
      <c r="L15" s="7"/>
    </row>
    <row r="16" spans="1:12" x14ac:dyDescent="0.2">
      <c r="A16" s="7"/>
      <c r="B16" s="7"/>
      <c r="C16" s="7"/>
      <c r="D16" s="7"/>
      <c r="E16" s="39" t="s">
        <v>2301</v>
      </c>
      <c r="F16" s="7"/>
      <c r="G16" s="119">
        <f>((SUMPRODUCT(--('Calc|Consolidated Capex'!$H$9:$H$93=$E16),'Calc|Consolidated Capex'!O$9:O$93)/1000+SUMPRODUCT(--('Input|VBRC Calc'!$G$28:$G$34=$E16),'Input|VBRC Calc'!O$28:O$34)/1000)*(1+Inflation!R77))-G22</f>
        <v>3.2841281138504215</v>
      </c>
      <c r="H16" s="119">
        <f>((SUMPRODUCT(--('Calc|Consolidated Capex'!$H$9:$H$93=$E16),'Calc|Consolidated Capex'!P$9:P$93)/1000+SUMPRODUCT(--('Input|VBRC Calc'!$G$28:$G$34=$E16),'Input|VBRC Calc'!P$28:P$34)/1000)*(1+Inflation!S77))-H22</f>
        <v>2.5698871726118302</v>
      </c>
      <c r="I16" s="119">
        <f>((SUMPRODUCT(--('Calc|Consolidated Capex'!$H$9:$H$93=$E16),'Calc|Consolidated Capex'!Q$9:Q$93)/1000+SUMPRODUCT(--('Input|VBRC Calc'!$G$28:$G$34=$E16),'Input|VBRC Calc'!Q$28:Q$34)/1000)*(1+Inflation!T77))-I22</f>
        <v>2.9534005427924335</v>
      </c>
      <c r="J16" s="119">
        <f>((SUMPRODUCT(--('Calc|Consolidated Capex'!$H$9:$H$93=$E16),'Calc|Consolidated Capex'!R$9:R$93)/1000+SUMPRODUCT(--('Input|VBRC Calc'!$G$28:$G$34=$E16),'Input|VBRC Calc'!R$28:R$34)/1000)*(1+Inflation!U77))-J22</f>
        <v>2.1842909671856905</v>
      </c>
      <c r="K16" s="119">
        <f>((SUMPRODUCT(--('Calc|Consolidated Capex'!$H$9:$H$93=$E16),'Calc|Consolidated Capex'!S$9:S$93)/1000+SUMPRODUCT(--('Input|VBRC Calc'!$G$28:$G$34=$E16),'Input|VBRC Calc'!S$28:S$34)/1000)*(1+Inflation!V77))-K22</f>
        <v>1.274156986727462</v>
      </c>
      <c r="L16" s="7"/>
    </row>
    <row r="17" spans="1:12" x14ac:dyDescent="0.2">
      <c r="A17" s="7"/>
      <c r="B17" s="7"/>
      <c r="C17" s="7"/>
      <c r="D17" s="7"/>
      <c r="E17" s="39" t="s">
        <v>2302</v>
      </c>
      <c r="F17" s="7"/>
      <c r="G17" s="44">
        <f>((SUMPRODUCT(--('Calc|Consolidated Capex'!$H$9:$H$93=$E17),'Calc|Consolidated Capex'!O$9:O$93)/1000+SUMPRODUCT(--('Input|VBRC Calc'!$G$28:$G$34=$E17),'Input|VBRC Calc'!O$28:O$34)/1000)*(1+Inflation!R78))</f>
        <v>6.2295367733013682</v>
      </c>
      <c r="H17" s="44">
        <f>((SUMPRODUCT(--('Calc|Consolidated Capex'!$H$9:$H$93=$E17),'Calc|Consolidated Capex'!P$9:P$93)/1000+SUMPRODUCT(--('Input|VBRC Calc'!$G$28:$G$34=$E17),'Input|VBRC Calc'!P$28:P$34)/1000)*(1+Inflation!S78))</f>
        <v>5.3529167868691951</v>
      </c>
      <c r="I17" s="142">
        <f>((SUMPRODUCT(--('Calc|Consolidated Capex'!$H$9:$H$93=$E17),'Calc|Consolidated Capex'!Q$9:Q$93)/1000+SUMPRODUCT(--('Input|VBRC Calc'!$G$28:$G$34=$E17),'Input|VBRC Calc'!Q$28:Q$34)/1000)*(1+Inflation!T78))</f>
        <v>3.8812180254802326</v>
      </c>
      <c r="J17" s="44">
        <f>((SUMPRODUCT(--('Calc|Consolidated Capex'!$H$9:$H$93=$E17),'Calc|Consolidated Capex'!R$9:R$93)/1000+SUMPRODUCT(--('Input|VBRC Calc'!$G$28:$G$34=$E17),'Input|VBRC Calc'!R$28:R$34)/1000)*(1+Inflation!U78))</f>
        <v>2.6026402484331692</v>
      </c>
      <c r="K17" s="44">
        <f>((SUMPRODUCT(--('Calc|Consolidated Capex'!$H$9:$H$93=$E17),'Calc|Consolidated Capex'!S$9:S$93)/1000+SUMPRODUCT(--('Input|VBRC Calc'!$G$28:$G$34=$E17),'Input|VBRC Calc'!S$28:S$34)/1000)*(1+Inflation!V78))</f>
        <v>2.6075237759349634</v>
      </c>
      <c r="L17" s="7"/>
    </row>
    <row r="18" spans="1:12" x14ac:dyDescent="0.2">
      <c r="A18" s="7"/>
      <c r="B18" s="7"/>
      <c r="C18" s="7"/>
      <c r="D18" s="7"/>
      <c r="E18" s="39" t="s">
        <v>39</v>
      </c>
      <c r="F18" s="7"/>
      <c r="G18" s="142">
        <f>((SUMPRODUCT(--('Calc|Consolidated Capex'!$H$9:$H$93=$E18),'Calc|Consolidated Capex'!O$9:O$93)/1000+SUMPRODUCT(--('Input|VBRC Calc'!$G$28:$G$34=$E18),'Input|VBRC Calc'!O$28:O$34)/1000)*(1+Inflation!R79))</f>
        <v>0</v>
      </c>
      <c r="H18" s="44">
        <f>((SUMPRODUCT(--('Calc|Consolidated Capex'!$H$9:$H$93=$E18),'Calc|Consolidated Capex'!P$9:P$93)/1000+SUMPRODUCT(--('Input|VBRC Calc'!$G$28:$G$34=$E18),'Input|VBRC Calc'!P$28:P$34)/1000)*(1+Inflation!S79))</f>
        <v>0</v>
      </c>
      <c r="I18" s="44">
        <f>((SUMPRODUCT(--('Calc|Consolidated Capex'!$H$9:$H$93=$E18),'Calc|Consolidated Capex'!Q$9:Q$93)/1000+SUMPRODUCT(--('Input|VBRC Calc'!$G$28:$G$34=$E18),'Input|VBRC Calc'!Q$28:Q$34)/1000)*(1+Inflation!T79))</f>
        <v>0</v>
      </c>
      <c r="J18" s="44">
        <f>((SUMPRODUCT(--('Calc|Consolidated Capex'!$H$9:$H$93=$E18),'Calc|Consolidated Capex'!R$9:R$93)/1000+SUMPRODUCT(--('Input|VBRC Calc'!$G$28:$G$34=$E18),'Input|VBRC Calc'!R$28:R$34)/1000)*(1+Inflation!U79))</f>
        <v>0</v>
      </c>
      <c r="K18" s="44">
        <f>((SUMPRODUCT(--('Calc|Consolidated Capex'!$H$9:$H$93=$E18),'Calc|Consolidated Capex'!S$9:S$93)/1000+SUMPRODUCT(--('Input|VBRC Calc'!$G$28:$G$34=$E18),'Input|VBRC Calc'!S$28:S$34)/1000)*(1+Inflation!V79))</f>
        <v>0</v>
      </c>
      <c r="L18" s="7"/>
    </row>
    <row r="19" spans="1:12" x14ac:dyDescent="0.2">
      <c r="A19" s="7"/>
      <c r="B19" s="7"/>
      <c r="C19" s="7"/>
      <c r="D19" s="7"/>
      <c r="E19" s="39" t="s">
        <v>2313</v>
      </c>
      <c r="F19" s="7"/>
      <c r="G19" s="44">
        <f>((SUMPRODUCT(--('Calc|Consolidated Capex'!$H$9:$H$93=$E19),'Calc|Consolidated Capex'!O$9:O$93)/1000+SUMPRODUCT(--('Input|VBRC Calc'!$G$28:$G$34=$E19),'Input|VBRC Calc'!O$28:O$34)/1000)*(1+Inflation!R80))</f>
        <v>0</v>
      </c>
      <c r="H19" s="44">
        <f>((SUMPRODUCT(--('Calc|Consolidated Capex'!$H$9:$H$93=$E19),'Calc|Consolidated Capex'!P$9:P$93)/1000+SUMPRODUCT(--('Input|VBRC Calc'!$G$28:$G$34=$E19),'Input|VBRC Calc'!P$28:P$34)/1000)*(1+Inflation!S80))</f>
        <v>0</v>
      </c>
      <c r="I19" s="44">
        <f>((SUMPRODUCT(--('Calc|Consolidated Capex'!$H$9:$H$93=$E19),'Calc|Consolidated Capex'!Q$9:Q$93)/1000+SUMPRODUCT(--('Input|VBRC Calc'!$G$28:$G$34=$E19),'Input|VBRC Calc'!Q$28:Q$34)/1000)*(1+Inflation!T80))</f>
        <v>0</v>
      </c>
      <c r="J19" s="44">
        <f>((SUMPRODUCT(--('Calc|Consolidated Capex'!$H$9:$H$93=$E19),'Calc|Consolidated Capex'!R$9:R$93)/1000+SUMPRODUCT(--('Input|VBRC Calc'!$G$28:$G$34=$E19),'Input|VBRC Calc'!R$28:R$34)/1000)*(1+Inflation!U80))</f>
        <v>0</v>
      </c>
      <c r="K19" s="44">
        <f>((SUMPRODUCT(--('Calc|Consolidated Capex'!$H$9:$H$93=$E19),'Calc|Consolidated Capex'!S$9:S$93)/1000+SUMPRODUCT(--('Input|VBRC Calc'!$G$28:$G$34=$E19),'Input|VBRC Calc'!S$28:S$34)/1000)*(1+Inflation!V80))</f>
        <v>0</v>
      </c>
      <c r="L19" s="7"/>
    </row>
    <row r="20" spans="1:12" x14ac:dyDescent="0.2">
      <c r="A20" s="7"/>
      <c r="B20" s="7"/>
      <c r="C20" s="7"/>
      <c r="D20" s="7"/>
      <c r="E20" s="39" t="s">
        <v>2314</v>
      </c>
      <c r="F20" s="7"/>
      <c r="G20" s="44">
        <f>((SUMPRODUCT(--('Calc|Consolidated Capex'!$H$9:$H$93=$E20),'Calc|Consolidated Capex'!O$9:O$93)/1000+SUMPRODUCT(--('Input|VBRC Calc'!$G$28:$G$34=$E20),'Input|VBRC Calc'!O$28:O$34)/1000)*(1+Inflation!R81))</f>
        <v>0</v>
      </c>
      <c r="H20" s="44">
        <f>((SUMPRODUCT(--('Calc|Consolidated Capex'!$H$9:$H$93=$E20),'Calc|Consolidated Capex'!P$9:P$93)/1000+SUMPRODUCT(--('Input|VBRC Calc'!$G$28:$G$34=$E20),'Input|VBRC Calc'!P$28:P$34)/1000)*(1+Inflation!S81))</f>
        <v>0</v>
      </c>
      <c r="I20" s="44">
        <f>((SUMPRODUCT(--('Calc|Consolidated Capex'!$H$9:$H$93=$E20),'Calc|Consolidated Capex'!Q$9:Q$93)/1000+SUMPRODUCT(--('Input|VBRC Calc'!$G$28:$G$34=$E20),'Input|VBRC Calc'!Q$28:Q$34)/1000)*(1+Inflation!T81))</f>
        <v>0</v>
      </c>
      <c r="J20" s="44">
        <f>((SUMPRODUCT(--('Calc|Consolidated Capex'!$H$9:$H$93=$E20),'Calc|Consolidated Capex'!R$9:R$93)/1000+SUMPRODUCT(--('Input|VBRC Calc'!$G$28:$G$34=$E20),'Input|VBRC Calc'!R$28:R$34)/1000)*(1+Inflation!U81))</f>
        <v>0</v>
      </c>
      <c r="K20" s="44">
        <f>((SUMPRODUCT(--('Calc|Consolidated Capex'!$H$9:$H$93=$E20),'Calc|Consolidated Capex'!S$9:S$93)/1000+SUMPRODUCT(--('Input|VBRC Calc'!$G$28:$G$34=$E20),'Input|VBRC Calc'!S$28:S$34)/1000)*(1+Inflation!V81))</f>
        <v>0</v>
      </c>
      <c r="L20" s="7"/>
    </row>
    <row r="21" spans="1:12" x14ac:dyDescent="0.2">
      <c r="A21" s="7"/>
      <c r="B21" s="7"/>
      <c r="C21" s="7"/>
      <c r="D21" s="7"/>
      <c r="E21" s="39" t="s">
        <v>2315</v>
      </c>
      <c r="F21" s="7"/>
      <c r="G21" s="142">
        <f>((SUMPRODUCT(--('Calc|Consolidated Capex'!$H$9:$H$93=$E21),'Calc|Consolidated Capex'!O$9:O$93)/1000+SUMPRODUCT(--('Input|VBRC Calc'!$G$28:$G$34=$E21),'Input|VBRC Calc'!O$28:O$34)/1000)*(1+Inflation!R82))</f>
        <v>0</v>
      </c>
      <c r="H21" s="44">
        <f>((SUMPRODUCT(--('Calc|Consolidated Capex'!$H$9:$H$93=$E21),'Calc|Consolidated Capex'!P$9:P$93)/1000+SUMPRODUCT(--('Input|VBRC Calc'!$G$28:$G$34=$E21),'Input|VBRC Calc'!P$28:P$34)/1000)*(1+Inflation!S82))</f>
        <v>0</v>
      </c>
      <c r="I21" s="44">
        <f>((SUMPRODUCT(--('Calc|Consolidated Capex'!$H$9:$H$93=$E21),'Calc|Consolidated Capex'!Q$9:Q$93)/1000+SUMPRODUCT(--('Input|VBRC Calc'!$G$28:$G$34=$E21),'Input|VBRC Calc'!Q$28:Q$34)/1000)*(1+Inflation!T82))</f>
        <v>0</v>
      </c>
      <c r="J21" s="44">
        <f>((SUMPRODUCT(--('Calc|Consolidated Capex'!$H$9:$H$93=$E21),'Calc|Consolidated Capex'!R$9:R$93)/1000+SUMPRODUCT(--('Input|VBRC Calc'!$G$28:$G$34=$E21),'Input|VBRC Calc'!R$28:R$34)/1000)*(1+Inflation!U82))</f>
        <v>0</v>
      </c>
      <c r="K21" s="44">
        <f>((SUMPRODUCT(--('Calc|Consolidated Capex'!$H$9:$H$93=$E21),'Calc|Consolidated Capex'!S$9:S$93)/1000+SUMPRODUCT(--('Input|VBRC Calc'!$G$28:$G$34=$E21),'Input|VBRC Calc'!S$28:S$34)/1000)*(1+Inflation!V82))</f>
        <v>0</v>
      </c>
      <c r="L21" s="7"/>
    </row>
    <row r="22" spans="1:12" x14ac:dyDescent="0.2">
      <c r="A22" s="7"/>
      <c r="B22" s="7"/>
      <c r="C22" s="7"/>
      <c r="D22" s="7"/>
      <c r="E22" s="39" t="s">
        <v>2440</v>
      </c>
      <c r="F22" s="7"/>
      <c r="G22" s="142">
        <f>((SUMPRODUCT(--('Calc|Consolidated Capex'!$H$9:$H$93=$E16),'Calc|Consolidated Capex'!O$9:O$93)/1000+SUMPRODUCT(--('Input|VBRC Calc'!$G$28:$G$34=$E22),'Input|VBRC Calc'!O$28:O$34)/1000)*(1+Inflation!R83))*G29</f>
        <v>17.829637245434974</v>
      </c>
      <c r="H22" s="142">
        <f>((SUMPRODUCT(--('Calc|Consolidated Capex'!$H$9:$H$93=$E16),'Calc|Consolidated Capex'!P$9:P$93)/1000+SUMPRODUCT(--('Input|VBRC Calc'!$G$28:$G$34=$E22),'Input|VBRC Calc'!P$28:P$34)/1000)*(1+Inflation!S83))*H29</f>
        <v>14.069987001496971</v>
      </c>
      <c r="I22" s="142">
        <f>((SUMPRODUCT(--('Calc|Consolidated Capex'!$H$9:$H$93=$E16),'Calc|Consolidated Capex'!Q$9:Q$93)/1000+SUMPRODUCT(--('Input|VBRC Calc'!$G$28:$G$34=$E22),'Input|VBRC Calc'!Q$28:Q$34)/1000)*(1+Inflation!T83))*I29</f>
        <v>16.209461617345951</v>
      </c>
      <c r="J22" s="142">
        <f>((SUMPRODUCT(--('Calc|Consolidated Capex'!$H$9:$H$93=$E16),'Calc|Consolidated Capex'!R$9:R$93)/1000+SUMPRODUCT(--('Input|VBRC Calc'!$G$28:$G$34=$E22),'Input|VBRC Calc'!R$28:R$34)/1000)*(1+Inflation!U83))*J29</f>
        <v>11.841146246763447</v>
      </c>
      <c r="K22" s="142">
        <f>((SUMPRODUCT(--('Calc|Consolidated Capex'!$H$9:$H$93=$E16),'Calc|Consolidated Capex'!S$9:S$93)/1000+SUMPRODUCT(--('Input|VBRC Calc'!$G$28:$G$34=$E22),'Input|VBRC Calc'!S$28:S$34)/1000)*(1+Inflation!V83))*K29</f>
        <v>6.6838627064219711</v>
      </c>
      <c r="L22" s="7"/>
    </row>
    <row r="23" spans="1:12" x14ac:dyDescent="0.2">
      <c r="A23" s="7"/>
      <c r="B23" s="7"/>
      <c r="C23" s="7"/>
      <c r="D23" s="7"/>
      <c r="E23" s="39" t="s">
        <v>2326</v>
      </c>
      <c r="F23" s="7"/>
      <c r="G23" s="44"/>
      <c r="H23" s="44"/>
      <c r="I23" s="44"/>
      <c r="J23" s="44"/>
      <c r="K23" s="44"/>
      <c r="L23" s="7"/>
    </row>
    <row r="24" spans="1:12" x14ac:dyDescent="0.2">
      <c r="A24" s="7"/>
      <c r="B24" s="7"/>
      <c r="C24" s="7"/>
      <c r="D24" s="7"/>
      <c r="E24" s="39" t="s">
        <v>2327</v>
      </c>
      <c r="F24" s="7"/>
      <c r="G24" s="44"/>
      <c r="H24" s="44"/>
      <c r="I24" s="44"/>
      <c r="J24" s="44"/>
      <c r="K24" s="44"/>
      <c r="L24" s="7"/>
    </row>
    <row r="25" spans="1:12" x14ac:dyDescent="0.2">
      <c r="A25" s="7"/>
      <c r="B25" s="7"/>
      <c r="C25" s="7"/>
      <c r="D25" s="7"/>
      <c r="E25" s="39" t="s">
        <v>2328</v>
      </c>
      <c r="F25" s="7"/>
      <c r="G25" s="44"/>
      <c r="H25" s="44"/>
      <c r="I25" s="44"/>
      <c r="J25" s="44"/>
      <c r="K25" s="44"/>
      <c r="L25" s="7"/>
    </row>
    <row r="26" spans="1:12" x14ac:dyDescent="0.2">
      <c r="A26" s="7"/>
      <c r="B26" s="7"/>
      <c r="C26" s="7"/>
      <c r="D26" s="7"/>
      <c r="E26" s="7"/>
      <c r="F26" s="7"/>
      <c r="G26" s="44"/>
      <c r="H26" s="44"/>
      <c r="I26" s="44"/>
      <c r="J26" s="44"/>
      <c r="K26" s="44"/>
      <c r="L26" s="7"/>
    </row>
    <row r="27" spans="1:12" x14ac:dyDescent="0.2">
      <c r="A27" s="7"/>
      <c r="B27" s="7"/>
      <c r="C27" s="7"/>
      <c r="D27" s="7"/>
      <c r="E27" s="9" t="s">
        <v>2209</v>
      </c>
      <c r="F27" s="7"/>
      <c r="G27" s="61">
        <f t="shared" ref="G27" si="0">SUM(G11:G25)</f>
        <v>162.22237402697004</v>
      </c>
      <c r="H27" s="61">
        <f t="shared" ref="H27:K27" si="1">SUM(H11:H25)</f>
        <v>181.49768090836901</v>
      </c>
      <c r="I27" s="145">
        <f t="shared" si="1"/>
        <v>170.61490548198776</v>
      </c>
      <c r="J27" s="61">
        <f t="shared" si="1"/>
        <v>159.91812472507777</v>
      </c>
      <c r="K27" s="61">
        <f t="shared" si="1"/>
        <v>151.97411674300974</v>
      </c>
      <c r="L27" s="102">
        <f>SUM(G27:K27)</f>
        <v>826.22720188541427</v>
      </c>
    </row>
    <row r="28" spans="1:12" x14ac:dyDescent="0.2">
      <c r="A28" s="7"/>
      <c r="B28" s="7"/>
      <c r="C28" s="7"/>
      <c r="D28" s="7"/>
      <c r="E28" s="7"/>
      <c r="F28" s="7"/>
      <c r="G28" s="126">
        <f>G27-'Output|Functional'!M120</f>
        <v>0</v>
      </c>
      <c r="H28" s="126">
        <f>H27-'Output|Functional'!N120</f>
        <v>0</v>
      </c>
      <c r="I28" s="126">
        <f>I27-'Output|Functional'!O120</f>
        <v>0</v>
      </c>
      <c r="J28" s="126">
        <f>J27-'Output|Functional'!P120</f>
        <v>0</v>
      </c>
      <c r="K28" s="126">
        <f>K27-'Output|Functional'!Q120</f>
        <v>0</v>
      </c>
      <c r="L28" s="7"/>
    </row>
    <row r="29" spans="1:12" x14ac:dyDescent="0.2">
      <c r="A29" s="7"/>
      <c r="B29" s="7"/>
      <c r="C29" s="7"/>
      <c r="D29" s="7"/>
      <c r="E29" s="157" t="s">
        <v>2442</v>
      </c>
      <c r="F29" s="157"/>
      <c r="G29" s="164">
        <v>0.84550692779988634</v>
      </c>
      <c r="H29" s="164">
        <v>0.84550692779988634</v>
      </c>
      <c r="I29" s="164">
        <v>0.84550692779988634</v>
      </c>
      <c r="J29" s="164">
        <v>0.84550692779988634</v>
      </c>
      <c r="K29" s="164">
        <v>0.84550692779988634</v>
      </c>
      <c r="L29" s="7"/>
    </row>
    <row r="30" spans="1:12" x14ac:dyDescent="0.2">
      <c r="A30" s="59" t="s">
        <v>2332</v>
      </c>
      <c r="B30" s="13"/>
      <c r="C30" s="13"/>
      <c r="D30" s="13"/>
      <c r="E30" s="13"/>
      <c r="F30" s="13"/>
      <c r="G30" s="63" t="s">
        <v>2437</v>
      </c>
      <c r="H30" s="63" t="s">
        <v>2437</v>
      </c>
      <c r="I30" s="63" t="s">
        <v>2437</v>
      </c>
      <c r="J30" s="63" t="s">
        <v>2437</v>
      </c>
      <c r="K30" s="63" t="s">
        <v>2437</v>
      </c>
      <c r="L30" s="13"/>
    </row>
    <row r="31" spans="1:12" x14ac:dyDescent="0.2">
      <c r="A31" s="7"/>
      <c r="B31" s="7"/>
      <c r="C31" s="7"/>
      <c r="D31" s="7"/>
      <c r="E31" s="7"/>
      <c r="F31" s="7"/>
      <c r="G31" s="7" t="s">
        <v>2321</v>
      </c>
      <c r="H31" s="7" t="s">
        <v>2321</v>
      </c>
      <c r="I31" s="7" t="s">
        <v>2321</v>
      </c>
      <c r="J31" s="7" t="s">
        <v>2321</v>
      </c>
      <c r="K31" s="7" t="s">
        <v>2321</v>
      </c>
      <c r="L31" s="7"/>
    </row>
    <row r="32" spans="1:12" x14ac:dyDescent="0.2">
      <c r="A32" s="7"/>
      <c r="B32" s="7"/>
      <c r="C32" s="7"/>
      <c r="D32" s="7"/>
      <c r="E32" s="39" t="s">
        <v>2307</v>
      </c>
      <c r="F32" s="7"/>
      <c r="G32" s="44">
        <f>(('Output|Functional'!M12*'Calc|Weightings'!$AQ127)*(1+Inflation!R$86))</f>
        <v>10.720071665733583</v>
      </c>
      <c r="H32" s="44">
        <f>(('Output|Functional'!N12*'Calc|Weightings'!$AQ127)*(1+Inflation!S$86))</f>
        <v>17.196006765255348</v>
      </c>
      <c r="I32" s="44">
        <f>(('Output|Functional'!O12*'Calc|Weightings'!$AQ127)*(1+Inflation!T$86))</f>
        <v>15.012553357883403</v>
      </c>
      <c r="J32" s="44">
        <f>(('Output|Functional'!P12*'Calc|Weightings'!$AQ127)*(1+Inflation!U$86))</f>
        <v>14.623708752070694</v>
      </c>
      <c r="K32" s="44">
        <f>(('Output|Functional'!Q12*'Calc|Weightings'!$AQ127)*(1+Inflation!V$86))</f>
        <v>14.761313689082774</v>
      </c>
      <c r="L32" s="7"/>
    </row>
    <row r="33" spans="1:12" x14ac:dyDescent="0.2">
      <c r="A33" s="7"/>
      <c r="B33" s="7"/>
      <c r="C33" s="7"/>
      <c r="D33" s="7"/>
      <c r="E33" s="39" t="s">
        <v>2310</v>
      </c>
      <c r="F33" s="7"/>
      <c r="G33" s="44">
        <f>(('Output|Functional'!M12*'Calc|Weightings'!$AQ128)*(1+Inflation!R$86))</f>
        <v>27.334102046758368</v>
      </c>
      <c r="H33" s="44">
        <f>(('Output|Functional'!N12*'Calc|Weightings'!$AQ128)*(1+Inflation!S$86))</f>
        <v>43.846479610831217</v>
      </c>
      <c r="I33" s="44">
        <f>(('Output|Functional'!O12*'Calc|Weightings'!$AQ128)*(1+Inflation!T$86))</f>
        <v>38.279097217090204</v>
      </c>
      <c r="J33" s="44">
        <f>(('Output|Functional'!P12*'Calc|Weightings'!$AQ128)*(1+Inflation!U$86))</f>
        <v>37.287618944646326</v>
      </c>
      <c r="K33" s="44">
        <f>(('Output|Functional'!Q12*'Calc|Weightings'!$AQ128)*(1+Inflation!V$86))</f>
        <v>37.638484825743831</v>
      </c>
      <c r="L33" s="7"/>
    </row>
    <row r="34" spans="1:12" x14ac:dyDescent="0.2">
      <c r="A34" s="7"/>
      <c r="B34" s="7"/>
      <c r="C34" s="7"/>
      <c r="D34" s="7"/>
      <c r="E34" s="39" t="s">
        <v>2311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7"/>
    </row>
    <row r="35" spans="1:12" x14ac:dyDescent="0.2">
      <c r="A35" s="7"/>
      <c r="B35" s="7"/>
      <c r="C35" s="7"/>
      <c r="D35" s="7"/>
      <c r="E35" s="39" t="s">
        <v>2312</v>
      </c>
      <c r="F35" s="7"/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7"/>
    </row>
    <row r="36" spans="1:12" x14ac:dyDescent="0.2">
      <c r="A36" s="7"/>
      <c r="B36" s="7"/>
      <c r="C36" s="7"/>
      <c r="D36" s="7"/>
      <c r="E36" s="39" t="s">
        <v>2309</v>
      </c>
      <c r="F36" s="7"/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7"/>
    </row>
    <row r="37" spans="1:12" x14ac:dyDescent="0.2">
      <c r="A37" s="7"/>
      <c r="B37" s="7"/>
      <c r="C37" s="7"/>
      <c r="D37" s="7"/>
      <c r="E37" s="39" t="s">
        <v>2301</v>
      </c>
      <c r="F37" s="7"/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7"/>
    </row>
    <row r="38" spans="1:12" x14ac:dyDescent="0.2">
      <c r="A38" s="7"/>
      <c r="B38" s="7"/>
      <c r="C38" s="7"/>
      <c r="D38" s="7"/>
      <c r="E38" s="39" t="s">
        <v>2302</v>
      </c>
      <c r="F38" s="7"/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7"/>
    </row>
    <row r="39" spans="1:12" x14ac:dyDescent="0.2">
      <c r="A39" s="7"/>
      <c r="B39" s="7"/>
      <c r="C39" s="7"/>
      <c r="D39" s="7"/>
      <c r="E39" s="39" t="s">
        <v>39</v>
      </c>
      <c r="F39" s="7"/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7"/>
    </row>
    <row r="40" spans="1:12" x14ac:dyDescent="0.2">
      <c r="A40" s="7"/>
      <c r="B40" s="7"/>
      <c r="C40" s="7"/>
      <c r="D40" s="7"/>
      <c r="E40" s="39" t="s">
        <v>2313</v>
      </c>
      <c r="F40" s="7"/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7"/>
    </row>
    <row r="41" spans="1:12" x14ac:dyDescent="0.2">
      <c r="A41" s="7"/>
      <c r="B41" s="7"/>
      <c r="C41" s="7"/>
      <c r="D41" s="7"/>
      <c r="E41" s="39" t="s">
        <v>2314</v>
      </c>
      <c r="F41" s="7"/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7"/>
    </row>
    <row r="42" spans="1:12" x14ac:dyDescent="0.2">
      <c r="A42" s="7"/>
      <c r="B42" s="7"/>
      <c r="C42" s="7"/>
      <c r="D42" s="7"/>
      <c r="E42" s="39" t="s">
        <v>2315</v>
      </c>
      <c r="F42" s="7"/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7"/>
    </row>
    <row r="43" spans="1:12" x14ac:dyDescent="0.2">
      <c r="A43" s="7"/>
      <c r="B43" s="7"/>
      <c r="C43" s="7"/>
      <c r="D43" s="7"/>
      <c r="E43" s="39" t="s">
        <v>2440</v>
      </c>
      <c r="F43" s="7"/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7"/>
    </row>
    <row r="44" spans="1:12" x14ac:dyDescent="0.2">
      <c r="A44" s="7"/>
      <c r="B44" s="7"/>
      <c r="C44" s="7"/>
      <c r="D44" s="7"/>
      <c r="E44" s="39" t="s">
        <v>2326</v>
      </c>
      <c r="F44" s="7"/>
      <c r="G44" s="44"/>
      <c r="H44" s="44"/>
      <c r="I44" s="44"/>
      <c r="J44" s="44"/>
      <c r="K44" s="44"/>
      <c r="L44" s="7"/>
    </row>
    <row r="45" spans="1:12" x14ac:dyDescent="0.2">
      <c r="A45" s="7"/>
      <c r="B45" s="7"/>
      <c r="C45" s="7"/>
      <c r="D45" s="7"/>
      <c r="E45" s="39" t="s">
        <v>2327</v>
      </c>
      <c r="F45" s="7"/>
      <c r="G45" s="44"/>
      <c r="H45" s="44"/>
      <c r="I45" s="44"/>
      <c r="J45" s="44"/>
      <c r="K45" s="44"/>
      <c r="L45" s="7"/>
    </row>
    <row r="46" spans="1:12" x14ac:dyDescent="0.2">
      <c r="A46" s="7"/>
      <c r="B46" s="7"/>
      <c r="C46" s="7"/>
      <c r="D46" s="7"/>
      <c r="E46" s="39" t="s">
        <v>2328</v>
      </c>
      <c r="F46" s="7"/>
      <c r="G46" s="44"/>
      <c r="H46" s="44"/>
      <c r="I46" s="44"/>
      <c r="J46" s="44"/>
      <c r="K46" s="44"/>
      <c r="L46" s="7"/>
    </row>
    <row r="47" spans="1:12" x14ac:dyDescent="0.2">
      <c r="A47" s="7"/>
      <c r="B47" s="7"/>
      <c r="C47" s="7"/>
      <c r="D47" s="7"/>
      <c r="E47" s="7"/>
      <c r="F47" s="7"/>
      <c r="G47" s="44"/>
      <c r="H47" s="44"/>
      <c r="I47" s="44"/>
      <c r="J47" s="44"/>
      <c r="K47" s="44"/>
      <c r="L47" s="7"/>
    </row>
    <row r="48" spans="1:12" x14ac:dyDescent="0.2">
      <c r="A48" s="7"/>
      <c r="B48" s="7"/>
      <c r="C48" s="7"/>
      <c r="D48" s="7"/>
      <c r="E48" s="9" t="s">
        <v>2209</v>
      </c>
      <c r="F48" s="7"/>
      <c r="G48" s="61">
        <f t="shared" ref="G48:K48" si="2">SUM(G32:G46)</f>
        <v>38.054173712491952</v>
      </c>
      <c r="H48" s="61">
        <f t="shared" si="2"/>
        <v>61.042486376086565</v>
      </c>
      <c r="I48" s="61">
        <f t="shared" si="2"/>
        <v>53.291650574973609</v>
      </c>
      <c r="J48" s="61">
        <f t="shared" si="2"/>
        <v>51.911327696717024</v>
      </c>
      <c r="K48" s="61">
        <f t="shared" si="2"/>
        <v>52.399798514826607</v>
      </c>
      <c r="L48" s="102">
        <f>SUM(G48:K48)</f>
        <v>256.69943687509573</v>
      </c>
    </row>
    <row r="49" spans="1:12" x14ac:dyDescent="0.2">
      <c r="A49" s="7"/>
      <c r="B49" s="7"/>
      <c r="C49" s="7"/>
      <c r="D49" s="7"/>
      <c r="E49" s="7"/>
      <c r="F49" s="7"/>
      <c r="G49" s="65">
        <f>G48-'Output|Functional'!M88</f>
        <v>0</v>
      </c>
      <c r="H49" s="65">
        <f>H48-'Output|Functional'!N88</f>
        <v>0</v>
      </c>
      <c r="I49" s="65">
        <f>I48-'Output|Functional'!O88</f>
        <v>0</v>
      </c>
      <c r="J49" s="65">
        <f>J48-'Output|Functional'!P88</f>
        <v>0</v>
      </c>
      <c r="K49" s="65">
        <f>K48-'Output|Functional'!Q88</f>
        <v>0</v>
      </c>
      <c r="L49" s="7"/>
    </row>
    <row r="50" spans="1:12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2">
      <c r="A51" s="59" t="s">
        <v>2331</v>
      </c>
      <c r="B51" s="13"/>
      <c r="C51" s="13"/>
      <c r="D51" s="13"/>
      <c r="E51" s="13"/>
      <c r="F51" s="13"/>
      <c r="G51" s="63" t="s">
        <v>2437</v>
      </c>
      <c r="H51" s="63" t="s">
        <v>2437</v>
      </c>
      <c r="I51" s="63" t="s">
        <v>2437</v>
      </c>
      <c r="J51" s="63" t="s">
        <v>2437</v>
      </c>
      <c r="K51" s="63" t="s">
        <v>2437</v>
      </c>
      <c r="L51" s="13"/>
    </row>
    <row r="52" spans="1:12" x14ac:dyDescent="0.2">
      <c r="A52" s="7"/>
      <c r="B52" s="7"/>
      <c r="C52" s="7"/>
      <c r="D52" s="7"/>
      <c r="E52" s="7"/>
      <c r="F52" s="7"/>
      <c r="G52" s="7" t="s">
        <v>2321</v>
      </c>
      <c r="H52" s="7" t="s">
        <v>2321</v>
      </c>
      <c r="I52" s="7" t="s">
        <v>2321</v>
      </c>
      <c r="J52" s="7" t="s">
        <v>2321</v>
      </c>
      <c r="K52" s="7" t="s">
        <v>2321</v>
      </c>
      <c r="L52" s="7"/>
    </row>
    <row r="53" spans="1:12" x14ac:dyDescent="0.2">
      <c r="A53" s="7"/>
      <c r="B53" s="7"/>
      <c r="C53" s="7"/>
      <c r="D53" s="7"/>
      <c r="E53" s="39" t="s">
        <v>2307</v>
      </c>
      <c r="F53" s="7"/>
      <c r="G53" s="55"/>
      <c r="H53" s="55"/>
      <c r="I53" s="55"/>
      <c r="J53" s="55"/>
      <c r="K53" s="55"/>
      <c r="L53" s="7"/>
    </row>
    <row r="54" spans="1:12" x14ac:dyDescent="0.2">
      <c r="A54" s="7"/>
      <c r="B54" s="7"/>
      <c r="C54" s="7"/>
      <c r="D54" s="7"/>
      <c r="E54" s="39" t="s">
        <v>2310</v>
      </c>
      <c r="F54" s="7"/>
      <c r="G54" s="55"/>
      <c r="H54" s="55"/>
      <c r="I54" s="55"/>
      <c r="J54" s="55"/>
      <c r="K54" s="55"/>
      <c r="L54" s="7"/>
    </row>
    <row r="55" spans="1:12" x14ac:dyDescent="0.2">
      <c r="A55" s="7"/>
      <c r="B55" s="7"/>
      <c r="C55" s="7"/>
      <c r="D55" s="7"/>
      <c r="E55" s="39" t="s">
        <v>2311</v>
      </c>
      <c r="F55" s="7"/>
      <c r="G55" s="55"/>
      <c r="H55" s="55"/>
      <c r="I55" s="55"/>
      <c r="J55" s="55"/>
      <c r="K55" s="55"/>
      <c r="L55" s="7"/>
    </row>
    <row r="56" spans="1:12" x14ac:dyDescent="0.2">
      <c r="A56" s="7"/>
      <c r="B56" s="7"/>
      <c r="C56" s="7"/>
      <c r="D56" s="7"/>
      <c r="E56" s="39" t="s">
        <v>2312</v>
      </c>
      <c r="F56" s="7"/>
      <c r="G56" s="55"/>
      <c r="H56" s="55"/>
      <c r="I56" s="55"/>
      <c r="J56" s="55"/>
      <c r="K56" s="55"/>
      <c r="L56" s="7"/>
    </row>
    <row r="57" spans="1:12" x14ac:dyDescent="0.2">
      <c r="A57" s="7"/>
      <c r="B57" s="7"/>
      <c r="C57" s="7"/>
      <c r="D57" s="7"/>
      <c r="E57" s="39" t="s">
        <v>2309</v>
      </c>
      <c r="F57" s="7"/>
      <c r="G57" s="55"/>
      <c r="H57" s="55"/>
      <c r="I57" s="55"/>
      <c r="J57" s="55"/>
      <c r="K57" s="55"/>
      <c r="L57" s="7"/>
    </row>
    <row r="58" spans="1:12" x14ac:dyDescent="0.2">
      <c r="A58" s="7"/>
      <c r="B58" s="7"/>
      <c r="C58" s="7"/>
      <c r="D58" s="7"/>
      <c r="E58" s="39" t="s">
        <v>2301</v>
      </c>
      <c r="F58" s="7"/>
      <c r="G58" s="55"/>
      <c r="H58" s="55"/>
      <c r="I58" s="55"/>
      <c r="J58" s="55"/>
      <c r="K58" s="55"/>
      <c r="L58" s="7"/>
    </row>
    <row r="59" spans="1:12" x14ac:dyDescent="0.2">
      <c r="A59" s="7"/>
      <c r="B59" s="7"/>
      <c r="C59" s="7"/>
      <c r="D59" s="7"/>
      <c r="E59" s="39" t="s">
        <v>2302</v>
      </c>
      <c r="F59" s="7"/>
      <c r="G59" s="127">
        <v>0.43577231873097599</v>
      </c>
      <c r="H59" s="127">
        <v>0.43577231873097599</v>
      </c>
      <c r="I59" s="127">
        <v>0.43577231873097599</v>
      </c>
      <c r="J59" s="127">
        <v>0.43577231873097599</v>
      </c>
      <c r="K59" s="127">
        <v>0.43577231873097599</v>
      </c>
      <c r="L59" s="7"/>
    </row>
    <row r="60" spans="1:12" x14ac:dyDescent="0.2">
      <c r="A60" s="7"/>
      <c r="B60" s="7"/>
      <c r="C60" s="7"/>
      <c r="D60" s="7"/>
      <c r="E60" s="39" t="s">
        <v>39</v>
      </c>
      <c r="F60" s="7"/>
      <c r="G60" s="55"/>
      <c r="H60" s="55"/>
      <c r="I60" s="55"/>
      <c r="J60" s="55"/>
      <c r="K60" s="55"/>
      <c r="L60" s="7"/>
    </row>
    <row r="61" spans="1:12" x14ac:dyDescent="0.2">
      <c r="A61" s="7"/>
      <c r="B61" s="7"/>
      <c r="C61" s="7"/>
      <c r="D61" s="7"/>
      <c r="E61" s="39" t="s">
        <v>2313</v>
      </c>
      <c r="F61" s="7"/>
      <c r="G61" s="55"/>
      <c r="H61" s="55"/>
      <c r="I61" s="55"/>
      <c r="J61" s="55"/>
      <c r="K61" s="55"/>
      <c r="L61" s="7"/>
    </row>
    <row r="62" spans="1:12" x14ac:dyDescent="0.2">
      <c r="A62" s="7"/>
      <c r="B62" s="7"/>
      <c r="C62" s="7"/>
      <c r="D62" s="7"/>
      <c r="E62" s="39" t="s">
        <v>2314</v>
      </c>
      <c r="F62" s="7"/>
      <c r="G62" s="55"/>
      <c r="H62" s="55"/>
      <c r="I62" s="55"/>
      <c r="J62" s="55"/>
      <c r="K62" s="55"/>
      <c r="L62" s="7"/>
    </row>
    <row r="63" spans="1:12" x14ac:dyDescent="0.2">
      <c r="A63" s="7"/>
      <c r="B63" s="7"/>
      <c r="C63" s="7"/>
      <c r="D63" s="7"/>
      <c r="E63" s="39" t="s">
        <v>2315</v>
      </c>
      <c r="F63" s="7"/>
      <c r="G63" s="55"/>
      <c r="H63" s="55"/>
      <c r="I63" s="55"/>
      <c r="J63" s="55"/>
      <c r="K63" s="55"/>
      <c r="L63" s="7"/>
    </row>
    <row r="64" spans="1:12" x14ac:dyDescent="0.2">
      <c r="A64" s="7"/>
      <c r="B64" s="7"/>
      <c r="C64" s="7"/>
      <c r="D64" s="7"/>
      <c r="E64" s="39" t="s">
        <v>2440</v>
      </c>
      <c r="F64" s="7"/>
      <c r="G64" s="55"/>
      <c r="H64" s="55"/>
      <c r="I64" s="55"/>
      <c r="J64" s="55"/>
      <c r="K64" s="55"/>
      <c r="L64" s="7"/>
    </row>
    <row r="65" spans="1:12" x14ac:dyDescent="0.2">
      <c r="A65" s="7"/>
      <c r="B65" s="7"/>
      <c r="C65" s="7"/>
      <c r="D65" s="7"/>
      <c r="E65" s="39" t="s">
        <v>2326</v>
      </c>
      <c r="F65" s="7"/>
      <c r="G65" s="55"/>
      <c r="H65" s="55"/>
      <c r="I65" s="55"/>
      <c r="J65" s="55"/>
      <c r="K65" s="55"/>
      <c r="L65" s="7"/>
    </row>
    <row r="66" spans="1:12" x14ac:dyDescent="0.2">
      <c r="A66" s="7"/>
      <c r="B66" s="7"/>
      <c r="C66" s="7"/>
      <c r="D66" s="7"/>
      <c r="E66" s="39" t="s">
        <v>2327</v>
      </c>
      <c r="F66" s="7"/>
      <c r="G66" s="55"/>
      <c r="H66" s="55"/>
      <c r="I66" s="55"/>
      <c r="J66" s="55"/>
      <c r="K66" s="55"/>
      <c r="L66" s="7"/>
    </row>
    <row r="67" spans="1:12" x14ac:dyDescent="0.2">
      <c r="A67" s="7"/>
      <c r="B67" s="7"/>
      <c r="C67" s="7"/>
      <c r="D67" s="7"/>
      <c r="E67" s="39" t="s">
        <v>2328</v>
      </c>
      <c r="F67" s="7"/>
      <c r="G67" s="55"/>
      <c r="H67" s="55"/>
      <c r="I67" s="55"/>
      <c r="J67" s="55"/>
      <c r="K67" s="55"/>
      <c r="L67" s="7"/>
    </row>
    <row r="68" spans="1:12" x14ac:dyDescent="0.2">
      <c r="A68" s="7"/>
      <c r="B68" s="7"/>
      <c r="C68" s="7"/>
      <c r="D68" s="7"/>
      <c r="E68" s="7"/>
      <c r="F68" s="7"/>
      <c r="G68" s="44"/>
      <c r="H68" s="44"/>
      <c r="I68" s="44"/>
      <c r="J68" s="44"/>
      <c r="K68" s="44"/>
      <c r="L68" s="7"/>
    </row>
    <row r="69" spans="1:12" x14ac:dyDescent="0.2">
      <c r="A69" s="7"/>
      <c r="B69" s="7"/>
      <c r="C69" s="7"/>
      <c r="D69" s="7"/>
      <c r="E69" s="9" t="s">
        <v>2209</v>
      </c>
      <c r="F69" s="7"/>
      <c r="G69" s="196">
        <f t="shared" ref="G69:K69" si="3">SUM(G53:G67)</f>
        <v>0.43577231873097599</v>
      </c>
      <c r="H69" s="196">
        <f t="shared" si="3"/>
        <v>0.43577231873097599</v>
      </c>
      <c r="I69" s="196">
        <f t="shared" si="3"/>
        <v>0.43577231873097599</v>
      </c>
      <c r="J69" s="196">
        <f t="shared" si="3"/>
        <v>0.43577231873097599</v>
      </c>
      <c r="K69" s="196">
        <f t="shared" si="3"/>
        <v>0.43577231873097599</v>
      </c>
      <c r="L69" s="207">
        <f>SUM(G69:K69)</f>
        <v>2.1788615936548799</v>
      </c>
    </row>
    <row r="70" spans="1:12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2">
      <c r="A71" s="59" t="s">
        <v>2369</v>
      </c>
      <c r="B71" s="13"/>
      <c r="C71" s="13"/>
      <c r="D71" s="13"/>
      <c r="E71" s="13"/>
      <c r="F71" s="13"/>
      <c r="G71" s="63" t="s">
        <v>2437</v>
      </c>
      <c r="H71" s="63" t="s">
        <v>2437</v>
      </c>
      <c r="I71" s="63" t="s">
        <v>2437</v>
      </c>
      <c r="J71" s="63" t="s">
        <v>2437</v>
      </c>
      <c r="K71" s="63" t="s">
        <v>2437</v>
      </c>
      <c r="L71" s="13"/>
    </row>
    <row r="72" spans="1:12" x14ac:dyDescent="0.2">
      <c r="A72" s="7"/>
      <c r="B72" s="7"/>
      <c r="C72" s="7"/>
      <c r="D72" s="7"/>
      <c r="E72" s="7"/>
      <c r="F72" s="7"/>
      <c r="G72" s="7" t="s">
        <v>2321</v>
      </c>
      <c r="H72" s="7" t="s">
        <v>2321</v>
      </c>
      <c r="I72" s="7" t="s">
        <v>2321</v>
      </c>
      <c r="J72" s="7" t="s">
        <v>2321</v>
      </c>
      <c r="K72" s="7" t="s">
        <v>2321</v>
      </c>
      <c r="L72" s="7"/>
    </row>
    <row r="73" spans="1:12" x14ac:dyDescent="0.2">
      <c r="A73" s="7"/>
      <c r="B73" s="7"/>
      <c r="C73" s="7"/>
      <c r="D73" s="7"/>
      <c r="E73" s="39" t="s">
        <v>2307</v>
      </c>
      <c r="F73" s="7"/>
      <c r="G73" s="44">
        <f>G11-G32-G53</f>
        <v>25.342673737962912</v>
      </c>
      <c r="H73" s="44">
        <f t="shared" ref="H73:K73" si="4">H11-H32-H53</f>
        <v>25.755662013557512</v>
      </c>
      <c r="I73" s="44">
        <f t="shared" si="4"/>
        <v>24.920105038250988</v>
      </c>
      <c r="J73" s="44">
        <f t="shared" si="4"/>
        <v>23.876468386554169</v>
      </c>
      <c r="K73" s="44">
        <f t="shared" si="4"/>
        <v>23.165225794645309</v>
      </c>
      <c r="L73" s="7"/>
    </row>
    <row r="74" spans="1:12" x14ac:dyDescent="0.2">
      <c r="A74" s="7"/>
      <c r="B74" s="7"/>
      <c r="C74" s="7"/>
      <c r="D74" s="7"/>
      <c r="E74" s="39" t="s">
        <v>2310</v>
      </c>
      <c r="F74" s="7"/>
      <c r="G74" s="44">
        <f t="shared" ref="G74:K84" si="5">G12-G33-G54</f>
        <v>64.64168512909032</v>
      </c>
      <c r="H74" s="44">
        <f t="shared" si="5"/>
        <v>65.67176631112099</v>
      </c>
      <c r="I74" s="44">
        <f t="shared" si="5"/>
        <v>63.54046340210666</v>
      </c>
      <c r="J74" s="44">
        <f t="shared" si="5"/>
        <v>60.882269242041133</v>
      </c>
      <c r="K74" s="44">
        <f t="shared" si="5"/>
        <v>59.054909033971086</v>
      </c>
      <c r="L74" s="7"/>
    </row>
    <row r="75" spans="1:12" x14ac:dyDescent="0.2">
      <c r="A75" s="7"/>
      <c r="B75" s="7"/>
      <c r="C75" s="7"/>
      <c r="D75" s="7"/>
      <c r="E75" s="39" t="s">
        <v>2311</v>
      </c>
      <c r="F75" s="7"/>
      <c r="G75" s="44">
        <f t="shared" si="5"/>
        <v>0</v>
      </c>
      <c r="H75" s="44">
        <f t="shared" si="5"/>
        <v>0</v>
      </c>
      <c r="I75" s="44">
        <f t="shared" si="5"/>
        <v>0</v>
      </c>
      <c r="J75" s="44">
        <f t="shared" si="5"/>
        <v>0</v>
      </c>
      <c r="K75" s="44">
        <f t="shared" si="5"/>
        <v>0</v>
      </c>
      <c r="L75" s="7"/>
    </row>
    <row r="76" spans="1:12" x14ac:dyDescent="0.2">
      <c r="A76" s="7"/>
      <c r="B76" s="7"/>
      <c r="C76" s="7"/>
      <c r="D76" s="7"/>
      <c r="E76" s="39" t="s">
        <v>2312</v>
      </c>
      <c r="F76" s="7"/>
      <c r="G76" s="44">
        <f t="shared" si="5"/>
        <v>0</v>
      </c>
      <c r="H76" s="44">
        <f t="shared" si="5"/>
        <v>0</v>
      </c>
      <c r="I76" s="44">
        <f t="shared" si="5"/>
        <v>0</v>
      </c>
      <c r="J76" s="44">
        <f t="shared" si="5"/>
        <v>0</v>
      </c>
      <c r="K76" s="44">
        <f t="shared" si="5"/>
        <v>0</v>
      </c>
      <c r="L76" s="7"/>
    </row>
    <row r="77" spans="1:12" x14ac:dyDescent="0.2">
      <c r="A77" s="7"/>
      <c r="B77" s="7"/>
      <c r="C77" s="7"/>
      <c r="D77" s="7"/>
      <c r="E77" s="39" t="s">
        <v>2309</v>
      </c>
      <c r="F77" s="7"/>
      <c r="G77" s="44">
        <f t="shared" si="5"/>
        <v>6.8405393148381028</v>
      </c>
      <c r="H77" s="44">
        <f t="shared" si="5"/>
        <v>7.0349752466259368</v>
      </c>
      <c r="I77" s="44">
        <f t="shared" si="5"/>
        <v>5.8186062810378969</v>
      </c>
      <c r="J77" s="44">
        <f t="shared" si="5"/>
        <v>6.6199819373831303</v>
      </c>
      <c r="K77" s="44">
        <f t="shared" si="5"/>
        <v>6.7886399304823701</v>
      </c>
      <c r="L77" s="7"/>
    </row>
    <row r="78" spans="1:12" x14ac:dyDescent="0.2">
      <c r="A78" s="7"/>
      <c r="B78" s="7"/>
      <c r="C78" s="7"/>
      <c r="D78" s="7"/>
      <c r="E78" s="39" t="s">
        <v>2301</v>
      </c>
      <c r="F78" s="7"/>
      <c r="G78" s="44">
        <f t="shared" si="5"/>
        <v>3.2841281138504215</v>
      </c>
      <c r="H78" s="44">
        <f t="shared" si="5"/>
        <v>2.5698871726118302</v>
      </c>
      <c r="I78" s="44">
        <f t="shared" si="5"/>
        <v>2.9534005427924335</v>
      </c>
      <c r="J78" s="44">
        <f t="shared" si="5"/>
        <v>2.1842909671856905</v>
      </c>
      <c r="K78" s="44">
        <f t="shared" si="5"/>
        <v>1.274156986727462</v>
      </c>
      <c r="L78" s="7"/>
    </row>
    <row r="79" spans="1:12" x14ac:dyDescent="0.2">
      <c r="A79" s="7"/>
      <c r="B79" s="7"/>
      <c r="C79" s="7"/>
      <c r="D79" s="7"/>
      <c r="E79" s="39" t="s">
        <v>2302</v>
      </c>
      <c r="F79" s="7"/>
      <c r="G79" s="44">
        <f t="shared" si="5"/>
        <v>5.7937644545703924</v>
      </c>
      <c r="H79" s="44">
        <f t="shared" si="5"/>
        <v>4.9171444681382193</v>
      </c>
      <c r="I79" s="44">
        <f t="shared" si="5"/>
        <v>3.4454457067492568</v>
      </c>
      <c r="J79" s="44">
        <f t="shared" si="5"/>
        <v>2.1668679297021933</v>
      </c>
      <c r="K79" s="44">
        <f t="shared" si="5"/>
        <v>2.1717514572039875</v>
      </c>
      <c r="L79" s="7"/>
    </row>
    <row r="80" spans="1:12" x14ac:dyDescent="0.2">
      <c r="A80" s="7"/>
      <c r="B80" s="7"/>
      <c r="C80" s="7"/>
      <c r="D80" s="7"/>
      <c r="E80" s="39" t="s">
        <v>39</v>
      </c>
      <c r="F80" s="7"/>
      <c r="G80" s="44">
        <f t="shared" si="5"/>
        <v>0</v>
      </c>
      <c r="H80" s="44">
        <f t="shared" si="5"/>
        <v>0</v>
      </c>
      <c r="I80" s="44">
        <f t="shared" si="5"/>
        <v>0</v>
      </c>
      <c r="J80" s="44">
        <f t="shared" si="5"/>
        <v>0</v>
      </c>
      <c r="K80" s="44">
        <f t="shared" si="5"/>
        <v>0</v>
      </c>
      <c r="L80" s="7"/>
    </row>
    <row r="81" spans="1:12" x14ac:dyDescent="0.2">
      <c r="A81" s="7"/>
      <c r="B81" s="7"/>
      <c r="C81" s="7"/>
      <c r="D81" s="7"/>
      <c r="E81" s="39" t="s">
        <v>2313</v>
      </c>
      <c r="F81" s="7"/>
      <c r="G81" s="44">
        <f t="shared" si="5"/>
        <v>0</v>
      </c>
      <c r="H81" s="44">
        <f t="shared" si="5"/>
        <v>0</v>
      </c>
      <c r="I81" s="44">
        <f t="shared" si="5"/>
        <v>0</v>
      </c>
      <c r="J81" s="44">
        <f t="shared" si="5"/>
        <v>0</v>
      </c>
      <c r="K81" s="44">
        <f t="shared" si="5"/>
        <v>0</v>
      </c>
      <c r="L81" s="7"/>
    </row>
    <row r="82" spans="1:12" x14ac:dyDescent="0.2">
      <c r="A82" s="7"/>
      <c r="B82" s="7"/>
      <c r="C82" s="7"/>
      <c r="D82" s="7"/>
      <c r="E82" s="39" t="s">
        <v>2314</v>
      </c>
      <c r="F82" s="7"/>
      <c r="G82" s="44">
        <f t="shared" si="5"/>
        <v>0</v>
      </c>
      <c r="H82" s="44">
        <f t="shared" si="5"/>
        <v>0</v>
      </c>
      <c r="I82" s="44">
        <f t="shared" si="5"/>
        <v>0</v>
      </c>
      <c r="J82" s="44">
        <f t="shared" si="5"/>
        <v>0</v>
      </c>
      <c r="K82" s="44">
        <f t="shared" si="5"/>
        <v>0</v>
      </c>
      <c r="L82" s="7"/>
    </row>
    <row r="83" spans="1:12" x14ac:dyDescent="0.2">
      <c r="A83" s="7"/>
      <c r="B83" s="7"/>
      <c r="C83" s="7"/>
      <c r="D83" s="7"/>
      <c r="E83" s="39" t="s">
        <v>2315</v>
      </c>
      <c r="F83" s="7"/>
      <c r="G83" s="44">
        <f t="shared" si="5"/>
        <v>0</v>
      </c>
      <c r="H83" s="44">
        <f t="shared" si="5"/>
        <v>0</v>
      </c>
      <c r="I83" s="44">
        <f t="shared" si="5"/>
        <v>0</v>
      </c>
      <c r="J83" s="44">
        <f t="shared" si="5"/>
        <v>0</v>
      </c>
      <c r="K83" s="44">
        <f t="shared" si="5"/>
        <v>0</v>
      </c>
      <c r="L83" s="7"/>
    </row>
    <row r="84" spans="1:12" x14ac:dyDescent="0.2">
      <c r="A84" s="7"/>
      <c r="B84" s="7"/>
      <c r="C84" s="7"/>
      <c r="D84" s="7"/>
      <c r="E84" s="39" t="s">
        <v>2440</v>
      </c>
      <c r="F84" s="7"/>
      <c r="G84" s="44">
        <f t="shared" si="5"/>
        <v>17.829637245434974</v>
      </c>
      <c r="H84" s="44">
        <f t="shared" si="5"/>
        <v>14.069987001496971</v>
      </c>
      <c r="I84" s="44">
        <f t="shared" si="5"/>
        <v>16.209461617345951</v>
      </c>
      <c r="J84" s="44">
        <f t="shared" si="5"/>
        <v>11.841146246763447</v>
      </c>
      <c r="K84" s="44">
        <f t="shared" si="5"/>
        <v>6.6838627064219711</v>
      </c>
      <c r="L84" s="7"/>
    </row>
    <row r="85" spans="1:12" x14ac:dyDescent="0.2">
      <c r="A85" s="7"/>
      <c r="B85" s="7"/>
      <c r="C85" s="7"/>
      <c r="D85" s="7"/>
      <c r="E85" s="39" t="s">
        <v>2326</v>
      </c>
      <c r="F85" s="7"/>
      <c r="G85" s="44"/>
      <c r="H85" s="44"/>
      <c r="I85" s="44"/>
      <c r="J85" s="44"/>
      <c r="K85" s="44"/>
      <c r="L85" s="7"/>
    </row>
    <row r="86" spans="1:12" x14ac:dyDescent="0.2">
      <c r="A86" s="7"/>
      <c r="B86" s="7"/>
      <c r="C86" s="7"/>
      <c r="D86" s="7"/>
      <c r="E86" s="39" t="s">
        <v>2327</v>
      </c>
      <c r="F86" s="7"/>
      <c r="G86" s="44"/>
      <c r="H86" s="44"/>
      <c r="I86" s="44"/>
      <c r="J86" s="44"/>
      <c r="K86" s="44"/>
      <c r="L86" s="7"/>
    </row>
    <row r="87" spans="1:12" x14ac:dyDescent="0.2">
      <c r="A87" s="7"/>
      <c r="B87" s="7"/>
      <c r="C87" s="7"/>
      <c r="D87" s="7"/>
      <c r="E87" s="39" t="s">
        <v>2328</v>
      </c>
      <c r="F87" s="7"/>
      <c r="G87" s="44"/>
      <c r="H87" s="44"/>
      <c r="I87" s="44"/>
      <c r="J87" s="44"/>
      <c r="K87" s="44"/>
      <c r="L87" s="7"/>
    </row>
    <row r="88" spans="1:12" x14ac:dyDescent="0.2">
      <c r="A88" s="7"/>
      <c r="B88" s="7"/>
      <c r="C88" s="7"/>
      <c r="D88" s="7"/>
      <c r="E88" s="7"/>
      <c r="F88" s="7"/>
      <c r="G88" s="44"/>
      <c r="H88" s="44"/>
      <c r="I88" s="44"/>
      <c r="J88" s="44"/>
      <c r="K88" s="44"/>
      <c r="L88" s="7"/>
    </row>
    <row r="89" spans="1:12" x14ac:dyDescent="0.2">
      <c r="A89" s="7"/>
      <c r="B89" s="7"/>
      <c r="C89" s="7"/>
      <c r="D89" s="7"/>
      <c r="E89" s="9" t="s">
        <v>2209</v>
      </c>
      <c r="F89" s="7"/>
      <c r="G89" s="61">
        <f t="shared" ref="G89" si="6">SUM(G73:G87)</f>
        <v>123.73242799574712</v>
      </c>
      <c r="H89" s="61">
        <f t="shared" ref="H89:K89" si="7">SUM(H73:H87)</f>
        <v>120.01942221355145</v>
      </c>
      <c r="I89" s="61">
        <f t="shared" si="7"/>
        <v>116.88748258828319</v>
      </c>
      <c r="J89" s="61">
        <f t="shared" si="7"/>
        <v>107.57102470962975</v>
      </c>
      <c r="K89" s="61">
        <f t="shared" si="7"/>
        <v>99.138545909452191</v>
      </c>
      <c r="L89" s="233">
        <f>SUM(G89:K89)</f>
        <v>567.34890341666369</v>
      </c>
    </row>
    <row r="90" spans="1:12" x14ac:dyDescent="0.2">
      <c r="A90" s="7"/>
      <c r="B90" s="7"/>
      <c r="C90" s="7"/>
      <c r="D90" s="7"/>
      <c r="E90" s="7"/>
      <c r="F90" s="7"/>
      <c r="G90" s="65">
        <f>G89+G69-'Output|Functional'!M136</f>
        <v>0</v>
      </c>
      <c r="H90" s="65">
        <f>H89+H69-'Output|Functional'!N136</f>
        <v>0</v>
      </c>
      <c r="I90" s="65">
        <f>I89+I69-'Output|Functional'!O136</f>
        <v>0</v>
      </c>
      <c r="J90" s="65">
        <f>J89+J69-'Output|Functional'!P136</f>
        <v>0</v>
      </c>
      <c r="K90" s="65">
        <f>K89+K69-'Output|Functional'!Q136</f>
        <v>0</v>
      </c>
      <c r="L90" s="95">
        <v>777.09920097810664</v>
      </c>
    </row>
    <row r="91" spans="1:12" x14ac:dyDescent="0.2">
      <c r="A91" s="7"/>
      <c r="B91" s="7"/>
      <c r="C91" s="7"/>
      <c r="D91" s="7"/>
      <c r="E91" s="7"/>
      <c r="F91" s="7"/>
      <c r="G91" s="65"/>
      <c r="H91" s="65"/>
      <c r="I91" s="65"/>
      <c r="J91" s="65"/>
      <c r="K91" s="65"/>
      <c r="L91" s="102"/>
    </row>
    <row r="92" spans="1:12" x14ac:dyDescent="0.2">
      <c r="A92" s="59" t="s">
        <v>2458</v>
      </c>
      <c r="B92" s="13"/>
      <c r="C92" s="13"/>
      <c r="D92" s="13"/>
      <c r="E92" s="13"/>
      <c r="F92" s="13"/>
      <c r="G92" s="63" t="s">
        <v>2437</v>
      </c>
      <c r="H92" s="63" t="s">
        <v>2437</v>
      </c>
      <c r="I92" s="63" t="s">
        <v>2437</v>
      </c>
      <c r="J92" s="63" t="s">
        <v>2437</v>
      </c>
      <c r="K92" s="63" t="s">
        <v>2437</v>
      </c>
      <c r="L92" s="13"/>
    </row>
    <row r="93" spans="1:12" x14ac:dyDescent="0.2">
      <c r="A93" s="7"/>
      <c r="B93" s="7"/>
      <c r="C93" s="7"/>
      <c r="D93" s="7"/>
      <c r="E93" s="7"/>
      <c r="F93" s="7"/>
      <c r="G93" s="7" t="s">
        <v>2321</v>
      </c>
      <c r="H93" s="7" t="s">
        <v>2321</v>
      </c>
      <c r="I93" s="7" t="s">
        <v>2321</v>
      </c>
      <c r="J93" s="7" t="s">
        <v>2321</v>
      </c>
      <c r="K93" s="7" t="s">
        <v>2321</v>
      </c>
      <c r="L93" s="7"/>
    </row>
    <row r="94" spans="1:12" x14ac:dyDescent="0.2">
      <c r="A94" s="7"/>
      <c r="B94" s="7"/>
      <c r="C94" s="7"/>
      <c r="D94" s="7"/>
      <c r="E94" s="39" t="s">
        <v>2307</v>
      </c>
      <c r="F94" s="7"/>
      <c r="G94" s="44">
        <f>'Immediate deductions'!M10/10^3</f>
        <v>11.581501205514343</v>
      </c>
      <c r="H94" s="44">
        <f>'Immediate deductions'!N10/10^3</f>
        <v>12.253034041918204</v>
      </c>
      <c r="I94" s="44">
        <f>'Immediate deductions'!O10/10^3</f>
        <v>12.047475321176863</v>
      </c>
      <c r="J94" s="44">
        <f>'Immediate deductions'!P10/10^3</f>
        <v>11.906254151755897</v>
      </c>
      <c r="K94" s="44">
        <f>'Immediate deductions'!Q10/10^3</f>
        <v>12.273773397591922</v>
      </c>
      <c r="L94" s="7"/>
    </row>
    <row r="95" spans="1:12" x14ac:dyDescent="0.2">
      <c r="A95" s="7"/>
      <c r="B95" s="7"/>
      <c r="C95" s="7"/>
      <c r="D95" s="7"/>
      <c r="E95" s="39" t="s">
        <v>2310</v>
      </c>
      <c r="F95" s="7"/>
      <c r="G95" s="44">
        <f>'Immediate deductions'!M11/10^3</f>
        <v>29.537897853612538</v>
      </c>
      <c r="H95" s="44">
        <f>'Immediate deductions'!N11/10^3</f>
        <v>31.242809270190577</v>
      </c>
      <c r="I95" s="44">
        <f>'Immediate deductions'!O11/10^3</f>
        <v>30.718431805972411</v>
      </c>
      <c r="J95" s="44">
        <f>'Immediate deductions'!P11/10^3</f>
        <v>30.359227558658123</v>
      </c>
      <c r="K95" s="44">
        <f>'Immediate deductions'!Q11/10^3</f>
        <v>31.291882186810792</v>
      </c>
      <c r="L95" s="7"/>
    </row>
    <row r="96" spans="1:12" x14ac:dyDescent="0.2">
      <c r="A96" s="7"/>
      <c r="B96" s="7"/>
      <c r="C96" s="7"/>
      <c r="D96" s="7"/>
      <c r="E96" s="39" t="s">
        <v>2311</v>
      </c>
      <c r="F96" s="7"/>
      <c r="G96" s="44">
        <f>'Immediate deductions'!M12/10^3</f>
        <v>0</v>
      </c>
      <c r="H96" s="44">
        <f>'Immediate deductions'!N12/10^3</f>
        <v>0</v>
      </c>
      <c r="I96" s="44">
        <f>'Immediate deductions'!O12/10^3</f>
        <v>0</v>
      </c>
      <c r="J96" s="44">
        <f>'Immediate deductions'!P12/10^3</f>
        <v>0</v>
      </c>
      <c r="K96" s="44">
        <f>'Immediate deductions'!Q12/10^3</f>
        <v>0</v>
      </c>
      <c r="L96" s="7"/>
    </row>
    <row r="97" spans="1:12" x14ac:dyDescent="0.2">
      <c r="A97" s="7"/>
      <c r="B97" s="7"/>
      <c r="C97" s="7"/>
      <c r="D97" s="7"/>
      <c r="E97" s="39" t="s">
        <v>2312</v>
      </c>
      <c r="F97" s="7"/>
      <c r="G97" s="44">
        <f>'Immediate deductions'!M13/10^3</f>
        <v>0</v>
      </c>
      <c r="H97" s="44">
        <f>'Immediate deductions'!N13/10^3</f>
        <v>0</v>
      </c>
      <c r="I97" s="44">
        <f>'Immediate deductions'!O13/10^3</f>
        <v>0</v>
      </c>
      <c r="J97" s="44">
        <f>'Immediate deductions'!P13/10^3</f>
        <v>0</v>
      </c>
      <c r="K97" s="44">
        <f>'Immediate deductions'!Q13/10^3</f>
        <v>0</v>
      </c>
      <c r="L97" s="7"/>
    </row>
    <row r="98" spans="1:12" x14ac:dyDescent="0.2">
      <c r="A98" s="7"/>
      <c r="B98" s="7"/>
      <c r="C98" s="7"/>
      <c r="D98" s="7"/>
      <c r="E98" s="39" t="s">
        <v>2309</v>
      </c>
      <c r="F98" s="7"/>
      <c r="G98" s="44">
        <f>'Immediate deductions'!M14/10^3</f>
        <v>1.3015792460133955</v>
      </c>
      <c r="H98" s="44">
        <f>'Immediate deductions'!N14/10^3</f>
        <v>1.1905827267587377</v>
      </c>
      <c r="I98" s="44">
        <f>'Immediate deductions'!O14/10^3</f>
        <v>1.0466131685731934</v>
      </c>
      <c r="J98" s="44">
        <f>'Immediate deductions'!P14/10^3</f>
        <v>1.2345576696733755</v>
      </c>
      <c r="K98" s="44">
        <f>'Immediate deductions'!Q14/10^3</f>
        <v>1.3179419151655516</v>
      </c>
      <c r="L98" s="7"/>
    </row>
    <row r="99" spans="1:12" x14ac:dyDescent="0.2">
      <c r="A99" s="7"/>
      <c r="B99" s="7"/>
      <c r="C99" s="7"/>
      <c r="D99" s="7"/>
      <c r="E99" s="39" t="s">
        <v>2301</v>
      </c>
      <c r="F99" s="7"/>
      <c r="G99" s="44">
        <f>'Immediate deductions'!M15/10^3</f>
        <v>0</v>
      </c>
      <c r="H99" s="44">
        <f>'Immediate deductions'!N15/10^3</f>
        <v>0</v>
      </c>
      <c r="I99" s="44">
        <f>'Immediate deductions'!O15/10^3</f>
        <v>0</v>
      </c>
      <c r="J99" s="44">
        <f>'Immediate deductions'!P15/10^3</f>
        <v>0</v>
      </c>
      <c r="K99" s="44">
        <f>'Immediate deductions'!Q15/10^3</f>
        <v>0</v>
      </c>
      <c r="L99" s="7"/>
    </row>
    <row r="100" spans="1:12" x14ac:dyDescent="0.2">
      <c r="A100" s="7"/>
      <c r="B100" s="7"/>
      <c r="C100" s="7"/>
      <c r="D100" s="7"/>
      <c r="E100" s="39" t="s">
        <v>2302</v>
      </c>
      <c r="F100" s="7"/>
      <c r="G100" s="44">
        <f>'Immediate deductions'!M16/10^3</f>
        <v>0</v>
      </c>
      <c r="H100" s="44">
        <f>'Immediate deductions'!N16/10^3</f>
        <v>0</v>
      </c>
      <c r="I100" s="44">
        <f>'Immediate deductions'!O16/10^3</f>
        <v>0</v>
      </c>
      <c r="J100" s="44">
        <f>'Immediate deductions'!P16/10^3</f>
        <v>0</v>
      </c>
      <c r="K100" s="44">
        <f>'Immediate deductions'!Q16/10^3</f>
        <v>0</v>
      </c>
      <c r="L100" s="7"/>
    </row>
    <row r="101" spans="1:12" x14ac:dyDescent="0.2">
      <c r="A101" s="7"/>
      <c r="B101" s="7"/>
      <c r="C101" s="7"/>
      <c r="D101" s="7"/>
      <c r="E101" s="39" t="s">
        <v>39</v>
      </c>
      <c r="F101" s="7"/>
      <c r="G101" s="44">
        <f>'Immediate deductions'!M17/10^3</f>
        <v>0</v>
      </c>
      <c r="H101" s="44">
        <f>'Immediate deductions'!N17/10^3</f>
        <v>0</v>
      </c>
      <c r="I101" s="44">
        <f>'Immediate deductions'!O17/10^3</f>
        <v>0</v>
      </c>
      <c r="J101" s="44">
        <f>'Immediate deductions'!P17/10^3</f>
        <v>0</v>
      </c>
      <c r="K101" s="44">
        <f>'Immediate deductions'!Q17/10^3</f>
        <v>0</v>
      </c>
      <c r="L101" s="7"/>
    </row>
    <row r="102" spans="1:12" x14ac:dyDescent="0.2">
      <c r="A102" s="7"/>
      <c r="B102" s="7"/>
      <c r="C102" s="7"/>
      <c r="D102" s="7"/>
      <c r="E102" s="39" t="s">
        <v>2313</v>
      </c>
      <c r="F102" s="7"/>
      <c r="G102" s="44">
        <f>'Immediate deductions'!M18/10^3</f>
        <v>0</v>
      </c>
      <c r="H102" s="44">
        <f>'Immediate deductions'!N18/10^3</f>
        <v>0</v>
      </c>
      <c r="I102" s="44">
        <f>'Immediate deductions'!O18/10^3</f>
        <v>0</v>
      </c>
      <c r="J102" s="44">
        <f>'Immediate deductions'!P18/10^3</f>
        <v>0</v>
      </c>
      <c r="K102" s="44">
        <f>'Immediate deductions'!Q18/10^3</f>
        <v>0</v>
      </c>
      <c r="L102" s="7"/>
    </row>
    <row r="103" spans="1:12" x14ac:dyDescent="0.2">
      <c r="A103" s="7"/>
      <c r="B103" s="7"/>
      <c r="C103" s="7"/>
      <c r="D103" s="7"/>
      <c r="E103" s="39" t="s">
        <v>2314</v>
      </c>
      <c r="F103" s="7"/>
      <c r="G103" s="44">
        <f>'Immediate deductions'!M19/10^3</f>
        <v>0</v>
      </c>
      <c r="H103" s="44">
        <f>'Immediate deductions'!N19/10^3</f>
        <v>0</v>
      </c>
      <c r="I103" s="44">
        <f>'Immediate deductions'!O19/10^3</f>
        <v>0</v>
      </c>
      <c r="J103" s="44">
        <f>'Immediate deductions'!P19/10^3</f>
        <v>0</v>
      </c>
      <c r="K103" s="44">
        <f>'Immediate deductions'!Q19/10^3</f>
        <v>0</v>
      </c>
      <c r="L103" s="7"/>
    </row>
    <row r="104" spans="1:12" x14ac:dyDescent="0.2">
      <c r="A104" s="7"/>
      <c r="B104" s="7"/>
      <c r="C104" s="7"/>
      <c r="D104" s="7"/>
      <c r="E104" s="39" t="s">
        <v>2315</v>
      </c>
      <c r="F104" s="7"/>
      <c r="G104" s="44">
        <f>'Immediate deductions'!M20/10^3</f>
        <v>0</v>
      </c>
      <c r="H104" s="44">
        <f>'Immediate deductions'!N20/10^3</f>
        <v>0</v>
      </c>
      <c r="I104" s="44">
        <f>'Immediate deductions'!O20/10^3</f>
        <v>0</v>
      </c>
      <c r="J104" s="44">
        <f>'Immediate deductions'!P20/10^3</f>
        <v>0</v>
      </c>
      <c r="K104" s="44">
        <f>'Immediate deductions'!Q20/10^3</f>
        <v>0</v>
      </c>
      <c r="L104" s="7"/>
    </row>
    <row r="105" spans="1:12" x14ac:dyDescent="0.2">
      <c r="A105" s="7"/>
      <c r="B105" s="7"/>
      <c r="C105" s="7"/>
      <c r="D105" s="7"/>
      <c r="E105" s="39" t="s">
        <v>2440</v>
      </c>
      <c r="F105" s="7"/>
      <c r="G105" s="44">
        <f>'Immediate deductions'!M21/10^3</f>
        <v>0</v>
      </c>
      <c r="H105" s="44">
        <f>'Immediate deductions'!N21/10^3</f>
        <v>0</v>
      </c>
      <c r="I105" s="44">
        <f>'Immediate deductions'!O21/10^3</f>
        <v>0</v>
      </c>
      <c r="J105" s="44">
        <f>'Immediate deductions'!P21/10^3</f>
        <v>0</v>
      </c>
      <c r="K105" s="44">
        <f>'Immediate deductions'!Q21/10^3</f>
        <v>0</v>
      </c>
      <c r="L105" s="7"/>
    </row>
    <row r="106" spans="1:12" x14ac:dyDescent="0.2">
      <c r="A106" s="7"/>
      <c r="B106" s="7"/>
      <c r="C106" s="7"/>
      <c r="D106" s="7"/>
      <c r="E106" s="39" t="s">
        <v>2326</v>
      </c>
      <c r="F106" s="7"/>
      <c r="G106" s="44"/>
      <c r="H106" s="44"/>
      <c r="I106" s="44"/>
      <c r="J106" s="44"/>
      <c r="K106" s="44"/>
      <c r="L106" s="7"/>
    </row>
    <row r="107" spans="1:12" x14ac:dyDescent="0.2">
      <c r="A107" s="7"/>
      <c r="B107" s="7"/>
      <c r="C107" s="7"/>
      <c r="D107" s="7"/>
      <c r="E107" s="39" t="s">
        <v>2327</v>
      </c>
      <c r="F107" s="7"/>
      <c r="G107" s="44"/>
      <c r="H107" s="44"/>
      <c r="I107" s="44"/>
      <c r="J107" s="44"/>
      <c r="K107" s="44"/>
      <c r="L107" s="7"/>
    </row>
    <row r="108" spans="1:12" x14ac:dyDescent="0.2">
      <c r="A108" s="7"/>
      <c r="B108" s="7"/>
      <c r="C108" s="7"/>
      <c r="D108" s="7"/>
      <c r="E108" s="39" t="s">
        <v>2328</v>
      </c>
      <c r="F108" s="7"/>
      <c r="G108" s="44"/>
      <c r="H108" s="44"/>
      <c r="I108" s="44"/>
      <c r="J108" s="44"/>
      <c r="K108" s="44"/>
      <c r="L108" s="7"/>
    </row>
    <row r="109" spans="1:12" x14ac:dyDescent="0.2">
      <c r="A109" s="7"/>
      <c r="B109" s="7"/>
      <c r="C109" s="7"/>
      <c r="D109" s="7"/>
      <c r="E109" s="7"/>
      <c r="F109" s="7"/>
      <c r="G109" s="44"/>
      <c r="H109" s="44"/>
      <c r="I109" s="44"/>
      <c r="J109" s="44"/>
      <c r="K109" s="44"/>
      <c r="L109" s="7"/>
    </row>
    <row r="110" spans="1:12" x14ac:dyDescent="0.2">
      <c r="A110" s="7"/>
      <c r="B110" s="7"/>
      <c r="C110" s="7"/>
      <c r="D110" s="7"/>
      <c r="E110" s="9" t="s">
        <v>2209</v>
      </c>
      <c r="F110" s="7"/>
      <c r="G110" s="61">
        <f t="shared" ref="G110:K110" si="8">SUM(G94:G108)</f>
        <v>42.420978305140274</v>
      </c>
      <c r="H110" s="61">
        <f t="shared" si="8"/>
        <v>44.686426038867523</v>
      </c>
      <c r="I110" s="61">
        <f t="shared" si="8"/>
        <v>43.812520295722472</v>
      </c>
      <c r="J110" s="61">
        <f t="shared" si="8"/>
        <v>43.500039380087401</v>
      </c>
      <c r="K110" s="61">
        <f t="shared" si="8"/>
        <v>44.883597499568268</v>
      </c>
      <c r="L110" s="102">
        <f>SUM(G110:K110)</f>
        <v>219.30356151938594</v>
      </c>
    </row>
    <row r="111" spans="1:12" x14ac:dyDescent="0.2">
      <c r="A111" s="7"/>
      <c r="B111" s="7"/>
      <c r="C111" s="7"/>
      <c r="D111" s="7"/>
      <c r="E111" s="7"/>
      <c r="F111" s="7"/>
      <c r="G111" s="65">
        <f>G110-'Immediate deductions'!M26/10^3</f>
        <v>0</v>
      </c>
      <c r="H111" s="65">
        <f>H110-'Immediate deductions'!N26/10^3</f>
        <v>0</v>
      </c>
      <c r="I111" s="65">
        <f>I110-'Immediate deductions'!O26/10^3</f>
        <v>0</v>
      </c>
      <c r="J111" s="65">
        <f>J110-'Immediate deductions'!P26/10^3</f>
        <v>0</v>
      </c>
      <c r="K111" s="65">
        <f>K110-'Immediate deductions'!Q26/10^3</f>
        <v>0</v>
      </c>
      <c r="L111" s="7"/>
    </row>
    <row r="112" spans="1:12" x14ac:dyDescent="0.2">
      <c r="A112" s="7"/>
      <c r="B112" s="7"/>
      <c r="C112" s="7"/>
      <c r="D112" s="7"/>
      <c r="E112" s="7"/>
      <c r="F112" s="7"/>
      <c r="G112" s="65"/>
      <c r="H112" s="65"/>
      <c r="I112" s="65"/>
      <c r="J112" s="65"/>
      <c r="K112" s="65"/>
      <c r="L112" s="7"/>
    </row>
    <row r="113" spans="1:17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7" s="7" customFormat="1" x14ac:dyDescent="0.2">
      <c r="A114" s="22" t="s">
        <v>9</v>
      </c>
      <c r="B114" s="22"/>
      <c r="C114" s="15"/>
      <c r="D114" s="24"/>
      <c r="E114" s="25"/>
      <c r="F114" s="25"/>
      <c r="G114" s="20"/>
      <c r="H114" s="20"/>
      <c r="I114" s="20"/>
      <c r="J114" s="20"/>
      <c r="K114" s="25"/>
      <c r="L114" s="21"/>
      <c r="M114" s="21"/>
      <c r="N114" s="21"/>
      <c r="O114" s="21"/>
      <c r="P114" s="21"/>
      <c r="Q114" s="21"/>
    </row>
    <row r="115" spans="1:17" s="7" customFormat="1" x14ac:dyDescent="0.2"/>
    <row r="116" spans="1:17" s="7" customFormat="1" x14ac:dyDescent="0.2"/>
    <row r="117" spans="1:17" hidden="1" x14ac:dyDescent="0.2"/>
    <row r="118" spans="1:17" hidden="1" x14ac:dyDescent="0.2"/>
    <row r="119" spans="1:17" hidden="1" x14ac:dyDescent="0.2"/>
    <row r="120" spans="1:17" hidden="1" x14ac:dyDescent="0.2"/>
    <row r="121" spans="1:17" hidden="1" x14ac:dyDescent="0.2"/>
    <row r="122" spans="1:17" hidden="1" x14ac:dyDescent="0.2"/>
    <row r="123" spans="1:17" hidden="1" x14ac:dyDescent="0.2"/>
    <row r="124" spans="1:17" hidden="1" x14ac:dyDescent="0.2"/>
    <row r="125" spans="1:17" hidden="1" x14ac:dyDescent="0.2"/>
    <row r="126" spans="1:17" hidden="1" x14ac:dyDescent="0.2"/>
    <row r="127" spans="1:17" hidden="1" x14ac:dyDescent="0.2"/>
    <row r="128" spans="1:17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390"/>
  <sheetViews>
    <sheetView zoomScale="70" zoomScaleNormal="70" workbookViewId="0">
      <pane xSplit="5" ySplit="5" topLeftCell="F6" activePane="bottomRight" state="frozen"/>
      <selection activeCell="I2" sqref="I2"/>
      <selection pane="topRight" activeCell="I2" sqref="I2"/>
      <selection pane="bottomLeft" activeCell="I2" sqref="I2"/>
      <selection pane="bottomRight" activeCell="O28" sqref="O28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7" width="11.5" bestFit="1" customWidth="1"/>
    <col min="18" max="18" width="10.25" customWidth="1"/>
    <col min="19" max="22" width="0" hidden="1" customWidth="1"/>
    <col min="23" max="16384" width="9" hidden="1"/>
  </cols>
  <sheetData>
    <row r="1" spans="1:18" x14ac:dyDescent="0.2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  <c r="M1" s="17"/>
      <c r="N1" s="17"/>
      <c r="O1" s="17"/>
      <c r="P1" s="17"/>
      <c r="Q1" s="17"/>
      <c r="R1" s="17"/>
    </row>
    <row r="2" spans="1:18" x14ac:dyDescent="0.2">
      <c r="A2" s="22" t="str">
        <f ca="1" xml:space="preserve"> "Sheet: " &amp; RIGHT(CELL("filename", $A$1), LEN(CELL("filename", $A$1)) - SEARCH("]", CELL("filename", $A$1)))</f>
        <v>Sheet: Output|Functional - proposed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  <c r="M2" s="17"/>
      <c r="N2" s="17"/>
      <c r="O2" s="17"/>
      <c r="P2" s="17"/>
      <c r="Q2" s="17"/>
      <c r="R2" s="17"/>
    </row>
    <row r="3" spans="1:18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  <c r="M3" s="17"/>
      <c r="N3" s="17"/>
      <c r="O3" s="17"/>
      <c r="P3" s="17"/>
      <c r="Q3" s="17"/>
      <c r="R3" s="17"/>
    </row>
    <row r="4" spans="1:18" x14ac:dyDescent="0.2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  <c r="M4" s="17"/>
      <c r="N4" s="17"/>
      <c r="O4" s="17"/>
      <c r="P4" s="17"/>
      <c r="Q4" s="17"/>
      <c r="R4" s="17"/>
    </row>
    <row r="5" spans="1:18" x14ac:dyDescent="0.2">
      <c r="A5" s="22"/>
      <c r="B5" s="22"/>
      <c r="C5" s="22"/>
      <c r="D5" s="22"/>
      <c r="E5" s="22"/>
      <c r="F5" s="22"/>
      <c r="G5" s="31">
        <v>2015</v>
      </c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31" t="s">
        <v>2432</v>
      </c>
      <c r="N5" s="31" t="s">
        <v>2433</v>
      </c>
      <c r="O5" s="31" t="s">
        <v>2434</v>
      </c>
      <c r="P5" s="31" t="s">
        <v>2435</v>
      </c>
      <c r="Q5" s="31" t="s">
        <v>2436</v>
      </c>
      <c r="R5" s="31" t="s">
        <v>2209</v>
      </c>
    </row>
    <row r="6" spans="1:18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  <c r="M6" s="4"/>
      <c r="N6" s="4"/>
      <c r="O6" s="4"/>
      <c r="P6" s="4"/>
      <c r="Q6" s="4"/>
      <c r="R6" s="4"/>
    </row>
    <row r="7" spans="1:18" x14ac:dyDescent="0.2">
      <c r="A7" s="22" t="s">
        <v>2378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25"/>
    </row>
    <row r="8" spans="1:18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 x14ac:dyDescent="0.2">
      <c r="A9" s="59" t="s">
        <v>2332</v>
      </c>
      <c r="B9" s="13"/>
      <c r="C9" s="13"/>
      <c r="D9" s="13"/>
      <c r="E9" s="13"/>
      <c r="F9" s="13"/>
      <c r="G9" s="63" t="s">
        <v>2439</v>
      </c>
      <c r="H9" s="63" t="s">
        <v>2439</v>
      </c>
      <c r="I9" s="63" t="s">
        <v>2439</v>
      </c>
      <c r="J9" s="63" t="s">
        <v>2439</v>
      </c>
      <c r="K9" s="63" t="s">
        <v>2439</v>
      </c>
      <c r="L9" s="63" t="s">
        <v>2439</v>
      </c>
      <c r="M9" s="63" t="s">
        <v>2439</v>
      </c>
      <c r="N9" s="63" t="s">
        <v>2439</v>
      </c>
      <c r="O9" s="63" t="s">
        <v>2439</v>
      </c>
      <c r="P9" s="63" t="s">
        <v>2439</v>
      </c>
      <c r="Q9" s="63" t="s">
        <v>2439</v>
      </c>
      <c r="R9" s="13"/>
    </row>
    <row r="10" spans="1:18" x14ac:dyDescent="0.2">
      <c r="A10" s="7"/>
      <c r="B10" s="7"/>
      <c r="C10" s="7"/>
      <c r="D10" s="7"/>
      <c r="E10" s="7"/>
      <c r="F10" s="7"/>
      <c r="G10" s="7" t="s">
        <v>2321</v>
      </c>
      <c r="H10" s="7" t="s">
        <v>2321</v>
      </c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 x14ac:dyDescent="0.2">
      <c r="A11" s="7"/>
      <c r="B11" s="7"/>
      <c r="C11" s="7"/>
      <c r="D11" s="7"/>
      <c r="E11" s="39" t="s">
        <v>2333</v>
      </c>
      <c r="F11" s="7"/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44">
        <v>0</v>
      </c>
      <c r="R11" s="7"/>
    </row>
    <row r="12" spans="1:18" x14ac:dyDescent="0.2">
      <c r="A12" s="7"/>
      <c r="B12" s="7"/>
      <c r="C12" s="7"/>
      <c r="D12" s="7"/>
      <c r="E12" s="39" t="s">
        <v>2299</v>
      </c>
      <c r="F12" s="7"/>
      <c r="G12" s="44">
        <v>28.760665467671078</v>
      </c>
      <c r="H12" s="44">
        <v>48.809351873874917</v>
      </c>
      <c r="I12" s="44">
        <v>49.810027458799908</v>
      </c>
      <c r="J12" s="44">
        <v>54.763022849584225</v>
      </c>
      <c r="K12" s="44">
        <v>53.976235237169945</v>
      </c>
      <c r="L12" s="44">
        <v>60.479137891112856</v>
      </c>
      <c r="M12" s="44">
        <v>64.664392384402547</v>
      </c>
      <c r="N12" s="44">
        <v>60.142238163457939</v>
      </c>
      <c r="O12" s="44">
        <v>52.532108794260829</v>
      </c>
      <c r="P12" s="44">
        <v>51.128720604621975</v>
      </c>
      <c r="Q12" s="44">
        <v>51.477552080572764</v>
      </c>
      <c r="R12" s="7"/>
    </row>
    <row r="13" spans="1:18" x14ac:dyDescent="0.2">
      <c r="A13" s="7"/>
      <c r="B13" s="7"/>
      <c r="C13" s="7"/>
      <c r="D13" s="7"/>
      <c r="E13" s="39" t="s">
        <v>2300</v>
      </c>
      <c r="F13" s="7"/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7"/>
    </row>
    <row r="14" spans="1:18" x14ac:dyDescent="0.2">
      <c r="A14" s="7"/>
      <c r="B14" s="7"/>
      <c r="C14" s="7"/>
      <c r="D14" s="7"/>
      <c r="E14" s="39" t="s">
        <v>2309</v>
      </c>
      <c r="F14" s="7"/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7"/>
    </row>
    <row r="15" spans="1:18" x14ac:dyDescent="0.2">
      <c r="A15" s="7"/>
      <c r="B15" s="7"/>
      <c r="C15" s="7"/>
      <c r="D15" s="7"/>
      <c r="E15" s="39" t="s">
        <v>2301</v>
      </c>
      <c r="F15" s="7"/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0</v>
      </c>
      <c r="R15" s="7"/>
    </row>
    <row r="16" spans="1:18" x14ac:dyDescent="0.2">
      <c r="A16" s="7"/>
      <c r="B16" s="7"/>
      <c r="C16" s="7"/>
      <c r="D16" s="7"/>
      <c r="E16" s="39" t="s">
        <v>2302</v>
      </c>
      <c r="F16" s="7"/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7"/>
    </row>
    <row r="17" spans="1:18" x14ac:dyDescent="0.2">
      <c r="A17" s="7"/>
      <c r="B17" s="7"/>
      <c r="C17" s="7"/>
      <c r="D17" s="7"/>
      <c r="E17" s="39" t="s">
        <v>39</v>
      </c>
      <c r="F17" s="7"/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7"/>
    </row>
    <row r="18" spans="1:18" x14ac:dyDescent="0.2">
      <c r="A18" s="7"/>
      <c r="B18" s="7"/>
      <c r="C18" s="7"/>
      <c r="D18" s="7"/>
      <c r="E18" s="39" t="s">
        <v>2404</v>
      </c>
      <c r="F18" s="7"/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  <c r="Q18" s="44">
        <v>0</v>
      </c>
      <c r="R18" s="7"/>
    </row>
    <row r="19" spans="1:18" x14ac:dyDescent="0.2">
      <c r="A19" s="7"/>
      <c r="B19" s="7"/>
      <c r="C19" s="7"/>
      <c r="D19" s="7"/>
      <c r="E19" s="39" t="s">
        <v>2315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0</v>
      </c>
      <c r="R19" s="7"/>
    </row>
    <row r="20" spans="1:18" x14ac:dyDescent="0.2">
      <c r="A20" s="7"/>
      <c r="B20" s="7"/>
      <c r="C20" s="7"/>
      <c r="D20" s="7"/>
      <c r="E20" s="39"/>
      <c r="F20" s="7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7"/>
    </row>
    <row r="21" spans="1:18" x14ac:dyDescent="0.2">
      <c r="A21" s="7"/>
      <c r="B21" s="7"/>
      <c r="C21" s="7"/>
      <c r="D21" s="7"/>
      <c r="E21" s="7"/>
      <c r="F21" s="7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7"/>
    </row>
    <row r="22" spans="1:18" x14ac:dyDescent="0.2">
      <c r="A22" s="7"/>
      <c r="B22" s="7"/>
      <c r="C22" s="7"/>
      <c r="D22" s="7"/>
      <c r="E22" s="9" t="s">
        <v>2209</v>
      </c>
      <c r="F22" s="7"/>
      <c r="G22" s="61">
        <f t="shared" ref="G22:Q22" si="0">SUM(G11:G19)</f>
        <v>28.760665467671078</v>
      </c>
      <c r="H22" s="61">
        <f t="shared" si="0"/>
        <v>48.809351873874917</v>
      </c>
      <c r="I22" s="61">
        <f t="shared" si="0"/>
        <v>49.810027458799908</v>
      </c>
      <c r="J22" s="61">
        <f t="shared" si="0"/>
        <v>54.763022849584225</v>
      </c>
      <c r="K22" s="61">
        <f t="shared" si="0"/>
        <v>53.976235237169945</v>
      </c>
      <c r="L22" s="61">
        <f t="shared" si="0"/>
        <v>60.479137891112856</v>
      </c>
      <c r="M22" s="61">
        <f t="shared" si="0"/>
        <v>64.664392384402547</v>
      </c>
      <c r="N22" s="61">
        <f t="shared" si="0"/>
        <v>60.142238163457939</v>
      </c>
      <c r="O22" s="61">
        <f t="shared" si="0"/>
        <v>52.532108794260829</v>
      </c>
      <c r="P22" s="61">
        <f t="shared" si="0"/>
        <v>51.128720604621975</v>
      </c>
      <c r="Q22" s="61">
        <f t="shared" si="0"/>
        <v>51.477552080572764</v>
      </c>
      <c r="R22" s="7"/>
    </row>
    <row r="23" spans="1:18" x14ac:dyDescent="0.2">
      <c r="A23" s="7"/>
      <c r="B23" s="7"/>
      <c r="C23" s="7"/>
      <c r="D23" s="7"/>
      <c r="E23" s="7"/>
      <c r="F23" s="7"/>
      <c r="G23" s="65">
        <f>G22-('Input|Customer Contributions'!J77/1000*Inflation!L$26)</f>
        <v>0</v>
      </c>
      <c r="H23" s="65">
        <f>H22-('Input|Customer Contributions'!K77/1000*Inflation!M$26)</f>
        <v>0</v>
      </c>
      <c r="I23" s="65">
        <f>I22-('Input|Customer Contributions'!L77/1000*Inflation!N$26)</f>
        <v>0</v>
      </c>
      <c r="J23" s="65">
        <f>J22-('Input|Customer Contributions'!M77/1000*Inflation!O$26)</f>
        <v>0</v>
      </c>
      <c r="K23" s="65">
        <f>K22-'Input|Customer Contributions'!N77/1000</f>
        <v>0</v>
      </c>
      <c r="L23" s="65">
        <f>L22-'Input|Customer Contributions'!O77/1000</f>
        <v>0</v>
      </c>
      <c r="M23" s="65">
        <f>M22-'Input|Customer Contributions'!P77/1000</f>
        <v>26.633563442347089</v>
      </c>
      <c r="N23" s="65">
        <f>N22-'Input|Customer Contributions'!Q77/1000</f>
        <v>-0.90208383730124808</v>
      </c>
      <c r="O23" s="65">
        <f>O22-'Input|Customer Contributions'!R77/1000</f>
        <v>-0.77110016482567545</v>
      </c>
      <c r="P23" s="65">
        <f>P22-'Input|Customer Contributions'!S77/1000</f>
        <v>-0.74489862110584681</v>
      </c>
      <c r="Q23" s="65">
        <f>Q22-'Input|Customer Contributions'!T77/1000</f>
        <v>-0.75003940782115563</v>
      </c>
      <c r="R23" s="7"/>
    </row>
    <row r="24" spans="1:18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</row>
    <row r="25" spans="1:18" x14ac:dyDescent="0.2">
      <c r="A25" s="59" t="s">
        <v>2325</v>
      </c>
      <c r="B25" s="13"/>
      <c r="C25" s="13"/>
      <c r="D25" s="13"/>
      <c r="E25" s="13"/>
      <c r="F25" s="13"/>
      <c r="G25" s="63" t="s">
        <v>2439</v>
      </c>
      <c r="H25" s="63" t="s">
        <v>2439</v>
      </c>
      <c r="I25" s="63" t="s">
        <v>2439</v>
      </c>
      <c r="J25" s="63" t="s">
        <v>2439</v>
      </c>
      <c r="K25" s="63" t="s">
        <v>2439</v>
      </c>
      <c r="L25" s="63" t="s">
        <v>2439</v>
      </c>
      <c r="M25" s="63" t="s">
        <v>2439</v>
      </c>
      <c r="N25" s="63" t="s">
        <v>2439</v>
      </c>
      <c r="O25" s="63" t="s">
        <v>2439</v>
      </c>
      <c r="P25" s="63" t="s">
        <v>2439</v>
      </c>
      <c r="Q25" s="63" t="s">
        <v>2439</v>
      </c>
      <c r="R25" s="13"/>
    </row>
    <row r="26" spans="1:18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x14ac:dyDescent="0.2">
      <c r="A27" s="7"/>
      <c r="B27" s="7"/>
      <c r="C27" s="7"/>
      <c r="D27" s="7"/>
      <c r="E27" s="39" t="s">
        <v>2333</v>
      </c>
      <c r="F27" s="7"/>
      <c r="G27" s="44">
        <v>35.241557331105881</v>
      </c>
      <c r="H27" s="44">
        <v>21.066720257554572</v>
      </c>
      <c r="I27" s="44">
        <v>20.278463964669687</v>
      </c>
      <c r="J27" s="44">
        <v>29.923145589104887</v>
      </c>
      <c r="K27" s="44">
        <v>34.0776589731082</v>
      </c>
      <c r="L27" s="44">
        <v>57.32784599512739</v>
      </c>
      <c r="M27" s="44">
        <v>44.917625055526031</v>
      </c>
      <c r="N27" s="44">
        <v>34.10923756038904</v>
      </c>
      <c r="O27" s="44">
        <v>37.416953202380569</v>
      </c>
      <c r="P27" s="44">
        <v>34.044729246094001</v>
      </c>
      <c r="Q27" s="44">
        <v>20.653434721071275</v>
      </c>
      <c r="R27" s="102">
        <f>SUM(M27:Q27)</f>
        <v>171.1419797854609</v>
      </c>
    </row>
    <row r="28" spans="1:18" x14ac:dyDescent="0.2">
      <c r="A28" s="7"/>
      <c r="B28" s="7"/>
      <c r="C28" s="7"/>
      <c r="D28" s="7"/>
      <c r="E28" s="39" t="s">
        <v>2299</v>
      </c>
      <c r="F28" s="7"/>
      <c r="G28" s="44">
        <v>66.737061884158877</v>
      </c>
      <c r="H28" s="44">
        <v>75.360768203709313</v>
      </c>
      <c r="I28" s="44">
        <v>72.99609644339057</v>
      </c>
      <c r="J28" s="44">
        <v>82.599730998394207</v>
      </c>
      <c r="K28" s="44">
        <v>85.333623079263134</v>
      </c>
      <c r="L28" s="44">
        <v>87.986448341715857</v>
      </c>
      <c r="M28" s="44">
        <v>91.738579205833432</v>
      </c>
      <c r="N28" s="44">
        <v>84.986671418144127</v>
      </c>
      <c r="O28" s="44">
        <v>78.80852909409343</v>
      </c>
      <c r="P28" s="44">
        <v>76.532888824345463</v>
      </c>
      <c r="Q28" s="44">
        <v>77.157906575019922</v>
      </c>
      <c r="R28" s="102">
        <f t="shared" ref="R28:R32" si="1">SUM(M28:Q28)</f>
        <v>409.22457511743636</v>
      </c>
    </row>
    <row r="29" spans="1:18" x14ac:dyDescent="0.2">
      <c r="A29" s="7"/>
      <c r="B29" s="7"/>
      <c r="C29" s="7"/>
      <c r="D29" s="7"/>
      <c r="E29" s="39" t="s">
        <v>2300</v>
      </c>
      <c r="F29" s="7"/>
      <c r="G29" s="44">
        <v>24.130620459711011</v>
      </c>
      <c r="H29" s="44">
        <v>19.227091004680666</v>
      </c>
      <c r="I29" s="44">
        <v>21.675387142421641</v>
      </c>
      <c r="J29" s="44">
        <v>20.973339733837101</v>
      </c>
      <c r="K29" s="44">
        <v>22.257653914403949</v>
      </c>
      <c r="L29" s="44">
        <v>27.257405729529552</v>
      </c>
      <c r="M29" s="44">
        <v>52.867466999832189</v>
      </c>
      <c r="N29" s="44">
        <v>59.808830192356858</v>
      </c>
      <c r="O29" s="44">
        <v>64.962560078245602</v>
      </c>
      <c r="P29" s="44">
        <v>61.446300285097109</v>
      </c>
      <c r="Q29" s="44">
        <v>53.742911765345909</v>
      </c>
      <c r="R29" s="102">
        <f t="shared" si="1"/>
        <v>292.82806932087766</v>
      </c>
    </row>
    <row r="30" spans="1:18" x14ac:dyDescent="0.2">
      <c r="A30" s="7"/>
      <c r="B30" s="7"/>
      <c r="C30" s="7"/>
      <c r="D30" s="7"/>
      <c r="E30" s="39" t="s">
        <v>2309</v>
      </c>
      <c r="F30" s="7"/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102">
        <f t="shared" si="1"/>
        <v>0</v>
      </c>
    </row>
    <row r="31" spans="1:18" x14ac:dyDescent="0.2">
      <c r="A31" s="7"/>
      <c r="B31" s="7"/>
      <c r="C31" s="7"/>
      <c r="D31" s="7"/>
      <c r="E31" s="39" t="s">
        <v>2301</v>
      </c>
      <c r="F31" s="7"/>
      <c r="G31" s="44">
        <v>23.060038724204549</v>
      </c>
      <c r="H31" s="44">
        <v>14.143579159710111</v>
      </c>
      <c r="I31" s="44">
        <v>9.3489835376569559</v>
      </c>
      <c r="J31" s="44">
        <v>8.6076247735821383</v>
      </c>
      <c r="K31" s="44">
        <v>13.597156943539447</v>
      </c>
      <c r="L31" s="44">
        <v>15.082025062420344</v>
      </c>
      <c r="M31" s="44">
        <v>24.298096476785204</v>
      </c>
      <c r="N31" s="44">
        <v>19.366646499013381</v>
      </c>
      <c r="O31" s="44">
        <v>22.201954366096206</v>
      </c>
      <c r="P31" s="44">
        <v>16.976742344224672</v>
      </c>
      <c r="Q31" s="44">
        <v>9.6937692854833948</v>
      </c>
      <c r="R31" s="102">
        <f t="shared" si="1"/>
        <v>92.537208971602865</v>
      </c>
    </row>
    <row r="32" spans="1:18" x14ac:dyDescent="0.2">
      <c r="A32" s="7"/>
      <c r="B32" s="7"/>
      <c r="C32" s="7"/>
      <c r="D32" s="7"/>
      <c r="E32" s="39" t="s">
        <v>2302</v>
      </c>
      <c r="F32" s="7"/>
      <c r="G32" s="44">
        <v>0.54308084663139111</v>
      </c>
      <c r="H32" s="44">
        <v>3.5145906886700473</v>
      </c>
      <c r="I32" s="44">
        <v>2.5362336069472793</v>
      </c>
      <c r="J32" s="44">
        <v>1.6010184294528393</v>
      </c>
      <c r="K32" s="44">
        <v>6.1841923490436335</v>
      </c>
      <c r="L32" s="44">
        <v>6.4782805761464415</v>
      </c>
      <c r="M32" s="44">
        <v>6.2481991885294361</v>
      </c>
      <c r="N32" s="44">
        <v>5.3744885394099331</v>
      </c>
      <c r="O32" s="44">
        <v>3.8966867253664006</v>
      </c>
      <c r="P32" s="44">
        <v>2.6095126893125786</v>
      </c>
      <c r="Q32" s="44">
        <v>2.6095126893125786</v>
      </c>
      <c r="R32" s="102">
        <f t="shared" si="1"/>
        <v>20.738399831930924</v>
      </c>
    </row>
    <row r="33" spans="1:18" x14ac:dyDescent="0.2">
      <c r="A33" s="7"/>
      <c r="B33" s="7"/>
      <c r="C33" s="7"/>
      <c r="D33" s="7"/>
      <c r="E33" s="39" t="s">
        <v>39</v>
      </c>
      <c r="F33" s="7"/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7"/>
    </row>
    <row r="34" spans="1:18" x14ac:dyDescent="0.2">
      <c r="A34" s="7"/>
      <c r="B34" s="7"/>
      <c r="C34" s="7"/>
      <c r="D34" s="7"/>
      <c r="E34" s="39" t="s">
        <v>2404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7"/>
    </row>
    <row r="35" spans="1:18" x14ac:dyDescent="0.2">
      <c r="A35" s="7"/>
      <c r="B35" s="7"/>
      <c r="C35" s="7"/>
      <c r="D35" s="7"/>
      <c r="E35" s="39" t="s">
        <v>2315</v>
      </c>
      <c r="F35" s="7"/>
      <c r="G35" s="44">
        <v>0</v>
      </c>
      <c r="H35" s="44">
        <v>27.157275851981669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7"/>
    </row>
    <row r="36" spans="1:18" x14ac:dyDescent="0.2">
      <c r="A36" s="7"/>
      <c r="B36" s="7"/>
      <c r="C36" s="7"/>
      <c r="D36" s="7"/>
      <c r="E36" s="39"/>
      <c r="F36" s="7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7"/>
    </row>
    <row r="37" spans="1:18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 x14ac:dyDescent="0.2">
      <c r="A38" s="7"/>
      <c r="B38" s="7"/>
      <c r="C38" s="7"/>
      <c r="D38" s="7"/>
      <c r="E38" s="9" t="s">
        <v>2209</v>
      </c>
      <c r="F38" s="7"/>
      <c r="G38" s="61">
        <f>SUM(G27:G35)</f>
        <v>149.71235924581171</v>
      </c>
      <c r="H38" s="61">
        <f>SUM(H27:H35)</f>
        <v>160.47002516630636</v>
      </c>
      <c r="I38" s="61">
        <f t="shared" ref="I38:R38" si="2">SUM(I27:I35)</f>
        <v>126.83516469508614</v>
      </c>
      <c r="J38" s="61">
        <f t="shared" si="2"/>
        <v>143.70485952437116</v>
      </c>
      <c r="K38" s="61">
        <f t="shared" si="2"/>
        <v>161.45028525935837</v>
      </c>
      <c r="L38" s="61">
        <f t="shared" si="2"/>
        <v>194.13200570493959</v>
      </c>
      <c r="M38" s="61">
        <f t="shared" si="2"/>
        <v>220.06996692650625</v>
      </c>
      <c r="N38" s="61">
        <f t="shared" si="2"/>
        <v>203.64587420931332</v>
      </c>
      <c r="O38" s="61">
        <f t="shared" si="2"/>
        <v>207.28668346618221</v>
      </c>
      <c r="P38" s="61">
        <f t="shared" si="2"/>
        <v>191.61017338907382</v>
      </c>
      <c r="Q38" s="61">
        <f t="shared" si="2"/>
        <v>163.85753503623309</v>
      </c>
      <c r="R38" s="61">
        <f t="shared" si="2"/>
        <v>986.47023302730884</v>
      </c>
    </row>
    <row r="39" spans="1:18" x14ac:dyDescent="0.2">
      <c r="A39" s="7"/>
      <c r="B39" s="7"/>
      <c r="C39" s="7"/>
      <c r="D39" s="7"/>
      <c r="E39" s="7"/>
      <c r="F39" s="7"/>
      <c r="G39" s="65">
        <f>G38-('Calc|Consolidated Capex'!I94/1000*Inflation!L$26)-'Input|Provisions'!I59</f>
        <v>2.8144153674247718E-14</v>
      </c>
      <c r="H39" s="65">
        <f>H38-('Calc|Consolidated Capex'!J94/1000*Inflation!M$26)-'Input|Provisions'!J59</f>
        <v>-2.0788926136106056E-14</v>
      </c>
      <c r="I39" s="65">
        <f>I38-('Calc|Consolidated Capex'!K94/1000*Inflation!N$26)-'Input|Provisions'!K59</f>
        <v>0</v>
      </c>
      <c r="J39" s="65">
        <f>J38-('Calc|Consolidated Capex'!L94/1000*Inflation!O$26)-'Input|Provisions'!L59</f>
        <v>-1.8207657603852567E-14</v>
      </c>
      <c r="K39" s="65">
        <f>K38-'Calc|Consolidated Capex'!M94/1000</f>
        <v>0</v>
      </c>
      <c r="L39" s="65">
        <f>L38-'Calc|Consolidated Capex'!N94/1000</f>
        <v>0</v>
      </c>
      <c r="M39" s="65">
        <f>M38-'Calc|Consolidated Capex'!O94/1000</f>
        <v>75.356848491346824</v>
      </c>
      <c r="N39" s="65">
        <f>N38-'Calc|Consolidated Capex'!P94/1000</f>
        <v>40.387406418005781</v>
      </c>
      <c r="O39" s="65">
        <f>O38-'Calc|Consolidated Capex'!Q94/1000</f>
        <v>54.561289793500265</v>
      </c>
      <c r="P39" s="65">
        <f>P38-'Calc|Consolidated Capex'!R94/1000</f>
        <v>49.920122797534304</v>
      </c>
      <c r="Q39" s="65">
        <f>Q38-'Calc|Consolidated Capex'!S94/1000</f>
        <v>31.116424781037779</v>
      </c>
      <c r="R39" s="7"/>
    </row>
    <row r="40" spans="1:18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1:18" x14ac:dyDescent="0.2">
      <c r="A41" s="59" t="s">
        <v>2330</v>
      </c>
      <c r="B41" s="13"/>
      <c r="C41" s="13"/>
      <c r="D41" s="13"/>
      <c r="E41" s="13"/>
      <c r="F41" s="13"/>
      <c r="G41" s="63" t="s">
        <v>2439</v>
      </c>
      <c r="H41" s="63" t="s">
        <v>2439</v>
      </c>
      <c r="I41" s="63" t="s">
        <v>2439</v>
      </c>
      <c r="J41" s="63" t="s">
        <v>2439</v>
      </c>
      <c r="K41" s="63" t="s">
        <v>2439</v>
      </c>
      <c r="L41" s="63" t="s">
        <v>2439</v>
      </c>
      <c r="M41" s="63" t="s">
        <v>2439</v>
      </c>
      <c r="N41" s="63" t="s">
        <v>2439</v>
      </c>
      <c r="O41" s="63" t="s">
        <v>2439</v>
      </c>
      <c r="P41" s="63" t="s">
        <v>2439</v>
      </c>
      <c r="Q41" s="63" t="s">
        <v>2439</v>
      </c>
      <c r="R41" s="13"/>
    </row>
    <row r="42" spans="1:18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</row>
    <row r="43" spans="1:18" x14ac:dyDescent="0.2">
      <c r="A43" s="7"/>
      <c r="B43" s="7"/>
      <c r="C43" s="7"/>
      <c r="D43" s="7"/>
      <c r="E43" s="39" t="s">
        <v>2333</v>
      </c>
      <c r="F43" s="7"/>
      <c r="G43" s="44">
        <v>43.756477144563192</v>
      </c>
      <c r="H43" s="44">
        <v>24.566190591331026</v>
      </c>
      <c r="I43" s="44">
        <v>23.014477434478856</v>
      </c>
      <c r="J43" s="44">
        <v>34.195000183166499</v>
      </c>
      <c r="K43" s="44">
        <v>38.644844125992734</v>
      </c>
      <c r="L43" s="44">
        <v>63.635233949957964</v>
      </c>
      <c r="M43" s="44">
        <v>49.417566088812301</v>
      </c>
      <c r="N43" s="44">
        <v>37.729196666403617</v>
      </c>
      <c r="O43" s="44">
        <v>41.337912967367124</v>
      </c>
      <c r="P43" s="44">
        <v>37.802363850233164</v>
      </c>
      <c r="Q43" s="44">
        <v>23.240918617840041</v>
      </c>
      <c r="R43" s="102">
        <f>SUM(M43:Q43)</f>
        <v>189.52795819065622</v>
      </c>
    </row>
    <row r="44" spans="1:18" x14ac:dyDescent="0.2">
      <c r="A44" s="7"/>
      <c r="B44" s="7"/>
      <c r="C44" s="7"/>
      <c r="D44" s="7"/>
      <c r="E44" s="39" t="s">
        <v>2299</v>
      </c>
      <c r="F44" s="7"/>
      <c r="G44" s="44">
        <v>87.469550980222579</v>
      </c>
      <c r="H44" s="44">
        <v>87.057575985396454</v>
      </c>
      <c r="I44" s="44">
        <v>85.329167456502617</v>
      </c>
      <c r="J44" s="127">
        <v>94.327229888263247</v>
      </c>
      <c r="K44" s="44">
        <v>96.770278885843268</v>
      </c>
      <c r="L44" s="44">
        <v>97.666991101093743</v>
      </c>
      <c r="M44" s="44">
        <v>100.9291407369339</v>
      </c>
      <c r="N44" s="44">
        <v>94.006171620847297</v>
      </c>
      <c r="O44" s="44">
        <v>87.066953291391584</v>
      </c>
      <c r="P44" s="44">
        <v>84.980088663189548</v>
      </c>
      <c r="Q44" s="44">
        <v>86.824329785856094</v>
      </c>
      <c r="R44" s="102">
        <f t="shared" ref="R44:R48" si="3">SUM(M44:Q44)</f>
        <v>453.8066840982184</v>
      </c>
    </row>
    <row r="45" spans="1:18" x14ac:dyDescent="0.2">
      <c r="A45" s="7"/>
      <c r="B45" s="7"/>
      <c r="C45" s="7"/>
      <c r="D45" s="7"/>
      <c r="E45" s="39" t="s">
        <v>2300</v>
      </c>
      <c r="F45" s="7"/>
      <c r="G45" s="44">
        <v>30.760622700401381</v>
      </c>
      <c r="H45" s="44">
        <v>22.420418050093822</v>
      </c>
      <c r="I45" s="44">
        <v>25.737530009511957</v>
      </c>
      <c r="J45" s="44">
        <v>23.960861536233999</v>
      </c>
      <c r="K45" s="44">
        <v>25.240688241266813</v>
      </c>
      <c r="L45" s="44">
        <v>30.25635030164861</v>
      </c>
      <c r="M45" s="44">
        <v>58.163839721772987</v>
      </c>
      <c r="N45" s="44">
        <v>66.15624616996665</v>
      </c>
      <c r="O45" s="44">
        <v>71.770051402288445</v>
      </c>
      <c r="P45" s="44">
        <v>68.228341128441386</v>
      </c>
      <c r="Q45" s="44">
        <v>60.475879944068502</v>
      </c>
      <c r="R45" s="102">
        <f t="shared" si="3"/>
        <v>324.79435836653795</v>
      </c>
    </row>
    <row r="46" spans="1:18" x14ac:dyDescent="0.2">
      <c r="A46" s="7"/>
      <c r="B46" s="7"/>
      <c r="C46" s="7"/>
      <c r="D46" s="7"/>
      <c r="E46" s="39" t="s">
        <v>2309</v>
      </c>
      <c r="F46" s="7"/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102">
        <f t="shared" si="3"/>
        <v>0</v>
      </c>
    </row>
    <row r="47" spans="1:18" x14ac:dyDescent="0.2">
      <c r="A47" s="7"/>
      <c r="B47" s="7"/>
      <c r="C47" s="7"/>
      <c r="D47" s="7"/>
      <c r="E47" s="39" t="s">
        <v>2301</v>
      </c>
      <c r="F47" s="7"/>
      <c r="G47" s="44">
        <v>23.060038724204549</v>
      </c>
      <c r="H47" s="44">
        <v>14.143579159710111</v>
      </c>
      <c r="I47" s="44">
        <v>9.3489835376569559</v>
      </c>
      <c r="J47" s="44">
        <v>8.6076247735821383</v>
      </c>
      <c r="K47" s="44">
        <v>13.597156943539447</v>
      </c>
      <c r="L47" s="44">
        <v>15.082025062420344</v>
      </c>
      <c r="M47" s="44">
        <v>24.298096476785204</v>
      </c>
      <c r="N47" s="44">
        <v>19.366646499013381</v>
      </c>
      <c r="O47" s="44">
        <v>22.201954366096206</v>
      </c>
      <c r="P47" s="44">
        <v>16.976742344224672</v>
      </c>
      <c r="Q47" s="44">
        <v>9.6937692854833948</v>
      </c>
      <c r="R47" s="102">
        <f t="shared" si="3"/>
        <v>92.537208971602865</v>
      </c>
    </row>
    <row r="48" spans="1:18" x14ac:dyDescent="0.2">
      <c r="A48" s="7"/>
      <c r="B48" s="7"/>
      <c r="C48" s="7"/>
      <c r="D48" s="7"/>
      <c r="E48" s="39" t="s">
        <v>2302</v>
      </c>
      <c r="F48" s="7"/>
      <c r="G48" s="44">
        <v>0.54308084663139111</v>
      </c>
      <c r="H48" s="44">
        <v>3.5145906886700473</v>
      </c>
      <c r="I48" s="44">
        <v>2.5362336069472793</v>
      </c>
      <c r="J48" s="44">
        <v>1.6010184294528393</v>
      </c>
      <c r="K48" s="44">
        <v>6.1841923490436335</v>
      </c>
      <c r="L48" s="44">
        <v>6.4782805761464415</v>
      </c>
      <c r="M48" s="44">
        <v>6.2481991885294361</v>
      </c>
      <c r="N48" s="44">
        <v>5.3744885394099331</v>
      </c>
      <c r="O48" s="44">
        <v>3.8966867253664006</v>
      </c>
      <c r="P48" s="44">
        <v>2.6095126893125786</v>
      </c>
      <c r="Q48" s="44">
        <v>2.6095126893125786</v>
      </c>
      <c r="R48" s="102">
        <f t="shared" si="3"/>
        <v>20.738399831930924</v>
      </c>
    </row>
    <row r="49" spans="1:18" x14ac:dyDescent="0.2">
      <c r="A49" s="7"/>
      <c r="B49" s="7"/>
      <c r="C49" s="7"/>
      <c r="D49" s="7"/>
      <c r="E49" s="39" t="s">
        <v>39</v>
      </c>
      <c r="F49" s="7"/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7"/>
    </row>
    <row r="50" spans="1:18" x14ac:dyDescent="0.2">
      <c r="A50" s="7"/>
      <c r="B50" s="7"/>
      <c r="C50" s="7"/>
      <c r="D50" s="7"/>
      <c r="E50" s="39" t="s">
        <v>2404</v>
      </c>
      <c r="F50" s="7"/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7"/>
    </row>
    <row r="51" spans="1:18" x14ac:dyDescent="0.2">
      <c r="A51" s="7"/>
      <c r="B51" s="7"/>
      <c r="C51" s="7"/>
      <c r="D51" s="7"/>
      <c r="E51" s="39" t="s">
        <v>2315</v>
      </c>
      <c r="F51" s="7"/>
      <c r="G51" s="44">
        <v>0</v>
      </c>
      <c r="H51" s="44">
        <v>27.157275851981669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7"/>
    </row>
    <row r="52" spans="1:18" x14ac:dyDescent="0.2">
      <c r="A52" s="7"/>
      <c r="B52" s="7"/>
      <c r="C52" s="7"/>
      <c r="D52" s="7"/>
      <c r="E52" s="39"/>
      <c r="F52" s="7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7"/>
    </row>
    <row r="53" spans="1:18" x14ac:dyDescent="0.2">
      <c r="A53" s="7"/>
      <c r="B53" s="7"/>
      <c r="C53" s="7"/>
      <c r="D53" s="7"/>
      <c r="E53" s="39"/>
      <c r="F53" s="7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7"/>
    </row>
    <row r="54" spans="1:18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 x14ac:dyDescent="0.2">
      <c r="A55" s="7"/>
      <c r="B55" s="7"/>
      <c r="C55" s="7"/>
      <c r="D55" s="7"/>
      <c r="E55" s="9" t="s">
        <v>2209</v>
      </c>
      <c r="F55" s="7"/>
      <c r="G55" s="61">
        <f>SUM(G43:G51)</f>
        <v>185.58977039602311</v>
      </c>
      <c r="H55" s="61">
        <f t="shared" ref="H55:R55" si="4">SUM(H43:H51)</f>
        <v>178.85963032718311</v>
      </c>
      <c r="I55" s="61">
        <f t="shared" si="4"/>
        <v>145.96639204509765</v>
      </c>
      <c r="J55" s="61">
        <f t="shared" si="4"/>
        <v>162.69173481069873</v>
      </c>
      <c r="K55" s="61">
        <f t="shared" si="4"/>
        <v>180.43716054568588</v>
      </c>
      <c r="L55" s="61">
        <f t="shared" si="4"/>
        <v>213.1188809912671</v>
      </c>
      <c r="M55" s="61">
        <f t="shared" si="4"/>
        <v>239.05684221283383</v>
      </c>
      <c r="N55" s="61">
        <f t="shared" si="4"/>
        <v>222.63274949564084</v>
      </c>
      <c r="O55" s="61">
        <f t="shared" si="4"/>
        <v>226.27355875250979</v>
      </c>
      <c r="P55" s="61">
        <f t="shared" si="4"/>
        <v>210.59704867540134</v>
      </c>
      <c r="Q55" s="61">
        <f t="shared" si="4"/>
        <v>182.84441032256061</v>
      </c>
      <c r="R55" s="61">
        <f t="shared" si="4"/>
        <v>1081.4046094589464</v>
      </c>
    </row>
    <row r="56" spans="1:18" x14ac:dyDescent="0.2">
      <c r="A56" s="7"/>
      <c r="B56" s="7"/>
      <c r="C56" s="7"/>
      <c r="D56" s="7"/>
      <c r="E56" s="7"/>
      <c r="F56" s="7"/>
      <c r="G56" s="65">
        <f>G55-('Calc|Consolidated Capex'!I183/1000*Inflation!L$26)-'Input|Provisions'!I59</f>
        <v>1.1340928196545974E-13</v>
      </c>
      <c r="H56" s="65">
        <f>H55-('Calc|Consolidated Capex'!J183/1000*Inflation!M$26)-'Input|Provisions'!J59</f>
        <v>7.6327832942979512E-15</v>
      </c>
      <c r="I56" s="65">
        <f>I55-('Calc|Consolidated Capex'!K183/1000*Inflation!N$26)-'Input|Provisions'!K59</f>
        <v>4.2632564145606011E-14</v>
      </c>
      <c r="J56" s="65">
        <f>J55-('Calc|Consolidated Capex'!L183/1000*Inflation!O$26)-'Input|Provisions'!L59</f>
        <v>-1.8207657603852567E-14</v>
      </c>
      <c r="K56" s="65">
        <f>K55-'Calc|Consolidated Capex'!M183/1000</f>
        <v>-0.20685667024284271</v>
      </c>
      <c r="L56" s="65">
        <f>L55-'Calc|Consolidated Capex'!N183/1000</f>
        <v>-0.20685667024289955</v>
      </c>
      <c r="M56" s="65">
        <f>M55-'Calc|Consolidated Capex'!O183/1000</f>
        <v>76.976075408304411</v>
      </c>
      <c r="N56" s="65">
        <f>N55-'Calc|Consolidated Capex'!P183/1000</f>
        <v>41.190103510105132</v>
      </c>
      <c r="O56" s="65">
        <f>O55-'Calc|Consolidated Capex'!Q183/1000</f>
        <v>55.71873394591637</v>
      </c>
      <c r="P56" s="65">
        <f>P55-'Calc|Consolidated Capex'!R183/1000</f>
        <v>51.022607547112756</v>
      </c>
      <c r="Q56" s="65">
        <f>Q55-'Calc|Consolidated Capex'!S183/1000</f>
        <v>31.837868853128754</v>
      </c>
      <c r="R56" s="102">
        <f>R55-R38</f>
        <v>94.934376431637588</v>
      </c>
    </row>
    <row r="57" spans="1:18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x14ac:dyDescent="0.2">
      <c r="A58" s="59" t="s">
        <v>2369</v>
      </c>
      <c r="B58" s="13"/>
      <c r="C58" s="13"/>
      <c r="D58" s="13"/>
      <c r="E58" s="13"/>
      <c r="F58" s="13"/>
      <c r="G58" s="63" t="s">
        <v>2439</v>
      </c>
      <c r="H58" s="63" t="s">
        <v>2439</v>
      </c>
      <c r="I58" s="63" t="s">
        <v>2439</v>
      </c>
      <c r="J58" s="63" t="s">
        <v>2439</v>
      </c>
      <c r="K58" s="63" t="s">
        <v>2439</v>
      </c>
      <c r="L58" s="63" t="s">
        <v>2439</v>
      </c>
      <c r="M58" s="63" t="s">
        <v>2439</v>
      </c>
      <c r="N58" s="63" t="s">
        <v>2439</v>
      </c>
      <c r="O58" s="63" t="s">
        <v>2439</v>
      </c>
      <c r="P58" s="63" t="s">
        <v>2439</v>
      </c>
      <c r="Q58" s="63" t="s">
        <v>2439</v>
      </c>
      <c r="R58" s="13"/>
    </row>
    <row r="59" spans="1:18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 x14ac:dyDescent="0.2">
      <c r="A60" s="7"/>
      <c r="B60" s="7"/>
      <c r="C60" s="7"/>
      <c r="D60" s="7"/>
      <c r="E60" s="39" t="s">
        <v>2333</v>
      </c>
      <c r="F60" s="7"/>
      <c r="G60" s="44">
        <v>43.756477144563192</v>
      </c>
      <c r="H60" s="44">
        <v>24.566190591331026</v>
      </c>
      <c r="I60" s="44">
        <v>23.014477434478856</v>
      </c>
      <c r="J60" s="44">
        <v>34.195000183166499</v>
      </c>
      <c r="K60" s="44">
        <v>38.644844125992734</v>
      </c>
      <c r="L60" s="44">
        <v>63.635233949957964</v>
      </c>
      <c r="M60" s="44">
        <v>49.417566088812301</v>
      </c>
      <c r="N60" s="44">
        <v>37.729196666403617</v>
      </c>
      <c r="O60" s="44">
        <v>41.337912967367124</v>
      </c>
      <c r="P60" s="44">
        <v>37.802363850233164</v>
      </c>
      <c r="Q60" s="44">
        <v>23.240918617840041</v>
      </c>
      <c r="R60" s="102">
        <f>SUM(M60:Q60)</f>
        <v>189.52795819065622</v>
      </c>
    </row>
    <row r="61" spans="1:18" x14ac:dyDescent="0.2">
      <c r="A61" s="7"/>
      <c r="B61" s="7"/>
      <c r="C61" s="7"/>
      <c r="D61" s="7"/>
      <c r="E61" s="39" t="s">
        <v>2299</v>
      </c>
      <c r="F61" s="7"/>
      <c r="G61" s="44">
        <v>58.708885512551504</v>
      </c>
      <c r="H61" s="44">
        <v>38.248224111521537</v>
      </c>
      <c r="I61" s="44">
        <v>35.519139997702709</v>
      </c>
      <c r="J61" s="44">
        <v>39.564207038679022</v>
      </c>
      <c r="K61" s="44">
        <v>42.794043648673323</v>
      </c>
      <c r="L61" s="44">
        <v>37.187853209980887</v>
      </c>
      <c r="M61" s="44">
        <v>36.264748352531356</v>
      </c>
      <c r="N61" s="44">
        <v>33.863933457389358</v>
      </c>
      <c r="O61" s="44">
        <v>34.534844497130756</v>
      </c>
      <c r="P61" s="44">
        <v>33.851368058567573</v>
      </c>
      <c r="Q61" s="44">
        <v>35.34677770528333</v>
      </c>
      <c r="R61" s="102">
        <f t="shared" ref="R61:R70" si="5">SUM(M61:Q61)</f>
        <v>173.86167207090239</v>
      </c>
    </row>
    <row r="62" spans="1:18" x14ac:dyDescent="0.2">
      <c r="A62" s="7"/>
      <c r="B62" s="7"/>
      <c r="C62" s="7"/>
      <c r="D62" s="7"/>
      <c r="E62" s="39" t="s">
        <v>2300</v>
      </c>
      <c r="F62" s="7"/>
      <c r="G62" s="44">
        <v>30.760622700401381</v>
      </c>
      <c r="H62" s="44">
        <v>22.420418050093822</v>
      </c>
      <c r="I62" s="44">
        <v>25.737530009511957</v>
      </c>
      <c r="J62" s="44">
        <v>23.960861536233999</v>
      </c>
      <c r="K62" s="44">
        <v>25.240688241266813</v>
      </c>
      <c r="L62" s="44">
        <v>30.25635030164861</v>
      </c>
      <c r="M62" s="44">
        <v>58.163839721772987</v>
      </c>
      <c r="N62" s="44">
        <v>66.15624616996665</v>
      </c>
      <c r="O62" s="44">
        <v>71.770051402288445</v>
      </c>
      <c r="P62" s="44">
        <v>68.228341128441386</v>
      </c>
      <c r="Q62" s="44">
        <v>60.475879944068502</v>
      </c>
      <c r="R62" s="102">
        <f t="shared" si="5"/>
        <v>324.79435836653795</v>
      </c>
    </row>
    <row r="63" spans="1:18" x14ac:dyDescent="0.2">
      <c r="A63" s="7"/>
      <c r="B63" s="7"/>
      <c r="C63" s="7"/>
      <c r="D63" s="7"/>
      <c r="E63" s="39" t="s">
        <v>2309</v>
      </c>
      <c r="F63" s="7"/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102">
        <f t="shared" si="5"/>
        <v>0</v>
      </c>
    </row>
    <row r="64" spans="1:18" x14ac:dyDescent="0.2">
      <c r="A64" s="7"/>
      <c r="B64" s="7"/>
      <c r="C64" s="7"/>
      <c r="D64" s="7"/>
      <c r="E64" s="39" t="s">
        <v>2301</v>
      </c>
      <c r="F64" s="7"/>
      <c r="G64" s="44">
        <v>23.060038724204549</v>
      </c>
      <c r="H64" s="44">
        <v>14.143579159710111</v>
      </c>
      <c r="I64" s="44">
        <v>9.3489835376569559</v>
      </c>
      <c r="J64" s="44">
        <v>8.6076247735821383</v>
      </c>
      <c r="K64" s="44">
        <v>13.597156943539447</v>
      </c>
      <c r="L64" s="44">
        <v>15.082025062420344</v>
      </c>
      <c r="M64" s="44">
        <v>24.298096476785204</v>
      </c>
      <c r="N64" s="44">
        <v>19.366646499013381</v>
      </c>
      <c r="O64" s="44">
        <v>22.201954366096206</v>
      </c>
      <c r="P64" s="44">
        <v>16.976742344224672</v>
      </c>
      <c r="Q64" s="44">
        <v>9.6937692854833948</v>
      </c>
      <c r="R64" s="102">
        <f t="shared" si="5"/>
        <v>92.537208971602865</v>
      </c>
    </row>
    <row r="65" spans="1:18" x14ac:dyDescent="0.2">
      <c r="A65" s="7"/>
      <c r="B65" s="7"/>
      <c r="C65" s="7"/>
      <c r="D65" s="7"/>
      <c r="E65" s="39" t="s">
        <v>2302</v>
      </c>
      <c r="F65" s="7"/>
      <c r="G65" s="44">
        <v>0.54308084663139111</v>
      </c>
      <c r="H65" s="44">
        <v>3.5145906886700473</v>
      </c>
      <c r="I65" s="44">
        <v>2.5362336069472793</v>
      </c>
      <c r="J65" s="44">
        <v>1.6010184294528393</v>
      </c>
      <c r="K65" s="44">
        <v>6.1841923490436335</v>
      </c>
      <c r="L65" s="44">
        <v>6.4782805761464415</v>
      </c>
      <c r="M65" s="44">
        <v>6.2481991885294361</v>
      </c>
      <c r="N65" s="44">
        <v>5.3744885394099331</v>
      </c>
      <c r="O65" s="44">
        <v>3.8966867253664006</v>
      </c>
      <c r="P65" s="44">
        <v>2.6095126893125786</v>
      </c>
      <c r="Q65" s="44">
        <v>2.6095126893125786</v>
      </c>
      <c r="R65" s="102">
        <f t="shared" si="5"/>
        <v>20.738399831930924</v>
      </c>
    </row>
    <row r="66" spans="1:18" x14ac:dyDescent="0.2">
      <c r="A66" s="7"/>
      <c r="B66" s="7"/>
      <c r="C66" s="7"/>
      <c r="D66" s="7"/>
      <c r="E66" s="39" t="s">
        <v>39</v>
      </c>
      <c r="F66" s="7"/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102">
        <f t="shared" si="5"/>
        <v>0</v>
      </c>
    </row>
    <row r="67" spans="1:18" x14ac:dyDescent="0.2">
      <c r="A67" s="7"/>
      <c r="B67" s="7"/>
      <c r="C67" s="7"/>
      <c r="D67" s="7"/>
      <c r="E67" s="39" t="s">
        <v>2404</v>
      </c>
      <c r="F67" s="7"/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102">
        <f t="shared" si="5"/>
        <v>0</v>
      </c>
    </row>
    <row r="68" spans="1:18" x14ac:dyDescent="0.2">
      <c r="A68" s="7"/>
      <c r="B68" s="7"/>
      <c r="C68" s="7"/>
      <c r="D68" s="7"/>
      <c r="E68" s="39" t="s">
        <v>2315</v>
      </c>
      <c r="F68" s="7"/>
      <c r="G68" s="44">
        <v>0</v>
      </c>
      <c r="H68" s="44">
        <v>27.157275851981669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102">
        <f t="shared" si="5"/>
        <v>0</v>
      </c>
    </row>
    <row r="69" spans="1:18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102">
        <f t="shared" si="5"/>
        <v>0</v>
      </c>
    </row>
    <row r="70" spans="1:18" x14ac:dyDescent="0.2">
      <c r="A70" s="7"/>
      <c r="B70" s="7"/>
      <c r="C70" s="7"/>
      <c r="D70" s="7"/>
      <c r="E70" s="9" t="s">
        <v>2209</v>
      </c>
      <c r="F70" s="7"/>
      <c r="G70" s="61">
        <f>SUM(G60:G68)</f>
        <v>156.82910492835202</v>
      </c>
      <c r="H70" s="61">
        <f>SUM(H60:H68)</f>
        <v>130.05027845330821</v>
      </c>
      <c r="I70" s="61">
        <f t="shared" ref="I70:Q70" si="6">SUM(I60:I68)</f>
        <v>96.156364586297755</v>
      </c>
      <c r="J70" s="61">
        <f t="shared" si="6"/>
        <v>107.92871196111449</v>
      </c>
      <c r="K70" s="61">
        <f t="shared" si="6"/>
        <v>126.46092530851594</v>
      </c>
      <c r="L70" s="61">
        <f t="shared" si="6"/>
        <v>152.63974310015425</v>
      </c>
      <c r="M70" s="61">
        <f t="shared" si="6"/>
        <v>174.39244982843127</v>
      </c>
      <c r="N70" s="61">
        <f t="shared" si="6"/>
        <v>162.4905113321829</v>
      </c>
      <c r="O70" s="61">
        <f t="shared" si="6"/>
        <v>173.74144995824892</v>
      </c>
      <c r="P70" s="61">
        <f t="shared" si="6"/>
        <v>159.46832807077936</v>
      </c>
      <c r="Q70" s="61">
        <f t="shared" si="6"/>
        <v>131.36685824198784</v>
      </c>
      <c r="R70" s="102">
        <f t="shared" si="5"/>
        <v>801.45959743163041</v>
      </c>
    </row>
    <row r="71" spans="1:18" s="7" customFormat="1" x14ac:dyDescent="0.2">
      <c r="G71" s="65">
        <f>G55-G22-G70</f>
        <v>0</v>
      </c>
      <c r="H71" s="65">
        <f t="shared" ref="H71:Q71" si="7">H55-H22-H70</f>
        <v>0</v>
      </c>
      <c r="I71" s="65">
        <f t="shared" si="7"/>
        <v>0</v>
      </c>
      <c r="J71" s="65">
        <f t="shared" si="7"/>
        <v>0</v>
      </c>
      <c r="K71" s="65">
        <f t="shared" si="7"/>
        <v>0</v>
      </c>
      <c r="L71" s="65">
        <f t="shared" si="7"/>
        <v>0</v>
      </c>
      <c r="M71" s="65">
        <f t="shared" si="7"/>
        <v>0</v>
      </c>
      <c r="N71" s="65">
        <f t="shared" si="7"/>
        <v>0</v>
      </c>
      <c r="O71" s="65">
        <f t="shared" si="7"/>
        <v>0</v>
      </c>
      <c r="P71" s="65">
        <f t="shared" si="7"/>
        <v>0</v>
      </c>
      <c r="Q71" s="65">
        <f t="shared" si="7"/>
        <v>0</v>
      </c>
    </row>
    <row r="72" spans="1:18" s="7" customFormat="1" x14ac:dyDescent="0.2"/>
    <row r="73" spans="1:18" x14ac:dyDescent="0.2">
      <c r="A73" s="22" t="s">
        <v>2380</v>
      </c>
      <c r="B73" s="22"/>
      <c r="C73" s="15"/>
      <c r="D73" s="24"/>
      <c r="E73" s="25"/>
      <c r="F73" s="2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25"/>
    </row>
    <row r="74" spans="1:18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1:18" x14ac:dyDescent="0.2">
      <c r="A75" s="59" t="s">
        <v>2332</v>
      </c>
      <c r="B75" s="13"/>
      <c r="C75" s="13"/>
      <c r="D75" s="13"/>
      <c r="E75" s="13"/>
      <c r="F75" s="13"/>
      <c r="G75" s="63" t="s">
        <v>2439</v>
      </c>
      <c r="H75" s="63" t="s">
        <v>2439</v>
      </c>
      <c r="I75" s="63" t="s">
        <v>2439</v>
      </c>
      <c r="J75" s="63" t="s">
        <v>2439</v>
      </c>
      <c r="K75" s="63" t="s">
        <v>2439</v>
      </c>
      <c r="L75" s="63" t="s">
        <v>2439</v>
      </c>
      <c r="M75" s="63" t="s">
        <v>2439</v>
      </c>
      <c r="N75" s="63" t="s">
        <v>2439</v>
      </c>
      <c r="O75" s="63" t="s">
        <v>2439</v>
      </c>
      <c r="P75" s="63" t="s">
        <v>2439</v>
      </c>
      <c r="Q75" s="63" t="s">
        <v>2439</v>
      </c>
      <c r="R75" s="13"/>
    </row>
    <row r="76" spans="1:18" x14ac:dyDescent="0.2">
      <c r="A76" s="7"/>
      <c r="B76" s="7"/>
      <c r="C76" s="7"/>
      <c r="D76" s="7"/>
      <c r="E76" s="7"/>
      <c r="F76" s="7"/>
      <c r="G76" s="7" t="s">
        <v>2321</v>
      </c>
      <c r="H76" s="7" t="s">
        <v>2321</v>
      </c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1:18" x14ac:dyDescent="0.2">
      <c r="A77" s="7"/>
      <c r="B77" s="7"/>
      <c r="C77" s="7"/>
      <c r="D77" s="7"/>
      <c r="E77" s="39" t="s">
        <v>2333</v>
      </c>
      <c r="F77" s="7"/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7"/>
    </row>
    <row r="78" spans="1:18" x14ac:dyDescent="0.2">
      <c r="A78" s="7"/>
      <c r="B78" s="7"/>
      <c r="C78" s="7"/>
      <c r="D78" s="7"/>
      <c r="E78" s="39" t="s">
        <v>2299</v>
      </c>
      <c r="F78" s="7"/>
      <c r="G78" s="44">
        <v>28.760665467671078</v>
      </c>
      <c r="H78" s="44">
        <v>48.809351873874917</v>
      </c>
      <c r="I78" s="44">
        <v>49.810027458799908</v>
      </c>
      <c r="J78" s="44">
        <v>54.763022849584225</v>
      </c>
      <c r="K78" s="44">
        <v>53.976235237169945</v>
      </c>
      <c r="L78" s="44">
        <v>60.479137891112856</v>
      </c>
      <c r="M78" s="44">
        <v>65.489206063205728</v>
      </c>
      <c r="N78" s="44">
        <v>61.874702873696478</v>
      </c>
      <c r="O78" s="44">
        <v>54.891586447128866</v>
      </c>
      <c r="P78" s="44">
        <v>54.091125371003379</v>
      </c>
      <c r="Q78" s="44">
        <v>55.127762891212662</v>
      </c>
      <c r="R78" s="7"/>
    </row>
    <row r="79" spans="1:18" x14ac:dyDescent="0.2">
      <c r="A79" s="7"/>
      <c r="B79" s="7"/>
      <c r="C79" s="7"/>
      <c r="D79" s="7"/>
      <c r="E79" s="39" t="s">
        <v>2300</v>
      </c>
      <c r="F79" s="7"/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7"/>
    </row>
    <row r="80" spans="1:18" x14ac:dyDescent="0.2">
      <c r="A80" s="7"/>
      <c r="B80" s="7"/>
      <c r="C80" s="7"/>
      <c r="D80" s="7"/>
      <c r="E80" s="39" t="s">
        <v>2309</v>
      </c>
      <c r="F80" s="7"/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7"/>
    </row>
    <row r="81" spans="1:18" x14ac:dyDescent="0.2">
      <c r="A81" s="7"/>
      <c r="B81" s="7"/>
      <c r="C81" s="7"/>
      <c r="D81" s="7"/>
      <c r="E81" s="39" t="s">
        <v>2301</v>
      </c>
      <c r="F81" s="7"/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7"/>
    </row>
    <row r="82" spans="1:18" x14ac:dyDescent="0.2">
      <c r="A82" s="7"/>
      <c r="B82" s="7"/>
      <c r="C82" s="7"/>
      <c r="D82" s="7"/>
      <c r="E82" s="39" t="s">
        <v>2302</v>
      </c>
      <c r="F82" s="7"/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7"/>
    </row>
    <row r="83" spans="1:18" x14ac:dyDescent="0.2">
      <c r="A83" s="7"/>
      <c r="B83" s="7"/>
      <c r="C83" s="7"/>
      <c r="D83" s="7"/>
      <c r="E83" s="39" t="s">
        <v>39</v>
      </c>
      <c r="F83" s="7"/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7"/>
    </row>
    <row r="84" spans="1:18" x14ac:dyDescent="0.2">
      <c r="A84" s="7"/>
      <c r="B84" s="7"/>
      <c r="C84" s="7"/>
      <c r="D84" s="7"/>
      <c r="E84" s="39" t="s">
        <v>2404</v>
      </c>
      <c r="F84" s="7"/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7"/>
    </row>
    <row r="85" spans="1:18" x14ac:dyDescent="0.2">
      <c r="A85" s="7"/>
      <c r="B85" s="7"/>
      <c r="C85" s="7"/>
      <c r="D85" s="7"/>
      <c r="E85" s="39" t="s">
        <v>2315</v>
      </c>
      <c r="F85" s="7"/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7"/>
    </row>
    <row r="86" spans="1:18" x14ac:dyDescent="0.2">
      <c r="A86" s="7"/>
      <c r="B86" s="7"/>
      <c r="C86" s="7"/>
      <c r="D86" s="7"/>
      <c r="E86" s="39"/>
      <c r="F86" s="7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7"/>
    </row>
    <row r="87" spans="1:18" x14ac:dyDescent="0.2">
      <c r="A87" s="7"/>
      <c r="B87" s="7"/>
      <c r="C87" s="7"/>
      <c r="D87" s="7"/>
      <c r="E87" s="7"/>
      <c r="F87" s="7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7"/>
    </row>
    <row r="88" spans="1:18" x14ac:dyDescent="0.2">
      <c r="A88" s="7"/>
      <c r="B88" s="7"/>
      <c r="C88" s="7"/>
      <c r="D88" s="7"/>
      <c r="E88" s="9" t="s">
        <v>2209</v>
      </c>
      <c r="F88" s="7"/>
      <c r="G88" s="61">
        <f t="shared" ref="G88:Q88" si="8">SUM(G77:G85)</f>
        <v>28.760665467671078</v>
      </c>
      <c r="H88" s="61">
        <f t="shared" si="8"/>
        <v>48.809351873874917</v>
      </c>
      <c r="I88" s="61">
        <f t="shared" si="8"/>
        <v>49.810027458799908</v>
      </c>
      <c r="J88" s="61">
        <f t="shared" ref="J88" si="9">SUM(J77:J85)</f>
        <v>54.763022849584225</v>
      </c>
      <c r="K88" s="61">
        <f t="shared" si="8"/>
        <v>53.976235237169945</v>
      </c>
      <c r="L88" s="61">
        <f t="shared" si="8"/>
        <v>60.479137891112856</v>
      </c>
      <c r="M88" s="61">
        <f t="shared" si="8"/>
        <v>65.489206063205728</v>
      </c>
      <c r="N88" s="61">
        <f t="shared" si="8"/>
        <v>61.874702873696478</v>
      </c>
      <c r="O88" s="61">
        <f t="shared" si="8"/>
        <v>54.891586447128866</v>
      </c>
      <c r="P88" s="61">
        <f t="shared" si="8"/>
        <v>54.091125371003379</v>
      </c>
      <c r="Q88" s="61">
        <f t="shared" si="8"/>
        <v>55.127762891212662</v>
      </c>
      <c r="R88" s="7"/>
    </row>
    <row r="89" spans="1:18" x14ac:dyDescent="0.2">
      <c r="A89" s="7"/>
      <c r="B89" s="7"/>
      <c r="C89" s="7"/>
      <c r="D89" s="7"/>
      <c r="E89" s="7"/>
      <c r="F89" s="7"/>
      <c r="G89" s="65">
        <f>G88-G22</f>
        <v>0</v>
      </c>
      <c r="H89" s="65">
        <f t="shared" ref="H89:J89" si="10">H88-H22</f>
        <v>0</v>
      </c>
      <c r="I89" s="65">
        <f t="shared" si="10"/>
        <v>0</v>
      </c>
      <c r="J89" s="65">
        <f t="shared" si="10"/>
        <v>0</v>
      </c>
      <c r="K89" s="65">
        <f>K88-K22*(1+Inflation!P86)</f>
        <v>0</v>
      </c>
      <c r="L89" s="65">
        <f>L88-L22*(1+Inflation!Q86)</f>
        <v>0</v>
      </c>
      <c r="M89" s="65">
        <f>M88-M22*(1+Inflation!R86)</f>
        <v>0.78512021332733184</v>
      </c>
      <c r="N89" s="65">
        <f>N88-N22*(1+Inflation!S86)</f>
        <v>1.7342732089263961</v>
      </c>
      <c r="O89" s="65">
        <f>O88-O22*(1+Inflation!T86)</f>
        <v>2.3708688299390133</v>
      </c>
      <c r="P89" s="65">
        <f>P88-P22*(1+Inflation!U86)</f>
        <v>2.9252377842735129</v>
      </c>
      <c r="Q89" s="65">
        <f>Q88-Q22*(1+Inflation!V86)</f>
        <v>3.4804768459059687</v>
      </c>
      <c r="R89" s="7"/>
    </row>
    <row r="90" spans="1:18" s="7" customFormat="1" x14ac:dyDescent="0.2"/>
    <row r="91" spans="1:18" s="7" customFormat="1" x14ac:dyDescent="0.2">
      <c r="A91" s="59" t="s">
        <v>2325</v>
      </c>
      <c r="B91" s="13"/>
      <c r="C91" s="13"/>
      <c r="D91" s="13"/>
      <c r="E91" s="13"/>
      <c r="F91" s="13"/>
      <c r="G91" s="63" t="s">
        <v>2439</v>
      </c>
      <c r="H91" s="63" t="s">
        <v>2439</v>
      </c>
      <c r="I91" s="63" t="s">
        <v>2439</v>
      </c>
      <c r="J91" s="63" t="s">
        <v>2439</v>
      </c>
      <c r="K91" s="63" t="s">
        <v>2439</v>
      </c>
      <c r="L91" s="63" t="s">
        <v>2439</v>
      </c>
      <c r="M91" s="63" t="s">
        <v>2439</v>
      </c>
      <c r="N91" s="63" t="s">
        <v>2439</v>
      </c>
      <c r="O91" s="63" t="s">
        <v>2439</v>
      </c>
      <c r="P91" s="63" t="s">
        <v>2439</v>
      </c>
      <c r="Q91" s="63" t="s">
        <v>2439</v>
      </c>
      <c r="R91" s="13"/>
    </row>
    <row r="92" spans="1:18" s="7" customFormat="1" x14ac:dyDescent="0.2"/>
    <row r="93" spans="1:18" s="7" customFormat="1" x14ac:dyDescent="0.2">
      <c r="E93" s="39" t="s">
        <v>2333</v>
      </c>
      <c r="G93" s="44">
        <v>35.241557331105881</v>
      </c>
      <c r="H93" s="44">
        <v>21.066720257554572</v>
      </c>
      <c r="I93" s="44">
        <v>20.278463964669687</v>
      </c>
      <c r="J93" s="44">
        <v>29.923145589104887</v>
      </c>
      <c r="K93" s="44">
        <v>34.0776589731082</v>
      </c>
      <c r="L93" s="44">
        <v>57.32784599512739</v>
      </c>
      <c r="M93" s="156">
        <v>45.621388438530779</v>
      </c>
      <c r="N93" s="156">
        <v>35.254320550153537</v>
      </c>
      <c r="O93" s="156">
        <v>39.345362547968556</v>
      </c>
      <c r="P93" s="156">
        <v>36.343671212899068</v>
      </c>
      <c r="Q93" s="156">
        <v>22.362081790563256</v>
      </c>
      <c r="R93" s="102">
        <f>SUM(M93:Q93)</f>
        <v>178.92682454011521</v>
      </c>
    </row>
    <row r="94" spans="1:18" s="7" customFormat="1" x14ac:dyDescent="0.2">
      <c r="E94" s="39" t="s">
        <v>2299</v>
      </c>
      <c r="G94" s="44">
        <v>66.737061884158877</v>
      </c>
      <c r="H94" s="44">
        <v>75.360768203709313</v>
      </c>
      <c r="I94" s="44">
        <v>72.99609644339057</v>
      </c>
      <c r="J94" s="44">
        <v>82.599730998394207</v>
      </c>
      <c r="K94" s="44">
        <v>85.333623079263134</v>
      </c>
      <c r="L94" s="44">
        <v>87.986448341715857</v>
      </c>
      <c r="M94" s="44">
        <v>92.908732240800973</v>
      </c>
      <c r="N94" s="44">
        <v>87.434807928667823</v>
      </c>
      <c r="O94" s="44">
        <v>82.348211157518023</v>
      </c>
      <c r="P94" s="44">
        <v>80.96721442367766</v>
      </c>
      <c r="Q94" s="44">
        <v>82.629080189990063</v>
      </c>
      <c r="R94" s="102">
        <f t="shared" ref="R94:R104" si="11">SUM(M94:Q94)</f>
        <v>426.28804594065457</v>
      </c>
    </row>
    <row r="95" spans="1:18" s="7" customFormat="1" x14ac:dyDescent="0.2">
      <c r="E95" s="39" t="s">
        <v>2300</v>
      </c>
      <c r="G95" s="44">
        <v>24.130620459711011</v>
      </c>
      <c r="H95" s="44">
        <v>19.227091004680666</v>
      </c>
      <c r="I95" s="44">
        <v>21.675387142421641</v>
      </c>
      <c r="J95" s="44">
        <v>20.973339733837101</v>
      </c>
      <c r="K95" s="44">
        <v>22.257653914403949</v>
      </c>
      <c r="L95" s="44">
        <v>27.257405729529552</v>
      </c>
      <c r="M95" s="156">
        <v>53.710503841029315</v>
      </c>
      <c r="N95" s="156">
        <v>61.877321900070378</v>
      </c>
      <c r="O95" s="156">
        <v>68.432927581889103</v>
      </c>
      <c r="P95" s="156">
        <v>65.724782266404176</v>
      </c>
      <c r="Q95" s="156">
        <v>58.313240518140567</v>
      </c>
      <c r="R95" s="102">
        <f t="shared" si="11"/>
        <v>308.05877610753356</v>
      </c>
    </row>
    <row r="96" spans="1:18" s="7" customFormat="1" x14ac:dyDescent="0.2">
      <c r="E96" s="39" t="s">
        <v>2309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102">
        <f t="shared" si="11"/>
        <v>0</v>
      </c>
    </row>
    <row r="97" spans="1:18" s="7" customFormat="1" x14ac:dyDescent="0.2">
      <c r="E97" s="39" t="s">
        <v>2301</v>
      </c>
      <c r="G97" s="44">
        <v>23.060038724204549</v>
      </c>
      <c r="H97" s="44">
        <v>14.143579159710111</v>
      </c>
      <c r="I97" s="44">
        <v>9.3489835376569559</v>
      </c>
      <c r="J97" s="44">
        <v>8.6076247735821383</v>
      </c>
      <c r="K97" s="44">
        <v>13.597156943539447</v>
      </c>
      <c r="L97" s="44">
        <v>15.082025062420344</v>
      </c>
      <c r="M97" s="44">
        <v>24.621798210128141</v>
      </c>
      <c r="N97" s="44">
        <v>19.924064315743966</v>
      </c>
      <c r="O97" s="142">
        <v>23.188071313188388</v>
      </c>
      <c r="P97" s="44">
        <v>17.960593372162798</v>
      </c>
      <c r="Q97" s="44">
        <v>10.379514249872111</v>
      </c>
      <c r="R97" s="102">
        <f t="shared" si="11"/>
        <v>96.074041461095405</v>
      </c>
    </row>
    <row r="98" spans="1:18" s="7" customFormat="1" x14ac:dyDescent="0.2">
      <c r="E98" s="39" t="s">
        <v>2302</v>
      </c>
      <c r="G98" s="44">
        <v>0.54308084663139111</v>
      </c>
      <c r="H98" s="44">
        <v>3.5145906886700473</v>
      </c>
      <c r="I98" s="44">
        <v>2.5362336069472793</v>
      </c>
      <c r="J98" s="44">
        <v>1.6010184294528393</v>
      </c>
      <c r="K98" s="44">
        <v>6.1841923490436335</v>
      </c>
      <c r="L98" s="44">
        <v>6.4782805761464415</v>
      </c>
      <c r="M98" s="44">
        <v>6.284810978011155</v>
      </c>
      <c r="N98" s="44">
        <v>5.4437058157307137</v>
      </c>
      <c r="O98" s="44">
        <v>3.9744465568103533</v>
      </c>
      <c r="P98" s="44">
        <v>2.6771532308994344</v>
      </c>
      <c r="Q98" s="44">
        <v>2.692162968803002</v>
      </c>
      <c r="R98" s="102">
        <f t="shared" si="11"/>
        <v>21.072279550254656</v>
      </c>
    </row>
    <row r="99" spans="1:18" s="7" customFormat="1" x14ac:dyDescent="0.2">
      <c r="E99" s="39" t="s">
        <v>39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102">
        <f t="shared" si="11"/>
        <v>0</v>
      </c>
    </row>
    <row r="100" spans="1:18" s="7" customFormat="1" x14ac:dyDescent="0.2">
      <c r="E100" s="39" t="s">
        <v>2404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102">
        <f t="shared" si="11"/>
        <v>0</v>
      </c>
    </row>
    <row r="101" spans="1:18" s="7" customFormat="1" x14ac:dyDescent="0.2">
      <c r="E101" s="39" t="s">
        <v>2315</v>
      </c>
      <c r="G101" s="44">
        <v>0</v>
      </c>
      <c r="H101" s="44">
        <v>27.157275851981669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142">
        <v>0</v>
      </c>
      <c r="P101" s="44">
        <v>0</v>
      </c>
      <c r="Q101" s="44">
        <v>0</v>
      </c>
      <c r="R101" s="102">
        <f t="shared" si="11"/>
        <v>0</v>
      </c>
    </row>
    <row r="102" spans="1:18" s="7" customFormat="1" x14ac:dyDescent="0.2">
      <c r="E102" s="39"/>
      <c r="G102" s="44"/>
      <c r="H102" s="44"/>
      <c r="I102" s="44"/>
      <c r="J102" s="44"/>
      <c r="K102" s="44"/>
      <c r="L102" s="44"/>
      <c r="M102" s="44"/>
      <c r="N102" s="44"/>
      <c r="O102" s="142"/>
      <c r="P102" s="44"/>
      <c r="Q102" s="44"/>
      <c r="R102" s="102">
        <f t="shared" si="11"/>
        <v>0</v>
      </c>
    </row>
    <row r="103" spans="1:18" s="7" customFormat="1" x14ac:dyDescent="0.2">
      <c r="R103" s="102">
        <f t="shared" si="11"/>
        <v>0</v>
      </c>
    </row>
    <row r="104" spans="1:18" s="7" customFormat="1" x14ac:dyDescent="0.2">
      <c r="E104" s="9" t="s">
        <v>2209</v>
      </c>
      <c r="G104" s="61">
        <f>SUM(G93:G101)</f>
        <v>149.71235924581171</v>
      </c>
      <c r="H104" s="61">
        <f>SUM(H93:H101)</f>
        <v>160.47002516630636</v>
      </c>
      <c r="I104" s="61">
        <f t="shared" ref="I104:Q104" si="12">SUM(I93:I101)</f>
        <v>126.83516469508614</v>
      </c>
      <c r="J104" s="61">
        <f t="shared" si="12"/>
        <v>143.70485952437116</v>
      </c>
      <c r="K104" s="61">
        <f t="shared" si="12"/>
        <v>161.45028525935837</v>
      </c>
      <c r="L104" s="61">
        <f t="shared" si="12"/>
        <v>194.13200570493959</v>
      </c>
      <c r="M104" s="61">
        <f t="shared" si="12"/>
        <v>223.14723370850038</v>
      </c>
      <c r="N104" s="61">
        <f t="shared" si="12"/>
        <v>209.93422051036643</v>
      </c>
      <c r="O104" s="145">
        <f t="shared" si="12"/>
        <v>217.28901915737444</v>
      </c>
      <c r="P104" s="61">
        <f t="shared" si="12"/>
        <v>203.67341450604312</v>
      </c>
      <c r="Q104" s="61">
        <f t="shared" si="12"/>
        <v>176.37607971736898</v>
      </c>
      <c r="R104" s="102">
        <f t="shared" si="11"/>
        <v>1030.4199675996535</v>
      </c>
    </row>
    <row r="105" spans="1:18" s="7" customFormat="1" x14ac:dyDescent="0.2"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</row>
    <row r="106" spans="1:18" s="7" customFormat="1" x14ac:dyDescent="0.2"/>
    <row r="107" spans="1:18" s="7" customFormat="1" x14ac:dyDescent="0.2">
      <c r="A107" s="59" t="s">
        <v>2330</v>
      </c>
      <c r="B107" s="13"/>
      <c r="C107" s="13"/>
      <c r="D107" s="13"/>
      <c r="E107" s="13"/>
      <c r="F107" s="13"/>
      <c r="G107" s="63" t="s">
        <v>2439</v>
      </c>
      <c r="H107" s="63" t="s">
        <v>2439</v>
      </c>
      <c r="I107" s="63" t="s">
        <v>2439</v>
      </c>
      <c r="J107" s="63" t="s">
        <v>2439</v>
      </c>
      <c r="K107" s="63" t="s">
        <v>2439</v>
      </c>
      <c r="L107" s="63" t="s">
        <v>2439</v>
      </c>
      <c r="M107" s="63" t="s">
        <v>2439</v>
      </c>
      <c r="N107" s="63" t="s">
        <v>2439</v>
      </c>
      <c r="O107" s="63" t="s">
        <v>2439</v>
      </c>
      <c r="P107" s="63" t="s">
        <v>2439</v>
      </c>
      <c r="Q107" s="63" t="s">
        <v>2439</v>
      </c>
      <c r="R107" s="13"/>
    </row>
    <row r="108" spans="1:18" s="7" customFormat="1" x14ac:dyDescent="0.2"/>
    <row r="109" spans="1:18" s="7" customFormat="1" x14ac:dyDescent="0.2">
      <c r="E109" s="39" t="s">
        <v>2333</v>
      </c>
      <c r="G109" s="44">
        <v>43.756477144563192</v>
      </c>
      <c r="H109" s="44">
        <v>24.566190591331026</v>
      </c>
      <c r="I109" s="44">
        <v>23.014477434478856</v>
      </c>
      <c r="J109" s="44">
        <v>34.195000183166499</v>
      </c>
      <c r="K109" s="44">
        <v>38.812702710802256</v>
      </c>
      <c r="L109" s="44">
        <v>64.107387095009685</v>
      </c>
      <c r="M109" s="44">
        <v>50.642535690331911</v>
      </c>
      <c r="N109" s="44">
        <v>39.382232779005371</v>
      </c>
      <c r="O109" s="142">
        <v>43.910578210276505</v>
      </c>
      <c r="P109" s="44">
        <v>40.811511504924468</v>
      </c>
      <c r="Q109" s="44">
        <v>25.502243744507346</v>
      </c>
      <c r="R109" s="102">
        <f>SUM(M109:Q109)</f>
        <v>200.24910192904562</v>
      </c>
    </row>
    <row r="110" spans="1:18" s="7" customFormat="1" x14ac:dyDescent="0.2">
      <c r="E110" s="39" t="s">
        <v>2299</v>
      </c>
      <c r="G110" s="44">
        <v>87.469550980222579</v>
      </c>
      <c r="H110" s="44">
        <v>87.057575985396454</v>
      </c>
      <c r="I110" s="44">
        <v>85.329167456502617</v>
      </c>
      <c r="J110" s="127">
        <v>94.327229888263247</v>
      </c>
      <c r="K110" s="44">
        <v>97.190612372308934</v>
      </c>
      <c r="L110" s="44">
        <v>98.391649032773287</v>
      </c>
      <c r="M110" s="44">
        <v>103.13438388197774</v>
      </c>
      <c r="N110" s="44">
        <v>97.672509499532083</v>
      </c>
      <c r="O110" s="44">
        <v>91.903018102834963</v>
      </c>
      <c r="P110" s="44">
        <v>90.920765368381765</v>
      </c>
      <c r="Q110" s="44">
        <v>94.232145429269224</v>
      </c>
      <c r="R110" s="102">
        <f t="shared" ref="R110:R120" si="13">SUM(M110:Q110)</f>
        <v>477.86282228199576</v>
      </c>
    </row>
    <row r="111" spans="1:18" s="7" customFormat="1" x14ac:dyDescent="0.2">
      <c r="E111" s="39" t="s">
        <v>2300</v>
      </c>
      <c r="G111" s="44">
        <v>30.760622700401381</v>
      </c>
      <c r="H111" s="44">
        <v>22.420418050093822</v>
      </c>
      <c r="I111" s="44">
        <v>25.737530009511957</v>
      </c>
      <c r="J111" s="44">
        <v>23.960861536233999</v>
      </c>
      <c r="K111" s="44">
        <v>25.350324243264495</v>
      </c>
      <c r="L111" s="44">
        <v>30.480842773286952</v>
      </c>
      <c r="M111" s="44">
        <v>59.621949283283023</v>
      </c>
      <c r="N111" s="44">
        <v>69.122509150141752</v>
      </c>
      <c r="O111" s="44">
        <v>76.373153636066249</v>
      </c>
      <c r="P111" s="44">
        <v>73.804533722283949</v>
      </c>
      <c r="Q111" s="44">
        <v>66.501790269511616</v>
      </c>
      <c r="R111" s="102">
        <f t="shared" si="13"/>
        <v>345.42393606128661</v>
      </c>
    </row>
    <row r="112" spans="1:18" s="7" customFormat="1" x14ac:dyDescent="0.2">
      <c r="E112" s="39" t="s">
        <v>2309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102">
        <f t="shared" si="13"/>
        <v>0</v>
      </c>
    </row>
    <row r="113" spans="1:18" s="7" customFormat="1" x14ac:dyDescent="0.2">
      <c r="E113" s="39" t="s">
        <v>2301</v>
      </c>
      <c r="G113" s="44">
        <v>23.060038724204549</v>
      </c>
      <c r="H113" s="44">
        <v>14.143579159710111</v>
      </c>
      <c r="I113" s="44">
        <v>9.3489835376569559</v>
      </c>
      <c r="J113" s="44">
        <v>8.6076247735821383</v>
      </c>
      <c r="K113" s="44">
        <v>13.597156943539447</v>
      </c>
      <c r="L113" s="44">
        <v>15.082025062420344</v>
      </c>
      <c r="M113" s="44">
        <v>24.621798210128141</v>
      </c>
      <c r="N113" s="44">
        <v>19.924064315743966</v>
      </c>
      <c r="O113" s="119">
        <v>23.188071313188388</v>
      </c>
      <c r="P113" s="44">
        <v>17.960593372162798</v>
      </c>
      <c r="Q113" s="44">
        <v>10.379514249872111</v>
      </c>
      <c r="R113" s="102">
        <f t="shared" si="13"/>
        <v>96.074041461095405</v>
      </c>
    </row>
    <row r="114" spans="1:18" s="7" customFormat="1" x14ac:dyDescent="0.2">
      <c r="E114" s="39" t="s">
        <v>2302</v>
      </c>
      <c r="G114" s="119">
        <v>0.54308084663139111</v>
      </c>
      <c r="H114" s="44">
        <v>3.5145906886700473</v>
      </c>
      <c r="I114" s="44">
        <v>2.5362336069472793</v>
      </c>
      <c r="J114" s="44">
        <v>1.6010184294528393</v>
      </c>
      <c r="K114" s="44">
        <v>6.1841923490436335</v>
      </c>
      <c r="L114" s="44">
        <v>6.4782805761464415</v>
      </c>
      <c r="M114" s="44">
        <v>6.284810978011155</v>
      </c>
      <c r="N114" s="44">
        <v>5.4437058157307137</v>
      </c>
      <c r="O114" s="44">
        <v>3.9744465568103533</v>
      </c>
      <c r="P114" s="44">
        <v>2.6771532308994344</v>
      </c>
      <c r="Q114" s="44">
        <v>2.692162968803002</v>
      </c>
      <c r="R114" s="102">
        <f t="shared" si="13"/>
        <v>21.072279550254656</v>
      </c>
    </row>
    <row r="115" spans="1:18" s="7" customFormat="1" x14ac:dyDescent="0.2">
      <c r="E115" s="39" t="s">
        <v>39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102">
        <f t="shared" si="13"/>
        <v>0</v>
      </c>
    </row>
    <row r="116" spans="1:18" s="7" customFormat="1" x14ac:dyDescent="0.2">
      <c r="E116" s="39" t="s">
        <v>2404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102">
        <f t="shared" si="13"/>
        <v>0</v>
      </c>
    </row>
    <row r="117" spans="1:18" s="7" customFormat="1" x14ac:dyDescent="0.2">
      <c r="E117" s="39" t="s">
        <v>2315</v>
      </c>
      <c r="G117" s="44">
        <v>0</v>
      </c>
      <c r="H117" s="44">
        <v>27.157275851981669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102">
        <f t="shared" si="13"/>
        <v>0</v>
      </c>
    </row>
    <row r="118" spans="1:18" s="7" customFormat="1" x14ac:dyDescent="0.2">
      <c r="E118" s="39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102">
        <f t="shared" si="13"/>
        <v>0</v>
      </c>
    </row>
    <row r="119" spans="1:18" s="7" customFormat="1" x14ac:dyDescent="0.2">
      <c r="R119" s="102">
        <f t="shared" si="13"/>
        <v>0</v>
      </c>
    </row>
    <row r="120" spans="1:18" s="7" customFormat="1" x14ac:dyDescent="0.2">
      <c r="E120" s="9" t="s">
        <v>2209</v>
      </c>
      <c r="G120" s="61">
        <f>SUM(G109:G117)</f>
        <v>185.58977039602311</v>
      </c>
      <c r="H120" s="61">
        <f>SUM(H109:H117)</f>
        <v>178.85963032718311</v>
      </c>
      <c r="I120" s="61">
        <f t="shared" ref="I120:Q120" si="14">SUM(I109:I117)</f>
        <v>145.96639204509765</v>
      </c>
      <c r="J120" s="61">
        <f t="shared" si="14"/>
        <v>162.69173481069873</v>
      </c>
      <c r="K120" s="61">
        <f t="shared" si="14"/>
        <v>181.13498861895877</v>
      </c>
      <c r="L120" s="61">
        <f t="shared" si="14"/>
        <v>214.5401845396367</v>
      </c>
      <c r="M120" s="61">
        <f t="shared" si="14"/>
        <v>244.30547804373197</v>
      </c>
      <c r="N120" s="61">
        <f t="shared" si="14"/>
        <v>231.54502156015388</v>
      </c>
      <c r="O120" s="61">
        <f t="shared" si="14"/>
        <v>239.3492678191765</v>
      </c>
      <c r="P120" s="61">
        <f t="shared" si="14"/>
        <v>226.17455719865239</v>
      </c>
      <c r="Q120" s="61">
        <f t="shared" si="14"/>
        <v>199.30785666196329</v>
      </c>
      <c r="R120" s="102">
        <f t="shared" si="13"/>
        <v>1140.6821812836781</v>
      </c>
    </row>
    <row r="121" spans="1:18" s="7" customFormat="1" x14ac:dyDescent="0.2">
      <c r="G121" s="65"/>
      <c r="H121" s="65"/>
      <c r="I121" s="65"/>
      <c r="J121" s="65"/>
      <c r="K121" s="65"/>
      <c r="L121" s="65"/>
      <c r="M121" s="65">
        <f>M120-'Output|PTRM'!G27</f>
        <v>82.083104016761922</v>
      </c>
      <c r="N121" s="65">
        <f>N120-'Output|PTRM'!H27</f>
        <v>50.047340651784879</v>
      </c>
      <c r="O121" s="146">
        <f>O120-'Output|PTRM'!I27</f>
        <v>68.734362337188742</v>
      </c>
      <c r="P121" s="65">
        <f>P120-'Output|PTRM'!J27</f>
        <v>66.25643247357462</v>
      </c>
      <c r="Q121" s="65">
        <f>Q120-'Output|PTRM'!K27</f>
        <v>47.33373991895354</v>
      </c>
      <c r="R121" s="102">
        <f>R120-R104</f>
        <v>110.26221368402457</v>
      </c>
    </row>
    <row r="122" spans="1:18" s="7" customFormat="1" x14ac:dyDescent="0.2">
      <c r="L122" s="44"/>
      <c r="M122" s="44"/>
      <c r="N122" s="44"/>
      <c r="O122" s="44"/>
    </row>
    <row r="123" spans="1:18" s="7" customFormat="1" x14ac:dyDescent="0.2">
      <c r="A123" s="59" t="s">
        <v>2369</v>
      </c>
      <c r="B123" s="13"/>
      <c r="C123" s="13"/>
      <c r="D123" s="13"/>
      <c r="E123" s="13"/>
      <c r="F123" s="13"/>
      <c r="G123" s="63" t="s">
        <v>2439</v>
      </c>
      <c r="H123" s="63" t="s">
        <v>2439</v>
      </c>
      <c r="I123" s="63" t="s">
        <v>2439</v>
      </c>
      <c r="J123" s="63" t="s">
        <v>2439</v>
      </c>
      <c r="K123" s="63" t="s">
        <v>2439</v>
      </c>
      <c r="L123" s="63" t="s">
        <v>2439</v>
      </c>
      <c r="M123" s="63" t="s">
        <v>2439</v>
      </c>
      <c r="N123" s="63" t="s">
        <v>2439</v>
      </c>
      <c r="O123" s="63" t="s">
        <v>2439</v>
      </c>
      <c r="P123" s="63" t="s">
        <v>2439</v>
      </c>
      <c r="Q123" s="63" t="s">
        <v>2439</v>
      </c>
      <c r="R123" s="13"/>
    </row>
    <row r="124" spans="1:18" s="7" customFormat="1" x14ac:dyDescent="0.2"/>
    <row r="125" spans="1:18" s="7" customFormat="1" x14ac:dyDescent="0.2">
      <c r="E125" s="39" t="s">
        <v>2333</v>
      </c>
      <c r="G125" s="44">
        <v>43.756477144563192</v>
      </c>
      <c r="H125" s="44">
        <v>24.566190591331026</v>
      </c>
      <c r="I125" s="44">
        <v>23.014477434478856</v>
      </c>
      <c r="J125" s="44">
        <v>34.195000183166499</v>
      </c>
      <c r="K125" s="44">
        <v>38.812702710802256</v>
      </c>
      <c r="L125" s="44">
        <v>64.107387095009685</v>
      </c>
      <c r="M125" s="44">
        <v>50.642535690331911</v>
      </c>
      <c r="N125" s="44">
        <v>39.382232779005371</v>
      </c>
      <c r="O125" s="44">
        <v>43.910578210276505</v>
      </c>
      <c r="P125" s="44">
        <v>40.811511504924468</v>
      </c>
      <c r="Q125" s="44">
        <v>25.502243744507346</v>
      </c>
      <c r="R125" s="44">
        <f>SUM(M125:Q125)</f>
        <v>200.24910192904562</v>
      </c>
    </row>
    <row r="126" spans="1:18" s="7" customFormat="1" x14ac:dyDescent="0.2">
      <c r="E126" s="39" t="s">
        <v>2299</v>
      </c>
      <c r="G126" s="44">
        <v>58.708885512551504</v>
      </c>
      <c r="H126" s="44">
        <v>38.248224111521537</v>
      </c>
      <c r="I126" s="44">
        <v>35.519139997702709</v>
      </c>
      <c r="J126" s="127">
        <v>39.564207038679022</v>
      </c>
      <c r="K126" s="44">
        <v>43.214377135138989</v>
      </c>
      <c r="L126" s="44">
        <v>37.912511141660431</v>
      </c>
      <c r="M126" s="44">
        <v>37.645177818772012</v>
      </c>
      <c r="N126" s="44">
        <v>35.797806625835605</v>
      </c>
      <c r="O126" s="44">
        <v>37.011431655706097</v>
      </c>
      <c r="P126" s="44">
        <v>36.829639997378386</v>
      </c>
      <c r="Q126" s="44">
        <v>39.104382538056562</v>
      </c>
      <c r="R126" s="44">
        <f t="shared" ref="R126:R136" si="15">SUM(M126:Q126)</f>
        <v>186.38843863574868</v>
      </c>
    </row>
    <row r="127" spans="1:18" s="7" customFormat="1" x14ac:dyDescent="0.2">
      <c r="E127" s="39" t="s">
        <v>2300</v>
      </c>
      <c r="G127" s="44">
        <v>30.760622700401381</v>
      </c>
      <c r="H127" s="44">
        <v>22.420418050093822</v>
      </c>
      <c r="I127" s="44">
        <v>25.737530009511957</v>
      </c>
      <c r="J127" s="44">
        <v>23.960861536233999</v>
      </c>
      <c r="K127" s="44">
        <v>25.350324243264495</v>
      </c>
      <c r="L127" s="44">
        <v>30.480842773286952</v>
      </c>
      <c r="M127" s="44">
        <v>59.621949283283023</v>
      </c>
      <c r="N127" s="44">
        <v>69.122509150141752</v>
      </c>
      <c r="O127" s="44">
        <v>76.373153636066249</v>
      </c>
      <c r="P127" s="44">
        <v>73.804533722283949</v>
      </c>
      <c r="Q127" s="44">
        <v>66.501790269511616</v>
      </c>
      <c r="R127" s="44">
        <f t="shared" si="15"/>
        <v>345.42393606128661</v>
      </c>
    </row>
    <row r="128" spans="1:18" s="7" customFormat="1" x14ac:dyDescent="0.2">
      <c r="E128" s="39" t="s">
        <v>2309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f t="shared" si="15"/>
        <v>0</v>
      </c>
    </row>
    <row r="129" spans="1:18" s="7" customFormat="1" x14ac:dyDescent="0.2">
      <c r="E129" s="39" t="s">
        <v>2301</v>
      </c>
      <c r="G129" s="44">
        <v>23.060038724204549</v>
      </c>
      <c r="H129" s="44">
        <v>14.143579159710111</v>
      </c>
      <c r="I129" s="44">
        <v>9.3489835376569559</v>
      </c>
      <c r="J129" s="44">
        <v>8.6076247735821383</v>
      </c>
      <c r="K129" s="44">
        <v>13.597156943539447</v>
      </c>
      <c r="L129" s="44">
        <v>15.082025062420344</v>
      </c>
      <c r="M129" s="44">
        <v>24.621798210128141</v>
      </c>
      <c r="N129" s="44">
        <v>19.924064315743966</v>
      </c>
      <c r="O129" s="44">
        <v>23.188071313188388</v>
      </c>
      <c r="P129" s="44">
        <v>17.960593372162798</v>
      </c>
      <c r="Q129" s="44">
        <v>10.379514249872111</v>
      </c>
      <c r="R129" s="44">
        <f t="shared" si="15"/>
        <v>96.074041461095405</v>
      </c>
    </row>
    <row r="130" spans="1:18" s="7" customFormat="1" x14ac:dyDescent="0.2">
      <c r="E130" s="39" t="s">
        <v>2302</v>
      </c>
      <c r="G130" s="44">
        <v>0.54308084663139111</v>
      </c>
      <c r="H130" s="44">
        <v>3.5145906886700473</v>
      </c>
      <c r="I130" s="44">
        <v>2.5362336069472793</v>
      </c>
      <c r="J130" s="44">
        <v>1.6010184294528393</v>
      </c>
      <c r="K130" s="44">
        <v>6.1841923490436335</v>
      </c>
      <c r="L130" s="44">
        <v>6.4782805761464415</v>
      </c>
      <c r="M130" s="44">
        <v>6.284810978011155</v>
      </c>
      <c r="N130" s="44">
        <v>5.4437058157307137</v>
      </c>
      <c r="O130" s="44">
        <v>3.9744465568103533</v>
      </c>
      <c r="P130" s="44">
        <v>2.6771532308994344</v>
      </c>
      <c r="Q130" s="44">
        <v>2.692162968803002</v>
      </c>
      <c r="R130" s="44">
        <f t="shared" si="15"/>
        <v>21.072279550254656</v>
      </c>
    </row>
    <row r="131" spans="1:18" s="7" customFormat="1" x14ac:dyDescent="0.2">
      <c r="E131" s="39" t="s">
        <v>39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f t="shared" si="15"/>
        <v>0</v>
      </c>
    </row>
    <row r="132" spans="1:18" s="7" customFormat="1" x14ac:dyDescent="0.2">
      <c r="E132" s="39" t="s">
        <v>2404</v>
      </c>
      <c r="G132" s="44">
        <v>0</v>
      </c>
      <c r="H132" s="119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f t="shared" si="15"/>
        <v>0</v>
      </c>
    </row>
    <row r="133" spans="1:18" s="7" customFormat="1" x14ac:dyDescent="0.2">
      <c r="E133" s="39" t="s">
        <v>2315</v>
      </c>
      <c r="G133" s="44">
        <v>0</v>
      </c>
      <c r="H133" s="44">
        <v>27.157275851981669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f t="shared" si="15"/>
        <v>0</v>
      </c>
    </row>
    <row r="134" spans="1:18" s="7" customFormat="1" x14ac:dyDescent="0.2">
      <c r="E134" s="39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>
        <f t="shared" si="15"/>
        <v>0</v>
      </c>
    </row>
    <row r="135" spans="1:18" s="7" customFormat="1" x14ac:dyDescent="0.2">
      <c r="R135" s="44">
        <f t="shared" si="15"/>
        <v>0</v>
      </c>
    </row>
    <row r="136" spans="1:18" s="7" customFormat="1" x14ac:dyDescent="0.2">
      <c r="E136" s="9" t="s">
        <v>2209</v>
      </c>
      <c r="G136" s="61">
        <f>SUM(G125:G133)</f>
        <v>156.82910492835202</v>
      </c>
      <c r="H136" s="61">
        <f>SUM(H125:H133)</f>
        <v>130.05027845330821</v>
      </c>
      <c r="I136" s="61">
        <f t="shared" ref="I136:Q136" si="16">SUM(I125:I133)</f>
        <v>96.156364586297755</v>
      </c>
      <c r="J136" s="145">
        <f t="shared" si="16"/>
        <v>107.92871196111449</v>
      </c>
      <c r="K136" s="61">
        <f t="shared" si="16"/>
        <v>127.15875338178881</v>
      </c>
      <c r="L136" s="145">
        <f t="shared" si="16"/>
        <v>154.06104664852384</v>
      </c>
      <c r="M136" s="61">
        <f t="shared" si="16"/>
        <v>178.81627198052624</v>
      </c>
      <c r="N136" s="61">
        <f t="shared" si="16"/>
        <v>169.67031868645742</v>
      </c>
      <c r="O136" s="61">
        <f t="shared" si="16"/>
        <v>184.45768137204763</v>
      </c>
      <c r="P136" s="61">
        <f t="shared" si="16"/>
        <v>172.08343182764901</v>
      </c>
      <c r="Q136" s="61">
        <f t="shared" si="16"/>
        <v>144.18009377075063</v>
      </c>
      <c r="R136" s="61">
        <f t="shared" si="15"/>
        <v>849.20779763743087</v>
      </c>
    </row>
    <row r="137" spans="1:18" s="7" customFormat="1" x14ac:dyDescent="0.2">
      <c r="G137" s="65">
        <f>G120-G88-G136</f>
        <v>0</v>
      </c>
      <c r="H137" s="65">
        <f t="shared" ref="H137:Q137" si="17">H120-H88-H136</f>
        <v>0</v>
      </c>
      <c r="I137" s="65">
        <f t="shared" si="17"/>
        <v>0</v>
      </c>
      <c r="J137" s="65">
        <f t="shared" si="17"/>
        <v>0</v>
      </c>
      <c r="K137" s="65">
        <f t="shared" si="17"/>
        <v>0</v>
      </c>
      <c r="L137" s="65">
        <f t="shared" si="17"/>
        <v>0</v>
      </c>
      <c r="M137" s="65">
        <f t="shared" si="17"/>
        <v>0</v>
      </c>
      <c r="N137" s="65">
        <f t="shared" si="17"/>
        <v>0</v>
      </c>
      <c r="O137" s="65">
        <f t="shared" si="17"/>
        <v>0</v>
      </c>
      <c r="P137" s="65">
        <f t="shared" si="17"/>
        <v>0</v>
      </c>
      <c r="Q137" s="65">
        <f t="shared" si="17"/>
        <v>0</v>
      </c>
    </row>
    <row r="138" spans="1:18" s="7" customFormat="1" x14ac:dyDescent="0.2">
      <c r="H138" s="129"/>
    </row>
    <row r="139" spans="1:18" s="7" customFormat="1" x14ac:dyDescent="0.2"/>
    <row r="140" spans="1:18" s="7" customFormat="1" x14ac:dyDescent="0.2">
      <c r="A140" s="22" t="s">
        <v>9</v>
      </c>
      <c r="B140" s="22"/>
      <c r="C140" s="15"/>
      <c r="D140" s="24"/>
      <c r="E140" s="25"/>
      <c r="F140" s="25"/>
      <c r="G140" s="20"/>
      <c r="H140" s="20"/>
      <c r="I140" s="20"/>
      <c r="J140" s="20"/>
      <c r="K140" s="25"/>
      <c r="L140" s="25"/>
      <c r="M140" s="21"/>
      <c r="N140" s="21"/>
      <c r="O140" s="21"/>
      <c r="P140" s="21"/>
      <c r="Q140" s="21"/>
      <c r="R140" s="21"/>
    </row>
    <row r="141" spans="1:18" s="7" customFormat="1" x14ac:dyDescent="0.2"/>
    <row r="142" spans="1:18" s="7" customFormat="1" x14ac:dyDescent="0.2"/>
    <row r="143" spans="1:18" s="7" customFormat="1" hidden="1" x14ac:dyDescent="0.2"/>
    <row r="144" spans="1:18" s="7" customFormat="1" hidden="1" x14ac:dyDescent="0.2"/>
    <row r="145" s="7" customFormat="1" hidden="1" x14ac:dyDescent="0.2"/>
    <row r="146" s="7" customFormat="1" hidden="1" x14ac:dyDescent="0.2"/>
    <row r="147" s="7" customFormat="1" hidden="1" x14ac:dyDescent="0.2"/>
    <row r="148" s="7" customFormat="1" hidden="1" x14ac:dyDescent="0.2"/>
    <row r="149" s="7" customFormat="1" hidden="1" x14ac:dyDescent="0.2"/>
    <row r="150" s="7" customFormat="1" hidden="1" x14ac:dyDescent="0.2"/>
    <row r="151" s="7" customFormat="1" hidden="1" x14ac:dyDescent="0.2"/>
    <row r="152" s="7" customFormat="1" hidden="1" x14ac:dyDescent="0.2"/>
    <row r="153" s="7" customFormat="1" hidden="1" x14ac:dyDescent="0.2"/>
    <row r="154" s="7" customFormat="1" hidden="1" x14ac:dyDescent="0.2"/>
    <row r="155" s="7" customFormat="1" hidden="1" x14ac:dyDescent="0.2"/>
    <row r="156" s="7" customFormat="1" hidden="1" x14ac:dyDescent="0.2"/>
    <row r="157" s="7" customFormat="1" hidden="1" x14ac:dyDescent="0.2"/>
    <row r="158" s="7" customFormat="1" hidden="1" x14ac:dyDescent="0.2"/>
    <row r="159" s="7" customFormat="1" hidden="1" x14ac:dyDescent="0.2"/>
    <row r="160" s="7" customFormat="1" hidden="1" x14ac:dyDescent="0.2"/>
    <row r="161" s="7" customFormat="1" hidden="1" x14ac:dyDescent="0.2"/>
    <row r="162" s="7" customFormat="1" hidden="1" x14ac:dyDescent="0.2"/>
    <row r="163" s="7" customFormat="1" hidden="1" x14ac:dyDescent="0.2"/>
    <row r="164" s="7" customFormat="1" hidden="1" x14ac:dyDescent="0.2"/>
    <row r="165" s="7" customFormat="1" hidden="1" x14ac:dyDescent="0.2"/>
    <row r="166" s="7" customFormat="1" hidden="1" x14ac:dyDescent="0.2"/>
    <row r="167" s="7" customFormat="1" hidden="1" x14ac:dyDescent="0.2"/>
    <row r="168" s="7" customFormat="1" hidden="1" x14ac:dyDescent="0.2"/>
    <row r="169" s="7" customFormat="1" hidden="1" x14ac:dyDescent="0.2"/>
    <row r="170" s="7" customFormat="1" hidden="1" x14ac:dyDescent="0.2"/>
    <row r="171" s="7" customFormat="1" hidden="1" x14ac:dyDescent="0.2"/>
    <row r="172" s="7" customFormat="1" hidden="1" x14ac:dyDescent="0.2"/>
    <row r="173" s="7" customFormat="1" hidden="1" x14ac:dyDescent="0.2"/>
    <row r="174" s="7" customFormat="1" hidden="1" x14ac:dyDescent="0.2"/>
    <row r="175" s="7" customFormat="1" hidden="1" x14ac:dyDescent="0.2"/>
    <row r="176" s="7" customFormat="1" hidden="1" x14ac:dyDescent="0.2"/>
    <row r="177" s="7" customFormat="1" hidden="1" x14ac:dyDescent="0.2"/>
    <row r="178" s="7" customFormat="1" hidden="1" x14ac:dyDescent="0.2"/>
    <row r="179" s="7" customFormat="1" hidden="1" x14ac:dyDescent="0.2"/>
    <row r="180" s="7" customFormat="1" hidden="1" x14ac:dyDescent="0.2"/>
    <row r="181" s="7" customFormat="1" hidden="1" x14ac:dyDescent="0.2"/>
    <row r="182" s="7" customFormat="1" hidden="1" x14ac:dyDescent="0.2"/>
    <row r="183" s="7" customFormat="1" hidden="1" x14ac:dyDescent="0.2"/>
    <row r="184" s="7" customFormat="1" hidden="1" x14ac:dyDescent="0.2"/>
    <row r="185" s="7" customFormat="1" hidden="1" x14ac:dyDescent="0.2"/>
    <row r="186" s="7" customFormat="1" hidden="1" x14ac:dyDescent="0.2"/>
    <row r="187" s="7" customFormat="1" hidden="1" x14ac:dyDescent="0.2"/>
    <row r="188" s="7" customFormat="1" hidden="1" x14ac:dyDescent="0.2"/>
    <row r="189" s="7" customFormat="1" hidden="1" x14ac:dyDescent="0.2"/>
    <row r="190" s="7" customFormat="1" hidden="1" x14ac:dyDescent="0.2"/>
    <row r="191" s="7" customFormat="1" hidden="1" x14ac:dyDescent="0.2"/>
    <row r="192" s="7" customFormat="1" hidden="1" x14ac:dyDescent="0.2"/>
    <row r="193" s="7" customFormat="1" hidden="1" x14ac:dyDescent="0.2"/>
    <row r="194" s="7" customFormat="1" hidden="1" x14ac:dyDescent="0.2"/>
    <row r="195" s="7" customFormat="1" hidden="1" x14ac:dyDescent="0.2"/>
    <row r="196" s="7" customFormat="1" hidden="1" x14ac:dyDescent="0.2"/>
    <row r="197" s="7" customFormat="1" hidden="1" x14ac:dyDescent="0.2"/>
    <row r="198" s="7" customFormat="1" hidden="1" x14ac:dyDescent="0.2"/>
    <row r="199" s="7" customFormat="1" hidden="1" x14ac:dyDescent="0.2"/>
    <row r="200" s="7" customFormat="1" hidden="1" x14ac:dyDescent="0.2"/>
    <row r="201" s="7" customFormat="1" hidden="1" x14ac:dyDescent="0.2"/>
    <row r="202" s="7" customFormat="1" hidden="1" x14ac:dyDescent="0.2"/>
    <row r="203" s="7" customFormat="1" hidden="1" x14ac:dyDescent="0.2"/>
    <row r="204" s="7" customFormat="1" hidden="1" x14ac:dyDescent="0.2"/>
    <row r="205" s="7" customFormat="1" hidden="1" x14ac:dyDescent="0.2"/>
    <row r="206" s="7" customFormat="1" hidden="1" x14ac:dyDescent="0.2"/>
    <row r="207" s="7" customFormat="1" hidden="1" x14ac:dyDescent="0.2"/>
    <row r="208" s="7" customFormat="1" hidden="1" x14ac:dyDescent="0.2"/>
    <row r="209" s="7" customFormat="1" hidden="1" x14ac:dyDescent="0.2"/>
    <row r="210" s="7" customFormat="1" hidden="1" x14ac:dyDescent="0.2"/>
    <row r="211" s="7" customFormat="1" hidden="1" x14ac:dyDescent="0.2"/>
    <row r="212" s="7" customFormat="1" hidden="1" x14ac:dyDescent="0.2"/>
    <row r="213" s="7" customFormat="1" hidden="1" x14ac:dyDescent="0.2"/>
    <row r="214" s="7" customFormat="1" hidden="1" x14ac:dyDescent="0.2"/>
    <row r="215" s="7" customFormat="1" hidden="1" x14ac:dyDescent="0.2"/>
    <row r="216" s="7" customFormat="1" hidden="1" x14ac:dyDescent="0.2"/>
    <row r="217" s="7" customFormat="1" hidden="1" x14ac:dyDescent="0.2"/>
    <row r="218" s="7" customFormat="1" hidden="1" x14ac:dyDescent="0.2"/>
    <row r="219" s="7" customFormat="1" hidden="1" x14ac:dyDescent="0.2"/>
    <row r="220" s="7" customFormat="1" hidden="1" x14ac:dyDescent="0.2"/>
    <row r="221" s="7" customFormat="1" hidden="1" x14ac:dyDescent="0.2"/>
    <row r="222" s="7" customFormat="1" hidden="1" x14ac:dyDescent="0.2"/>
    <row r="223" s="7" customFormat="1" hidden="1" x14ac:dyDescent="0.2"/>
    <row r="224" s="7" customFormat="1" hidden="1" x14ac:dyDescent="0.2"/>
    <row r="225" s="7" customFormat="1" hidden="1" x14ac:dyDescent="0.2"/>
    <row r="226" s="7" customFormat="1" hidden="1" x14ac:dyDescent="0.2"/>
    <row r="227" s="7" customFormat="1" hidden="1" x14ac:dyDescent="0.2"/>
    <row r="228" s="7" customFormat="1" hidden="1" x14ac:dyDescent="0.2"/>
    <row r="229" s="7" customFormat="1" hidden="1" x14ac:dyDescent="0.2"/>
    <row r="230" s="7" customFormat="1" hidden="1" x14ac:dyDescent="0.2"/>
    <row r="231" s="7" customFormat="1" hidden="1" x14ac:dyDescent="0.2"/>
    <row r="232" s="7" customFormat="1" hidden="1" x14ac:dyDescent="0.2"/>
    <row r="233" s="7" customFormat="1" hidden="1" x14ac:dyDescent="0.2"/>
    <row r="234" s="7" customFormat="1" hidden="1" x14ac:dyDescent="0.2"/>
    <row r="235" s="7" customFormat="1" hidden="1" x14ac:dyDescent="0.2"/>
    <row r="236" s="7" customFormat="1" hidden="1" x14ac:dyDescent="0.2"/>
    <row r="237" s="7" customFormat="1" hidden="1" x14ac:dyDescent="0.2"/>
    <row r="238" s="7" customFormat="1" hidden="1" x14ac:dyDescent="0.2"/>
    <row r="239" s="7" customFormat="1" hidden="1" x14ac:dyDescent="0.2"/>
    <row r="240" s="7" customFormat="1" hidden="1" x14ac:dyDescent="0.2"/>
    <row r="241" s="7" customFormat="1" hidden="1" x14ac:dyDescent="0.2"/>
    <row r="242" s="7" customFormat="1" hidden="1" x14ac:dyDescent="0.2"/>
    <row r="243" s="7" customFormat="1" hidden="1" x14ac:dyDescent="0.2"/>
    <row r="244" s="7" customFormat="1" hidden="1" x14ac:dyDescent="0.2"/>
    <row r="245" s="7" customFormat="1" hidden="1" x14ac:dyDescent="0.2"/>
    <row r="246" s="7" customFormat="1" hidden="1" x14ac:dyDescent="0.2"/>
    <row r="247" s="7" customFormat="1" hidden="1" x14ac:dyDescent="0.2"/>
    <row r="248" s="7" customFormat="1" hidden="1" x14ac:dyDescent="0.2"/>
    <row r="249" s="7" customFormat="1" hidden="1" x14ac:dyDescent="0.2"/>
    <row r="250" s="7" customFormat="1" hidden="1" x14ac:dyDescent="0.2"/>
    <row r="251" s="7" customFormat="1" hidden="1" x14ac:dyDescent="0.2"/>
    <row r="252" s="7" customFormat="1" hidden="1" x14ac:dyDescent="0.2"/>
    <row r="253" s="7" customFormat="1" hidden="1" x14ac:dyDescent="0.2"/>
    <row r="254" s="7" customFormat="1" hidden="1" x14ac:dyDescent="0.2"/>
    <row r="255" s="7" customFormat="1" hidden="1" x14ac:dyDescent="0.2"/>
    <row r="256" s="7" customFormat="1" hidden="1" x14ac:dyDescent="0.2"/>
    <row r="257" s="7" customFormat="1" hidden="1" x14ac:dyDescent="0.2"/>
    <row r="258" s="7" customFormat="1" hidden="1" x14ac:dyDescent="0.2"/>
    <row r="259" s="7" customFormat="1" hidden="1" x14ac:dyDescent="0.2"/>
    <row r="260" s="7" customFormat="1" hidden="1" x14ac:dyDescent="0.2"/>
    <row r="261" s="7" customFormat="1" hidden="1" x14ac:dyDescent="0.2"/>
    <row r="262" s="7" customFormat="1" hidden="1" x14ac:dyDescent="0.2"/>
    <row r="263" s="7" customFormat="1" hidden="1" x14ac:dyDescent="0.2"/>
    <row r="264" s="7" customFormat="1" hidden="1" x14ac:dyDescent="0.2"/>
    <row r="265" s="7" customFormat="1" hidden="1" x14ac:dyDescent="0.2"/>
    <row r="266" s="7" customFormat="1" hidden="1" x14ac:dyDescent="0.2"/>
    <row r="267" s="7" customFormat="1" hidden="1" x14ac:dyDescent="0.2"/>
    <row r="268" s="7" customFormat="1" hidden="1" x14ac:dyDescent="0.2"/>
    <row r="269" s="7" customFormat="1" hidden="1" x14ac:dyDescent="0.2"/>
    <row r="270" s="7" customFormat="1" hidden="1" x14ac:dyDescent="0.2"/>
    <row r="271" s="7" customFormat="1" hidden="1" x14ac:dyDescent="0.2"/>
    <row r="272" s="7" customFormat="1" hidden="1" x14ac:dyDescent="0.2"/>
    <row r="273" s="7" customFormat="1" hidden="1" x14ac:dyDescent="0.2"/>
    <row r="274" s="7" customFormat="1" hidden="1" x14ac:dyDescent="0.2"/>
    <row r="275" s="7" customFormat="1" hidden="1" x14ac:dyDescent="0.2"/>
    <row r="276" s="7" customFormat="1" hidden="1" x14ac:dyDescent="0.2"/>
    <row r="277" s="7" customFormat="1" hidden="1" x14ac:dyDescent="0.2"/>
    <row r="278" s="7" customFormat="1" hidden="1" x14ac:dyDescent="0.2"/>
    <row r="279" s="7" customFormat="1" hidden="1" x14ac:dyDescent="0.2"/>
    <row r="280" s="7" customFormat="1" hidden="1" x14ac:dyDescent="0.2"/>
    <row r="281" s="7" customFormat="1" hidden="1" x14ac:dyDescent="0.2"/>
    <row r="282" s="7" customFormat="1" hidden="1" x14ac:dyDescent="0.2"/>
    <row r="283" s="7" customFormat="1" hidden="1" x14ac:dyDescent="0.2"/>
    <row r="284" s="7" customFormat="1" hidden="1" x14ac:dyDescent="0.2"/>
    <row r="285" s="7" customFormat="1" hidden="1" x14ac:dyDescent="0.2"/>
    <row r="286" s="7" customFormat="1" hidden="1" x14ac:dyDescent="0.2"/>
    <row r="287" s="7" customFormat="1" hidden="1" x14ac:dyDescent="0.2"/>
    <row r="288" s="7" customFormat="1" hidden="1" x14ac:dyDescent="0.2"/>
    <row r="289" s="7" customFormat="1" hidden="1" x14ac:dyDescent="0.2"/>
    <row r="290" s="7" customFormat="1" hidden="1" x14ac:dyDescent="0.2"/>
    <row r="291" s="7" customFormat="1" hidden="1" x14ac:dyDescent="0.2"/>
    <row r="292" s="7" customFormat="1" hidden="1" x14ac:dyDescent="0.2"/>
    <row r="293" s="7" customFormat="1" hidden="1" x14ac:dyDescent="0.2"/>
    <row r="294" s="7" customFormat="1" hidden="1" x14ac:dyDescent="0.2"/>
    <row r="295" s="7" customFormat="1" hidden="1" x14ac:dyDescent="0.2"/>
    <row r="296" s="7" customFormat="1" hidden="1" x14ac:dyDescent="0.2"/>
    <row r="297" s="7" customFormat="1" hidden="1" x14ac:dyDescent="0.2"/>
    <row r="298" s="7" customFormat="1" hidden="1" x14ac:dyDescent="0.2"/>
    <row r="299" s="7" customFormat="1" hidden="1" x14ac:dyDescent="0.2"/>
    <row r="300" s="7" customFormat="1" hidden="1" x14ac:dyDescent="0.2"/>
    <row r="301" s="7" customFormat="1" hidden="1" x14ac:dyDescent="0.2"/>
    <row r="302" s="7" customFormat="1" hidden="1" x14ac:dyDescent="0.2"/>
    <row r="303" s="7" customFormat="1" hidden="1" x14ac:dyDescent="0.2"/>
    <row r="304" s="7" customFormat="1" hidden="1" x14ac:dyDescent="0.2"/>
    <row r="305" s="7" customFormat="1" hidden="1" x14ac:dyDescent="0.2"/>
    <row r="306" s="7" customFormat="1" hidden="1" x14ac:dyDescent="0.2"/>
    <row r="307" s="7" customFormat="1" hidden="1" x14ac:dyDescent="0.2"/>
    <row r="308" s="7" customFormat="1" hidden="1" x14ac:dyDescent="0.2"/>
    <row r="309" s="7" customFormat="1" hidden="1" x14ac:dyDescent="0.2"/>
    <row r="310" s="7" customFormat="1" hidden="1" x14ac:dyDescent="0.2"/>
    <row r="311" s="7" customFormat="1" hidden="1" x14ac:dyDescent="0.2"/>
    <row r="312" s="7" customFormat="1" hidden="1" x14ac:dyDescent="0.2"/>
    <row r="313" s="7" customFormat="1" hidden="1" x14ac:dyDescent="0.2"/>
    <row r="314" s="7" customFormat="1" hidden="1" x14ac:dyDescent="0.2"/>
    <row r="315" s="7" customFormat="1" hidden="1" x14ac:dyDescent="0.2"/>
    <row r="316" s="7" customFormat="1" hidden="1" x14ac:dyDescent="0.2"/>
    <row r="317" s="7" customFormat="1" hidden="1" x14ac:dyDescent="0.2"/>
    <row r="318" s="7" customFormat="1" hidden="1" x14ac:dyDescent="0.2"/>
    <row r="319" s="7" customFormat="1" hidden="1" x14ac:dyDescent="0.2"/>
    <row r="320" s="7" customFormat="1" hidden="1" x14ac:dyDescent="0.2"/>
    <row r="321" s="7" customFormat="1" hidden="1" x14ac:dyDescent="0.2"/>
    <row r="322" s="7" customFormat="1" hidden="1" x14ac:dyDescent="0.2"/>
    <row r="323" s="7" customFormat="1" hidden="1" x14ac:dyDescent="0.2"/>
    <row r="324" s="7" customFormat="1" hidden="1" x14ac:dyDescent="0.2"/>
    <row r="325" s="7" customFormat="1" hidden="1" x14ac:dyDescent="0.2"/>
    <row r="326" s="7" customFormat="1" hidden="1" x14ac:dyDescent="0.2"/>
    <row r="327" s="7" customFormat="1" hidden="1" x14ac:dyDescent="0.2"/>
    <row r="328" s="7" customFormat="1" hidden="1" x14ac:dyDescent="0.2"/>
    <row r="329" s="7" customFormat="1" hidden="1" x14ac:dyDescent="0.2"/>
    <row r="330" s="7" customFormat="1" hidden="1" x14ac:dyDescent="0.2"/>
    <row r="331" s="7" customFormat="1" hidden="1" x14ac:dyDescent="0.2"/>
    <row r="332" s="7" customFormat="1" hidden="1" x14ac:dyDescent="0.2"/>
    <row r="333" s="7" customFormat="1" hidden="1" x14ac:dyDescent="0.2"/>
    <row r="334" s="7" customFormat="1" hidden="1" x14ac:dyDescent="0.2"/>
    <row r="335" s="7" customFormat="1" hidden="1" x14ac:dyDescent="0.2"/>
    <row r="336" s="7" customFormat="1" hidden="1" x14ac:dyDescent="0.2"/>
    <row r="337" s="7" customFormat="1" hidden="1" x14ac:dyDescent="0.2"/>
    <row r="338" s="7" customFormat="1" hidden="1" x14ac:dyDescent="0.2"/>
    <row r="339" s="7" customFormat="1" hidden="1" x14ac:dyDescent="0.2"/>
    <row r="340" s="7" customFormat="1" hidden="1" x14ac:dyDescent="0.2"/>
    <row r="341" s="7" customFormat="1" hidden="1" x14ac:dyDescent="0.2"/>
    <row r="342" s="7" customFormat="1" hidden="1" x14ac:dyDescent="0.2"/>
    <row r="343" s="7" customFormat="1" hidden="1" x14ac:dyDescent="0.2"/>
    <row r="344" s="7" customFormat="1" hidden="1" x14ac:dyDescent="0.2"/>
    <row r="345" s="7" customFormat="1" hidden="1" x14ac:dyDescent="0.2"/>
    <row r="346" s="7" customFormat="1" hidden="1" x14ac:dyDescent="0.2"/>
    <row r="347" s="7" customFormat="1" hidden="1" x14ac:dyDescent="0.2"/>
    <row r="348" s="7" customFormat="1" hidden="1" x14ac:dyDescent="0.2"/>
    <row r="349" s="7" customFormat="1" hidden="1" x14ac:dyDescent="0.2"/>
    <row r="350" s="7" customFormat="1" hidden="1" x14ac:dyDescent="0.2"/>
    <row r="351" s="7" customFormat="1" hidden="1" x14ac:dyDescent="0.2"/>
    <row r="352" s="7" customFormat="1" hidden="1" x14ac:dyDescent="0.2"/>
    <row r="353" s="7" customFormat="1" hidden="1" x14ac:dyDescent="0.2"/>
    <row r="354" s="7" customFormat="1" hidden="1" x14ac:dyDescent="0.2"/>
    <row r="355" s="7" customFormat="1" hidden="1" x14ac:dyDescent="0.2"/>
    <row r="356" s="7" customFormat="1" hidden="1" x14ac:dyDescent="0.2"/>
    <row r="357" s="7" customFormat="1" hidden="1" x14ac:dyDescent="0.2"/>
    <row r="358" s="7" customFormat="1" hidden="1" x14ac:dyDescent="0.2"/>
    <row r="359" s="7" customFormat="1" hidden="1" x14ac:dyDescent="0.2"/>
    <row r="360" s="7" customFormat="1" hidden="1" x14ac:dyDescent="0.2"/>
    <row r="361" s="7" customFormat="1" hidden="1" x14ac:dyDescent="0.2"/>
    <row r="362" s="7" customFormat="1" hidden="1" x14ac:dyDescent="0.2"/>
    <row r="363" s="7" customFormat="1" hidden="1" x14ac:dyDescent="0.2"/>
    <row r="364" s="7" customFormat="1" hidden="1" x14ac:dyDescent="0.2"/>
    <row r="365" s="7" customFormat="1" hidden="1" x14ac:dyDescent="0.2"/>
    <row r="366" s="7" customFormat="1" hidden="1" x14ac:dyDescent="0.2"/>
    <row r="367" s="7" customFormat="1" hidden="1" x14ac:dyDescent="0.2"/>
    <row r="368" s="7" customFormat="1" hidden="1" x14ac:dyDescent="0.2"/>
    <row r="369" s="7" customFormat="1" hidden="1" x14ac:dyDescent="0.2"/>
    <row r="370" s="7" customFormat="1" hidden="1" x14ac:dyDescent="0.2"/>
    <row r="371" s="7" customFormat="1" hidden="1" x14ac:dyDescent="0.2"/>
    <row r="372" s="7" customFormat="1" hidden="1" x14ac:dyDescent="0.2"/>
    <row r="373" s="7" customFormat="1" hidden="1" x14ac:dyDescent="0.2"/>
    <row r="374" s="7" customFormat="1" hidden="1" x14ac:dyDescent="0.2"/>
    <row r="375" s="7" customFormat="1" hidden="1" x14ac:dyDescent="0.2"/>
    <row r="376" s="7" customFormat="1" hidden="1" x14ac:dyDescent="0.2"/>
    <row r="377" s="7" customFormat="1" hidden="1" x14ac:dyDescent="0.2"/>
    <row r="378" s="7" customFormat="1" hidden="1" x14ac:dyDescent="0.2"/>
    <row r="379" s="7" customFormat="1" hidden="1" x14ac:dyDescent="0.2"/>
    <row r="380" s="7" customFormat="1" hidden="1" x14ac:dyDescent="0.2"/>
    <row r="381" s="7" customFormat="1" hidden="1" x14ac:dyDescent="0.2"/>
    <row r="382" s="7" customFormat="1" hidden="1" x14ac:dyDescent="0.2"/>
    <row r="383" s="7" customFormat="1" hidden="1" x14ac:dyDescent="0.2"/>
    <row r="384" s="7" customFormat="1" hidden="1" x14ac:dyDescent="0.2"/>
    <row r="385" spans="1:18" s="7" customFormat="1" hidden="1" x14ac:dyDescent="0.2"/>
    <row r="386" spans="1:18" s="7" customFormat="1" hidden="1" x14ac:dyDescent="0.2"/>
    <row r="387" spans="1:18" s="7" customFormat="1" hidden="1" x14ac:dyDescent="0.2"/>
    <row r="388" spans="1:18" s="7" customFormat="1" hidden="1" x14ac:dyDescent="0.2"/>
    <row r="389" spans="1:18" s="7" customFormat="1" hidden="1" x14ac:dyDescent="0.2"/>
    <row r="390" spans="1:18" hidden="1" x14ac:dyDescent="0.2">
      <c r="A390" s="22"/>
      <c r="B390" s="22"/>
      <c r="C390" s="15"/>
      <c r="D390" s="24"/>
      <c r="E390" s="25"/>
      <c r="F390" s="25"/>
      <c r="G390" s="26"/>
      <c r="H390" s="26"/>
      <c r="I390" s="20"/>
      <c r="J390" s="20"/>
      <c r="K390" s="25"/>
      <c r="L390" s="25"/>
      <c r="M390" s="21"/>
      <c r="N390" s="21"/>
      <c r="O390" s="21"/>
      <c r="P390" s="21"/>
      <c r="Q390" s="21"/>
      <c r="R390" s="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14999847407452621"/>
  </sheetPr>
  <dimension ref="A1:Y195"/>
  <sheetViews>
    <sheetView topLeftCell="A79" zoomScale="85" zoomScaleNormal="85" workbookViewId="0">
      <selection activeCell="R32" sqref="R32"/>
    </sheetView>
  </sheetViews>
  <sheetFormatPr defaultColWidth="0" defaultRowHeight="12.75" zeroHeight="1" x14ac:dyDescent="0.2"/>
  <cols>
    <col min="1" max="1" width="2.5" style="40" customWidth="1"/>
    <col min="2" max="4" width="2.375" style="40" customWidth="1"/>
    <col min="5" max="5" width="31" style="40" bestFit="1" customWidth="1"/>
    <col min="6" max="6" width="16.625" style="40" bestFit="1" customWidth="1"/>
    <col min="7" max="23" width="10.375" style="40" customWidth="1"/>
    <col min="24" max="25" width="10.375" style="40" hidden="1" customWidth="1"/>
    <col min="26" max="16384" width="9" style="40" hidden="1"/>
  </cols>
  <sheetData>
    <row r="1" spans="1:25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">
      <c r="A2" s="22" t="str">
        <f ca="1" xml:space="preserve"> "Sheet: " &amp; RIGHT(CELL("filename", $A$1), LEN(CELL("filename", $A$1)) - SEARCH("]", CELL("filename", $A$1)))</f>
        <v>Sheet: Inflation</v>
      </c>
      <c r="B2" s="22"/>
      <c r="C2" s="15"/>
      <c r="D2" s="16"/>
      <c r="E2" s="17"/>
      <c r="F2" s="17"/>
      <c r="G2" s="17"/>
      <c r="H2" s="2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x14ac:dyDescent="0.2">
      <c r="A7" s="22" t="s">
        <v>2336</v>
      </c>
      <c r="B7" s="22"/>
      <c r="C7" s="15"/>
      <c r="D7" s="24"/>
      <c r="E7" s="25"/>
      <c r="F7" s="25"/>
      <c r="G7" s="25"/>
      <c r="H7" s="26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s="62" customFormat="1" x14ac:dyDescent="0.2">
      <c r="A9" s="73" t="s">
        <v>2349</v>
      </c>
      <c r="D9" s="73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</row>
    <row r="10" spans="1:25" x14ac:dyDescent="0.2">
      <c r="A10" s="39"/>
      <c r="B10" s="39"/>
      <c r="C10" s="39"/>
      <c r="D10" s="39"/>
      <c r="E10" s="39"/>
      <c r="F10" s="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 x14ac:dyDescent="0.2">
      <c r="A11" s="39"/>
      <c r="B11" s="39"/>
      <c r="C11" s="39"/>
      <c r="D11" s="79" t="s">
        <v>2336</v>
      </c>
      <c r="E11" s="79"/>
      <c r="F11" s="79"/>
      <c r="G11" s="79"/>
      <c r="H11" s="79"/>
      <c r="I11" s="79"/>
      <c r="J11" s="79"/>
      <c r="K11" s="79"/>
      <c r="L11" s="150">
        <v>2015</v>
      </c>
      <c r="M11" s="150">
        <v>2016</v>
      </c>
      <c r="N11" s="150">
        <v>2017</v>
      </c>
      <c r="O11" s="150">
        <v>2018</v>
      </c>
      <c r="P11" s="150">
        <v>2019</v>
      </c>
      <c r="Q11" s="150">
        <v>2020</v>
      </c>
      <c r="R11" s="150" t="s">
        <v>2432</v>
      </c>
      <c r="S11" s="150" t="s">
        <v>2433</v>
      </c>
      <c r="T11" s="150" t="s">
        <v>2434</v>
      </c>
      <c r="U11" s="150" t="s">
        <v>2435</v>
      </c>
      <c r="V11" s="150" t="s">
        <v>2436</v>
      </c>
      <c r="W11" s="39"/>
      <c r="X11" s="39"/>
      <c r="Y11" s="39"/>
    </row>
    <row r="12" spans="1:25" x14ac:dyDescent="0.2">
      <c r="A12" s="39"/>
      <c r="B12" s="39"/>
      <c r="C12" s="39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39"/>
      <c r="X12" s="39"/>
      <c r="Y12" s="39"/>
    </row>
    <row r="13" spans="1:25" x14ac:dyDescent="0.2">
      <c r="A13" s="39"/>
      <c r="B13" s="39"/>
      <c r="C13" s="39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39"/>
      <c r="X13" s="39"/>
      <c r="Y13" s="39"/>
    </row>
    <row r="14" spans="1:25" x14ac:dyDescent="0.2">
      <c r="A14" s="39"/>
      <c r="B14" s="39"/>
      <c r="C14" s="39"/>
      <c r="D14" s="68"/>
      <c r="E14" s="39" t="s">
        <v>2441</v>
      </c>
      <c r="F14" s="39"/>
      <c r="G14" s="39"/>
      <c r="H14" s="39"/>
      <c r="I14" s="39"/>
      <c r="J14" s="39"/>
      <c r="K14" s="78">
        <v>3.0155642023346418E-2</v>
      </c>
      <c r="L14" s="78">
        <v>1.5108593012275628E-2</v>
      </c>
      <c r="M14" s="78">
        <v>1.0232558139534831E-2</v>
      </c>
      <c r="N14" s="78">
        <v>1.9337016574585641E-2</v>
      </c>
      <c r="O14" s="78">
        <v>2.0776874435411097E-2</v>
      </c>
      <c r="P14" s="78">
        <v>1.5929203539823078E-2</v>
      </c>
      <c r="Q14" s="78">
        <v>2.000000000000024E-2</v>
      </c>
      <c r="R14" s="78">
        <v>2.1998043050963867E-2</v>
      </c>
      <c r="S14" s="78">
        <v>2.4E-2</v>
      </c>
      <c r="T14" s="78">
        <v>2.4E-2</v>
      </c>
      <c r="U14" s="78">
        <v>2.4E-2</v>
      </c>
      <c r="V14" s="78">
        <v>2.4E-2</v>
      </c>
      <c r="W14" s="39"/>
      <c r="X14" s="39"/>
      <c r="Y14" s="39"/>
    </row>
    <row r="15" spans="1:25" x14ac:dyDescent="0.2">
      <c r="A15" s="39"/>
      <c r="B15" s="39"/>
      <c r="C15" s="39"/>
      <c r="D15" s="68"/>
      <c r="E15" s="39" t="s">
        <v>2342</v>
      </c>
      <c r="F15" s="39"/>
      <c r="G15" s="76">
        <v>2015</v>
      </c>
      <c r="H15" s="39"/>
      <c r="I15" s="39"/>
      <c r="J15" s="39"/>
      <c r="K15" s="39"/>
      <c r="L15" s="77">
        <f>IF(L$11=$G15,1,K15*(1+L14))</f>
        <v>1</v>
      </c>
      <c r="M15" s="77">
        <f t="shared" ref="M15:V15" si="0">IF(M$11=$G15,1,L15*(1+M14))</f>
        <v>1.0102325581395348</v>
      </c>
      <c r="N15" s="77">
        <f t="shared" si="0"/>
        <v>1.029767441860465</v>
      </c>
      <c r="O15" s="77">
        <f t="shared" si="0"/>
        <v>1.0511627906976744</v>
      </c>
      <c r="P15" s="77">
        <f t="shared" si="0"/>
        <v>1.067906976744186</v>
      </c>
      <c r="Q15" s="77">
        <f t="shared" si="0"/>
        <v>1.0892651162790701</v>
      </c>
      <c r="R15" s="77">
        <f t="shared" si="0"/>
        <v>1.1132268172008901</v>
      </c>
      <c r="S15" s="77">
        <f t="shared" si="0"/>
        <v>1.1399442608137116</v>
      </c>
      <c r="T15" s="77">
        <f t="shared" si="0"/>
        <v>1.1673029230732408</v>
      </c>
      <c r="U15" s="77">
        <f t="shared" si="0"/>
        <v>1.1953181932269985</v>
      </c>
      <c r="V15" s="77">
        <f t="shared" si="0"/>
        <v>1.2240058298644465</v>
      </c>
      <c r="W15" s="39"/>
      <c r="X15" s="39"/>
      <c r="Y15" s="39"/>
    </row>
    <row r="16" spans="1:25" x14ac:dyDescent="0.2">
      <c r="A16" s="39"/>
      <c r="B16" s="39"/>
      <c r="C16" s="39"/>
      <c r="D16" s="39"/>
      <c r="E16" s="39" t="s">
        <v>2343</v>
      </c>
      <c r="F16" s="39"/>
      <c r="G16" s="76" t="s">
        <v>2344</v>
      </c>
      <c r="H16" s="39"/>
      <c r="I16" s="39"/>
      <c r="J16" s="39"/>
      <c r="K16" s="39"/>
      <c r="L16" s="140">
        <f>1/L15</f>
        <v>1</v>
      </c>
      <c r="M16" s="77">
        <f t="shared" ref="M16:V16" si="1">1/M15</f>
        <v>0.98987108655616951</v>
      </c>
      <c r="N16" s="77">
        <f t="shared" si="1"/>
        <v>0.97109304426377607</v>
      </c>
      <c r="O16" s="77">
        <f t="shared" si="1"/>
        <v>0.95132743362831862</v>
      </c>
      <c r="P16" s="77">
        <f t="shared" si="1"/>
        <v>0.93641114982578399</v>
      </c>
      <c r="Q16" s="77">
        <f t="shared" si="1"/>
        <v>0.91805014688802322</v>
      </c>
      <c r="R16" s="77">
        <f t="shared" si="1"/>
        <v>0.89828953502432785</v>
      </c>
      <c r="S16" s="77">
        <f t="shared" si="1"/>
        <v>0.87723587404719505</v>
      </c>
      <c r="T16" s="77">
        <f t="shared" si="1"/>
        <v>0.85667565824921388</v>
      </c>
      <c r="U16" s="77">
        <f t="shared" si="1"/>
        <v>0.83659732250899799</v>
      </c>
      <c r="V16" s="77">
        <f t="shared" si="1"/>
        <v>0.81698957276269324</v>
      </c>
      <c r="W16" s="39"/>
      <c r="X16" s="39"/>
      <c r="Y16" s="39"/>
    </row>
    <row r="17" spans="1:25" x14ac:dyDescent="0.2">
      <c r="A17" s="39"/>
      <c r="B17" s="39"/>
      <c r="C17" s="39"/>
      <c r="D17" s="39"/>
      <c r="E17" s="9" t="s">
        <v>2345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 x14ac:dyDescent="0.2">
      <c r="A18" s="39"/>
      <c r="B18" s="39"/>
      <c r="C18" s="39"/>
      <c r="D18" s="68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x14ac:dyDescent="0.2">
      <c r="A19" s="39"/>
      <c r="B19" s="39"/>
      <c r="C19" s="39"/>
      <c r="D19" s="68"/>
      <c r="E19" s="39" t="s">
        <v>2346</v>
      </c>
      <c r="F19" s="39"/>
      <c r="G19" s="76">
        <v>2018</v>
      </c>
      <c r="H19" s="39"/>
      <c r="I19" s="39"/>
      <c r="J19" s="39"/>
      <c r="K19" s="39"/>
      <c r="L19" s="77">
        <f>IF(L$11=VALUE(LEFT($G19,4)),1,L$15/INDEX($L$15:$V$15, MATCH(VALUE(LEFT($G19,4)), $L$11:$V$11,0)))</f>
        <v>0.95132743362831862</v>
      </c>
      <c r="M19" s="77">
        <f t="shared" ref="M19:V19" si="2">IF(M$11=VALUE(LEFT($G19,4)),1,M$15/INDEX($L$15:$V$15, MATCH(VALUE(LEFT($G19,4)), $L$11:$V$11,0)))</f>
        <v>0.9610619469026549</v>
      </c>
      <c r="N19" s="77">
        <f t="shared" si="2"/>
        <v>0.97964601769911497</v>
      </c>
      <c r="O19" s="77">
        <f t="shared" si="2"/>
        <v>1</v>
      </c>
      <c r="P19" s="77">
        <f t="shared" si="2"/>
        <v>1.0159292035398231</v>
      </c>
      <c r="Q19" s="77">
        <f t="shared" si="2"/>
        <v>1.0362477876106198</v>
      </c>
      <c r="R19" s="77">
        <f t="shared" si="2"/>
        <v>1.0590432110539443</v>
      </c>
      <c r="S19" s="77">
        <f t="shared" si="2"/>
        <v>1.0844602481192389</v>
      </c>
      <c r="T19" s="77">
        <f t="shared" si="2"/>
        <v>1.1104872940741009</v>
      </c>
      <c r="U19" s="77">
        <f t="shared" si="2"/>
        <v>1.1371389891318791</v>
      </c>
      <c r="V19" s="77">
        <f t="shared" si="2"/>
        <v>1.1644303248710444</v>
      </c>
      <c r="W19" s="39"/>
      <c r="X19" s="39"/>
      <c r="Y19" s="39"/>
    </row>
    <row r="20" spans="1:25" x14ac:dyDescent="0.2">
      <c r="A20" s="39"/>
      <c r="B20" s="39"/>
      <c r="C20" s="39"/>
      <c r="D20" s="68"/>
      <c r="E20" s="39" t="s">
        <v>2347</v>
      </c>
      <c r="F20" s="39"/>
      <c r="G20" s="76" t="s">
        <v>2348</v>
      </c>
      <c r="H20" s="39"/>
      <c r="I20" s="39"/>
      <c r="J20" s="39"/>
      <c r="K20" s="39"/>
      <c r="L20" s="77">
        <f t="shared" ref="L20:V20" si="3">1/L19</f>
        <v>1.0511627906976744</v>
      </c>
      <c r="M20" s="77">
        <f t="shared" si="3"/>
        <v>1.0405156537753222</v>
      </c>
      <c r="N20" s="77">
        <f t="shared" si="3"/>
        <v>1.0207768744354111</v>
      </c>
      <c r="O20" s="77">
        <f t="shared" si="3"/>
        <v>1</v>
      </c>
      <c r="P20" s="77">
        <f t="shared" si="3"/>
        <v>0.98432055749128911</v>
      </c>
      <c r="Q20" s="77">
        <f t="shared" si="3"/>
        <v>0.96502015440322442</v>
      </c>
      <c r="R20" s="77">
        <f t="shared" si="3"/>
        <v>0.94424853449068868</v>
      </c>
      <c r="S20" s="77">
        <f t="shared" si="3"/>
        <v>0.9221177094635632</v>
      </c>
      <c r="T20" s="77">
        <f t="shared" si="3"/>
        <v>0.90050557564801081</v>
      </c>
      <c r="U20" s="77">
        <f t="shared" si="3"/>
        <v>0.87939997621876065</v>
      </c>
      <c r="V20" s="77">
        <f t="shared" si="3"/>
        <v>0.85878903927613337</v>
      </c>
      <c r="W20" s="39"/>
      <c r="X20" s="39"/>
      <c r="Y20" s="39"/>
    </row>
    <row r="21" spans="1:25" x14ac:dyDescent="0.2">
      <c r="A21" s="39"/>
      <c r="B21" s="39"/>
      <c r="C21" s="39"/>
      <c r="D21" s="68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x14ac:dyDescent="0.2">
      <c r="A22" s="39"/>
      <c r="B22" s="39"/>
      <c r="C22" s="39"/>
      <c r="D22" s="68"/>
      <c r="E22" s="39" t="s">
        <v>2416</v>
      </c>
      <c r="F22" s="39"/>
      <c r="G22" s="76">
        <v>2020</v>
      </c>
      <c r="H22" s="39"/>
      <c r="I22" s="39"/>
      <c r="J22" s="39"/>
      <c r="K22" s="39"/>
      <c r="L22" s="77">
        <f>IF(L$11=VALUE(LEFT($G22,4)),1,L$15/INDEX($L$15:$V$15, MATCH(VALUE(LEFT($G22,4)), $L$11:$V$11,0)))</f>
        <v>0.91805014688802322</v>
      </c>
      <c r="M22" s="77">
        <f t="shared" ref="M22:V22" si="4">IF(M$11=VALUE(LEFT($G22,4)),1,M$15/INDEX($L$15:$V$15, MATCH(VALUE(LEFT($G22,4)), $L$11:$V$11,0)))</f>
        <v>0.92744414839106348</v>
      </c>
      <c r="N22" s="77">
        <f t="shared" si="4"/>
        <v>0.94537815126050384</v>
      </c>
      <c r="O22" s="77">
        <f t="shared" si="4"/>
        <v>0.96502015440322442</v>
      </c>
      <c r="P22" s="77">
        <f t="shared" si="4"/>
        <v>0.98039215686274472</v>
      </c>
      <c r="Q22" s="77">
        <f t="shared" si="4"/>
        <v>1</v>
      </c>
      <c r="R22" s="140">
        <f t="shared" si="4"/>
        <v>1.0219980430509639</v>
      </c>
      <c r="S22" s="77">
        <f t="shared" si="4"/>
        <v>1.0465259960841871</v>
      </c>
      <c r="T22" s="77">
        <f t="shared" si="4"/>
        <v>1.0716426199902076</v>
      </c>
      <c r="U22" s="77">
        <f t="shared" si="4"/>
        <v>1.0973620428699726</v>
      </c>
      <c r="V22" s="77">
        <f t="shared" si="4"/>
        <v>1.1236987318988518</v>
      </c>
      <c r="W22" s="39"/>
      <c r="X22" s="39"/>
      <c r="Y22" s="39"/>
    </row>
    <row r="23" spans="1:25" x14ac:dyDescent="0.2">
      <c r="A23" s="39"/>
      <c r="B23" s="39"/>
      <c r="C23" s="39"/>
      <c r="D23" s="68"/>
      <c r="E23" s="39" t="s">
        <v>2417</v>
      </c>
      <c r="F23" s="39"/>
      <c r="G23" s="76" t="s">
        <v>2418</v>
      </c>
      <c r="H23" s="39"/>
      <c r="I23" s="39"/>
      <c r="J23" s="39"/>
      <c r="K23" s="39"/>
      <c r="L23" s="77">
        <f t="shared" ref="L23:V23" si="5">1/L22</f>
        <v>1.0892651162790701</v>
      </c>
      <c r="M23" s="77">
        <f t="shared" si="5"/>
        <v>1.0782320441988953</v>
      </c>
      <c r="N23" s="77">
        <f t="shared" si="5"/>
        <v>1.0577777777777781</v>
      </c>
      <c r="O23" s="77">
        <f t="shared" si="5"/>
        <v>1.0362477876106198</v>
      </c>
      <c r="P23" s="77">
        <f t="shared" si="5"/>
        <v>1.0200000000000005</v>
      </c>
      <c r="Q23" s="77">
        <f t="shared" si="5"/>
        <v>1</v>
      </c>
      <c r="R23" s="77">
        <f t="shared" si="5"/>
        <v>0.97847545482054621</v>
      </c>
      <c r="S23" s="77">
        <f t="shared" si="5"/>
        <v>0.95554243634818958</v>
      </c>
      <c r="T23" s="77">
        <f t="shared" si="5"/>
        <v>0.93314691049627885</v>
      </c>
      <c r="U23" s="77">
        <f t="shared" si="5"/>
        <v>0.91127627978152226</v>
      </c>
      <c r="V23" s="77">
        <f t="shared" si="5"/>
        <v>0.88991824197414293</v>
      </c>
      <c r="W23" s="39"/>
      <c r="X23" s="39"/>
      <c r="Y23" s="39"/>
    </row>
    <row r="24" spans="1:25" x14ac:dyDescent="0.2">
      <c r="A24" s="39"/>
      <c r="B24" s="39"/>
      <c r="C24" s="39"/>
      <c r="D24" s="68"/>
      <c r="E24" s="39" t="s">
        <v>2425</v>
      </c>
      <c r="F24" s="39"/>
      <c r="G24" s="76"/>
      <c r="H24" s="39"/>
      <c r="I24" s="39"/>
      <c r="J24" s="39"/>
      <c r="K24" s="39"/>
      <c r="L24" s="77">
        <f>L23*(1+$R$14)^0.5</f>
        <v>1.1011807928234614</v>
      </c>
      <c r="M24" s="77">
        <f t="shared" ref="M24:V24" si="6">M23*(1+$R$14)^0.5</f>
        <v>1.0900270278869437</v>
      </c>
      <c r="N24" s="77">
        <f t="shared" si="6"/>
        <v>1.0693490083877335</v>
      </c>
      <c r="O24" s="140">
        <f t="shared" si="6"/>
        <v>1.0475834975975407</v>
      </c>
      <c r="P24" s="77">
        <f t="shared" si="6"/>
        <v>1.031157972373886</v>
      </c>
      <c r="Q24" s="77">
        <f t="shared" si="6"/>
        <v>1.0109391886018486</v>
      </c>
      <c r="R24" s="77">
        <f t="shared" si="6"/>
        <v>0.98917918236310776</v>
      </c>
      <c r="S24" s="77">
        <f t="shared" si="6"/>
        <v>0.96599529527647232</v>
      </c>
      <c r="T24" s="77">
        <f t="shared" si="6"/>
        <v>0.94335478054343003</v>
      </c>
      <c r="U24" s="77">
        <f t="shared" si="6"/>
        <v>0.92124490287444327</v>
      </c>
      <c r="V24" s="77">
        <f t="shared" si="6"/>
        <v>0.8996532254633236</v>
      </c>
      <c r="W24" s="39"/>
      <c r="X24" s="39"/>
      <c r="Y24" s="39"/>
    </row>
    <row r="25" spans="1:25" x14ac:dyDescent="0.2">
      <c r="A25" s="39"/>
      <c r="B25" s="39"/>
      <c r="C25" s="39"/>
      <c r="D25" s="68"/>
      <c r="E25" s="39" t="s">
        <v>2426</v>
      </c>
      <c r="F25" s="39"/>
      <c r="G25" s="76"/>
      <c r="H25" s="39"/>
      <c r="I25" s="39"/>
      <c r="J25" s="39"/>
      <c r="K25" s="39"/>
      <c r="L25" s="77">
        <f>1/L24</f>
        <v>0.90811609366702561</v>
      </c>
      <c r="M25" s="77">
        <f t="shared" ref="M25:V25" si="7">1/M24</f>
        <v>0.91740844439292091</v>
      </c>
      <c r="N25" s="77">
        <f t="shared" si="7"/>
        <v>0.93514838668781153</v>
      </c>
      <c r="O25" s="140">
        <f t="shared" si="7"/>
        <v>0.95457784729650141</v>
      </c>
      <c r="P25" s="77">
        <f t="shared" si="7"/>
        <v>0.96978351212069336</v>
      </c>
      <c r="Q25" s="77">
        <f t="shared" si="7"/>
        <v>0.98917918236310753</v>
      </c>
      <c r="R25" s="77">
        <f t="shared" si="7"/>
        <v>1.0109391886018484</v>
      </c>
      <c r="S25" s="77">
        <f t="shared" si="7"/>
        <v>1.0352017291282929</v>
      </c>
      <c r="T25" s="77">
        <f t="shared" si="7"/>
        <v>1.0600465706273718</v>
      </c>
      <c r="U25" s="77">
        <f t="shared" si="7"/>
        <v>1.0854876883224289</v>
      </c>
      <c r="V25" s="77">
        <f t="shared" si="7"/>
        <v>1.1115393928421671</v>
      </c>
      <c r="W25" s="39"/>
      <c r="X25" s="39"/>
      <c r="Y25" s="39"/>
    </row>
    <row r="26" spans="1:25" x14ac:dyDescent="0.2">
      <c r="A26" s="39"/>
      <c r="B26" s="39"/>
      <c r="C26" s="39"/>
      <c r="D26" s="68"/>
      <c r="E26" s="39" t="s">
        <v>2427</v>
      </c>
      <c r="F26" s="39"/>
      <c r="G26" s="76"/>
      <c r="H26" s="39"/>
      <c r="I26" s="39"/>
      <c r="J26" s="39"/>
      <c r="K26" s="39"/>
      <c r="L26" s="77">
        <v>1.1132268172008903</v>
      </c>
      <c r="M26" s="77">
        <v>1.1019510391261116</v>
      </c>
      <c r="N26" s="77">
        <v>1.0810468188716866</v>
      </c>
      <c r="O26" s="77">
        <v>1.0590432110539443</v>
      </c>
      <c r="P26" s="77">
        <v>1.0424380039119834</v>
      </c>
      <c r="Q26" s="77">
        <v>1.0219980430509639</v>
      </c>
      <c r="R26" s="77">
        <v>1</v>
      </c>
      <c r="S26" s="77"/>
      <c r="T26" s="77"/>
      <c r="U26" s="77"/>
      <c r="V26" s="77"/>
      <c r="W26" s="39"/>
      <c r="X26" s="39"/>
      <c r="Y26" s="39"/>
    </row>
    <row r="27" spans="1:25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77"/>
      <c r="Q27" s="77"/>
      <c r="R27" s="39"/>
      <c r="S27" s="39"/>
      <c r="T27" s="39"/>
      <c r="U27" s="39"/>
      <c r="V27" s="39"/>
      <c r="W27" s="39"/>
      <c r="X27" s="39"/>
      <c r="Y27" s="39"/>
    </row>
    <row r="28" spans="1:25" x14ac:dyDescent="0.2">
      <c r="A28" s="73" t="s">
        <v>2337</v>
      </c>
      <c r="B28" s="62"/>
      <c r="C28" s="62"/>
      <c r="D28" s="73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62"/>
      <c r="X28" s="39"/>
      <c r="Y28" s="39"/>
    </row>
    <row r="29" spans="1:25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39"/>
      <c r="X29" s="39"/>
      <c r="Y29" s="39"/>
    </row>
    <row r="30" spans="1:25" x14ac:dyDescent="0.2">
      <c r="A30" s="39"/>
      <c r="B30" s="39"/>
      <c r="C30" s="39"/>
      <c r="D30" s="79" t="s">
        <v>2396</v>
      </c>
      <c r="E30" s="79"/>
      <c r="F30" s="79"/>
      <c r="G30" s="79"/>
      <c r="H30" s="79"/>
      <c r="I30" s="79"/>
      <c r="J30" s="79"/>
      <c r="K30" s="79"/>
      <c r="L30" s="150">
        <v>2015</v>
      </c>
      <c r="M30" s="150">
        <v>2016</v>
      </c>
      <c r="N30" s="150">
        <v>2017</v>
      </c>
      <c r="O30" s="150">
        <v>2018</v>
      </c>
      <c r="P30" s="150">
        <v>2019</v>
      </c>
      <c r="Q30" s="150">
        <v>2020</v>
      </c>
      <c r="R30" s="150" t="s">
        <v>2432</v>
      </c>
      <c r="S30" s="150" t="s">
        <v>2433</v>
      </c>
      <c r="T30" s="150" t="s">
        <v>2434</v>
      </c>
      <c r="U30" s="150" t="s">
        <v>2435</v>
      </c>
      <c r="V30" s="150" t="s">
        <v>2436</v>
      </c>
      <c r="W30" s="39"/>
      <c r="X30" s="39"/>
      <c r="Y30" s="39"/>
    </row>
    <row r="31" spans="1:25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x14ac:dyDescent="0.2">
      <c r="A32" s="39"/>
      <c r="B32" s="39"/>
      <c r="C32" s="39"/>
      <c r="D32" s="39"/>
      <c r="E32" s="39" t="s">
        <v>2338</v>
      </c>
      <c r="F32" s="39"/>
      <c r="G32" s="39"/>
      <c r="H32" s="70"/>
      <c r="I32" s="70"/>
      <c r="J32" s="70"/>
      <c r="K32" s="70"/>
      <c r="L32" s="70"/>
      <c r="M32" s="70"/>
      <c r="N32" s="70"/>
      <c r="O32" s="70"/>
      <c r="P32" s="66"/>
      <c r="Q32" s="66"/>
      <c r="R32" s="66">
        <v>2.3867759115823129E-3</v>
      </c>
      <c r="S32" s="66">
        <v>-2.4977364300287118E-3</v>
      </c>
      <c r="T32" s="66">
        <v>-7.2630656307249187E-4</v>
      </c>
      <c r="U32" s="66">
        <v>3.67274824937613E-3</v>
      </c>
      <c r="V32" s="66">
        <v>9.965933609387018E-3</v>
      </c>
      <c r="W32" s="39"/>
      <c r="X32" s="39"/>
      <c r="Y32" s="39"/>
    </row>
    <row r="33" spans="1:25" x14ac:dyDescent="0.2">
      <c r="A33" s="39"/>
      <c r="B33" s="39"/>
      <c r="C33" s="39"/>
      <c r="D33" s="39"/>
      <c r="E33" s="39" t="s">
        <v>2339</v>
      </c>
      <c r="F33" s="39"/>
      <c r="G33" s="39"/>
      <c r="H33" s="70"/>
      <c r="I33" s="70"/>
      <c r="J33" s="70"/>
      <c r="K33" s="70"/>
      <c r="L33" s="70"/>
      <c r="M33" s="70"/>
      <c r="N33" s="70"/>
      <c r="O33" s="70"/>
      <c r="P33" s="66"/>
      <c r="Q33" s="66"/>
      <c r="R33" s="66">
        <f>[1]Capex_output!P8</f>
        <v>0</v>
      </c>
      <c r="S33" s="66">
        <f>[1]Capex_output!Q8</f>
        <v>0</v>
      </c>
      <c r="T33" s="66">
        <f>[1]Capex_output!R8</f>
        <v>0</v>
      </c>
      <c r="U33" s="66">
        <f>[1]Capex_output!S8</f>
        <v>0</v>
      </c>
      <c r="V33" s="66">
        <f>[1]Capex_output!T8</f>
        <v>0</v>
      </c>
      <c r="W33" s="39"/>
      <c r="X33" s="39"/>
      <c r="Y33" s="39"/>
    </row>
    <row r="34" spans="1:25" x14ac:dyDescent="0.2">
      <c r="A34" s="39"/>
      <c r="B34" s="39"/>
      <c r="C34" s="39"/>
      <c r="D34" s="39"/>
      <c r="E34" s="39" t="s">
        <v>2340</v>
      </c>
      <c r="F34" s="39"/>
      <c r="G34" s="39"/>
      <c r="H34" s="70"/>
      <c r="I34" s="70"/>
      <c r="J34" s="70"/>
      <c r="K34" s="70"/>
      <c r="L34" s="70"/>
      <c r="M34" s="70"/>
      <c r="N34" s="70"/>
      <c r="O34" s="70"/>
      <c r="P34" s="66"/>
      <c r="Q34" s="66"/>
      <c r="R34" s="66"/>
      <c r="S34" s="66"/>
      <c r="T34" s="66"/>
      <c r="U34" s="66"/>
      <c r="V34" s="66"/>
      <c r="W34" s="39"/>
      <c r="X34" s="39"/>
      <c r="Y34" s="39"/>
    </row>
    <row r="35" spans="1:25" x14ac:dyDescent="0.2">
      <c r="A35" s="39"/>
      <c r="B35" s="39"/>
      <c r="C35" s="39"/>
      <c r="D35" s="39"/>
      <c r="E35" s="69" t="s">
        <v>2341</v>
      </c>
      <c r="F35" s="69"/>
      <c r="G35" s="69"/>
      <c r="H35" s="71"/>
      <c r="I35" s="71"/>
      <c r="J35" s="71"/>
      <c r="K35" s="71"/>
      <c r="L35" s="71"/>
      <c r="M35" s="71"/>
      <c r="N35" s="71"/>
      <c r="O35" s="71"/>
      <c r="P35" s="72"/>
      <c r="Q35" s="72"/>
      <c r="R35" s="72"/>
      <c r="S35" s="72"/>
      <c r="T35" s="72"/>
      <c r="U35" s="72"/>
      <c r="V35" s="72"/>
      <c r="W35" s="39"/>
      <c r="X35" s="39"/>
      <c r="Y35" s="39"/>
    </row>
    <row r="36" spans="1:25" x14ac:dyDescent="0.2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x14ac:dyDescent="0.2">
      <c r="A37" s="39"/>
      <c r="B37" s="39"/>
      <c r="C37" s="39"/>
      <c r="D37" s="79" t="s">
        <v>2397</v>
      </c>
      <c r="E37" s="79"/>
      <c r="F37" s="79"/>
      <c r="G37" s="79"/>
      <c r="H37" s="79"/>
      <c r="I37" s="79"/>
      <c r="J37" s="79"/>
      <c r="K37" s="79"/>
      <c r="L37" s="150">
        <v>2015</v>
      </c>
      <c r="M37" s="150">
        <v>2016</v>
      </c>
      <c r="N37" s="150">
        <v>2017</v>
      </c>
      <c r="O37" s="150">
        <v>2018</v>
      </c>
      <c r="P37" s="150">
        <v>2019</v>
      </c>
      <c r="Q37" s="150">
        <v>2020</v>
      </c>
      <c r="R37" s="150" t="s">
        <v>2432</v>
      </c>
      <c r="S37" s="150" t="s">
        <v>2433</v>
      </c>
      <c r="T37" s="150" t="s">
        <v>2434</v>
      </c>
      <c r="U37" s="150" t="s">
        <v>2435</v>
      </c>
      <c r="V37" s="150" t="s">
        <v>2436</v>
      </c>
      <c r="W37" s="39"/>
      <c r="X37" s="39"/>
      <c r="Y37" s="39"/>
    </row>
    <row r="38" spans="1:25" x14ac:dyDescent="0.2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 x14ac:dyDescent="0.2">
      <c r="A39" s="39"/>
      <c r="B39" s="39"/>
      <c r="C39" s="39"/>
      <c r="D39" s="39"/>
      <c r="E39" s="39"/>
      <c r="F39" s="39"/>
      <c r="G39" s="107" t="s">
        <v>2379</v>
      </c>
      <c r="H39" s="107" t="s">
        <v>47</v>
      </c>
      <c r="I39" s="107" t="s">
        <v>71</v>
      </c>
      <c r="J39" s="39"/>
      <c r="L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x14ac:dyDescent="0.2">
      <c r="A40" s="39"/>
      <c r="B40" s="39"/>
      <c r="C40" s="39"/>
      <c r="D40" s="39"/>
      <c r="E40" s="39" t="s">
        <v>2307</v>
      </c>
      <c r="F40" s="39"/>
      <c r="G40" s="108">
        <f>G72</f>
        <v>0.38142042792336217</v>
      </c>
      <c r="H40" s="108">
        <f t="shared" ref="H40:I40" si="8">H72</f>
        <v>0.19183684459741193</v>
      </c>
      <c r="I40" s="108">
        <f t="shared" si="8"/>
        <v>0.4267427274792257</v>
      </c>
      <c r="J40" s="39"/>
      <c r="K40" s="39"/>
      <c r="L40" s="39"/>
      <c r="M40" s="39"/>
      <c r="N40" s="39"/>
      <c r="O40" s="110"/>
      <c r="P40" s="110">
        <f t="shared" ref="P40:V50" si="9">($G40*P$32)+($H40*P$33)+($I40*P$34)</f>
        <v>0</v>
      </c>
      <c r="Q40" s="110">
        <f t="shared" si="9"/>
        <v>0</v>
      </c>
      <c r="R40" s="110">
        <f t="shared" si="9"/>
        <v>9.1036508955289863E-4</v>
      </c>
      <c r="S40" s="110">
        <f t="shared" si="9"/>
        <v>-9.5268769798132218E-4</v>
      </c>
      <c r="T40" s="110">
        <f t="shared" si="9"/>
        <v>-2.770281600906563E-4</v>
      </c>
      <c r="U40" s="110">
        <f t="shared" si="9"/>
        <v>1.4008612089318228E-3</v>
      </c>
      <c r="V40" s="110">
        <f t="shared" si="9"/>
        <v>3.8012106619482139E-3</v>
      </c>
      <c r="W40" s="39"/>
      <c r="X40" s="39"/>
      <c r="Y40" s="39"/>
    </row>
    <row r="41" spans="1:25" x14ac:dyDescent="0.2">
      <c r="A41" s="39"/>
      <c r="B41" s="39"/>
      <c r="C41" s="39"/>
      <c r="D41" s="39"/>
      <c r="E41" s="39" t="s">
        <v>2310</v>
      </c>
      <c r="F41" s="39"/>
      <c r="G41" s="108">
        <f t="shared" ref="G41:I41" si="10">G73</f>
        <v>0.38142042792336228</v>
      </c>
      <c r="H41" s="108">
        <f t="shared" si="10"/>
        <v>0.19183684459741196</v>
      </c>
      <c r="I41" s="108">
        <f t="shared" si="10"/>
        <v>0.42674272747922576</v>
      </c>
      <c r="J41" s="39"/>
      <c r="K41" s="39"/>
      <c r="L41" s="39"/>
      <c r="M41" s="39"/>
      <c r="N41" s="39"/>
      <c r="O41" s="110"/>
      <c r="P41" s="110">
        <f t="shared" si="9"/>
        <v>0</v>
      </c>
      <c r="Q41" s="110">
        <f t="shared" si="9"/>
        <v>0</v>
      </c>
      <c r="R41" s="110">
        <f t="shared" si="9"/>
        <v>9.1036508955289895E-4</v>
      </c>
      <c r="S41" s="110">
        <f t="shared" si="9"/>
        <v>-9.526876979813225E-4</v>
      </c>
      <c r="T41" s="110">
        <f t="shared" si="9"/>
        <v>-2.7702816009065635E-4</v>
      </c>
      <c r="U41" s="110">
        <f t="shared" si="9"/>
        <v>1.4008612089318232E-3</v>
      </c>
      <c r="V41" s="110">
        <f t="shared" si="9"/>
        <v>3.8012106619482147E-3</v>
      </c>
      <c r="W41" s="39"/>
      <c r="X41" s="39"/>
      <c r="Y41" s="39"/>
    </row>
    <row r="42" spans="1:25" x14ac:dyDescent="0.2">
      <c r="A42" s="39"/>
      <c r="B42" s="39"/>
      <c r="C42" s="39"/>
      <c r="D42" s="39"/>
      <c r="E42" s="39" t="s">
        <v>2311</v>
      </c>
      <c r="F42" s="39"/>
      <c r="G42" s="108">
        <f t="shared" ref="G42:I42" si="11">G74</f>
        <v>0</v>
      </c>
      <c r="H42" s="108">
        <f t="shared" si="11"/>
        <v>0</v>
      </c>
      <c r="I42" s="108">
        <f t="shared" si="11"/>
        <v>0</v>
      </c>
      <c r="J42" s="39"/>
      <c r="K42" s="39"/>
      <c r="L42" s="39"/>
      <c r="M42" s="39"/>
      <c r="N42" s="39"/>
      <c r="O42" s="110"/>
      <c r="P42" s="110">
        <f t="shared" si="9"/>
        <v>0</v>
      </c>
      <c r="Q42" s="110">
        <f t="shared" si="9"/>
        <v>0</v>
      </c>
      <c r="R42" s="110">
        <f t="shared" si="9"/>
        <v>0</v>
      </c>
      <c r="S42" s="110">
        <f t="shared" si="9"/>
        <v>0</v>
      </c>
      <c r="T42" s="110">
        <f t="shared" si="9"/>
        <v>0</v>
      </c>
      <c r="U42" s="110">
        <f t="shared" si="9"/>
        <v>0</v>
      </c>
      <c r="V42" s="110">
        <f t="shared" si="9"/>
        <v>0</v>
      </c>
      <c r="W42" s="39"/>
      <c r="X42" s="39"/>
      <c r="Y42" s="39"/>
    </row>
    <row r="43" spans="1:25" x14ac:dyDescent="0.2">
      <c r="A43" s="39"/>
      <c r="B43" s="39"/>
      <c r="C43" s="39"/>
      <c r="D43" s="39"/>
      <c r="E43" s="39" t="s">
        <v>2312</v>
      </c>
      <c r="F43" s="39"/>
      <c r="G43" s="108">
        <f t="shared" ref="G43:I43" si="12">G75</f>
        <v>0</v>
      </c>
      <c r="H43" s="108">
        <f t="shared" si="12"/>
        <v>0</v>
      </c>
      <c r="I43" s="108">
        <f t="shared" si="12"/>
        <v>0</v>
      </c>
      <c r="J43" s="39"/>
      <c r="K43" s="39"/>
      <c r="L43" s="39"/>
      <c r="M43" s="39"/>
      <c r="N43" s="39"/>
      <c r="O43" s="110"/>
      <c r="P43" s="110">
        <f t="shared" si="9"/>
        <v>0</v>
      </c>
      <c r="Q43" s="110">
        <f t="shared" si="9"/>
        <v>0</v>
      </c>
      <c r="R43" s="110">
        <f t="shared" si="9"/>
        <v>0</v>
      </c>
      <c r="S43" s="110">
        <f t="shared" si="9"/>
        <v>0</v>
      </c>
      <c r="T43" s="110">
        <f t="shared" si="9"/>
        <v>0</v>
      </c>
      <c r="U43" s="110">
        <f t="shared" si="9"/>
        <v>0</v>
      </c>
      <c r="V43" s="110">
        <f t="shared" si="9"/>
        <v>0</v>
      </c>
      <c r="W43" s="39"/>
      <c r="X43" s="39"/>
      <c r="Y43" s="39"/>
    </row>
    <row r="44" spans="1:25" x14ac:dyDescent="0.2">
      <c r="A44" s="39"/>
      <c r="B44" s="39"/>
      <c r="C44" s="39"/>
      <c r="D44" s="39"/>
      <c r="E44" s="39" t="s">
        <v>2309</v>
      </c>
      <c r="F44" s="39"/>
      <c r="G44" s="108">
        <f t="shared" ref="G44:I44" si="13">G76</f>
        <v>0.77318415332871038</v>
      </c>
      <c r="H44" s="108">
        <f t="shared" si="13"/>
        <v>0.14619788516769369</v>
      </c>
      <c r="I44" s="108">
        <f t="shared" si="13"/>
        <v>8.0617961503595875E-2</v>
      </c>
      <c r="J44" s="39"/>
      <c r="K44" s="39"/>
      <c r="L44" s="39"/>
      <c r="M44" s="39"/>
      <c r="N44" s="39"/>
      <c r="O44" s="110"/>
      <c r="P44" s="110">
        <f t="shared" si="9"/>
        <v>0</v>
      </c>
      <c r="Q44" s="110">
        <f t="shared" si="9"/>
        <v>0</v>
      </c>
      <c r="R44" s="110">
        <f t="shared" si="9"/>
        <v>1.8454173123821315E-3</v>
      </c>
      <c r="S44" s="110">
        <f t="shared" si="9"/>
        <v>-1.9312102268900253E-3</v>
      </c>
      <c r="T44" s="110">
        <f t="shared" si="9"/>
        <v>-5.6156872502629023E-4</v>
      </c>
      <c r="U44" s="110">
        <f t="shared" si="9"/>
        <v>2.8397107455833863E-3</v>
      </c>
      <c r="V44" s="110">
        <f t="shared" si="9"/>
        <v>7.70550193990404E-3</v>
      </c>
      <c r="W44" s="39"/>
      <c r="X44" s="39"/>
      <c r="Y44" s="39"/>
    </row>
    <row r="45" spans="1:25" x14ac:dyDescent="0.2">
      <c r="A45" s="39"/>
      <c r="B45" s="39"/>
      <c r="C45" s="39"/>
      <c r="D45" s="39"/>
      <c r="E45" s="39" t="s">
        <v>2301</v>
      </c>
      <c r="F45" s="39"/>
      <c r="G45" s="108">
        <f t="shared" ref="G45:I45" si="14">G77</f>
        <v>0.52161804486591612</v>
      </c>
      <c r="H45" s="108">
        <f t="shared" si="14"/>
        <v>0.27280920041243295</v>
      </c>
      <c r="I45" s="108">
        <f t="shared" si="14"/>
        <v>0.20557275472165107</v>
      </c>
      <c r="J45" s="39"/>
      <c r="K45" s="39"/>
      <c r="L45" s="39"/>
      <c r="M45" s="39"/>
      <c r="N45" s="39"/>
      <c r="O45" s="110"/>
      <c r="P45" s="110">
        <f t="shared" si="9"/>
        <v>0</v>
      </c>
      <c r="Q45" s="110">
        <f t="shared" si="9"/>
        <v>0</v>
      </c>
      <c r="R45" s="110">
        <f t="shared" si="9"/>
        <v>1.2449853845326307E-3</v>
      </c>
      <c r="S45" s="110">
        <f t="shared" si="9"/>
        <v>-1.3028643932219497E-3</v>
      </c>
      <c r="T45" s="110">
        <f t="shared" si="9"/>
        <v>-3.7885460940315638E-4</v>
      </c>
      <c r="U45" s="110">
        <f t="shared" si="9"/>
        <v>1.9157717611242931E-3</v>
      </c>
      <c r="V45" s="110">
        <f t="shared" si="9"/>
        <v>5.1984108045919786E-3</v>
      </c>
      <c r="W45" s="39"/>
      <c r="X45" s="39"/>
      <c r="Y45" s="39"/>
    </row>
    <row r="46" spans="1:25" x14ac:dyDescent="0.2">
      <c r="A46" s="39"/>
      <c r="B46" s="39"/>
      <c r="C46" s="39"/>
      <c r="D46" s="39"/>
      <c r="E46" s="39" t="s">
        <v>2302</v>
      </c>
      <c r="F46" s="39"/>
      <c r="G46" s="108">
        <f t="shared" ref="G46:I46" si="15">G78</f>
        <v>0.18784785064192577</v>
      </c>
      <c r="H46" s="108">
        <f t="shared" si="15"/>
        <v>0.66536309210782796</v>
      </c>
      <c r="I46" s="108">
        <f t="shared" si="15"/>
        <v>0.14678905725024616</v>
      </c>
      <c r="J46" s="39"/>
      <c r="K46" s="39"/>
      <c r="L46" s="39"/>
      <c r="M46" s="39"/>
      <c r="N46" s="39"/>
      <c r="O46" s="110"/>
      <c r="P46" s="110">
        <f t="shared" si="9"/>
        <v>0</v>
      </c>
      <c r="Q46" s="110">
        <f t="shared" si="9"/>
        <v>0</v>
      </c>
      <c r="R46" s="110">
        <f t="shared" si="9"/>
        <v>4.4835072495466057E-4</v>
      </c>
      <c r="S46" s="110">
        <f t="shared" si="9"/>
        <v>-4.6919441985093037E-4</v>
      </c>
      <c r="T46" s="110">
        <f t="shared" si="9"/>
        <v>-1.364351267802919E-4</v>
      </c>
      <c r="U46" s="110">
        <f t="shared" si="9"/>
        <v>6.8991786459420164E-4</v>
      </c>
      <c r="V46" s="110">
        <f t="shared" si="9"/>
        <v>1.8720792081634808E-3</v>
      </c>
      <c r="W46" s="39"/>
      <c r="X46" s="39"/>
      <c r="Y46" s="39"/>
    </row>
    <row r="47" spans="1:25" x14ac:dyDescent="0.2">
      <c r="A47" s="39"/>
      <c r="B47" s="39"/>
      <c r="C47" s="39"/>
      <c r="D47" s="39"/>
      <c r="E47" s="39" t="s">
        <v>39</v>
      </c>
      <c r="F47" s="39"/>
      <c r="G47" s="108">
        <f t="shared" ref="G47:I47" si="16">G79</f>
        <v>0.73940455341506128</v>
      </c>
      <c r="H47" s="108">
        <f t="shared" si="16"/>
        <v>4.2637272071700837E-2</v>
      </c>
      <c r="I47" s="108">
        <f t="shared" si="16"/>
        <v>0.21795817451323785</v>
      </c>
      <c r="J47" s="39"/>
      <c r="K47" s="39"/>
      <c r="L47" s="39"/>
      <c r="M47" s="39"/>
      <c r="N47" s="39"/>
      <c r="O47" s="110"/>
      <c r="P47" s="110">
        <f t="shared" si="9"/>
        <v>0</v>
      </c>
      <c r="Q47" s="110">
        <f t="shared" si="9"/>
        <v>0</v>
      </c>
      <c r="R47" s="110">
        <f t="shared" si="9"/>
        <v>1.7647929770053458E-3</v>
      </c>
      <c r="S47" s="110">
        <f t="shared" si="9"/>
        <v>-1.8468376895939091E-3</v>
      </c>
      <c r="T47" s="110">
        <f t="shared" si="9"/>
        <v>-5.3703437991104385E-4</v>
      </c>
      <c r="U47" s="110">
        <f t="shared" si="9"/>
        <v>2.7156467791359055E-3</v>
      </c>
      <c r="V47" s="110">
        <f t="shared" si="9"/>
        <v>7.3688566898129576E-3</v>
      </c>
      <c r="W47" s="39"/>
      <c r="X47" s="39"/>
      <c r="Y47" s="39"/>
    </row>
    <row r="48" spans="1:25" x14ac:dyDescent="0.2">
      <c r="A48" s="39"/>
      <c r="B48" s="39"/>
      <c r="C48" s="39"/>
      <c r="D48" s="39"/>
      <c r="E48" s="39" t="s">
        <v>2313</v>
      </c>
      <c r="F48" s="39"/>
      <c r="G48" s="108">
        <f t="shared" ref="G48:I48" si="17">G80</f>
        <v>0</v>
      </c>
      <c r="H48" s="108">
        <f t="shared" si="17"/>
        <v>0</v>
      </c>
      <c r="I48" s="108">
        <f t="shared" si="17"/>
        <v>0</v>
      </c>
      <c r="J48" s="39"/>
      <c r="K48" s="39"/>
      <c r="L48" s="39"/>
      <c r="M48" s="39"/>
      <c r="N48" s="39"/>
      <c r="O48" s="110"/>
      <c r="P48" s="110">
        <f t="shared" si="9"/>
        <v>0</v>
      </c>
      <c r="Q48" s="110">
        <f t="shared" si="9"/>
        <v>0</v>
      </c>
      <c r="R48" s="110">
        <f t="shared" si="9"/>
        <v>0</v>
      </c>
      <c r="S48" s="110">
        <f t="shared" si="9"/>
        <v>0</v>
      </c>
      <c r="T48" s="110">
        <f t="shared" si="9"/>
        <v>0</v>
      </c>
      <c r="U48" s="110">
        <f t="shared" si="9"/>
        <v>0</v>
      </c>
      <c r="V48" s="110">
        <f t="shared" si="9"/>
        <v>0</v>
      </c>
      <c r="W48" s="39"/>
      <c r="X48" s="39"/>
      <c r="Y48" s="39"/>
    </row>
    <row r="49" spans="1:25" x14ac:dyDescent="0.2">
      <c r="A49" s="39"/>
      <c r="B49" s="39"/>
      <c r="C49" s="39"/>
      <c r="D49" s="39"/>
      <c r="E49" s="39" t="s">
        <v>2314</v>
      </c>
      <c r="F49" s="39"/>
      <c r="G49" s="108">
        <f t="shared" ref="G49:I49" si="18">G81</f>
        <v>0</v>
      </c>
      <c r="H49" s="108">
        <f t="shared" si="18"/>
        <v>0</v>
      </c>
      <c r="I49" s="108">
        <f t="shared" si="18"/>
        <v>0</v>
      </c>
      <c r="J49" s="39"/>
      <c r="K49" s="39"/>
      <c r="L49" s="39"/>
      <c r="M49" s="39"/>
      <c r="N49" s="39"/>
      <c r="O49" s="110"/>
      <c r="P49" s="110">
        <f t="shared" si="9"/>
        <v>0</v>
      </c>
      <c r="Q49" s="110">
        <f t="shared" si="9"/>
        <v>0</v>
      </c>
      <c r="R49" s="110">
        <f t="shared" si="9"/>
        <v>0</v>
      </c>
      <c r="S49" s="110">
        <f t="shared" si="9"/>
        <v>0</v>
      </c>
      <c r="T49" s="110">
        <f t="shared" si="9"/>
        <v>0</v>
      </c>
      <c r="U49" s="110">
        <f t="shared" si="9"/>
        <v>0</v>
      </c>
      <c r="V49" s="110">
        <f t="shared" si="9"/>
        <v>0</v>
      </c>
      <c r="W49" s="39"/>
      <c r="X49" s="39"/>
      <c r="Y49" s="39"/>
    </row>
    <row r="50" spans="1:25" x14ac:dyDescent="0.2">
      <c r="A50" s="39"/>
      <c r="B50" s="39"/>
      <c r="C50" s="39"/>
      <c r="D50" s="39"/>
      <c r="E50" s="39" t="s">
        <v>2315</v>
      </c>
      <c r="F50" s="39"/>
      <c r="G50" s="108">
        <f t="shared" ref="G50:I50" si="19">G82</f>
        <v>0</v>
      </c>
      <c r="H50" s="108">
        <f t="shared" si="19"/>
        <v>0</v>
      </c>
      <c r="I50" s="108">
        <f t="shared" si="19"/>
        <v>1</v>
      </c>
      <c r="J50" s="39"/>
      <c r="K50" s="39"/>
      <c r="L50" s="39"/>
      <c r="M50" s="39"/>
      <c r="N50" s="39"/>
      <c r="O50" s="110"/>
      <c r="P50" s="110">
        <f t="shared" si="9"/>
        <v>0</v>
      </c>
      <c r="Q50" s="110">
        <f t="shared" si="9"/>
        <v>0</v>
      </c>
      <c r="R50" s="110">
        <f t="shared" si="9"/>
        <v>0</v>
      </c>
      <c r="S50" s="110">
        <f t="shared" si="9"/>
        <v>0</v>
      </c>
      <c r="T50" s="110">
        <f t="shared" si="9"/>
        <v>0</v>
      </c>
      <c r="U50" s="110">
        <f t="shared" si="9"/>
        <v>0</v>
      </c>
      <c r="V50" s="110">
        <f t="shared" si="9"/>
        <v>0</v>
      </c>
      <c r="W50" s="39"/>
      <c r="X50" s="39"/>
      <c r="Y50" s="39"/>
    </row>
    <row r="51" spans="1:25" x14ac:dyDescent="0.2">
      <c r="A51" s="39"/>
      <c r="B51" s="39"/>
      <c r="C51" s="39"/>
      <c r="D51" s="39"/>
      <c r="E51" s="39"/>
      <c r="F51" s="39"/>
      <c r="G51" s="109"/>
      <c r="H51" s="109"/>
      <c r="I51" s="10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x14ac:dyDescent="0.2">
      <c r="A52" s="39"/>
      <c r="B52" s="39"/>
      <c r="C52" s="39"/>
      <c r="D52" s="39"/>
      <c r="E52" s="39"/>
      <c r="F52" s="39"/>
      <c r="G52" s="109"/>
      <c r="H52" s="109"/>
      <c r="I52" s="10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x14ac:dyDescent="0.2">
      <c r="A53" s="39"/>
      <c r="B53" s="39"/>
      <c r="C53" s="39"/>
      <c r="D53" s="39"/>
      <c r="E53" s="39" t="s">
        <v>2333</v>
      </c>
      <c r="F53" s="39"/>
      <c r="G53" s="108">
        <f t="shared" ref="G53:I53" si="20">G85</f>
        <v>0.6749794616171404</v>
      </c>
      <c r="H53" s="108">
        <f t="shared" si="20"/>
        <v>0.18092500969549372</v>
      </c>
      <c r="I53" s="108">
        <f t="shared" si="20"/>
        <v>0.1440955286873658</v>
      </c>
      <c r="J53" s="39"/>
      <c r="K53" s="39"/>
      <c r="L53" s="39"/>
      <c r="M53" s="39"/>
      <c r="N53" s="39"/>
      <c r="O53" s="110"/>
      <c r="P53" s="110">
        <f t="shared" ref="P53:V60" si="21">($G53*P$32)+($H53*P$33)+($I53*P$34)</f>
        <v>0</v>
      </c>
      <c r="Q53" s="110">
        <f t="shared" si="21"/>
        <v>0</v>
      </c>
      <c r="R53" s="110">
        <f t="shared" si="21"/>
        <v>1.6110247198005891E-3</v>
      </c>
      <c r="S53" s="110">
        <f t="shared" si="21"/>
        <v>-1.6859207908022983E-3</v>
      </c>
      <c r="T53" s="110">
        <f t="shared" si="21"/>
        <v>-4.902420129116662E-4</v>
      </c>
      <c r="U53" s="110">
        <f t="shared" si="21"/>
        <v>2.479029636019195E-3</v>
      </c>
      <c r="V53" s="110">
        <f t="shared" si="21"/>
        <v>6.7268005021762145E-3</v>
      </c>
      <c r="W53" s="39"/>
      <c r="X53" s="39"/>
      <c r="Y53" s="39"/>
    </row>
    <row r="54" spans="1:25" x14ac:dyDescent="0.2">
      <c r="A54" s="39"/>
      <c r="B54" s="39"/>
      <c r="C54" s="39"/>
      <c r="D54" s="39"/>
      <c r="E54" s="39" t="s">
        <v>2299</v>
      </c>
      <c r="F54" s="39"/>
      <c r="G54" s="108">
        <f t="shared" ref="G54:I54" si="22">G86</f>
        <v>0.25718294780635048</v>
      </c>
      <c r="H54" s="108">
        <f t="shared" si="22"/>
        <v>0.21158164334085616</v>
      </c>
      <c r="I54" s="108">
        <f t="shared" si="22"/>
        <v>0.53123540885279352</v>
      </c>
      <c r="J54" s="39"/>
      <c r="K54" s="39"/>
      <c r="L54" s="39"/>
      <c r="M54" s="39"/>
      <c r="N54" s="39"/>
      <c r="O54" s="110"/>
      <c r="P54" s="110">
        <f t="shared" si="21"/>
        <v>0</v>
      </c>
      <c r="Q54" s="110">
        <f t="shared" si="21"/>
        <v>0</v>
      </c>
      <c r="R54" s="110">
        <f t="shared" si="21"/>
        <v>6.1383806469392861E-4</v>
      </c>
      <c r="S54" s="110">
        <f t="shared" si="21"/>
        <v>-6.4237521791809442E-4</v>
      </c>
      <c r="T54" s="110">
        <f t="shared" si="21"/>
        <v>-1.8679366290208247E-4</v>
      </c>
      <c r="U54" s="110">
        <f t="shared" si="21"/>
        <v>9.4456822132516632E-4</v>
      </c>
      <c r="V54" s="110">
        <f t="shared" si="21"/>
        <v>2.5630681833045356E-3</v>
      </c>
      <c r="W54" s="39"/>
      <c r="X54" s="39"/>
      <c r="Y54" s="39"/>
    </row>
    <row r="55" spans="1:25" x14ac:dyDescent="0.2">
      <c r="A55" s="39"/>
      <c r="B55" s="39"/>
      <c r="C55" s="39"/>
      <c r="D55" s="39"/>
      <c r="E55" s="39" t="s">
        <v>2300</v>
      </c>
      <c r="F55" s="39"/>
      <c r="G55" s="108">
        <f t="shared" ref="G55:I55" si="23">G87</f>
        <v>0.5794969070585726</v>
      </c>
      <c r="H55" s="108">
        <f t="shared" si="23"/>
        <v>0.12276744881336764</v>
      </c>
      <c r="I55" s="108">
        <f t="shared" si="23"/>
        <v>0.29773564412805975</v>
      </c>
      <c r="J55" s="39"/>
      <c r="K55" s="39"/>
      <c r="L55" s="39"/>
      <c r="M55" s="39"/>
      <c r="N55" s="39"/>
      <c r="O55" s="110"/>
      <c r="P55" s="110">
        <f t="shared" si="21"/>
        <v>0</v>
      </c>
      <c r="Q55" s="110">
        <f t="shared" si="21"/>
        <v>0</v>
      </c>
      <c r="R55" s="110">
        <f t="shared" si="21"/>
        <v>1.3831292586038554E-3</v>
      </c>
      <c r="S55" s="110">
        <f t="shared" si="21"/>
        <v>-1.4474305358491593E-3</v>
      </c>
      <c r="T55" s="110">
        <f t="shared" si="21"/>
        <v>-4.2089240687685113E-4</v>
      </c>
      <c r="U55" s="110">
        <f t="shared" si="21"/>
        <v>2.1283462509182542E-3</v>
      </c>
      <c r="V55" s="110">
        <f t="shared" si="21"/>
        <v>5.7752277025908535E-3</v>
      </c>
      <c r="W55" s="39"/>
      <c r="X55" s="39"/>
      <c r="Y55" s="39"/>
    </row>
    <row r="56" spans="1:25" x14ac:dyDescent="0.2">
      <c r="A56" s="39"/>
      <c r="B56" s="39"/>
      <c r="C56" s="39"/>
      <c r="D56" s="39"/>
      <c r="E56" s="39" t="s">
        <v>2309</v>
      </c>
      <c r="F56" s="39"/>
      <c r="G56" s="108">
        <f t="shared" ref="G56:I56" si="24">G88</f>
        <v>0.77318415332871038</v>
      </c>
      <c r="H56" s="108">
        <f t="shared" si="24"/>
        <v>0.14619788516769369</v>
      </c>
      <c r="I56" s="108">
        <f t="shared" si="24"/>
        <v>8.0617961503595875E-2</v>
      </c>
      <c r="J56" s="39"/>
      <c r="K56" s="39"/>
      <c r="L56" s="39"/>
      <c r="M56" s="39"/>
      <c r="N56" s="39"/>
      <c r="O56" s="110"/>
      <c r="P56" s="110">
        <f t="shared" si="21"/>
        <v>0</v>
      </c>
      <c r="Q56" s="110">
        <f t="shared" si="21"/>
        <v>0</v>
      </c>
      <c r="R56" s="110">
        <f t="shared" si="21"/>
        <v>1.8454173123821315E-3</v>
      </c>
      <c r="S56" s="110">
        <f t="shared" si="21"/>
        <v>-1.9312102268900253E-3</v>
      </c>
      <c r="T56" s="110">
        <f t="shared" si="21"/>
        <v>-5.6156872502629023E-4</v>
      </c>
      <c r="U56" s="110">
        <f t="shared" si="21"/>
        <v>2.8397107455833863E-3</v>
      </c>
      <c r="V56" s="110">
        <f t="shared" si="21"/>
        <v>7.70550193990404E-3</v>
      </c>
      <c r="W56" s="39"/>
      <c r="X56" s="39"/>
      <c r="Y56" s="39"/>
    </row>
    <row r="57" spans="1:25" x14ac:dyDescent="0.2">
      <c r="A57" s="39"/>
      <c r="B57" s="39"/>
      <c r="C57" s="39"/>
      <c r="D57" s="39"/>
      <c r="E57" s="39" t="s">
        <v>2301</v>
      </c>
      <c r="F57" s="39"/>
      <c r="G57" s="108">
        <f t="shared" ref="G57:I57" si="25">G89</f>
        <v>0.52161804486591612</v>
      </c>
      <c r="H57" s="108">
        <f t="shared" si="25"/>
        <v>0.27280920041243295</v>
      </c>
      <c r="I57" s="108">
        <f t="shared" si="25"/>
        <v>0.20557275472165107</v>
      </c>
      <c r="J57" s="39"/>
      <c r="K57" s="39"/>
      <c r="L57" s="39"/>
      <c r="M57" s="39"/>
      <c r="N57" s="39"/>
      <c r="O57" s="110"/>
      <c r="P57" s="110">
        <f t="shared" si="21"/>
        <v>0</v>
      </c>
      <c r="Q57" s="110">
        <f t="shared" si="21"/>
        <v>0</v>
      </c>
      <c r="R57" s="110">
        <f t="shared" si="21"/>
        <v>1.2449853845326307E-3</v>
      </c>
      <c r="S57" s="110">
        <f t="shared" si="21"/>
        <v>-1.3028643932219497E-3</v>
      </c>
      <c r="T57" s="110">
        <f t="shared" si="21"/>
        <v>-3.7885460940315638E-4</v>
      </c>
      <c r="U57" s="110">
        <f t="shared" si="21"/>
        <v>1.9157717611242931E-3</v>
      </c>
      <c r="V57" s="110">
        <f t="shared" si="21"/>
        <v>5.1984108045919786E-3</v>
      </c>
      <c r="W57" s="39"/>
      <c r="X57" s="39"/>
      <c r="Y57" s="39"/>
    </row>
    <row r="58" spans="1:25" x14ac:dyDescent="0.2">
      <c r="A58" s="39"/>
      <c r="B58" s="39"/>
      <c r="C58" s="39"/>
      <c r="D58" s="39"/>
      <c r="E58" s="39" t="s">
        <v>2302</v>
      </c>
      <c r="F58" s="39"/>
      <c r="G58" s="108">
        <f t="shared" ref="G58:I58" si="26">G90</f>
        <v>0.18784785064192577</v>
      </c>
      <c r="H58" s="108">
        <f t="shared" si="26"/>
        <v>0.66536309210782796</v>
      </c>
      <c r="I58" s="108">
        <f t="shared" si="26"/>
        <v>0.14678905725024616</v>
      </c>
      <c r="J58" s="39"/>
      <c r="K58" s="39"/>
      <c r="L58" s="39"/>
      <c r="M58" s="39"/>
      <c r="N58" s="39"/>
      <c r="O58" s="110"/>
      <c r="P58" s="110">
        <f t="shared" si="21"/>
        <v>0</v>
      </c>
      <c r="Q58" s="110">
        <f t="shared" si="21"/>
        <v>0</v>
      </c>
      <c r="R58" s="110">
        <f t="shared" si="21"/>
        <v>4.4835072495466057E-4</v>
      </c>
      <c r="S58" s="110">
        <f t="shared" si="21"/>
        <v>-4.6919441985093037E-4</v>
      </c>
      <c r="T58" s="110">
        <f t="shared" si="21"/>
        <v>-1.364351267802919E-4</v>
      </c>
      <c r="U58" s="110">
        <f t="shared" si="21"/>
        <v>6.8991786459420164E-4</v>
      </c>
      <c r="V58" s="110">
        <f t="shared" si="21"/>
        <v>1.8720792081634808E-3</v>
      </c>
      <c r="W58" s="39"/>
      <c r="X58" s="39"/>
      <c r="Y58" s="39"/>
    </row>
    <row r="59" spans="1:25" x14ac:dyDescent="0.2">
      <c r="A59" s="39"/>
      <c r="B59" s="39"/>
      <c r="C59" s="39"/>
      <c r="D59" s="39"/>
      <c r="E59" s="39" t="s">
        <v>2335</v>
      </c>
      <c r="F59" s="39"/>
      <c r="G59" s="108">
        <f t="shared" ref="G59:I59" si="27">G91</f>
        <v>0.73940455341506128</v>
      </c>
      <c r="H59" s="108">
        <f t="shared" si="27"/>
        <v>4.2637272071700837E-2</v>
      </c>
      <c r="I59" s="108">
        <f t="shared" si="27"/>
        <v>0.21795817451323785</v>
      </c>
      <c r="J59" s="39"/>
      <c r="K59" s="39"/>
      <c r="L59" s="39"/>
      <c r="M59" s="39"/>
      <c r="N59" s="39"/>
      <c r="O59" s="110"/>
      <c r="P59" s="110">
        <f t="shared" si="21"/>
        <v>0</v>
      </c>
      <c r="Q59" s="110">
        <f t="shared" si="21"/>
        <v>0</v>
      </c>
      <c r="R59" s="110">
        <f t="shared" si="21"/>
        <v>1.7647929770053458E-3</v>
      </c>
      <c r="S59" s="110">
        <f t="shared" si="21"/>
        <v>-1.8468376895939091E-3</v>
      </c>
      <c r="T59" s="110">
        <f t="shared" si="21"/>
        <v>-5.3703437991104385E-4</v>
      </c>
      <c r="U59" s="110">
        <f t="shared" si="21"/>
        <v>2.7156467791359055E-3</v>
      </c>
      <c r="V59" s="110">
        <f t="shared" si="21"/>
        <v>7.3688566898129576E-3</v>
      </c>
      <c r="W59" s="39"/>
      <c r="X59" s="39"/>
      <c r="Y59" s="39"/>
    </row>
    <row r="60" spans="1:25" x14ac:dyDescent="0.2">
      <c r="A60" s="39"/>
      <c r="B60" s="39"/>
      <c r="C60" s="39"/>
      <c r="D60" s="39"/>
      <c r="E60" s="39" t="s">
        <v>2315</v>
      </c>
      <c r="F60" s="39"/>
      <c r="G60" s="108">
        <f t="shared" ref="G60:I60" si="28">G92</f>
        <v>0</v>
      </c>
      <c r="H60" s="108">
        <f t="shared" si="28"/>
        <v>0</v>
      </c>
      <c r="I60" s="108">
        <f t="shared" si="28"/>
        <v>1</v>
      </c>
      <c r="J60" s="39"/>
      <c r="K60" s="39"/>
      <c r="L60" s="39"/>
      <c r="M60" s="39"/>
      <c r="N60" s="39"/>
      <c r="O60" s="110"/>
      <c r="P60" s="110">
        <f t="shared" si="21"/>
        <v>0</v>
      </c>
      <c r="Q60" s="110">
        <f t="shared" si="21"/>
        <v>0</v>
      </c>
      <c r="R60" s="110">
        <f t="shared" si="21"/>
        <v>0</v>
      </c>
      <c r="S60" s="110">
        <f t="shared" si="21"/>
        <v>0</v>
      </c>
      <c r="T60" s="110">
        <f t="shared" si="21"/>
        <v>0</v>
      </c>
      <c r="U60" s="110">
        <f t="shared" si="21"/>
        <v>0</v>
      </c>
      <c r="V60" s="110">
        <f t="shared" si="21"/>
        <v>0</v>
      </c>
      <c r="W60" s="39"/>
      <c r="X60" s="39"/>
      <c r="Y60" s="39"/>
    </row>
    <row r="61" spans="1:25" x14ac:dyDescent="0.2">
      <c r="A61" s="39"/>
      <c r="B61" s="39"/>
      <c r="C61" s="39"/>
      <c r="D61" s="39"/>
      <c r="E61" s="39"/>
      <c r="F61" s="39"/>
      <c r="G61" s="109"/>
      <c r="H61" s="109"/>
      <c r="I61" s="10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 x14ac:dyDescent="0.2">
      <c r="A62" s="39"/>
      <c r="B62" s="39"/>
      <c r="C62" s="39"/>
      <c r="D62" s="79" t="s">
        <v>2398</v>
      </c>
      <c r="E62" s="79"/>
      <c r="F62" s="79"/>
      <c r="G62" s="79"/>
      <c r="H62" s="79"/>
      <c r="I62" s="79"/>
      <c r="J62" s="79"/>
      <c r="K62" s="79"/>
      <c r="L62" s="150">
        <v>2015</v>
      </c>
      <c r="M62" s="150">
        <v>2016</v>
      </c>
      <c r="N62" s="150">
        <v>2017</v>
      </c>
      <c r="O62" s="150">
        <v>2018</v>
      </c>
      <c r="P62" s="150">
        <v>2019</v>
      </c>
      <c r="Q62" s="150">
        <v>2020</v>
      </c>
      <c r="R62" s="150" t="s">
        <v>2432</v>
      </c>
      <c r="S62" s="150" t="s">
        <v>2433</v>
      </c>
      <c r="T62" s="150" t="s">
        <v>2434</v>
      </c>
      <c r="U62" s="150" t="s">
        <v>2435</v>
      </c>
      <c r="V62" s="150" t="s">
        <v>2436</v>
      </c>
      <c r="W62" s="39"/>
      <c r="X62" s="39"/>
      <c r="Y62" s="39"/>
    </row>
    <row r="63" spans="1:25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 x14ac:dyDescent="0.2">
      <c r="A64" s="39"/>
      <c r="B64" s="39"/>
      <c r="C64" s="39"/>
      <c r="D64" s="39"/>
      <c r="E64" s="39" t="s">
        <v>2338</v>
      </c>
      <c r="F64" s="39"/>
      <c r="G64" s="39"/>
      <c r="H64" s="70"/>
      <c r="I64" s="70"/>
      <c r="J64" s="70"/>
      <c r="K64" s="70"/>
      <c r="L64" s="70"/>
      <c r="M64" s="70"/>
      <c r="N64" s="70"/>
      <c r="O64" s="70"/>
      <c r="P64" s="66"/>
      <c r="Q64" s="66"/>
      <c r="R64" s="66">
        <f t="shared" ref="R64:V64" si="29">(1+Q64)*(1+R32)-1</f>
        <v>2.3867759115823173E-3</v>
      </c>
      <c r="S64" s="66">
        <f t="shared" si="29"/>
        <v>-1.1692205559110658E-4</v>
      </c>
      <c r="T64" s="66">
        <f t="shared" si="29"/>
        <v>-8.4314369740723372E-4</v>
      </c>
      <c r="U64" s="66">
        <f t="shared" si="29"/>
        <v>2.8265078974303304E-3</v>
      </c>
      <c r="V64" s="66">
        <f t="shared" si="29"/>
        <v>1.2820610296869539E-2</v>
      </c>
      <c r="W64" s="39"/>
      <c r="X64" s="39"/>
      <c r="Y64" s="39"/>
    </row>
    <row r="65" spans="1:25" x14ac:dyDescent="0.2">
      <c r="A65" s="39"/>
      <c r="B65" s="39"/>
      <c r="C65" s="39"/>
      <c r="D65" s="39"/>
      <c r="E65" s="39" t="s">
        <v>2339</v>
      </c>
      <c r="F65" s="39"/>
      <c r="G65" s="39"/>
      <c r="H65" s="70"/>
      <c r="I65" s="70"/>
      <c r="J65" s="70"/>
      <c r="K65" s="70"/>
      <c r="L65" s="70"/>
      <c r="M65" s="70"/>
      <c r="N65" s="70"/>
      <c r="O65" s="70"/>
      <c r="P65" s="66"/>
      <c r="Q65" s="66"/>
      <c r="R65" s="66">
        <f t="shared" ref="R65:V65" si="30">(1+Q65)*(1+R33)-1</f>
        <v>0</v>
      </c>
      <c r="S65" s="66">
        <f t="shared" si="30"/>
        <v>0</v>
      </c>
      <c r="T65" s="66">
        <f t="shared" si="30"/>
        <v>0</v>
      </c>
      <c r="U65" s="66">
        <f t="shared" si="30"/>
        <v>0</v>
      </c>
      <c r="V65" s="66">
        <f t="shared" si="30"/>
        <v>0</v>
      </c>
      <c r="W65" s="39"/>
      <c r="X65" s="39"/>
      <c r="Y65" s="39"/>
    </row>
    <row r="66" spans="1:25" x14ac:dyDescent="0.2">
      <c r="A66" s="39"/>
      <c r="B66" s="39"/>
      <c r="C66" s="39"/>
      <c r="D66" s="39"/>
      <c r="E66" s="39" t="s">
        <v>2340</v>
      </c>
      <c r="F66" s="39"/>
      <c r="G66" s="39"/>
      <c r="H66" s="70"/>
      <c r="I66" s="70"/>
      <c r="J66" s="70"/>
      <c r="K66" s="70"/>
      <c r="L66" s="70"/>
      <c r="M66" s="70"/>
      <c r="N66" s="70"/>
      <c r="O66" s="70"/>
      <c r="P66" s="66"/>
      <c r="Q66" s="66"/>
      <c r="R66" s="66">
        <f t="shared" ref="R66:V66" si="31">(1+Q66)*(1+R34)-1</f>
        <v>0</v>
      </c>
      <c r="S66" s="66">
        <f t="shared" si="31"/>
        <v>0</v>
      </c>
      <c r="T66" s="66">
        <f t="shared" si="31"/>
        <v>0</v>
      </c>
      <c r="U66" s="66">
        <f t="shared" si="31"/>
        <v>0</v>
      </c>
      <c r="V66" s="66">
        <f t="shared" si="31"/>
        <v>0</v>
      </c>
      <c r="W66" s="39"/>
      <c r="X66" s="39"/>
      <c r="Y66" s="39"/>
    </row>
    <row r="67" spans="1:25" x14ac:dyDescent="0.2">
      <c r="A67" s="39"/>
      <c r="B67" s="39"/>
      <c r="C67" s="39"/>
      <c r="D67" s="39"/>
      <c r="E67" s="69" t="s">
        <v>2341</v>
      </c>
      <c r="F67" s="69"/>
      <c r="G67" s="69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72"/>
      <c r="S67" s="72"/>
      <c r="T67" s="72"/>
      <c r="U67" s="72"/>
      <c r="V67" s="72"/>
      <c r="W67" s="39"/>
      <c r="X67" s="39"/>
      <c r="Y67" s="39"/>
    </row>
    <row r="68" spans="1:25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 x14ac:dyDescent="0.2">
      <c r="A69" s="39"/>
      <c r="B69" s="39"/>
      <c r="C69" s="39"/>
      <c r="D69" s="79" t="s">
        <v>2399</v>
      </c>
      <c r="E69" s="79"/>
      <c r="F69" s="79"/>
      <c r="G69" s="79"/>
      <c r="H69" s="79"/>
      <c r="I69" s="79"/>
      <c r="J69" s="79"/>
      <c r="K69" s="79"/>
      <c r="L69" s="150">
        <v>2015</v>
      </c>
      <c r="M69" s="150">
        <v>2016</v>
      </c>
      <c r="N69" s="150">
        <v>2017</v>
      </c>
      <c r="O69" s="150">
        <v>2018</v>
      </c>
      <c r="P69" s="150">
        <v>2019</v>
      </c>
      <c r="Q69" s="150">
        <v>2020</v>
      </c>
      <c r="R69" s="150" t="s">
        <v>2432</v>
      </c>
      <c r="S69" s="150" t="s">
        <v>2433</v>
      </c>
      <c r="T69" s="150" t="s">
        <v>2434</v>
      </c>
      <c r="U69" s="150" t="s">
        <v>2435</v>
      </c>
      <c r="V69" s="150" t="s">
        <v>2436</v>
      </c>
      <c r="W69" s="39"/>
      <c r="X69" s="39"/>
      <c r="Y69" s="39"/>
    </row>
    <row r="70" spans="1:25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 x14ac:dyDescent="0.2">
      <c r="A71" s="39"/>
      <c r="B71" s="39"/>
      <c r="C71" s="39"/>
      <c r="D71" s="39"/>
      <c r="E71" s="39"/>
      <c r="F71" s="39"/>
      <c r="G71" s="107" t="s">
        <v>2379</v>
      </c>
      <c r="H71" s="107" t="s">
        <v>47</v>
      </c>
      <c r="I71" s="107" t="s">
        <v>71</v>
      </c>
      <c r="J71" s="39"/>
      <c r="L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x14ac:dyDescent="0.2">
      <c r="A72" s="39"/>
      <c r="B72" s="39"/>
      <c r="C72" s="39"/>
      <c r="D72" s="39"/>
      <c r="E72" s="39" t="s">
        <v>2307</v>
      </c>
      <c r="F72" s="39"/>
      <c r="G72" s="152">
        <f>'Calc|Weightings'!AN111</f>
        <v>0.38142042792336217</v>
      </c>
      <c r="H72" s="152">
        <f>'Calc|Weightings'!AO111</f>
        <v>0.19183684459741193</v>
      </c>
      <c r="I72" s="152">
        <f>'Calc|Weightings'!AP111</f>
        <v>0.4267427274792257</v>
      </c>
      <c r="J72" s="39"/>
      <c r="K72" s="154"/>
      <c r="L72" s="154"/>
      <c r="M72" s="154"/>
      <c r="N72" s="39"/>
      <c r="O72" s="110"/>
      <c r="P72" s="110">
        <f t="shared" ref="P72:V82" si="32">($G72*P$64)+($H72*P$65)+($I72*P$66)</f>
        <v>0</v>
      </c>
      <c r="Q72" s="110">
        <f t="shared" si="32"/>
        <v>0</v>
      </c>
      <c r="R72" s="110">
        <f t="shared" si="32"/>
        <v>9.1036508955290025E-4</v>
      </c>
      <c r="S72" s="110">
        <f t="shared" si="32"/>
        <v>-4.4596460477239013E-5</v>
      </c>
      <c r="T72" s="147">
        <f t="shared" si="32"/>
        <v>-3.2159222986595287E-4</v>
      </c>
      <c r="U72" s="110">
        <f t="shared" si="32"/>
        <v>1.0780878517666394E-3</v>
      </c>
      <c r="V72" s="110">
        <f t="shared" si="32"/>
        <v>4.8900426656706426E-3</v>
      </c>
      <c r="W72" s="39"/>
      <c r="X72" s="39"/>
      <c r="Y72" s="39"/>
    </row>
    <row r="73" spans="1:25" x14ac:dyDescent="0.2">
      <c r="A73" s="39"/>
      <c r="B73" s="39"/>
      <c r="C73" s="39"/>
      <c r="D73" s="39"/>
      <c r="E73" s="39" t="s">
        <v>2310</v>
      </c>
      <c r="F73" s="39"/>
      <c r="G73" s="152">
        <f>'Calc|Weightings'!AN112</f>
        <v>0.38142042792336228</v>
      </c>
      <c r="H73" s="152">
        <f>'Calc|Weightings'!AO112</f>
        <v>0.19183684459741196</v>
      </c>
      <c r="I73" s="152">
        <f>'Calc|Weightings'!AP112</f>
        <v>0.42674272747922576</v>
      </c>
      <c r="J73" s="39"/>
      <c r="K73" s="154"/>
      <c r="L73" s="154"/>
      <c r="M73" s="154"/>
      <c r="N73" s="39"/>
      <c r="O73" s="110"/>
      <c r="P73" s="110">
        <f t="shared" si="32"/>
        <v>0</v>
      </c>
      <c r="Q73" s="110">
        <f t="shared" si="32"/>
        <v>0</v>
      </c>
      <c r="R73" s="110">
        <f t="shared" si="32"/>
        <v>9.1036508955290058E-4</v>
      </c>
      <c r="S73" s="110">
        <f t="shared" si="32"/>
        <v>-4.4596460477239026E-5</v>
      </c>
      <c r="T73" s="110">
        <f t="shared" si="32"/>
        <v>-3.2159222986595298E-4</v>
      </c>
      <c r="U73" s="110">
        <f t="shared" si="32"/>
        <v>1.0780878517666396E-3</v>
      </c>
      <c r="V73" s="110">
        <f t="shared" si="32"/>
        <v>4.8900426656706443E-3</v>
      </c>
      <c r="W73" s="39"/>
      <c r="X73" s="39"/>
      <c r="Y73" s="39"/>
    </row>
    <row r="74" spans="1:25" x14ac:dyDescent="0.2">
      <c r="A74" s="39"/>
      <c r="B74" s="39"/>
      <c r="C74" s="39"/>
      <c r="D74" s="39"/>
      <c r="E74" s="39" t="s">
        <v>2311</v>
      </c>
      <c r="F74" s="39"/>
      <c r="G74" s="152">
        <f>'Calc|Weightings'!AN113</f>
        <v>0</v>
      </c>
      <c r="H74" s="152">
        <f>'Calc|Weightings'!AO113</f>
        <v>0</v>
      </c>
      <c r="I74" s="152">
        <f>'Calc|Weightings'!AP113</f>
        <v>0</v>
      </c>
      <c r="J74" s="39"/>
      <c r="K74" s="154"/>
      <c r="L74" s="154"/>
      <c r="M74" s="154"/>
      <c r="N74" s="39"/>
      <c r="O74" s="110"/>
      <c r="P74" s="110">
        <f t="shared" si="32"/>
        <v>0</v>
      </c>
      <c r="Q74" s="110">
        <f t="shared" si="32"/>
        <v>0</v>
      </c>
      <c r="R74" s="110">
        <f t="shared" si="32"/>
        <v>0</v>
      </c>
      <c r="S74" s="110">
        <f t="shared" si="32"/>
        <v>0</v>
      </c>
      <c r="T74" s="110">
        <f t="shared" si="32"/>
        <v>0</v>
      </c>
      <c r="U74" s="110">
        <f t="shared" si="32"/>
        <v>0</v>
      </c>
      <c r="V74" s="110">
        <f t="shared" si="32"/>
        <v>0</v>
      </c>
      <c r="W74" s="39"/>
      <c r="X74" s="39"/>
      <c r="Y74" s="39"/>
    </row>
    <row r="75" spans="1:25" x14ac:dyDescent="0.2">
      <c r="A75" s="39"/>
      <c r="B75" s="39"/>
      <c r="C75" s="39"/>
      <c r="D75" s="39"/>
      <c r="E75" s="39" t="s">
        <v>2312</v>
      </c>
      <c r="F75" s="39"/>
      <c r="G75" s="152">
        <f>'Calc|Weightings'!AN114</f>
        <v>0</v>
      </c>
      <c r="H75" s="152">
        <f>'Calc|Weightings'!AO114</f>
        <v>0</v>
      </c>
      <c r="I75" s="152">
        <f>'Calc|Weightings'!AP114</f>
        <v>0</v>
      </c>
      <c r="J75" s="39"/>
      <c r="K75" s="154"/>
      <c r="L75" s="154"/>
      <c r="M75" s="154"/>
      <c r="N75" s="39"/>
      <c r="O75" s="110"/>
      <c r="P75" s="110">
        <f t="shared" si="32"/>
        <v>0</v>
      </c>
      <c r="Q75" s="110">
        <f t="shared" si="32"/>
        <v>0</v>
      </c>
      <c r="R75" s="110">
        <f t="shared" si="32"/>
        <v>0</v>
      </c>
      <c r="S75" s="110">
        <f t="shared" si="32"/>
        <v>0</v>
      </c>
      <c r="T75" s="110">
        <f t="shared" si="32"/>
        <v>0</v>
      </c>
      <c r="U75" s="110">
        <f t="shared" si="32"/>
        <v>0</v>
      </c>
      <c r="V75" s="110">
        <f t="shared" si="32"/>
        <v>0</v>
      </c>
      <c r="W75" s="39"/>
      <c r="X75" s="39"/>
      <c r="Y75" s="39"/>
    </row>
    <row r="76" spans="1:25" x14ac:dyDescent="0.2">
      <c r="A76" s="39"/>
      <c r="B76" s="39"/>
      <c r="C76" s="39"/>
      <c r="D76" s="39"/>
      <c r="E76" s="39" t="s">
        <v>2309</v>
      </c>
      <c r="F76" s="39"/>
      <c r="G76" s="152">
        <f>'Calc|Weightings'!AN115</f>
        <v>0.77318415332871038</v>
      </c>
      <c r="H76" s="152">
        <f>'Calc|Weightings'!AO115</f>
        <v>0.14619788516769369</v>
      </c>
      <c r="I76" s="152">
        <f>'Calc|Weightings'!AP115</f>
        <v>8.0617961503595875E-2</v>
      </c>
      <c r="J76" s="39"/>
      <c r="K76" s="154"/>
      <c r="L76" s="154"/>
      <c r="M76" s="154"/>
      <c r="N76" s="39"/>
      <c r="O76" s="110"/>
      <c r="P76" s="110">
        <f t="shared" si="32"/>
        <v>0</v>
      </c>
      <c r="Q76" s="110">
        <f t="shared" si="32"/>
        <v>0</v>
      </c>
      <c r="R76" s="110">
        <f t="shared" si="32"/>
        <v>1.8454173123821349E-3</v>
      </c>
      <c r="S76" s="110">
        <f t="shared" si="32"/>
        <v>-9.0402280557662151E-5</v>
      </c>
      <c r="T76" s="110">
        <f t="shared" si="32"/>
        <v>-6.5190534581425043E-4</v>
      </c>
      <c r="U76" s="110">
        <f t="shared" si="32"/>
        <v>2.1854111155515834E-3</v>
      </c>
      <c r="V76" s="110">
        <f t="shared" si="32"/>
        <v>9.9126927175424203E-3</v>
      </c>
      <c r="W76" s="39"/>
      <c r="X76" s="39"/>
      <c r="Y76" s="39"/>
    </row>
    <row r="77" spans="1:25" x14ac:dyDescent="0.2">
      <c r="A77" s="39"/>
      <c r="B77" s="39"/>
      <c r="C77" s="39"/>
      <c r="D77" s="39"/>
      <c r="E77" s="39" t="s">
        <v>2301</v>
      </c>
      <c r="F77" s="39"/>
      <c r="G77" s="152">
        <f>'Calc|Weightings'!AN116</f>
        <v>0.52161804486591612</v>
      </c>
      <c r="H77" s="152">
        <f>'Calc|Weightings'!AO116</f>
        <v>0.27280920041243295</v>
      </c>
      <c r="I77" s="152">
        <f>'Calc|Weightings'!AP116</f>
        <v>0.20557275472165107</v>
      </c>
      <c r="J77" s="39"/>
      <c r="K77" s="154"/>
      <c r="L77" s="154"/>
      <c r="M77" s="154"/>
      <c r="N77" s="39"/>
      <c r="O77" s="110"/>
      <c r="P77" s="110">
        <f t="shared" si="32"/>
        <v>0</v>
      </c>
      <c r="Q77" s="110">
        <f t="shared" si="32"/>
        <v>0</v>
      </c>
      <c r="R77" s="147">
        <f t="shared" si="32"/>
        <v>1.2449853845326331E-3</v>
      </c>
      <c r="S77" s="110">
        <f t="shared" si="32"/>
        <v>-6.0988654039136969E-5</v>
      </c>
      <c r="T77" s="110">
        <f t="shared" si="32"/>
        <v>-4.3979896698258085E-4</v>
      </c>
      <c r="U77" s="110">
        <f t="shared" si="32"/>
        <v>1.4743575232556802E-3</v>
      </c>
      <c r="V77" s="110">
        <f t="shared" si="32"/>
        <v>6.6874616770409212E-3</v>
      </c>
      <c r="W77" s="39"/>
      <c r="X77" s="39"/>
      <c r="Y77" s="39"/>
    </row>
    <row r="78" spans="1:25" x14ac:dyDescent="0.2">
      <c r="A78" s="39"/>
      <c r="B78" s="39"/>
      <c r="C78" s="39"/>
      <c r="D78" s="39"/>
      <c r="E78" s="39" t="s">
        <v>2302</v>
      </c>
      <c r="F78" s="39"/>
      <c r="G78" s="152">
        <f>'Calc|Weightings'!AN117</f>
        <v>0.18784785064192577</v>
      </c>
      <c r="H78" s="152">
        <f>'Calc|Weightings'!AO117</f>
        <v>0.66536309210782796</v>
      </c>
      <c r="I78" s="152">
        <f>'Calc|Weightings'!AP117</f>
        <v>0.14678905725024616</v>
      </c>
      <c r="J78" s="39"/>
      <c r="K78" s="154"/>
      <c r="L78" s="154"/>
      <c r="M78" s="154"/>
      <c r="N78" s="39"/>
      <c r="O78" s="110"/>
      <c r="P78" s="110">
        <f t="shared" si="32"/>
        <v>0</v>
      </c>
      <c r="Q78" s="110">
        <f t="shared" si="32"/>
        <v>0</v>
      </c>
      <c r="R78" s="110">
        <f t="shared" si="32"/>
        <v>4.4835072495466138E-4</v>
      </c>
      <c r="S78" s="110">
        <f t="shared" si="32"/>
        <v>-2.196355683542513E-5</v>
      </c>
      <c r="T78" s="147">
        <f t="shared" si="32"/>
        <v>-1.5838273134023511E-4</v>
      </c>
      <c r="U78" s="110">
        <f t="shared" si="32"/>
        <v>5.3095343335471639E-4</v>
      </c>
      <c r="V78" s="110">
        <f t="shared" si="32"/>
        <v>2.4083240881846847E-3</v>
      </c>
      <c r="W78" s="39"/>
      <c r="X78" s="39"/>
      <c r="Y78" s="39"/>
    </row>
    <row r="79" spans="1:25" x14ac:dyDescent="0.2">
      <c r="A79" s="39"/>
      <c r="B79" s="39"/>
      <c r="C79" s="39"/>
      <c r="D79" s="39"/>
      <c r="E79" s="39" t="s">
        <v>39</v>
      </c>
      <c r="F79" s="39"/>
      <c r="G79" s="152">
        <f>'Calc|Weightings'!AN118</f>
        <v>0.73940455341506128</v>
      </c>
      <c r="H79" s="152">
        <f>'Calc|Weightings'!AO118</f>
        <v>4.2637272071700837E-2</v>
      </c>
      <c r="I79" s="152">
        <f>'Calc|Weightings'!AP118</f>
        <v>0.21795817451323785</v>
      </c>
      <c r="J79" s="39"/>
      <c r="K79" s="154"/>
      <c r="L79" s="154"/>
      <c r="M79" s="154"/>
      <c r="N79" s="39"/>
      <c r="O79" s="110"/>
      <c r="P79" s="110">
        <f t="shared" si="32"/>
        <v>0</v>
      </c>
      <c r="Q79" s="110">
        <f t="shared" si="32"/>
        <v>0</v>
      </c>
      <c r="R79" s="110">
        <f t="shared" si="32"/>
        <v>1.7647929770053491E-3</v>
      </c>
      <c r="S79" s="110">
        <f t="shared" si="32"/>
        <v>-8.6452700298713135E-5</v>
      </c>
      <c r="T79" s="110">
        <f t="shared" si="32"/>
        <v>-6.2342428904611921E-4</v>
      </c>
      <c r="U79" s="110">
        <f t="shared" si="32"/>
        <v>2.0899328096236174E-3</v>
      </c>
      <c r="V79" s="110">
        <f t="shared" si="32"/>
        <v>9.4796176310653572E-3</v>
      </c>
      <c r="W79" s="39"/>
      <c r="X79" s="39"/>
      <c r="Y79" s="39"/>
    </row>
    <row r="80" spans="1:25" x14ac:dyDescent="0.2">
      <c r="A80" s="39"/>
      <c r="B80" s="39"/>
      <c r="C80" s="39"/>
      <c r="D80" s="39"/>
      <c r="E80" s="39" t="s">
        <v>2313</v>
      </c>
      <c r="F80" s="39"/>
      <c r="G80" s="152">
        <f>'Calc|Weightings'!AN119</f>
        <v>0</v>
      </c>
      <c r="H80" s="152">
        <f>'Calc|Weightings'!AO119</f>
        <v>0</v>
      </c>
      <c r="I80" s="152">
        <f>'Calc|Weightings'!AP119</f>
        <v>0</v>
      </c>
      <c r="J80" s="39"/>
      <c r="K80" s="154"/>
      <c r="L80" s="154"/>
      <c r="M80" s="154"/>
      <c r="N80" s="39"/>
      <c r="O80" s="110"/>
      <c r="P80" s="110">
        <f t="shared" si="32"/>
        <v>0</v>
      </c>
      <c r="Q80" s="110">
        <f t="shared" si="32"/>
        <v>0</v>
      </c>
      <c r="R80" s="147">
        <f t="shared" si="32"/>
        <v>0</v>
      </c>
      <c r="S80" s="110">
        <f t="shared" si="32"/>
        <v>0</v>
      </c>
      <c r="T80" s="110">
        <f t="shared" si="32"/>
        <v>0</v>
      </c>
      <c r="U80" s="110">
        <f t="shared" si="32"/>
        <v>0</v>
      </c>
      <c r="V80" s="110">
        <f t="shared" si="32"/>
        <v>0</v>
      </c>
      <c r="W80" s="39"/>
      <c r="X80" s="39"/>
      <c r="Y80" s="39"/>
    </row>
    <row r="81" spans="1:25" x14ac:dyDescent="0.2">
      <c r="A81" s="39"/>
      <c r="B81" s="39"/>
      <c r="C81" s="39"/>
      <c r="D81" s="39"/>
      <c r="E81" s="39" t="s">
        <v>2314</v>
      </c>
      <c r="F81" s="39"/>
      <c r="G81" s="152">
        <f>'Calc|Weightings'!AN120</f>
        <v>0</v>
      </c>
      <c r="H81" s="152">
        <f>'Calc|Weightings'!AO120</f>
        <v>0</v>
      </c>
      <c r="I81" s="152">
        <f>'Calc|Weightings'!AP120</f>
        <v>0</v>
      </c>
      <c r="J81" s="39"/>
      <c r="K81" s="154"/>
      <c r="L81" s="154"/>
      <c r="M81" s="154"/>
      <c r="N81" s="39"/>
      <c r="O81" s="110"/>
      <c r="P81" s="110">
        <f t="shared" si="32"/>
        <v>0</v>
      </c>
      <c r="Q81" s="110">
        <f t="shared" si="32"/>
        <v>0</v>
      </c>
      <c r="R81" s="110">
        <f t="shared" si="32"/>
        <v>0</v>
      </c>
      <c r="S81" s="110">
        <f t="shared" si="32"/>
        <v>0</v>
      </c>
      <c r="T81" s="110">
        <f t="shared" si="32"/>
        <v>0</v>
      </c>
      <c r="U81" s="110">
        <f t="shared" si="32"/>
        <v>0</v>
      </c>
      <c r="V81" s="110">
        <f t="shared" si="32"/>
        <v>0</v>
      </c>
      <c r="W81" s="39"/>
      <c r="X81" s="39"/>
      <c r="Y81" s="39"/>
    </row>
    <row r="82" spans="1:25" x14ac:dyDescent="0.2">
      <c r="A82" s="39"/>
      <c r="B82" s="39"/>
      <c r="C82" s="39"/>
      <c r="D82" s="39"/>
      <c r="E82" s="39" t="s">
        <v>2315</v>
      </c>
      <c r="F82" s="39"/>
      <c r="G82" s="152">
        <f>'Calc|Weightings'!AN121</f>
        <v>0</v>
      </c>
      <c r="H82" s="152">
        <f>'Calc|Weightings'!AO121</f>
        <v>0</v>
      </c>
      <c r="I82" s="152">
        <f>'Calc|Weightings'!AP121</f>
        <v>1</v>
      </c>
      <c r="J82" s="39"/>
      <c r="K82" s="154"/>
      <c r="L82" s="154"/>
      <c r="M82" s="154"/>
      <c r="N82" s="39"/>
      <c r="O82" s="110"/>
      <c r="P82" s="110">
        <f t="shared" si="32"/>
        <v>0</v>
      </c>
      <c r="Q82" s="110">
        <f t="shared" si="32"/>
        <v>0</v>
      </c>
      <c r="R82" s="110">
        <f t="shared" si="32"/>
        <v>0</v>
      </c>
      <c r="S82" s="110">
        <f t="shared" si="32"/>
        <v>0</v>
      </c>
      <c r="T82" s="110">
        <f t="shared" si="32"/>
        <v>0</v>
      </c>
      <c r="U82" s="110">
        <f t="shared" si="32"/>
        <v>0</v>
      </c>
      <c r="V82" s="110">
        <f t="shared" si="32"/>
        <v>0</v>
      </c>
      <c r="W82" s="39"/>
      <c r="X82" s="39"/>
      <c r="Y82" s="39"/>
    </row>
    <row r="83" spans="1:25" x14ac:dyDescent="0.2">
      <c r="A83" s="39"/>
      <c r="B83" s="39"/>
      <c r="C83" s="39"/>
      <c r="D83" s="39"/>
      <c r="E83" s="39"/>
      <c r="F83" s="39"/>
      <c r="G83" s="109"/>
      <c r="H83" s="109"/>
      <c r="I83" s="109"/>
      <c r="J83" s="39"/>
      <c r="K83" s="39"/>
      <c r="L83" s="39"/>
      <c r="M83" s="39"/>
      <c r="N83" s="39"/>
      <c r="O83" s="39"/>
      <c r="P83" s="39"/>
      <c r="Q83" s="39"/>
      <c r="R83" s="149"/>
      <c r="S83" s="39"/>
      <c r="T83" s="39"/>
      <c r="U83" s="39"/>
      <c r="V83" s="39"/>
      <c r="W83" s="39"/>
      <c r="X83" s="39"/>
      <c r="Y83" s="39"/>
    </row>
    <row r="84" spans="1:25" x14ac:dyDescent="0.2">
      <c r="A84" s="39"/>
      <c r="B84" s="39"/>
      <c r="C84" s="39"/>
      <c r="D84" s="39"/>
      <c r="E84" s="39"/>
      <c r="F84" s="39"/>
      <c r="G84" s="109"/>
      <c r="H84" s="109"/>
      <c r="I84" s="10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x14ac:dyDescent="0.2">
      <c r="A85" s="39"/>
      <c r="B85" s="39"/>
      <c r="C85" s="39"/>
      <c r="D85" s="39"/>
      <c r="E85" s="39" t="s">
        <v>2333</v>
      </c>
      <c r="F85" s="39"/>
      <c r="G85" s="153">
        <f>'Calc|Weightings'!AN98</f>
        <v>0.6749794616171404</v>
      </c>
      <c r="H85" s="153">
        <f>'Calc|Weightings'!AO98</f>
        <v>0.18092500969549372</v>
      </c>
      <c r="I85" s="153">
        <f>'Calc|Weightings'!AP98</f>
        <v>0.1440955286873658</v>
      </c>
      <c r="J85" s="39"/>
      <c r="K85" s="155"/>
      <c r="L85" s="155"/>
      <c r="M85" s="155"/>
      <c r="N85" s="39"/>
      <c r="O85" s="110"/>
      <c r="P85" s="110">
        <f t="shared" ref="P85:V92" si="33">($G85*P$64)+($H85*P$65)+($I85*P$66)</f>
        <v>0</v>
      </c>
      <c r="Q85" s="110">
        <f t="shared" si="33"/>
        <v>0</v>
      </c>
      <c r="R85" s="110">
        <f t="shared" si="33"/>
        <v>1.6110247198005919E-3</v>
      </c>
      <c r="S85" s="110">
        <f t="shared" si="33"/>
        <v>-7.8919986134054482E-5</v>
      </c>
      <c r="T85" s="110">
        <f t="shared" si="33"/>
        <v>-5.6910467894181972E-4</v>
      </c>
      <c r="U85" s="110">
        <f t="shared" si="33"/>
        <v>1.9078347788641199E-3</v>
      </c>
      <c r="V85" s="110">
        <f t="shared" si="33"/>
        <v>8.6536486357841683E-3</v>
      </c>
      <c r="W85" s="39"/>
      <c r="X85" s="39"/>
      <c r="Y85" s="39"/>
    </row>
    <row r="86" spans="1:25" x14ac:dyDescent="0.2">
      <c r="A86" s="39"/>
      <c r="B86" s="39"/>
      <c r="C86" s="39"/>
      <c r="D86" s="39"/>
      <c r="E86" s="39" t="s">
        <v>2299</v>
      </c>
      <c r="F86" s="39"/>
      <c r="G86" s="153">
        <f>'Calc|Weightings'!AN99</f>
        <v>0.25718294780635048</v>
      </c>
      <c r="H86" s="153">
        <f>'Calc|Weightings'!AO99</f>
        <v>0.21158164334085616</v>
      </c>
      <c r="I86" s="153">
        <f>'Calc|Weightings'!AP99</f>
        <v>0.53123540885279352</v>
      </c>
      <c r="J86" s="39"/>
      <c r="K86" s="155"/>
      <c r="L86" s="155"/>
      <c r="M86" s="155"/>
      <c r="N86" s="39"/>
      <c r="O86" s="110"/>
      <c r="P86" s="110">
        <f t="shared" si="33"/>
        <v>0</v>
      </c>
      <c r="Q86" s="110">
        <f t="shared" si="33"/>
        <v>0</v>
      </c>
      <c r="R86" s="110">
        <f t="shared" si="33"/>
        <v>6.138380646939297E-4</v>
      </c>
      <c r="S86" s="110">
        <f t="shared" si="33"/>
        <v>-3.0070358920498772E-5</v>
      </c>
      <c r="T86" s="110">
        <f t="shared" si="33"/>
        <v>-2.1684218152353795E-4</v>
      </c>
      <c r="U86" s="110">
        <f t="shared" si="33"/>
        <v>7.2692963305906206E-4</v>
      </c>
      <c r="V86" s="110">
        <f t="shared" si="33"/>
        <v>3.2972423488253581E-3</v>
      </c>
      <c r="W86" s="39"/>
      <c r="X86" s="39"/>
      <c r="Y86" s="39"/>
    </row>
    <row r="87" spans="1:25" x14ac:dyDescent="0.2">
      <c r="A87" s="39"/>
      <c r="B87" s="39"/>
      <c r="C87" s="39"/>
      <c r="D87" s="39"/>
      <c r="E87" s="39" t="s">
        <v>2300</v>
      </c>
      <c r="F87" s="39"/>
      <c r="G87" s="153">
        <f>'Calc|Weightings'!AN100</f>
        <v>0.5794969070585726</v>
      </c>
      <c r="H87" s="153">
        <f>'Calc|Weightings'!AO100</f>
        <v>0.12276744881336764</v>
      </c>
      <c r="I87" s="153">
        <f>'Calc|Weightings'!AP100</f>
        <v>0.29773564412805975</v>
      </c>
      <c r="J87" s="39"/>
      <c r="K87" s="155"/>
      <c r="L87" s="155"/>
      <c r="M87" s="155"/>
      <c r="N87" s="39"/>
      <c r="O87" s="110"/>
      <c r="P87" s="110">
        <f t="shared" si="33"/>
        <v>0</v>
      </c>
      <c r="Q87" s="110">
        <f t="shared" si="33"/>
        <v>0</v>
      </c>
      <c r="R87" s="110">
        <f t="shared" si="33"/>
        <v>1.383129258603858E-3</v>
      </c>
      <c r="S87" s="110">
        <f t="shared" si="33"/>
        <v>-6.775596958197675E-5</v>
      </c>
      <c r="T87" s="110">
        <f t="shared" si="33"/>
        <v>-4.88599164853421E-4</v>
      </c>
      <c r="U87" s="110">
        <f t="shared" si="33"/>
        <v>1.6379525843375057E-3</v>
      </c>
      <c r="V87" s="110">
        <f t="shared" si="33"/>
        <v>7.4295040136391861E-3</v>
      </c>
      <c r="W87" s="39"/>
      <c r="X87" s="39"/>
      <c r="Y87" s="39"/>
    </row>
    <row r="88" spans="1:25" x14ac:dyDescent="0.2">
      <c r="A88" s="39"/>
      <c r="B88" s="39"/>
      <c r="C88" s="39"/>
      <c r="D88" s="39"/>
      <c r="E88" s="39" t="s">
        <v>2309</v>
      </c>
      <c r="F88" s="39"/>
      <c r="G88" s="153">
        <f>'Calc|Weightings'!AN101</f>
        <v>0.77318415332871038</v>
      </c>
      <c r="H88" s="153">
        <f>'Calc|Weightings'!AO101</f>
        <v>0.14619788516769369</v>
      </c>
      <c r="I88" s="153">
        <f>'Calc|Weightings'!AP101</f>
        <v>8.0617961503595875E-2</v>
      </c>
      <c r="J88" s="39"/>
      <c r="K88" s="155"/>
      <c r="L88" s="155"/>
      <c r="M88" s="155"/>
      <c r="N88" s="39"/>
      <c r="O88" s="110"/>
      <c r="P88" s="110">
        <f t="shared" si="33"/>
        <v>0</v>
      </c>
      <c r="Q88" s="110">
        <f t="shared" si="33"/>
        <v>0</v>
      </c>
      <c r="R88" s="110">
        <f t="shared" si="33"/>
        <v>1.8454173123821349E-3</v>
      </c>
      <c r="S88" s="110">
        <f t="shared" si="33"/>
        <v>-9.0402280557662151E-5</v>
      </c>
      <c r="T88" s="110">
        <f t="shared" si="33"/>
        <v>-6.5190534581425043E-4</v>
      </c>
      <c r="U88" s="110">
        <f t="shared" si="33"/>
        <v>2.1854111155515834E-3</v>
      </c>
      <c r="V88" s="110">
        <f t="shared" si="33"/>
        <v>9.9126927175424203E-3</v>
      </c>
      <c r="W88" s="39"/>
      <c r="X88" s="39"/>
      <c r="Y88" s="39"/>
    </row>
    <row r="89" spans="1:25" x14ac:dyDescent="0.2">
      <c r="A89" s="39"/>
      <c r="B89" s="39"/>
      <c r="C89" s="39"/>
      <c r="D89" s="39"/>
      <c r="E89" s="39" t="s">
        <v>2301</v>
      </c>
      <c r="F89" s="39"/>
      <c r="G89" s="153">
        <f>'Calc|Weightings'!AN102</f>
        <v>0.52161804486591612</v>
      </c>
      <c r="H89" s="153">
        <f>'Calc|Weightings'!AO102</f>
        <v>0.27280920041243295</v>
      </c>
      <c r="I89" s="153">
        <f>'Calc|Weightings'!AP102</f>
        <v>0.20557275472165107</v>
      </c>
      <c r="J89" s="39"/>
      <c r="K89" s="155"/>
      <c r="L89" s="155"/>
      <c r="M89" s="155"/>
      <c r="N89" s="39"/>
      <c r="O89" s="110"/>
      <c r="P89" s="110">
        <f t="shared" si="33"/>
        <v>0</v>
      </c>
      <c r="Q89" s="110">
        <f t="shared" si="33"/>
        <v>0</v>
      </c>
      <c r="R89" s="110">
        <f t="shared" si="33"/>
        <v>1.2449853845326331E-3</v>
      </c>
      <c r="S89" s="110">
        <f t="shared" si="33"/>
        <v>-6.0988654039136969E-5</v>
      </c>
      <c r="T89" s="110">
        <f t="shared" si="33"/>
        <v>-4.3979896698258085E-4</v>
      </c>
      <c r="U89" s="110">
        <f t="shared" si="33"/>
        <v>1.4743575232556802E-3</v>
      </c>
      <c r="V89" s="110">
        <f t="shared" si="33"/>
        <v>6.6874616770409212E-3</v>
      </c>
      <c r="W89" s="39"/>
      <c r="X89" s="39"/>
      <c r="Y89" s="39"/>
    </row>
    <row r="90" spans="1:25" x14ac:dyDescent="0.2">
      <c r="A90" s="39"/>
      <c r="B90" s="39"/>
      <c r="C90" s="39"/>
      <c r="D90" s="39"/>
      <c r="E90" s="39" t="s">
        <v>2302</v>
      </c>
      <c r="F90" s="39"/>
      <c r="G90" s="153">
        <f>'Calc|Weightings'!AN103</f>
        <v>0.18784785064192577</v>
      </c>
      <c r="H90" s="153">
        <f>'Calc|Weightings'!AO103</f>
        <v>0.66536309210782796</v>
      </c>
      <c r="I90" s="153">
        <f>'Calc|Weightings'!AP103</f>
        <v>0.14678905725024616</v>
      </c>
      <c r="J90" s="39"/>
      <c r="K90" s="155"/>
      <c r="L90" s="155"/>
      <c r="M90" s="155"/>
      <c r="N90" s="39"/>
      <c r="O90" s="110"/>
      <c r="P90" s="110">
        <f t="shared" si="33"/>
        <v>0</v>
      </c>
      <c r="Q90" s="110">
        <f t="shared" si="33"/>
        <v>0</v>
      </c>
      <c r="R90" s="110">
        <f t="shared" si="33"/>
        <v>4.4835072495466138E-4</v>
      </c>
      <c r="S90" s="147">
        <f t="shared" si="33"/>
        <v>-2.196355683542513E-5</v>
      </c>
      <c r="T90" s="110">
        <f t="shared" si="33"/>
        <v>-1.5838273134023511E-4</v>
      </c>
      <c r="U90" s="110">
        <f t="shared" si="33"/>
        <v>5.3095343335471639E-4</v>
      </c>
      <c r="V90" s="110">
        <f t="shared" si="33"/>
        <v>2.4083240881846847E-3</v>
      </c>
      <c r="W90" s="39"/>
      <c r="X90" s="39"/>
      <c r="Y90" s="39"/>
    </row>
    <row r="91" spans="1:25" x14ac:dyDescent="0.2">
      <c r="A91" s="39"/>
      <c r="B91" s="39"/>
      <c r="C91" s="39"/>
      <c r="D91" s="39"/>
      <c r="E91" s="39" t="s">
        <v>2335</v>
      </c>
      <c r="F91" s="39"/>
      <c r="G91" s="153">
        <f>'Calc|Weightings'!AN104</f>
        <v>0.73940455341506128</v>
      </c>
      <c r="H91" s="153">
        <f>'Calc|Weightings'!AO104</f>
        <v>4.2637272071700837E-2</v>
      </c>
      <c r="I91" s="153">
        <f>'Calc|Weightings'!AP104</f>
        <v>0.21795817451323785</v>
      </c>
      <c r="J91" s="39"/>
      <c r="K91" s="155"/>
      <c r="L91" s="155"/>
      <c r="M91" s="155"/>
      <c r="N91" s="39"/>
      <c r="O91" s="110"/>
      <c r="P91" s="110">
        <f t="shared" si="33"/>
        <v>0</v>
      </c>
      <c r="Q91" s="110">
        <f t="shared" si="33"/>
        <v>0</v>
      </c>
      <c r="R91" s="110">
        <f t="shared" si="33"/>
        <v>1.7647929770053491E-3</v>
      </c>
      <c r="S91" s="110">
        <f t="shared" si="33"/>
        <v>-8.6452700298713135E-5</v>
      </c>
      <c r="T91" s="110">
        <f t="shared" si="33"/>
        <v>-6.2342428904611921E-4</v>
      </c>
      <c r="U91" s="110">
        <f t="shared" si="33"/>
        <v>2.0899328096236174E-3</v>
      </c>
      <c r="V91" s="110">
        <f t="shared" si="33"/>
        <v>9.4796176310653572E-3</v>
      </c>
      <c r="W91" s="39"/>
      <c r="X91" s="39"/>
      <c r="Y91" s="39"/>
    </row>
    <row r="92" spans="1:25" x14ac:dyDescent="0.2">
      <c r="A92" s="39"/>
      <c r="B92" s="39"/>
      <c r="C92" s="39"/>
      <c r="D92" s="39"/>
      <c r="E92" s="39" t="s">
        <v>2315</v>
      </c>
      <c r="F92" s="39"/>
      <c r="G92" s="153">
        <f>'Calc|Weightings'!AN105</f>
        <v>0</v>
      </c>
      <c r="H92" s="153">
        <f>'Calc|Weightings'!AO105</f>
        <v>0</v>
      </c>
      <c r="I92" s="153">
        <f>'Calc|Weightings'!AP105</f>
        <v>1</v>
      </c>
      <c r="J92" s="39"/>
      <c r="K92" s="155"/>
      <c r="L92" s="155"/>
      <c r="M92" s="155"/>
      <c r="N92" s="39"/>
      <c r="O92" s="110"/>
      <c r="P92" s="110">
        <f t="shared" si="33"/>
        <v>0</v>
      </c>
      <c r="Q92" s="110">
        <f t="shared" si="33"/>
        <v>0</v>
      </c>
      <c r="R92" s="110">
        <f t="shared" si="33"/>
        <v>0</v>
      </c>
      <c r="S92" s="110">
        <f t="shared" si="33"/>
        <v>0</v>
      </c>
      <c r="T92" s="110">
        <f t="shared" si="33"/>
        <v>0</v>
      </c>
      <c r="U92" s="110">
        <f t="shared" si="33"/>
        <v>0</v>
      </c>
      <c r="V92" s="110">
        <f t="shared" si="33"/>
        <v>0</v>
      </c>
      <c r="W92" s="39"/>
      <c r="X92" s="39"/>
      <c r="Y92" s="39"/>
    </row>
    <row r="93" spans="1:25" x14ac:dyDescent="0.2">
      <c r="A93" s="39"/>
      <c r="B93" s="39"/>
      <c r="C93" s="39"/>
      <c r="D93" s="39"/>
      <c r="E93" s="39"/>
      <c r="F93" s="39"/>
      <c r="G93" s="109"/>
      <c r="H93" s="109"/>
      <c r="I93" s="10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s="39" customFormat="1" x14ac:dyDescent="0.2"/>
    <row r="95" spans="1:25" s="21" customFormat="1" x14ac:dyDescent="0.2">
      <c r="A95" s="22" t="s">
        <v>9</v>
      </c>
      <c r="B95" s="22"/>
      <c r="C95" s="15"/>
      <c r="D95" s="24"/>
      <c r="E95" s="25"/>
      <c r="F95" s="25"/>
      <c r="G95" s="25"/>
      <c r="H95" s="26"/>
      <c r="I95" s="20"/>
      <c r="J95" s="20"/>
      <c r="K95" s="25"/>
      <c r="L95" s="25"/>
    </row>
    <row r="96" spans="1: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hidden="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hidden="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hidden="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hidden="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hidden="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hidden="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hidden="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hidden="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hidden="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hidden="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hidden="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hidden="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hidden="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hidden="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hidden="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hidden="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hidden="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hidden="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hidden="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hidden="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hidden="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hidden="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hidden="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hidden="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hidden="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hidden="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hidden="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hidden="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hidden="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hidden="1" x14ac:dyDescent="0.2"/>
    <row r="127" spans="1:25" hidden="1" x14ac:dyDescent="0.2"/>
    <row r="128" spans="1:25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79"/>
  <sheetViews>
    <sheetView zoomScale="80" zoomScaleNormal="80" workbookViewId="0">
      <pane xSplit="5" ySplit="5" topLeftCell="F96" activePane="bottomRight" state="frozen"/>
      <selection activeCell="I2" sqref="I2"/>
      <selection pane="topRight" activeCell="I2" sqref="I2"/>
      <selection pane="bottomLeft" activeCell="I2" sqref="I2"/>
      <selection pane="bottomRight" activeCell="G91" sqref="G91:K91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0.87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</row>
    <row r="2" spans="1:12" x14ac:dyDescent="0.2">
      <c r="A2" s="22" t="str">
        <f ca="1" xml:space="preserve"> "Sheet: " &amp; RIGHT(CELL("filename", $A$1), LEN(CELL("filename", $A$1)) - SEARCH("]", CELL("filename", $A$1)))</f>
        <v>Sheet: Output|PTRM - proposed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</row>
    <row r="3" spans="1:12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x14ac:dyDescent="0.2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</row>
    <row r="5" spans="1:12" x14ac:dyDescent="0.2">
      <c r="A5" s="22"/>
      <c r="B5" s="22"/>
      <c r="C5" s="22"/>
      <c r="D5" s="22"/>
      <c r="E5" s="22"/>
      <c r="F5" s="22"/>
      <c r="G5" s="31" t="s">
        <v>2432</v>
      </c>
      <c r="H5" s="31" t="s">
        <v>2433</v>
      </c>
      <c r="I5" s="31" t="s">
        <v>2434</v>
      </c>
      <c r="J5" s="31" t="s">
        <v>2435</v>
      </c>
      <c r="K5" s="31" t="s">
        <v>2436</v>
      </c>
      <c r="L5" s="17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</row>
    <row r="7" spans="1:12" x14ac:dyDescent="0.2">
      <c r="A7" s="22" t="s">
        <v>2438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">
      <c r="A9" s="59" t="s">
        <v>2330</v>
      </c>
      <c r="B9" s="13"/>
      <c r="C9" s="13"/>
      <c r="D9" s="13"/>
      <c r="E9" s="13"/>
      <c r="F9" s="13"/>
      <c r="G9" s="63" t="s">
        <v>2437</v>
      </c>
      <c r="H9" s="63" t="s">
        <v>2437</v>
      </c>
      <c r="I9" s="63" t="s">
        <v>2437</v>
      </c>
      <c r="J9" s="63" t="s">
        <v>2437</v>
      </c>
      <c r="K9" s="63" t="s">
        <v>2437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">
      <c r="A11" s="7"/>
      <c r="B11" s="7"/>
      <c r="C11" s="7"/>
      <c r="D11" s="7"/>
      <c r="E11" s="39" t="s">
        <v>2307</v>
      </c>
      <c r="F11" s="7"/>
      <c r="G11" s="44">
        <v>57.373762864793811</v>
      </c>
      <c r="H11" s="44">
        <v>55.158793365058173</v>
      </c>
      <c r="I11" s="44">
        <v>57.184101064208051</v>
      </c>
      <c r="J11" s="44">
        <v>54.989477810831055</v>
      </c>
      <c r="K11" s="44">
        <v>49.392273224214094</v>
      </c>
      <c r="L11" s="7"/>
    </row>
    <row r="12" spans="1:12" x14ac:dyDescent="0.2">
      <c r="A12" s="7"/>
      <c r="B12" s="7"/>
      <c r="C12" s="7"/>
      <c r="D12" s="7"/>
      <c r="E12" s="39" t="s">
        <v>2310</v>
      </c>
      <c r="F12" s="7"/>
      <c r="G12" s="156">
        <v>146.38788232554026</v>
      </c>
      <c r="H12" s="156">
        <v>140.82241334937885</v>
      </c>
      <c r="I12" s="156">
        <v>146.142335281736</v>
      </c>
      <c r="J12" s="156">
        <v>140.62537495573184</v>
      </c>
      <c r="K12" s="156">
        <v>126.25068092340699</v>
      </c>
      <c r="L12" s="7"/>
    </row>
    <row r="13" spans="1:12" x14ac:dyDescent="0.2">
      <c r="A13" s="7"/>
      <c r="B13" s="7"/>
      <c r="C13" s="7"/>
      <c r="D13" s="7"/>
      <c r="E13" s="39" t="s">
        <v>2311</v>
      </c>
      <c r="F13" s="7"/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7"/>
    </row>
    <row r="14" spans="1:12" x14ac:dyDescent="0.2">
      <c r="A14" s="7"/>
      <c r="B14" s="7"/>
      <c r="C14" s="7"/>
      <c r="D14" s="7"/>
      <c r="E14" s="39" t="s">
        <v>2312</v>
      </c>
      <c r="F14" s="7"/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7"/>
    </row>
    <row r="15" spans="1:12" x14ac:dyDescent="0.2">
      <c r="A15" s="7"/>
      <c r="B15" s="7"/>
      <c r="C15" s="7"/>
      <c r="D15" s="7"/>
      <c r="E15" s="39" t="s">
        <v>2309</v>
      </c>
      <c r="F15" s="7"/>
      <c r="G15" s="142">
        <v>9.6372236652585954</v>
      </c>
      <c r="H15" s="44">
        <v>10.196044714242174</v>
      </c>
      <c r="I15" s="44">
        <v>8.8603136032337044</v>
      </c>
      <c r="J15" s="44">
        <v>9.9219578290272761</v>
      </c>
      <c r="K15" s="44">
        <v>10.593225295667112</v>
      </c>
      <c r="L15" s="7"/>
    </row>
    <row r="16" spans="1:12" x14ac:dyDescent="0.2">
      <c r="A16" s="7"/>
      <c r="B16" s="7"/>
      <c r="C16" s="7"/>
      <c r="D16" s="7"/>
      <c r="E16" s="39" t="s">
        <v>2301</v>
      </c>
      <c r="F16" s="7"/>
      <c r="G16" s="119">
        <v>3.8038972485739571</v>
      </c>
      <c r="H16" s="119">
        <v>3.0781299068519417</v>
      </c>
      <c r="I16" s="119">
        <v>3.5823963755697967</v>
      </c>
      <c r="J16" s="119">
        <v>2.7747872486024292</v>
      </c>
      <c r="K16" s="119">
        <v>1.6035630444076006</v>
      </c>
      <c r="L16" s="7"/>
    </row>
    <row r="17" spans="1:12" x14ac:dyDescent="0.2">
      <c r="A17" s="7"/>
      <c r="B17" s="7"/>
      <c r="C17" s="7"/>
      <c r="D17" s="7"/>
      <c r="E17" s="39" t="s">
        <v>2302</v>
      </c>
      <c r="F17" s="7"/>
      <c r="G17" s="44">
        <v>6.284810978011155</v>
      </c>
      <c r="H17" s="44">
        <v>5.4437058157307137</v>
      </c>
      <c r="I17" s="142">
        <v>3.9744465568103533</v>
      </c>
      <c r="J17" s="44">
        <v>2.6771532308994344</v>
      </c>
      <c r="K17" s="44">
        <v>2.692162968803002</v>
      </c>
      <c r="L17" s="7"/>
    </row>
    <row r="18" spans="1:12" x14ac:dyDescent="0.2">
      <c r="A18" s="7"/>
      <c r="B18" s="7"/>
      <c r="C18" s="7"/>
      <c r="D18" s="7"/>
      <c r="E18" s="39" t="s">
        <v>39</v>
      </c>
      <c r="F18" s="7"/>
      <c r="G18" s="142">
        <v>0</v>
      </c>
      <c r="H18" s="44">
        <v>0</v>
      </c>
      <c r="I18" s="44">
        <v>0</v>
      </c>
      <c r="J18" s="44">
        <v>0</v>
      </c>
      <c r="K18" s="44">
        <v>0</v>
      </c>
      <c r="L18" s="7"/>
    </row>
    <row r="19" spans="1:12" x14ac:dyDescent="0.2">
      <c r="A19" s="7"/>
      <c r="B19" s="7"/>
      <c r="C19" s="7"/>
      <c r="D19" s="7"/>
      <c r="E19" s="39" t="s">
        <v>2313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7"/>
    </row>
    <row r="20" spans="1:12" x14ac:dyDescent="0.2">
      <c r="A20" s="7"/>
      <c r="B20" s="7"/>
      <c r="C20" s="7"/>
      <c r="D20" s="7"/>
      <c r="E20" s="39" t="s">
        <v>2314</v>
      </c>
      <c r="F20" s="7"/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7"/>
    </row>
    <row r="21" spans="1:12" x14ac:dyDescent="0.2">
      <c r="A21" s="7"/>
      <c r="B21" s="7"/>
      <c r="C21" s="7"/>
      <c r="D21" s="7"/>
      <c r="E21" s="39" t="s">
        <v>2315</v>
      </c>
      <c r="F21" s="7"/>
      <c r="G21" s="142">
        <v>0</v>
      </c>
      <c r="H21" s="44">
        <v>0</v>
      </c>
      <c r="I21" s="44">
        <v>0</v>
      </c>
      <c r="J21" s="44">
        <v>0</v>
      </c>
      <c r="K21" s="44">
        <v>0</v>
      </c>
      <c r="L21" s="7"/>
    </row>
    <row r="22" spans="1:12" x14ac:dyDescent="0.2">
      <c r="A22" s="7"/>
      <c r="B22" s="7"/>
      <c r="C22" s="7"/>
      <c r="D22" s="7"/>
      <c r="E22" s="39" t="s">
        <v>2440</v>
      </c>
      <c r="F22" s="7"/>
      <c r="G22" s="142">
        <v>20.817900961554184</v>
      </c>
      <c r="H22" s="44">
        <v>16.845934408892024</v>
      </c>
      <c r="I22" s="44">
        <v>19.605674937618591</v>
      </c>
      <c r="J22" s="44">
        <v>15.185806123560369</v>
      </c>
      <c r="K22" s="44">
        <v>8.7759512054645104</v>
      </c>
      <c r="L22" s="7"/>
    </row>
    <row r="23" spans="1:12" x14ac:dyDescent="0.2">
      <c r="A23" s="7"/>
      <c r="B23" s="7"/>
      <c r="C23" s="7"/>
      <c r="D23" s="7"/>
      <c r="E23" s="39" t="s">
        <v>2326</v>
      </c>
      <c r="F23" s="7"/>
      <c r="G23" s="44"/>
      <c r="H23" s="44"/>
      <c r="I23" s="44"/>
      <c r="J23" s="44"/>
      <c r="K23" s="44"/>
      <c r="L23" s="7"/>
    </row>
    <row r="24" spans="1:12" x14ac:dyDescent="0.2">
      <c r="A24" s="7"/>
      <c r="B24" s="7"/>
      <c r="C24" s="7"/>
      <c r="D24" s="7"/>
      <c r="E24" s="39" t="s">
        <v>2327</v>
      </c>
      <c r="F24" s="7"/>
      <c r="G24" s="44"/>
      <c r="H24" s="44"/>
      <c r="I24" s="44"/>
      <c r="J24" s="44"/>
      <c r="K24" s="44"/>
      <c r="L24" s="7"/>
    </row>
    <row r="25" spans="1:12" x14ac:dyDescent="0.2">
      <c r="A25" s="7"/>
      <c r="B25" s="7"/>
      <c r="C25" s="7"/>
      <c r="D25" s="7"/>
      <c r="E25" s="39" t="s">
        <v>2328</v>
      </c>
      <c r="F25" s="7"/>
      <c r="G25" s="44"/>
      <c r="H25" s="44"/>
      <c r="I25" s="44"/>
      <c r="J25" s="44"/>
      <c r="K25" s="44"/>
      <c r="L25" s="7"/>
    </row>
    <row r="26" spans="1:12" x14ac:dyDescent="0.2">
      <c r="A26" s="7"/>
      <c r="B26" s="7"/>
      <c r="C26" s="7"/>
      <c r="D26" s="7"/>
      <c r="E26" s="7"/>
      <c r="F26" s="7"/>
      <c r="G26" s="44"/>
      <c r="H26" s="44"/>
      <c r="I26" s="44"/>
      <c r="J26" s="44"/>
      <c r="K26" s="44"/>
      <c r="L26" s="7"/>
    </row>
    <row r="27" spans="1:12" x14ac:dyDescent="0.2">
      <c r="A27" s="7"/>
      <c r="B27" s="7"/>
      <c r="C27" s="7"/>
      <c r="D27" s="7"/>
      <c r="E27" s="9" t="s">
        <v>2209</v>
      </c>
      <c r="F27" s="7"/>
      <c r="G27" s="61">
        <f t="shared" ref="G27" si="0">SUM(G11:G25)</f>
        <v>244.30547804373197</v>
      </c>
      <c r="H27" s="61">
        <f t="shared" ref="H27:K27" si="1">SUM(H11:H25)</f>
        <v>231.54502156015386</v>
      </c>
      <c r="I27" s="145">
        <f t="shared" si="1"/>
        <v>239.3492678191765</v>
      </c>
      <c r="J27" s="61">
        <f t="shared" si="1"/>
        <v>226.17455719865239</v>
      </c>
      <c r="K27" s="61">
        <f t="shared" si="1"/>
        <v>199.30785666196329</v>
      </c>
      <c r="L27" s="7"/>
    </row>
    <row r="28" spans="1:12" x14ac:dyDescent="0.2">
      <c r="A28" s="7"/>
      <c r="B28" s="7"/>
      <c r="C28" s="7"/>
      <c r="D28" s="7"/>
      <c r="E28" s="7"/>
      <c r="F28" s="7"/>
      <c r="G28" s="126">
        <f>G27-'Output|Functional'!M120</f>
        <v>82.083104016761922</v>
      </c>
      <c r="H28" s="126">
        <f>H27-'Output|Functional'!N120</f>
        <v>50.04734065178485</v>
      </c>
      <c r="I28" s="126">
        <f>I27-'Output|Functional'!O120</f>
        <v>68.734362337188742</v>
      </c>
      <c r="J28" s="126">
        <f>J27-'Output|Functional'!P120</f>
        <v>66.25643247357462</v>
      </c>
      <c r="K28" s="126">
        <f>K27-'Output|Functional'!Q120</f>
        <v>47.33373991895354</v>
      </c>
      <c r="L28" s="7"/>
    </row>
    <row r="29" spans="1:12" x14ac:dyDescent="0.2">
      <c r="A29" s="7"/>
      <c r="B29" s="7"/>
      <c r="C29" s="7"/>
      <c r="D29" s="7"/>
      <c r="E29" s="157" t="s">
        <v>2442</v>
      </c>
      <c r="F29" s="157"/>
      <c r="G29" s="164">
        <f>G22/SUM(G16,G22)</f>
        <v>0.84550692779988634</v>
      </c>
      <c r="H29" s="164">
        <f t="shared" ref="H29:K29" si="2">H22/SUM(H16,H22)</f>
        <v>0.84550692779988634</v>
      </c>
      <c r="I29" s="164">
        <f t="shared" si="2"/>
        <v>0.84550692779988634</v>
      </c>
      <c r="J29" s="164">
        <f t="shared" si="2"/>
        <v>0.84550692779988634</v>
      </c>
      <c r="K29" s="164">
        <f t="shared" si="2"/>
        <v>0.84550692779988634</v>
      </c>
      <c r="L29" s="7"/>
    </row>
    <row r="30" spans="1:12" x14ac:dyDescent="0.2">
      <c r="A30" s="59" t="s">
        <v>2332</v>
      </c>
      <c r="B30" s="13"/>
      <c r="C30" s="13"/>
      <c r="D30" s="13"/>
      <c r="E30" s="13"/>
      <c r="F30" s="13"/>
      <c r="G30" s="63" t="s">
        <v>2437</v>
      </c>
      <c r="H30" s="63" t="s">
        <v>2437</v>
      </c>
      <c r="I30" s="63" t="s">
        <v>2437</v>
      </c>
      <c r="J30" s="63" t="s">
        <v>2437</v>
      </c>
      <c r="K30" s="63" t="s">
        <v>2437</v>
      </c>
      <c r="L30" s="13"/>
    </row>
    <row r="31" spans="1:12" x14ac:dyDescent="0.2">
      <c r="A31" s="7"/>
      <c r="B31" s="7"/>
      <c r="C31" s="7"/>
      <c r="D31" s="7"/>
      <c r="E31" s="7"/>
      <c r="F31" s="7"/>
      <c r="G31" s="7" t="s">
        <v>2321</v>
      </c>
      <c r="H31" s="7" t="s">
        <v>2321</v>
      </c>
      <c r="I31" s="7" t="s">
        <v>2321</v>
      </c>
      <c r="J31" s="7" t="s">
        <v>2321</v>
      </c>
      <c r="K31" s="7" t="s">
        <v>2321</v>
      </c>
      <c r="L31" s="7"/>
    </row>
    <row r="32" spans="1:12" x14ac:dyDescent="0.2">
      <c r="A32" s="7"/>
      <c r="B32" s="7"/>
      <c r="C32" s="7"/>
      <c r="D32" s="7"/>
      <c r="E32" s="39" t="s">
        <v>2307</v>
      </c>
      <c r="F32" s="7"/>
      <c r="G32" s="44">
        <v>18.448672348891385</v>
      </c>
      <c r="H32" s="44">
        <v>17.430446765534622</v>
      </c>
      <c r="I32" s="44">
        <v>15.463264161372802</v>
      </c>
      <c r="J32" s="44">
        <v>15.237769839343187</v>
      </c>
      <c r="K32" s="44">
        <v>15.52979637477638</v>
      </c>
      <c r="L32" s="7"/>
    </row>
    <row r="33" spans="1:12" x14ac:dyDescent="0.2">
      <c r="A33" s="7"/>
      <c r="B33" s="7"/>
      <c r="C33" s="7"/>
      <c r="D33" s="7"/>
      <c r="E33" s="39" t="s">
        <v>2310</v>
      </c>
      <c r="F33" s="7"/>
      <c r="G33" s="44">
        <v>47.040533714314343</v>
      </c>
      <c r="H33" s="44">
        <v>44.444256108161859</v>
      </c>
      <c r="I33" s="44">
        <v>39.428322285756067</v>
      </c>
      <c r="J33" s="44">
        <v>38.853355531660192</v>
      </c>
      <c r="K33" s="44">
        <v>39.59796651643628</v>
      </c>
      <c r="L33" s="7"/>
    </row>
    <row r="34" spans="1:12" x14ac:dyDescent="0.2">
      <c r="A34" s="7"/>
      <c r="B34" s="7"/>
      <c r="C34" s="7"/>
      <c r="D34" s="7"/>
      <c r="E34" s="39" t="s">
        <v>2311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7"/>
    </row>
    <row r="35" spans="1:12" x14ac:dyDescent="0.2">
      <c r="A35" s="7"/>
      <c r="B35" s="7"/>
      <c r="C35" s="7"/>
      <c r="D35" s="7"/>
      <c r="E35" s="39" t="s">
        <v>2312</v>
      </c>
      <c r="F35" s="7"/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7"/>
    </row>
    <row r="36" spans="1:12" x14ac:dyDescent="0.2">
      <c r="A36" s="7"/>
      <c r="B36" s="7"/>
      <c r="C36" s="7"/>
      <c r="D36" s="7"/>
      <c r="E36" s="39" t="s">
        <v>2309</v>
      </c>
      <c r="F36" s="7"/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7"/>
    </row>
    <row r="37" spans="1:12" x14ac:dyDescent="0.2">
      <c r="A37" s="7"/>
      <c r="B37" s="7"/>
      <c r="C37" s="7"/>
      <c r="D37" s="7"/>
      <c r="E37" s="39" t="s">
        <v>2301</v>
      </c>
      <c r="F37" s="7"/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7"/>
    </row>
    <row r="38" spans="1:12" x14ac:dyDescent="0.2">
      <c r="A38" s="7"/>
      <c r="B38" s="7"/>
      <c r="C38" s="7"/>
      <c r="D38" s="7"/>
      <c r="E38" s="39" t="s">
        <v>2302</v>
      </c>
      <c r="F38" s="7"/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7"/>
    </row>
    <row r="39" spans="1:12" x14ac:dyDescent="0.2">
      <c r="A39" s="7"/>
      <c r="B39" s="7"/>
      <c r="C39" s="7"/>
      <c r="D39" s="7"/>
      <c r="E39" s="39" t="s">
        <v>39</v>
      </c>
      <c r="F39" s="7"/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7"/>
    </row>
    <row r="40" spans="1:12" x14ac:dyDescent="0.2">
      <c r="A40" s="7"/>
      <c r="B40" s="7"/>
      <c r="C40" s="7"/>
      <c r="D40" s="7"/>
      <c r="E40" s="39" t="s">
        <v>2313</v>
      </c>
      <c r="F40" s="7"/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7"/>
    </row>
    <row r="41" spans="1:12" x14ac:dyDescent="0.2">
      <c r="A41" s="7"/>
      <c r="B41" s="7"/>
      <c r="C41" s="7"/>
      <c r="D41" s="7"/>
      <c r="E41" s="39" t="s">
        <v>2314</v>
      </c>
      <c r="F41" s="7"/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7"/>
    </row>
    <row r="42" spans="1:12" x14ac:dyDescent="0.2">
      <c r="A42" s="7"/>
      <c r="B42" s="7"/>
      <c r="C42" s="7"/>
      <c r="D42" s="7"/>
      <c r="E42" s="39" t="s">
        <v>2315</v>
      </c>
      <c r="F42" s="7"/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7"/>
    </row>
    <row r="43" spans="1:12" x14ac:dyDescent="0.2">
      <c r="A43" s="7"/>
      <c r="B43" s="7"/>
      <c r="C43" s="7"/>
      <c r="D43" s="7"/>
      <c r="E43" s="39" t="s">
        <v>2440</v>
      </c>
      <c r="F43" s="7"/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7"/>
    </row>
    <row r="44" spans="1:12" x14ac:dyDescent="0.2">
      <c r="A44" s="7"/>
      <c r="B44" s="7"/>
      <c r="C44" s="7"/>
      <c r="D44" s="7"/>
      <c r="E44" s="39" t="s">
        <v>2326</v>
      </c>
      <c r="F44" s="7"/>
      <c r="G44" s="44"/>
      <c r="H44" s="44"/>
      <c r="I44" s="44"/>
      <c r="J44" s="44"/>
      <c r="K44" s="44"/>
      <c r="L44" s="7"/>
    </row>
    <row r="45" spans="1:12" x14ac:dyDescent="0.2">
      <c r="A45" s="7"/>
      <c r="B45" s="7"/>
      <c r="C45" s="7"/>
      <c r="D45" s="7"/>
      <c r="E45" s="39" t="s">
        <v>2327</v>
      </c>
      <c r="F45" s="7"/>
      <c r="G45" s="44"/>
      <c r="H45" s="44"/>
      <c r="I45" s="44"/>
      <c r="J45" s="44"/>
      <c r="K45" s="44"/>
      <c r="L45" s="7"/>
    </row>
    <row r="46" spans="1:12" x14ac:dyDescent="0.2">
      <c r="A46" s="7"/>
      <c r="B46" s="7"/>
      <c r="C46" s="7"/>
      <c r="D46" s="7"/>
      <c r="E46" s="39" t="s">
        <v>2328</v>
      </c>
      <c r="F46" s="7"/>
      <c r="G46" s="44"/>
      <c r="H46" s="44"/>
      <c r="I46" s="44"/>
      <c r="J46" s="44"/>
      <c r="K46" s="44"/>
      <c r="L46" s="7"/>
    </row>
    <row r="47" spans="1:12" x14ac:dyDescent="0.2">
      <c r="A47" s="7"/>
      <c r="B47" s="7"/>
      <c r="C47" s="7"/>
      <c r="D47" s="7"/>
      <c r="E47" s="7"/>
      <c r="F47" s="7"/>
      <c r="G47" s="44"/>
      <c r="H47" s="44"/>
      <c r="I47" s="44"/>
      <c r="J47" s="44"/>
      <c r="K47" s="44"/>
      <c r="L47" s="7"/>
    </row>
    <row r="48" spans="1:12" x14ac:dyDescent="0.2">
      <c r="A48" s="7"/>
      <c r="B48" s="7"/>
      <c r="C48" s="7"/>
      <c r="D48" s="7"/>
      <c r="E48" s="9" t="s">
        <v>2209</v>
      </c>
      <c r="F48" s="7"/>
      <c r="G48" s="61">
        <f t="shared" ref="G48:K48" si="3">SUM(G32:G46)</f>
        <v>65.489206063205728</v>
      </c>
      <c r="H48" s="61">
        <f t="shared" si="3"/>
        <v>61.874702873696478</v>
      </c>
      <c r="I48" s="61">
        <f t="shared" si="3"/>
        <v>54.891586447128873</v>
      </c>
      <c r="J48" s="61">
        <f t="shared" si="3"/>
        <v>54.091125371003379</v>
      </c>
      <c r="K48" s="61">
        <f t="shared" si="3"/>
        <v>55.127762891212662</v>
      </c>
      <c r="L48" s="7"/>
    </row>
    <row r="49" spans="1:12" x14ac:dyDescent="0.2">
      <c r="A49" s="7"/>
      <c r="B49" s="7"/>
      <c r="C49" s="7"/>
      <c r="D49" s="7"/>
      <c r="E49" s="7"/>
      <c r="F49" s="7"/>
      <c r="G49" s="65">
        <f>G48-'Output|Functional'!M88</f>
        <v>27.435032350713776</v>
      </c>
      <c r="H49" s="65">
        <f>H48-'Output|Functional'!N88</f>
        <v>0.83221649760991312</v>
      </c>
      <c r="I49" s="65">
        <f>I48-'Output|Functional'!O88</f>
        <v>1.5999358721552639</v>
      </c>
      <c r="J49" s="65">
        <f>J48-'Output|Functional'!P88</f>
        <v>2.1797976742863554</v>
      </c>
      <c r="K49" s="65">
        <f>K48-'Output|Functional'!Q88</f>
        <v>2.7279643763860619</v>
      </c>
      <c r="L49" s="7"/>
    </row>
    <row r="50" spans="1:12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2">
      <c r="A51" s="59" t="s">
        <v>2331</v>
      </c>
      <c r="B51" s="13"/>
      <c r="C51" s="13"/>
      <c r="D51" s="13"/>
      <c r="E51" s="13"/>
      <c r="F51" s="13"/>
      <c r="G51" s="63" t="s">
        <v>2437</v>
      </c>
      <c r="H51" s="63" t="s">
        <v>2437</v>
      </c>
      <c r="I51" s="63" t="s">
        <v>2437</v>
      </c>
      <c r="J51" s="63" t="s">
        <v>2437</v>
      </c>
      <c r="K51" s="63" t="s">
        <v>2437</v>
      </c>
      <c r="L51" s="13"/>
    </row>
    <row r="52" spans="1:12" x14ac:dyDescent="0.2">
      <c r="A52" s="7"/>
      <c r="B52" s="7"/>
      <c r="C52" s="7"/>
      <c r="D52" s="7"/>
      <c r="E52" s="7"/>
      <c r="F52" s="7"/>
      <c r="G52" s="7" t="s">
        <v>2321</v>
      </c>
      <c r="H52" s="7" t="s">
        <v>2321</v>
      </c>
      <c r="I52" s="7" t="s">
        <v>2321</v>
      </c>
      <c r="J52" s="7" t="s">
        <v>2321</v>
      </c>
      <c r="K52" s="7" t="s">
        <v>2321</v>
      </c>
      <c r="L52" s="7"/>
    </row>
    <row r="53" spans="1:12" x14ac:dyDescent="0.2">
      <c r="A53" s="7"/>
      <c r="B53" s="7"/>
      <c r="C53" s="7"/>
      <c r="D53" s="7"/>
      <c r="E53" s="39" t="s">
        <v>2307</v>
      </c>
      <c r="F53" s="7"/>
      <c r="G53" s="55"/>
      <c r="H53" s="55"/>
      <c r="I53" s="55"/>
      <c r="J53" s="55"/>
      <c r="K53" s="55"/>
      <c r="L53" s="7"/>
    </row>
    <row r="54" spans="1:12" x14ac:dyDescent="0.2">
      <c r="A54" s="7"/>
      <c r="B54" s="7"/>
      <c r="C54" s="7"/>
      <c r="D54" s="7"/>
      <c r="E54" s="39" t="s">
        <v>2310</v>
      </c>
      <c r="F54" s="7"/>
      <c r="G54" s="55"/>
      <c r="H54" s="55"/>
      <c r="I54" s="55"/>
      <c r="J54" s="55"/>
      <c r="K54" s="55"/>
      <c r="L54" s="7"/>
    </row>
    <row r="55" spans="1:12" x14ac:dyDescent="0.2">
      <c r="A55" s="7"/>
      <c r="B55" s="7"/>
      <c r="C55" s="7"/>
      <c r="D55" s="7"/>
      <c r="E55" s="39" t="s">
        <v>2311</v>
      </c>
      <c r="F55" s="7"/>
      <c r="G55" s="55"/>
      <c r="H55" s="55"/>
      <c r="I55" s="55"/>
      <c r="J55" s="55"/>
      <c r="K55" s="55"/>
      <c r="L55" s="7"/>
    </row>
    <row r="56" spans="1:12" x14ac:dyDescent="0.2">
      <c r="A56" s="7"/>
      <c r="B56" s="7"/>
      <c r="C56" s="7"/>
      <c r="D56" s="7"/>
      <c r="E56" s="39" t="s">
        <v>2312</v>
      </c>
      <c r="F56" s="7"/>
      <c r="G56" s="55"/>
      <c r="H56" s="55"/>
      <c r="I56" s="55"/>
      <c r="J56" s="55"/>
      <c r="K56" s="55"/>
      <c r="L56" s="7"/>
    </row>
    <row r="57" spans="1:12" x14ac:dyDescent="0.2">
      <c r="A57" s="7"/>
      <c r="B57" s="7"/>
      <c r="C57" s="7"/>
      <c r="D57" s="7"/>
      <c r="E57" s="39" t="s">
        <v>2309</v>
      </c>
      <c r="F57" s="7"/>
      <c r="G57" s="55"/>
      <c r="H57" s="55"/>
      <c r="I57" s="55"/>
      <c r="J57" s="55"/>
      <c r="K57" s="55"/>
      <c r="L57" s="7"/>
    </row>
    <row r="58" spans="1:12" x14ac:dyDescent="0.2">
      <c r="A58" s="7"/>
      <c r="B58" s="7"/>
      <c r="C58" s="7"/>
      <c r="D58" s="7"/>
      <c r="E58" s="39" t="s">
        <v>2301</v>
      </c>
      <c r="F58" s="7"/>
      <c r="G58" s="55"/>
      <c r="H58" s="55"/>
      <c r="I58" s="55"/>
      <c r="J58" s="55"/>
      <c r="K58" s="55"/>
      <c r="L58" s="7"/>
    </row>
    <row r="59" spans="1:12" x14ac:dyDescent="0.2">
      <c r="A59" s="7"/>
      <c r="B59" s="7"/>
      <c r="C59" s="7"/>
      <c r="D59" s="7"/>
      <c r="E59" s="39" t="s">
        <v>2302</v>
      </c>
      <c r="F59" s="7"/>
      <c r="G59" s="44">
        <v>0.43577231873097599</v>
      </c>
      <c r="H59" s="44">
        <v>0.43577231873097599</v>
      </c>
      <c r="I59" s="44">
        <v>0.43577231873097599</v>
      </c>
      <c r="J59" s="44">
        <v>0.43577231873097599</v>
      </c>
      <c r="K59" s="44">
        <v>0.43577231873097599</v>
      </c>
      <c r="L59" s="7"/>
    </row>
    <row r="60" spans="1:12" x14ac:dyDescent="0.2">
      <c r="A60" s="7"/>
      <c r="B60" s="7"/>
      <c r="C60" s="7"/>
      <c r="D60" s="7"/>
      <c r="E60" s="39" t="s">
        <v>39</v>
      </c>
      <c r="F60" s="7"/>
      <c r="G60" s="55"/>
      <c r="H60" s="55"/>
      <c r="I60" s="55"/>
      <c r="J60" s="55"/>
      <c r="K60" s="55"/>
      <c r="L60" s="7"/>
    </row>
    <row r="61" spans="1:12" x14ac:dyDescent="0.2">
      <c r="A61" s="7"/>
      <c r="B61" s="7"/>
      <c r="C61" s="7"/>
      <c r="D61" s="7"/>
      <c r="E61" s="39" t="s">
        <v>2313</v>
      </c>
      <c r="F61" s="7"/>
      <c r="G61" s="55"/>
      <c r="H61" s="55"/>
      <c r="I61" s="55"/>
      <c r="J61" s="55"/>
      <c r="K61" s="55"/>
      <c r="L61" s="7"/>
    </row>
    <row r="62" spans="1:12" x14ac:dyDescent="0.2">
      <c r="A62" s="7"/>
      <c r="B62" s="7"/>
      <c r="C62" s="7"/>
      <c r="D62" s="7"/>
      <c r="E62" s="39" t="s">
        <v>2314</v>
      </c>
      <c r="F62" s="7"/>
      <c r="G62" s="55"/>
      <c r="H62" s="55"/>
      <c r="I62" s="55"/>
      <c r="J62" s="55"/>
      <c r="K62" s="55"/>
      <c r="L62" s="7"/>
    </row>
    <row r="63" spans="1:12" x14ac:dyDescent="0.2">
      <c r="A63" s="7"/>
      <c r="B63" s="7"/>
      <c r="C63" s="7"/>
      <c r="D63" s="7"/>
      <c r="E63" s="39" t="s">
        <v>2315</v>
      </c>
      <c r="F63" s="7"/>
      <c r="G63" s="55"/>
      <c r="H63" s="55"/>
      <c r="I63" s="55"/>
      <c r="J63" s="55"/>
      <c r="K63" s="55"/>
      <c r="L63" s="7"/>
    </row>
    <row r="64" spans="1:12" x14ac:dyDescent="0.2">
      <c r="A64" s="7"/>
      <c r="B64" s="7"/>
      <c r="C64" s="7"/>
      <c r="D64" s="7"/>
      <c r="E64" s="39" t="s">
        <v>2440</v>
      </c>
      <c r="F64" s="7"/>
      <c r="G64" s="55"/>
      <c r="H64" s="55"/>
      <c r="I64" s="55"/>
      <c r="J64" s="55"/>
      <c r="K64" s="55"/>
      <c r="L64" s="7"/>
    </row>
    <row r="65" spans="1:12" x14ac:dyDescent="0.2">
      <c r="A65" s="7"/>
      <c r="B65" s="7"/>
      <c r="C65" s="7"/>
      <c r="D65" s="7"/>
      <c r="E65" s="39" t="s">
        <v>2326</v>
      </c>
      <c r="F65" s="7"/>
      <c r="G65" s="55"/>
      <c r="H65" s="55"/>
      <c r="I65" s="55"/>
      <c r="J65" s="55"/>
      <c r="K65" s="55"/>
      <c r="L65" s="7"/>
    </row>
    <row r="66" spans="1:12" x14ac:dyDescent="0.2">
      <c r="A66" s="7"/>
      <c r="B66" s="7"/>
      <c r="C66" s="7"/>
      <c r="D66" s="7"/>
      <c r="E66" s="39" t="s">
        <v>2327</v>
      </c>
      <c r="F66" s="7"/>
      <c r="G66" s="55"/>
      <c r="H66" s="55"/>
      <c r="I66" s="55"/>
      <c r="J66" s="55"/>
      <c r="K66" s="55"/>
      <c r="L66" s="7"/>
    </row>
    <row r="67" spans="1:12" x14ac:dyDescent="0.2">
      <c r="A67" s="7"/>
      <c r="B67" s="7"/>
      <c r="C67" s="7"/>
      <c r="D67" s="7"/>
      <c r="E67" s="39" t="s">
        <v>2328</v>
      </c>
      <c r="F67" s="7"/>
      <c r="G67" s="55"/>
      <c r="H67" s="55"/>
      <c r="I67" s="55"/>
      <c r="J67" s="55"/>
      <c r="K67" s="55"/>
      <c r="L67" s="7"/>
    </row>
    <row r="68" spans="1:12" x14ac:dyDescent="0.2">
      <c r="A68" s="7"/>
      <c r="B68" s="7"/>
      <c r="C68" s="7"/>
      <c r="D68" s="7"/>
      <c r="E68" s="7"/>
      <c r="F68" s="7"/>
      <c r="G68" s="44"/>
      <c r="H68" s="44"/>
      <c r="I68" s="44"/>
      <c r="J68" s="44"/>
      <c r="K68" s="44"/>
      <c r="L68" s="7"/>
    </row>
    <row r="69" spans="1:12" x14ac:dyDescent="0.2">
      <c r="A69" s="7"/>
      <c r="B69" s="7"/>
      <c r="C69" s="7"/>
      <c r="D69" s="7"/>
      <c r="E69" s="9" t="s">
        <v>2209</v>
      </c>
      <c r="F69" s="7"/>
      <c r="G69" s="61">
        <f t="shared" ref="G69:K69" si="4">SUM(G53:G67)</f>
        <v>0.43577231873097599</v>
      </c>
      <c r="H69" s="61">
        <f t="shared" si="4"/>
        <v>0.43577231873097599</v>
      </c>
      <c r="I69" s="61">
        <f t="shared" si="4"/>
        <v>0.43577231873097599</v>
      </c>
      <c r="J69" s="61">
        <f t="shared" si="4"/>
        <v>0.43577231873097599</v>
      </c>
      <c r="K69" s="61">
        <f t="shared" si="4"/>
        <v>0.43577231873097599</v>
      </c>
      <c r="L69" s="7"/>
    </row>
    <row r="70" spans="1:12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2">
      <c r="A71" s="59" t="s">
        <v>2369</v>
      </c>
      <c r="B71" s="13"/>
      <c r="C71" s="13"/>
      <c r="D71" s="13"/>
      <c r="E71" s="13"/>
      <c r="F71" s="13"/>
      <c r="G71" s="63" t="s">
        <v>2437</v>
      </c>
      <c r="H71" s="63" t="s">
        <v>2437</v>
      </c>
      <c r="I71" s="63" t="s">
        <v>2437</v>
      </c>
      <c r="J71" s="63" t="s">
        <v>2437</v>
      </c>
      <c r="K71" s="63" t="s">
        <v>2437</v>
      </c>
      <c r="L71" s="13"/>
    </row>
    <row r="72" spans="1:12" x14ac:dyDescent="0.2">
      <c r="A72" s="7"/>
      <c r="B72" s="7"/>
      <c r="C72" s="7"/>
      <c r="D72" s="7"/>
      <c r="E72" s="7"/>
      <c r="F72" s="7"/>
      <c r="G72" s="7" t="s">
        <v>2321</v>
      </c>
      <c r="H72" s="7" t="s">
        <v>2321</v>
      </c>
      <c r="I72" s="7" t="s">
        <v>2321</v>
      </c>
      <c r="J72" s="7" t="s">
        <v>2321</v>
      </c>
      <c r="K72" s="7" t="s">
        <v>2321</v>
      </c>
      <c r="L72" s="7"/>
    </row>
    <row r="73" spans="1:12" x14ac:dyDescent="0.2">
      <c r="A73" s="7"/>
      <c r="B73" s="7"/>
      <c r="C73" s="7"/>
      <c r="D73" s="7"/>
      <c r="E73" s="39" t="s">
        <v>2307</v>
      </c>
      <c r="F73" s="7"/>
      <c r="G73" s="44">
        <v>38.925090515902426</v>
      </c>
      <c r="H73" s="44">
        <v>37.728346599523547</v>
      </c>
      <c r="I73" s="44">
        <v>41.720836902835245</v>
      </c>
      <c r="J73" s="44">
        <v>39.751707971487868</v>
      </c>
      <c r="K73" s="44">
        <v>33.862476849437712</v>
      </c>
      <c r="L73" s="7"/>
    </row>
    <row r="74" spans="1:12" x14ac:dyDescent="0.2">
      <c r="A74" s="7"/>
      <c r="B74" s="7"/>
      <c r="C74" s="7"/>
      <c r="D74" s="7"/>
      <c r="E74" s="39" t="s">
        <v>2310</v>
      </c>
      <c r="F74" s="7"/>
      <c r="G74" s="44">
        <v>99.347348611225925</v>
      </c>
      <c r="H74" s="44">
        <v>96.378157241216996</v>
      </c>
      <c r="I74" s="44">
        <v>106.71401299597993</v>
      </c>
      <c r="J74" s="44">
        <v>101.77201942407166</v>
      </c>
      <c r="K74" s="44">
        <v>86.652714406970716</v>
      </c>
      <c r="L74" s="7"/>
    </row>
    <row r="75" spans="1:12" x14ac:dyDescent="0.2">
      <c r="A75" s="7"/>
      <c r="B75" s="7"/>
      <c r="C75" s="7"/>
      <c r="D75" s="7"/>
      <c r="E75" s="39" t="s">
        <v>2311</v>
      </c>
      <c r="F75" s="7"/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7"/>
    </row>
    <row r="76" spans="1:12" x14ac:dyDescent="0.2">
      <c r="A76" s="7"/>
      <c r="B76" s="7"/>
      <c r="C76" s="7"/>
      <c r="D76" s="7"/>
      <c r="E76" s="39" t="s">
        <v>2312</v>
      </c>
      <c r="F76" s="7"/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7"/>
    </row>
    <row r="77" spans="1:12" x14ac:dyDescent="0.2">
      <c r="A77" s="7"/>
      <c r="B77" s="7"/>
      <c r="C77" s="7"/>
      <c r="D77" s="7"/>
      <c r="E77" s="39" t="s">
        <v>2309</v>
      </c>
      <c r="F77" s="7"/>
      <c r="G77" s="44">
        <v>9.6372236652585954</v>
      </c>
      <c r="H77" s="44">
        <v>10.196044714242174</v>
      </c>
      <c r="I77" s="44">
        <v>8.8603136032337044</v>
      </c>
      <c r="J77" s="44">
        <v>9.9219578290272761</v>
      </c>
      <c r="K77" s="44">
        <v>10.593225295667112</v>
      </c>
      <c r="L77" s="7"/>
    </row>
    <row r="78" spans="1:12" x14ac:dyDescent="0.2">
      <c r="A78" s="7"/>
      <c r="B78" s="7"/>
      <c r="C78" s="7"/>
      <c r="D78" s="7"/>
      <c r="E78" s="39" t="s">
        <v>2301</v>
      </c>
      <c r="F78" s="7"/>
      <c r="G78" s="44">
        <v>3.8038972485739571</v>
      </c>
      <c r="H78" s="44">
        <v>3.0781299068519417</v>
      </c>
      <c r="I78" s="44">
        <v>3.5823963755697967</v>
      </c>
      <c r="J78" s="44">
        <v>2.7747872486024292</v>
      </c>
      <c r="K78" s="44">
        <v>1.6035630444076006</v>
      </c>
      <c r="L78" s="7"/>
    </row>
    <row r="79" spans="1:12" x14ac:dyDescent="0.2">
      <c r="A79" s="7"/>
      <c r="B79" s="7"/>
      <c r="C79" s="7"/>
      <c r="D79" s="7"/>
      <c r="E79" s="39" t="s">
        <v>2302</v>
      </c>
      <c r="F79" s="7"/>
      <c r="G79" s="44">
        <v>6.284810978011155</v>
      </c>
      <c r="H79" s="44">
        <v>5.4437058157307137</v>
      </c>
      <c r="I79" s="44">
        <v>3.9744465568103533</v>
      </c>
      <c r="J79" s="44">
        <v>2.6771532308994344</v>
      </c>
      <c r="K79" s="44">
        <v>2.692162968803002</v>
      </c>
      <c r="L79" s="7"/>
    </row>
    <row r="80" spans="1:12" x14ac:dyDescent="0.2">
      <c r="A80" s="7"/>
      <c r="B80" s="7"/>
      <c r="C80" s="7"/>
      <c r="D80" s="7"/>
      <c r="E80" s="39" t="s">
        <v>39</v>
      </c>
      <c r="F80" s="7"/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7"/>
    </row>
    <row r="81" spans="1:12" x14ac:dyDescent="0.2">
      <c r="A81" s="7"/>
      <c r="B81" s="7"/>
      <c r="C81" s="7"/>
      <c r="D81" s="7"/>
      <c r="E81" s="39" t="s">
        <v>2313</v>
      </c>
      <c r="F81" s="7"/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7"/>
    </row>
    <row r="82" spans="1:12" x14ac:dyDescent="0.2">
      <c r="A82" s="7"/>
      <c r="B82" s="7"/>
      <c r="C82" s="7"/>
      <c r="D82" s="7"/>
      <c r="E82" s="39" t="s">
        <v>2314</v>
      </c>
      <c r="F82" s="7"/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7"/>
    </row>
    <row r="83" spans="1:12" x14ac:dyDescent="0.2">
      <c r="A83" s="7"/>
      <c r="B83" s="7"/>
      <c r="C83" s="7"/>
      <c r="D83" s="7"/>
      <c r="E83" s="39" t="s">
        <v>2315</v>
      </c>
      <c r="F83" s="7"/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7"/>
    </row>
    <row r="84" spans="1:12" x14ac:dyDescent="0.2">
      <c r="A84" s="7"/>
      <c r="B84" s="7"/>
      <c r="C84" s="7"/>
      <c r="D84" s="7"/>
      <c r="E84" s="39" t="s">
        <v>2440</v>
      </c>
      <c r="F84" s="7"/>
      <c r="G84" s="44">
        <v>20.817900961554184</v>
      </c>
      <c r="H84" s="44">
        <v>16.845934408892024</v>
      </c>
      <c r="I84" s="44">
        <v>19.605674937618591</v>
      </c>
      <c r="J84" s="44">
        <v>15.185806123560369</v>
      </c>
      <c r="K84" s="44">
        <v>8.7759512054645104</v>
      </c>
      <c r="L84" s="7"/>
    </row>
    <row r="85" spans="1:12" x14ac:dyDescent="0.2">
      <c r="A85" s="7"/>
      <c r="B85" s="7"/>
      <c r="C85" s="7"/>
      <c r="D85" s="7"/>
      <c r="E85" s="39" t="s">
        <v>2326</v>
      </c>
      <c r="F85" s="7"/>
      <c r="G85" s="44"/>
      <c r="H85" s="44"/>
      <c r="I85" s="44"/>
      <c r="J85" s="44"/>
      <c r="K85" s="44"/>
      <c r="L85" s="7"/>
    </row>
    <row r="86" spans="1:12" x14ac:dyDescent="0.2">
      <c r="A86" s="7"/>
      <c r="B86" s="7"/>
      <c r="C86" s="7"/>
      <c r="D86" s="7"/>
      <c r="E86" s="39" t="s">
        <v>2327</v>
      </c>
      <c r="F86" s="7"/>
      <c r="G86" s="44"/>
      <c r="H86" s="44"/>
      <c r="I86" s="44"/>
      <c r="J86" s="44"/>
      <c r="K86" s="44"/>
      <c r="L86" s="7"/>
    </row>
    <row r="87" spans="1:12" x14ac:dyDescent="0.2">
      <c r="A87" s="7"/>
      <c r="B87" s="7"/>
      <c r="C87" s="7"/>
      <c r="D87" s="7"/>
      <c r="E87" s="39" t="s">
        <v>2328</v>
      </c>
      <c r="F87" s="7"/>
      <c r="G87" s="44"/>
      <c r="H87" s="44"/>
      <c r="I87" s="44"/>
      <c r="J87" s="44"/>
      <c r="K87" s="44"/>
      <c r="L87" s="7"/>
    </row>
    <row r="88" spans="1:12" x14ac:dyDescent="0.2">
      <c r="A88" s="7"/>
      <c r="B88" s="7"/>
      <c r="C88" s="7"/>
      <c r="D88" s="7"/>
      <c r="E88" s="7"/>
      <c r="F88" s="7"/>
      <c r="G88" s="44"/>
      <c r="H88" s="44"/>
      <c r="I88" s="44"/>
      <c r="J88" s="44"/>
      <c r="K88" s="44"/>
      <c r="L88" s="7"/>
    </row>
    <row r="89" spans="1:12" x14ac:dyDescent="0.2">
      <c r="A89" s="7"/>
      <c r="B89" s="7"/>
      <c r="C89" s="7"/>
      <c r="D89" s="7"/>
      <c r="E89" s="9" t="s">
        <v>2209</v>
      </c>
      <c r="F89" s="7"/>
      <c r="G89" s="61">
        <f t="shared" ref="G89:K89" si="5">SUM(G73:G87)</f>
        <v>178.81627198052624</v>
      </c>
      <c r="H89" s="61">
        <f t="shared" si="5"/>
        <v>169.67031868645736</v>
      </c>
      <c r="I89" s="61">
        <f t="shared" si="5"/>
        <v>184.45768137204763</v>
      </c>
      <c r="J89" s="61">
        <f t="shared" si="5"/>
        <v>172.08343182764901</v>
      </c>
      <c r="K89" s="61">
        <f t="shared" si="5"/>
        <v>144.18009377075063</v>
      </c>
      <c r="L89" s="7"/>
    </row>
    <row r="90" spans="1:12" x14ac:dyDescent="0.2">
      <c r="A90" s="7"/>
      <c r="B90" s="7"/>
      <c r="C90" s="7"/>
      <c r="D90" s="7"/>
      <c r="E90" s="7"/>
      <c r="F90" s="7"/>
      <c r="G90" s="65">
        <f>G89-'Output|Functional'!M136</f>
        <v>54.648071666048168</v>
      </c>
      <c r="H90" s="65">
        <f>H89-'Output|Functional'!N136</f>
        <v>49.215124154174916</v>
      </c>
      <c r="I90" s="65">
        <f>I89-'Output|Functional'!O136</f>
        <v>67.134426465033471</v>
      </c>
      <c r="J90" s="65">
        <f>J89-'Output|Functional'!P136</f>
        <v>64.076634799288271</v>
      </c>
      <c r="K90" s="65">
        <f>K89-'Output|Functional'!Q136</f>
        <v>44.605775542567457</v>
      </c>
      <c r="L90" s="7"/>
    </row>
    <row r="91" spans="1:12" x14ac:dyDescent="0.2">
      <c r="A91" s="7"/>
      <c r="B91" s="7"/>
      <c r="C91" s="7"/>
      <c r="D91" s="7"/>
      <c r="E91" s="7"/>
      <c r="F91" s="7"/>
      <c r="G91" s="65">
        <f>G89-G69</f>
        <v>178.38049966179526</v>
      </c>
      <c r="H91" s="65">
        <f t="shared" ref="H91:K91" si="6">H89-H69</f>
        <v>169.23454636772638</v>
      </c>
      <c r="I91" s="65">
        <f t="shared" si="6"/>
        <v>184.02190905331665</v>
      </c>
      <c r="J91" s="65">
        <f t="shared" si="6"/>
        <v>171.64765950891803</v>
      </c>
      <c r="K91" s="65">
        <f t="shared" si="6"/>
        <v>143.74432145201965</v>
      </c>
      <c r="L91" s="207">
        <f>SUM(G91:K91)</f>
        <v>847.02893604377596</v>
      </c>
    </row>
    <row r="92" spans="1:12" x14ac:dyDescent="0.2">
      <c r="A92" s="59" t="s">
        <v>2458</v>
      </c>
      <c r="B92" s="13"/>
      <c r="C92" s="13"/>
      <c r="D92" s="13"/>
      <c r="E92" s="13"/>
      <c r="F92" s="13"/>
      <c r="G92" s="63" t="s">
        <v>2437</v>
      </c>
      <c r="H92" s="63" t="s">
        <v>2437</v>
      </c>
      <c r="I92" s="63" t="s">
        <v>2437</v>
      </c>
      <c r="J92" s="63" t="s">
        <v>2437</v>
      </c>
      <c r="K92" s="63" t="s">
        <v>2437</v>
      </c>
      <c r="L92" s="13"/>
    </row>
    <row r="93" spans="1:12" x14ac:dyDescent="0.2">
      <c r="A93" s="7"/>
      <c r="B93" s="7"/>
      <c r="C93" s="7"/>
      <c r="D93" s="7"/>
      <c r="E93" s="7"/>
      <c r="F93" s="7"/>
      <c r="G93" s="7" t="s">
        <v>2321</v>
      </c>
      <c r="H93" s="7" t="s">
        <v>2321</v>
      </c>
      <c r="I93" s="7" t="s">
        <v>2321</v>
      </c>
      <c r="J93" s="7" t="s">
        <v>2321</v>
      </c>
      <c r="K93" s="7" t="s">
        <v>2321</v>
      </c>
      <c r="L93" s="7"/>
    </row>
    <row r="94" spans="1:12" x14ac:dyDescent="0.2">
      <c r="A94" s="7"/>
      <c r="B94" s="7"/>
      <c r="C94" s="7"/>
      <c r="D94" s="7"/>
      <c r="E94" s="39" t="s">
        <v>2307</v>
      </c>
      <c r="F94" s="7"/>
      <c r="G94" s="44">
        <v>20.779339471581444</v>
      </c>
      <c r="H94" s="44">
        <v>21.784613332415407</v>
      </c>
      <c r="I94" s="44">
        <v>23.609988502917599</v>
      </c>
      <c r="J94" s="44">
        <v>23.255467692474017</v>
      </c>
      <c r="K94" s="44">
        <v>20.65620216625301</v>
      </c>
      <c r="L94" s="7"/>
    </row>
    <row r="95" spans="1:12" x14ac:dyDescent="0.2">
      <c r="A95" s="7"/>
      <c r="B95" s="7"/>
      <c r="C95" s="7"/>
      <c r="D95" s="7"/>
      <c r="E95" s="39" t="s">
        <v>2310</v>
      </c>
      <c r="F95" s="7"/>
      <c r="G95" s="44">
        <v>53.018023387043357</v>
      </c>
      <c r="H95" s="44">
        <v>55.616913210018623</v>
      </c>
      <c r="I95" s="44">
        <v>60.338779338632619</v>
      </c>
      <c r="J95" s="44">
        <v>59.471538814666232</v>
      </c>
      <c r="K95" s="44">
        <v>52.798938346950152</v>
      </c>
      <c r="L95" s="7"/>
    </row>
    <row r="96" spans="1:12" x14ac:dyDescent="0.2">
      <c r="A96" s="7"/>
      <c r="B96" s="7"/>
      <c r="C96" s="7"/>
      <c r="D96" s="7"/>
      <c r="E96" s="39" t="s">
        <v>2311</v>
      </c>
      <c r="F96" s="7"/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7"/>
    </row>
    <row r="97" spans="1:12" x14ac:dyDescent="0.2">
      <c r="A97" s="7"/>
      <c r="B97" s="7"/>
      <c r="C97" s="7"/>
      <c r="D97" s="7"/>
      <c r="E97" s="39" t="s">
        <v>2312</v>
      </c>
      <c r="F97" s="7"/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7"/>
    </row>
    <row r="98" spans="1:12" x14ac:dyDescent="0.2">
      <c r="A98" s="7"/>
      <c r="B98" s="7"/>
      <c r="C98" s="7"/>
      <c r="D98" s="7"/>
      <c r="E98" s="39" t="s">
        <v>2309</v>
      </c>
      <c r="F98" s="7"/>
      <c r="G98" s="44">
        <v>1.4135689244459673</v>
      </c>
      <c r="H98" s="44">
        <v>1.5810273641058852</v>
      </c>
      <c r="I98" s="44">
        <v>1.3627581000773057</v>
      </c>
      <c r="J98" s="44">
        <v>1.6069037834137689</v>
      </c>
      <c r="K98" s="44">
        <v>1.9296538032849091</v>
      </c>
      <c r="L98" s="7"/>
    </row>
    <row r="99" spans="1:12" x14ac:dyDescent="0.2">
      <c r="A99" s="7"/>
      <c r="B99" s="7"/>
      <c r="C99" s="7"/>
      <c r="D99" s="7"/>
      <c r="E99" s="39" t="s">
        <v>2301</v>
      </c>
      <c r="F99" s="7"/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7"/>
    </row>
    <row r="100" spans="1:12" x14ac:dyDescent="0.2">
      <c r="A100" s="7"/>
      <c r="B100" s="7"/>
      <c r="C100" s="7"/>
      <c r="D100" s="7"/>
      <c r="E100" s="39" t="s">
        <v>2302</v>
      </c>
      <c r="F100" s="7"/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7"/>
    </row>
    <row r="101" spans="1:12" x14ac:dyDescent="0.2">
      <c r="A101" s="7"/>
      <c r="B101" s="7"/>
      <c r="C101" s="7"/>
      <c r="D101" s="7"/>
      <c r="E101" s="39" t="s">
        <v>39</v>
      </c>
      <c r="F101" s="7"/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7"/>
    </row>
    <row r="102" spans="1:12" x14ac:dyDescent="0.2">
      <c r="A102" s="7"/>
      <c r="B102" s="7"/>
      <c r="C102" s="7"/>
      <c r="D102" s="7"/>
      <c r="E102" s="39" t="s">
        <v>2313</v>
      </c>
      <c r="F102" s="7"/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7"/>
    </row>
    <row r="103" spans="1:12" x14ac:dyDescent="0.2">
      <c r="A103" s="7"/>
      <c r="B103" s="7"/>
      <c r="C103" s="7"/>
      <c r="D103" s="7"/>
      <c r="E103" s="39" t="s">
        <v>2314</v>
      </c>
      <c r="F103" s="7"/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7"/>
    </row>
    <row r="104" spans="1:12" x14ac:dyDescent="0.2">
      <c r="A104" s="7"/>
      <c r="B104" s="7"/>
      <c r="C104" s="7"/>
      <c r="D104" s="7"/>
      <c r="E104" s="39" t="s">
        <v>2315</v>
      </c>
      <c r="F104" s="7"/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7"/>
    </row>
    <row r="105" spans="1:12" x14ac:dyDescent="0.2">
      <c r="A105" s="7"/>
      <c r="B105" s="7"/>
      <c r="C105" s="7"/>
      <c r="D105" s="7"/>
      <c r="E105" s="39" t="s">
        <v>2440</v>
      </c>
      <c r="F105" s="7"/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7"/>
    </row>
    <row r="106" spans="1:12" x14ac:dyDescent="0.2">
      <c r="A106" s="7"/>
      <c r="B106" s="7"/>
      <c r="C106" s="7"/>
      <c r="D106" s="7"/>
      <c r="E106" s="39" t="s">
        <v>2326</v>
      </c>
      <c r="F106" s="7"/>
      <c r="G106" s="44"/>
      <c r="H106" s="44"/>
      <c r="I106" s="44"/>
      <c r="J106" s="44"/>
      <c r="K106" s="44"/>
      <c r="L106" s="7"/>
    </row>
    <row r="107" spans="1:12" x14ac:dyDescent="0.2">
      <c r="A107" s="7"/>
      <c r="B107" s="7"/>
      <c r="C107" s="7"/>
      <c r="D107" s="7"/>
      <c r="E107" s="39" t="s">
        <v>2327</v>
      </c>
      <c r="F107" s="7"/>
      <c r="G107" s="44"/>
      <c r="H107" s="44"/>
      <c r="I107" s="44"/>
      <c r="J107" s="44"/>
      <c r="K107" s="44"/>
      <c r="L107" s="7"/>
    </row>
    <row r="108" spans="1:12" x14ac:dyDescent="0.2">
      <c r="A108" s="7"/>
      <c r="B108" s="7"/>
      <c r="C108" s="7"/>
      <c r="D108" s="7"/>
      <c r="E108" s="39" t="s">
        <v>2328</v>
      </c>
      <c r="F108" s="7"/>
      <c r="G108" s="44"/>
      <c r="H108" s="44"/>
      <c r="I108" s="44"/>
      <c r="J108" s="44"/>
      <c r="K108" s="44"/>
      <c r="L108" s="7"/>
    </row>
    <row r="109" spans="1:12" x14ac:dyDescent="0.2">
      <c r="A109" s="7"/>
      <c r="B109" s="7"/>
      <c r="C109" s="7"/>
      <c r="D109" s="7"/>
      <c r="E109" s="7"/>
      <c r="F109" s="7"/>
      <c r="G109" s="44"/>
      <c r="H109" s="44"/>
      <c r="I109" s="44"/>
      <c r="J109" s="44"/>
      <c r="K109" s="44"/>
      <c r="L109" s="7"/>
    </row>
    <row r="110" spans="1:12" x14ac:dyDescent="0.2">
      <c r="A110" s="7"/>
      <c r="B110" s="7"/>
      <c r="C110" s="7"/>
      <c r="D110" s="7"/>
      <c r="E110" s="9" t="s">
        <v>2209</v>
      </c>
      <c r="F110" s="7"/>
      <c r="G110" s="61">
        <f t="shared" ref="G110:K110" si="7">SUM(G94:G108)</f>
        <v>75.210931783070777</v>
      </c>
      <c r="H110" s="61">
        <f t="shared" si="7"/>
        <v>78.982553906539906</v>
      </c>
      <c r="I110" s="61">
        <f t="shared" si="7"/>
        <v>85.311525941627522</v>
      </c>
      <c r="J110" s="61">
        <f t="shared" si="7"/>
        <v>84.333910290554016</v>
      </c>
      <c r="K110" s="61">
        <f t="shared" si="7"/>
        <v>75.384794316488069</v>
      </c>
      <c r="L110" s="7"/>
    </row>
    <row r="111" spans="1:12" x14ac:dyDescent="0.2">
      <c r="A111" s="7"/>
      <c r="B111" s="7"/>
      <c r="C111" s="7"/>
      <c r="D111" s="7"/>
      <c r="E111" s="7"/>
      <c r="F111" s="7"/>
      <c r="G111" s="65">
        <f>G110-'Immediate deductions'!M26/10^3</f>
        <v>32.789953477930496</v>
      </c>
      <c r="H111" s="65">
        <f>H110-'Immediate deductions'!N26/10^3</f>
        <v>34.296127867672389</v>
      </c>
      <c r="I111" s="65">
        <f>I110-'Immediate deductions'!O26/10^3</f>
        <v>41.499005645905051</v>
      </c>
      <c r="J111" s="65">
        <f>J110-'Immediate deductions'!P26/10^3</f>
        <v>40.833870910466615</v>
      </c>
      <c r="K111" s="65">
        <f>K110-'Immediate deductions'!Q26/10^3</f>
        <v>30.501196816919801</v>
      </c>
      <c r="L111" s="7"/>
    </row>
    <row r="112" spans="1:12" x14ac:dyDescent="0.2">
      <c r="A112" s="7"/>
      <c r="B112" s="7"/>
      <c r="C112" s="7"/>
      <c r="D112" s="7"/>
      <c r="E112" s="7"/>
      <c r="F112" s="7"/>
      <c r="G112" s="65"/>
      <c r="H112" s="65"/>
      <c r="I112" s="65"/>
      <c r="J112" s="65"/>
      <c r="K112" s="65"/>
      <c r="L112" s="7"/>
    </row>
    <row r="113" spans="1:17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7" s="7" customFormat="1" x14ac:dyDescent="0.2">
      <c r="A114" s="22" t="s">
        <v>9</v>
      </c>
      <c r="B114" s="22"/>
      <c r="C114" s="15"/>
      <c r="D114" s="24"/>
      <c r="E114" s="25"/>
      <c r="F114" s="25"/>
      <c r="G114" s="20"/>
      <c r="H114" s="20"/>
      <c r="I114" s="20"/>
      <c r="J114" s="20"/>
      <c r="K114" s="25"/>
      <c r="L114" s="21"/>
      <c r="M114" s="21"/>
      <c r="N114" s="21"/>
      <c r="O114" s="21"/>
      <c r="P114" s="21"/>
      <c r="Q114" s="21"/>
    </row>
    <row r="115" spans="1:17" s="7" customFormat="1" x14ac:dyDescent="0.2"/>
    <row r="116" spans="1:17" s="7" customFormat="1" x14ac:dyDescent="0.2"/>
    <row r="117" spans="1:17" hidden="1" x14ac:dyDescent="0.2"/>
    <row r="118" spans="1:17" hidden="1" x14ac:dyDescent="0.2"/>
    <row r="119" spans="1:17" hidden="1" x14ac:dyDescent="0.2"/>
    <row r="120" spans="1:17" hidden="1" x14ac:dyDescent="0.2"/>
    <row r="121" spans="1:17" hidden="1" x14ac:dyDescent="0.2"/>
    <row r="122" spans="1:17" hidden="1" x14ac:dyDescent="0.2"/>
    <row r="123" spans="1:17" hidden="1" x14ac:dyDescent="0.2"/>
    <row r="124" spans="1:17" hidden="1" x14ac:dyDescent="0.2"/>
    <row r="125" spans="1:17" hidden="1" x14ac:dyDescent="0.2"/>
    <row r="126" spans="1:17" hidden="1" x14ac:dyDescent="0.2"/>
    <row r="127" spans="1:17" hidden="1" x14ac:dyDescent="0.2"/>
    <row r="128" spans="1:17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1" tint="0.14999847407452621"/>
  </sheetPr>
  <dimension ref="A1:L2952"/>
  <sheetViews>
    <sheetView topLeftCell="A172" zoomScale="85" zoomScaleNormal="85" workbookViewId="0">
      <selection activeCell="G61" sqref="G61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7.875" customWidth="1"/>
    <col min="8" max="8" width="10.25" customWidth="1"/>
    <col min="9" max="9" width="27.375" bestFit="1" customWidth="1"/>
    <col min="10" max="10" width="10.375" customWidth="1"/>
    <col min="11" max="11" width="27.375" bestFit="1" customWidth="1"/>
    <col min="12" max="12" width="24.125" customWidth="1"/>
    <col min="13" max="16384" width="9" hidden="1"/>
  </cols>
  <sheetData>
    <row r="1" spans="1:12" s="21" customFormat="1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17"/>
      <c r="L1" s="17"/>
    </row>
    <row r="2" spans="1:12" s="21" customFormat="1" x14ac:dyDescent="0.2">
      <c r="A2" s="22" t="str">
        <f ca="1" xml:space="preserve"> "Sheet: " &amp; RIGHT(CELL("filename", $A$1), LEN(CELL("filename", $A$1)) - SEARCH("]", CELL("filename", $A$1)))</f>
        <v>Sheet: Mapping</v>
      </c>
      <c r="B2" s="22"/>
      <c r="C2" s="15"/>
      <c r="D2" s="16"/>
      <c r="E2" s="17"/>
      <c r="F2" s="17"/>
      <c r="G2" s="17"/>
      <c r="H2" s="23"/>
      <c r="I2" s="20"/>
      <c r="J2" s="20"/>
      <c r="K2" s="17"/>
      <c r="L2" s="17"/>
    </row>
    <row r="3" spans="1:12" s="21" customFormat="1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s="21" customFormat="1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17"/>
      <c r="L4" s="17"/>
    </row>
    <row r="5" spans="1:12" s="21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17"/>
      <c r="L5" s="17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1" customFormat="1" x14ac:dyDescent="0.2">
      <c r="A7" s="22" t="s">
        <v>11</v>
      </c>
      <c r="B7" s="22"/>
      <c r="C7" s="15"/>
      <c r="D7" s="24"/>
      <c r="E7" s="25"/>
      <c r="F7" s="25"/>
      <c r="G7" s="25"/>
      <c r="H7" s="26"/>
      <c r="I7" s="20"/>
      <c r="J7" s="20"/>
      <c r="K7" s="25"/>
      <c r="L7" s="25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8" t="s">
        <v>27</v>
      </c>
      <c r="F9" s="4"/>
      <c r="G9" s="4"/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/>
      <c r="F10" s="4"/>
      <c r="G10" s="4"/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11"/>
      <c r="E11" s="12">
        <v>102</v>
      </c>
      <c r="F11" s="4"/>
      <c r="G11" s="27" t="s">
        <v>2299</v>
      </c>
      <c r="H11" s="5"/>
      <c r="I11" s="27" t="s">
        <v>28</v>
      </c>
      <c r="J11" s="6"/>
      <c r="K11" s="27" t="s">
        <v>28</v>
      </c>
      <c r="L11" s="4"/>
    </row>
    <row r="12" spans="1:12" x14ac:dyDescent="0.2">
      <c r="A12" s="1"/>
      <c r="B12" s="1"/>
      <c r="C12" s="2"/>
      <c r="D12" s="11"/>
      <c r="E12" s="12">
        <v>103</v>
      </c>
      <c r="F12" s="4"/>
      <c r="G12" s="27" t="s">
        <v>2299</v>
      </c>
      <c r="H12" s="5"/>
      <c r="I12" s="27" t="s">
        <v>28</v>
      </c>
      <c r="J12" s="6"/>
      <c r="K12" s="27" t="s">
        <v>28</v>
      </c>
      <c r="L12" s="4"/>
    </row>
    <row r="13" spans="1:12" x14ac:dyDescent="0.2">
      <c r="A13" s="1"/>
      <c r="B13" s="1"/>
      <c r="C13" s="2"/>
      <c r="D13" s="11"/>
      <c r="E13" s="12">
        <v>104</v>
      </c>
      <c r="F13" s="4"/>
      <c r="G13" s="27" t="s">
        <v>2299</v>
      </c>
      <c r="H13" s="5"/>
      <c r="I13" s="27" t="s">
        <v>28</v>
      </c>
      <c r="J13" s="6"/>
      <c r="K13" s="27" t="s">
        <v>28</v>
      </c>
      <c r="L13" s="4"/>
    </row>
    <row r="14" spans="1:12" x14ac:dyDescent="0.2">
      <c r="A14" s="1"/>
      <c r="B14" s="1"/>
      <c r="C14" s="2"/>
      <c r="D14" s="11"/>
      <c r="E14" s="12">
        <v>105</v>
      </c>
      <c r="F14" s="4"/>
      <c r="G14" s="27" t="s">
        <v>2299</v>
      </c>
      <c r="H14" s="5"/>
      <c r="I14" s="27" t="s">
        <v>28</v>
      </c>
      <c r="J14" s="6"/>
      <c r="K14" s="27" t="s">
        <v>28</v>
      </c>
      <c r="L14" s="4"/>
    </row>
    <row r="15" spans="1:12" x14ac:dyDescent="0.2">
      <c r="A15" s="1"/>
      <c r="B15" s="1"/>
      <c r="C15" s="2"/>
      <c r="D15" s="11"/>
      <c r="E15" s="12">
        <v>106</v>
      </c>
      <c r="F15" s="4"/>
      <c r="G15" s="27" t="s">
        <v>2299</v>
      </c>
      <c r="H15" s="5"/>
      <c r="I15" s="27" t="s">
        <v>28</v>
      </c>
      <c r="J15" s="6"/>
      <c r="K15" s="27" t="s">
        <v>28</v>
      </c>
      <c r="L15" s="4"/>
    </row>
    <row r="16" spans="1:12" x14ac:dyDescent="0.2">
      <c r="A16" s="1"/>
      <c r="B16" s="1"/>
      <c r="C16" s="2"/>
      <c r="D16" s="11"/>
      <c r="E16" s="12">
        <v>107</v>
      </c>
      <c r="F16" s="4"/>
      <c r="G16" s="27" t="s">
        <v>2299</v>
      </c>
      <c r="H16" s="5"/>
      <c r="I16" s="27" t="s">
        <v>28</v>
      </c>
      <c r="J16" s="6"/>
      <c r="K16" s="27" t="s">
        <v>28</v>
      </c>
      <c r="L16" s="4"/>
    </row>
    <row r="17" spans="1:12" x14ac:dyDescent="0.2">
      <c r="A17" s="1"/>
      <c r="B17" s="1"/>
      <c r="C17" s="2"/>
      <c r="D17" s="11"/>
      <c r="E17" s="12">
        <v>108</v>
      </c>
      <c r="F17" s="4"/>
      <c r="G17" s="27" t="s">
        <v>2299</v>
      </c>
      <c r="H17" s="5"/>
      <c r="I17" s="27" t="s">
        <v>28</v>
      </c>
      <c r="J17" s="6"/>
      <c r="K17" s="27" t="s">
        <v>28</v>
      </c>
      <c r="L17" s="4"/>
    </row>
    <row r="18" spans="1:12" x14ac:dyDescent="0.2">
      <c r="A18" s="1"/>
      <c r="B18" s="1"/>
      <c r="C18" s="2"/>
      <c r="D18" s="11"/>
      <c r="E18" s="12">
        <v>109</v>
      </c>
      <c r="F18" s="4"/>
      <c r="G18" s="27" t="s">
        <v>2299</v>
      </c>
      <c r="H18" s="5"/>
      <c r="I18" s="27" t="s">
        <v>28</v>
      </c>
      <c r="J18" s="6"/>
      <c r="K18" s="27" t="s">
        <v>28</v>
      </c>
      <c r="L18" s="4"/>
    </row>
    <row r="19" spans="1:12" x14ac:dyDescent="0.2">
      <c r="A19" s="1"/>
      <c r="B19" s="1"/>
      <c r="C19" s="2"/>
      <c r="D19" s="11"/>
      <c r="E19" s="12">
        <v>110</v>
      </c>
      <c r="F19" s="4"/>
      <c r="G19" s="27" t="s">
        <v>2299</v>
      </c>
      <c r="H19" s="5"/>
      <c r="I19" s="27" t="s">
        <v>28</v>
      </c>
      <c r="J19" s="6"/>
      <c r="K19" s="27" t="s">
        <v>28</v>
      </c>
      <c r="L19" s="4"/>
    </row>
    <row r="20" spans="1:12" x14ac:dyDescent="0.2">
      <c r="A20" s="1"/>
      <c r="B20" s="1"/>
      <c r="C20" s="2"/>
      <c r="D20" s="11"/>
      <c r="E20" s="12">
        <v>111</v>
      </c>
      <c r="F20" s="4"/>
      <c r="G20" s="27" t="s">
        <v>2299</v>
      </c>
      <c r="H20" s="5"/>
      <c r="I20" s="27" t="s">
        <v>28</v>
      </c>
      <c r="J20" s="6"/>
      <c r="K20" s="27" t="s">
        <v>28</v>
      </c>
      <c r="L20" s="4"/>
    </row>
    <row r="21" spans="1:12" x14ac:dyDescent="0.2">
      <c r="A21" s="1"/>
      <c r="B21" s="1"/>
      <c r="C21" s="2"/>
      <c r="D21" s="11"/>
      <c r="E21" s="12">
        <v>112</v>
      </c>
      <c r="F21" s="4"/>
      <c r="G21" s="27" t="s">
        <v>29</v>
      </c>
      <c r="H21" s="5"/>
      <c r="I21" s="27" t="s">
        <v>30</v>
      </c>
      <c r="J21" s="6"/>
      <c r="K21" s="27" t="s">
        <v>30</v>
      </c>
      <c r="L21" s="4"/>
    </row>
    <row r="22" spans="1:12" x14ac:dyDescent="0.2">
      <c r="A22" s="1"/>
      <c r="B22" s="1"/>
      <c r="C22" s="2"/>
      <c r="D22" s="11"/>
      <c r="E22" s="12">
        <v>113</v>
      </c>
      <c r="F22" s="4"/>
      <c r="G22" s="27" t="s">
        <v>29</v>
      </c>
      <c r="H22" s="5"/>
      <c r="I22" s="27" t="s">
        <v>30</v>
      </c>
      <c r="J22" s="6"/>
      <c r="K22" s="27" t="s">
        <v>30</v>
      </c>
      <c r="L22" s="4"/>
    </row>
    <row r="23" spans="1:12" x14ac:dyDescent="0.2">
      <c r="A23" s="1"/>
      <c r="B23" s="1"/>
      <c r="C23" s="2"/>
      <c r="D23" s="11"/>
      <c r="E23" s="12">
        <v>114</v>
      </c>
      <c r="F23" s="4"/>
      <c r="G23" s="27" t="s">
        <v>31</v>
      </c>
      <c r="H23" s="5"/>
      <c r="I23" s="27" t="s">
        <v>32</v>
      </c>
      <c r="J23" s="6"/>
      <c r="K23" s="27" t="s">
        <v>32</v>
      </c>
      <c r="L23" s="4"/>
    </row>
    <row r="24" spans="1:12" x14ac:dyDescent="0.2">
      <c r="A24" s="1"/>
      <c r="B24" s="1"/>
      <c r="C24" s="2"/>
      <c r="D24" s="11"/>
      <c r="E24" s="12">
        <v>115</v>
      </c>
      <c r="F24" s="4"/>
      <c r="G24" s="27" t="s">
        <v>31</v>
      </c>
      <c r="H24" s="5"/>
      <c r="I24" s="27" t="s">
        <v>32</v>
      </c>
      <c r="J24" s="6"/>
      <c r="K24" s="27" t="s">
        <v>32</v>
      </c>
      <c r="L24" s="4"/>
    </row>
    <row r="25" spans="1:12" x14ac:dyDescent="0.2">
      <c r="A25" s="1"/>
      <c r="B25" s="1"/>
      <c r="C25" s="2"/>
      <c r="D25" s="11"/>
      <c r="E25" s="12">
        <v>116</v>
      </c>
      <c r="F25" s="4"/>
      <c r="G25" s="27" t="s">
        <v>2299</v>
      </c>
      <c r="H25" s="5"/>
      <c r="I25" s="27" t="s">
        <v>28</v>
      </c>
      <c r="J25" s="6"/>
      <c r="K25" s="27" t="s">
        <v>28</v>
      </c>
      <c r="L25" s="4"/>
    </row>
    <row r="26" spans="1:12" x14ac:dyDescent="0.2">
      <c r="A26" s="1"/>
      <c r="B26" s="1"/>
      <c r="C26" s="2"/>
      <c r="D26" s="11"/>
      <c r="E26" s="12">
        <v>118</v>
      </c>
      <c r="F26" s="4"/>
      <c r="G26" s="27" t="s">
        <v>2299</v>
      </c>
      <c r="H26" s="5"/>
      <c r="I26" s="27" t="s">
        <v>28</v>
      </c>
      <c r="J26" s="6"/>
      <c r="K26" s="27" t="s">
        <v>28</v>
      </c>
      <c r="L26" s="4"/>
    </row>
    <row r="27" spans="1:12" x14ac:dyDescent="0.2">
      <c r="A27" s="1"/>
      <c r="B27" s="1"/>
      <c r="C27" s="2"/>
      <c r="D27" s="11"/>
      <c r="E27" s="12">
        <v>119</v>
      </c>
      <c r="F27" s="4"/>
      <c r="G27" s="27" t="s">
        <v>33</v>
      </c>
      <c r="H27" s="5"/>
      <c r="I27" s="27" t="s">
        <v>33</v>
      </c>
      <c r="J27" s="6"/>
      <c r="K27" s="27" t="s">
        <v>33</v>
      </c>
      <c r="L27" s="4"/>
    </row>
    <row r="28" spans="1:12" x14ac:dyDescent="0.2">
      <c r="A28" s="1"/>
      <c r="B28" s="1"/>
      <c r="C28" s="2"/>
      <c r="D28" s="11"/>
      <c r="E28" s="12">
        <v>120</v>
      </c>
      <c r="F28" s="4"/>
      <c r="G28" s="27" t="s">
        <v>33</v>
      </c>
      <c r="H28" s="5"/>
      <c r="I28" s="27" t="s">
        <v>33</v>
      </c>
      <c r="J28" s="6"/>
      <c r="K28" s="27" t="s">
        <v>33</v>
      </c>
      <c r="L28" s="4"/>
    </row>
    <row r="29" spans="1:12" x14ac:dyDescent="0.2">
      <c r="A29" s="1"/>
      <c r="B29" s="1"/>
      <c r="C29" s="2"/>
      <c r="D29" s="11"/>
      <c r="E29" s="12">
        <v>121</v>
      </c>
      <c r="F29" s="4"/>
      <c r="G29" s="27" t="s">
        <v>2299</v>
      </c>
      <c r="H29" s="5"/>
      <c r="I29" s="27" t="s">
        <v>28</v>
      </c>
      <c r="J29" s="6"/>
      <c r="K29" s="27" t="s">
        <v>28</v>
      </c>
      <c r="L29" s="4"/>
    </row>
    <row r="30" spans="1:12" x14ac:dyDescent="0.2">
      <c r="A30" s="1"/>
      <c r="B30" s="1"/>
      <c r="C30" s="2"/>
      <c r="D30" s="11"/>
      <c r="E30" s="12">
        <v>122</v>
      </c>
      <c r="F30" s="4"/>
      <c r="G30" s="27" t="s">
        <v>2299</v>
      </c>
      <c r="H30" s="5"/>
      <c r="I30" s="27" t="s">
        <v>28</v>
      </c>
      <c r="J30" s="6"/>
      <c r="K30" s="27" t="s">
        <v>28</v>
      </c>
      <c r="L30" s="4"/>
    </row>
    <row r="31" spans="1:12" x14ac:dyDescent="0.2">
      <c r="A31" s="1"/>
      <c r="B31" s="1"/>
      <c r="C31" s="2"/>
      <c r="D31" s="11"/>
      <c r="E31" s="12">
        <v>123</v>
      </c>
      <c r="F31" s="4"/>
      <c r="G31" s="27" t="s">
        <v>31</v>
      </c>
      <c r="H31" s="5"/>
      <c r="I31" s="27" t="s">
        <v>32</v>
      </c>
      <c r="J31" s="6"/>
      <c r="K31" s="27" t="s">
        <v>32</v>
      </c>
      <c r="L31" s="4"/>
    </row>
    <row r="32" spans="1:12" x14ac:dyDescent="0.2">
      <c r="A32" s="1"/>
      <c r="B32" s="1"/>
      <c r="C32" s="2"/>
      <c r="D32" s="11"/>
      <c r="E32" s="12">
        <v>124</v>
      </c>
      <c r="F32" s="4"/>
      <c r="G32" s="27" t="s">
        <v>31</v>
      </c>
      <c r="H32" s="5"/>
      <c r="I32" s="27" t="s">
        <v>32</v>
      </c>
      <c r="J32" s="6"/>
      <c r="K32" s="27" t="s">
        <v>32</v>
      </c>
      <c r="L32" s="4"/>
    </row>
    <row r="33" spans="1:12" x14ac:dyDescent="0.2">
      <c r="A33" s="1"/>
      <c r="B33" s="1"/>
      <c r="C33" s="2"/>
      <c r="D33" s="11"/>
      <c r="E33" s="12">
        <v>125</v>
      </c>
      <c r="F33" s="4"/>
      <c r="G33" s="27" t="s">
        <v>29</v>
      </c>
      <c r="H33" s="5"/>
      <c r="I33" s="27" t="s">
        <v>30</v>
      </c>
      <c r="J33" s="6"/>
      <c r="K33" s="27" t="s">
        <v>30</v>
      </c>
      <c r="L33" s="4"/>
    </row>
    <row r="34" spans="1:12" x14ac:dyDescent="0.2">
      <c r="A34" s="1"/>
      <c r="B34" s="1"/>
      <c r="C34" s="2"/>
      <c r="D34" s="11"/>
      <c r="E34" s="12">
        <v>126</v>
      </c>
      <c r="F34" s="4"/>
      <c r="G34" s="27" t="s">
        <v>31</v>
      </c>
      <c r="H34" s="5"/>
      <c r="I34" s="27" t="s">
        <v>32</v>
      </c>
      <c r="J34" s="6"/>
      <c r="K34" s="27" t="s">
        <v>32</v>
      </c>
      <c r="L34" s="4"/>
    </row>
    <row r="35" spans="1:12" x14ac:dyDescent="0.2">
      <c r="A35" s="1"/>
      <c r="B35" s="1"/>
      <c r="C35" s="2"/>
      <c r="D35" s="11"/>
      <c r="E35" s="12">
        <v>130</v>
      </c>
      <c r="F35" s="4"/>
      <c r="G35" s="27" t="s">
        <v>34</v>
      </c>
      <c r="H35" s="5"/>
      <c r="I35" s="27" t="s">
        <v>35</v>
      </c>
      <c r="J35" s="6"/>
      <c r="K35" s="27" t="s">
        <v>35</v>
      </c>
      <c r="L35" s="4"/>
    </row>
    <row r="36" spans="1:12" x14ac:dyDescent="0.2">
      <c r="A36" s="1"/>
      <c r="B36" s="1"/>
      <c r="C36" s="2"/>
      <c r="D36" s="11"/>
      <c r="E36" s="12">
        <v>131</v>
      </c>
      <c r="F36" s="4"/>
      <c r="G36" s="27" t="s">
        <v>2300</v>
      </c>
      <c r="H36" s="5"/>
      <c r="I36" s="27" t="s">
        <v>28</v>
      </c>
      <c r="J36" s="6"/>
      <c r="K36" s="27" t="s">
        <v>28</v>
      </c>
      <c r="L36" s="4"/>
    </row>
    <row r="37" spans="1:12" x14ac:dyDescent="0.2">
      <c r="A37" s="1"/>
      <c r="B37" s="1"/>
      <c r="C37" s="2"/>
      <c r="D37" s="11"/>
      <c r="E37" s="12">
        <v>132</v>
      </c>
      <c r="F37" s="4"/>
      <c r="G37" s="27" t="s">
        <v>29</v>
      </c>
      <c r="H37" s="5"/>
      <c r="I37" s="27" t="s">
        <v>30</v>
      </c>
      <c r="J37" s="6"/>
      <c r="K37" s="27" t="s">
        <v>30</v>
      </c>
      <c r="L37" s="4"/>
    </row>
    <row r="38" spans="1:12" x14ac:dyDescent="0.2">
      <c r="A38" s="1"/>
      <c r="B38" s="1"/>
      <c r="C38" s="2"/>
      <c r="D38" s="11"/>
      <c r="E38" s="12">
        <v>133</v>
      </c>
      <c r="F38" s="4"/>
      <c r="G38" s="27" t="s">
        <v>29</v>
      </c>
      <c r="H38" s="5"/>
      <c r="I38" s="27" t="s">
        <v>30</v>
      </c>
      <c r="J38" s="6"/>
      <c r="K38" s="27" t="s">
        <v>30</v>
      </c>
      <c r="L38" s="4"/>
    </row>
    <row r="39" spans="1:12" x14ac:dyDescent="0.2">
      <c r="A39" s="1"/>
      <c r="B39" s="1"/>
      <c r="C39" s="2"/>
      <c r="D39" s="11"/>
      <c r="E39" s="12">
        <v>134</v>
      </c>
      <c r="F39" s="4"/>
      <c r="G39" s="27" t="s">
        <v>29</v>
      </c>
      <c r="H39" s="5"/>
      <c r="I39" s="27" t="s">
        <v>30</v>
      </c>
      <c r="J39" s="6"/>
      <c r="K39" s="27" t="s">
        <v>30</v>
      </c>
      <c r="L39" s="4"/>
    </row>
    <row r="40" spans="1:12" x14ac:dyDescent="0.2">
      <c r="A40" s="1"/>
      <c r="B40" s="1"/>
      <c r="C40" s="2"/>
      <c r="D40" s="11"/>
      <c r="E40" s="12">
        <v>135</v>
      </c>
      <c r="F40" s="4"/>
      <c r="G40" s="27" t="s">
        <v>29</v>
      </c>
      <c r="H40" s="5"/>
      <c r="I40" s="27" t="s">
        <v>30</v>
      </c>
      <c r="J40" s="6"/>
      <c r="K40" s="27" t="s">
        <v>30</v>
      </c>
      <c r="L40" s="4"/>
    </row>
    <row r="41" spans="1:12" x14ac:dyDescent="0.2">
      <c r="A41" s="1"/>
      <c r="B41" s="1"/>
      <c r="C41" s="2"/>
      <c r="D41" s="11"/>
      <c r="E41" s="12">
        <v>136</v>
      </c>
      <c r="F41" s="4"/>
      <c r="G41" s="27" t="s">
        <v>29</v>
      </c>
      <c r="H41" s="5"/>
      <c r="I41" s="27" t="s">
        <v>30</v>
      </c>
      <c r="J41" s="6"/>
      <c r="K41" s="27" t="s">
        <v>30</v>
      </c>
      <c r="L41" s="4"/>
    </row>
    <row r="42" spans="1:12" x14ac:dyDescent="0.2">
      <c r="A42" s="1"/>
      <c r="B42" s="1"/>
      <c r="C42" s="2"/>
      <c r="D42" s="11"/>
      <c r="E42" s="12">
        <v>137</v>
      </c>
      <c r="F42" s="4"/>
      <c r="G42" s="27" t="s">
        <v>29</v>
      </c>
      <c r="H42" s="5"/>
      <c r="I42" s="27" t="s">
        <v>30</v>
      </c>
      <c r="J42" s="6"/>
      <c r="K42" s="27" t="s">
        <v>30</v>
      </c>
      <c r="L42" s="4"/>
    </row>
    <row r="43" spans="1:12" x14ac:dyDescent="0.2">
      <c r="A43" s="1"/>
      <c r="B43" s="1"/>
      <c r="C43" s="2"/>
      <c r="D43" s="11"/>
      <c r="E43" s="12">
        <v>138</v>
      </c>
      <c r="F43" s="4"/>
      <c r="G43" s="27" t="s">
        <v>29</v>
      </c>
      <c r="H43" s="5"/>
      <c r="I43" s="27" t="s">
        <v>30</v>
      </c>
      <c r="J43" s="6"/>
      <c r="K43" s="27" t="s">
        <v>30</v>
      </c>
      <c r="L43" s="4"/>
    </row>
    <row r="44" spans="1:12" x14ac:dyDescent="0.2">
      <c r="A44" s="1"/>
      <c r="B44" s="1"/>
      <c r="C44" s="2"/>
      <c r="D44" s="11"/>
      <c r="E44" s="12">
        <v>139</v>
      </c>
      <c r="F44" s="4"/>
      <c r="G44" s="27" t="s">
        <v>2300</v>
      </c>
      <c r="H44" s="5"/>
      <c r="I44" s="27" t="s">
        <v>28</v>
      </c>
      <c r="J44" s="6"/>
      <c r="K44" s="27" t="s">
        <v>28</v>
      </c>
      <c r="L44" s="4"/>
    </row>
    <row r="45" spans="1:12" x14ac:dyDescent="0.2">
      <c r="A45" s="1"/>
      <c r="B45" s="1"/>
      <c r="C45" s="2"/>
      <c r="D45" s="11"/>
      <c r="E45" s="12">
        <v>140</v>
      </c>
      <c r="F45" s="4"/>
      <c r="G45" s="27" t="s">
        <v>36</v>
      </c>
      <c r="H45" s="5"/>
      <c r="I45" s="27" t="s">
        <v>37</v>
      </c>
      <c r="J45" s="6"/>
      <c r="K45" s="27" t="s">
        <v>37</v>
      </c>
      <c r="L45" s="4"/>
    </row>
    <row r="46" spans="1:12" x14ac:dyDescent="0.2">
      <c r="A46" s="1"/>
      <c r="B46" s="1"/>
      <c r="C46" s="2"/>
      <c r="D46" s="11"/>
      <c r="E46" s="12">
        <v>141</v>
      </c>
      <c r="F46" s="4"/>
      <c r="G46" s="27" t="s">
        <v>2300</v>
      </c>
      <c r="H46" s="5"/>
      <c r="I46" s="27" t="s">
        <v>28</v>
      </c>
      <c r="J46" s="6"/>
      <c r="K46" s="27" t="s">
        <v>28</v>
      </c>
      <c r="L46" s="4"/>
    </row>
    <row r="47" spans="1:12" x14ac:dyDescent="0.2">
      <c r="A47" s="1"/>
      <c r="B47" s="1"/>
      <c r="C47" s="2"/>
      <c r="D47" s="11"/>
      <c r="E47" s="12">
        <v>142</v>
      </c>
      <c r="F47" s="4"/>
      <c r="G47" s="27" t="s">
        <v>2300</v>
      </c>
      <c r="H47" s="5"/>
      <c r="I47" s="27" t="s">
        <v>28</v>
      </c>
      <c r="J47" s="6"/>
      <c r="K47" s="27" t="s">
        <v>28</v>
      </c>
      <c r="L47" s="4"/>
    </row>
    <row r="48" spans="1:12" x14ac:dyDescent="0.2">
      <c r="A48" s="1"/>
      <c r="B48" s="1"/>
      <c r="C48" s="2"/>
      <c r="D48" s="11"/>
      <c r="E48" s="12">
        <v>143</v>
      </c>
      <c r="F48" s="4"/>
      <c r="G48" s="27" t="s">
        <v>2300</v>
      </c>
      <c r="H48" s="5"/>
      <c r="I48" s="27" t="s">
        <v>28</v>
      </c>
      <c r="J48" s="6"/>
      <c r="K48" s="27" t="s">
        <v>28</v>
      </c>
      <c r="L48" s="4"/>
    </row>
    <row r="49" spans="1:12" x14ac:dyDescent="0.2">
      <c r="A49" s="1"/>
      <c r="B49" s="1"/>
      <c r="C49" s="2"/>
      <c r="D49" s="11"/>
      <c r="E49" s="12">
        <v>144</v>
      </c>
      <c r="F49" s="4"/>
      <c r="G49" s="27" t="s">
        <v>2300</v>
      </c>
      <c r="H49" s="5"/>
      <c r="I49" s="27" t="s">
        <v>28</v>
      </c>
      <c r="J49" s="6"/>
      <c r="K49" s="27" t="s">
        <v>28</v>
      </c>
      <c r="L49" s="4"/>
    </row>
    <row r="50" spans="1:12" x14ac:dyDescent="0.2">
      <c r="A50" s="1"/>
      <c r="B50" s="1"/>
      <c r="C50" s="2"/>
      <c r="D50" s="11"/>
      <c r="E50" s="12">
        <v>145</v>
      </c>
      <c r="F50" s="4"/>
      <c r="G50" s="27" t="s">
        <v>2300</v>
      </c>
      <c r="H50" s="5"/>
      <c r="I50" s="27" t="s">
        <v>28</v>
      </c>
      <c r="J50" s="6"/>
      <c r="K50" s="27" t="s">
        <v>28</v>
      </c>
      <c r="L50" s="4"/>
    </row>
    <row r="51" spans="1:12" x14ac:dyDescent="0.2">
      <c r="A51" s="1"/>
      <c r="B51" s="1"/>
      <c r="C51" s="2"/>
      <c r="D51" s="11"/>
      <c r="E51" s="12">
        <v>146</v>
      </c>
      <c r="F51" s="4"/>
      <c r="G51" s="27" t="s">
        <v>38</v>
      </c>
      <c r="H51" s="5"/>
      <c r="I51" s="27" t="s">
        <v>35</v>
      </c>
      <c r="J51" s="6"/>
      <c r="K51" s="27" t="s">
        <v>35</v>
      </c>
      <c r="L51" s="4"/>
    </row>
    <row r="52" spans="1:12" x14ac:dyDescent="0.2">
      <c r="A52" s="1"/>
      <c r="B52" s="1"/>
      <c r="C52" s="2"/>
      <c r="D52" s="11"/>
      <c r="E52" s="12">
        <v>147</v>
      </c>
      <c r="F52" s="4"/>
      <c r="G52" s="27" t="s">
        <v>2300</v>
      </c>
      <c r="H52" s="5"/>
      <c r="I52" s="27" t="s">
        <v>28</v>
      </c>
      <c r="J52" s="6"/>
      <c r="K52" s="27" t="s">
        <v>28</v>
      </c>
      <c r="L52" s="4"/>
    </row>
    <row r="53" spans="1:12" x14ac:dyDescent="0.2">
      <c r="A53" s="1"/>
      <c r="B53" s="1"/>
      <c r="C53" s="2"/>
      <c r="D53" s="11"/>
      <c r="E53" s="12">
        <v>148</v>
      </c>
      <c r="F53" s="4"/>
      <c r="G53" s="27" t="s">
        <v>2300</v>
      </c>
      <c r="H53" s="5"/>
      <c r="I53" s="27" t="s">
        <v>28</v>
      </c>
      <c r="J53" s="6"/>
      <c r="K53" s="27" t="s">
        <v>28</v>
      </c>
      <c r="L53" s="4"/>
    </row>
    <row r="54" spans="1:12" x14ac:dyDescent="0.2">
      <c r="A54" s="1"/>
      <c r="B54" s="1"/>
      <c r="C54" s="2"/>
      <c r="D54" s="11"/>
      <c r="E54" s="12">
        <v>149</v>
      </c>
      <c r="F54" s="4"/>
      <c r="G54" s="27" t="s">
        <v>2300</v>
      </c>
      <c r="H54" s="5"/>
      <c r="I54" s="27" t="s">
        <v>28</v>
      </c>
      <c r="J54" s="6"/>
      <c r="K54" s="27" t="s">
        <v>28</v>
      </c>
      <c r="L54" s="4"/>
    </row>
    <row r="55" spans="1:12" x14ac:dyDescent="0.2">
      <c r="A55" s="1"/>
      <c r="B55" s="1"/>
      <c r="C55" s="2"/>
      <c r="D55" s="11"/>
      <c r="E55" s="12">
        <v>150</v>
      </c>
      <c r="F55" s="4"/>
      <c r="G55" s="27" t="s">
        <v>2300</v>
      </c>
      <c r="H55" s="5"/>
      <c r="I55" s="27" t="s">
        <v>28</v>
      </c>
      <c r="J55" s="6"/>
      <c r="K55" s="27" t="s">
        <v>28</v>
      </c>
      <c r="L55" s="4"/>
    </row>
    <row r="56" spans="1:12" x14ac:dyDescent="0.2">
      <c r="A56" s="1"/>
      <c r="B56" s="1"/>
      <c r="C56" s="2"/>
      <c r="D56" s="11"/>
      <c r="E56" s="12">
        <v>151</v>
      </c>
      <c r="F56" s="4"/>
      <c r="G56" s="27" t="s">
        <v>29</v>
      </c>
      <c r="H56" s="5"/>
      <c r="I56" s="27" t="s">
        <v>30</v>
      </c>
      <c r="J56" s="6"/>
      <c r="K56" s="27" t="s">
        <v>30</v>
      </c>
      <c r="L56" s="4"/>
    </row>
    <row r="57" spans="1:12" x14ac:dyDescent="0.2">
      <c r="A57" s="1"/>
      <c r="B57" s="1"/>
      <c r="C57" s="2"/>
      <c r="D57" s="11"/>
      <c r="E57" s="12">
        <v>152</v>
      </c>
      <c r="F57" s="4"/>
      <c r="G57" s="27" t="s">
        <v>2300</v>
      </c>
      <c r="H57" s="5"/>
      <c r="I57" s="27" t="s">
        <v>28</v>
      </c>
      <c r="J57" s="6"/>
      <c r="K57" s="27" t="s">
        <v>28</v>
      </c>
      <c r="L57" s="4"/>
    </row>
    <row r="58" spans="1:12" x14ac:dyDescent="0.2">
      <c r="A58" s="1"/>
      <c r="B58" s="1"/>
      <c r="C58" s="2"/>
      <c r="D58" s="11"/>
      <c r="E58" s="12">
        <v>153</v>
      </c>
      <c r="F58" s="4"/>
      <c r="G58" s="27" t="s">
        <v>34</v>
      </c>
      <c r="H58" s="5"/>
      <c r="I58" s="27" t="s">
        <v>35</v>
      </c>
      <c r="J58" s="6"/>
      <c r="K58" s="27" t="s">
        <v>35</v>
      </c>
      <c r="L58" s="4"/>
    </row>
    <row r="59" spans="1:12" x14ac:dyDescent="0.2">
      <c r="A59" s="1"/>
      <c r="B59" s="1"/>
      <c r="C59" s="2"/>
      <c r="D59" s="11"/>
      <c r="E59" s="12">
        <v>154</v>
      </c>
      <c r="F59" s="4"/>
      <c r="G59" s="27" t="s">
        <v>2300</v>
      </c>
      <c r="H59" s="5"/>
      <c r="I59" s="27" t="s">
        <v>28</v>
      </c>
      <c r="J59" s="6"/>
      <c r="K59" s="27" t="s">
        <v>28</v>
      </c>
      <c r="L59" s="4"/>
    </row>
    <row r="60" spans="1:12" x14ac:dyDescent="0.2">
      <c r="A60" s="1"/>
      <c r="B60" s="1"/>
      <c r="C60" s="2"/>
      <c r="D60" s="11"/>
      <c r="E60" s="12">
        <v>155</v>
      </c>
      <c r="F60" s="4"/>
      <c r="G60" s="27" t="s">
        <v>2300</v>
      </c>
      <c r="H60" s="5"/>
      <c r="I60" s="27" t="s">
        <v>28</v>
      </c>
      <c r="J60" s="6"/>
      <c r="K60" s="27" t="s">
        <v>28</v>
      </c>
      <c r="L60" s="4"/>
    </row>
    <row r="61" spans="1:12" x14ac:dyDescent="0.2">
      <c r="A61" s="1"/>
      <c r="B61" s="1"/>
      <c r="C61" s="2"/>
      <c r="D61" s="11"/>
      <c r="E61" s="12">
        <v>156</v>
      </c>
      <c r="F61" s="4"/>
      <c r="G61" s="131" t="s">
        <v>2300</v>
      </c>
      <c r="H61" s="5"/>
      <c r="I61" s="27" t="s">
        <v>28</v>
      </c>
      <c r="J61" s="6"/>
      <c r="K61" s="27" t="s">
        <v>2309</v>
      </c>
      <c r="L61" s="4"/>
    </row>
    <row r="62" spans="1:12" x14ac:dyDescent="0.2">
      <c r="A62" s="1"/>
      <c r="B62" s="1"/>
      <c r="C62" s="2"/>
      <c r="D62" s="11"/>
      <c r="E62" s="12">
        <v>157</v>
      </c>
      <c r="F62" s="4"/>
      <c r="G62" s="27" t="s">
        <v>2300</v>
      </c>
      <c r="H62" s="5"/>
      <c r="I62" s="27" t="s">
        <v>28</v>
      </c>
      <c r="J62" s="6"/>
      <c r="K62" s="27" t="s">
        <v>28</v>
      </c>
      <c r="L62" s="4"/>
    </row>
    <row r="63" spans="1:12" x14ac:dyDescent="0.2">
      <c r="A63" s="1"/>
      <c r="B63" s="1"/>
      <c r="C63" s="2"/>
      <c r="D63" s="11"/>
      <c r="E63" s="12">
        <v>158</v>
      </c>
      <c r="F63" s="4"/>
      <c r="G63" s="27" t="s">
        <v>2300</v>
      </c>
      <c r="H63" s="5"/>
      <c r="I63" s="27" t="s">
        <v>28</v>
      </c>
      <c r="J63" s="6"/>
      <c r="K63" s="27" t="s">
        <v>28</v>
      </c>
      <c r="L63" s="4"/>
    </row>
    <row r="64" spans="1:12" x14ac:dyDescent="0.2">
      <c r="A64" s="1"/>
      <c r="B64" s="1"/>
      <c r="C64" s="2"/>
      <c r="D64" s="11"/>
      <c r="E64" s="12">
        <v>159</v>
      </c>
      <c r="F64" s="4"/>
      <c r="G64" s="27" t="s">
        <v>2333</v>
      </c>
      <c r="H64" s="5"/>
      <c r="I64" s="27" t="s">
        <v>2309</v>
      </c>
      <c r="J64" s="6"/>
      <c r="K64" s="27" t="s">
        <v>2309</v>
      </c>
      <c r="L64" s="4"/>
    </row>
    <row r="65" spans="1:12" x14ac:dyDescent="0.2">
      <c r="A65" s="1"/>
      <c r="B65" s="1"/>
      <c r="C65" s="2"/>
      <c r="D65" s="11"/>
      <c r="E65" s="12">
        <v>160</v>
      </c>
      <c r="F65" s="4"/>
      <c r="G65" s="27" t="s">
        <v>2333</v>
      </c>
      <c r="H65" s="5"/>
      <c r="I65" s="27" t="s">
        <v>28</v>
      </c>
      <c r="J65" s="6"/>
      <c r="K65" s="27" t="s">
        <v>28</v>
      </c>
      <c r="L65" s="4"/>
    </row>
    <row r="66" spans="1:12" x14ac:dyDescent="0.2">
      <c r="A66" s="1"/>
      <c r="B66" s="1"/>
      <c r="C66" s="2"/>
      <c r="D66" s="11"/>
      <c r="E66" s="12">
        <v>161</v>
      </c>
      <c r="F66" s="4"/>
      <c r="G66" s="27" t="s">
        <v>2333</v>
      </c>
      <c r="H66" s="5"/>
      <c r="I66" s="27" t="s">
        <v>28</v>
      </c>
      <c r="J66" s="6"/>
      <c r="K66" s="27" t="s">
        <v>28</v>
      </c>
      <c r="L66" s="4"/>
    </row>
    <row r="67" spans="1:12" x14ac:dyDescent="0.2">
      <c r="A67" s="1"/>
      <c r="B67" s="1"/>
      <c r="C67" s="2"/>
      <c r="D67" s="11"/>
      <c r="E67" s="120" t="s">
        <v>2405</v>
      </c>
      <c r="F67" s="4"/>
      <c r="G67" s="27" t="s">
        <v>2315</v>
      </c>
      <c r="H67" s="5"/>
      <c r="I67" s="27" t="s">
        <v>2315</v>
      </c>
      <c r="J67" s="6"/>
      <c r="K67" s="27" t="s">
        <v>2315</v>
      </c>
      <c r="L67" s="4"/>
    </row>
    <row r="68" spans="1:12" x14ac:dyDescent="0.2">
      <c r="A68" s="1"/>
      <c r="B68" s="1"/>
      <c r="C68" s="2"/>
      <c r="D68" s="11"/>
      <c r="E68" s="12">
        <v>162</v>
      </c>
      <c r="F68" s="4"/>
      <c r="G68" s="27" t="s">
        <v>2333</v>
      </c>
      <c r="H68" s="5"/>
      <c r="I68" s="27" t="s">
        <v>28</v>
      </c>
      <c r="J68" s="6"/>
      <c r="K68" s="27" t="s">
        <v>28</v>
      </c>
      <c r="L68" s="4"/>
    </row>
    <row r="69" spans="1:12" x14ac:dyDescent="0.2">
      <c r="A69" s="1"/>
      <c r="B69" s="1"/>
      <c r="C69" s="2"/>
      <c r="D69" s="11"/>
      <c r="E69" s="12">
        <v>163</v>
      </c>
      <c r="F69" s="4"/>
      <c r="G69" s="27" t="s">
        <v>2300</v>
      </c>
      <c r="H69" s="5"/>
      <c r="I69" s="27" t="s">
        <v>28</v>
      </c>
      <c r="J69" s="6"/>
      <c r="K69" s="27" t="s">
        <v>28</v>
      </c>
      <c r="L69" s="4"/>
    </row>
    <row r="70" spans="1:12" x14ac:dyDescent="0.2">
      <c r="A70" s="1"/>
      <c r="B70" s="1"/>
      <c r="C70" s="2"/>
      <c r="D70" s="11"/>
      <c r="E70" s="12">
        <v>164</v>
      </c>
      <c r="F70" s="4"/>
      <c r="G70" s="27" t="s">
        <v>2300</v>
      </c>
      <c r="H70" s="5"/>
      <c r="I70" s="27" t="s">
        <v>28</v>
      </c>
      <c r="J70" s="6"/>
      <c r="K70" s="27" t="s">
        <v>28</v>
      </c>
      <c r="L70" s="4"/>
    </row>
    <row r="71" spans="1:12" x14ac:dyDescent="0.2">
      <c r="A71" s="1"/>
      <c r="B71" s="1"/>
      <c r="C71" s="2"/>
      <c r="D71" s="11"/>
      <c r="E71" s="12">
        <v>165</v>
      </c>
      <c r="F71" s="4"/>
      <c r="G71" s="27" t="s">
        <v>2300</v>
      </c>
      <c r="H71" s="5"/>
      <c r="I71" s="27" t="s">
        <v>28</v>
      </c>
      <c r="J71" s="6"/>
      <c r="K71" s="27" t="s">
        <v>28</v>
      </c>
      <c r="L71" s="4"/>
    </row>
    <row r="72" spans="1:12" x14ac:dyDescent="0.2">
      <c r="A72" s="1"/>
      <c r="B72" s="1"/>
      <c r="C72" s="2"/>
      <c r="D72" s="11"/>
      <c r="E72" s="12">
        <v>166</v>
      </c>
      <c r="F72" s="4"/>
      <c r="G72" s="27" t="s">
        <v>2333</v>
      </c>
      <c r="H72" s="5"/>
      <c r="I72" s="27" t="s">
        <v>28</v>
      </c>
      <c r="J72" s="6"/>
      <c r="K72" s="27" t="s">
        <v>28</v>
      </c>
      <c r="L72" s="4"/>
    </row>
    <row r="73" spans="1:12" x14ac:dyDescent="0.2">
      <c r="A73" s="1"/>
      <c r="B73" s="1"/>
      <c r="C73" s="2"/>
      <c r="D73" s="11"/>
      <c r="E73" s="12">
        <v>167</v>
      </c>
      <c r="F73" s="4"/>
      <c r="G73" s="27" t="s">
        <v>2335</v>
      </c>
      <c r="H73" s="5"/>
      <c r="I73" s="27" t="s">
        <v>28</v>
      </c>
      <c r="J73" s="6"/>
      <c r="K73" s="27" t="s">
        <v>2335</v>
      </c>
      <c r="L73" s="4"/>
    </row>
    <row r="74" spans="1:12" x14ac:dyDescent="0.2">
      <c r="A74" s="1"/>
      <c r="B74" s="1"/>
      <c r="C74" s="2"/>
      <c r="D74" s="11"/>
      <c r="E74" s="12">
        <v>168</v>
      </c>
      <c r="F74" s="4"/>
      <c r="G74" s="27" t="s">
        <v>2333</v>
      </c>
      <c r="H74" s="5"/>
      <c r="I74" s="27" t="s">
        <v>28</v>
      </c>
      <c r="J74" s="6"/>
      <c r="K74" s="27" t="s">
        <v>2309</v>
      </c>
      <c r="L74" s="4"/>
    </row>
    <row r="75" spans="1:12" x14ac:dyDescent="0.2">
      <c r="A75" s="1"/>
      <c r="B75" s="1"/>
      <c r="C75" s="2"/>
      <c r="D75" s="11"/>
      <c r="E75" s="12">
        <v>169</v>
      </c>
      <c r="F75" s="4"/>
      <c r="G75" s="27" t="s">
        <v>2333</v>
      </c>
      <c r="H75" s="5"/>
      <c r="I75" s="27" t="s">
        <v>28</v>
      </c>
      <c r="J75" s="6"/>
      <c r="K75" s="27" t="s">
        <v>28</v>
      </c>
      <c r="L75" s="4"/>
    </row>
    <row r="76" spans="1:12" x14ac:dyDescent="0.2">
      <c r="A76" s="1"/>
      <c r="B76" s="1"/>
      <c r="C76" s="2"/>
      <c r="D76" s="11"/>
      <c r="E76" s="12">
        <v>170</v>
      </c>
      <c r="F76" s="4"/>
      <c r="G76" s="27" t="s">
        <v>2300</v>
      </c>
      <c r="H76" s="5"/>
      <c r="I76" s="27" t="s">
        <v>28</v>
      </c>
      <c r="J76" s="6"/>
      <c r="K76" s="27" t="s">
        <v>28</v>
      </c>
      <c r="L76" s="4"/>
    </row>
    <row r="77" spans="1:12" x14ac:dyDescent="0.2">
      <c r="A77" s="1"/>
      <c r="B77" s="1"/>
      <c r="C77" s="2"/>
      <c r="D77" s="11"/>
      <c r="E77" s="12">
        <v>171</v>
      </c>
      <c r="F77" s="4"/>
      <c r="G77" s="27" t="s">
        <v>2299</v>
      </c>
      <c r="H77" s="5"/>
      <c r="I77" s="27" t="s">
        <v>28</v>
      </c>
      <c r="J77" s="6"/>
      <c r="K77" s="27" t="s">
        <v>28</v>
      </c>
      <c r="L77" s="4"/>
    </row>
    <row r="78" spans="1:12" x14ac:dyDescent="0.2">
      <c r="A78" s="1"/>
      <c r="B78" s="1"/>
      <c r="C78" s="2"/>
      <c r="D78" s="11"/>
      <c r="E78" s="12">
        <v>172</v>
      </c>
      <c r="F78" s="4"/>
      <c r="G78" s="27" t="s">
        <v>2300</v>
      </c>
      <c r="H78" s="5"/>
      <c r="I78" s="27" t="s">
        <v>28</v>
      </c>
      <c r="J78" s="6"/>
      <c r="K78" s="27" t="s">
        <v>28</v>
      </c>
      <c r="L78" s="4"/>
    </row>
    <row r="79" spans="1:12" x14ac:dyDescent="0.2">
      <c r="A79" s="1"/>
      <c r="B79" s="1"/>
      <c r="C79" s="2"/>
      <c r="D79" s="11"/>
      <c r="E79" s="12">
        <v>174</v>
      </c>
      <c r="F79" s="4"/>
      <c r="G79" s="27" t="s">
        <v>2300</v>
      </c>
      <c r="H79" s="5"/>
      <c r="I79" s="27" t="s">
        <v>28</v>
      </c>
      <c r="J79" s="6"/>
      <c r="K79" s="27" t="s">
        <v>28</v>
      </c>
      <c r="L79" s="4"/>
    </row>
    <row r="80" spans="1:12" x14ac:dyDescent="0.2">
      <c r="A80" s="1"/>
      <c r="B80" s="1"/>
      <c r="C80" s="2"/>
      <c r="D80" s="11"/>
      <c r="E80" s="12">
        <v>175</v>
      </c>
      <c r="F80" s="4"/>
      <c r="G80" s="27" t="s">
        <v>29</v>
      </c>
      <c r="H80" s="5"/>
      <c r="I80" s="27" t="s">
        <v>30</v>
      </c>
      <c r="J80" s="6"/>
      <c r="K80" s="27" t="s">
        <v>30</v>
      </c>
      <c r="L80" s="4"/>
    </row>
    <row r="81" spans="1:12" x14ac:dyDescent="0.2">
      <c r="A81" s="1"/>
      <c r="B81" s="1"/>
      <c r="C81" s="2"/>
      <c r="D81" s="11"/>
      <c r="E81" s="12">
        <v>176</v>
      </c>
      <c r="F81" s="4"/>
      <c r="G81" s="27" t="s">
        <v>29</v>
      </c>
      <c r="H81" s="5"/>
      <c r="I81" s="27" t="s">
        <v>30</v>
      </c>
      <c r="J81" s="6"/>
      <c r="K81" s="27" t="s">
        <v>30</v>
      </c>
      <c r="L81" s="4"/>
    </row>
    <row r="82" spans="1:12" x14ac:dyDescent="0.2">
      <c r="A82" s="1"/>
      <c r="B82" s="1"/>
      <c r="C82" s="2"/>
      <c r="D82" s="11"/>
      <c r="E82" s="12">
        <v>177</v>
      </c>
      <c r="F82" s="4"/>
      <c r="G82" s="27" t="s">
        <v>2333</v>
      </c>
      <c r="H82" s="5"/>
      <c r="I82" s="27" t="s">
        <v>28</v>
      </c>
      <c r="J82" s="6"/>
      <c r="K82" s="27" t="s">
        <v>28</v>
      </c>
      <c r="L82" s="4"/>
    </row>
    <row r="83" spans="1:12" x14ac:dyDescent="0.2">
      <c r="A83" s="1"/>
      <c r="B83" s="1"/>
      <c r="C83" s="2"/>
      <c r="D83" s="11"/>
      <c r="E83" s="12">
        <v>200</v>
      </c>
      <c r="F83" s="4"/>
      <c r="G83" s="27" t="s">
        <v>2301</v>
      </c>
      <c r="H83" s="5"/>
      <c r="I83" s="27" t="s">
        <v>28</v>
      </c>
      <c r="J83" s="6"/>
      <c r="K83" s="27" t="s">
        <v>2301</v>
      </c>
      <c r="L83" s="4"/>
    </row>
    <row r="84" spans="1:12" x14ac:dyDescent="0.2">
      <c r="A84" s="1"/>
      <c r="B84" s="1"/>
      <c r="C84" s="2"/>
      <c r="D84" s="11"/>
      <c r="E84" s="12">
        <v>205</v>
      </c>
      <c r="F84" s="4"/>
      <c r="G84" s="27" t="s">
        <v>29</v>
      </c>
      <c r="H84" s="5"/>
      <c r="I84" s="27" t="s">
        <v>30</v>
      </c>
      <c r="J84" s="6"/>
      <c r="K84" s="27" t="s">
        <v>30</v>
      </c>
      <c r="L84" s="4"/>
    </row>
    <row r="85" spans="1:12" x14ac:dyDescent="0.2">
      <c r="A85" s="1"/>
      <c r="B85" s="1"/>
      <c r="C85" s="2"/>
      <c r="D85" s="11"/>
      <c r="E85" s="12">
        <v>210</v>
      </c>
      <c r="F85" s="4"/>
      <c r="G85" s="27" t="s">
        <v>2302</v>
      </c>
      <c r="H85" s="5"/>
      <c r="I85" s="27" t="s">
        <v>28</v>
      </c>
      <c r="J85" s="6"/>
      <c r="K85" s="27" t="s">
        <v>2302</v>
      </c>
      <c r="L85" s="4"/>
    </row>
    <row r="86" spans="1:12" x14ac:dyDescent="0.2">
      <c r="A86" s="1"/>
      <c r="B86" s="1"/>
      <c r="C86" s="2"/>
      <c r="D86" s="11"/>
      <c r="E86" s="12">
        <v>220</v>
      </c>
      <c r="F86" s="4"/>
      <c r="G86" s="27" t="s">
        <v>2302</v>
      </c>
      <c r="H86" s="5"/>
      <c r="I86" s="27" t="s">
        <v>28</v>
      </c>
      <c r="J86" s="6"/>
      <c r="K86" s="27" t="s">
        <v>2302</v>
      </c>
      <c r="L86" s="4"/>
    </row>
    <row r="87" spans="1:12" x14ac:dyDescent="0.2">
      <c r="A87" s="1"/>
      <c r="B87" s="1"/>
      <c r="C87" s="2"/>
      <c r="D87" s="11"/>
      <c r="E87" s="12">
        <v>230</v>
      </c>
      <c r="F87" s="4"/>
      <c r="G87" s="27" t="s">
        <v>2302</v>
      </c>
      <c r="H87" s="5"/>
      <c r="I87" s="27" t="s">
        <v>28</v>
      </c>
      <c r="J87" s="6"/>
      <c r="K87" s="27" t="s">
        <v>2302</v>
      </c>
      <c r="L87" s="4"/>
    </row>
    <row r="88" spans="1:12" x14ac:dyDescent="0.2">
      <c r="A88" s="1"/>
      <c r="B88" s="1"/>
      <c r="C88" s="2"/>
      <c r="D88" s="11"/>
      <c r="E88" s="12">
        <v>240</v>
      </c>
      <c r="F88" s="4"/>
      <c r="G88" s="27" t="s">
        <v>2302</v>
      </c>
      <c r="H88" s="5"/>
      <c r="I88" s="27" t="s">
        <v>28</v>
      </c>
      <c r="J88" s="6"/>
      <c r="K88" s="27" t="s">
        <v>2302</v>
      </c>
      <c r="L88" s="4"/>
    </row>
    <row r="89" spans="1:12" x14ac:dyDescent="0.2">
      <c r="A89" s="1"/>
      <c r="B89" s="1"/>
      <c r="C89" s="2"/>
      <c r="D89" s="11"/>
      <c r="E89" s="12">
        <v>260</v>
      </c>
      <c r="F89" s="4"/>
      <c r="G89" s="27" t="s">
        <v>2302</v>
      </c>
      <c r="H89" s="5"/>
      <c r="I89" s="27" t="s">
        <v>28</v>
      </c>
      <c r="J89" s="6"/>
      <c r="K89" s="27" t="s">
        <v>2302</v>
      </c>
      <c r="L89" s="4"/>
    </row>
    <row r="90" spans="1:12" x14ac:dyDescent="0.2">
      <c r="A90" s="1"/>
      <c r="B90" s="1"/>
      <c r="C90" s="2"/>
      <c r="D90" s="11"/>
      <c r="E90" s="12">
        <v>270</v>
      </c>
      <c r="F90" s="4"/>
      <c r="G90" s="27" t="s">
        <v>2301</v>
      </c>
      <c r="H90" s="5"/>
      <c r="I90" s="27" t="s">
        <v>28</v>
      </c>
      <c r="J90" s="6"/>
      <c r="K90" s="27" t="s">
        <v>2301</v>
      </c>
      <c r="L90" s="4"/>
    </row>
    <row r="91" spans="1:12" x14ac:dyDescent="0.2">
      <c r="A91" s="1"/>
      <c r="B91" s="1"/>
      <c r="C91" s="2"/>
      <c r="D91" s="11"/>
      <c r="E91" s="12">
        <v>273</v>
      </c>
      <c r="F91" s="4"/>
      <c r="G91" s="27" t="s">
        <v>2302</v>
      </c>
      <c r="H91" s="5"/>
      <c r="I91" s="27" t="s">
        <v>28</v>
      </c>
      <c r="J91" s="6"/>
      <c r="K91" s="27" t="s">
        <v>2302</v>
      </c>
      <c r="L91" s="4"/>
    </row>
    <row r="92" spans="1:12" x14ac:dyDescent="0.2">
      <c r="A92" s="1"/>
      <c r="B92" s="1"/>
      <c r="C92" s="2"/>
      <c r="D92" s="11"/>
      <c r="E92" s="12">
        <v>215</v>
      </c>
      <c r="F92" s="4"/>
      <c r="G92" s="27" t="s">
        <v>29</v>
      </c>
      <c r="H92" s="5"/>
      <c r="I92" s="27" t="s">
        <v>30</v>
      </c>
      <c r="J92" s="6"/>
      <c r="K92" s="27" t="s">
        <v>30</v>
      </c>
      <c r="L92" s="4"/>
    </row>
    <row r="93" spans="1:12" x14ac:dyDescent="0.2">
      <c r="A93" s="1"/>
      <c r="B93" s="1"/>
      <c r="C93" s="2"/>
      <c r="D93" s="11"/>
      <c r="E93" s="12">
        <v>225</v>
      </c>
      <c r="F93" s="4"/>
      <c r="G93" s="27" t="s">
        <v>29</v>
      </c>
      <c r="H93" s="5"/>
      <c r="I93" s="27" t="s">
        <v>30</v>
      </c>
      <c r="J93" s="6"/>
      <c r="K93" s="27" t="s">
        <v>30</v>
      </c>
      <c r="L93" s="4"/>
    </row>
    <row r="94" spans="1:12" x14ac:dyDescent="0.2">
      <c r="A94" s="1"/>
      <c r="B94" s="1"/>
      <c r="C94" s="2"/>
      <c r="D94" s="11"/>
      <c r="E94" s="12">
        <v>235</v>
      </c>
      <c r="F94" s="4"/>
      <c r="G94" s="27" t="s">
        <v>29</v>
      </c>
      <c r="H94" s="5"/>
      <c r="I94" s="27" t="s">
        <v>30</v>
      </c>
      <c r="J94" s="6"/>
      <c r="K94" s="27" t="s">
        <v>30</v>
      </c>
      <c r="L94" s="4"/>
    </row>
    <row r="95" spans="1:12" x14ac:dyDescent="0.2">
      <c r="A95" s="1"/>
      <c r="B95" s="1"/>
      <c r="C95" s="2"/>
      <c r="D95" s="11"/>
      <c r="E95" s="12">
        <v>245</v>
      </c>
      <c r="F95" s="4"/>
      <c r="G95" s="27" t="s">
        <v>29</v>
      </c>
      <c r="H95" s="5"/>
      <c r="I95" s="27" t="s">
        <v>30</v>
      </c>
      <c r="J95" s="6"/>
      <c r="K95" s="27" t="s">
        <v>30</v>
      </c>
      <c r="L95" s="4"/>
    </row>
    <row r="96" spans="1:12" x14ac:dyDescent="0.2">
      <c r="A96" s="1"/>
      <c r="B96" s="1"/>
      <c r="C96" s="2"/>
      <c r="D96" s="11"/>
      <c r="E96" s="12">
        <v>280</v>
      </c>
      <c r="F96" s="4"/>
      <c r="G96" s="27" t="s">
        <v>2302</v>
      </c>
      <c r="H96" s="5"/>
      <c r="I96" s="27" t="s">
        <v>28</v>
      </c>
      <c r="J96" s="6"/>
      <c r="K96" s="27" t="s">
        <v>2302</v>
      </c>
      <c r="L96" s="4"/>
    </row>
    <row r="97" spans="1:12" x14ac:dyDescent="0.2">
      <c r="A97" s="7"/>
      <c r="B97" s="7"/>
      <c r="C97" s="7"/>
      <c r="D97" s="7"/>
      <c r="E97" s="7"/>
      <c r="F97" s="7"/>
      <c r="G97" s="7"/>
      <c r="H97" s="7"/>
      <c r="I97" s="6"/>
      <c r="J97" s="6"/>
      <c r="K97" s="7"/>
      <c r="L97" s="7"/>
    </row>
    <row r="98" spans="1:12" x14ac:dyDescent="0.2">
      <c r="A98" s="7"/>
      <c r="B98" s="7"/>
      <c r="C98" s="7"/>
      <c r="D98" s="7"/>
      <c r="E98" s="8" t="s">
        <v>40</v>
      </c>
      <c r="F98" s="7"/>
      <c r="G98" s="7"/>
      <c r="H98" s="7"/>
      <c r="I98" s="7"/>
      <c r="J98" s="7"/>
      <c r="K98" s="7"/>
      <c r="L98" s="7"/>
    </row>
    <row r="99" spans="1:12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2">
      <c r="A100" s="7"/>
      <c r="B100" s="7"/>
      <c r="C100" s="7"/>
      <c r="D100" s="7"/>
      <c r="E100" s="7">
        <v>309</v>
      </c>
      <c r="F100" s="7"/>
      <c r="G100" s="27" t="s">
        <v>41</v>
      </c>
      <c r="H100" s="7"/>
      <c r="I100" s="27" t="s">
        <v>28</v>
      </c>
      <c r="J100" s="7"/>
      <c r="K100" s="7"/>
      <c r="L100" s="7"/>
    </row>
    <row r="101" spans="1:12" x14ac:dyDescent="0.2">
      <c r="A101" s="7"/>
      <c r="B101" s="7"/>
      <c r="C101" s="7"/>
      <c r="D101" s="7"/>
      <c r="E101" s="7">
        <v>310</v>
      </c>
      <c r="F101" s="7"/>
      <c r="G101" s="27" t="s">
        <v>41</v>
      </c>
      <c r="H101" s="7"/>
      <c r="I101" s="27" t="s">
        <v>28</v>
      </c>
      <c r="J101" s="7"/>
      <c r="K101" s="7"/>
      <c r="L101" s="7"/>
    </row>
    <row r="102" spans="1:12" x14ac:dyDescent="0.2">
      <c r="A102" s="7"/>
      <c r="B102" s="7"/>
      <c r="C102" s="7"/>
      <c r="D102" s="7"/>
      <c r="E102" s="7">
        <v>311</v>
      </c>
      <c r="F102" s="7"/>
      <c r="G102" s="27" t="s">
        <v>41</v>
      </c>
      <c r="H102" s="7"/>
      <c r="I102" s="27" t="s">
        <v>28</v>
      </c>
      <c r="J102" s="7"/>
      <c r="K102" s="7"/>
      <c r="L102" s="7"/>
    </row>
    <row r="103" spans="1:12" x14ac:dyDescent="0.2">
      <c r="A103" s="7"/>
      <c r="B103" s="7"/>
      <c r="C103" s="7"/>
      <c r="D103" s="7"/>
      <c r="E103" s="7">
        <v>312</v>
      </c>
      <c r="F103" s="7"/>
      <c r="G103" s="27" t="s">
        <v>41</v>
      </c>
      <c r="H103" s="7"/>
      <c r="I103" s="27" t="s">
        <v>28</v>
      </c>
      <c r="J103" s="7"/>
      <c r="K103" s="7"/>
      <c r="L103" s="7"/>
    </row>
    <row r="104" spans="1:12" x14ac:dyDescent="0.2">
      <c r="A104" s="7"/>
      <c r="B104" s="7"/>
      <c r="C104" s="7"/>
      <c r="D104" s="7"/>
      <c r="E104" s="7">
        <v>313</v>
      </c>
      <c r="F104" s="7"/>
      <c r="G104" s="27" t="s">
        <v>42</v>
      </c>
      <c r="H104" s="7"/>
      <c r="I104" s="27" t="s">
        <v>37</v>
      </c>
      <c r="J104" s="7"/>
      <c r="K104" s="7"/>
      <c r="L104" s="7"/>
    </row>
    <row r="105" spans="1:12" x14ac:dyDescent="0.2">
      <c r="A105" s="7"/>
      <c r="B105" s="7"/>
      <c r="C105" s="7"/>
      <c r="D105" s="7"/>
      <c r="E105" s="7">
        <v>314</v>
      </c>
      <c r="F105" s="7"/>
      <c r="G105" s="27" t="s">
        <v>43</v>
      </c>
      <c r="H105" s="7"/>
      <c r="I105" s="27" t="s">
        <v>28</v>
      </c>
      <c r="J105" s="7"/>
      <c r="K105" s="7"/>
      <c r="L105" s="7"/>
    </row>
    <row r="106" spans="1:12" x14ac:dyDescent="0.2">
      <c r="A106" s="7"/>
      <c r="B106" s="7"/>
      <c r="C106" s="7"/>
      <c r="D106" s="7"/>
      <c r="E106" s="7">
        <v>315</v>
      </c>
      <c r="F106" s="7"/>
      <c r="G106" s="27" t="s">
        <v>43</v>
      </c>
      <c r="H106" s="7"/>
      <c r="I106" s="27" t="s">
        <v>28</v>
      </c>
      <c r="J106" s="7"/>
      <c r="K106" s="7"/>
      <c r="L106" s="7"/>
    </row>
    <row r="107" spans="1:12" x14ac:dyDescent="0.2">
      <c r="A107" s="7"/>
      <c r="B107" s="7"/>
      <c r="C107" s="7"/>
      <c r="D107" s="7"/>
      <c r="E107" s="7">
        <v>316</v>
      </c>
      <c r="F107" s="7"/>
      <c r="G107" s="27" t="s">
        <v>41</v>
      </c>
      <c r="H107" s="7"/>
      <c r="I107" s="27" t="s">
        <v>28</v>
      </c>
      <c r="J107" s="7"/>
      <c r="K107" s="7"/>
      <c r="L107" s="7"/>
    </row>
    <row r="108" spans="1:12" x14ac:dyDescent="0.2">
      <c r="A108" s="7"/>
      <c r="B108" s="7"/>
      <c r="C108" s="7"/>
      <c r="D108" s="7"/>
      <c r="E108" s="7">
        <v>317</v>
      </c>
      <c r="F108" s="7"/>
      <c r="G108" s="27" t="s">
        <v>41</v>
      </c>
      <c r="H108" s="7"/>
      <c r="I108" s="27" t="s">
        <v>28</v>
      </c>
      <c r="J108" s="7"/>
      <c r="K108" s="7"/>
      <c r="L108" s="7"/>
    </row>
    <row r="109" spans="1:12" x14ac:dyDescent="0.2">
      <c r="A109" s="7"/>
      <c r="B109" s="7"/>
      <c r="C109" s="7"/>
      <c r="D109" s="7"/>
      <c r="E109" s="7">
        <v>318</v>
      </c>
      <c r="F109" s="7"/>
      <c r="G109" s="27" t="s">
        <v>41</v>
      </c>
      <c r="H109" s="7"/>
      <c r="I109" s="27" t="s">
        <v>28</v>
      </c>
      <c r="J109" s="7"/>
      <c r="K109" s="7"/>
      <c r="L109" s="7"/>
    </row>
    <row r="110" spans="1:12" x14ac:dyDescent="0.2">
      <c r="A110" s="7"/>
      <c r="B110" s="7"/>
      <c r="C110" s="7"/>
      <c r="D110" s="7"/>
      <c r="E110" s="7">
        <v>319</v>
      </c>
      <c r="F110" s="7"/>
      <c r="G110" s="27" t="s">
        <v>41</v>
      </c>
      <c r="H110" s="7"/>
      <c r="I110" s="27" t="s">
        <v>28</v>
      </c>
      <c r="J110" s="7"/>
      <c r="K110" s="7"/>
      <c r="L110" s="7"/>
    </row>
    <row r="111" spans="1:12" x14ac:dyDescent="0.2">
      <c r="A111" s="7"/>
      <c r="B111" s="7"/>
      <c r="C111" s="7"/>
      <c r="D111" s="7"/>
      <c r="E111" s="7">
        <v>325</v>
      </c>
      <c r="F111" s="7"/>
      <c r="G111" s="27" t="s">
        <v>41</v>
      </c>
      <c r="H111" s="7"/>
      <c r="I111" s="27" t="s">
        <v>28</v>
      </c>
      <c r="J111" s="7"/>
      <c r="K111" s="7"/>
      <c r="L111" s="7"/>
    </row>
    <row r="112" spans="1:12" x14ac:dyDescent="0.2">
      <c r="A112" s="7"/>
      <c r="B112" s="7"/>
      <c r="C112" s="7"/>
      <c r="D112" s="7"/>
      <c r="E112" s="7">
        <v>330</v>
      </c>
      <c r="F112" s="7"/>
      <c r="G112" s="27" t="s">
        <v>41</v>
      </c>
      <c r="H112" s="7"/>
      <c r="I112" s="27" t="s">
        <v>28</v>
      </c>
      <c r="J112" s="7"/>
      <c r="K112" s="7"/>
      <c r="L112" s="7"/>
    </row>
    <row r="113" spans="1:12" x14ac:dyDescent="0.2">
      <c r="A113" s="7"/>
      <c r="B113" s="7"/>
      <c r="C113" s="7"/>
      <c r="D113" s="7"/>
      <c r="E113" s="7">
        <v>333</v>
      </c>
      <c r="F113" s="7"/>
      <c r="G113" s="27" t="s">
        <v>41</v>
      </c>
      <c r="H113" s="7"/>
      <c r="I113" s="27" t="s">
        <v>28</v>
      </c>
      <c r="J113" s="7"/>
      <c r="K113" s="7"/>
      <c r="L113" s="7"/>
    </row>
    <row r="114" spans="1:12" x14ac:dyDescent="0.2">
      <c r="A114" s="7"/>
      <c r="B114" s="7"/>
      <c r="C114" s="7"/>
      <c r="D114" s="7"/>
      <c r="E114" s="7">
        <v>335</v>
      </c>
      <c r="F114" s="7"/>
      <c r="G114" s="27" t="s">
        <v>41</v>
      </c>
      <c r="H114" s="7"/>
      <c r="I114" s="27" t="s">
        <v>28</v>
      </c>
      <c r="J114" s="7"/>
      <c r="K114" s="7"/>
      <c r="L114" s="7"/>
    </row>
    <row r="115" spans="1:12" x14ac:dyDescent="0.2">
      <c r="A115" s="7"/>
      <c r="B115" s="7"/>
      <c r="C115" s="7"/>
      <c r="D115" s="7"/>
      <c r="E115" s="7">
        <v>336</v>
      </c>
      <c r="F115" s="7"/>
      <c r="G115" s="27" t="s">
        <v>41</v>
      </c>
      <c r="H115" s="7"/>
      <c r="I115" s="27" t="s">
        <v>28</v>
      </c>
      <c r="J115" s="7"/>
      <c r="K115" s="7"/>
      <c r="L115" s="7"/>
    </row>
    <row r="116" spans="1:12" x14ac:dyDescent="0.2">
      <c r="A116" s="7"/>
      <c r="B116" s="7"/>
      <c r="C116" s="7"/>
      <c r="D116" s="7"/>
      <c r="E116" s="7">
        <v>350</v>
      </c>
      <c r="F116" s="7"/>
      <c r="G116" s="27" t="s">
        <v>41</v>
      </c>
      <c r="H116" s="7"/>
      <c r="I116" s="27" t="s">
        <v>28</v>
      </c>
      <c r="J116" s="7"/>
      <c r="K116" s="7"/>
      <c r="L116" s="7"/>
    </row>
    <row r="117" spans="1:12" x14ac:dyDescent="0.2">
      <c r="A117" s="7"/>
      <c r="B117" s="7"/>
      <c r="C117" s="7"/>
      <c r="D117" s="7"/>
      <c r="E117" s="7">
        <v>380</v>
      </c>
      <c r="F117" s="7"/>
      <c r="G117" s="27" t="s">
        <v>41</v>
      </c>
      <c r="H117" s="7"/>
      <c r="I117" s="27" t="s">
        <v>28</v>
      </c>
      <c r="J117" s="7"/>
      <c r="K117" s="7"/>
      <c r="L117" s="7"/>
    </row>
    <row r="118" spans="1:12" x14ac:dyDescent="0.2">
      <c r="A118" s="7"/>
      <c r="B118" s="7"/>
      <c r="C118" s="7"/>
      <c r="D118" s="7"/>
      <c r="E118" s="7">
        <v>381</v>
      </c>
      <c r="F118" s="7"/>
      <c r="G118" s="27" t="s">
        <v>41</v>
      </c>
      <c r="H118" s="7"/>
      <c r="I118" s="27" t="s">
        <v>28</v>
      </c>
      <c r="J118" s="7"/>
      <c r="K118" s="7"/>
      <c r="L118" s="7"/>
    </row>
    <row r="119" spans="1:12" x14ac:dyDescent="0.2">
      <c r="A119" s="7"/>
      <c r="B119" s="7"/>
      <c r="C119" s="7"/>
      <c r="D119" s="7"/>
      <c r="E119" s="7">
        <v>383</v>
      </c>
      <c r="F119" s="7"/>
      <c r="G119" s="27" t="s">
        <v>41</v>
      </c>
      <c r="H119" s="7"/>
      <c r="I119" s="27" t="s">
        <v>28</v>
      </c>
      <c r="J119" s="7"/>
      <c r="K119" s="7"/>
      <c r="L119" s="7"/>
    </row>
    <row r="120" spans="1:12" x14ac:dyDescent="0.2">
      <c r="A120" s="7"/>
      <c r="B120" s="7"/>
      <c r="C120" s="7"/>
      <c r="D120" s="7"/>
      <c r="E120" s="7">
        <v>400</v>
      </c>
      <c r="F120" s="7"/>
      <c r="G120" s="27" t="s">
        <v>44</v>
      </c>
      <c r="H120" s="7"/>
      <c r="I120" s="27" t="s">
        <v>28</v>
      </c>
      <c r="J120" s="7"/>
      <c r="K120" s="7"/>
      <c r="L120" s="7"/>
    </row>
    <row r="121" spans="1:12" x14ac:dyDescent="0.2">
      <c r="A121" s="7"/>
      <c r="B121" s="7"/>
      <c r="C121" s="7"/>
      <c r="D121" s="7"/>
      <c r="E121" s="7">
        <v>410</v>
      </c>
      <c r="F121" s="7"/>
      <c r="G121" s="27" t="s">
        <v>41</v>
      </c>
      <c r="H121" s="7"/>
      <c r="I121" s="27" t="s">
        <v>28</v>
      </c>
      <c r="J121" s="7"/>
      <c r="K121" s="7"/>
      <c r="L121" s="7"/>
    </row>
    <row r="122" spans="1:12" x14ac:dyDescent="0.2">
      <c r="A122" s="7"/>
      <c r="B122" s="7"/>
      <c r="C122" s="7"/>
      <c r="D122" s="7"/>
      <c r="E122" s="7">
        <v>425</v>
      </c>
      <c r="F122" s="7"/>
      <c r="G122" s="27" t="s">
        <v>41</v>
      </c>
      <c r="H122" s="7"/>
      <c r="I122" s="27" t="s">
        <v>28</v>
      </c>
      <c r="J122" s="7"/>
      <c r="K122" s="7"/>
      <c r="L122" s="7"/>
    </row>
    <row r="123" spans="1:12" x14ac:dyDescent="0.2">
      <c r="A123" s="7"/>
      <c r="B123" s="7"/>
      <c r="C123" s="7"/>
      <c r="D123" s="7"/>
      <c r="E123" s="7">
        <v>426</v>
      </c>
      <c r="F123" s="7"/>
      <c r="G123" s="27" t="s">
        <v>41</v>
      </c>
      <c r="H123" s="7"/>
      <c r="I123" s="27" t="s">
        <v>28</v>
      </c>
      <c r="J123" s="7"/>
      <c r="K123" s="7"/>
      <c r="L123" s="7"/>
    </row>
    <row r="124" spans="1:12" x14ac:dyDescent="0.2">
      <c r="A124" s="7"/>
      <c r="B124" s="7"/>
      <c r="C124" s="7"/>
      <c r="D124" s="7"/>
      <c r="E124" s="7">
        <v>430</v>
      </c>
      <c r="F124" s="7"/>
      <c r="G124" s="27" t="s">
        <v>31</v>
      </c>
      <c r="H124" s="7"/>
      <c r="I124" s="27" t="s">
        <v>28</v>
      </c>
      <c r="J124" s="7"/>
      <c r="K124" s="7"/>
      <c r="L124" s="7"/>
    </row>
    <row r="125" spans="1:12" x14ac:dyDescent="0.2">
      <c r="A125" s="7"/>
      <c r="B125" s="7"/>
      <c r="C125" s="7"/>
      <c r="D125" s="7"/>
      <c r="E125" s="7">
        <v>440</v>
      </c>
      <c r="F125" s="7"/>
      <c r="G125" s="27" t="s">
        <v>41</v>
      </c>
      <c r="H125" s="7"/>
      <c r="I125" s="27" t="s">
        <v>28</v>
      </c>
      <c r="J125" s="7"/>
      <c r="K125" s="7"/>
      <c r="L125" s="7"/>
    </row>
    <row r="126" spans="1:12" x14ac:dyDescent="0.2">
      <c r="A126" s="7"/>
      <c r="B126" s="7"/>
      <c r="C126" s="7"/>
      <c r="D126" s="7"/>
      <c r="E126" s="7">
        <v>442</v>
      </c>
      <c r="F126" s="7"/>
      <c r="G126" s="27" t="s">
        <v>41</v>
      </c>
      <c r="H126" s="7"/>
      <c r="I126" s="27" t="s">
        <v>28</v>
      </c>
      <c r="J126" s="7"/>
      <c r="K126" s="7"/>
      <c r="L126" s="7"/>
    </row>
    <row r="127" spans="1:12" x14ac:dyDescent="0.2">
      <c r="A127" s="7"/>
      <c r="B127" s="7"/>
      <c r="C127" s="7"/>
      <c r="D127" s="7"/>
      <c r="E127" s="7">
        <v>450</v>
      </c>
      <c r="F127" s="7"/>
      <c r="G127" s="27" t="s">
        <v>42</v>
      </c>
      <c r="H127" s="7"/>
      <c r="I127" s="27" t="s">
        <v>37</v>
      </c>
      <c r="J127" s="7"/>
      <c r="K127" s="7"/>
      <c r="L127" s="7"/>
    </row>
    <row r="128" spans="1:12" x14ac:dyDescent="0.2">
      <c r="A128" s="7"/>
      <c r="B128" s="7"/>
      <c r="C128" s="7"/>
      <c r="D128" s="7"/>
      <c r="E128" s="7">
        <v>482</v>
      </c>
      <c r="F128" s="7"/>
      <c r="G128" s="27" t="s">
        <v>41</v>
      </c>
      <c r="H128" s="7"/>
      <c r="I128" s="27" t="s">
        <v>28</v>
      </c>
      <c r="J128" s="7"/>
      <c r="K128" s="7"/>
      <c r="L128" s="7"/>
    </row>
    <row r="129" spans="1:12" x14ac:dyDescent="0.2">
      <c r="A129" s="7"/>
      <c r="B129" s="7"/>
      <c r="C129" s="7"/>
      <c r="D129" s="7"/>
      <c r="E129" s="7">
        <v>483</v>
      </c>
      <c r="F129" s="7"/>
      <c r="G129" s="27" t="s">
        <v>41</v>
      </c>
      <c r="H129" s="7"/>
      <c r="I129" s="27" t="s">
        <v>28</v>
      </c>
      <c r="J129" s="7"/>
      <c r="K129" s="7"/>
      <c r="L129" s="7"/>
    </row>
    <row r="130" spans="1:12" x14ac:dyDescent="0.2">
      <c r="A130" s="7"/>
      <c r="B130" s="7"/>
      <c r="C130" s="7"/>
      <c r="D130" s="7"/>
      <c r="E130" s="7">
        <v>484</v>
      </c>
      <c r="F130" s="7"/>
      <c r="G130" s="27" t="s">
        <v>41</v>
      </c>
      <c r="H130" s="7"/>
      <c r="I130" s="27" t="s">
        <v>28</v>
      </c>
      <c r="J130" s="7"/>
      <c r="K130" s="7"/>
      <c r="L130" s="7"/>
    </row>
    <row r="131" spans="1:12" x14ac:dyDescent="0.2">
      <c r="A131" s="7"/>
      <c r="B131" s="7"/>
      <c r="C131" s="7"/>
      <c r="D131" s="7"/>
      <c r="E131" s="7">
        <v>485</v>
      </c>
      <c r="F131" s="7"/>
      <c r="G131" s="27" t="s">
        <v>41</v>
      </c>
      <c r="H131" s="7"/>
      <c r="I131" s="27" t="s">
        <v>28</v>
      </c>
      <c r="J131" s="7"/>
      <c r="K131" s="7"/>
      <c r="L131" s="7"/>
    </row>
    <row r="132" spans="1:12" x14ac:dyDescent="0.2">
      <c r="A132" s="7"/>
      <c r="B132" s="7"/>
      <c r="C132" s="7"/>
      <c r="D132" s="7"/>
      <c r="E132" s="7">
        <v>486</v>
      </c>
      <c r="F132" s="7"/>
      <c r="G132" s="27" t="s">
        <v>41</v>
      </c>
      <c r="H132" s="7"/>
      <c r="I132" s="27" t="s">
        <v>28</v>
      </c>
      <c r="J132" s="7"/>
      <c r="K132" s="7"/>
      <c r="L132" s="7"/>
    </row>
    <row r="133" spans="1:12" x14ac:dyDescent="0.2">
      <c r="A133" s="7"/>
      <c r="B133" s="7"/>
      <c r="C133" s="7"/>
      <c r="D133" s="7"/>
      <c r="E133" s="7">
        <v>488</v>
      </c>
      <c r="F133" s="7"/>
      <c r="G133" s="27" t="s">
        <v>41</v>
      </c>
      <c r="H133" s="7"/>
      <c r="I133" s="27" t="s">
        <v>28</v>
      </c>
      <c r="J133" s="7"/>
      <c r="K133" s="7"/>
      <c r="L133" s="7"/>
    </row>
    <row r="134" spans="1:12" x14ac:dyDescent="0.2">
      <c r="A134" s="7"/>
      <c r="B134" s="7"/>
      <c r="C134" s="7"/>
      <c r="D134" s="7"/>
      <c r="E134" s="7">
        <v>492</v>
      </c>
      <c r="F134" s="7"/>
      <c r="G134" s="27" t="s">
        <v>41</v>
      </c>
      <c r="H134" s="7"/>
      <c r="I134" s="27" t="s">
        <v>28</v>
      </c>
      <c r="J134" s="7"/>
      <c r="K134" s="7"/>
      <c r="L134" s="7"/>
    </row>
    <row r="135" spans="1:12" x14ac:dyDescent="0.2">
      <c r="A135" s="7"/>
      <c r="B135" s="7"/>
      <c r="C135" s="7"/>
      <c r="D135" s="7"/>
      <c r="E135" s="7">
        <v>800</v>
      </c>
      <c r="F135" s="7"/>
      <c r="G135" s="27" t="s">
        <v>41</v>
      </c>
      <c r="H135" s="7"/>
      <c r="I135" s="27" t="s">
        <v>28</v>
      </c>
      <c r="J135" s="7"/>
      <c r="K135" s="7"/>
      <c r="L135" s="7"/>
    </row>
    <row r="136" spans="1:12" x14ac:dyDescent="0.2">
      <c r="A136" s="7"/>
      <c r="B136" s="7"/>
      <c r="C136" s="7"/>
      <c r="D136" s="7"/>
      <c r="E136" s="7">
        <v>991</v>
      </c>
      <c r="F136" s="7"/>
      <c r="G136" s="27" t="s">
        <v>41</v>
      </c>
      <c r="H136" s="7"/>
      <c r="I136" s="27" t="s">
        <v>28</v>
      </c>
      <c r="J136" s="7"/>
      <c r="K136" s="7"/>
      <c r="L136" s="7"/>
    </row>
    <row r="137" spans="1:12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x14ac:dyDescent="0.2">
      <c r="A138" s="7"/>
      <c r="B138" s="7"/>
      <c r="C138" s="7"/>
      <c r="D138" s="7"/>
      <c r="E138" s="9" t="s">
        <v>45</v>
      </c>
      <c r="F138" s="7"/>
      <c r="G138" s="7"/>
      <c r="H138" s="7"/>
      <c r="I138" s="7"/>
      <c r="J138" s="7"/>
      <c r="K138" s="7"/>
      <c r="L138" s="7"/>
    </row>
    <row r="139" spans="1:12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x14ac:dyDescent="0.2">
      <c r="A140" s="7"/>
      <c r="B140" s="7"/>
      <c r="C140" s="7"/>
      <c r="D140" s="7"/>
      <c r="E140" s="7">
        <v>140120</v>
      </c>
      <c r="F140" s="7"/>
      <c r="G140" s="7" t="s">
        <v>46</v>
      </c>
      <c r="H140" s="7"/>
      <c r="I140" s="27" t="s">
        <v>47</v>
      </c>
      <c r="J140" s="7"/>
      <c r="K140" s="27" t="s">
        <v>2208</v>
      </c>
      <c r="L140" s="7"/>
    </row>
    <row r="141" spans="1:12" x14ac:dyDescent="0.2">
      <c r="A141" s="7"/>
      <c r="B141" s="7"/>
      <c r="C141" s="7"/>
      <c r="D141" s="7"/>
      <c r="E141" s="7">
        <v>140180</v>
      </c>
      <c r="F141" s="7"/>
      <c r="G141" s="7" t="s">
        <v>48</v>
      </c>
      <c r="H141" s="7"/>
      <c r="I141" s="27" t="s">
        <v>47</v>
      </c>
      <c r="J141" s="7"/>
      <c r="K141" s="27" t="s">
        <v>2208</v>
      </c>
      <c r="L141" s="7"/>
    </row>
    <row r="142" spans="1:12" x14ac:dyDescent="0.2">
      <c r="A142" s="7"/>
      <c r="B142" s="7"/>
      <c r="C142" s="7"/>
      <c r="D142" s="7"/>
      <c r="E142" s="7">
        <v>140200</v>
      </c>
      <c r="F142" s="7"/>
      <c r="G142" s="7" t="s">
        <v>49</v>
      </c>
      <c r="H142" s="7"/>
      <c r="I142" s="27" t="s">
        <v>47</v>
      </c>
      <c r="J142" s="7"/>
      <c r="K142" s="27" t="s">
        <v>2208</v>
      </c>
      <c r="L142" s="7"/>
    </row>
    <row r="143" spans="1:12" x14ac:dyDescent="0.2">
      <c r="A143" s="7"/>
      <c r="B143" s="7"/>
      <c r="C143" s="7"/>
      <c r="D143" s="7"/>
      <c r="E143" s="7">
        <v>140220</v>
      </c>
      <c r="F143" s="7"/>
      <c r="G143" s="7" t="s">
        <v>50</v>
      </c>
      <c r="H143" s="7"/>
      <c r="I143" s="27" t="s">
        <v>47</v>
      </c>
      <c r="J143" s="7"/>
      <c r="K143" s="27" t="s">
        <v>2208</v>
      </c>
      <c r="L143" s="7"/>
    </row>
    <row r="144" spans="1:12" x14ac:dyDescent="0.2">
      <c r="A144" s="7"/>
      <c r="B144" s="7"/>
      <c r="C144" s="7"/>
      <c r="D144" s="7"/>
      <c r="E144" s="7">
        <v>141111</v>
      </c>
      <c r="F144" s="7"/>
      <c r="G144" s="7" t="s">
        <v>51</v>
      </c>
      <c r="H144" s="7"/>
      <c r="I144" s="27" t="s">
        <v>47</v>
      </c>
      <c r="J144" s="7"/>
      <c r="K144" s="27" t="s">
        <v>2208</v>
      </c>
      <c r="L144" s="7"/>
    </row>
    <row r="145" spans="1:12" x14ac:dyDescent="0.2">
      <c r="A145" s="7"/>
      <c r="B145" s="7"/>
      <c r="C145" s="7"/>
      <c r="D145" s="7"/>
      <c r="E145" s="7">
        <v>141112</v>
      </c>
      <c r="F145" s="7"/>
      <c r="G145" s="7" t="s">
        <v>52</v>
      </c>
      <c r="H145" s="7"/>
      <c r="I145" s="27" t="s">
        <v>47</v>
      </c>
      <c r="J145" s="7"/>
      <c r="K145" s="27" t="s">
        <v>2208</v>
      </c>
      <c r="L145" s="7"/>
    </row>
    <row r="146" spans="1:12" x14ac:dyDescent="0.2">
      <c r="A146" s="7"/>
      <c r="B146" s="7"/>
      <c r="C146" s="7"/>
      <c r="D146" s="7"/>
      <c r="E146" s="7">
        <v>302500</v>
      </c>
      <c r="F146" s="7"/>
      <c r="G146" s="7" t="s">
        <v>53</v>
      </c>
      <c r="H146" s="7"/>
      <c r="I146" s="27" t="s">
        <v>54</v>
      </c>
      <c r="J146" s="7"/>
      <c r="K146" s="27" t="s">
        <v>2208</v>
      </c>
      <c r="L146" s="7"/>
    </row>
    <row r="147" spans="1:12" x14ac:dyDescent="0.2">
      <c r="A147" s="7"/>
      <c r="B147" s="7"/>
      <c r="C147" s="7"/>
      <c r="D147" s="7"/>
      <c r="E147" s="7">
        <v>302600</v>
      </c>
      <c r="F147" s="7"/>
      <c r="G147" s="7" t="s">
        <v>55</v>
      </c>
      <c r="H147" s="7"/>
      <c r="I147" s="27" t="s">
        <v>54</v>
      </c>
      <c r="J147" s="7"/>
      <c r="K147" s="27" t="s">
        <v>2208</v>
      </c>
      <c r="L147" s="7"/>
    </row>
    <row r="148" spans="1:12" x14ac:dyDescent="0.2">
      <c r="A148" s="7"/>
      <c r="B148" s="7"/>
      <c r="C148" s="7"/>
      <c r="D148" s="7"/>
      <c r="E148" s="7">
        <v>302610</v>
      </c>
      <c r="F148" s="7"/>
      <c r="G148" s="7" t="s">
        <v>56</v>
      </c>
      <c r="H148" s="7"/>
      <c r="I148" s="27" t="s">
        <v>54</v>
      </c>
      <c r="J148" s="7"/>
      <c r="K148" s="27" t="s">
        <v>2208</v>
      </c>
      <c r="L148" s="7"/>
    </row>
    <row r="149" spans="1:12" x14ac:dyDescent="0.2">
      <c r="A149" s="7"/>
      <c r="B149" s="7"/>
      <c r="C149" s="7"/>
      <c r="D149" s="7"/>
      <c r="E149" s="7">
        <v>302620</v>
      </c>
      <c r="F149" s="7"/>
      <c r="G149" s="7" t="s">
        <v>57</v>
      </c>
      <c r="H149" s="7"/>
      <c r="I149" s="27" t="s">
        <v>54</v>
      </c>
      <c r="J149" s="7"/>
      <c r="K149" s="27" t="s">
        <v>2208</v>
      </c>
      <c r="L149" s="7"/>
    </row>
    <row r="150" spans="1:12" x14ac:dyDescent="0.2">
      <c r="A150" s="7"/>
      <c r="B150" s="7"/>
      <c r="C150" s="7"/>
      <c r="D150" s="7"/>
      <c r="E150" s="7">
        <v>303600</v>
      </c>
      <c r="F150" s="7"/>
      <c r="G150" s="7" t="s">
        <v>58</v>
      </c>
      <c r="H150" s="7"/>
      <c r="I150" s="27" t="s">
        <v>54</v>
      </c>
      <c r="J150" s="7"/>
      <c r="K150" s="27" t="s">
        <v>2208</v>
      </c>
      <c r="L150" s="7"/>
    </row>
    <row r="151" spans="1:12" x14ac:dyDescent="0.2">
      <c r="A151" s="7"/>
      <c r="B151" s="7"/>
      <c r="C151" s="7"/>
      <c r="D151" s="7"/>
      <c r="E151" s="7">
        <v>303650</v>
      </c>
      <c r="F151" s="7"/>
      <c r="G151" s="7" t="s">
        <v>59</v>
      </c>
      <c r="H151" s="7"/>
      <c r="I151" s="27" t="s">
        <v>54</v>
      </c>
      <c r="J151" s="7"/>
      <c r="K151" s="27" t="s">
        <v>2208</v>
      </c>
      <c r="L151" s="7"/>
    </row>
    <row r="152" spans="1:12" x14ac:dyDescent="0.2">
      <c r="A152" s="7"/>
      <c r="B152" s="7"/>
      <c r="C152" s="7"/>
      <c r="D152" s="7"/>
      <c r="E152" s="7">
        <v>303651</v>
      </c>
      <c r="F152" s="7"/>
      <c r="G152" s="7" t="s">
        <v>60</v>
      </c>
      <c r="H152" s="7"/>
      <c r="I152" s="27" t="s">
        <v>54</v>
      </c>
      <c r="J152" s="7"/>
      <c r="K152" s="27" t="s">
        <v>2208</v>
      </c>
      <c r="L152" s="7"/>
    </row>
    <row r="153" spans="1:12" x14ac:dyDescent="0.2">
      <c r="A153" s="7"/>
      <c r="B153" s="7"/>
      <c r="C153" s="7"/>
      <c r="D153" s="7"/>
      <c r="E153" s="7">
        <v>303660</v>
      </c>
      <c r="F153" s="7"/>
      <c r="G153" s="7" t="s">
        <v>61</v>
      </c>
      <c r="H153" s="7"/>
      <c r="I153" s="27" t="s">
        <v>54</v>
      </c>
      <c r="J153" s="7"/>
      <c r="K153" s="27" t="s">
        <v>2208</v>
      </c>
      <c r="L153" s="7"/>
    </row>
    <row r="154" spans="1:12" x14ac:dyDescent="0.2">
      <c r="A154" s="7"/>
      <c r="B154" s="7"/>
      <c r="C154" s="7"/>
      <c r="D154" s="7"/>
      <c r="E154" s="7">
        <v>303665</v>
      </c>
      <c r="F154" s="7"/>
      <c r="G154" s="7" t="s">
        <v>37</v>
      </c>
      <c r="H154" s="7"/>
      <c r="I154" s="27" t="s">
        <v>54</v>
      </c>
      <c r="J154" s="7"/>
      <c r="K154" s="27" t="s">
        <v>2208</v>
      </c>
      <c r="L154" s="7"/>
    </row>
    <row r="155" spans="1:12" x14ac:dyDescent="0.2">
      <c r="A155" s="7"/>
      <c r="B155" s="7"/>
      <c r="C155" s="7"/>
      <c r="D155" s="7"/>
      <c r="E155" s="7">
        <v>303670</v>
      </c>
      <c r="F155" s="7"/>
      <c r="G155" s="7" t="s">
        <v>62</v>
      </c>
      <c r="H155" s="7"/>
      <c r="I155" s="27" t="s">
        <v>54</v>
      </c>
      <c r="J155" s="7"/>
      <c r="K155" s="27" t="s">
        <v>2208</v>
      </c>
      <c r="L155" s="7"/>
    </row>
    <row r="156" spans="1:12" x14ac:dyDescent="0.2">
      <c r="A156" s="7"/>
      <c r="B156" s="7"/>
      <c r="C156" s="7"/>
      <c r="D156" s="7"/>
      <c r="E156" s="7">
        <v>303675</v>
      </c>
      <c r="F156" s="7"/>
      <c r="G156" s="7" t="s">
        <v>63</v>
      </c>
      <c r="H156" s="7"/>
      <c r="I156" s="27" t="s">
        <v>54</v>
      </c>
      <c r="J156" s="7"/>
      <c r="K156" s="27" t="s">
        <v>2208</v>
      </c>
      <c r="L156" s="7"/>
    </row>
    <row r="157" spans="1:12" x14ac:dyDescent="0.2">
      <c r="A157" s="7"/>
      <c r="B157" s="7"/>
      <c r="C157" s="7"/>
      <c r="D157" s="7"/>
      <c r="E157" s="7">
        <v>303680</v>
      </c>
      <c r="F157" s="7"/>
      <c r="G157" s="7" t="s">
        <v>64</v>
      </c>
      <c r="H157" s="7"/>
      <c r="I157" s="27" t="s">
        <v>54</v>
      </c>
      <c r="J157" s="7"/>
      <c r="K157" s="27" t="s">
        <v>2208</v>
      </c>
      <c r="L157" s="7"/>
    </row>
    <row r="158" spans="1:12" x14ac:dyDescent="0.2">
      <c r="A158" s="7"/>
      <c r="B158" s="7"/>
      <c r="C158" s="7"/>
      <c r="D158" s="7"/>
      <c r="E158" s="7">
        <v>367100</v>
      </c>
      <c r="F158" s="7"/>
      <c r="G158" s="7" t="s">
        <v>65</v>
      </c>
      <c r="H158" s="7"/>
      <c r="I158" s="27" t="s">
        <v>54</v>
      </c>
      <c r="J158" s="7"/>
      <c r="K158" s="27" t="s">
        <v>2208</v>
      </c>
      <c r="L158" s="7"/>
    </row>
    <row r="159" spans="1:12" x14ac:dyDescent="0.2">
      <c r="A159" s="7"/>
      <c r="B159" s="7"/>
      <c r="C159" s="7"/>
      <c r="D159" s="7"/>
      <c r="E159" s="7">
        <v>367105</v>
      </c>
      <c r="F159" s="7"/>
      <c r="G159" s="7" t="s">
        <v>66</v>
      </c>
      <c r="H159" s="7"/>
      <c r="I159" s="27" t="s">
        <v>54</v>
      </c>
      <c r="J159" s="7"/>
      <c r="K159" s="27" t="s">
        <v>2208</v>
      </c>
      <c r="L159" s="7"/>
    </row>
    <row r="160" spans="1:12" x14ac:dyDescent="0.2">
      <c r="A160" s="7"/>
      <c r="B160" s="7"/>
      <c r="C160" s="7"/>
      <c r="D160" s="7"/>
      <c r="E160" s="7">
        <v>367110</v>
      </c>
      <c r="F160" s="7"/>
      <c r="G160" s="7" t="s">
        <v>67</v>
      </c>
      <c r="H160" s="7"/>
      <c r="I160" s="27" t="s">
        <v>54</v>
      </c>
      <c r="J160" s="7"/>
      <c r="K160" s="27" t="s">
        <v>2208</v>
      </c>
      <c r="L160" s="7"/>
    </row>
    <row r="161" spans="1:12" x14ac:dyDescent="0.2">
      <c r="A161" s="7"/>
      <c r="B161" s="7"/>
      <c r="C161" s="7"/>
      <c r="D161" s="7"/>
      <c r="E161" s="7">
        <v>367120</v>
      </c>
      <c r="F161" s="7"/>
      <c r="G161" s="7" t="s">
        <v>68</v>
      </c>
      <c r="H161" s="7"/>
      <c r="I161" s="27" t="s">
        <v>54</v>
      </c>
      <c r="J161" s="7"/>
      <c r="K161" s="27" t="s">
        <v>2208</v>
      </c>
      <c r="L161" s="7"/>
    </row>
    <row r="162" spans="1:12" x14ac:dyDescent="0.2">
      <c r="A162" s="7"/>
      <c r="B162" s="7"/>
      <c r="C162" s="7"/>
      <c r="D162" s="7"/>
      <c r="E162" s="7">
        <v>367150</v>
      </c>
      <c r="F162" s="7"/>
      <c r="G162" s="7" t="s">
        <v>69</v>
      </c>
      <c r="H162" s="7"/>
      <c r="I162" s="27" t="s">
        <v>54</v>
      </c>
      <c r="J162" s="7"/>
      <c r="K162" s="27" t="s">
        <v>2208</v>
      </c>
      <c r="L162" s="7"/>
    </row>
    <row r="163" spans="1:12" x14ac:dyDescent="0.2">
      <c r="A163" s="7"/>
      <c r="B163" s="7"/>
      <c r="C163" s="7"/>
      <c r="D163" s="7"/>
      <c r="E163" s="7">
        <v>367250</v>
      </c>
      <c r="F163" s="7"/>
      <c r="G163" s="7" t="s">
        <v>70</v>
      </c>
      <c r="H163" s="7"/>
      <c r="I163" s="27" t="s">
        <v>71</v>
      </c>
      <c r="J163" s="7"/>
      <c r="K163" s="27" t="s">
        <v>2208</v>
      </c>
      <c r="L163" s="7"/>
    </row>
    <row r="164" spans="1:12" x14ac:dyDescent="0.2">
      <c r="A164" s="7"/>
      <c r="B164" s="7"/>
      <c r="C164" s="7"/>
      <c r="D164" s="7"/>
      <c r="E164" s="7">
        <v>367260</v>
      </c>
      <c r="F164" s="7"/>
      <c r="G164" s="7" t="s">
        <v>72</v>
      </c>
      <c r="H164" s="7"/>
      <c r="I164" s="27" t="s">
        <v>54</v>
      </c>
      <c r="J164" s="7"/>
      <c r="K164" s="27" t="s">
        <v>2208</v>
      </c>
      <c r="L164" s="7"/>
    </row>
    <row r="165" spans="1:12" x14ac:dyDescent="0.2">
      <c r="A165" s="7"/>
      <c r="B165" s="7"/>
      <c r="C165" s="7"/>
      <c r="D165" s="7"/>
      <c r="E165" s="7">
        <v>367300</v>
      </c>
      <c r="F165" s="7"/>
      <c r="G165" s="7" t="s">
        <v>73</v>
      </c>
      <c r="H165" s="7"/>
      <c r="I165" s="27" t="s">
        <v>54</v>
      </c>
      <c r="J165" s="7"/>
      <c r="K165" s="27" t="s">
        <v>2208</v>
      </c>
      <c r="L165" s="7"/>
    </row>
    <row r="166" spans="1:12" x14ac:dyDescent="0.2">
      <c r="A166" s="7"/>
      <c r="B166" s="7"/>
      <c r="C166" s="7"/>
      <c r="D166" s="7"/>
      <c r="E166" s="7">
        <v>367305</v>
      </c>
      <c r="F166" s="7"/>
      <c r="G166" s="7" t="s">
        <v>74</v>
      </c>
      <c r="H166" s="7"/>
      <c r="I166" s="27" t="s">
        <v>54</v>
      </c>
      <c r="J166" s="7"/>
      <c r="K166" s="27" t="s">
        <v>2208</v>
      </c>
      <c r="L166" s="7"/>
    </row>
    <row r="167" spans="1:12" x14ac:dyDescent="0.2">
      <c r="A167" s="7"/>
      <c r="B167" s="7"/>
      <c r="C167" s="7"/>
      <c r="D167" s="7"/>
      <c r="E167" s="7">
        <v>367310</v>
      </c>
      <c r="F167" s="7"/>
      <c r="G167" s="7" t="s">
        <v>75</v>
      </c>
      <c r="H167" s="7"/>
      <c r="I167" s="27" t="s">
        <v>54</v>
      </c>
      <c r="J167" s="7"/>
      <c r="K167" s="27" t="s">
        <v>2208</v>
      </c>
      <c r="L167" s="7"/>
    </row>
    <row r="168" spans="1:12" x14ac:dyDescent="0.2">
      <c r="A168" s="7"/>
      <c r="B168" s="7"/>
      <c r="C168" s="7"/>
      <c r="D168" s="7"/>
      <c r="E168" s="7">
        <v>367315</v>
      </c>
      <c r="F168" s="7"/>
      <c r="G168" s="7" t="s">
        <v>76</v>
      </c>
      <c r="H168" s="7"/>
      <c r="I168" s="27" t="s">
        <v>54</v>
      </c>
      <c r="J168" s="7"/>
      <c r="K168" s="27" t="s">
        <v>2208</v>
      </c>
      <c r="L168" s="7"/>
    </row>
    <row r="169" spans="1:12" x14ac:dyDescent="0.2">
      <c r="A169" s="7"/>
      <c r="B169" s="7"/>
      <c r="C169" s="7"/>
      <c r="D169" s="7"/>
      <c r="E169" s="7">
        <v>367320</v>
      </c>
      <c r="F169" s="7"/>
      <c r="G169" s="7" t="s">
        <v>77</v>
      </c>
      <c r="H169" s="7"/>
      <c r="I169" s="27" t="s">
        <v>54</v>
      </c>
      <c r="J169" s="7"/>
      <c r="K169" s="27" t="s">
        <v>2208</v>
      </c>
      <c r="L169" s="7"/>
    </row>
    <row r="170" spans="1:12" x14ac:dyDescent="0.2">
      <c r="A170" s="7"/>
      <c r="B170" s="7"/>
      <c r="C170" s="7"/>
      <c r="D170" s="7"/>
      <c r="E170" s="7">
        <v>367350</v>
      </c>
      <c r="F170" s="7"/>
      <c r="G170" s="7" t="s">
        <v>78</v>
      </c>
      <c r="H170" s="7"/>
      <c r="I170" s="27" t="s">
        <v>54</v>
      </c>
      <c r="J170" s="7"/>
      <c r="K170" s="27" t="s">
        <v>2208</v>
      </c>
      <c r="L170" s="7"/>
    </row>
    <row r="171" spans="1:12" x14ac:dyDescent="0.2">
      <c r="A171" s="7"/>
      <c r="B171" s="7"/>
      <c r="C171" s="7"/>
      <c r="D171" s="7"/>
      <c r="E171" s="7">
        <v>367355</v>
      </c>
      <c r="F171" s="7"/>
      <c r="G171" s="7" t="s">
        <v>79</v>
      </c>
      <c r="H171" s="7"/>
      <c r="I171" s="27" t="s">
        <v>54</v>
      </c>
      <c r="J171" s="7"/>
      <c r="K171" s="27" t="s">
        <v>2208</v>
      </c>
      <c r="L171" s="7"/>
    </row>
    <row r="172" spans="1:12" x14ac:dyDescent="0.2">
      <c r="A172" s="7"/>
      <c r="B172" s="7"/>
      <c r="C172" s="7"/>
      <c r="D172" s="7"/>
      <c r="E172" s="7">
        <v>367360</v>
      </c>
      <c r="F172" s="7"/>
      <c r="G172" s="7" t="s">
        <v>80</v>
      </c>
      <c r="H172" s="7"/>
      <c r="I172" s="27" t="s">
        <v>54</v>
      </c>
      <c r="J172" s="7"/>
      <c r="K172" s="27" t="s">
        <v>2208</v>
      </c>
      <c r="L172" s="7"/>
    </row>
    <row r="173" spans="1:12" x14ac:dyDescent="0.2">
      <c r="A173" s="7"/>
      <c r="B173" s="7"/>
      <c r="C173" s="7"/>
      <c r="D173" s="7"/>
      <c r="E173" s="7">
        <v>367365</v>
      </c>
      <c r="F173" s="7"/>
      <c r="G173" s="7" t="s">
        <v>81</v>
      </c>
      <c r="H173" s="7"/>
      <c r="I173" s="27" t="s">
        <v>54</v>
      </c>
      <c r="J173" s="7"/>
      <c r="K173" s="27" t="s">
        <v>2208</v>
      </c>
      <c r="L173" s="7"/>
    </row>
    <row r="174" spans="1:12" x14ac:dyDescent="0.2">
      <c r="A174" s="7"/>
      <c r="B174" s="7"/>
      <c r="C174" s="7"/>
      <c r="D174" s="7"/>
      <c r="E174" s="7">
        <v>367370</v>
      </c>
      <c r="F174" s="7"/>
      <c r="G174" s="7" t="s">
        <v>82</v>
      </c>
      <c r="H174" s="7"/>
      <c r="I174" s="27" t="s">
        <v>54</v>
      </c>
      <c r="J174" s="7"/>
      <c r="K174" s="27" t="s">
        <v>2208</v>
      </c>
      <c r="L174" s="7"/>
    </row>
    <row r="175" spans="1:12" x14ac:dyDescent="0.2">
      <c r="A175" s="7"/>
      <c r="B175" s="7"/>
      <c r="C175" s="7"/>
      <c r="D175" s="7"/>
      <c r="E175" s="7">
        <v>367450</v>
      </c>
      <c r="F175" s="7"/>
      <c r="G175" s="7" t="s">
        <v>83</v>
      </c>
      <c r="H175" s="7"/>
      <c r="I175" s="27" t="s">
        <v>54</v>
      </c>
      <c r="J175" s="7"/>
      <c r="K175" s="27" t="s">
        <v>2208</v>
      </c>
      <c r="L175" s="7"/>
    </row>
    <row r="176" spans="1:12" x14ac:dyDescent="0.2">
      <c r="A176" s="7"/>
      <c r="B176" s="7"/>
      <c r="C176" s="7"/>
      <c r="D176" s="7"/>
      <c r="E176" s="7">
        <v>367500</v>
      </c>
      <c r="F176" s="7"/>
      <c r="G176" s="7" t="s">
        <v>84</v>
      </c>
      <c r="H176" s="7"/>
      <c r="I176" s="27" t="s">
        <v>54</v>
      </c>
      <c r="J176" s="7"/>
      <c r="K176" s="27" t="s">
        <v>2208</v>
      </c>
      <c r="L176" s="7"/>
    </row>
    <row r="177" spans="1:12" x14ac:dyDescent="0.2">
      <c r="A177" s="7"/>
      <c r="B177" s="7"/>
      <c r="C177" s="7"/>
      <c r="D177" s="7"/>
      <c r="E177" s="7">
        <v>367520</v>
      </c>
      <c r="F177" s="7"/>
      <c r="G177" s="7" t="s">
        <v>85</v>
      </c>
      <c r="H177" s="7"/>
      <c r="I177" s="27" t="s">
        <v>54</v>
      </c>
      <c r="J177" s="7"/>
      <c r="K177" s="27" t="s">
        <v>2208</v>
      </c>
      <c r="L177" s="7"/>
    </row>
    <row r="178" spans="1:12" x14ac:dyDescent="0.2">
      <c r="A178" s="7"/>
      <c r="B178" s="7"/>
      <c r="C178" s="7"/>
      <c r="D178" s="7"/>
      <c r="E178" s="7">
        <v>367650</v>
      </c>
      <c r="F178" s="7"/>
      <c r="G178" s="7" t="s">
        <v>86</v>
      </c>
      <c r="H178" s="7"/>
      <c r="I178" s="27" t="s">
        <v>54</v>
      </c>
      <c r="J178" s="7"/>
      <c r="K178" s="27" t="s">
        <v>2208</v>
      </c>
      <c r="L178" s="7"/>
    </row>
    <row r="179" spans="1:12" x14ac:dyDescent="0.2">
      <c r="A179" s="7"/>
      <c r="B179" s="7"/>
      <c r="C179" s="7"/>
      <c r="D179" s="7"/>
      <c r="E179" s="7">
        <v>367700</v>
      </c>
      <c r="F179" s="7"/>
      <c r="G179" s="7" t="s">
        <v>87</v>
      </c>
      <c r="H179" s="7"/>
      <c r="I179" s="27" t="s">
        <v>54</v>
      </c>
      <c r="J179" s="7"/>
      <c r="K179" s="27" t="s">
        <v>2208</v>
      </c>
      <c r="L179" s="7"/>
    </row>
    <row r="180" spans="1:12" x14ac:dyDescent="0.2">
      <c r="A180" s="7"/>
      <c r="B180" s="7"/>
      <c r="C180" s="7"/>
      <c r="D180" s="7"/>
      <c r="E180" s="7">
        <v>367750</v>
      </c>
      <c r="F180" s="7"/>
      <c r="G180" s="7" t="s">
        <v>88</v>
      </c>
      <c r="H180" s="7"/>
      <c r="I180" s="27" t="s">
        <v>54</v>
      </c>
      <c r="J180" s="7"/>
      <c r="K180" s="27" t="s">
        <v>2208</v>
      </c>
      <c r="L180" s="7"/>
    </row>
    <row r="181" spans="1:12" x14ac:dyDescent="0.2">
      <c r="A181" s="7"/>
      <c r="B181" s="7"/>
      <c r="C181" s="7"/>
      <c r="D181" s="7"/>
      <c r="E181" s="7">
        <v>367770</v>
      </c>
      <c r="F181" s="7"/>
      <c r="G181" s="7" t="s">
        <v>89</v>
      </c>
      <c r="H181" s="7"/>
      <c r="I181" s="27" t="s">
        <v>54</v>
      </c>
      <c r="J181" s="7"/>
      <c r="K181" s="27" t="s">
        <v>2208</v>
      </c>
      <c r="L181" s="7"/>
    </row>
    <row r="182" spans="1:12" x14ac:dyDescent="0.2">
      <c r="A182" s="7"/>
      <c r="B182" s="7"/>
      <c r="C182" s="7"/>
      <c r="D182" s="7"/>
      <c r="E182" s="7">
        <v>367780</v>
      </c>
      <c r="F182" s="7"/>
      <c r="G182" s="7" t="s">
        <v>90</v>
      </c>
      <c r="H182" s="7"/>
      <c r="I182" s="27" t="s">
        <v>54</v>
      </c>
      <c r="J182" s="7"/>
      <c r="K182" s="27" t="s">
        <v>2208</v>
      </c>
      <c r="L182" s="7"/>
    </row>
    <row r="183" spans="1:12" x14ac:dyDescent="0.2">
      <c r="A183" s="7"/>
      <c r="B183" s="7"/>
      <c r="C183" s="7"/>
      <c r="D183" s="7"/>
      <c r="E183" s="7">
        <v>367785</v>
      </c>
      <c r="F183" s="7"/>
      <c r="G183" s="7" t="s">
        <v>91</v>
      </c>
      <c r="H183" s="7"/>
      <c r="I183" s="27" t="s">
        <v>54</v>
      </c>
      <c r="J183" s="7"/>
      <c r="K183" s="27" t="s">
        <v>2208</v>
      </c>
      <c r="L183" s="7"/>
    </row>
    <row r="184" spans="1:12" x14ac:dyDescent="0.2">
      <c r="A184" s="7"/>
      <c r="B184" s="7"/>
      <c r="C184" s="7"/>
      <c r="D184" s="7"/>
      <c r="E184" s="7">
        <v>367800</v>
      </c>
      <c r="F184" s="7"/>
      <c r="G184" s="7" t="s">
        <v>92</v>
      </c>
      <c r="H184" s="7"/>
      <c r="I184" s="27" t="s">
        <v>54</v>
      </c>
      <c r="J184" s="7"/>
      <c r="K184" s="27" t="s">
        <v>2208</v>
      </c>
      <c r="L184" s="7"/>
    </row>
    <row r="185" spans="1:12" x14ac:dyDescent="0.2">
      <c r="A185" s="7"/>
      <c r="B185" s="7"/>
      <c r="C185" s="7"/>
      <c r="D185" s="7"/>
      <c r="E185" s="7">
        <v>367835</v>
      </c>
      <c r="F185" s="7"/>
      <c r="G185" s="7" t="s">
        <v>93</v>
      </c>
      <c r="H185" s="7"/>
      <c r="I185" s="27" t="s">
        <v>54</v>
      </c>
      <c r="J185" s="7"/>
      <c r="K185" s="27" t="s">
        <v>2208</v>
      </c>
      <c r="L185" s="7"/>
    </row>
    <row r="186" spans="1:12" x14ac:dyDescent="0.2">
      <c r="A186" s="7"/>
      <c r="B186" s="7"/>
      <c r="C186" s="7"/>
      <c r="D186" s="7"/>
      <c r="E186" s="7">
        <v>367845</v>
      </c>
      <c r="F186" s="7"/>
      <c r="G186" s="7" t="s">
        <v>94</v>
      </c>
      <c r="H186" s="7"/>
      <c r="I186" s="27" t="s">
        <v>54</v>
      </c>
      <c r="J186" s="7"/>
      <c r="K186" s="27" t="s">
        <v>2208</v>
      </c>
      <c r="L186" s="7"/>
    </row>
    <row r="187" spans="1:12" x14ac:dyDescent="0.2">
      <c r="A187" s="7"/>
      <c r="B187" s="7"/>
      <c r="C187" s="7"/>
      <c r="D187" s="7"/>
      <c r="E187" s="7">
        <v>380400</v>
      </c>
      <c r="F187" s="7"/>
      <c r="G187" s="7" t="s">
        <v>95</v>
      </c>
      <c r="H187" s="7"/>
      <c r="I187" s="27" t="s">
        <v>54</v>
      </c>
      <c r="J187" s="7"/>
      <c r="K187" s="27" t="s">
        <v>2208</v>
      </c>
      <c r="L187" s="7"/>
    </row>
    <row r="188" spans="1:12" x14ac:dyDescent="0.2">
      <c r="A188" s="7"/>
      <c r="B188" s="7"/>
      <c r="C188" s="7"/>
      <c r="D188" s="7"/>
      <c r="E188" s="7">
        <v>380500</v>
      </c>
      <c r="F188" s="7"/>
      <c r="G188" s="7" t="s">
        <v>96</v>
      </c>
      <c r="H188" s="7"/>
      <c r="I188" s="27" t="s">
        <v>54</v>
      </c>
      <c r="J188" s="7"/>
      <c r="K188" s="27" t="s">
        <v>2208</v>
      </c>
      <c r="L188" s="7"/>
    </row>
    <row r="189" spans="1:12" x14ac:dyDescent="0.2">
      <c r="A189" s="7"/>
      <c r="B189" s="7"/>
      <c r="C189" s="7"/>
      <c r="D189" s="7"/>
      <c r="E189" s="7">
        <v>381000</v>
      </c>
      <c r="F189" s="7"/>
      <c r="G189" s="7" t="s">
        <v>97</v>
      </c>
      <c r="H189" s="7"/>
      <c r="I189" s="27" t="s">
        <v>54</v>
      </c>
      <c r="J189" s="7"/>
      <c r="K189" s="27" t="s">
        <v>2208</v>
      </c>
      <c r="L189" s="7"/>
    </row>
    <row r="190" spans="1:12" x14ac:dyDescent="0.2">
      <c r="A190" s="7"/>
      <c r="B190" s="7"/>
      <c r="C190" s="7"/>
      <c r="D190" s="7"/>
      <c r="E190" s="7">
        <v>381400</v>
      </c>
      <c r="F190" s="7"/>
      <c r="G190" s="7" t="s">
        <v>98</v>
      </c>
      <c r="H190" s="7"/>
      <c r="I190" s="27" t="s">
        <v>54</v>
      </c>
      <c r="J190" s="7"/>
      <c r="K190" s="27" t="s">
        <v>2208</v>
      </c>
      <c r="L190" s="7"/>
    </row>
    <row r="191" spans="1:12" x14ac:dyDescent="0.2">
      <c r="A191" s="7"/>
      <c r="B191" s="7"/>
      <c r="C191" s="7"/>
      <c r="D191" s="7"/>
      <c r="E191" s="7">
        <v>384600</v>
      </c>
      <c r="F191" s="7"/>
      <c r="G191" s="7" t="s">
        <v>99</v>
      </c>
      <c r="H191" s="7"/>
      <c r="I191" s="27" t="s">
        <v>54</v>
      </c>
      <c r="J191" s="7"/>
      <c r="K191" s="27" t="s">
        <v>2208</v>
      </c>
      <c r="L191" s="7"/>
    </row>
    <row r="192" spans="1:12" x14ac:dyDescent="0.2">
      <c r="A192" s="7"/>
      <c r="B192" s="7"/>
      <c r="C192" s="7"/>
      <c r="D192" s="7"/>
      <c r="E192" s="7">
        <v>384605</v>
      </c>
      <c r="F192" s="7"/>
      <c r="G192" s="7" t="s">
        <v>100</v>
      </c>
      <c r="H192" s="7"/>
      <c r="I192" s="27" t="s">
        <v>54</v>
      </c>
      <c r="J192" s="7"/>
      <c r="K192" s="27" t="s">
        <v>2208</v>
      </c>
      <c r="L192" s="7"/>
    </row>
    <row r="193" spans="1:12" x14ac:dyDescent="0.2">
      <c r="A193" s="7"/>
      <c r="B193" s="7"/>
      <c r="C193" s="7"/>
      <c r="D193" s="7"/>
      <c r="E193" s="7">
        <v>384620</v>
      </c>
      <c r="F193" s="7"/>
      <c r="G193" s="7" t="s">
        <v>101</v>
      </c>
      <c r="H193" s="7"/>
      <c r="I193" s="27" t="s">
        <v>54</v>
      </c>
      <c r="J193" s="7"/>
      <c r="K193" s="27" t="s">
        <v>2208</v>
      </c>
      <c r="L193" s="7"/>
    </row>
    <row r="194" spans="1:12" x14ac:dyDescent="0.2">
      <c r="A194" s="7"/>
      <c r="B194" s="7"/>
      <c r="C194" s="7"/>
      <c r="D194" s="7"/>
      <c r="E194" s="7">
        <v>384625</v>
      </c>
      <c r="F194" s="7"/>
      <c r="G194" s="7" t="s">
        <v>102</v>
      </c>
      <c r="H194" s="7"/>
      <c r="I194" s="27" t="s">
        <v>54</v>
      </c>
      <c r="J194" s="7"/>
      <c r="K194" s="27" t="s">
        <v>2208</v>
      </c>
      <c r="L194" s="7"/>
    </row>
    <row r="195" spans="1:12" x14ac:dyDescent="0.2">
      <c r="A195" s="7"/>
      <c r="B195" s="7"/>
      <c r="C195" s="7"/>
      <c r="D195" s="7"/>
      <c r="E195" s="7">
        <v>384660</v>
      </c>
      <c r="F195" s="7"/>
      <c r="G195" s="7" t="s">
        <v>103</v>
      </c>
      <c r="H195" s="7"/>
      <c r="I195" s="27" t="s">
        <v>54</v>
      </c>
      <c r="J195" s="7"/>
      <c r="K195" s="27" t="s">
        <v>2208</v>
      </c>
      <c r="L195" s="7"/>
    </row>
    <row r="196" spans="1:12" x14ac:dyDescent="0.2">
      <c r="A196" s="7"/>
      <c r="B196" s="7"/>
      <c r="C196" s="7"/>
      <c r="D196" s="7"/>
      <c r="E196" s="7">
        <v>384665</v>
      </c>
      <c r="F196" s="7"/>
      <c r="G196" s="7" t="s">
        <v>104</v>
      </c>
      <c r="H196" s="7"/>
      <c r="I196" s="27" t="s">
        <v>54</v>
      </c>
      <c r="J196" s="7"/>
      <c r="K196" s="27" t="s">
        <v>2208</v>
      </c>
      <c r="L196" s="7"/>
    </row>
    <row r="197" spans="1:12" x14ac:dyDescent="0.2">
      <c r="A197" s="7"/>
      <c r="B197" s="7"/>
      <c r="C197" s="7"/>
      <c r="D197" s="7"/>
      <c r="E197" s="7">
        <v>384680</v>
      </c>
      <c r="F197" s="7"/>
      <c r="G197" s="7" t="s">
        <v>105</v>
      </c>
      <c r="H197" s="7"/>
      <c r="I197" s="27" t="s">
        <v>54</v>
      </c>
      <c r="J197" s="7"/>
      <c r="K197" s="27" t="s">
        <v>2208</v>
      </c>
      <c r="L197" s="7"/>
    </row>
    <row r="198" spans="1:12" x14ac:dyDescent="0.2">
      <c r="A198" s="7"/>
      <c r="B198" s="7"/>
      <c r="C198" s="7"/>
      <c r="D198" s="7"/>
      <c r="E198" s="7">
        <v>384685</v>
      </c>
      <c r="F198" s="7"/>
      <c r="G198" s="7" t="s">
        <v>106</v>
      </c>
      <c r="H198" s="7"/>
      <c r="I198" s="27" t="s">
        <v>54</v>
      </c>
      <c r="J198" s="7"/>
      <c r="K198" s="27" t="s">
        <v>2208</v>
      </c>
      <c r="L198" s="7"/>
    </row>
    <row r="199" spans="1:12" x14ac:dyDescent="0.2">
      <c r="A199" s="7"/>
      <c r="B199" s="7"/>
      <c r="C199" s="7"/>
      <c r="D199" s="7"/>
      <c r="E199" s="7">
        <v>384700</v>
      </c>
      <c r="F199" s="7"/>
      <c r="G199" s="7" t="s">
        <v>107</v>
      </c>
      <c r="H199" s="7"/>
      <c r="I199" s="27" t="s">
        <v>54</v>
      </c>
      <c r="J199" s="7"/>
      <c r="K199" s="27" t="s">
        <v>2208</v>
      </c>
      <c r="L199" s="7"/>
    </row>
    <row r="200" spans="1:12" x14ac:dyDescent="0.2">
      <c r="A200" s="7"/>
      <c r="B200" s="7"/>
      <c r="C200" s="7"/>
      <c r="D200" s="7"/>
      <c r="E200" s="7">
        <v>384705</v>
      </c>
      <c r="F200" s="7"/>
      <c r="G200" s="7" t="s">
        <v>108</v>
      </c>
      <c r="H200" s="7"/>
      <c r="I200" s="27" t="s">
        <v>54</v>
      </c>
      <c r="J200" s="7"/>
      <c r="K200" s="27" t="s">
        <v>2208</v>
      </c>
      <c r="L200" s="7"/>
    </row>
    <row r="201" spans="1:12" x14ac:dyDescent="0.2">
      <c r="A201" s="7"/>
      <c r="B201" s="7"/>
      <c r="C201" s="7"/>
      <c r="D201" s="7"/>
      <c r="E201" s="7">
        <v>385400</v>
      </c>
      <c r="F201" s="7"/>
      <c r="G201" s="7" t="s">
        <v>109</v>
      </c>
      <c r="H201" s="7"/>
      <c r="I201" s="27" t="s">
        <v>54</v>
      </c>
      <c r="J201" s="7"/>
      <c r="K201" s="27" t="s">
        <v>2208</v>
      </c>
      <c r="L201" s="7"/>
    </row>
    <row r="202" spans="1:12" x14ac:dyDescent="0.2">
      <c r="A202" s="7"/>
      <c r="B202" s="7"/>
      <c r="C202" s="7"/>
      <c r="D202" s="7"/>
      <c r="E202" s="7">
        <v>386800</v>
      </c>
      <c r="F202" s="7"/>
      <c r="G202" s="7" t="s">
        <v>110</v>
      </c>
      <c r="H202" s="7"/>
      <c r="I202" s="27" t="s">
        <v>54</v>
      </c>
      <c r="J202" s="7"/>
      <c r="K202" s="27" t="s">
        <v>2208</v>
      </c>
      <c r="L202" s="7"/>
    </row>
    <row r="203" spans="1:12" x14ac:dyDescent="0.2">
      <c r="A203" s="7"/>
      <c r="B203" s="7"/>
      <c r="C203" s="7"/>
      <c r="D203" s="7"/>
      <c r="E203" s="7">
        <v>387100</v>
      </c>
      <c r="F203" s="7"/>
      <c r="G203" s="7" t="s">
        <v>111</v>
      </c>
      <c r="H203" s="7"/>
      <c r="I203" s="27" t="s">
        <v>54</v>
      </c>
      <c r="J203" s="7"/>
      <c r="K203" s="27" t="s">
        <v>2208</v>
      </c>
      <c r="L203" s="7"/>
    </row>
    <row r="204" spans="1:12" x14ac:dyDescent="0.2">
      <c r="A204" s="7"/>
      <c r="B204" s="7"/>
      <c r="C204" s="7"/>
      <c r="D204" s="7"/>
      <c r="E204" s="7">
        <v>387105</v>
      </c>
      <c r="F204" s="7"/>
      <c r="G204" s="7" t="s">
        <v>112</v>
      </c>
      <c r="H204" s="7"/>
      <c r="I204" s="27" t="s">
        <v>54</v>
      </c>
      <c r="J204" s="7"/>
      <c r="K204" s="27" t="s">
        <v>2208</v>
      </c>
      <c r="L204" s="7"/>
    </row>
    <row r="205" spans="1:12" x14ac:dyDescent="0.2">
      <c r="A205" s="7"/>
      <c r="B205" s="7"/>
      <c r="C205" s="7"/>
      <c r="D205" s="7"/>
      <c r="E205" s="7">
        <v>387150</v>
      </c>
      <c r="F205" s="7"/>
      <c r="G205" s="7" t="s">
        <v>113</v>
      </c>
      <c r="H205" s="7"/>
      <c r="I205" s="27" t="s">
        <v>54</v>
      </c>
      <c r="J205" s="7"/>
      <c r="K205" s="27" t="s">
        <v>2208</v>
      </c>
      <c r="L205" s="7"/>
    </row>
    <row r="206" spans="1:12" x14ac:dyDescent="0.2">
      <c r="A206" s="7"/>
      <c r="B206" s="7"/>
      <c r="C206" s="7"/>
      <c r="D206" s="7"/>
      <c r="E206" s="7">
        <v>387155</v>
      </c>
      <c r="F206" s="7"/>
      <c r="G206" s="7" t="s">
        <v>114</v>
      </c>
      <c r="H206" s="7"/>
      <c r="I206" s="27" t="s">
        <v>54</v>
      </c>
      <c r="J206" s="7"/>
      <c r="K206" s="27" t="s">
        <v>2208</v>
      </c>
      <c r="L206" s="7"/>
    </row>
    <row r="207" spans="1:12" x14ac:dyDescent="0.2">
      <c r="A207" s="7"/>
      <c r="B207" s="7"/>
      <c r="C207" s="7"/>
      <c r="D207" s="7"/>
      <c r="E207" s="7">
        <v>387170</v>
      </c>
      <c r="F207" s="7"/>
      <c r="G207" s="7" t="s">
        <v>115</v>
      </c>
      <c r="H207" s="7"/>
      <c r="I207" s="27" t="s">
        <v>54</v>
      </c>
      <c r="J207" s="7"/>
      <c r="K207" s="27" t="s">
        <v>2208</v>
      </c>
      <c r="L207" s="7"/>
    </row>
    <row r="208" spans="1:12" x14ac:dyDescent="0.2">
      <c r="A208" s="7"/>
      <c r="B208" s="7"/>
      <c r="C208" s="7"/>
      <c r="D208" s="7"/>
      <c r="E208" s="7">
        <v>387179</v>
      </c>
      <c r="F208" s="7"/>
      <c r="G208" s="7" t="s">
        <v>116</v>
      </c>
      <c r="H208" s="7"/>
      <c r="I208" s="27" t="s">
        <v>54</v>
      </c>
      <c r="J208" s="7"/>
      <c r="K208" s="27" t="s">
        <v>2208</v>
      </c>
      <c r="L208" s="7"/>
    </row>
    <row r="209" spans="1:12" x14ac:dyDescent="0.2">
      <c r="A209" s="7"/>
      <c r="B209" s="7"/>
      <c r="C209" s="7"/>
      <c r="D209" s="7"/>
      <c r="E209" s="7">
        <v>387180</v>
      </c>
      <c r="F209" s="7"/>
      <c r="G209" s="7" t="s">
        <v>117</v>
      </c>
      <c r="H209" s="7"/>
      <c r="I209" s="27" t="s">
        <v>54</v>
      </c>
      <c r="J209" s="7"/>
      <c r="K209" s="27" t="s">
        <v>2208</v>
      </c>
      <c r="L209" s="7"/>
    </row>
    <row r="210" spans="1:12" x14ac:dyDescent="0.2">
      <c r="A210" s="7"/>
      <c r="B210" s="7"/>
      <c r="C210" s="7"/>
      <c r="D210" s="7"/>
      <c r="E210" s="7">
        <v>387181</v>
      </c>
      <c r="F210" s="7"/>
      <c r="G210" s="7" t="s">
        <v>118</v>
      </c>
      <c r="H210" s="7"/>
      <c r="I210" s="27" t="s">
        <v>54</v>
      </c>
      <c r="J210" s="7"/>
      <c r="K210" s="27" t="s">
        <v>2208</v>
      </c>
      <c r="L210" s="7"/>
    </row>
    <row r="211" spans="1:12" x14ac:dyDescent="0.2">
      <c r="A211" s="7"/>
      <c r="B211" s="7"/>
      <c r="C211" s="7"/>
      <c r="D211" s="7"/>
      <c r="E211" s="7">
        <v>387182</v>
      </c>
      <c r="F211" s="7"/>
      <c r="G211" s="7" t="s">
        <v>119</v>
      </c>
      <c r="H211" s="7"/>
      <c r="I211" s="27" t="s">
        <v>54</v>
      </c>
      <c r="J211" s="7"/>
      <c r="K211" s="27" t="s">
        <v>2208</v>
      </c>
      <c r="L211" s="7"/>
    </row>
    <row r="212" spans="1:12" x14ac:dyDescent="0.2">
      <c r="A212" s="7"/>
      <c r="B212" s="7"/>
      <c r="C212" s="7"/>
      <c r="D212" s="7"/>
      <c r="E212" s="7">
        <v>387183</v>
      </c>
      <c r="F212" s="7"/>
      <c r="G212" s="7" t="s">
        <v>120</v>
      </c>
      <c r="H212" s="7"/>
      <c r="I212" s="27" t="s">
        <v>54</v>
      </c>
      <c r="J212" s="7"/>
      <c r="K212" s="27" t="s">
        <v>2208</v>
      </c>
      <c r="L212" s="7"/>
    </row>
    <row r="213" spans="1:12" x14ac:dyDescent="0.2">
      <c r="A213" s="7"/>
      <c r="B213" s="7"/>
      <c r="C213" s="7"/>
      <c r="D213" s="7"/>
      <c r="E213" s="7">
        <v>387184</v>
      </c>
      <c r="F213" s="7"/>
      <c r="G213" s="7" t="s">
        <v>121</v>
      </c>
      <c r="H213" s="7"/>
      <c r="I213" s="27" t="s">
        <v>54</v>
      </c>
      <c r="J213" s="7"/>
      <c r="K213" s="27" t="s">
        <v>2208</v>
      </c>
      <c r="L213" s="7"/>
    </row>
    <row r="214" spans="1:12" x14ac:dyDescent="0.2">
      <c r="A214" s="7"/>
      <c r="B214" s="7"/>
      <c r="C214" s="7"/>
      <c r="D214" s="7"/>
      <c r="E214" s="7">
        <v>387200</v>
      </c>
      <c r="F214" s="7"/>
      <c r="G214" s="7" t="s">
        <v>122</v>
      </c>
      <c r="H214" s="7"/>
      <c r="I214" s="27" t="s">
        <v>54</v>
      </c>
      <c r="J214" s="7"/>
      <c r="K214" s="27" t="s">
        <v>2208</v>
      </c>
      <c r="L214" s="7"/>
    </row>
    <row r="215" spans="1:12" x14ac:dyDescent="0.2">
      <c r="A215" s="7"/>
      <c r="B215" s="7"/>
      <c r="C215" s="7"/>
      <c r="D215" s="7"/>
      <c r="E215" s="7">
        <v>387205</v>
      </c>
      <c r="F215" s="7"/>
      <c r="G215" s="7" t="s">
        <v>123</v>
      </c>
      <c r="H215" s="7"/>
      <c r="I215" s="27" t="s">
        <v>54</v>
      </c>
      <c r="J215" s="7"/>
      <c r="K215" s="27" t="s">
        <v>2208</v>
      </c>
      <c r="L215" s="7"/>
    </row>
    <row r="216" spans="1:12" x14ac:dyDescent="0.2">
      <c r="A216" s="7"/>
      <c r="B216" s="7"/>
      <c r="C216" s="7"/>
      <c r="D216" s="7"/>
      <c r="E216" s="7">
        <v>387210</v>
      </c>
      <c r="F216" s="7"/>
      <c r="G216" s="7" t="s">
        <v>124</v>
      </c>
      <c r="H216" s="7"/>
      <c r="I216" s="27" t="s">
        <v>54</v>
      </c>
      <c r="J216" s="7"/>
      <c r="K216" s="27" t="s">
        <v>2208</v>
      </c>
      <c r="L216" s="7"/>
    </row>
    <row r="217" spans="1:12" x14ac:dyDescent="0.2">
      <c r="A217" s="7"/>
      <c r="B217" s="7"/>
      <c r="C217" s="7"/>
      <c r="D217" s="7"/>
      <c r="E217" s="7">
        <v>387215</v>
      </c>
      <c r="F217" s="7"/>
      <c r="G217" s="7" t="s">
        <v>124</v>
      </c>
      <c r="H217" s="7"/>
      <c r="I217" s="27" t="s">
        <v>54</v>
      </c>
      <c r="J217" s="7"/>
      <c r="K217" s="27" t="s">
        <v>2208</v>
      </c>
      <c r="L217" s="7"/>
    </row>
    <row r="218" spans="1:12" x14ac:dyDescent="0.2">
      <c r="A218" s="7"/>
      <c r="B218" s="7"/>
      <c r="C218" s="7"/>
      <c r="D218" s="7"/>
      <c r="E218" s="7">
        <v>387230</v>
      </c>
      <c r="F218" s="7"/>
      <c r="G218" s="7" t="s">
        <v>125</v>
      </c>
      <c r="H218" s="7"/>
      <c r="I218" s="27" t="s">
        <v>54</v>
      </c>
      <c r="J218" s="7"/>
      <c r="K218" s="27" t="s">
        <v>2208</v>
      </c>
      <c r="L218" s="7"/>
    </row>
    <row r="219" spans="1:12" x14ac:dyDescent="0.2">
      <c r="A219" s="7"/>
      <c r="B219" s="7"/>
      <c r="C219" s="7"/>
      <c r="D219" s="7"/>
      <c r="E219" s="7">
        <v>387232</v>
      </c>
      <c r="F219" s="7"/>
      <c r="G219" s="7" t="s">
        <v>126</v>
      </c>
      <c r="H219" s="7"/>
      <c r="I219" s="27" t="s">
        <v>54</v>
      </c>
      <c r="J219" s="7"/>
      <c r="K219" s="27" t="s">
        <v>2208</v>
      </c>
      <c r="L219" s="7"/>
    </row>
    <row r="220" spans="1:12" x14ac:dyDescent="0.2">
      <c r="A220" s="7"/>
      <c r="B220" s="7"/>
      <c r="C220" s="7"/>
      <c r="D220" s="7"/>
      <c r="E220" s="7">
        <v>387244</v>
      </c>
      <c r="F220" s="7"/>
      <c r="G220" s="7" t="s">
        <v>127</v>
      </c>
      <c r="H220" s="7"/>
      <c r="I220" s="27" t="s">
        <v>54</v>
      </c>
      <c r="J220" s="7"/>
      <c r="K220" s="27" t="s">
        <v>2208</v>
      </c>
      <c r="L220" s="7"/>
    </row>
    <row r="221" spans="1:12" x14ac:dyDescent="0.2">
      <c r="A221" s="7"/>
      <c r="B221" s="7"/>
      <c r="C221" s="7"/>
      <c r="D221" s="7"/>
      <c r="E221" s="7">
        <v>387245</v>
      </c>
      <c r="F221" s="7"/>
      <c r="G221" s="7" t="s">
        <v>128</v>
      </c>
      <c r="H221" s="7"/>
      <c r="I221" s="27" t="s">
        <v>54</v>
      </c>
      <c r="J221" s="7"/>
      <c r="K221" s="27" t="s">
        <v>2208</v>
      </c>
      <c r="L221" s="7"/>
    </row>
    <row r="222" spans="1:12" x14ac:dyDescent="0.2">
      <c r="A222" s="7"/>
      <c r="B222" s="7"/>
      <c r="C222" s="7"/>
      <c r="D222" s="7"/>
      <c r="E222" s="7">
        <v>388220</v>
      </c>
      <c r="F222" s="7"/>
      <c r="G222" s="7" t="s">
        <v>129</v>
      </c>
      <c r="H222" s="7"/>
      <c r="I222" s="27" t="s">
        <v>54</v>
      </c>
      <c r="J222" s="7"/>
      <c r="K222" s="27" t="s">
        <v>2208</v>
      </c>
      <c r="L222" s="7"/>
    </row>
    <row r="223" spans="1:12" x14ac:dyDescent="0.2">
      <c r="A223" s="7"/>
      <c r="B223" s="7"/>
      <c r="C223" s="7"/>
      <c r="D223" s="7"/>
      <c r="E223" s="7">
        <v>388250</v>
      </c>
      <c r="F223" s="7"/>
      <c r="G223" s="7" t="s">
        <v>130</v>
      </c>
      <c r="H223" s="7"/>
      <c r="I223" s="27" t="s">
        <v>54</v>
      </c>
      <c r="J223" s="7"/>
      <c r="K223" s="27" t="s">
        <v>2208</v>
      </c>
      <c r="L223" s="7"/>
    </row>
    <row r="224" spans="1:12" x14ac:dyDescent="0.2">
      <c r="A224" s="7"/>
      <c r="B224" s="7"/>
      <c r="C224" s="7"/>
      <c r="D224" s="7"/>
      <c r="E224" s="7">
        <v>388253</v>
      </c>
      <c r="F224" s="7"/>
      <c r="G224" s="7" t="s">
        <v>131</v>
      </c>
      <c r="H224" s="7"/>
      <c r="I224" s="27" t="s">
        <v>54</v>
      </c>
      <c r="J224" s="7"/>
      <c r="K224" s="27" t="s">
        <v>2208</v>
      </c>
      <c r="L224" s="7"/>
    </row>
    <row r="225" spans="1:12" x14ac:dyDescent="0.2">
      <c r="A225" s="7"/>
      <c r="B225" s="7"/>
      <c r="C225" s="7"/>
      <c r="D225" s="7"/>
      <c r="E225" s="7">
        <v>388254</v>
      </c>
      <c r="F225" s="7"/>
      <c r="G225" s="7" t="s">
        <v>131</v>
      </c>
      <c r="H225" s="7"/>
      <c r="I225" s="27" t="s">
        <v>54</v>
      </c>
      <c r="J225" s="7"/>
      <c r="K225" s="27" t="s">
        <v>2208</v>
      </c>
      <c r="L225" s="7"/>
    </row>
    <row r="226" spans="1:12" x14ac:dyDescent="0.2">
      <c r="A226" s="7"/>
      <c r="B226" s="7"/>
      <c r="C226" s="7"/>
      <c r="D226" s="7"/>
      <c r="E226" s="7">
        <v>500050</v>
      </c>
      <c r="F226" s="7"/>
      <c r="G226" s="7" t="s">
        <v>132</v>
      </c>
      <c r="H226" s="7"/>
      <c r="I226" s="27" t="s">
        <v>133</v>
      </c>
      <c r="J226" s="7"/>
      <c r="K226" s="27" t="s">
        <v>2208</v>
      </c>
      <c r="L226" s="7"/>
    </row>
    <row r="227" spans="1:12" x14ac:dyDescent="0.2">
      <c r="A227" s="7"/>
      <c r="B227" s="7"/>
      <c r="C227" s="7"/>
      <c r="D227" s="7"/>
      <c r="E227" s="7">
        <v>500100</v>
      </c>
      <c r="F227" s="7"/>
      <c r="G227" s="7" t="s">
        <v>134</v>
      </c>
      <c r="H227" s="7"/>
      <c r="I227" s="27" t="s">
        <v>133</v>
      </c>
      <c r="J227" s="7"/>
      <c r="K227" s="27" t="s">
        <v>2208</v>
      </c>
      <c r="L227" s="7"/>
    </row>
    <row r="228" spans="1:12" x14ac:dyDescent="0.2">
      <c r="A228" s="7"/>
      <c r="B228" s="7"/>
      <c r="C228" s="7"/>
      <c r="D228" s="7"/>
      <c r="E228" s="7">
        <v>500110</v>
      </c>
      <c r="F228" s="7"/>
      <c r="G228" s="7" t="s">
        <v>135</v>
      </c>
      <c r="H228" s="7"/>
      <c r="I228" s="27" t="s">
        <v>133</v>
      </c>
      <c r="J228" s="7"/>
      <c r="K228" s="27" t="s">
        <v>2208</v>
      </c>
      <c r="L228" s="7"/>
    </row>
    <row r="229" spans="1:12" x14ac:dyDescent="0.2">
      <c r="A229" s="7"/>
      <c r="B229" s="7"/>
      <c r="C229" s="7"/>
      <c r="D229" s="7"/>
      <c r="E229" s="7">
        <v>500200</v>
      </c>
      <c r="F229" s="7"/>
      <c r="G229" s="7" t="s">
        <v>136</v>
      </c>
      <c r="H229" s="7"/>
      <c r="I229" s="27" t="s">
        <v>133</v>
      </c>
      <c r="J229" s="7"/>
      <c r="K229" s="27" t="s">
        <v>2208</v>
      </c>
      <c r="L229" s="7"/>
    </row>
    <row r="230" spans="1:12" x14ac:dyDescent="0.2">
      <c r="A230" s="7"/>
      <c r="B230" s="7"/>
      <c r="C230" s="7"/>
      <c r="D230" s="7"/>
      <c r="E230" s="7">
        <v>500300</v>
      </c>
      <c r="F230" s="7"/>
      <c r="G230" s="7" t="s">
        <v>137</v>
      </c>
      <c r="H230" s="7"/>
      <c r="I230" s="27" t="s">
        <v>133</v>
      </c>
      <c r="J230" s="7"/>
      <c r="K230" s="27" t="s">
        <v>2208</v>
      </c>
      <c r="L230" s="7"/>
    </row>
    <row r="231" spans="1:12" x14ac:dyDescent="0.2">
      <c r="A231" s="7"/>
      <c r="B231" s="7"/>
      <c r="C231" s="7"/>
      <c r="D231" s="7"/>
      <c r="E231" s="7">
        <v>500310</v>
      </c>
      <c r="F231" s="7"/>
      <c r="G231" s="7" t="s">
        <v>138</v>
      </c>
      <c r="H231" s="7"/>
      <c r="I231" s="27" t="s">
        <v>133</v>
      </c>
      <c r="J231" s="7"/>
      <c r="K231" s="27" t="s">
        <v>2208</v>
      </c>
      <c r="L231" s="7"/>
    </row>
    <row r="232" spans="1:12" x14ac:dyDescent="0.2">
      <c r="A232" s="7"/>
      <c r="B232" s="7"/>
      <c r="C232" s="7"/>
      <c r="D232" s="7"/>
      <c r="E232" s="7">
        <v>500400</v>
      </c>
      <c r="F232" s="7"/>
      <c r="G232" s="7" t="s">
        <v>139</v>
      </c>
      <c r="H232" s="7"/>
      <c r="I232" s="27" t="s">
        <v>133</v>
      </c>
      <c r="J232" s="7"/>
      <c r="K232" s="27" t="s">
        <v>2208</v>
      </c>
      <c r="L232" s="7"/>
    </row>
    <row r="233" spans="1:12" x14ac:dyDescent="0.2">
      <c r="A233" s="7"/>
      <c r="B233" s="7"/>
      <c r="C233" s="7"/>
      <c r="D233" s="7"/>
      <c r="E233" s="7">
        <v>500700</v>
      </c>
      <c r="F233" s="7"/>
      <c r="G233" s="7" t="s">
        <v>140</v>
      </c>
      <c r="H233" s="7"/>
      <c r="I233" s="27" t="s">
        <v>133</v>
      </c>
      <c r="J233" s="7"/>
      <c r="K233" s="27" t="s">
        <v>2208</v>
      </c>
      <c r="L233" s="7"/>
    </row>
    <row r="234" spans="1:12" x14ac:dyDescent="0.2">
      <c r="A234" s="7"/>
      <c r="B234" s="7"/>
      <c r="C234" s="7"/>
      <c r="D234" s="7"/>
      <c r="E234" s="7">
        <v>500810</v>
      </c>
      <c r="F234" s="7"/>
      <c r="G234" s="7" t="s">
        <v>141</v>
      </c>
      <c r="H234" s="7"/>
      <c r="I234" s="27" t="s">
        <v>133</v>
      </c>
      <c r="J234" s="7"/>
      <c r="K234" s="27" t="s">
        <v>2208</v>
      </c>
      <c r="L234" s="7"/>
    </row>
    <row r="235" spans="1:12" x14ac:dyDescent="0.2">
      <c r="A235" s="7"/>
      <c r="B235" s="7"/>
      <c r="C235" s="7"/>
      <c r="D235" s="7"/>
      <c r="E235" s="7">
        <v>501100</v>
      </c>
      <c r="F235" s="7"/>
      <c r="G235" s="7" t="s">
        <v>142</v>
      </c>
      <c r="H235" s="7"/>
      <c r="I235" s="27" t="s">
        <v>133</v>
      </c>
      <c r="J235" s="7"/>
      <c r="K235" s="27" t="s">
        <v>2208</v>
      </c>
      <c r="L235" s="7"/>
    </row>
    <row r="236" spans="1:12" x14ac:dyDescent="0.2">
      <c r="A236" s="7"/>
      <c r="B236" s="7"/>
      <c r="C236" s="7"/>
      <c r="D236" s="7"/>
      <c r="E236" s="7">
        <v>501110</v>
      </c>
      <c r="F236" s="7"/>
      <c r="G236" s="7" t="s">
        <v>143</v>
      </c>
      <c r="H236" s="7"/>
      <c r="I236" s="27" t="s">
        <v>133</v>
      </c>
      <c r="J236" s="7"/>
      <c r="K236" s="27" t="s">
        <v>2208</v>
      </c>
      <c r="L236" s="7"/>
    </row>
    <row r="237" spans="1:12" x14ac:dyDescent="0.2">
      <c r="A237" s="7"/>
      <c r="B237" s="7"/>
      <c r="C237" s="7"/>
      <c r="D237" s="7"/>
      <c r="E237" s="7">
        <v>501150</v>
      </c>
      <c r="F237" s="7"/>
      <c r="G237" s="7" t="s">
        <v>144</v>
      </c>
      <c r="H237" s="7"/>
      <c r="I237" s="27" t="s">
        <v>133</v>
      </c>
      <c r="J237" s="7"/>
      <c r="K237" s="27" t="s">
        <v>2208</v>
      </c>
      <c r="L237" s="7"/>
    </row>
    <row r="238" spans="1:12" x14ac:dyDescent="0.2">
      <c r="A238" s="7"/>
      <c r="B238" s="7"/>
      <c r="C238" s="7"/>
      <c r="D238" s="7"/>
      <c r="E238" s="7">
        <v>501350</v>
      </c>
      <c r="F238" s="7"/>
      <c r="G238" s="7" t="s">
        <v>145</v>
      </c>
      <c r="H238" s="7"/>
      <c r="I238" s="27" t="s">
        <v>133</v>
      </c>
      <c r="J238" s="7"/>
      <c r="K238" s="27" t="s">
        <v>2208</v>
      </c>
      <c r="L238" s="7"/>
    </row>
    <row r="239" spans="1:12" x14ac:dyDescent="0.2">
      <c r="A239" s="7"/>
      <c r="B239" s="7"/>
      <c r="C239" s="7"/>
      <c r="D239" s="7"/>
      <c r="E239" s="7">
        <v>501630</v>
      </c>
      <c r="F239" s="7"/>
      <c r="G239" s="7" t="s">
        <v>146</v>
      </c>
      <c r="H239" s="7"/>
      <c r="I239" s="27" t="s">
        <v>133</v>
      </c>
      <c r="J239" s="7"/>
      <c r="K239" s="27" t="s">
        <v>2208</v>
      </c>
      <c r="L239" s="7"/>
    </row>
    <row r="240" spans="1:12" x14ac:dyDescent="0.2">
      <c r="A240" s="7"/>
      <c r="B240" s="7"/>
      <c r="C240" s="7"/>
      <c r="D240" s="7"/>
      <c r="E240" s="7">
        <v>501640</v>
      </c>
      <c r="F240" s="7"/>
      <c r="G240" s="7" t="s">
        <v>147</v>
      </c>
      <c r="H240" s="7"/>
      <c r="I240" s="27" t="s">
        <v>133</v>
      </c>
      <c r="J240" s="7"/>
      <c r="K240" s="27" t="s">
        <v>2208</v>
      </c>
      <c r="L240" s="7"/>
    </row>
    <row r="241" spans="1:12" x14ac:dyDescent="0.2">
      <c r="A241" s="7"/>
      <c r="B241" s="7"/>
      <c r="C241" s="7"/>
      <c r="D241" s="7"/>
      <c r="E241" s="7">
        <v>501645</v>
      </c>
      <c r="F241" s="7"/>
      <c r="G241" s="7" t="s">
        <v>148</v>
      </c>
      <c r="H241" s="7"/>
      <c r="I241" s="27" t="s">
        <v>133</v>
      </c>
      <c r="J241" s="7"/>
      <c r="K241" s="27" t="s">
        <v>2208</v>
      </c>
      <c r="L241" s="7"/>
    </row>
    <row r="242" spans="1:12" x14ac:dyDescent="0.2">
      <c r="A242" s="7"/>
      <c r="B242" s="7"/>
      <c r="C242" s="7"/>
      <c r="D242" s="7"/>
      <c r="E242" s="7">
        <v>501650</v>
      </c>
      <c r="F242" s="7"/>
      <c r="G242" s="7" t="s">
        <v>149</v>
      </c>
      <c r="H242" s="7"/>
      <c r="I242" s="27" t="s">
        <v>133</v>
      </c>
      <c r="J242" s="7"/>
      <c r="K242" s="27" t="s">
        <v>2208</v>
      </c>
      <c r="L242" s="7"/>
    </row>
    <row r="243" spans="1:12" x14ac:dyDescent="0.2">
      <c r="A243" s="7"/>
      <c r="B243" s="7"/>
      <c r="C243" s="7"/>
      <c r="D243" s="7"/>
      <c r="E243" s="7">
        <v>501660</v>
      </c>
      <c r="F243" s="7"/>
      <c r="G243" s="7" t="s">
        <v>150</v>
      </c>
      <c r="H243" s="7"/>
      <c r="I243" s="27" t="s">
        <v>133</v>
      </c>
      <c r="J243" s="7"/>
      <c r="K243" s="27" t="s">
        <v>2208</v>
      </c>
      <c r="L243" s="7"/>
    </row>
    <row r="244" spans="1:12" x14ac:dyDescent="0.2">
      <c r="A244" s="7"/>
      <c r="B244" s="7"/>
      <c r="C244" s="7"/>
      <c r="D244" s="7"/>
      <c r="E244" s="7">
        <v>502100</v>
      </c>
      <c r="F244" s="7"/>
      <c r="G244" s="7" t="s">
        <v>151</v>
      </c>
      <c r="H244" s="7"/>
      <c r="I244" s="27" t="s">
        <v>133</v>
      </c>
      <c r="J244" s="7"/>
      <c r="K244" s="27" t="s">
        <v>2208</v>
      </c>
      <c r="L244" s="7"/>
    </row>
    <row r="245" spans="1:12" x14ac:dyDescent="0.2">
      <c r="A245" s="7"/>
      <c r="B245" s="7"/>
      <c r="C245" s="7"/>
      <c r="D245" s="7"/>
      <c r="E245" s="7">
        <v>502150</v>
      </c>
      <c r="F245" s="7"/>
      <c r="G245" s="7" t="s">
        <v>152</v>
      </c>
      <c r="H245" s="7"/>
      <c r="I245" s="27" t="s">
        <v>133</v>
      </c>
      <c r="J245" s="7"/>
      <c r="K245" s="27" t="s">
        <v>2208</v>
      </c>
      <c r="L245" s="7"/>
    </row>
    <row r="246" spans="1:12" x14ac:dyDescent="0.2">
      <c r="A246" s="7"/>
      <c r="B246" s="7"/>
      <c r="C246" s="7"/>
      <c r="D246" s="7"/>
      <c r="E246" s="7">
        <v>502200</v>
      </c>
      <c r="F246" s="7"/>
      <c r="G246" s="7" t="s">
        <v>153</v>
      </c>
      <c r="H246" s="7"/>
      <c r="I246" s="27" t="s">
        <v>133</v>
      </c>
      <c r="J246" s="7"/>
      <c r="K246" s="27" t="s">
        <v>2208</v>
      </c>
      <c r="L246" s="7"/>
    </row>
    <row r="247" spans="1:12" x14ac:dyDescent="0.2">
      <c r="A247" s="7"/>
      <c r="B247" s="7"/>
      <c r="C247" s="7"/>
      <c r="D247" s="7"/>
      <c r="E247" s="7">
        <v>502210</v>
      </c>
      <c r="F247" s="7"/>
      <c r="G247" s="7" t="s">
        <v>154</v>
      </c>
      <c r="H247" s="7"/>
      <c r="I247" s="27" t="s">
        <v>133</v>
      </c>
      <c r="J247" s="7"/>
      <c r="K247" s="27" t="s">
        <v>2208</v>
      </c>
      <c r="L247" s="7"/>
    </row>
    <row r="248" spans="1:12" x14ac:dyDescent="0.2">
      <c r="A248" s="7"/>
      <c r="B248" s="7"/>
      <c r="C248" s="7"/>
      <c r="D248" s="7"/>
      <c r="E248" s="7">
        <v>502220</v>
      </c>
      <c r="F248" s="7"/>
      <c r="G248" s="7" t="s">
        <v>155</v>
      </c>
      <c r="H248" s="7"/>
      <c r="I248" s="27" t="s">
        <v>133</v>
      </c>
      <c r="J248" s="7"/>
      <c r="K248" s="27" t="s">
        <v>2208</v>
      </c>
      <c r="L248" s="7"/>
    </row>
    <row r="249" spans="1:12" x14ac:dyDescent="0.2">
      <c r="A249" s="7"/>
      <c r="B249" s="7"/>
      <c r="C249" s="7"/>
      <c r="D249" s="7"/>
      <c r="E249" s="7">
        <v>502230</v>
      </c>
      <c r="F249" s="7"/>
      <c r="G249" s="7" t="s">
        <v>156</v>
      </c>
      <c r="H249" s="7"/>
      <c r="I249" s="27" t="s">
        <v>133</v>
      </c>
      <c r="J249" s="7"/>
      <c r="K249" s="27" t="s">
        <v>2208</v>
      </c>
      <c r="L249" s="7"/>
    </row>
    <row r="250" spans="1:12" x14ac:dyDescent="0.2">
      <c r="A250" s="7"/>
      <c r="B250" s="7"/>
      <c r="C250" s="7"/>
      <c r="D250" s="7"/>
      <c r="E250" s="7">
        <v>502240</v>
      </c>
      <c r="F250" s="7"/>
      <c r="G250" s="7" t="s">
        <v>157</v>
      </c>
      <c r="H250" s="7"/>
      <c r="I250" s="27" t="s">
        <v>133</v>
      </c>
      <c r="J250" s="7"/>
      <c r="K250" s="27" t="s">
        <v>2208</v>
      </c>
      <c r="L250" s="7"/>
    </row>
    <row r="251" spans="1:12" x14ac:dyDescent="0.2">
      <c r="A251" s="7"/>
      <c r="B251" s="7"/>
      <c r="C251" s="7"/>
      <c r="D251" s="7"/>
      <c r="E251" s="7">
        <v>503190</v>
      </c>
      <c r="F251" s="7"/>
      <c r="G251" s="7" t="s">
        <v>158</v>
      </c>
      <c r="H251" s="7"/>
      <c r="I251" s="27" t="s">
        <v>71</v>
      </c>
      <c r="J251" s="7"/>
      <c r="K251" s="27" t="s">
        <v>2208</v>
      </c>
      <c r="L251" s="7"/>
    </row>
    <row r="252" spans="1:12" x14ac:dyDescent="0.2">
      <c r="A252" s="7"/>
      <c r="B252" s="7"/>
      <c r="C252" s="7"/>
      <c r="D252" s="7"/>
      <c r="E252" s="7">
        <v>503191</v>
      </c>
      <c r="F252" s="7"/>
      <c r="G252" s="7" t="s">
        <v>159</v>
      </c>
      <c r="H252" s="7"/>
      <c r="I252" s="27" t="s">
        <v>71</v>
      </c>
      <c r="J252" s="7"/>
      <c r="K252" s="27" t="s">
        <v>2208</v>
      </c>
      <c r="L252" s="7"/>
    </row>
    <row r="253" spans="1:12" x14ac:dyDescent="0.2">
      <c r="A253" s="7"/>
      <c r="B253" s="7"/>
      <c r="C253" s="7"/>
      <c r="D253" s="7"/>
      <c r="E253" s="7">
        <v>503192</v>
      </c>
      <c r="F253" s="7"/>
      <c r="G253" s="7" t="s">
        <v>160</v>
      </c>
      <c r="H253" s="7"/>
      <c r="I253" s="27" t="s">
        <v>71</v>
      </c>
      <c r="J253" s="7"/>
      <c r="K253" s="27" t="s">
        <v>2208</v>
      </c>
      <c r="L253" s="7"/>
    </row>
    <row r="254" spans="1:12" x14ac:dyDescent="0.2">
      <c r="A254" s="7"/>
      <c r="B254" s="7"/>
      <c r="C254" s="7"/>
      <c r="D254" s="7"/>
      <c r="E254" s="7">
        <v>503193</v>
      </c>
      <c r="F254" s="7"/>
      <c r="G254" s="7" t="s">
        <v>161</v>
      </c>
      <c r="H254" s="7"/>
      <c r="I254" s="27" t="s">
        <v>71</v>
      </c>
      <c r="J254" s="7"/>
      <c r="K254" s="27" t="s">
        <v>2208</v>
      </c>
      <c r="L254" s="7"/>
    </row>
    <row r="255" spans="1:12" x14ac:dyDescent="0.2">
      <c r="A255" s="7"/>
      <c r="B255" s="7"/>
      <c r="C255" s="7"/>
      <c r="D255" s="7"/>
      <c r="E255" s="7">
        <v>503194</v>
      </c>
      <c r="F255" s="7"/>
      <c r="G255" s="7" t="s">
        <v>162</v>
      </c>
      <c r="H255" s="7"/>
      <c r="I255" s="27" t="s">
        <v>71</v>
      </c>
      <c r="J255" s="7"/>
      <c r="K255" s="27" t="s">
        <v>2208</v>
      </c>
      <c r="L255" s="7"/>
    </row>
    <row r="256" spans="1:12" x14ac:dyDescent="0.2">
      <c r="A256" s="7"/>
      <c r="B256" s="7"/>
      <c r="C256" s="7"/>
      <c r="D256" s="7"/>
      <c r="E256" s="7">
        <v>503197</v>
      </c>
      <c r="F256" s="7"/>
      <c r="G256" s="7" t="s">
        <v>163</v>
      </c>
      <c r="H256" s="7"/>
      <c r="I256" s="27" t="s">
        <v>71</v>
      </c>
      <c r="J256" s="7"/>
      <c r="K256" s="27" t="s">
        <v>2208</v>
      </c>
      <c r="L256" s="7"/>
    </row>
    <row r="257" spans="1:12" x14ac:dyDescent="0.2">
      <c r="A257" s="7"/>
      <c r="B257" s="7"/>
      <c r="C257" s="7"/>
      <c r="D257" s="7"/>
      <c r="E257" s="7">
        <v>503200</v>
      </c>
      <c r="F257" s="7"/>
      <c r="G257" s="7" t="s">
        <v>164</v>
      </c>
      <c r="H257" s="7"/>
      <c r="I257" s="27" t="s">
        <v>71</v>
      </c>
      <c r="J257" s="7"/>
      <c r="K257" s="27" t="s">
        <v>2208</v>
      </c>
      <c r="L257" s="7"/>
    </row>
    <row r="258" spans="1:12" x14ac:dyDescent="0.2">
      <c r="A258" s="7"/>
      <c r="B258" s="7"/>
      <c r="C258" s="7"/>
      <c r="D258" s="7"/>
      <c r="E258" s="7">
        <v>503201</v>
      </c>
      <c r="F258" s="7"/>
      <c r="G258" s="7" t="s">
        <v>165</v>
      </c>
      <c r="H258" s="7"/>
      <c r="I258" s="27" t="s">
        <v>133</v>
      </c>
      <c r="J258" s="7"/>
      <c r="K258" s="27" t="s">
        <v>2208</v>
      </c>
      <c r="L258" s="7"/>
    </row>
    <row r="259" spans="1:12" x14ac:dyDescent="0.2">
      <c r="A259" s="7"/>
      <c r="B259" s="7"/>
      <c r="C259" s="7"/>
      <c r="D259" s="7"/>
      <c r="E259" s="7">
        <v>503210</v>
      </c>
      <c r="F259" s="7"/>
      <c r="G259" s="7" t="s">
        <v>166</v>
      </c>
      <c r="H259" s="7"/>
      <c r="I259" s="27" t="s">
        <v>71</v>
      </c>
      <c r="J259" s="7"/>
      <c r="K259" s="27" t="s">
        <v>2208</v>
      </c>
      <c r="L259" s="7"/>
    </row>
    <row r="260" spans="1:12" x14ac:dyDescent="0.2">
      <c r="A260" s="7"/>
      <c r="B260" s="7"/>
      <c r="C260" s="7"/>
      <c r="D260" s="7"/>
      <c r="E260" s="7">
        <v>503220</v>
      </c>
      <c r="F260" s="7"/>
      <c r="G260" s="7" t="s">
        <v>167</v>
      </c>
      <c r="H260" s="7"/>
      <c r="I260" s="27" t="s">
        <v>71</v>
      </c>
      <c r="J260" s="7"/>
      <c r="K260" s="27" t="s">
        <v>2208</v>
      </c>
      <c r="L260" s="7"/>
    </row>
    <row r="261" spans="1:12" x14ac:dyDescent="0.2">
      <c r="A261" s="7"/>
      <c r="B261" s="7"/>
      <c r="C261" s="7"/>
      <c r="D261" s="7"/>
      <c r="E261" s="7">
        <v>503230</v>
      </c>
      <c r="F261" s="7"/>
      <c r="G261" s="7" t="s">
        <v>168</v>
      </c>
      <c r="H261" s="7"/>
      <c r="I261" s="27" t="s">
        <v>71</v>
      </c>
      <c r="J261" s="7"/>
      <c r="K261" s="27" t="s">
        <v>2208</v>
      </c>
      <c r="L261" s="7"/>
    </row>
    <row r="262" spans="1:12" x14ac:dyDescent="0.2">
      <c r="A262" s="7"/>
      <c r="B262" s="7"/>
      <c r="C262" s="7"/>
      <c r="D262" s="7"/>
      <c r="E262" s="7">
        <v>503240</v>
      </c>
      <c r="F262" s="7"/>
      <c r="G262" s="7" t="s">
        <v>169</v>
      </c>
      <c r="H262" s="7"/>
      <c r="I262" s="27" t="s">
        <v>71</v>
      </c>
      <c r="J262" s="7"/>
      <c r="K262" s="27" t="s">
        <v>2208</v>
      </c>
      <c r="L262" s="7"/>
    </row>
    <row r="263" spans="1:12" x14ac:dyDescent="0.2">
      <c r="A263" s="7"/>
      <c r="B263" s="7"/>
      <c r="C263" s="7"/>
      <c r="D263" s="7"/>
      <c r="E263" s="7">
        <v>503250</v>
      </c>
      <c r="F263" s="7"/>
      <c r="G263" s="7" t="s">
        <v>170</v>
      </c>
      <c r="H263" s="7"/>
      <c r="I263" s="27" t="s">
        <v>71</v>
      </c>
      <c r="J263" s="7"/>
      <c r="K263" s="27" t="s">
        <v>2208</v>
      </c>
      <c r="L263" s="7"/>
    </row>
    <row r="264" spans="1:12" x14ac:dyDescent="0.2">
      <c r="A264" s="7"/>
      <c r="B264" s="7"/>
      <c r="C264" s="7"/>
      <c r="D264" s="7"/>
      <c r="E264" s="7">
        <v>503260</v>
      </c>
      <c r="F264" s="7"/>
      <c r="G264" s="7" t="s">
        <v>171</v>
      </c>
      <c r="H264" s="7"/>
      <c r="I264" s="27" t="s">
        <v>133</v>
      </c>
      <c r="J264" s="7"/>
      <c r="K264" s="27" t="s">
        <v>2208</v>
      </c>
      <c r="L264" s="7"/>
    </row>
    <row r="265" spans="1:12" x14ac:dyDescent="0.2">
      <c r="A265" s="7"/>
      <c r="B265" s="7"/>
      <c r="C265" s="7"/>
      <c r="D265" s="7"/>
      <c r="E265" s="7">
        <v>503270</v>
      </c>
      <c r="F265" s="7"/>
      <c r="G265" s="7" t="s">
        <v>172</v>
      </c>
      <c r="H265" s="7"/>
      <c r="I265" s="27" t="s">
        <v>133</v>
      </c>
      <c r="J265" s="7"/>
      <c r="K265" s="27" t="s">
        <v>2208</v>
      </c>
      <c r="L265" s="7"/>
    </row>
    <row r="266" spans="1:12" x14ac:dyDescent="0.2">
      <c r="A266" s="7"/>
      <c r="B266" s="7"/>
      <c r="C266" s="7"/>
      <c r="D266" s="7"/>
      <c r="E266" s="7">
        <v>503280</v>
      </c>
      <c r="F266" s="7"/>
      <c r="G266" s="7" t="s">
        <v>173</v>
      </c>
      <c r="H266" s="7"/>
      <c r="I266" s="27" t="s">
        <v>71</v>
      </c>
      <c r="J266" s="7"/>
      <c r="K266" s="27" t="s">
        <v>2208</v>
      </c>
      <c r="L266" s="7"/>
    </row>
    <row r="267" spans="1:12" x14ac:dyDescent="0.2">
      <c r="A267" s="7"/>
      <c r="B267" s="7"/>
      <c r="C267" s="7"/>
      <c r="D267" s="7"/>
      <c r="E267" s="7">
        <v>503281</v>
      </c>
      <c r="F267" s="7"/>
      <c r="G267" s="7" t="s">
        <v>174</v>
      </c>
      <c r="H267" s="7"/>
      <c r="I267" s="27" t="s">
        <v>71</v>
      </c>
      <c r="J267" s="7"/>
      <c r="K267" s="27" t="s">
        <v>2208</v>
      </c>
      <c r="L267" s="7"/>
    </row>
    <row r="268" spans="1:12" x14ac:dyDescent="0.2">
      <c r="A268" s="7"/>
      <c r="B268" s="7"/>
      <c r="C268" s="7"/>
      <c r="D268" s="7"/>
      <c r="E268" s="7">
        <v>503290</v>
      </c>
      <c r="F268" s="7"/>
      <c r="G268" s="7" t="s">
        <v>175</v>
      </c>
      <c r="H268" s="7"/>
      <c r="I268" s="27" t="s">
        <v>71</v>
      </c>
      <c r="J268" s="7"/>
      <c r="K268" s="27" t="s">
        <v>2208</v>
      </c>
      <c r="L268" s="7"/>
    </row>
    <row r="269" spans="1:12" x14ac:dyDescent="0.2">
      <c r="A269" s="7"/>
      <c r="B269" s="7"/>
      <c r="C269" s="7"/>
      <c r="D269" s="7"/>
      <c r="E269" s="7">
        <v>503300</v>
      </c>
      <c r="F269" s="7"/>
      <c r="G269" s="7" t="s">
        <v>176</v>
      </c>
      <c r="H269" s="7"/>
      <c r="I269" s="27" t="s">
        <v>71</v>
      </c>
      <c r="J269" s="7"/>
      <c r="K269" s="27" t="s">
        <v>2208</v>
      </c>
      <c r="L269" s="7"/>
    </row>
    <row r="270" spans="1:12" x14ac:dyDescent="0.2">
      <c r="A270" s="7"/>
      <c r="B270" s="7"/>
      <c r="C270" s="7"/>
      <c r="D270" s="7"/>
      <c r="E270" s="7">
        <v>503310</v>
      </c>
      <c r="F270" s="7"/>
      <c r="G270" s="7" t="s">
        <v>177</v>
      </c>
      <c r="H270" s="7"/>
      <c r="I270" s="27" t="s">
        <v>71</v>
      </c>
      <c r="J270" s="7"/>
      <c r="K270" s="27" t="s">
        <v>2208</v>
      </c>
      <c r="L270" s="7"/>
    </row>
    <row r="271" spans="1:12" x14ac:dyDescent="0.2">
      <c r="A271" s="7"/>
      <c r="B271" s="7"/>
      <c r="C271" s="7"/>
      <c r="D271" s="7"/>
      <c r="E271" s="7">
        <v>503320</v>
      </c>
      <c r="F271" s="7"/>
      <c r="G271" s="7" t="s">
        <v>178</v>
      </c>
      <c r="H271" s="7"/>
      <c r="I271" s="27" t="s">
        <v>133</v>
      </c>
      <c r="J271" s="7"/>
      <c r="K271" s="27" t="s">
        <v>2208</v>
      </c>
      <c r="L271" s="7"/>
    </row>
    <row r="272" spans="1:12" x14ac:dyDescent="0.2">
      <c r="A272" s="7"/>
      <c r="B272" s="7"/>
      <c r="C272" s="7"/>
      <c r="D272" s="7"/>
      <c r="E272" s="7">
        <v>503321</v>
      </c>
      <c r="F272" s="7"/>
      <c r="G272" s="7" t="s">
        <v>179</v>
      </c>
      <c r="H272" s="7"/>
      <c r="I272" s="27" t="s">
        <v>133</v>
      </c>
      <c r="J272" s="7"/>
      <c r="K272" s="27" t="s">
        <v>2208</v>
      </c>
      <c r="L272" s="7"/>
    </row>
    <row r="273" spans="1:12" x14ac:dyDescent="0.2">
      <c r="A273" s="7"/>
      <c r="B273" s="7"/>
      <c r="C273" s="7"/>
      <c r="D273" s="7"/>
      <c r="E273" s="7">
        <v>503330</v>
      </c>
      <c r="F273" s="7"/>
      <c r="G273" s="7" t="s">
        <v>180</v>
      </c>
      <c r="H273" s="7"/>
      <c r="I273" s="27" t="s">
        <v>71</v>
      </c>
      <c r="J273" s="7"/>
      <c r="K273" s="27" t="s">
        <v>2208</v>
      </c>
      <c r="L273" s="7"/>
    </row>
    <row r="274" spans="1:12" x14ac:dyDescent="0.2">
      <c r="A274" s="7"/>
      <c r="B274" s="7"/>
      <c r="C274" s="7"/>
      <c r="D274" s="7"/>
      <c r="E274" s="7">
        <v>503340</v>
      </c>
      <c r="F274" s="7"/>
      <c r="G274" s="7" t="s">
        <v>181</v>
      </c>
      <c r="H274" s="7"/>
      <c r="I274" s="27" t="s">
        <v>71</v>
      </c>
      <c r="J274" s="7"/>
      <c r="K274" s="27" t="s">
        <v>2208</v>
      </c>
      <c r="L274" s="7"/>
    </row>
    <row r="275" spans="1:12" x14ac:dyDescent="0.2">
      <c r="A275" s="7"/>
      <c r="B275" s="7"/>
      <c r="C275" s="7"/>
      <c r="D275" s="7"/>
      <c r="E275" s="7">
        <v>503350</v>
      </c>
      <c r="F275" s="7"/>
      <c r="G275" s="7" t="s">
        <v>182</v>
      </c>
      <c r="H275" s="7"/>
      <c r="I275" s="27" t="s">
        <v>71</v>
      </c>
      <c r="J275" s="7"/>
      <c r="K275" s="27" t="s">
        <v>2208</v>
      </c>
      <c r="L275" s="7"/>
    </row>
    <row r="276" spans="1:12" x14ac:dyDescent="0.2">
      <c r="A276" s="7"/>
      <c r="B276" s="7"/>
      <c r="C276" s="7"/>
      <c r="D276" s="7"/>
      <c r="E276" s="7">
        <v>503360</v>
      </c>
      <c r="F276" s="7"/>
      <c r="G276" s="7" t="s">
        <v>183</v>
      </c>
      <c r="H276" s="7"/>
      <c r="I276" s="27" t="s">
        <v>71</v>
      </c>
      <c r="J276" s="7"/>
      <c r="K276" s="27" t="s">
        <v>2208</v>
      </c>
      <c r="L276" s="7"/>
    </row>
    <row r="277" spans="1:12" x14ac:dyDescent="0.2">
      <c r="A277" s="7"/>
      <c r="B277" s="7"/>
      <c r="C277" s="7"/>
      <c r="D277" s="7"/>
      <c r="E277" s="7">
        <v>507100</v>
      </c>
      <c r="F277" s="7"/>
      <c r="G277" s="7" t="s">
        <v>184</v>
      </c>
      <c r="H277" s="7"/>
      <c r="I277" s="27" t="s">
        <v>25</v>
      </c>
      <c r="J277" s="7"/>
      <c r="K277" s="27" t="s">
        <v>2208</v>
      </c>
      <c r="L277" s="7"/>
    </row>
    <row r="278" spans="1:12" x14ac:dyDescent="0.2">
      <c r="A278" s="7"/>
      <c r="B278" s="7"/>
      <c r="C278" s="7"/>
      <c r="D278" s="7"/>
      <c r="E278" s="7">
        <v>507200</v>
      </c>
      <c r="F278" s="7"/>
      <c r="G278" s="7" t="s">
        <v>185</v>
      </c>
      <c r="H278" s="7"/>
      <c r="I278" s="27" t="s">
        <v>25</v>
      </c>
      <c r="J278" s="7"/>
      <c r="K278" s="27" t="s">
        <v>2208</v>
      </c>
      <c r="L278" s="7"/>
    </row>
    <row r="279" spans="1:12" x14ac:dyDescent="0.2">
      <c r="A279" s="7"/>
      <c r="B279" s="7"/>
      <c r="C279" s="7"/>
      <c r="D279" s="7"/>
      <c r="E279" s="7">
        <v>507210</v>
      </c>
      <c r="F279" s="7"/>
      <c r="G279" s="7" t="s">
        <v>186</v>
      </c>
      <c r="H279" s="7"/>
      <c r="I279" s="27" t="s">
        <v>25</v>
      </c>
      <c r="J279" s="7"/>
      <c r="K279" s="27" t="s">
        <v>2208</v>
      </c>
      <c r="L279" s="7"/>
    </row>
    <row r="280" spans="1:12" x14ac:dyDescent="0.2">
      <c r="A280" s="7"/>
      <c r="B280" s="7"/>
      <c r="C280" s="7"/>
      <c r="D280" s="7"/>
      <c r="E280" s="7">
        <v>507300</v>
      </c>
      <c r="F280" s="7"/>
      <c r="G280" s="7" t="s">
        <v>187</v>
      </c>
      <c r="H280" s="7"/>
      <c r="I280" s="27" t="s">
        <v>25</v>
      </c>
      <c r="J280" s="7"/>
      <c r="K280" s="27" t="s">
        <v>2208</v>
      </c>
      <c r="L280" s="7"/>
    </row>
    <row r="281" spans="1:12" x14ac:dyDescent="0.2">
      <c r="A281" s="7"/>
      <c r="B281" s="7"/>
      <c r="C281" s="7"/>
      <c r="D281" s="7"/>
      <c r="E281" s="7">
        <v>507350</v>
      </c>
      <c r="F281" s="7"/>
      <c r="G281" s="7" t="s">
        <v>188</v>
      </c>
      <c r="H281" s="7"/>
      <c r="I281" s="27" t="s">
        <v>25</v>
      </c>
      <c r="J281" s="7"/>
      <c r="K281" s="27" t="s">
        <v>2208</v>
      </c>
      <c r="L281" s="7"/>
    </row>
    <row r="282" spans="1:12" x14ac:dyDescent="0.2">
      <c r="A282" s="7"/>
      <c r="B282" s="7"/>
      <c r="C282" s="7"/>
      <c r="D282" s="7"/>
      <c r="E282" s="7">
        <v>507400</v>
      </c>
      <c r="F282" s="7"/>
      <c r="G282" s="7" t="s">
        <v>189</v>
      </c>
      <c r="H282" s="7"/>
      <c r="I282" s="27" t="s">
        <v>25</v>
      </c>
      <c r="J282" s="7"/>
      <c r="K282" s="27" t="s">
        <v>2208</v>
      </c>
      <c r="L282" s="7"/>
    </row>
    <row r="283" spans="1:12" x14ac:dyDescent="0.2">
      <c r="A283" s="7"/>
      <c r="B283" s="7"/>
      <c r="C283" s="7"/>
      <c r="D283" s="7"/>
      <c r="E283" s="7">
        <v>507450</v>
      </c>
      <c r="F283" s="7"/>
      <c r="G283" s="7" t="s">
        <v>190</v>
      </c>
      <c r="H283" s="7"/>
      <c r="I283" s="27" t="s">
        <v>25</v>
      </c>
      <c r="J283" s="7"/>
      <c r="K283" s="27" t="s">
        <v>2208</v>
      </c>
      <c r="L283" s="7"/>
    </row>
    <row r="284" spans="1:12" x14ac:dyDescent="0.2">
      <c r="A284" s="7"/>
      <c r="B284" s="7"/>
      <c r="C284" s="7"/>
      <c r="D284" s="7"/>
      <c r="E284" s="7">
        <v>507500</v>
      </c>
      <c r="F284" s="7"/>
      <c r="G284" s="7" t="s">
        <v>191</v>
      </c>
      <c r="H284" s="7"/>
      <c r="I284" s="27" t="s">
        <v>25</v>
      </c>
      <c r="J284" s="7"/>
      <c r="K284" s="27" t="s">
        <v>2208</v>
      </c>
      <c r="L284" s="7"/>
    </row>
    <row r="285" spans="1:12" x14ac:dyDescent="0.2">
      <c r="A285" s="7"/>
      <c r="B285" s="7"/>
      <c r="C285" s="7"/>
      <c r="D285" s="7"/>
      <c r="E285" s="7">
        <v>507600</v>
      </c>
      <c r="F285" s="7"/>
      <c r="G285" s="7" t="s">
        <v>192</v>
      </c>
      <c r="H285" s="7"/>
      <c r="I285" s="27" t="s">
        <v>25</v>
      </c>
      <c r="J285" s="7"/>
      <c r="K285" s="27" t="s">
        <v>2208</v>
      </c>
      <c r="L285" s="7"/>
    </row>
    <row r="286" spans="1:12" x14ac:dyDescent="0.2">
      <c r="A286" s="7"/>
      <c r="B286" s="7"/>
      <c r="C286" s="7"/>
      <c r="D286" s="7"/>
      <c r="E286" s="7">
        <v>508000</v>
      </c>
      <c r="F286" s="7"/>
      <c r="G286" s="7" t="s">
        <v>193</v>
      </c>
      <c r="H286" s="7"/>
      <c r="I286" s="27" t="s">
        <v>25</v>
      </c>
      <c r="J286" s="7"/>
      <c r="K286" s="27" t="s">
        <v>2208</v>
      </c>
      <c r="L286" s="7"/>
    </row>
    <row r="287" spans="1:12" x14ac:dyDescent="0.2">
      <c r="A287" s="7"/>
      <c r="B287" s="7"/>
      <c r="C287" s="7"/>
      <c r="D287" s="7"/>
      <c r="E287" s="7">
        <v>508010</v>
      </c>
      <c r="F287" s="7"/>
      <c r="G287" s="7" t="s">
        <v>194</v>
      </c>
      <c r="H287" s="7"/>
      <c r="I287" s="27" t="s">
        <v>25</v>
      </c>
      <c r="J287" s="7"/>
      <c r="K287" s="27" t="s">
        <v>2208</v>
      </c>
      <c r="L287" s="7"/>
    </row>
    <row r="288" spans="1:12" x14ac:dyDescent="0.2">
      <c r="A288" s="7"/>
      <c r="B288" s="7"/>
      <c r="C288" s="7"/>
      <c r="D288" s="7"/>
      <c r="E288" s="7">
        <v>513100</v>
      </c>
      <c r="F288" s="7"/>
      <c r="G288" s="7" t="s">
        <v>195</v>
      </c>
      <c r="H288" s="7"/>
      <c r="I288" s="27" t="s">
        <v>47</v>
      </c>
      <c r="J288" s="7"/>
      <c r="K288" s="27" t="s">
        <v>2208</v>
      </c>
      <c r="L288" s="7"/>
    </row>
    <row r="289" spans="1:12" x14ac:dyDescent="0.2">
      <c r="A289" s="7"/>
      <c r="B289" s="7"/>
      <c r="C289" s="7"/>
      <c r="D289" s="7"/>
      <c r="E289" s="7">
        <v>513150</v>
      </c>
      <c r="F289" s="7"/>
      <c r="G289" s="7" t="s">
        <v>196</v>
      </c>
      <c r="H289" s="7"/>
      <c r="I289" s="27" t="s">
        <v>71</v>
      </c>
      <c r="J289" s="7"/>
      <c r="K289" s="27" t="s">
        <v>2208</v>
      </c>
      <c r="L289" s="7"/>
    </row>
    <row r="290" spans="1:12" x14ac:dyDescent="0.2">
      <c r="A290" s="7"/>
      <c r="B290" s="7"/>
      <c r="C290" s="7"/>
      <c r="D290" s="7"/>
      <c r="E290" s="7">
        <v>514000</v>
      </c>
      <c r="F290" s="7"/>
      <c r="G290" s="7" t="s">
        <v>197</v>
      </c>
      <c r="H290" s="7"/>
      <c r="I290" s="27" t="s">
        <v>71</v>
      </c>
      <c r="J290" s="7"/>
      <c r="K290" s="27" t="s">
        <v>2208</v>
      </c>
      <c r="L290" s="7"/>
    </row>
    <row r="291" spans="1:12" x14ac:dyDescent="0.2">
      <c r="A291" s="7"/>
      <c r="B291" s="7"/>
      <c r="C291" s="7"/>
      <c r="D291" s="7"/>
      <c r="E291" s="7">
        <v>514010</v>
      </c>
      <c r="F291" s="7"/>
      <c r="G291" s="7" t="s">
        <v>198</v>
      </c>
      <c r="H291" s="7"/>
      <c r="I291" s="27" t="s">
        <v>71</v>
      </c>
      <c r="J291" s="7"/>
      <c r="K291" s="27" t="s">
        <v>2208</v>
      </c>
      <c r="L291" s="7"/>
    </row>
    <row r="292" spans="1:12" x14ac:dyDescent="0.2">
      <c r="A292" s="7"/>
      <c r="B292" s="7"/>
      <c r="C292" s="7"/>
      <c r="D292" s="7"/>
      <c r="E292" s="7">
        <v>514020</v>
      </c>
      <c r="F292" s="7"/>
      <c r="G292" s="7" t="s">
        <v>199</v>
      </c>
      <c r="H292" s="7"/>
      <c r="I292" s="27" t="s">
        <v>71</v>
      </c>
      <c r="J292" s="7"/>
      <c r="K292" s="27" t="s">
        <v>2208</v>
      </c>
      <c r="L292" s="7"/>
    </row>
    <row r="293" spans="1:12" x14ac:dyDescent="0.2">
      <c r="A293" s="7"/>
      <c r="B293" s="7"/>
      <c r="C293" s="7"/>
      <c r="D293" s="7"/>
      <c r="E293" s="7">
        <v>514030</v>
      </c>
      <c r="F293" s="7"/>
      <c r="G293" s="7" t="s">
        <v>200</v>
      </c>
      <c r="H293" s="7"/>
      <c r="I293" s="27" t="s">
        <v>71</v>
      </c>
      <c r="J293" s="7"/>
      <c r="K293" s="27" t="s">
        <v>2208</v>
      </c>
      <c r="L293" s="7"/>
    </row>
    <row r="294" spans="1:12" x14ac:dyDescent="0.2">
      <c r="A294" s="7"/>
      <c r="B294" s="7"/>
      <c r="C294" s="7"/>
      <c r="D294" s="7"/>
      <c r="E294" s="7">
        <v>514040</v>
      </c>
      <c r="F294" s="7"/>
      <c r="G294" s="7" t="s">
        <v>201</v>
      </c>
      <c r="H294" s="7"/>
      <c r="I294" s="27" t="s">
        <v>71</v>
      </c>
      <c r="J294" s="7"/>
      <c r="K294" s="27" t="s">
        <v>2208</v>
      </c>
      <c r="L294" s="7"/>
    </row>
    <row r="295" spans="1:12" x14ac:dyDescent="0.2">
      <c r="A295" s="7"/>
      <c r="B295" s="7"/>
      <c r="C295" s="7"/>
      <c r="D295" s="7"/>
      <c r="E295" s="7">
        <v>514050</v>
      </c>
      <c r="F295" s="7"/>
      <c r="G295" s="7" t="s">
        <v>202</v>
      </c>
      <c r="H295" s="7"/>
      <c r="I295" s="27" t="s">
        <v>71</v>
      </c>
      <c r="J295" s="7"/>
      <c r="K295" s="27" t="s">
        <v>2208</v>
      </c>
      <c r="L295" s="7"/>
    </row>
    <row r="296" spans="1:12" x14ac:dyDescent="0.2">
      <c r="A296" s="7"/>
      <c r="B296" s="7"/>
      <c r="C296" s="7"/>
      <c r="D296" s="7"/>
      <c r="E296" s="7">
        <v>514060</v>
      </c>
      <c r="F296" s="7"/>
      <c r="G296" s="7" t="s">
        <v>203</v>
      </c>
      <c r="H296" s="7"/>
      <c r="I296" s="27" t="s">
        <v>71</v>
      </c>
      <c r="J296" s="7"/>
      <c r="K296" s="27" t="s">
        <v>2208</v>
      </c>
      <c r="L296" s="7"/>
    </row>
    <row r="297" spans="1:12" x14ac:dyDescent="0.2">
      <c r="A297" s="7"/>
      <c r="B297" s="7"/>
      <c r="C297" s="7"/>
      <c r="D297" s="7"/>
      <c r="E297" s="7">
        <v>514070</v>
      </c>
      <c r="F297" s="7"/>
      <c r="G297" s="7" t="s">
        <v>204</v>
      </c>
      <c r="H297" s="7"/>
      <c r="I297" s="27" t="s">
        <v>71</v>
      </c>
      <c r="J297" s="7"/>
      <c r="K297" s="27" t="s">
        <v>2208</v>
      </c>
      <c r="L297" s="7"/>
    </row>
    <row r="298" spans="1:12" x14ac:dyDescent="0.2">
      <c r="A298" s="7"/>
      <c r="B298" s="7"/>
      <c r="C298" s="7"/>
      <c r="D298" s="7"/>
      <c r="E298" s="7">
        <v>514080</v>
      </c>
      <c r="F298" s="7"/>
      <c r="G298" s="7" t="s">
        <v>205</v>
      </c>
      <c r="H298" s="7"/>
      <c r="I298" s="27" t="s">
        <v>71</v>
      </c>
      <c r="J298" s="7"/>
      <c r="K298" s="27" t="s">
        <v>2208</v>
      </c>
      <c r="L298" s="7"/>
    </row>
    <row r="299" spans="1:12" x14ac:dyDescent="0.2">
      <c r="A299" s="7"/>
      <c r="B299" s="7"/>
      <c r="C299" s="7"/>
      <c r="D299" s="7"/>
      <c r="E299" s="7">
        <v>514090</v>
      </c>
      <c r="F299" s="7"/>
      <c r="G299" s="7" t="s">
        <v>206</v>
      </c>
      <c r="H299" s="7"/>
      <c r="I299" s="27" t="s">
        <v>71</v>
      </c>
      <c r="J299" s="7"/>
      <c r="K299" s="27" t="s">
        <v>2208</v>
      </c>
      <c r="L299" s="7"/>
    </row>
    <row r="300" spans="1:12" x14ac:dyDescent="0.2">
      <c r="A300" s="7"/>
      <c r="B300" s="7"/>
      <c r="C300" s="7"/>
      <c r="D300" s="7"/>
      <c r="E300" s="7">
        <v>514100</v>
      </c>
      <c r="F300" s="7"/>
      <c r="G300" s="7" t="s">
        <v>207</v>
      </c>
      <c r="H300" s="7"/>
      <c r="I300" s="27" t="s">
        <v>71</v>
      </c>
      <c r="J300" s="7"/>
      <c r="K300" s="27" t="s">
        <v>2208</v>
      </c>
      <c r="L300" s="7"/>
    </row>
    <row r="301" spans="1:12" x14ac:dyDescent="0.2">
      <c r="A301" s="7"/>
      <c r="B301" s="7"/>
      <c r="C301" s="7"/>
      <c r="D301" s="7"/>
      <c r="E301" s="7">
        <v>514110</v>
      </c>
      <c r="F301" s="7"/>
      <c r="G301" s="7" t="s">
        <v>208</v>
      </c>
      <c r="H301" s="7"/>
      <c r="I301" s="27" t="s">
        <v>71</v>
      </c>
      <c r="J301" s="7"/>
      <c r="K301" s="27" t="s">
        <v>2208</v>
      </c>
      <c r="L301" s="7"/>
    </row>
    <row r="302" spans="1:12" x14ac:dyDescent="0.2">
      <c r="A302" s="7"/>
      <c r="B302" s="7"/>
      <c r="C302" s="7"/>
      <c r="D302" s="7"/>
      <c r="E302" s="7">
        <v>514115</v>
      </c>
      <c r="F302" s="7"/>
      <c r="G302" s="7" t="s">
        <v>209</v>
      </c>
      <c r="H302" s="7"/>
      <c r="I302" s="27" t="s">
        <v>71</v>
      </c>
      <c r="J302" s="7"/>
      <c r="K302" s="27" t="s">
        <v>2208</v>
      </c>
      <c r="L302" s="7"/>
    </row>
    <row r="303" spans="1:12" x14ac:dyDescent="0.2">
      <c r="A303" s="7"/>
      <c r="B303" s="7"/>
      <c r="C303" s="7"/>
      <c r="D303" s="7"/>
      <c r="E303" s="7">
        <v>514120</v>
      </c>
      <c r="F303" s="7"/>
      <c r="G303" s="7" t="s">
        <v>210</v>
      </c>
      <c r="H303" s="7"/>
      <c r="I303" s="27" t="s">
        <v>71</v>
      </c>
      <c r="J303" s="7"/>
      <c r="K303" s="27" t="s">
        <v>2208</v>
      </c>
      <c r="L303" s="7"/>
    </row>
    <row r="304" spans="1:12" x14ac:dyDescent="0.2">
      <c r="A304" s="7"/>
      <c r="B304" s="7"/>
      <c r="C304" s="7"/>
      <c r="D304" s="7"/>
      <c r="E304" s="7">
        <v>514125</v>
      </c>
      <c r="F304" s="7"/>
      <c r="G304" s="7" t="s">
        <v>211</v>
      </c>
      <c r="H304" s="7"/>
      <c r="I304" s="27" t="s">
        <v>71</v>
      </c>
      <c r="J304" s="7"/>
      <c r="K304" s="27" t="s">
        <v>2208</v>
      </c>
      <c r="L304" s="7"/>
    </row>
    <row r="305" spans="1:12" x14ac:dyDescent="0.2">
      <c r="A305" s="7"/>
      <c r="B305" s="7"/>
      <c r="C305" s="7"/>
      <c r="D305" s="7"/>
      <c r="E305" s="7">
        <v>514135</v>
      </c>
      <c r="F305" s="7"/>
      <c r="G305" s="7" t="s">
        <v>212</v>
      </c>
      <c r="H305" s="7"/>
      <c r="I305" s="27" t="s">
        <v>47</v>
      </c>
      <c r="J305" s="7"/>
      <c r="K305" s="27" t="s">
        <v>2208</v>
      </c>
      <c r="L305" s="7"/>
    </row>
    <row r="306" spans="1:12" x14ac:dyDescent="0.2">
      <c r="A306" s="7"/>
      <c r="B306" s="7"/>
      <c r="C306" s="7"/>
      <c r="D306" s="7"/>
      <c r="E306" s="7">
        <v>514140</v>
      </c>
      <c r="F306" s="7"/>
      <c r="G306" s="7" t="s">
        <v>213</v>
      </c>
      <c r="H306" s="7"/>
      <c r="I306" s="27" t="s">
        <v>71</v>
      </c>
      <c r="J306" s="7"/>
      <c r="K306" s="27" t="s">
        <v>2208</v>
      </c>
      <c r="L306" s="7"/>
    </row>
    <row r="307" spans="1:12" x14ac:dyDescent="0.2">
      <c r="A307" s="7"/>
      <c r="B307" s="7"/>
      <c r="C307" s="7"/>
      <c r="D307" s="7"/>
      <c r="E307" s="7">
        <v>514180</v>
      </c>
      <c r="F307" s="7"/>
      <c r="G307" s="7" t="s">
        <v>214</v>
      </c>
      <c r="H307" s="7"/>
      <c r="I307" s="27" t="s">
        <v>71</v>
      </c>
      <c r="J307" s="7"/>
      <c r="K307" s="27" t="s">
        <v>2208</v>
      </c>
      <c r="L307" s="7"/>
    </row>
    <row r="308" spans="1:12" x14ac:dyDescent="0.2">
      <c r="A308" s="7"/>
      <c r="B308" s="7"/>
      <c r="C308" s="7"/>
      <c r="D308" s="7"/>
      <c r="E308" s="7">
        <v>514230</v>
      </c>
      <c r="F308" s="7"/>
      <c r="G308" s="7" t="s">
        <v>215</v>
      </c>
      <c r="H308" s="7"/>
      <c r="I308" s="27" t="s">
        <v>71</v>
      </c>
      <c r="J308" s="7"/>
      <c r="K308" s="27" t="s">
        <v>2208</v>
      </c>
      <c r="L308" s="7"/>
    </row>
    <row r="309" spans="1:12" x14ac:dyDescent="0.2">
      <c r="A309" s="7"/>
      <c r="B309" s="7"/>
      <c r="C309" s="7"/>
      <c r="D309" s="7"/>
      <c r="E309" s="7">
        <v>514240</v>
      </c>
      <c r="F309" s="7"/>
      <c r="G309" s="7" t="s">
        <v>216</v>
      </c>
      <c r="H309" s="7"/>
      <c r="I309" s="27" t="s">
        <v>71</v>
      </c>
      <c r="J309" s="7"/>
      <c r="K309" s="27" t="s">
        <v>2208</v>
      </c>
      <c r="L309" s="7"/>
    </row>
    <row r="310" spans="1:12" x14ac:dyDescent="0.2">
      <c r="A310" s="7"/>
      <c r="B310" s="7"/>
      <c r="C310" s="7"/>
      <c r="D310" s="7"/>
      <c r="E310" s="7">
        <v>514650</v>
      </c>
      <c r="F310" s="7"/>
      <c r="G310" s="7" t="s">
        <v>217</v>
      </c>
      <c r="H310" s="7"/>
      <c r="I310" s="27" t="s">
        <v>71</v>
      </c>
      <c r="J310" s="7"/>
      <c r="K310" s="27" t="s">
        <v>2208</v>
      </c>
      <c r="L310" s="7"/>
    </row>
    <row r="311" spans="1:12" x14ac:dyDescent="0.2">
      <c r="A311" s="7"/>
      <c r="B311" s="7"/>
      <c r="C311" s="7"/>
      <c r="D311" s="7"/>
      <c r="E311" s="7">
        <v>514660</v>
      </c>
      <c r="F311" s="7"/>
      <c r="G311" s="7" t="s">
        <v>218</v>
      </c>
      <c r="H311" s="7"/>
      <c r="I311" s="27" t="s">
        <v>71</v>
      </c>
      <c r="J311" s="7"/>
      <c r="K311" s="27" t="s">
        <v>2208</v>
      </c>
      <c r="L311" s="7"/>
    </row>
    <row r="312" spans="1:12" x14ac:dyDescent="0.2">
      <c r="A312" s="7"/>
      <c r="B312" s="7"/>
      <c r="C312" s="7"/>
      <c r="D312" s="7"/>
      <c r="E312" s="7">
        <v>514670</v>
      </c>
      <c r="F312" s="7"/>
      <c r="G312" s="7" t="s">
        <v>212</v>
      </c>
      <c r="H312" s="7"/>
      <c r="I312" s="27" t="s">
        <v>47</v>
      </c>
      <c r="J312" s="7"/>
      <c r="K312" s="27" t="s">
        <v>2208</v>
      </c>
      <c r="L312" s="7"/>
    </row>
    <row r="313" spans="1:12" x14ac:dyDescent="0.2">
      <c r="A313" s="7"/>
      <c r="B313" s="7"/>
      <c r="C313" s="7"/>
      <c r="D313" s="7"/>
      <c r="E313" s="7">
        <v>514680</v>
      </c>
      <c r="F313" s="7"/>
      <c r="G313" s="7" t="s">
        <v>212</v>
      </c>
      <c r="H313" s="7"/>
      <c r="I313" s="27" t="s">
        <v>47</v>
      </c>
      <c r="J313" s="7"/>
      <c r="K313" s="27" t="s">
        <v>2208</v>
      </c>
      <c r="L313" s="7"/>
    </row>
    <row r="314" spans="1:12" x14ac:dyDescent="0.2">
      <c r="A314" s="7"/>
      <c r="B314" s="7"/>
      <c r="C314" s="7"/>
      <c r="D314" s="7"/>
      <c r="E314" s="10">
        <v>514770</v>
      </c>
      <c r="F314" s="7"/>
      <c r="G314" s="7" t="s">
        <v>219</v>
      </c>
      <c r="H314" s="7"/>
      <c r="I314" s="27" t="s">
        <v>47</v>
      </c>
      <c r="J314" s="7"/>
      <c r="K314" s="27" t="s">
        <v>2208</v>
      </c>
      <c r="L314" s="7"/>
    </row>
    <row r="315" spans="1:12" x14ac:dyDescent="0.2">
      <c r="A315" s="7"/>
      <c r="B315" s="7"/>
      <c r="C315" s="7"/>
      <c r="D315" s="7"/>
      <c r="E315" s="7">
        <v>515304</v>
      </c>
      <c r="F315" s="7"/>
      <c r="G315" s="7" t="s">
        <v>212</v>
      </c>
      <c r="H315" s="7"/>
      <c r="I315" s="27" t="s">
        <v>47</v>
      </c>
      <c r="J315" s="7"/>
      <c r="K315" s="27" t="s">
        <v>2208</v>
      </c>
      <c r="L315" s="7"/>
    </row>
    <row r="316" spans="1:12" x14ac:dyDescent="0.2">
      <c r="A316" s="7"/>
      <c r="B316" s="7"/>
      <c r="C316" s="7"/>
      <c r="D316" s="7"/>
      <c r="E316" s="7">
        <v>520100</v>
      </c>
      <c r="F316" s="7"/>
      <c r="G316" s="7" t="s">
        <v>220</v>
      </c>
      <c r="H316" s="7"/>
      <c r="I316" s="27" t="s">
        <v>47</v>
      </c>
      <c r="J316" s="7"/>
      <c r="K316" s="27" t="s">
        <v>2208</v>
      </c>
      <c r="L316" s="7"/>
    </row>
    <row r="317" spans="1:12" x14ac:dyDescent="0.2">
      <c r="A317" s="7"/>
      <c r="B317" s="7"/>
      <c r="C317" s="7"/>
      <c r="D317" s="7"/>
      <c r="E317" s="7">
        <v>520102</v>
      </c>
      <c r="F317" s="7"/>
      <c r="G317" s="7" t="s">
        <v>221</v>
      </c>
      <c r="H317" s="7"/>
      <c r="I317" s="27" t="s">
        <v>47</v>
      </c>
      <c r="J317" s="7"/>
      <c r="K317" s="27" t="s">
        <v>2208</v>
      </c>
      <c r="L317" s="7"/>
    </row>
    <row r="318" spans="1:12" x14ac:dyDescent="0.2">
      <c r="A318" s="7"/>
      <c r="B318" s="7"/>
      <c r="C318" s="7"/>
      <c r="D318" s="7"/>
      <c r="E318" s="7">
        <v>520103</v>
      </c>
      <c r="F318" s="7"/>
      <c r="G318" s="7" t="s">
        <v>222</v>
      </c>
      <c r="H318" s="7"/>
      <c r="I318" s="27" t="s">
        <v>47</v>
      </c>
      <c r="J318" s="7"/>
      <c r="K318" s="27" t="s">
        <v>2208</v>
      </c>
      <c r="L318" s="7"/>
    </row>
    <row r="319" spans="1:12" x14ac:dyDescent="0.2">
      <c r="A319" s="7"/>
      <c r="B319" s="7"/>
      <c r="C319" s="7"/>
      <c r="D319" s="7"/>
      <c r="E319" s="7">
        <v>520150</v>
      </c>
      <c r="F319" s="7"/>
      <c r="G319" s="7" t="s">
        <v>223</v>
      </c>
      <c r="H319" s="7"/>
      <c r="I319" s="27" t="s">
        <v>47</v>
      </c>
      <c r="J319" s="7"/>
      <c r="K319" s="27" t="s">
        <v>2208</v>
      </c>
      <c r="L319" s="7"/>
    </row>
    <row r="320" spans="1:12" x14ac:dyDescent="0.2">
      <c r="A320" s="7"/>
      <c r="B320" s="7"/>
      <c r="C320" s="7"/>
      <c r="D320" s="7"/>
      <c r="E320" s="7">
        <v>520200</v>
      </c>
      <c r="F320" s="7"/>
      <c r="G320" s="7" t="s">
        <v>224</v>
      </c>
      <c r="H320" s="7"/>
      <c r="I320" s="27" t="s">
        <v>47</v>
      </c>
      <c r="J320" s="7"/>
      <c r="K320" s="27" t="s">
        <v>2208</v>
      </c>
      <c r="L320" s="7"/>
    </row>
    <row r="321" spans="1:12" x14ac:dyDescent="0.2">
      <c r="A321" s="7"/>
      <c r="B321" s="7"/>
      <c r="C321" s="7"/>
      <c r="D321" s="7"/>
      <c r="E321" s="7">
        <v>522100</v>
      </c>
      <c r="F321" s="7"/>
      <c r="G321" s="7" t="s">
        <v>225</v>
      </c>
      <c r="H321" s="7"/>
      <c r="I321" s="27" t="s">
        <v>47</v>
      </c>
      <c r="J321" s="7"/>
      <c r="K321" s="27" t="s">
        <v>2208</v>
      </c>
      <c r="L321" s="7"/>
    </row>
    <row r="322" spans="1:12" x14ac:dyDescent="0.2">
      <c r="A322" s="7"/>
      <c r="B322" s="7"/>
      <c r="C322" s="7"/>
      <c r="D322" s="7"/>
      <c r="E322" s="7">
        <v>522200</v>
      </c>
      <c r="F322" s="7"/>
      <c r="G322" s="7" t="s">
        <v>226</v>
      </c>
      <c r="H322" s="7"/>
      <c r="I322" s="27" t="s">
        <v>47</v>
      </c>
      <c r="J322" s="7"/>
      <c r="K322" s="27" t="s">
        <v>2208</v>
      </c>
      <c r="L322" s="7"/>
    </row>
    <row r="323" spans="1:12" x14ac:dyDescent="0.2">
      <c r="A323" s="7"/>
      <c r="B323" s="7"/>
      <c r="C323" s="7"/>
      <c r="D323" s="7"/>
      <c r="E323" s="7">
        <v>522300</v>
      </c>
      <c r="F323" s="7"/>
      <c r="G323" s="7" t="s">
        <v>227</v>
      </c>
      <c r="H323" s="7"/>
      <c r="I323" s="27" t="s">
        <v>47</v>
      </c>
      <c r="J323" s="7"/>
      <c r="K323" s="27" t="s">
        <v>2208</v>
      </c>
      <c r="L323" s="7"/>
    </row>
    <row r="324" spans="1:12" x14ac:dyDescent="0.2">
      <c r="A324" s="7"/>
      <c r="B324" s="7"/>
      <c r="C324" s="7"/>
      <c r="D324" s="7"/>
      <c r="E324" s="7">
        <v>523100</v>
      </c>
      <c r="F324" s="7"/>
      <c r="G324" s="7" t="s">
        <v>228</v>
      </c>
      <c r="H324" s="7"/>
      <c r="I324" s="27" t="s">
        <v>47</v>
      </c>
      <c r="J324" s="7"/>
      <c r="K324" s="27" t="s">
        <v>2208</v>
      </c>
      <c r="L324" s="7"/>
    </row>
    <row r="325" spans="1:12" x14ac:dyDescent="0.2">
      <c r="A325" s="7"/>
      <c r="B325" s="7"/>
      <c r="C325" s="7"/>
      <c r="D325" s="7"/>
      <c r="E325" s="7">
        <v>523300</v>
      </c>
      <c r="F325" s="7"/>
      <c r="G325" s="7" t="s">
        <v>229</v>
      </c>
      <c r="H325" s="7"/>
      <c r="I325" s="27" t="s">
        <v>47</v>
      </c>
      <c r="J325" s="7"/>
      <c r="K325" s="27" t="s">
        <v>2208</v>
      </c>
      <c r="L325" s="7"/>
    </row>
    <row r="326" spans="1:12" x14ac:dyDescent="0.2">
      <c r="A326" s="7"/>
      <c r="B326" s="7"/>
      <c r="C326" s="7"/>
      <c r="D326" s="7"/>
      <c r="E326" s="7">
        <v>524100</v>
      </c>
      <c r="F326" s="7"/>
      <c r="G326" s="7" t="s">
        <v>230</v>
      </c>
      <c r="H326" s="7"/>
      <c r="I326" s="27" t="s">
        <v>47</v>
      </c>
      <c r="J326" s="7"/>
      <c r="K326" s="27" t="s">
        <v>2208</v>
      </c>
      <c r="L326" s="7"/>
    </row>
    <row r="327" spans="1:12" x14ac:dyDescent="0.2">
      <c r="A327" s="7"/>
      <c r="B327" s="7"/>
      <c r="C327" s="7"/>
      <c r="D327" s="7"/>
      <c r="E327" s="7">
        <v>524110</v>
      </c>
      <c r="F327" s="7"/>
      <c r="G327" s="7" t="s">
        <v>231</v>
      </c>
      <c r="H327" s="7"/>
      <c r="I327" s="27" t="s">
        <v>47</v>
      </c>
      <c r="J327" s="7"/>
      <c r="K327" s="27" t="s">
        <v>2208</v>
      </c>
      <c r="L327" s="7"/>
    </row>
    <row r="328" spans="1:12" x14ac:dyDescent="0.2">
      <c r="A328" s="7"/>
      <c r="B328" s="7"/>
      <c r="C328" s="7"/>
      <c r="D328" s="7"/>
      <c r="E328" s="7">
        <v>524120</v>
      </c>
      <c r="F328" s="7"/>
      <c r="G328" s="7" t="s">
        <v>232</v>
      </c>
      <c r="H328" s="7"/>
      <c r="I328" s="27" t="s">
        <v>47</v>
      </c>
      <c r="J328" s="7"/>
      <c r="K328" s="27" t="s">
        <v>2208</v>
      </c>
      <c r="L328" s="7"/>
    </row>
    <row r="329" spans="1:12" x14ac:dyDescent="0.2">
      <c r="A329" s="7"/>
      <c r="B329" s="7"/>
      <c r="C329" s="7"/>
      <c r="D329" s="7"/>
      <c r="E329" s="7">
        <v>524200</v>
      </c>
      <c r="F329" s="7"/>
      <c r="G329" s="7" t="s">
        <v>233</v>
      </c>
      <c r="H329" s="7"/>
      <c r="I329" s="27" t="s">
        <v>47</v>
      </c>
      <c r="J329" s="7"/>
      <c r="K329" s="27" t="s">
        <v>2208</v>
      </c>
      <c r="L329" s="7"/>
    </row>
    <row r="330" spans="1:12" x14ac:dyDescent="0.2">
      <c r="A330" s="7"/>
      <c r="B330" s="7"/>
      <c r="C330" s="7"/>
      <c r="D330" s="7"/>
      <c r="E330" s="7">
        <v>524300</v>
      </c>
      <c r="F330" s="7"/>
      <c r="G330" s="7" t="s">
        <v>234</v>
      </c>
      <c r="H330" s="7"/>
      <c r="I330" s="27" t="s">
        <v>47</v>
      </c>
      <c r="J330" s="7"/>
      <c r="K330" s="27" t="s">
        <v>2208</v>
      </c>
      <c r="L330" s="7"/>
    </row>
    <row r="331" spans="1:12" x14ac:dyDescent="0.2">
      <c r="A331" s="7"/>
      <c r="B331" s="7"/>
      <c r="C331" s="7"/>
      <c r="D331" s="7"/>
      <c r="E331" s="7">
        <v>525000</v>
      </c>
      <c r="F331" s="7"/>
      <c r="G331" s="7" t="s">
        <v>235</v>
      </c>
      <c r="H331" s="7"/>
      <c r="I331" s="27" t="s">
        <v>47</v>
      </c>
      <c r="J331" s="7"/>
      <c r="K331" s="27" t="s">
        <v>2208</v>
      </c>
      <c r="L331" s="7"/>
    </row>
    <row r="332" spans="1:12" x14ac:dyDescent="0.2">
      <c r="A332" s="7"/>
      <c r="B332" s="7"/>
      <c r="C332" s="7"/>
      <c r="D332" s="7"/>
      <c r="E332" s="7">
        <v>527000</v>
      </c>
      <c r="F332" s="7"/>
      <c r="G332" s="7" t="s">
        <v>236</v>
      </c>
      <c r="H332" s="7"/>
      <c r="I332" s="27" t="s">
        <v>47</v>
      </c>
      <c r="J332" s="7"/>
      <c r="K332" s="27" t="s">
        <v>2208</v>
      </c>
      <c r="L332" s="7"/>
    </row>
    <row r="333" spans="1:12" x14ac:dyDescent="0.2">
      <c r="A333" s="7"/>
      <c r="B333" s="7"/>
      <c r="C333" s="7"/>
      <c r="D333" s="7"/>
      <c r="E333" s="7">
        <v>527500</v>
      </c>
      <c r="F333" s="7"/>
      <c r="G333" s="7" t="s">
        <v>237</v>
      </c>
      <c r="H333" s="7"/>
      <c r="I333" s="27" t="s">
        <v>47</v>
      </c>
      <c r="J333" s="7"/>
      <c r="K333" s="27" t="s">
        <v>2208</v>
      </c>
      <c r="L333" s="7"/>
    </row>
    <row r="334" spans="1:12" x14ac:dyDescent="0.2">
      <c r="A334" s="7"/>
      <c r="B334" s="7"/>
      <c r="C334" s="7"/>
      <c r="D334" s="7"/>
      <c r="E334" s="7">
        <v>528000</v>
      </c>
      <c r="F334" s="7"/>
      <c r="G334" s="7" t="s">
        <v>238</v>
      </c>
      <c r="H334" s="7"/>
      <c r="I334" s="27" t="s">
        <v>47</v>
      </c>
      <c r="J334" s="7"/>
      <c r="K334" s="27" t="s">
        <v>2208</v>
      </c>
      <c r="L334" s="7"/>
    </row>
    <row r="335" spans="1:12" x14ac:dyDescent="0.2">
      <c r="A335" s="7"/>
      <c r="B335" s="7"/>
      <c r="C335" s="7"/>
      <c r="D335" s="7"/>
      <c r="E335" s="7">
        <v>528100</v>
      </c>
      <c r="F335" s="7"/>
      <c r="G335" s="7" t="s">
        <v>239</v>
      </c>
      <c r="H335" s="7"/>
      <c r="I335" s="27" t="s">
        <v>47</v>
      </c>
      <c r="J335" s="7"/>
      <c r="K335" s="27" t="s">
        <v>2208</v>
      </c>
      <c r="L335" s="7"/>
    </row>
    <row r="336" spans="1:12" x14ac:dyDescent="0.2">
      <c r="A336" s="7"/>
      <c r="B336" s="7"/>
      <c r="C336" s="7"/>
      <c r="D336" s="7"/>
      <c r="E336" s="7">
        <v>528200</v>
      </c>
      <c r="F336" s="7"/>
      <c r="G336" s="7" t="s">
        <v>212</v>
      </c>
      <c r="H336" s="7"/>
      <c r="I336" s="27" t="s">
        <v>47</v>
      </c>
      <c r="J336" s="7"/>
      <c r="K336" s="27" t="s">
        <v>2208</v>
      </c>
      <c r="L336" s="7"/>
    </row>
    <row r="337" spans="1:12" x14ac:dyDescent="0.2">
      <c r="A337" s="7"/>
      <c r="B337" s="7"/>
      <c r="C337" s="7"/>
      <c r="D337" s="7"/>
      <c r="E337" s="7">
        <v>528500</v>
      </c>
      <c r="F337" s="7"/>
      <c r="G337" s="7" t="s">
        <v>240</v>
      </c>
      <c r="H337" s="7"/>
      <c r="I337" s="27" t="s">
        <v>71</v>
      </c>
      <c r="J337" s="7"/>
      <c r="K337" s="27" t="s">
        <v>2208</v>
      </c>
      <c r="L337" s="7"/>
    </row>
    <row r="338" spans="1:12" x14ac:dyDescent="0.2">
      <c r="A338" s="7"/>
      <c r="B338" s="7"/>
      <c r="C338" s="7"/>
      <c r="D338" s="7"/>
      <c r="E338" s="7">
        <v>528501</v>
      </c>
      <c r="F338" s="7"/>
      <c r="G338" s="7" t="s">
        <v>241</v>
      </c>
      <c r="H338" s="7"/>
      <c r="I338" s="27" t="s">
        <v>71</v>
      </c>
      <c r="J338" s="7"/>
      <c r="K338" s="27" t="s">
        <v>2208</v>
      </c>
      <c r="L338" s="7"/>
    </row>
    <row r="339" spans="1:12" x14ac:dyDescent="0.2">
      <c r="A339" s="7"/>
      <c r="B339" s="7"/>
      <c r="C339" s="7"/>
      <c r="D339" s="7"/>
      <c r="E339" s="7">
        <v>531000</v>
      </c>
      <c r="F339" s="7"/>
      <c r="G339" s="7" t="s">
        <v>242</v>
      </c>
      <c r="H339" s="7"/>
      <c r="I339" s="27" t="s">
        <v>71</v>
      </c>
      <c r="J339" s="7"/>
      <c r="K339" s="27" t="s">
        <v>2208</v>
      </c>
      <c r="L339" s="7"/>
    </row>
    <row r="340" spans="1:12" x14ac:dyDescent="0.2">
      <c r="A340" s="7"/>
      <c r="B340" s="7"/>
      <c r="C340" s="7"/>
      <c r="D340" s="7"/>
      <c r="E340" s="7">
        <v>531020</v>
      </c>
      <c r="F340" s="7"/>
      <c r="G340" s="7" t="s">
        <v>219</v>
      </c>
      <c r="H340" s="7"/>
      <c r="I340" s="27" t="s">
        <v>133</v>
      </c>
      <c r="J340" s="7"/>
      <c r="K340" s="27" t="s">
        <v>2208</v>
      </c>
      <c r="L340" s="7"/>
    </row>
    <row r="341" spans="1:12" x14ac:dyDescent="0.2">
      <c r="A341" s="7"/>
      <c r="B341" s="7"/>
      <c r="C341" s="7"/>
      <c r="D341" s="7"/>
      <c r="E341" s="7">
        <v>531030</v>
      </c>
      <c r="F341" s="7"/>
      <c r="G341" s="7" t="s">
        <v>243</v>
      </c>
      <c r="H341" s="7"/>
      <c r="I341" s="27" t="s">
        <v>71</v>
      </c>
      <c r="J341" s="7"/>
      <c r="K341" s="27" t="s">
        <v>2208</v>
      </c>
      <c r="L341" s="7"/>
    </row>
    <row r="342" spans="1:12" x14ac:dyDescent="0.2">
      <c r="A342" s="7"/>
      <c r="B342" s="7"/>
      <c r="C342" s="7"/>
      <c r="D342" s="7"/>
      <c r="E342" s="7">
        <v>531035</v>
      </c>
      <c r="F342" s="7"/>
      <c r="G342" s="7" t="s">
        <v>244</v>
      </c>
      <c r="H342" s="7"/>
      <c r="I342" s="27" t="s">
        <v>133</v>
      </c>
      <c r="J342" s="7"/>
      <c r="K342" s="27" t="s">
        <v>2208</v>
      </c>
      <c r="L342" s="7"/>
    </row>
    <row r="343" spans="1:12" x14ac:dyDescent="0.2">
      <c r="A343" s="7"/>
      <c r="B343" s="7"/>
      <c r="C343" s="7"/>
      <c r="D343" s="7"/>
      <c r="E343" s="7">
        <v>531040</v>
      </c>
      <c r="F343" s="7"/>
      <c r="G343" s="7" t="s">
        <v>245</v>
      </c>
      <c r="H343" s="7"/>
      <c r="I343" s="27" t="s">
        <v>133</v>
      </c>
      <c r="J343" s="7"/>
      <c r="K343" s="27" t="s">
        <v>2208</v>
      </c>
      <c r="L343" s="7"/>
    </row>
    <row r="344" spans="1:12" x14ac:dyDescent="0.2">
      <c r="A344" s="7"/>
      <c r="B344" s="7"/>
      <c r="C344" s="7"/>
      <c r="D344" s="7"/>
      <c r="E344" s="7">
        <v>531045</v>
      </c>
      <c r="F344" s="7"/>
      <c r="G344" s="7" t="s">
        <v>246</v>
      </c>
      <c r="H344" s="7"/>
      <c r="I344" s="27" t="s">
        <v>71</v>
      </c>
      <c r="J344" s="7"/>
      <c r="K344" s="27" t="s">
        <v>2208</v>
      </c>
      <c r="L344" s="7"/>
    </row>
    <row r="345" spans="1:12" x14ac:dyDescent="0.2">
      <c r="A345" s="7"/>
      <c r="B345" s="7"/>
      <c r="C345" s="7"/>
      <c r="D345" s="7"/>
      <c r="E345" s="7">
        <v>531050</v>
      </c>
      <c r="F345" s="7"/>
      <c r="G345" s="7" t="s">
        <v>247</v>
      </c>
      <c r="H345" s="7"/>
      <c r="I345" s="27" t="s">
        <v>133</v>
      </c>
      <c r="J345" s="7"/>
      <c r="K345" s="27" t="s">
        <v>2208</v>
      </c>
      <c r="L345" s="7"/>
    </row>
    <row r="346" spans="1:12" x14ac:dyDescent="0.2">
      <c r="A346" s="7"/>
      <c r="B346" s="7"/>
      <c r="C346" s="7"/>
      <c r="D346" s="7"/>
      <c r="E346" s="7">
        <v>531060</v>
      </c>
      <c r="F346" s="7"/>
      <c r="G346" s="7" t="s">
        <v>248</v>
      </c>
      <c r="H346" s="7"/>
      <c r="I346" s="27" t="s">
        <v>71</v>
      </c>
      <c r="J346" s="7"/>
      <c r="K346" s="27" t="s">
        <v>2208</v>
      </c>
      <c r="L346" s="7"/>
    </row>
    <row r="347" spans="1:12" x14ac:dyDescent="0.2">
      <c r="A347" s="7"/>
      <c r="B347" s="7"/>
      <c r="C347" s="7"/>
      <c r="D347" s="7"/>
      <c r="E347" s="7">
        <v>531080</v>
      </c>
      <c r="F347" s="7"/>
      <c r="G347" s="7" t="s">
        <v>249</v>
      </c>
      <c r="H347" s="7"/>
      <c r="I347" s="27" t="s">
        <v>71</v>
      </c>
      <c r="J347" s="7"/>
      <c r="K347" s="27" t="s">
        <v>2208</v>
      </c>
      <c r="L347" s="7"/>
    </row>
    <row r="348" spans="1:12" x14ac:dyDescent="0.2">
      <c r="A348" s="7"/>
      <c r="B348" s="7"/>
      <c r="C348" s="7"/>
      <c r="D348" s="7"/>
      <c r="E348" s="7">
        <v>531200</v>
      </c>
      <c r="F348" s="7"/>
      <c r="G348" s="7" t="s">
        <v>250</v>
      </c>
      <c r="H348" s="7"/>
      <c r="I348" s="27" t="s">
        <v>71</v>
      </c>
      <c r="J348" s="7"/>
      <c r="K348" s="27" t="s">
        <v>2208</v>
      </c>
      <c r="L348" s="7"/>
    </row>
    <row r="349" spans="1:12" x14ac:dyDescent="0.2">
      <c r="A349" s="7"/>
      <c r="B349" s="7"/>
      <c r="C349" s="7"/>
      <c r="D349" s="7"/>
      <c r="E349" s="7">
        <v>531201</v>
      </c>
      <c r="F349" s="7"/>
      <c r="G349" s="7" t="s">
        <v>251</v>
      </c>
      <c r="H349" s="7"/>
      <c r="I349" s="27" t="s">
        <v>71</v>
      </c>
      <c r="J349" s="7"/>
      <c r="K349" s="27" t="s">
        <v>2208</v>
      </c>
      <c r="L349" s="7"/>
    </row>
    <row r="350" spans="1:12" x14ac:dyDescent="0.2">
      <c r="A350" s="7"/>
      <c r="B350" s="7"/>
      <c r="C350" s="7"/>
      <c r="D350" s="7"/>
      <c r="E350" s="7">
        <v>531210</v>
      </c>
      <c r="F350" s="7"/>
      <c r="G350" s="7" t="s">
        <v>252</v>
      </c>
      <c r="H350" s="7"/>
      <c r="I350" s="27" t="s">
        <v>133</v>
      </c>
      <c r="J350" s="7"/>
      <c r="K350" s="27" t="s">
        <v>2208</v>
      </c>
      <c r="L350" s="7"/>
    </row>
    <row r="351" spans="1:12" x14ac:dyDescent="0.2">
      <c r="A351" s="7"/>
      <c r="B351" s="7"/>
      <c r="C351" s="7"/>
      <c r="D351" s="7"/>
      <c r="E351" s="7">
        <v>531211</v>
      </c>
      <c r="F351" s="7"/>
      <c r="G351" s="7" t="s">
        <v>253</v>
      </c>
      <c r="H351" s="7"/>
      <c r="I351" s="27" t="s">
        <v>133</v>
      </c>
      <c r="J351" s="7"/>
      <c r="K351" s="27" t="s">
        <v>2208</v>
      </c>
      <c r="L351" s="7"/>
    </row>
    <row r="352" spans="1:12" x14ac:dyDescent="0.2">
      <c r="A352" s="7"/>
      <c r="B352" s="7"/>
      <c r="C352" s="7"/>
      <c r="D352" s="7"/>
      <c r="E352" s="7">
        <v>531215</v>
      </c>
      <c r="F352" s="7"/>
      <c r="G352" s="7" t="s">
        <v>254</v>
      </c>
      <c r="H352" s="7"/>
      <c r="I352" s="27" t="s">
        <v>71</v>
      </c>
      <c r="J352" s="7"/>
      <c r="K352" s="27" t="s">
        <v>2208</v>
      </c>
      <c r="L352" s="7"/>
    </row>
    <row r="353" spans="1:12" x14ac:dyDescent="0.2">
      <c r="A353" s="7"/>
      <c r="B353" s="7"/>
      <c r="C353" s="7"/>
      <c r="D353" s="7"/>
      <c r="E353" s="7">
        <v>531400</v>
      </c>
      <c r="F353" s="7"/>
      <c r="G353" s="7" t="s">
        <v>255</v>
      </c>
      <c r="H353" s="7"/>
      <c r="I353" s="27" t="s">
        <v>71</v>
      </c>
      <c r="J353" s="7"/>
      <c r="K353" s="27" t="s">
        <v>2208</v>
      </c>
      <c r="L353" s="7"/>
    </row>
    <row r="354" spans="1:12" x14ac:dyDescent="0.2">
      <c r="A354" s="7"/>
      <c r="B354" s="7"/>
      <c r="C354" s="7"/>
      <c r="D354" s="7"/>
      <c r="E354" s="7">
        <v>531464</v>
      </c>
      <c r="F354" s="7"/>
      <c r="G354" s="7" t="s">
        <v>256</v>
      </c>
      <c r="H354" s="7"/>
      <c r="I354" s="27" t="s">
        <v>71</v>
      </c>
      <c r="J354" s="7"/>
      <c r="K354" s="27" t="s">
        <v>2208</v>
      </c>
      <c r="L354" s="7"/>
    </row>
    <row r="355" spans="1:12" x14ac:dyDescent="0.2">
      <c r="A355" s="7"/>
      <c r="B355" s="7"/>
      <c r="C355" s="7"/>
      <c r="D355" s="7"/>
      <c r="E355" s="7">
        <v>531465</v>
      </c>
      <c r="F355" s="7"/>
      <c r="G355" s="7" t="s">
        <v>257</v>
      </c>
      <c r="H355" s="7"/>
      <c r="I355" s="27" t="s">
        <v>71</v>
      </c>
      <c r="J355" s="7"/>
      <c r="K355" s="27" t="s">
        <v>2208</v>
      </c>
      <c r="L355" s="7"/>
    </row>
    <row r="356" spans="1:12" x14ac:dyDescent="0.2">
      <c r="A356" s="7"/>
      <c r="B356" s="7"/>
      <c r="C356" s="7"/>
      <c r="D356" s="7"/>
      <c r="E356" s="7">
        <v>531466</v>
      </c>
      <c r="F356" s="7"/>
      <c r="G356" s="7" t="s">
        <v>258</v>
      </c>
      <c r="H356" s="7"/>
      <c r="I356" s="27" t="s">
        <v>71</v>
      </c>
      <c r="J356" s="7"/>
      <c r="K356" s="27" t="s">
        <v>2208</v>
      </c>
      <c r="L356" s="7"/>
    </row>
    <row r="357" spans="1:12" x14ac:dyDescent="0.2">
      <c r="A357" s="7"/>
      <c r="B357" s="7"/>
      <c r="C357" s="7"/>
      <c r="D357" s="7"/>
      <c r="E357" s="7">
        <v>531467</v>
      </c>
      <c r="F357" s="7"/>
      <c r="G357" s="7" t="s">
        <v>259</v>
      </c>
      <c r="H357" s="7"/>
      <c r="I357" s="27" t="s">
        <v>71</v>
      </c>
      <c r="J357" s="7"/>
      <c r="K357" s="27" t="s">
        <v>2208</v>
      </c>
      <c r="L357" s="7"/>
    </row>
    <row r="358" spans="1:12" x14ac:dyDescent="0.2">
      <c r="A358" s="7"/>
      <c r="B358" s="7"/>
      <c r="C358" s="7"/>
      <c r="D358" s="7"/>
      <c r="E358" s="7">
        <v>531468</v>
      </c>
      <c r="F358" s="7"/>
      <c r="G358" s="7" t="s">
        <v>260</v>
      </c>
      <c r="H358" s="7"/>
      <c r="I358" s="27" t="s">
        <v>71</v>
      </c>
      <c r="J358" s="7"/>
      <c r="K358" s="27" t="s">
        <v>2208</v>
      </c>
      <c r="L358" s="7"/>
    </row>
    <row r="359" spans="1:12" x14ac:dyDescent="0.2">
      <c r="A359" s="7"/>
      <c r="B359" s="7"/>
      <c r="C359" s="7"/>
      <c r="D359" s="7"/>
      <c r="E359" s="7">
        <v>531469</v>
      </c>
      <c r="F359" s="7"/>
      <c r="G359" s="7" t="s">
        <v>261</v>
      </c>
      <c r="H359" s="7"/>
      <c r="I359" s="27" t="s">
        <v>133</v>
      </c>
      <c r="J359" s="7"/>
      <c r="K359" s="27" t="s">
        <v>2208</v>
      </c>
      <c r="L359" s="7"/>
    </row>
    <row r="360" spans="1:12" x14ac:dyDescent="0.2">
      <c r="A360" s="7"/>
      <c r="B360" s="7"/>
      <c r="C360" s="7"/>
      <c r="D360" s="7"/>
      <c r="E360" s="7">
        <v>531471</v>
      </c>
      <c r="F360" s="7"/>
      <c r="G360" s="7" t="s">
        <v>262</v>
      </c>
      <c r="H360" s="7"/>
      <c r="I360" s="27" t="s">
        <v>71</v>
      </c>
      <c r="J360" s="7"/>
      <c r="K360" s="27" t="s">
        <v>2208</v>
      </c>
      <c r="L360" s="7"/>
    </row>
    <row r="361" spans="1:12" x14ac:dyDescent="0.2">
      <c r="A361" s="7"/>
      <c r="B361" s="7"/>
      <c r="C361" s="7"/>
      <c r="D361" s="7"/>
      <c r="E361" s="7">
        <v>531472</v>
      </c>
      <c r="F361" s="7"/>
      <c r="G361" s="7" t="s">
        <v>263</v>
      </c>
      <c r="H361" s="7"/>
      <c r="I361" s="27" t="s">
        <v>71</v>
      </c>
      <c r="J361" s="7"/>
      <c r="K361" s="27" t="s">
        <v>2208</v>
      </c>
      <c r="L361" s="7"/>
    </row>
    <row r="362" spans="1:12" x14ac:dyDescent="0.2">
      <c r="A362" s="7"/>
      <c r="B362" s="7"/>
      <c r="C362" s="7"/>
      <c r="D362" s="7"/>
      <c r="E362" s="7">
        <v>531473</v>
      </c>
      <c r="F362" s="7"/>
      <c r="G362" s="7" t="s">
        <v>264</v>
      </c>
      <c r="H362" s="7"/>
      <c r="I362" s="27" t="s">
        <v>71</v>
      </c>
      <c r="J362" s="7"/>
      <c r="K362" s="27" t="s">
        <v>2208</v>
      </c>
      <c r="L362" s="7"/>
    </row>
    <row r="363" spans="1:12" x14ac:dyDescent="0.2">
      <c r="A363" s="7"/>
      <c r="B363" s="7"/>
      <c r="C363" s="7"/>
      <c r="D363" s="7"/>
      <c r="E363" s="7">
        <v>531475</v>
      </c>
      <c r="F363" s="7"/>
      <c r="G363" s="7" t="s">
        <v>265</v>
      </c>
      <c r="H363" s="7"/>
      <c r="I363" s="27" t="s">
        <v>71</v>
      </c>
      <c r="J363" s="7"/>
      <c r="K363" s="27" t="s">
        <v>2208</v>
      </c>
      <c r="L363" s="7"/>
    </row>
    <row r="364" spans="1:12" x14ac:dyDescent="0.2">
      <c r="A364" s="7"/>
      <c r="B364" s="7"/>
      <c r="C364" s="7"/>
      <c r="D364" s="7"/>
      <c r="E364" s="7">
        <v>531480</v>
      </c>
      <c r="F364" s="7"/>
      <c r="G364" s="7" t="s">
        <v>266</v>
      </c>
      <c r="H364" s="7"/>
      <c r="I364" s="27" t="s">
        <v>133</v>
      </c>
      <c r="J364" s="7"/>
      <c r="K364" s="27" t="s">
        <v>2208</v>
      </c>
      <c r="L364" s="7"/>
    </row>
    <row r="365" spans="1:12" x14ac:dyDescent="0.2">
      <c r="A365" s="7"/>
      <c r="B365" s="7"/>
      <c r="C365" s="7"/>
      <c r="D365" s="7"/>
      <c r="E365" s="7">
        <v>531485</v>
      </c>
      <c r="F365" s="7"/>
      <c r="G365" s="7" t="s">
        <v>267</v>
      </c>
      <c r="H365" s="7"/>
      <c r="I365" s="27" t="s">
        <v>71</v>
      </c>
      <c r="J365" s="7"/>
      <c r="K365" s="27" t="s">
        <v>2208</v>
      </c>
      <c r="L365" s="7"/>
    </row>
    <row r="366" spans="1:12" x14ac:dyDescent="0.2">
      <c r="A366" s="7"/>
      <c r="B366" s="7"/>
      <c r="C366" s="7"/>
      <c r="D366" s="7"/>
      <c r="E366" s="7">
        <v>531487</v>
      </c>
      <c r="F366" s="7"/>
      <c r="G366" s="7" t="s">
        <v>268</v>
      </c>
      <c r="H366" s="7"/>
      <c r="I366" s="27" t="s">
        <v>71</v>
      </c>
      <c r="J366" s="7"/>
      <c r="K366" s="27" t="s">
        <v>2208</v>
      </c>
      <c r="L366" s="7"/>
    </row>
    <row r="367" spans="1:12" x14ac:dyDescent="0.2">
      <c r="A367" s="7"/>
      <c r="B367" s="7"/>
      <c r="C367" s="7"/>
      <c r="D367" s="7"/>
      <c r="E367" s="7">
        <v>531488</v>
      </c>
      <c r="F367" s="7"/>
      <c r="G367" s="7" t="s">
        <v>269</v>
      </c>
      <c r="H367" s="7"/>
      <c r="I367" s="27" t="s">
        <v>133</v>
      </c>
      <c r="J367" s="7"/>
      <c r="K367" s="27" t="s">
        <v>2208</v>
      </c>
      <c r="L367" s="7"/>
    </row>
    <row r="368" spans="1:12" x14ac:dyDescent="0.2">
      <c r="A368" s="7"/>
      <c r="B368" s="7"/>
      <c r="C368" s="7"/>
      <c r="D368" s="7"/>
      <c r="E368" s="7">
        <v>531489</v>
      </c>
      <c r="F368" s="7"/>
      <c r="G368" s="7" t="s">
        <v>270</v>
      </c>
      <c r="H368" s="7"/>
      <c r="I368" s="27" t="s">
        <v>133</v>
      </c>
      <c r="J368" s="7"/>
      <c r="K368" s="27" t="s">
        <v>2208</v>
      </c>
      <c r="L368" s="7"/>
    </row>
    <row r="369" spans="1:12" x14ac:dyDescent="0.2">
      <c r="A369" s="7"/>
      <c r="B369" s="7"/>
      <c r="C369" s="7"/>
      <c r="D369" s="7"/>
      <c r="E369" s="7">
        <v>531490</v>
      </c>
      <c r="F369" s="7"/>
      <c r="G369" s="7" t="s">
        <v>271</v>
      </c>
      <c r="H369" s="7"/>
      <c r="I369" s="27" t="s">
        <v>71</v>
      </c>
      <c r="J369" s="7"/>
      <c r="K369" s="27" t="s">
        <v>2208</v>
      </c>
      <c r="L369" s="7"/>
    </row>
    <row r="370" spans="1:12" x14ac:dyDescent="0.2">
      <c r="A370" s="7"/>
      <c r="B370" s="7"/>
      <c r="C370" s="7"/>
      <c r="D370" s="7"/>
      <c r="E370" s="7">
        <v>531492</v>
      </c>
      <c r="F370" s="7"/>
      <c r="G370" s="7" t="s">
        <v>2382</v>
      </c>
      <c r="H370" s="7"/>
      <c r="I370" s="27" t="s">
        <v>71</v>
      </c>
      <c r="J370" s="7"/>
      <c r="K370" s="27" t="s">
        <v>2208</v>
      </c>
      <c r="L370" s="7"/>
    </row>
    <row r="371" spans="1:12" x14ac:dyDescent="0.2">
      <c r="A371" s="7"/>
      <c r="B371" s="7"/>
      <c r="C371" s="7"/>
      <c r="D371" s="7"/>
      <c r="E371" s="7">
        <v>531495</v>
      </c>
      <c r="F371" s="7"/>
      <c r="G371" s="7" t="s">
        <v>272</v>
      </c>
      <c r="H371" s="7"/>
      <c r="I371" s="27" t="s">
        <v>71</v>
      </c>
      <c r="J371" s="7"/>
      <c r="K371" s="27" t="s">
        <v>2208</v>
      </c>
      <c r="L371" s="7"/>
    </row>
    <row r="372" spans="1:12" x14ac:dyDescent="0.2">
      <c r="A372" s="7"/>
      <c r="B372" s="7"/>
      <c r="C372" s="7"/>
      <c r="D372" s="7"/>
      <c r="E372" s="7">
        <v>531500</v>
      </c>
      <c r="F372" s="7"/>
      <c r="G372" s="7" t="s">
        <v>273</v>
      </c>
      <c r="H372" s="7"/>
      <c r="I372" s="27" t="s">
        <v>71</v>
      </c>
      <c r="J372" s="7"/>
      <c r="K372" s="27" t="s">
        <v>2208</v>
      </c>
      <c r="L372" s="7"/>
    </row>
    <row r="373" spans="1:12" x14ac:dyDescent="0.2">
      <c r="A373" s="7"/>
      <c r="B373" s="7"/>
      <c r="C373" s="7"/>
      <c r="D373" s="7"/>
      <c r="E373" s="7">
        <v>531600</v>
      </c>
      <c r="F373" s="7"/>
      <c r="G373" s="7" t="s">
        <v>274</v>
      </c>
      <c r="H373" s="7"/>
      <c r="I373" s="27" t="s">
        <v>133</v>
      </c>
      <c r="J373" s="7"/>
      <c r="K373" s="27" t="s">
        <v>2208</v>
      </c>
      <c r="L373" s="7"/>
    </row>
    <row r="374" spans="1:12" x14ac:dyDescent="0.2">
      <c r="A374" s="7"/>
      <c r="B374" s="7"/>
      <c r="C374" s="7"/>
      <c r="D374" s="7"/>
      <c r="E374" s="7">
        <v>531700</v>
      </c>
      <c r="F374" s="7"/>
      <c r="G374" s="7" t="s">
        <v>275</v>
      </c>
      <c r="H374" s="7"/>
      <c r="I374" s="27" t="s">
        <v>71</v>
      </c>
      <c r="J374" s="7"/>
      <c r="K374" s="27" t="s">
        <v>2208</v>
      </c>
      <c r="L374" s="7"/>
    </row>
    <row r="375" spans="1:12" x14ac:dyDescent="0.2">
      <c r="A375" s="7"/>
      <c r="B375" s="7"/>
      <c r="C375" s="7"/>
      <c r="D375" s="7"/>
      <c r="E375" s="7">
        <v>531701</v>
      </c>
      <c r="F375" s="7"/>
      <c r="G375" s="7" t="s">
        <v>276</v>
      </c>
      <c r="H375" s="7"/>
      <c r="I375" s="27" t="s">
        <v>71</v>
      </c>
      <c r="J375" s="7"/>
      <c r="K375" s="27" t="s">
        <v>2208</v>
      </c>
      <c r="L375" s="7"/>
    </row>
    <row r="376" spans="1:12" x14ac:dyDescent="0.2">
      <c r="A376" s="7"/>
      <c r="B376" s="7"/>
      <c r="C376" s="7"/>
      <c r="D376" s="7"/>
      <c r="E376" s="7">
        <v>531702</v>
      </c>
      <c r="F376" s="7"/>
      <c r="G376" s="7" t="s">
        <v>277</v>
      </c>
      <c r="H376" s="7"/>
      <c r="I376" s="27" t="s">
        <v>71</v>
      </c>
      <c r="J376" s="7"/>
      <c r="K376" s="27" t="s">
        <v>2208</v>
      </c>
      <c r="L376" s="7"/>
    </row>
    <row r="377" spans="1:12" x14ac:dyDescent="0.2">
      <c r="A377" s="7"/>
      <c r="B377" s="7"/>
      <c r="C377" s="7"/>
      <c r="D377" s="7"/>
      <c r="E377" s="7">
        <v>531800</v>
      </c>
      <c r="F377" s="7"/>
      <c r="G377" s="7" t="s">
        <v>278</v>
      </c>
      <c r="H377" s="7"/>
      <c r="I377" s="27" t="s">
        <v>71</v>
      </c>
      <c r="J377" s="7"/>
      <c r="K377" s="27" t="s">
        <v>2208</v>
      </c>
      <c r="L377" s="7"/>
    </row>
    <row r="378" spans="1:12" x14ac:dyDescent="0.2">
      <c r="A378" s="7"/>
      <c r="B378" s="7"/>
      <c r="C378" s="7"/>
      <c r="D378" s="7"/>
      <c r="E378" s="7">
        <v>532050</v>
      </c>
      <c r="F378" s="7"/>
      <c r="G378" s="7" t="s">
        <v>279</v>
      </c>
      <c r="H378" s="7"/>
      <c r="I378" s="27" t="s">
        <v>71</v>
      </c>
      <c r="J378" s="7"/>
      <c r="K378" s="27" t="s">
        <v>2208</v>
      </c>
      <c r="L378" s="7"/>
    </row>
    <row r="379" spans="1:12" x14ac:dyDescent="0.2">
      <c r="A379" s="7"/>
      <c r="B379" s="7"/>
      <c r="C379" s="7"/>
      <c r="D379" s="7"/>
      <c r="E379" s="7">
        <v>532055</v>
      </c>
      <c r="F379" s="7"/>
      <c r="G379" s="7" t="s">
        <v>280</v>
      </c>
      <c r="H379" s="7"/>
      <c r="I379" s="27" t="s">
        <v>71</v>
      </c>
      <c r="J379" s="7"/>
      <c r="K379" s="27" t="s">
        <v>2208</v>
      </c>
      <c r="L379" s="7"/>
    </row>
    <row r="380" spans="1:12" x14ac:dyDescent="0.2">
      <c r="A380" s="7"/>
      <c r="B380" s="7"/>
      <c r="C380" s="7"/>
      <c r="D380" s="7"/>
      <c r="E380" s="7">
        <v>532060</v>
      </c>
      <c r="F380" s="7"/>
      <c r="G380" s="7" t="s">
        <v>281</v>
      </c>
      <c r="H380" s="7"/>
      <c r="I380" s="27" t="s">
        <v>71</v>
      </c>
      <c r="J380" s="7"/>
      <c r="K380" s="27" t="s">
        <v>2208</v>
      </c>
      <c r="L380" s="7"/>
    </row>
    <row r="381" spans="1:12" x14ac:dyDescent="0.2">
      <c r="A381" s="7"/>
      <c r="B381" s="7"/>
      <c r="C381" s="7"/>
      <c r="D381" s="7"/>
      <c r="E381" s="7">
        <v>532061</v>
      </c>
      <c r="F381" s="7"/>
      <c r="G381" s="7" t="s">
        <v>282</v>
      </c>
      <c r="H381" s="7"/>
      <c r="I381" s="27" t="s">
        <v>71</v>
      </c>
      <c r="J381" s="7"/>
      <c r="K381" s="27" t="s">
        <v>2208</v>
      </c>
      <c r="L381" s="7"/>
    </row>
    <row r="382" spans="1:12" x14ac:dyDescent="0.2">
      <c r="A382" s="7"/>
      <c r="B382" s="7"/>
      <c r="C382" s="7"/>
      <c r="D382" s="7"/>
      <c r="E382" s="7">
        <v>532070</v>
      </c>
      <c r="F382" s="7"/>
      <c r="G382" s="7" t="s">
        <v>283</v>
      </c>
      <c r="H382" s="7"/>
      <c r="I382" s="27" t="s">
        <v>71</v>
      </c>
      <c r="J382" s="7"/>
      <c r="K382" s="27" t="s">
        <v>2208</v>
      </c>
      <c r="L382" s="7"/>
    </row>
    <row r="383" spans="1:12" x14ac:dyDescent="0.2">
      <c r="A383" s="7"/>
      <c r="B383" s="7"/>
      <c r="C383" s="7"/>
      <c r="D383" s="7"/>
      <c r="E383" s="7">
        <v>532071</v>
      </c>
      <c r="F383" s="7"/>
      <c r="G383" s="7" t="s">
        <v>284</v>
      </c>
      <c r="H383" s="7"/>
      <c r="I383" s="27" t="s">
        <v>71</v>
      </c>
      <c r="J383" s="7"/>
      <c r="K383" s="27" t="s">
        <v>2208</v>
      </c>
      <c r="L383" s="7"/>
    </row>
    <row r="384" spans="1:12" x14ac:dyDescent="0.2">
      <c r="A384" s="7"/>
      <c r="B384" s="7"/>
      <c r="C384" s="7"/>
      <c r="D384" s="7"/>
      <c r="E384" s="7">
        <v>532080</v>
      </c>
      <c r="F384" s="7"/>
      <c r="G384" s="7" t="s">
        <v>285</v>
      </c>
      <c r="H384" s="7"/>
      <c r="I384" s="27" t="s">
        <v>71</v>
      </c>
      <c r="J384" s="7"/>
      <c r="K384" s="27" t="s">
        <v>2208</v>
      </c>
      <c r="L384" s="7"/>
    </row>
    <row r="385" spans="1:12" x14ac:dyDescent="0.2">
      <c r="A385" s="7"/>
      <c r="B385" s="7"/>
      <c r="C385" s="7"/>
      <c r="D385" s="7"/>
      <c r="E385" s="7">
        <v>532100</v>
      </c>
      <c r="F385" s="7"/>
      <c r="G385" s="7" t="s">
        <v>286</v>
      </c>
      <c r="H385" s="7"/>
      <c r="I385" s="27" t="s">
        <v>71</v>
      </c>
      <c r="J385" s="7"/>
      <c r="K385" s="27" t="s">
        <v>2208</v>
      </c>
      <c r="L385" s="7"/>
    </row>
    <row r="386" spans="1:12" x14ac:dyDescent="0.2">
      <c r="A386" s="7"/>
      <c r="B386" s="7"/>
      <c r="C386" s="7"/>
      <c r="D386" s="7"/>
      <c r="E386" s="7">
        <v>532110</v>
      </c>
      <c r="F386" s="7"/>
      <c r="G386" s="7" t="s">
        <v>287</v>
      </c>
      <c r="H386" s="7"/>
      <c r="I386" s="27" t="s">
        <v>133</v>
      </c>
      <c r="J386" s="7"/>
      <c r="K386" s="27" t="s">
        <v>2208</v>
      </c>
      <c r="L386" s="7"/>
    </row>
    <row r="387" spans="1:12" x14ac:dyDescent="0.2">
      <c r="A387" s="7"/>
      <c r="B387" s="7"/>
      <c r="C387" s="7"/>
      <c r="D387" s="7"/>
      <c r="E387" s="7">
        <v>532140</v>
      </c>
      <c r="F387" s="7"/>
      <c r="G387" s="7" t="s">
        <v>288</v>
      </c>
      <c r="H387" s="7"/>
      <c r="I387" s="27" t="s">
        <v>71</v>
      </c>
      <c r="J387" s="7"/>
      <c r="K387" s="27" t="s">
        <v>2208</v>
      </c>
      <c r="L387" s="7"/>
    </row>
    <row r="388" spans="1:12" x14ac:dyDescent="0.2">
      <c r="A388" s="7"/>
      <c r="B388" s="7"/>
      <c r="C388" s="7"/>
      <c r="D388" s="7"/>
      <c r="E388" s="7">
        <v>532160</v>
      </c>
      <c r="F388" s="7"/>
      <c r="G388" s="7" t="s">
        <v>289</v>
      </c>
      <c r="H388" s="7"/>
      <c r="I388" s="27" t="s">
        <v>71</v>
      </c>
      <c r="J388" s="7"/>
      <c r="K388" s="27" t="s">
        <v>2208</v>
      </c>
      <c r="L388" s="7"/>
    </row>
    <row r="389" spans="1:12" x14ac:dyDescent="0.2">
      <c r="A389" s="7"/>
      <c r="B389" s="7"/>
      <c r="C389" s="7"/>
      <c r="D389" s="7"/>
      <c r="E389" s="7">
        <v>532180</v>
      </c>
      <c r="F389" s="7"/>
      <c r="G389" s="7" t="s">
        <v>290</v>
      </c>
      <c r="H389" s="7"/>
      <c r="I389" s="27" t="s">
        <v>71</v>
      </c>
      <c r="J389" s="7"/>
      <c r="K389" s="27" t="s">
        <v>2208</v>
      </c>
      <c r="L389" s="7"/>
    </row>
    <row r="390" spans="1:12" x14ac:dyDescent="0.2">
      <c r="A390" s="7"/>
      <c r="B390" s="7"/>
      <c r="C390" s="7"/>
      <c r="D390" s="7"/>
      <c r="E390" s="7">
        <v>532200</v>
      </c>
      <c r="F390" s="7"/>
      <c r="G390" s="7" t="s">
        <v>291</v>
      </c>
      <c r="H390" s="7"/>
      <c r="I390" s="27" t="s">
        <v>71</v>
      </c>
      <c r="J390" s="7"/>
      <c r="K390" s="27" t="s">
        <v>2208</v>
      </c>
      <c r="L390" s="7"/>
    </row>
    <row r="391" spans="1:12" x14ac:dyDescent="0.2">
      <c r="A391" s="7"/>
      <c r="B391" s="7"/>
      <c r="C391" s="7"/>
      <c r="D391" s="7"/>
      <c r="E391" s="7">
        <v>532220</v>
      </c>
      <c r="F391" s="7"/>
      <c r="G391" s="7" t="s">
        <v>292</v>
      </c>
      <c r="H391" s="7"/>
      <c r="I391" s="27" t="s">
        <v>71</v>
      </c>
      <c r="J391" s="7"/>
      <c r="K391" s="27" t="s">
        <v>2208</v>
      </c>
      <c r="L391" s="7"/>
    </row>
    <row r="392" spans="1:12" x14ac:dyDescent="0.2">
      <c r="A392" s="7"/>
      <c r="B392" s="7"/>
      <c r="C392" s="7"/>
      <c r="D392" s="7"/>
      <c r="E392" s="7">
        <v>532240</v>
      </c>
      <c r="F392" s="7"/>
      <c r="G392" s="7" t="s">
        <v>293</v>
      </c>
      <c r="H392" s="7"/>
      <c r="I392" s="27" t="s">
        <v>71</v>
      </c>
      <c r="J392" s="7"/>
      <c r="K392" s="27" t="s">
        <v>2208</v>
      </c>
      <c r="L392" s="7"/>
    </row>
    <row r="393" spans="1:12" x14ac:dyDescent="0.2">
      <c r="A393" s="7"/>
      <c r="B393" s="7"/>
      <c r="C393" s="7"/>
      <c r="D393" s="7"/>
      <c r="E393" s="7">
        <v>532241</v>
      </c>
      <c r="F393" s="7"/>
      <c r="G393" s="7" t="s">
        <v>294</v>
      </c>
      <c r="H393" s="7"/>
      <c r="I393" s="27" t="s">
        <v>71</v>
      </c>
      <c r="J393" s="7"/>
      <c r="K393" s="27" t="s">
        <v>2208</v>
      </c>
      <c r="L393" s="7"/>
    </row>
    <row r="394" spans="1:12" x14ac:dyDescent="0.2">
      <c r="A394" s="7"/>
      <c r="B394" s="7"/>
      <c r="C394" s="7"/>
      <c r="D394" s="7"/>
      <c r="E394" s="7">
        <v>532260</v>
      </c>
      <c r="F394" s="7"/>
      <c r="G394" s="7" t="s">
        <v>295</v>
      </c>
      <c r="H394" s="7"/>
      <c r="I394" s="27" t="s">
        <v>71</v>
      </c>
      <c r="J394" s="7"/>
      <c r="K394" s="27" t="s">
        <v>2208</v>
      </c>
      <c r="L394" s="7"/>
    </row>
    <row r="395" spans="1:12" x14ac:dyDescent="0.2">
      <c r="A395" s="7"/>
      <c r="B395" s="7"/>
      <c r="C395" s="7"/>
      <c r="D395" s="7"/>
      <c r="E395" s="7">
        <v>532261</v>
      </c>
      <c r="F395" s="7"/>
      <c r="G395" s="7" t="s">
        <v>296</v>
      </c>
      <c r="H395" s="7"/>
      <c r="I395" s="27" t="s">
        <v>71</v>
      </c>
      <c r="J395" s="7"/>
      <c r="K395" s="27" t="s">
        <v>2208</v>
      </c>
      <c r="L395" s="7"/>
    </row>
    <row r="396" spans="1:12" x14ac:dyDescent="0.2">
      <c r="A396" s="7"/>
      <c r="B396" s="7"/>
      <c r="C396" s="7"/>
      <c r="D396" s="7"/>
      <c r="E396" s="7">
        <v>532300</v>
      </c>
      <c r="F396" s="7"/>
      <c r="G396" s="7" t="s">
        <v>297</v>
      </c>
      <c r="H396" s="7"/>
      <c r="I396" s="27" t="s">
        <v>71</v>
      </c>
      <c r="J396" s="7"/>
      <c r="K396" s="27" t="s">
        <v>2208</v>
      </c>
      <c r="L396" s="7"/>
    </row>
    <row r="397" spans="1:12" x14ac:dyDescent="0.2">
      <c r="A397" s="7"/>
      <c r="B397" s="7"/>
      <c r="C397" s="7"/>
      <c r="D397" s="7"/>
      <c r="E397" s="7">
        <v>532320</v>
      </c>
      <c r="F397" s="7"/>
      <c r="G397" s="7" t="s">
        <v>298</v>
      </c>
      <c r="H397" s="7"/>
      <c r="I397" s="27" t="s">
        <v>71</v>
      </c>
      <c r="J397" s="7"/>
      <c r="K397" s="27" t="s">
        <v>2208</v>
      </c>
      <c r="L397" s="7"/>
    </row>
    <row r="398" spans="1:12" x14ac:dyDescent="0.2">
      <c r="A398" s="7"/>
      <c r="B398" s="7"/>
      <c r="C398" s="7"/>
      <c r="D398" s="7"/>
      <c r="E398" s="7">
        <v>532340</v>
      </c>
      <c r="F398" s="7"/>
      <c r="G398" s="7" t="s">
        <v>299</v>
      </c>
      <c r="H398" s="7"/>
      <c r="I398" s="27" t="s">
        <v>71</v>
      </c>
      <c r="J398" s="7"/>
      <c r="K398" s="27" t="s">
        <v>2208</v>
      </c>
      <c r="L398" s="7"/>
    </row>
    <row r="399" spans="1:12" x14ac:dyDescent="0.2">
      <c r="A399" s="7"/>
      <c r="B399" s="7"/>
      <c r="C399" s="7"/>
      <c r="D399" s="7"/>
      <c r="E399" s="7">
        <v>532360</v>
      </c>
      <c r="F399" s="7"/>
      <c r="G399" s="7" t="s">
        <v>300</v>
      </c>
      <c r="H399" s="7"/>
      <c r="I399" s="27" t="s">
        <v>71</v>
      </c>
      <c r="J399" s="7"/>
      <c r="K399" s="27" t="s">
        <v>2208</v>
      </c>
      <c r="L399" s="7"/>
    </row>
    <row r="400" spans="1:12" x14ac:dyDescent="0.2">
      <c r="A400" s="7"/>
      <c r="B400" s="7"/>
      <c r="C400" s="7"/>
      <c r="D400" s="7"/>
      <c r="E400" s="7">
        <v>532361</v>
      </c>
      <c r="F400" s="7"/>
      <c r="G400" s="7" t="s">
        <v>301</v>
      </c>
      <c r="H400" s="7"/>
      <c r="I400" s="27" t="s">
        <v>71</v>
      </c>
      <c r="J400" s="7"/>
      <c r="K400" s="27" t="s">
        <v>2208</v>
      </c>
      <c r="L400" s="7"/>
    </row>
    <row r="401" spans="1:12" x14ac:dyDescent="0.2">
      <c r="A401" s="7"/>
      <c r="B401" s="7"/>
      <c r="C401" s="7"/>
      <c r="D401" s="7"/>
      <c r="E401" s="7">
        <v>532380</v>
      </c>
      <c r="F401" s="7"/>
      <c r="G401" s="7" t="s">
        <v>302</v>
      </c>
      <c r="H401" s="7"/>
      <c r="I401" s="27" t="s">
        <v>71</v>
      </c>
      <c r="J401" s="7"/>
      <c r="K401" s="27" t="s">
        <v>2208</v>
      </c>
      <c r="L401" s="7"/>
    </row>
    <row r="402" spans="1:12" x14ac:dyDescent="0.2">
      <c r="A402" s="7"/>
      <c r="B402" s="7"/>
      <c r="C402" s="7"/>
      <c r="D402" s="7"/>
      <c r="E402" s="7">
        <v>532400</v>
      </c>
      <c r="F402" s="7"/>
      <c r="G402" s="7" t="s">
        <v>303</v>
      </c>
      <c r="H402" s="7"/>
      <c r="I402" s="27" t="s">
        <v>71</v>
      </c>
      <c r="J402" s="7"/>
      <c r="K402" s="27" t="s">
        <v>2208</v>
      </c>
      <c r="L402" s="7"/>
    </row>
    <row r="403" spans="1:12" x14ac:dyDescent="0.2">
      <c r="A403" s="7"/>
      <c r="B403" s="7"/>
      <c r="C403" s="7"/>
      <c r="D403" s="7"/>
      <c r="E403" s="7">
        <v>532405</v>
      </c>
      <c r="F403" s="7"/>
      <c r="G403" s="7" t="s">
        <v>304</v>
      </c>
      <c r="H403" s="7"/>
      <c r="I403" s="27" t="s">
        <v>71</v>
      </c>
      <c r="J403" s="7"/>
      <c r="K403" s="27" t="s">
        <v>2208</v>
      </c>
      <c r="L403" s="7"/>
    </row>
    <row r="404" spans="1:12" x14ac:dyDescent="0.2">
      <c r="A404" s="7"/>
      <c r="B404" s="7"/>
      <c r="C404" s="7"/>
      <c r="D404" s="7"/>
      <c r="E404" s="7">
        <v>532410</v>
      </c>
      <c r="F404" s="7"/>
      <c r="G404" s="7" t="s">
        <v>305</v>
      </c>
      <c r="H404" s="7"/>
      <c r="I404" s="27" t="s">
        <v>133</v>
      </c>
      <c r="J404" s="7"/>
      <c r="K404" s="27" t="s">
        <v>2208</v>
      </c>
      <c r="L404" s="7"/>
    </row>
    <row r="405" spans="1:12" x14ac:dyDescent="0.2">
      <c r="A405" s="7"/>
      <c r="B405" s="7"/>
      <c r="C405" s="7"/>
      <c r="D405" s="7"/>
      <c r="E405" s="7">
        <v>532415</v>
      </c>
      <c r="F405" s="7"/>
      <c r="G405" s="7" t="s">
        <v>306</v>
      </c>
      <c r="H405" s="7"/>
      <c r="I405" s="27" t="s">
        <v>71</v>
      </c>
      <c r="J405" s="7"/>
      <c r="K405" s="27" t="s">
        <v>2208</v>
      </c>
      <c r="L405" s="7"/>
    </row>
    <row r="406" spans="1:12" x14ac:dyDescent="0.2">
      <c r="A406" s="7"/>
      <c r="B406" s="7"/>
      <c r="C406" s="7"/>
      <c r="D406" s="7"/>
      <c r="E406" s="7">
        <v>532420</v>
      </c>
      <c r="F406" s="7"/>
      <c r="G406" s="7" t="s">
        <v>307</v>
      </c>
      <c r="H406" s="7"/>
      <c r="I406" s="27" t="s">
        <v>71</v>
      </c>
      <c r="J406" s="7"/>
      <c r="K406" s="27" t="s">
        <v>2208</v>
      </c>
      <c r="L406" s="7"/>
    </row>
    <row r="407" spans="1:12" x14ac:dyDescent="0.2">
      <c r="A407" s="7"/>
      <c r="B407" s="7"/>
      <c r="C407" s="7"/>
      <c r="D407" s="7"/>
      <c r="E407" s="7">
        <v>532500</v>
      </c>
      <c r="F407" s="7"/>
      <c r="G407" s="7" t="s">
        <v>308</v>
      </c>
      <c r="H407" s="7"/>
      <c r="I407" s="27" t="s">
        <v>71</v>
      </c>
      <c r="J407" s="7"/>
      <c r="K407" s="27" t="s">
        <v>2208</v>
      </c>
      <c r="L407" s="7"/>
    </row>
    <row r="408" spans="1:12" x14ac:dyDescent="0.2">
      <c r="A408" s="7"/>
      <c r="B408" s="7"/>
      <c r="C408" s="7"/>
      <c r="D408" s="7"/>
      <c r="E408" s="7">
        <v>532700</v>
      </c>
      <c r="F408" s="7"/>
      <c r="G408" s="7" t="s">
        <v>309</v>
      </c>
      <c r="H408" s="7"/>
      <c r="I408" s="27" t="s">
        <v>71</v>
      </c>
      <c r="J408" s="7"/>
      <c r="K408" s="27" t="s">
        <v>2208</v>
      </c>
      <c r="L408" s="7"/>
    </row>
    <row r="409" spans="1:12" x14ac:dyDescent="0.2">
      <c r="A409" s="7"/>
      <c r="B409" s="7"/>
      <c r="C409" s="7"/>
      <c r="D409" s="7"/>
      <c r="E409" s="7">
        <v>532800</v>
      </c>
      <c r="F409" s="7"/>
      <c r="G409" s="7" t="s">
        <v>310</v>
      </c>
      <c r="H409" s="7"/>
      <c r="I409" s="27" t="s">
        <v>71</v>
      </c>
      <c r="J409" s="7"/>
      <c r="K409" s="27" t="s">
        <v>2208</v>
      </c>
      <c r="L409" s="7"/>
    </row>
    <row r="410" spans="1:12" x14ac:dyDescent="0.2">
      <c r="A410" s="7"/>
      <c r="B410" s="7"/>
      <c r="C410" s="7"/>
      <c r="D410" s="7"/>
      <c r="E410" s="7">
        <v>532900</v>
      </c>
      <c r="F410" s="7"/>
      <c r="G410" s="7" t="s">
        <v>311</v>
      </c>
      <c r="H410" s="7"/>
      <c r="I410" s="27" t="s">
        <v>71</v>
      </c>
      <c r="J410" s="7"/>
      <c r="K410" s="27" t="s">
        <v>2208</v>
      </c>
      <c r="L410" s="7"/>
    </row>
    <row r="411" spans="1:12" x14ac:dyDescent="0.2">
      <c r="A411" s="7"/>
      <c r="B411" s="7"/>
      <c r="C411" s="7"/>
      <c r="D411" s="7"/>
      <c r="E411" s="7">
        <v>533000</v>
      </c>
      <c r="F411" s="7"/>
      <c r="G411" s="7" t="s">
        <v>312</v>
      </c>
      <c r="H411" s="7"/>
      <c r="I411" s="27" t="s">
        <v>71</v>
      </c>
      <c r="J411" s="7"/>
      <c r="K411" s="27" t="s">
        <v>2208</v>
      </c>
      <c r="L411" s="7"/>
    </row>
    <row r="412" spans="1:12" x14ac:dyDescent="0.2">
      <c r="A412" s="7"/>
      <c r="B412" s="7"/>
      <c r="C412" s="7"/>
      <c r="D412" s="7"/>
      <c r="E412" s="7">
        <v>533001</v>
      </c>
      <c r="F412" s="7"/>
      <c r="G412" s="7" t="s">
        <v>313</v>
      </c>
      <c r="H412" s="7"/>
      <c r="I412" s="27" t="s">
        <v>71</v>
      </c>
      <c r="J412" s="7"/>
      <c r="K412" s="27" t="s">
        <v>2208</v>
      </c>
      <c r="L412" s="7"/>
    </row>
    <row r="413" spans="1:12" x14ac:dyDescent="0.2">
      <c r="A413" s="7"/>
      <c r="B413" s="7"/>
      <c r="C413" s="7"/>
      <c r="D413" s="7"/>
      <c r="E413" s="7">
        <v>533002</v>
      </c>
      <c r="F413" s="7"/>
      <c r="G413" s="7" t="s">
        <v>314</v>
      </c>
      <c r="H413" s="7"/>
      <c r="I413" s="27" t="s">
        <v>71</v>
      </c>
      <c r="J413" s="7"/>
      <c r="K413" s="27" t="s">
        <v>2208</v>
      </c>
      <c r="L413" s="7"/>
    </row>
    <row r="414" spans="1:12" x14ac:dyDescent="0.2">
      <c r="A414" s="7"/>
      <c r="B414" s="7"/>
      <c r="C414" s="7"/>
      <c r="D414" s="7"/>
      <c r="E414" s="7">
        <v>533003</v>
      </c>
      <c r="F414" s="7"/>
      <c r="G414" s="7" t="s">
        <v>315</v>
      </c>
      <c r="H414" s="7"/>
      <c r="I414" s="27" t="s">
        <v>71</v>
      </c>
      <c r="J414" s="7"/>
      <c r="K414" s="27" t="s">
        <v>2208</v>
      </c>
      <c r="L414" s="7"/>
    </row>
    <row r="415" spans="1:12" x14ac:dyDescent="0.2">
      <c r="A415" s="7"/>
      <c r="B415" s="7"/>
      <c r="C415" s="7"/>
      <c r="D415" s="7"/>
      <c r="E415" s="7">
        <v>533004</v>
      </c>
      <c r="F415" s="7"/>
      <c r="G415" s="7" t="s">
        <v>316</v>
      </c>
      <c r="H415" s="7"/>
      <c r="I415" s="27" t="s">
        <v>71</v>
      </c>
      <c r="J415" s="7"/>
      <c r="K415" s="27" t="s">
        <v>2208</v>
      </c>
      <c r="L415" s="7"/>
    </row>
    <row r="416" spans="1:12" x14ac:dyDescent="0.2">
      <c r="A416" s="7"/>
      <c r="B416" s="7"/>
      <c r="C416" s="7"/>
      <c r="D416" s="7"/>
      <c r="E416" s="7">
        <v>533005</v>
      </c>
      <c r="F416" s="7"/>
      <c r="G416" s="7" t="s">
        <v>317</v>
      </c>
      <c r="H416" s="7"/>
      <c r="I416" s="27" t="s">
        <v>71</v>
      </c>
      <c r="J416" s="7"/>
      <c r="K416" s="27" t="s">
        <v>2208</v>
      </c>
      <c r="L416" s="7"/>
    </row>
    <row r="417" spans="1:12" x14ac:dyDescent="0.2">
      <c r="A417" s="7"/>
      <c r="B417" s="7"/>
      <c r="C417" s="7"/>
      <c r="D417" s="7"/>
      <c r="E417" s="7">
        <v>533006</v>
      </c>
      <c r="F417" s="7"/>
      <c r="G417" s="7" t="s">
        <v>318</v>
      </c>
      <c r="H417" s="7"/>
      <c r="I417" s="27" t="s">
        <v>71</v>
      </c>
      <c r="J417" s="7"/>
      <c r="K417" s="27" t="s">
        <v>2208</v>
      </c>
      <c r="L417" s="7"/>
    </row>
    <row r="418" spans="1:12" x14ac:dyDescent="0.2">
      <c r="A418" s="7"/>
      <c r="B418" s="7"/>
      <c r="C418" s="7"/>
      <c r="D418" s="7"/>
      <c r="E418" s="7">
        <v>533100</v>
      </c>
      <c r="F418" s="7"/>
      <c r="G418" s="7" t="s">
        <v>319</v>
      </c>
      <c r="H418" s="7"/>
      <c r="I418" s="27" t="s">
        <v>71</v>
      </c>
      <c r="J418" s="7"/>
      <c r="K418" s="27" t="s">
        <v>2208</v>
      </c>
      <c r="L418" s="7"/>
    </row>
    <row r="419" spans="1:12" x14ac:dyDescent="0.2">
      <c r="A419" s="7"/>
      <c r="B419" s="7"/>
      <c r="C419" s="7"/>
      <c r="D419" s="7"/>
      <c r="E419" s="7">
        <v>533110</v>
      </c>
      <c r="F419" s="7"/>
      <c r="G419" s="7" t="s">
        <v>320</v>
      </c>
      <c r="H419" s="7"/>
      <c r="I419" s="27" t="s">
        <v>71</v>
      </c>
      <c r="J419" s="7"/>
      <c r="K419" s="27" t="s">
        <v>2208</v>
      </c>
      <c r="L419" s="7"/>
    </row>
    <row r="420" spans="1:12" x14ac:dyDescent="0.2">
      <c r="A420" s="7"/>
      <c r="B420" s="7"/>
      <c r="C420" s="7"/>
      <c r="D420" s="7"/>
      <c r="E420" s="7">
        <v>533150</v>
      </c>
      <c r="F420" s="7"/>
      <c r="G420" s="7" t="s">
        <v>321</v>
      </c>
      <c r="H420" s="7"/>
      <c r="I420" s="27" t="s">
        <v>71</v>
      </c>
      <c r="J420" s="7"/>
      <c r="K420" s="27" t="s">
        <v>2208</v>
      </c>
      <c r="L420" s="7"/>
    </row>
    <row r="421" spans="1:12" x14ac:dyDescent="0.2">
      <c r="A421" s="7"/>
      <c r="B421" s="7"/>
      <c r="C421" s="7"/>
      <c r="D421" s="7"/>
      <c r="E421" s="7">
        <v>533200</v>
      </c>
      <c r="F421" s="7"/>
      <c r="G421" s="7" t="s">
        <v>322</v>
      </c>
      <c r="H421" s="7"/>
      <c r="I421" s="27" t="s">
        <v>71</v>
      </c>
      <c r="J421" s="7"/>
      <c r="K421" s="27" t="s">
        <v>2208</v>
      </c>
      <c r="L421" s="7"/>
    </row>
    <row r="422" spans="1:12" x14ac:dyDescent="0.2">
      <c r="A422" s="7"/>
      <c r="B422" s="7"/>
      <c r="C422" s="7"/>
      <c r="D422" s="7"/>
      <c r="E422" s="7">
        <v>533201</v>
      </c>
      <c r="F422" s="7"/>
      <c r="G422" s="7" t="s">
        <v>323</v>
      </c>
      <c r="H422" s="7"/>
      <c r="I422" s="27" t="s">
        <v>71</v>
      </c>
      <c r="J422" s="7"/>
      <c r="K422" s="27" t="s">
        <v>2208</v>
      </c>
      <c r="L422" s="7"/>
    </row>
    <row r="423" spans="1:12" x14ac:dyDescent="0.2">
      <c r="A423" s="7"/>
      <c r="B423" s="7"/>
      <c r="C423" s="7"/>
      <c r="D423" s="7"/>
      <c r="E423" s="7">
        <v>533210</v>
      </c>
      <c r="F423" s="7"/>
      <c r="G423" s="7" t="s">
        <v>324</v>
      </c>
      <c r="H423" s="7"/>
      <c r="I423" s="27" t="s">
        <v>71</v>
      </c>
      <c r="J423" s="7"/>
      <c r="K423" s="27" t="s">
        <v>2208</v>
      </c>
      <c r="L423" s="7"/>
    </row>
    <row r="424" spans="1:12" x14ac:dyDescent="0.2">
      <c r="A424" s="7"/>
      <c r="B424" s="7"/>
      <c r="C424" s="7"/>
      <c r="D424" s="7"/>
      <c r="E424" s="7">
        <v>533250</v>
      </c>
      <c r="F424" s="7"/>
      <c r="G424" s="7" t="s">
        <v>325</v>
      </c>
      <c r="H424" s="7"/>
      <c r="I424" s="27" t="s">
        <v>71</v>
      </c>
      <c r="J424" s="7"/>
      <c r="K424" s="27" t="s">
        <v>2208</v>
      </c>
      <c r="L424" s="7"/>
    </row>
    <row r="425" spans="1:12" x14ac:dyDescent="0.2">
      <c r="A425" s="7"/>
      <c r="B425" s="7"/>
      <c r="C425" s="7"/>
      <c r="D425" s="7"/>
      <c r="E425" s="7">
        <v>533300</v>
      </c>
      <c r="F425" s="7"/>
      <c r="G425" s="7" t="s">
        <v>326</v>
      </c>
      <c r="H425" s="7"/>
      <c r="I425" s="27" t="s">
        <v>71</v>
      </c>
      <c r="J425" s="7"/>
      <c r="K425" s="27" t="s">
        <v>2208</v>
      </c>
      <c r="L425" s="7"/>
    </row>
    <row r="426" spans="1:12" x14ac:dyDescent="0.2">
      <c r="A426" s="7"/>
      <c r="B426" s="7"/>
      <c r="C426" s="7"/>
      <c r="D426" s="7"/>
      <c r="E426" s="7">
        <v>533400</v>
      </c>
      <c r="F426" s="7"/>
      <c r="G426" s="7" t="s">
        <v>327</v>
      </c>
      <c r="H426" s="7"/>
      <c r="I426" s="27" t="s">
        <v>71</v>
      </c>
      <c r="J426" s="7"/>
      <c r="K426" s="27" t="s">
        <v>2208</v>
      </c>
      <c r="L426" s="7"/>
    </row>
    <row r="427" spans="1:12" x14ac:dyDescent="0.2">
      <c r="A427" s="7"/>
      <c r="B427" s="7"/>
      <c r="C427" s="7"/>
      <c r="D427" s="7"/>
      <c r="E427" s="7">
        <v>533450</v>
      </c>
      <c r="F427" s="7"/>
      <c r="G427" s="7" t="s">
        <v>328</v>
      </c>
      <c r="H427" s="7"/>
      <c r="I427" s="27" t="s">
        <v>71</v>
      </c>
      <c r="J427" s="7"/>
      <c r="K427" s="27" t="s">
        <v>2208</v>
      </c>
      <c r="L427" s="7"/>
    </row>
    <row r="428" spans="1:12" x14ac:dyDescent="0.2">
      <c r="A428" s="7"/>
      <c r="B428" s="7"/>
      <c r="C428" s="7"/>
      <c r="D428" s="7"/>
      <c r="E428" s="7">
        <v>534000</v>
      </c>
      <c r="F428" s="7"/>
      <c r="G428" s="7" t="s">
        <v>329</v>
      </c>
      <c r="H428" s="7"/>
      <c r="I428" s="27" t="s">
        <v>71</v>
      </c>
      <c r="J428" s="7"/>
      <c r="K428" s="27" t="s">
        <v>2208</v>
      </c>
      <c r="L428" s="7"/>
    </row>
    <row r="429" spans="1:12" x14ac:dyDescent="0.2">
      <c r="A429" s="7"/>
      <c r="B429" s="7"/>
      <c r="C429" s="7"/>
      <c r="D429" s="7"/>
      <c r="E429" s="7">
        <v>534010</v>
      </c>
      <c r="F429" s="7"/>
      <c r="G429" s="7" t="s">
        <v>330</v>
      </c>
      <c r="H429" s="7"/>
      <c r="I429" s="27" t="s">
        <v>71</v>
      </c>
      <c r="J429" s="7"/>
      <c r="K429" s="27" t="s">
        <v>2208</v>
      </c>
      <c r="L429" s="7"/>
    </row>
    <row r="430" spans="1:12" x14ac:dyDescent="0.2">
      <c r="A430" s="7"/>
      <c r="B430" s="7"/>
      <c r="C430" s="7"/>
      <c r="D430" s="7"/>
      <c r="E430" s="7">
        <v>534020</v>
      </c>
      <c r="F430" s="7"/>
      <c r="G430" s="7" t="s">
        <v>331</v>
      </c>
      <c r="H430" s="7"/>
      <c r="I430" s="27" t="s">
        <v>71</v>
      </c>
      <c r="J430" s="7"/>
      <c r="K430" s="27" t="s">
        <v>2208</v>
      </c>
      <c r="L430" s="7"/>
    </row>
    <row r="431" spans="1:12" x14ac:dyDescent="0.2">
      <c r="A431" s="7"/>
      <c r="B431" s="7"/>
      <c r="C431" s="7"/>
      <c r="D431" s="7"/>
      <c r="E431" s="7">
        <v>534030</v>
      </c>
      <c r="F431" s="7"/>
      <c r="G431" s="7" t="s">
        <v>332</v>
      </c>
      <c r="H431" s="7"/>
      <c r="I431" s="27" t="s">
        <v>71</v>
      </c>
      <c r="J431" s="7"/>
      <c r="K431" s="27" t="s">
        <v>2208</v>
      </c>
      <c r="L431" s="7"/>
    </row>
    <row r="432" spans="1:12" x14ac:dyDescent="0.2">
      <c r="A432" s="7"/>
      <c r="B432" s="7"/>
      <c r="C432" s="7"/>
      <c r="D432" s="7"/>
      <c r="E432" s="7">
        <v>534050</v>
      </c>
      <c r="F432" s="7"/>
      <c r="G432" s="7" t="s">
        <v>333</v>
      </c>
      <c r="H432" s="7"/>
      <c r="I432" s="27" t="s">
        <v>71</v>
      </c>
      <c r="J432" s="7"/>
      <c r="K432" s="27" t="s">
        <v>2208</v>
      </c>
      <c r="L432" s="7"/>
    </row>
    <row r="433" spans="1:12" x14ac:dyDescent="0.2">
      <c r="A433" s="7"/>
      <c r="B433" s="7"/>
      <c r="C433" s="7"/>
      <c r="D433" s="7"/>
      <c r="E433" s="7">
        <v>534070</v>
      </c>
      <c r="F433" s="7"/>
      <c r="G433" s="7" t="s">
        <v>334</v>
      </c>
      <c r="H433" s="7"/>
      <c r="I433" s="27" t="s">
        <v>71</v>
      </c>
      <c r="J433" s="7"/>
      <c r="K433" s="27" t="s">
        <v>2208</v>
      </c>
      <c r="L433" s="7"/>
    </row>
    <row r="434" spans="1:12" x14ac:dyDescent="0.2">
      <c r="A434" s="7"/>
      <c r="B434" s="7"/>
      <c r="C434" s="7"/>
      <c r="D434" s="7"/>
      <c r="E434" s="7">
        <v>534080</v>
      </c>
      <c r="F434" s="7"/>
      <c r="G434" s="7" t="s">
        <v>335</v>
      </c>
      <c r="H434" s="7"/>
      <c r="I434" s="27" t="s">
        <v>71</v>
      </c>
      <c r="J434" s="7"/>
      <c r="K434" s="27" t="s">
        <v>2208</v>
      </c>
      <c r="L434" s="7"/>
    </row>
    <row r="435" spans="1:12" x14ac:dyDescent="0.2">
      <c r="A435" s="7"/>
      <c r="B435" s="7"/>
      <c r="C435" s="7"/>
      <c r="D435" s="7"/>
      <c r="E435" s="7">
        <v>534090</v>
      </c>
      <c r="F435" s="7"/>
      <c r="G435" s="7" t="s">
        <v>336</v>
      </c>
      <c r="H435" s="7"/>
      <c r="I435" s="27" t="s">
        <v>71</v>
      </c>
      <c r="J435" s="7"/>
      <c r="K435" s="27" t="s">
        <v>2208</v>
      </c>
      <c r="L435" s="7"/>
    </row>
    <row r="436" spans="1:12" x14ac:dyDescent="0.2">
      <c r="A436" s="7"/>
      <c r="B436" s="7"/>
      <c r="C436" s="7"/>
      <c r="D436" s="7"/>
      <c r="E436" s="7">
        <v>534100</v>
      </c>
      <c r="F436" s="7"/>
      <c r="G436" s="7" t="s">
        <v>337</v>
      </c>
      <c r="H436" s="7"/>
      <c r="I436" s="27" t="s">
        <v>71</v>
      </c>
      <c r="J436" s="7"/>
      <c r="K436" s="27" t="s">
        <v>2208</v>
      </c>
      <c r="L436" s="7"/>
    </row>
    <row r="437" spans="1:12" x14ac:dyDescent="0.2">
      <c r="A437" s="7"/>
      <c r="B437" s="7"/>
      <c r="C437" s="7"/>
      <c r="D437" s="7"/>
      <c r="E437" s="7">
        <v>534110</v>
      </c>
      <c r="F437" s="7"/>
      <c r="G437" s="7" t="s">
        <v>338</v>
      </c>
      <c r="H437" s="7"/>
      <c r="I437" s="27" t="s">
        <v>71</v>
      </c>
      <c r="J437" s="7"/>
      <c r="K437" s="27" t="s">
        <v>2208</v>
      </c>
      <c r="L437" s="7"/>
    </row>
    <row r="438" spans="1:12" x14ac:dyDescent="0.2">
      <c r="A438" s="7"/>
      <c r="B438" s="7"/>
      <c r="C438" s="7"/>
      <c r="D438" s="7"/>
      <c r="E438" s="7">
        <v>534120</v>
      </c>
      <c r="F438" s="7"/>
      <c r="G438" s="7" t="s">
        <v>339</v>
      </c>
      <c r="H438" s="7"/>
      <c r="I438" s="27" t="s">
        <v>71</v>
      </c>
      <c r="J438" s="7"/>
      <c r="K438" s="27" t="s">
        <v>2208</v>
      </c>
      <c r="L438" s="7"/>
    </row>
    <row r="439" spans="1:12" x14ac:dyDescent="0.2">
      <c r="A439" s="7"/>
      <c r="B439" s="7"/>
      <c r="C439" s="7"/>
      <c r="D439" s="7"/>
      <c r="E439" s="7">
        <v>534125</v>
      </c>
      <c r="F439" s="7"/>
      <c r="G439" s="7" t="s">
        <v>340</v>
      </c>
      <c r="H439" s="7"/>
      <c r="I439" s="27" t="s">
        <v>71</v>
      </c>
      <c r="J439" s="7"/>
      <c r="K439" s="27" t="s">
        <v>2208</v>
      </c>
      <c r="L439" s="7"/>
    </row>
    <row r="440" spans="1:12" x14ac:dyDescent="0.2">
      <c r="A440" s="7"/>
      <c r="B440" s="7"/>
      <c r="C440" s="7"/>
      <c r="D440" s="7"/>
      <c r="E440" s="7">
        <v>534230</v>
      </c>
      <c r="F440" s="7"/>
      <c r="G440" s="7" t="s">
        <v>341</v>
      </c>
      <c r="H440" s="7"/>
      <c r="I440" s="27" t="s">
        <v>71</v>
      </c>
      <c r="J440" s="7"/>
      <c r="K440" s="27" t="s">
        <v>2208</v>
      </c>
      <c r="L440" s="7"/>
    </row>
    <row r="441" spans="1:12" x14ac:dyDescent="0.2">
      <c r="A441" s="7"/>
      <c r="B441" s="7"/>
      <c r="C441" s="7"/>
      <c r="D441" s="7"/>
      <c r="E441" s="7">
        <v>545050</v>
      </c>
      <c r="F441" s="7"/>
      <c r="G441" s="7" t="s">
        <v>342</v>
      </c>
      <c r="H441" s="7"/>
      <c r="I441" s="27" t="s">
        <v>71</v>
      </c>
      <c r="J441" s="7"/>
      <c r="K441" s="27" t="s">
        <v>2208</v>
      </c>
      <c r="L441" s="7"/>
    </row>
    <row r="442" spans="1:12" x14ac:dyDescent="0.2">
      <c r="A442" s="7"/>
      <c r="B442" s="7"/>
      <c r="C442" s="7"/>
      <c r="D442" s="7"/>
      <c r="E442" s="7">
        <v>545100</v>
      </c>
      <c r="F442" s="7"/>
      <c r="G442" s="7" t="s">
        <v>343</v>
      </c>
      <c r="H442" s="7"/>
      <c r="I442" s="27" t="s">
        <v>71</v>
      </c>
      <c r="J442" s="7"/>
      <c r="K442" s="27" t="s">
        <v>2208</v>
      </c>
      <c r="L442" s="7"/>
    </row>
    <row r="443" spans="1:12" x14ac:dyDescent="0.2">
      <c r="A443" s="7"/>
      <c r="B443" s="7"/>
      <c r="C443" s="7"/>
      <c r="D443" s="7"/>
      <c r="E443" s="7">
        <v>545110</v>
      </c>
      <c r="F443" s="7"/>
      <c r="G443" s="7" t="s">
        <v>344</v>
      </c>
      <c r="H443" s="7"/>
      <c r="I443" s="27" t="s">
        <v>25</v>
      </c>
      <c r="J443" s="7"/>
      <c r="K443" s="27" t="s">
        <v>2208</v>
      </c>
      <c r="L443" s="7"/>
    </row>
    <row r="444" spans="1:12" x14ac:dyDescent="0.2">
      <c r="A444" s="7"/>
      <c r="B444" s="7"/>
      <c r="C444" s="7"/>
      <c r="D444" s="7"/>
      <c r="E444" s="7">
        <v>545150</v>
      </c>
      <c r="F444" s="7"/>
      <c r="G444" s="7" t="s">
        <v>345</v>
      </c>
      <c r="H444" s="7"/>
      <c r="I444" s="27" t="s">
        <v>71</v>
      </c>
      <c r="J444" s="7"/>
      <c r="K444" s="27" t="s">
        <v>2208</v>
      </c>
      <c r="L444" s="7"/>
    </row>
    <row r="445" spans="1:12" x14ac:dyDescent="0.2">
      <c r="A445" s="7"/>
      <c r="B445" s="7"/>
      <c r="C445" s="7"/>
      <c r="D445" s="7"/>
      <c r="E445" s="7">
        <v>545160</v>
      </c>
      <c r="F445" s="7"/>
      <c r="G445" s="7" t="s">
        <v>346</v>
      </c>
      <c r="H445" s="7"/>
      <c r="I445" s="27" t="s">
        <v>71</v>
      </c>
      <c r="J445" s="7"/>
      <c r="K445" s="27" t="s">
        <v>2208</v>
      </c>
      <c r="L445" s="7"/>
    </row>
    <row r="446" spans="1:12" x14ac:dyDescent="0.2">
      <c r="A446" s="7"/>
      <c r="B446" s="7"/>
      <c r="C446" s="7"/>
      <c r="D446" s="7"/>
      <c r="E446" s="7">
        <v>545200</v>
      </c>
      <c r="F446" s="7"/>
      <c r="G446" s="7" t="s">
        <v>347</v>
      </c>
      <c r="H446" s="7"/>
      <c r="I446" s="27" t="s">
        <v>71</v>
      </c>
      <c r="J446" s="7"/>
      <c r="K446" s="27" t="s">
        <v>2208</v>
      </c>
      <c r="L446" s="7"/>
    </row>
    <row r="447" spans="1:12" x14ac:dyDescent="0.2">
      <c r="A447" s="7"/>
      <c r="B447" s="7"/>
      <c r="C447" s="7"/>
      <c r="D447" s="7"/>
      <c r="E447" s="7">
        <v>545600</v>
      </c>
      <c r="F447" s="7"/>
      <c r="G447" s="7" t="s">
        <v>348</v>
      </c>
      <c r="H447" s="7"/>
      <c r="I447" s="27" t="s">
        <v>71</v>
      </c>
      <c r="J447" s="7"/>
      <c r="K447" s="27" t="s">
        <v>2208</v>
      </c>
      <c r="L447" s="7"/>
    </row>
    <row r="448" spans="1:12" x14ac:dyDescent="0.2">
      <c r="A448" s="7"/>
      <c r="B448" s="7"/>
      <c r="C448" s="7"/>
      <c r="D448" s="7"/>
      <c r="E448" s="7">
        <v>545620</v>
      </c>
      <c r="F448" s="7"/>
      <c r="G448" s="7" t="s">
        <v>349</v>
      </c>
      <c r="H448" s="7"/>
      <c r="I448" s="27" t="s">
        <v>25</v>
      </c>
      <c r="J448" s="7"/>
      <c r="K448" s="27" t="s">
        <v>2208</v>
      </c>
      <c r="L448" s="7"/>
    </row>
    <row r="449" spans="1:12" x14ac:dyDescent="0.2">
      <c r="A449" s="7"/>
      <c r="B449" s="7"/>
      <c r="C449" s="7"/>
      <c r="D449" s="7"/>
      <c r="E449" s="7">
        <v>545640</v>
      </c>
      <c r="F449" s="7"/>
      <c r="G449" s="7" t="s">
        <v>350</v>
      </c>
      <c r="H449" s="7"/>
      <c r="I449" s="27" t="s">
        <v>26</v>
      </c>
      <c r="J449" s="7"/>
      <c r="K449" s="27" t="s">
        <v>2208</v>
      </c>
      <c r="L449" s="7"/>
    </row>
    <row r="450" spans="1:12" x14ac:dyDescent="0.2">
      <c r="A450" s="7"/>
      <c r="B450" s="7"/>
      <c r="C450" s="7"/>
      <c r="D450" s="7"/>
      <c r="E450" s="7">
        <v>545641</v>
      </c>
      <c r="F450" s="7"/>
      <c r="G450" s="7" t="s">
        <v>351</v>
      </c>
      <c r="H450" s="7"/>
      <c r="I450" s="27" t="s">
        <v>26</v>
      </c>
      <c r="J450" s="7"/>
      <c r="K450" s="27" t="s">
        <v>2208</v>
      </c>
      <c r="L450" s="7"/>
    </row>
    <row r="451" spans="1:12" x14ac:dyDescent="0.2">
      <c r="A451" s="7"/>
      <c r="B451" s="7"/>
      <c r="C451" s="7"/>
      <c r="D451" s="7"/>
      <c r="E451" s="7">
        <v>545643</v>
      </c>
      <c r="F451" s="7"/>
      <c r="G451" s="7" t="s">
        <v>352</v>
      </c>
      <c r="H451" s="7"/>
      <c r="I451" s="27" t="s">
        <v>133</v>
      </c>
      <c r="J451" s="7"/>
      <c r="K451" s="27" t="s">
        <v>2208</v>
      </c>
      <c r="L451" s="7"/>
    </row>
    <row r="452" spans="1:12" x14ac:dyDescent="0.2">
      <c r="A452" s="7"/>
      <c r="B452" s="7"/>
      <c r="C452" s="7"/>
      <c r="D452" s="7"/>
      <c r="E452" s="7">
        <v>545660</v>
      </c>
      <c r="F452" s="7"/>
      <c r="G452" s="7" t="s">
        <v>353</v>
      </c>
      <c r="H452" s="7"/>
      <c r="I452" s="27" t="s">
        <v>19</v>
      </c>
      <c r="J452" s="7"/>
      <c r="K452" s="27" t="s">
        <v>2208</v>
      </c>
      <c r="L452" s="7"/>
    </row>
    <row r="453" spans="1:12" x14ac:dyDescent="0.2">
      <c r="A453" s="7"/>
      <c r="B453" s="7"/>
      <c r="C453" s="7"/>
      <c r="D453" s="7"/>
      <c r="E453" s="7">
        <v>545662</v>
      </c>
      <c r="F453" s="7"/>
      <c r="G453" s="7" t="s">
        <v>354</v>
      </c>
      <c r="H453" s="7"/>
      <c r="I453" s="27" t="s">
        <v>71</v>
      </c>
      <c r="J453" s="7"/>
      <c r="K453" s="27" t="s">
        <v>2208</v>
      </c>
      <c r="L453" s="7"/>
    </row>
    <row r="454" spans="1:12" x14ac:dyDescent="0.2">
      <c r="A454" s="7"/>
      <c r="B454" s="7"/>
      <c r="C454" s="7"/>
      <c r="D454" s="7"/>
      <c r="E454" s="7">
        <v>545663</v>
      </c>
      <c r="F454" s="7"/>
      <c r="G454" s="7" t="s">
        <v>355</v>
      </c>
      <c r="H454" s="7"/>
      <c r="I454" s="27" t="s">
        <v>21</v>
      </c>
      <c r="J454" s="7"/>
      <c r="K454" s="27" t="s">
        <v>2208</v>
      </c>
      <c r="L454" s="7"/>
    </row>
    <row r="455" spans="1:12" x14ac:dyDescent="0.2">
      <c r="A455" s="7"/>
      <c r="B455" s="7"/>
      <c r="C455" s="7"/>
      <c r="D455" s="7"/>
      <c r="E455" s="7">
        <v>545664</v>
      </c>
      <c r="F455" s="7"/>
      <c r="G455" s="7" t="s">
        <v>356</v>
      </c>
      <c r="H455" s="7"/>
      <c r="I455" s="27" t="s">
        <v>71</v>
      </c>
      <c r="J455" s="7"/>
      <c r="K455" s="27" t="s">
        <v>2208</v>
      </c>
      <c r="L455" s="7"/>
    </row>
    <row r="456" spans="1:12" x14ac:dyDescent="0.2">
      <c r="A456" s="7"/>
      <c r="B456" s="7"/>
      <c r="C456" s="7"/>
      <c r="D456" s="7"/>
      <c r="E456" s="7">
        <v>550600</v>
      </c>
      <c r="F456" s="7"/>
      <c r="G456" s="7" t="s">
        <v>357</v>
      </c>
      <c r="H456" s="7"/>
      <c r="I456" s="27" t="s">
        <v>71</v>
      </c>
      <c r="J456" s="7"/>
      <c r="K456" s="27" t="s">
        <v>2208</v>
      </c>
      <c r="L456" s="7"/>
    </row>
    <row r="457" spans="1:12" x14ac:dyDescent="0.2">
      <c r="A457" s="7"/>
      <c r="B457" s="7"/>
      <c r="C457" s="7"/>
      <c r="D457" s="7"/>
      <c r="E457" s="7">
        <v>550610</v>
      </c>
      <c r="F457" s="7"/>
      <c r="G457" s="7" t="s">
        <v>358</v>
      </c>
      <c r="H457" s="7"/>
      <c r="I457" s="27" t="s">
        <v>71</v>
      </c>
      <c r="J457" s="7"/>
      <c r="K457" s="27" t="s">
        <v>2208</v>
      </c>
      <c r="L457" s="7"/>
    </row>
    <row r="458" spans="1:12" x14ac:dyDescent="0.2">
      <c r="A458" s="7"/>
      <c r="B458" s="7"/>
      <c r="C458" s="7"/>
      <c r="D458" s="7"/>
      <c r="E458" s="7">
        <v>550625</v>
      </c>
      <c r="F458" s="7"/>
      <c r="G458" s="7" t="s">
        <v>359</v>
      </c>
      <c r="H458" s="7"/>
      <c r="I458" s="27" t="s">
        <v>71</v>
      </c>
      <c r="J458" s="7"/>
      <c r="K458" s="27" t="s">
        <v>2208</v>
      </c>
      <c r="L458" s="7"/>
    </row>
    <row r="459" spans="1:12" x14ac:dyDescent="0.2">
      <c r="A459" s="7"/>
      <c r="B459" s="7"/>
      <c r="C459" s="7"/>
      <c r="D459" s="7"/>
      <c r="E459" s="7">
        <v>550700</v>
      </c>
      <c r="F459" s="7"/>
      <c r="G459" s="7" t="s">
        <v>360</v>
      </c>
      <c r="H459" s="7"/>
      <c r="I459" s="27" t="s">
        <v>71</v>
      </c>
      <c r="J459" s="7"/>
      <c r="K459" s="27" t="s">
        <v>2208</v>
      </c>
      <c r="L459" s="7"/>
    </row>
    <row r="460" spans="1:12" x14ac:dyDescent="0.2">
      <c r="A460" s="7"/>
      <c r="B460" s="7"/>
      <c r="C460" s="7"/>
      <c r="D460" s="7"/>
      <c r="E460" s="7">
        <v>550750</v>
      </c>
      <c r="F460" s="7"/>
      <c r="G460" s="7" t="s">
        <v>361</v>
      </c>
      <c r="H460" s="7"/>
      <c r="I460" s="27" t="s">
        <v>71</v>
      </c>
      <c r="J460" s="7"/>
      <c r="K460" s="27" t="s">
        <v>2208</v>
      </c>
      <c r="L460" s="7"/>
    </row>
    <row r="461" spans="1:12" x14ac:dyDescent="0.2">
      <c r="A461" s="7"/>
      <c r="B461" s="7"/>
      <c r="C461" s="7"/>
      <c r="D461" s="7"/>
      <c r="E461" s="7">
        <v>550760</v>
      </c>
      <c r="F461" s="7"/>
      <c r="G461" s="7" t="s">
        <v>362</v>
      </c>
      <c r="H461" s="7"/>
      <c r="I461" s="27" t="s">
        <v>71</v>
      </c>
      <c r="J461" s="7"/>
      <c r="K461" s="27" t="s">
        <v>2208</v>
      </c>
      <c r="L461" s="7"/>
    </row>
    <row r="462" spans="1:12" x14ac:dyDescent="0.2">
      <c r="A462" s="7"/>
      <c r="B462" s="7"/>
      <c r="C462" s="7"/>
      <c r="D462" s="7"/>
      <c r="E462" s="7">
        <v>553100</v>
      </c>
      <c r="F462" s="7"/>
      <c r="G462" s="7" t="s">
        <v>363</v>
      </c>
      <c r="H462" s="7"/>
      <c r="I462" s="27" t="s">
        <v>71</v>
      </c>
      <c r="J462" s="7"/>
      <c r="K462" s="27" t="s">
        <v>2208</v>
      </c>
      <c r="L462" s="7"/>
    </row>
    <row r="463" spans="1:12" x14ac:dyDescent="0.2">
      <c r="A463" s="7"/>
      <c r="B463" s="7"/>
      <c r="C463" s="7"/>
      <c r="D463" s="7"/>
      <c r="E463" s="7">
        <v>553200</v>
      </c>
      <c r="F463" s="7"/>
      <c r="G463" s="7" t="s">
        <v>364</v>
      </c>
      <c r="H463" s="7"/>
      <c r="I463" s="27" t="s">
        <v>71</v>
      </c>
      <c r="J463" s="7"/>
      <c r="K463" s="27" t="s">
        <v>2208</v>
      </c>
      <c r="L463" s="7"/>
    </row>
    <row r="464" spans="1:12" x14ac:dyDescent="0.2">
      <c r="A464" s="7"/>
      <c r="B464" s="7"/>
      <c r="C464" s="7"/>
      <c r="D464" s="7"/>
      <c r="E464" s="7">
        <v>553250</v>
      </c>
      <c r="F464" s="7"/>
      <c r="G464" s="7" t="s">
        <v>365</v>
      </c>
      <c r="H464" s="7"/>
      <c r="I464" s="27" t="s">
        <v>71</v>
      </c>
      <c r="J464" s="7"/>
      <c r="K464" s="27" t="s">
        <v>2208</v>
      </c>
      <c r="L464" s="7"/>
    </row>
    <row r="465" spans="1:12" x14ac:dyDescent="0.2">
      <c r="A465" s="7"/>
      <c r="B465" s="7"/>
      <c r="C465" s="7"/>
      <c r="D465" s="7"/>
      <c r="E465" s="7">
        <v>553300</v>
      </c>
      <c r="F465" s="7"/>
      <c r="G465" s="7" t="s">
        <v>366</v>
      </c>
      <c r="H465" s="7"/>
      <c r="I465" s="27" t="s">
        <v>71</v>
      </c>
      <c r="J465" s="7"/>
      <c r="K465" s="27" t="s">
        <v>2208</v>
      </c>
      <c r="L465" s="7"/>
    </row>
    <row r="466" spans="1:12" x14ac:dyDescent="0.2">
      <c r="A466" s="7"/>
      <c r="B466" s="7"/>
      <c r="C466" s="7"/>
      <c r="D466" s="7"/>
      <c r="E466" s="7">
        <v>555000</v>
      </c>
      <c r="F466" s="7"/>
      <c r="G466" s="7" t="s">
        <v>367</v>
      </c>
      <c r="H466" s="7"/>
      <c r="I466" s="27" t="s">
        <v>71</v>
      </c>
      <c r="J466" s="7"/>
      <c r="K466" s="27" t="s">
        <v>2208</v>
      </c>
      <c r="L466" s="7"/>
    </row>
    <row r="467" spans="1:12" x14ac:dyDescent="0.2">
      <c r="A467" s="7"/>
      <c r="B467" s="7"/>
      <c r="C467" s="7"/>
      <c r="D467" s="7"/>
      <c r="E467" s="7">
        <v>555510</v>
      </c>
      <c r="F467" s="7"/>
      <c r="G467" s="7" t="s">
        <v>368</v>
      </c>
      <c r="H467" s="7"/>
      <c r="I467" s="27" t="s">
        <v>25</v>
      </c>
      <c r="J467" s="7"/>
      <c r="K467" s="27" t="s">
        <v>2208</v>
      </c>
      <c r="L467" s="7"/>
    </row>
    <row r="468" spans="1:12" x14ac:dyDescent="0.2">
      <c r="A468" s="7"/>
      <c r="B468" s="7"/>
      <c r="C468" s="7"/>
      <c r="D468" s="7"/>
      <c r="E468" s="7">
        <v>555515</v>
      </c>
      <c r="F468" s="7"/>
      <c r="G468" s="7" t="s">
        <v>368</v>
      </c>
      <c r="H468" s="7"/>
      <c r="I468" s="27" t="s">
        <v>25</v>
      </c>
      <c r="J468" s="7"/>
      <c r="K468" s="27" t="s">
        <v>2208</v>
      </c>
      <c r="L468" s="7"/>
    </row>
    <row r="469" spans="1:12" x14ac:dyDescent="0.2">
      <c r="A469" s="7"/>
      <c r="B469" s="7"/>
      <c r="C469" s="7"/>
      <c r="D469" s="7"/>
      <c r="E469" s="7">
        <v>565120</v>
      </c>
      <c r="F469" s="7"/>
      <c r="G469" s="7" t="s">
        <v>369</v>
      </c>
      <c r="H469" s="7"/>
      <c r="I469" s="27" t="s">
        <v>25</v>
      </c>
      <c r="J469" s="7"/>
      <c r="K469" s="27" t="s">
        <v>2208</v>
      </c>
      <c r="L469" s="7"/>
    </row>
    <row r="470" spans="1:12" x14ac:dyDescent="0.2">
      <c r="A470" s="7"/>
      <c r="B470" s="7"/>
      <c r="C470" s="7"/>
      <c r="D470" s="7"/>
      <c r="E470" s="7">
        <v>565160</v>
      </c>
      <c r="F470" s="7"/>
      <c r="G470" s="7" t="s">
        <v>370</v>
      </c>
      <c r="H470" s="7"/>
      <c r="I470" s="27" t="s">
        <v>25</v>
      </c>
      <c r="J470" s="7"/>
      <c r="K470" s="27" t="s">
        <v>2208</v>
      </c>
      <c r="L470" s="7"/>
    </row>
    <row r="471" spans="1:12" x14ac:dyDescent="0.2">
      <c r="A471" s="7"/>
      <c r="B471" s="7"/>
      <c r="C471" s="7"/>
      <c r="D471" s="7"/>
      <c r="E471" s="7">
        <v>565180</v>
      </c>
      <c r="F471" s="7"/>
      <c r="G471" s="7" t="s">
        <v>371</v>
      </c>
      <c r="H471" s="7"/>
      <c r="I471" s="27" t="s">
        <v>25</v>
      </c>
      <c r="J471" s="7"/>
      <c r="K471" s="27" t="s">
        <v>2208</v>
      </c>
      <c r="L471" s="7"/>
    </row>
    <row r="472" spans="1:12" x14ac:dyDescent="0.2">
      <c r="A472" s="7"/>
      <c r="B472" s="7"/>
      <c r="C472" s="7"/>
      <c r="D472" s="7"/>
      <c r="E472" s="7">
        <v>565200</v>
      </c>
      <c r="F472" s="7"/>
      <c r="G472" s="7" t="s">
        <v>372</v>
      </c>
      <c r="H472" s="7"/>
      <c r="I472" s="27" t="s">
        <v>25</v>
      </c>
      <c r="J472" s="7"/>
      <c r="K472" s="27" t="s">
        <v>2208</v>
      </c>
      <c r="L472" s="7"/>
    </row>
    <row r="473" spans="1:12" x14ac:dyDescent="0.2">
      <c r="A473" s="7"/>
      <c r="B473" s="7"/>
      <c r="C473" s="7"/>
      <c r="D473" s="7"/>
      <c r="E473" s="7">
        <v>565220</v>
      </c>
      <c r="F473" s="7"/>
      <c r="G473" s="7" t="s">
        <v>373</v>
      </c>
      <c r="H473" s="7"/>
      <c r="I473" s="27" t="s">
        <v>25</v>
      </c>
      <c r="J473" s="7"/>
      <c r="K473" s="27" t="s">
        <v>2208</v>
      </c>
      <c r="L473" s="7"/>
    </row>
    <row r="474" spans="1:12" x14ac:dyDescent="0.2">
      <c r="A474" s="7"/>
      <c r="B474" s="7"/>
      <c r="C474" s="7"/>
      <c r="D474" s="7"/>
      <c r="E474" s="7">
        <v>566110</v>
      </c>
      <c r="F474" s="7"/>
      <c r="G474" s="7" t="s">
        <v>374</v>
      </c>
      <c r="H474" s="7"/>
      <c r="I474" s="27" t="s">
        <v>25</v>
      </c>
      <c r="J474" s="7"/>
      <c r="K474" s="27" t="s">
        <v>2208</v>
      </c>
      <c r="L474" s="7"/>
    </row>
    <row r="475" spans="1:12" x14ac:dyDescent="0.2">
      <c r="A475" s="7"/>
      <c r="B475" s="7"/>
      <c r="C475" s="7"/>
      <c r="D475" s="7"/>
      <c r="E475" s="7">
        <v>566111</v>
      </c>
      <c r="F475" s="7"/>
      <c r="G475" s="7" t="s">
        <v>375</v>
      </c>
      <c r="H475" s="7"/>
      <c r="I475" s="27" t="s">
        <v>25</v>
      </c>
      <c r="J475" s="7"/>
      <c r="K475" s="27" t="s">
        <v>2208</v>
      </c>
      <c r="L475" s="7"/>
    </row>
    <row r="476" spans="1:12" x14ac:dyDescent="0.2">
      <c r="A476" s="7"/>
      <c r="B476" s="7"/>
      <c r="C476" s="7"/>
      <c r="D476" s="7"/>
      <c r="E476" s="7">
        <v>566112</v>
      </c>
      <c r="F476" s="7"/>
      <c r="G476" s="7" t="s">
        <v>376</v>
      </c>
      <c r="H476" s="7"/>
      <c r="I476" s="27" t="s">
        <v>25</v>
      </c>
      <c r="J476" s="7"/>
      <c r="K476" s="27" t="s">
        <v>2208</v>
      </c>
      <c r="L476" s="7"/>
    </row>
    <row r="477" spans="1:12" x14ac:dyDescent="0.2">
      <c r="A477" s="7"/>
      <c r="B477" s="7"/>
      <c r="C477" s="7"/>
      <c r="D477" s="7"/>
      <c r="E477" s="7">
        <v>570000</v>
      </c>
      <c r="F477" s="7"/>
      <c r="G477" s="7" t="s">
        <v>377</v>
      </c>
      <c r="H477" s="7"/>
      <c r="I477" s="27" t="s">
        <v>25</v>
      </c>
      <c r="J477" s="7"/>
      <c r="K477" s="27" t="s">
        <v>2208</v>
      </c>
      <c r="L477" s="7"/>
    </row>
    <row r="478" spans="1:12" x14ac:dyDescent="0.2">
      <c r="A478" s="7"/>
      <c r="B478" s="7"/>
      <c r="C478" s="7"/>
      <c r="D478" s="7"/>
      <c r="E478" s="7">
        <v>570001</v>
      </c>
      <c r="F478" s="7"/>
      <c r="G478" s="7" t="s">
        <v>378</v>
      </c>
      <c r="H478" s="7"/>
      <c r="I478" s="27" t="s">
        <v>25</v>
      </c>
      <c r="J478" s="7"/>
      <c r="K478" s="27" t="s">
        <v>2208</v>
      </c>
      <c r="L478" s="7"/>
    </row>
    <row r="479" spans="1:12" x14ac:dyDescent="0.2">
      <c r="A479" s="7"/>
      <c r="B479" s="7"/>
      <c r="C479" s="7"/>
      <c r="D479" s="7"/>
      <c r="E479" s="7">
        <v>582100</v>
      </c>
      <c r="F479" s="7"/>
      <c r="G479" s="7" t="s">
        <v>379</v>
      </c>
      <c r="H479" s="7"/>
      <c r="I479" s="27" t="s">
        <v>71</v>
      </c>
      <c r="J479" s="7"/>
      <c r="K479" s="27" t="s">
        <v>2208</v>
      </c>
      <c r="L479" s="7"/>
    </row>
    <row r="480" spans="1:12" x14ac:dyDescent="0.2">
      <c r="A480" s="7"/>
      <c r="B480" s="7"/>
      <c r="C480" s="7"/>
      <c r="D480" s="7"/>
      <c r="E480" s="7">
        <v>582200</v>
      </c>
      <c r="F480" s="7"/>
      <c r="G480" s="7" t="s">
        <v>380</v>
      </c>
      <c r="H480" s="7"/>
      <c r="I480" s="27" t="s">
        <v>71</v>
      </c>
      <c r="J480" s="7"/>
      <c r="K480" s="27" t="s">
        <v>2208</v>
      </c>
      <c r="L480" s="7"/>
    </row>
    <row r="481" spans="1:12" x14ac:dyDescent="0.2">
      <c r="A481" s="7"/>
      <c r="B481" s="7"/>
      <c r="C481" s="7"/>
      <c r="D481" s="7"/>
      <c r="E481" s="7">
        <v>582300</v>
      </c>
      <c r="F481" s="7"/>
      <c r="G481" s="7" t="s">
        <v>381</v>
      </c>
      <c r="H481" s="7"/>
      <c r="I481" s="27" t="s">
        <v>71</v>
      </c>
      <c r="J481" s="7"/>
      <c r="K481" s="27" t="s">
        <v>2208</v>
      </c>
      <c r="L481" s="7"/>
    </row>
    <row r="482" spans="1:12" x14ac:dyDescent="0.2">
      <c r="A482" s="7"/>
      <c r="B482" s="7"/>
      <c r="C482" s="7"/>
      <c r="D482" s="7"/>
      <c r="E482" s="7">
        <v>582301</v>
      </c>
      <c r="F482" s="7"/>
      <c r="G482" s="7" t="s">
        <v>382</v>
      </c>
      <c r="H482" s="7"/>
      <c r="I482" s="27" t="s">
        <v>71</v>
      </c>
      <c r="J482" s="7"/>
      <c r="K482" s="27" t="s">
        <v>2208</v>
      </c>
      <c r="L482" s="7"/>
    </row>
    <row r="483" spans="1:12" x14ac:dyDescent="0.2">
      <c r="A483" s="7"/>
      <c r="B483" s="7"/>
      <c r="C483" s="7"/>
      <c r="D483" s="7"/>
      <c r="E483" s="7">
        <v>582350</v>
      </c>
      <c r="F483" s="7"/>
      <c r="G483" s="7" t="s">
        <v>383</v>
      </c>
      <c r="H483" s="7"/>
      <c r="I483" s="27" t="s">
        <v>71</v>
      </c>
      <c r="J483" s="7"/>
      <c r="K483" s="27" t="s">
        <v>2208</v>
      </c>
      <c r="L483" s="7"/>
    </row>
    <row r="484" spans="1:12" x14ac:dyDescent="0.2">
      <c r="A484" s="7"/>
      <c r="B484" s="7"/>
      <c r="C484" s="7"/>
      <c r="D484" s="7"/>
      <c r="E484" s="7">
        <v>582351</v>
      </c>
      <c r="F484" s="7"/>
      <c r="G484" s="7" t="s">
        <v>384</v>
      </c>
      <c r="H484" s="7"/>
      <c r="I484" s="27" t="s">
        <v>71</v>
      </c>
      <c r="J484" s="7"/>
      <c r="K484" s="27" t="s">
        <v>2208</v>
      </c>
      <c r="L484" s="7"/>
    </row>
    <row r="485" spans="1:12" x14ac:dyDescent="0.2">
      <c r="A485" s="7"/>
      <c r="B485" s="7"/>
      <c r="C485" s="7"/>
      <c r="D485" s="7"/>
      <c r="E485" s="7">
        <v>583100</v>
      </c>
      <c r="F485" s="7"/>
      <c r="G485" s="7" t="s">
        <v>385</v>
      </c>
      <c r="H485" s="7"/>
      <c r="I485" s="27" t="s">
        <v>71</v>
      </c>
      <c r="J485" s="7"/>
      <c r="K485" s="27" t="s">
        <v>2208</v>
      </c>
      <c r="L485" s="7"/>
    </row>
    <row r="486" spans="1:12" x14ac:dyDescent="0.2">
      <c r="A486" s="7"/>
      <c r="B486" s="7"/>
      <c r="C486" s="7"/>
      <c r="D486" s="7"/>
      <c r="E486" s="7">
        <v>583150</v>
      </c>
      <c r="F486" s="7"/>
      <c r="G486" s="7" t="s">
        <v>386</v>
      </c>
      <c r="H486" s="7"/>
      <c r="I486" s="27" t="s">
        <v>71</v>
      </c>
      <c r="J486" s="7"/>
      <c r="K486" s="27" t="s">
        <v>2208</v>
      </c>
      <c r="L486" s="7"/>
    </row>
    <row r="487" spans="1:12" x14ac:dyDescent="0.2">
      <c r="A487" s="7"/>
      <c r="B487" s="7"/>
      <c r="C487" s="7"/>
      <c r="D487" s="7"/>
      <c r="E487" s="7">
        <v>583250</v>
      </c>
      <c r="F487" s="7"/>
      <c r="G487" s="7" t="s">
        <v>387</v>
      </c>
      <c r="H487" s="7"/>
      <c r="I487" s="27" t="s">
        <v>71</v>
      </c>
      <c r="J487" s="7"/>
      <c r="K487" s="27" t="s">
        <v>2208</v>
      </c>
      <c r="L487" s="7"/>
    </row>
    <row r="488" spans="1:12" x14ac:dyDescent="0.2">
      <c r="A488" s="7"/>
      <c r="B488" s="7"/>
      <c r="C488" s="7"/>
      <c r="D488" s="7"/>
      <c r="E488" s="7">
        <v>583600</v>
      </c>
      <c r="F488" s="7"/>
      <c r="G488" s="7" t="s">
        <v>388</v>
      </c>
      <c r="H488" s="7"/>
      <c r="I488" s="27" t="s">
        <v>133</v>
      </c>
      <c r="J488" s="7"/>
      <c r="K488" s="27" t="s">
        <v>2208</v>
      </c>
      <c r="L488" s="7"/>
    </row>
    <row r="489" spans="1:12" x14ac:dyDescent="0.2">
      <c r="A489" s="7"/>
      <c r="B489" s="7"/>
      <c r="C489" s="7"/>
      <c r="D489" s="7"/>
      <c r="E489" s="7">
        <v>585100</v>
      </c>
      <c r="F489" s="7"/>
      <c r="G489" s="7" t="s">
        <v>389</v>
      </c>
      <c r="H489" s="7"/>
      <c r="I489" s="27" t="s">
        <v>25</v>
      </c>
      <c r="J489" s="7"/>
      <c r="K489" s="27" t="s">
        <v>2208</v>
      </c>
      <c r="L489" s="7"/>
    </row>
    <row r="490" spans="1:12" x14ac:dyDescent="0.2">
      <c r="A490" s="7"/>
      <c r="B490" s="7"/>
      <c r="C490" s="7"/>
      <c r="D490" s="7"/>
      <c r="E490" s="7">
        <v>585150</v>
      </c>
      <c r="F490" s="7"/>
      <c r="G490" s="7" t="s">
        <v>390</v>
      </c>
      <c r="H490" s="7"/>
      <c r="I490" s="27" t="s">
        <v>25</v>
      </c>
      <c r="J490" s="7"/>
      <c r="K490" s="27" t="s">
        <v>2208</v>
      </c>
      <c r="L490" s="7"/>
    </row>
    <row r="491" spans="1:12" x14ac:dyDescent="0.2">
      <c r="A491" s="7"/>
      <c r="B491" s="7"/>
      <c r="C491" s="7"/>
      <c r="D491" s="7"/>
      <c r="E491" s="7">
        <v>585200</v>
      </c>
      <c r="F491" s="7"/>
      <c r="G491" s="7" t="s">
        <v>391</v>
      </c>
      <c r="H491" s="7"/>
      <c r="I491" s="27" t="s">
        <v>25</v>
      </c>
      <c r="J491" s="7"/>
      <c r="K491" s="27" t="s">
        <v>2208</v>
      </c>
      <c r="L491" s="7"/>
    </row>
    <row r="492" spans="1:12" x14ac:dyDescent="0.2">
      <c r="A492" s="7"/>
      <c r="B492" s="7"/>
      <c r="C492" s="7"/>
      <c r="D492" s="7"/>
      <c r="E492" s="7">
        <v>585269</v>
      </c>
      <c r="F492" s="7"/>
      <c r="G492" s="7" t="s">
        <v>392</v>
      </c>
      <c r="H492" s="7"/>
      <c r="I492" s="27" t="s">
        <v>25</v>
      </c>
      <c r="J492" s="7"/>
      <c r="K492" s="27" t="s">
        <v>2208</v>
      </c>
      <c r="L492" s="7"/>
    </row>
    <row r="493" spans="1:12" x14ac:dyDescent="0.2">
      <c r="A493" s="7"/>
      <c r="B493" s="7"/>
      <c r="C493" s="7"/>
      <c r="D493" s="7"/>
      <c r="E493" s="7">
        <v>585850</v>
      </c>
      <c r="F493" s="7"/>
      <c r="G493" s="7" t="s">
        <v>393</v>
      </c>
      <c r="H493" s="7"/>
      <c r="I493" s="27" t="s">
        <v>25</v>
      </c>
      <c r="J493" s="7"/>
      <c r="K493" s="27" t="s">
        <v>2208</v>
      </c>
      <c r="L493" s="7"/>
    </row>
    <row r="494" spans="1:12" x14ac:dyDescent="0.2">
      <c r="A494" s="7"/>
      <c r="B494" s="7"/>
      <c r="C494" s="7"/>
      <c r="D494" s="7"/>
      <c r="E494" s="7">
        <v>586460</v>
      </c>
      <c r="F494" s="7"/>
      <c r="G494" s="7" t="s">
        <v>394</v>
      </c>
      <c r="H494" s="7"/>
      <c r="I494" s="27" t="s">
        <v>25</v>
      </c>
      <c r="J494" s="7"/>
      <c r="K494" s="27" t="s">
        <v>2208</v>
      </c>
      <c r="L494" s="7"/>
    </row>
    <row r="495" spans="1:12" x14ac:dyDescent="0.2">
      <c r="A495" s="7"/>
      <c r="B495" s="7"/>
      <c r="C495" s="7"/>
      <c r="D495" s="7"/>
      <c r="E495" s="7">
        <v>586463</v>
      </c>
      <c r="F495" s="7"/>
      <c r="G495" s="7" t="s">
        <v>395</v>
      </c>
      <c r="H495" s="7"/>
      <c r="I495" s="27" t="s">
        <v>25</v>
      </c>
      <c r="J495" s="7"/>
      <c r="K495" s="27" t="s">
        <v>2208</v>
      </c>
      <c r="L495" s="7"/>
    </row>
    <row r="496" spans="1:12" x14ac:dyDescent="0.2">
      <c r="A496" s="7"/>
      <c r="B496" s="7"/>
      <c r="C496" s="7"/>
      <c r="D496" s="7"/>
      <c r="E496" s="7">
        <v>586464</v>
      </c>
      <c r="F496" s="7"/>
      <c r="G496" s="7" t="s">
        <v>396</v>
      </c>
      <c r="H496" s="7"/>
      <c r="I496" s="27" t="s">
        <v>71</v>
      </c>
      <c r="J496" s="7"/>
      <c r="K496" s="27" t="s">
        <v>2208</v>
      </c>
      <c r="L496" s="7"/>
    </row>
    <row r="497" spans="1:12" x14ac:dyDescent="0.2">
      <c r="A497" s="7"/>
      <c r="B497" s="7"/>
      <c r="C497" s="7"/>
      <c r="D497" s="7"/>
      <c r="E497" s="7">
        <v>586470</v>
      </c>
      <c r="F497" s="7"/>
      <c r="G497" s="7" t="s">
        <v>394</v>
      </c>
      <c r="H497" s="7"/>
      <c r="I497" s="27" t="s">
        <v>25</v>
      </c>
      <c r="J497" s="7"/>
      <c r="K497" s="27" t="s">
        <v>2208</v>
      </c>
      <c r="L497" s="7"/>
    </row>
    <row r="498" spans="1:12" x14ac:dyDescent="0.2">
      <c r="A498" s="7"/>
      <c r="B498" s="7"/>
      <c r="C498" s="7"/>
      <c r="D498" s="7"/>
      <c r="E498" s="7">
        <v>591100</v>
      </c>
      <c r="F498" s="7"/>
      <c r="G498" s="7" t="s">
        <v>397</v>
      </c>
      <c r="H498" s="7"/>
      <c r="I498" s="27" t="s">
        <v>71</v>
      </c>
      <c r="J498" s="7"/>
      <c r="K498" s="27" t="s">
        <v>2208</v>
      </c>
      <c r="L498" s="7"/>
    </row>
    <row r="499" spans="1:12" x14ac:dyDescent="0.2">
      <c r="A499" s="7"/>
      <c r="B499" s="7"/>
      <c r="C499" s="7"/>
      <c r="D499" s="7"/>
      <c r="E499" s="7">
        <v>591200</v>
      </c>
      <c r="F499" s="7"/>
      <c r="G499" s="7" t="s">
        <v>398</v>
      </c>
      <c r="H499" s="7"/>
      <c r="I499" s="27" t="s">
        <v>71</v>
      </c>
      <c r="J499" s="7"/>
      <c r="K499" s="27" t="s">
        <v>2208</v>
      </c>
      <c r="L499" s="7"/>
    </row>
    <row r="500" spans="1:12" x14ac:dyDescent="0.2">
      <c r="A500" s="7"/>
      <c r="B500" s="7"/>
      <c r="C500" s="7"/>
      <c r="D500" s="7"/>
      <c r="E500" s="7">
        <v>591997</v>
      </c>
      <c r="F500" s="7"/>
      <c r="G500" s="7" t="s">
        <v>399</v>
      </c>
      <c r="H500" s="7"/>
      <c r="I500" s="27" t="s">
        <v>71</v>
      </c>
      <c r="J500" s="7"/>
      <c r="K500" s="27" t="s">
        <v>2208</v>
      </c>
      <c r="L500" s="7"/>
    </row>
    <row r="501" spans="1:12" x14ac:dyDescent="0.2">
      <c r="A501" s="7"/>
      <c r="B501" s="7"/>
      <c r="C501" s="7"/>
      <c r="D501" s="7"/>
      <c r="E501" s="7">
        <v>591998</v>
      </c>
      <c r="F501" s="7"/>
      <c r="G501" s="7" t="s">
        <v>400</v>
      </c>
      <c r="H501" s="7"/>
      <c r="I501" s="27" t="s">
        <v>71</v>
      </c>
      <c r="J501" s="7"/>
      <c r="K501" s="27" t="s">
        <v>2208</v>
      </c>
      <c r="L501" s="7"/>
    </row>
    <row r="502" spans="1:12" x14ac:dyDescent="0.2">
      <c r="A502" s="7"/>
      <c r="B502" s="7"/>
      <c r="C502" s="7"/>
      <c r="D502" s="7"/>
      <c r="E502" s="7">
        <v>591999</v>
      </c>
      <c r="F502" s="7"/>
      <c r="G502" s="7" t="s">
        <v>401</v>
      </c>
      <c r="H502" s="7"/>
      <c r="I502" s="27" t="s">
        <v>71</v>
      </c>
      <c r="J502" s="7"/>
      <c r="K502" s="27" t="s">
        <v>2208</v>
      </c>
      <c r="L502" s="7"/>
    </row>
    <row r="503" spans="1:12" x14ac:dyDescent="0.2">
      <c r="A503" s="7"/>
      <c r="B503" s="7"/>
      <c r="C503" s="7"/>
      <c r="D503" s="7"/>
      <c r="E503" s="7">
        <v>601007</v>
      </c>
      <c r="F503" s="7"/>
      <c r="G503" s="7" t="s">
        <v>402</v>
      </c>
      <c r="H503" s="7"/>
      <c r="I503" s="27" t="s">
        <v>71</v>
      </c>
      <c r="J503" s="7"/>
      <c r="K503" s="27" t="s">
        <v>2208</v>
      </c>
      <c r="L503" s="7"/>
    </row>
    <row r="504" spans="1:12" x14ac:dyDescent="0.2">
      <c r="A504" s="7"/>
      <c r="B504" s="7"/>
      <c r="C504" s="7"/>
      <c r="D504" s="7"/>
      <c r="E504" s="7">
        <v>601008</v>
      </c>
      <c r="F504" s="7"/>
      <c r="G504" s="7" t="s">
        <v>403</v>
      </c>
      <c r="H504" s="7"/>
      <c r="I504" s="27" t="s">
        <v>13</v>
      </c>
      <c r="J504" s="7"/>
      <c r="K504" s="27" t="s">
        <v>2208</v>
      </c>
      <c r="L504" s="7"/>
    </row>
    <row r="505" spans="1:12" x14ac:dyDescent="0.2">
      <c r="A505" s="7"/>
      <c r="B505" s="7"/>
      <c r="C505" s="7"/>
      <c r="D505" s="7"/>
      <c r="E505" s="7">
        <v>601009</v>
      </c>
      <c r="F505" s="7"/>
      <c r="G505" s="7" t="s">
        <v>404</v>
      </c>
      <c r="H505" s="7"/>
      <c r="I505" s="27" t="s">
        <v>21</v>
      </c>
      <c r="J505" s="7"/>
      <c r="K505" s="27" t="s">
        <v>2208</v>
      </c>
      <c r="L505" s="7"/>
    </row>
    <row r="506" spans="1:12" x14ac:dyDescent="0.2">
      <c r="A506" s="7"/>
      <c r="B506" s="7"/>
      <c r="C506" s="7"/>
      <c r="D506" s="7"/>
      <c r="E506" s="7">
        <v>601021</v>
      </c>
      <c r="F506" s="7"/>
      <c r="G506" s="7" t="s">
        <v>405</v>
      </c>
      <c r="H506" s="7"/>
      <c r="I506" s="27" t="s">
        <v>71</v>
      </c>
      <c r="J506" s="7"/>
      <c r="K506" s="27" t="s">
        <v>2208</v>
      </c>
      <c r="L506" s="7"/>
    </row>
    <row r="507" spans="1:12" x14ac:dyDescent="0.2">
      <c r="A507" s="7"/>
      <c r="B507" s="7"/>
      <c r="C507" s="7"/>
      <c r="D507" s="7"/>
      <c r="E507" s="7">
        <v>601154</v>
      </c>
      <c r="F507" s="7"/>
      <c r="G507" s="7" t="s">
        <v>406</v>
      </c>
      <c r="H507" s="7"/>
      <c r="I507" s="27" t="s">
        <v>133</v>
      </c>
      <c r="J507" s="7"/>
      <c r="K507" s="27" t="s">
        <v>2208</v>
      </c>
      <c r="L507" s="7"/>
    </row>
    <row r="508" spans="1:12" x14ac:dyDescent="0.2">
      <c r="A508" s="7"/>
      <c r="B508" s="7"/>
      <c r="C508" s="7"/>
      <c r="D508" s="7"/>
      <c r="E508" s="7">
        <v>601155</v>
      </c>
      <c r="F508" s="7"/>
      <c r="G508" s="7" t="s">
        <v>407</v>
      </c>
      <c r="H508" s="7"/>
      <c r="I508" s="27" t="s">
        <v>12</v>
      </c>
      <c r="J508" s="7"/>
      <c r="K508" s="27" t="s">
        <v>2208</v>
      </c>
      <c r="L508" s="7"/>
    </row>
    <row r="509" spans="1:12" x14ac:dyDescent="0.2">
      <c r="A509" s="7"/>
      <c r="B509" s="7"/>
      <c r="C509" s="7"/>
      <c r="D509" s="7"/>
      <c r="E509" s="7">
        <v>601156</v>
      </c>
      <c r="F509" s="7"/>
      <c r="G509" s="7" t="s">
        <v>406</v>
      </c>
      <c r="H509" s="7"/>
      <c r="I509" s="27" t="s">
        <v>133</v>
      </c>
      <c r="J509" s="7"/>
      <c r="K509" s="27" t="s">
        <v>2208</v>
      </c>
      <c r="L509" s="7"/>
    </row>
    <row r="510" spans="1:12" x14ac:dyDescent="0.2">
      <c r="A510" s="7"/>
      <c r="B510" s="7"/>
      <c r="C510" s="7"/>
      <c r="D510" s="7"/>
      <c r="E510" s="7">
        <v>601157</v>
      </c>
      <c r="F510" s="7"/>
      <c r="G510" s="7" t="s">
        <v>407</v>
      </c>
      <c r="H510" s="7"/>
      <c r="I510" s="27" t="s">
        <v>12</v>
      </c>
      <c r="J510" s="7"/>
      <c r="K510" s="27" t="s">
        <v>2208</v>
      </c>
      <c r="L510" s="7"/>
    </row>
    <row r="511" spans="1:12" x14ac:dyDescent="0.2">
      <c r="A511" s="7"/>
      <c r="B511" s="7"/>
      <c r="C511" s="7"/>
      <c r="D511" s="7"/>
      <c r="E511" s="7">
        <v>601568</v>
      </c>
      <c r="F511" s="7"/>
      <c r="G511" s="7" t="s">
        <v>408</v>
      </c>
      <c r="H511" s="7"/>
      <c r="I511" s="27" t="s">
        <v>71</v>
      </c>
      <c r="J511" s="7"/>
      <c r="K511" s="27" t="s">
        <v>2208</v>
      </c>
      <c r="L511" s="7"/>
    </row>
    <row r="512" spans="1:12" x14ac:dyDescent="0.2">
      <c r="A512" s="7"/>
      <c r="B512" s="7"/>
      <c r="C512" s="7"/>
      <c r="D512" s="7"/>
      <c r="E512" s="7">
        <v>602050</v>
      </c>
      <c r="F512" s="7"/>
      <c r="G512" s="7" t="s">
        <v>409</v>
      </c>
      <c r="H512" s="7"/>
      <c r="I512" s="27" t="s">
        <v>133</v>
      </c>
      <c r="J512" s="7"/>
      <c r="K512" s="27" t="s">
        <v>2208</v>
      </c>
      <c r="L512" s="7"/>
    </row>
    <row r="513" spans="1:12" x14ac:dyDescent="0.2">
      <c r="A513" s="7"/>
      <c r="B513" s="7"/>
      <c r="C513" s="7"/>
      <c r="D513" s="7"/>
      <c r="E513" s="7">
        <v>602051</v>
      </c>
      <c r="F513" s="7"/>
      <c r="G513" s="7" t="s">
        <v>410</v>
      </c>
      <c r="H513" s="7"/>
      <c r="I513" s="27" t="s">
        <v>133</v>
      </c>
      <c r="J513" s="7"/>
      <c r="K513" s="27" t="s">
        <v>2208</v>
      </c>
      <c r="L513" s="7"/>
    </row>
    <row r="514" spans="1:12" x14ac:dyDescent="0.2">
      <c r="A514" s="7"/>
      <c r="B514" s="7"/>
      <c r="C514" s="7"/>
      <c r="D514" s="7"/>
      <c r="E514" s="7">
        <v>602060</v>
      </c>
      <c r="F514" s="7"/>
      <c r="G514" s="7" t="s">
        <v>411</v>
      </c>
      <c r="H514" s="7"/>
      <c r="I514" s="27" t="s">
        <v>133</v>
      </c>
      <c r="J514" s="7"/>
      <c r="K514" s="27" t="s">
        <v>2208</v>
      </c>
      <c r="L514" s="7"/>
    </row>
    <row r="515" spans="1:12" x14ac:dyDescent="0.2">
      <c r="A515" s="7"/>
      <c r="B515" s="7"/>
      <c r="C515" s="7"/>
      <c r="D515" s="7"/>
      <c r="E515" s="7">
        <v>602061</v>
      </c>
      <c r="F515" s="7"/>
      <c r="G515" s="7" t="s">
        <v>411</v>
      </c>
      <c r="H515" s="7"/>
      <c r="I515" s="27" t="s">
        <v>133</v>
      </c>
      <c r="J515" s="7"/>
      <c r="K515" s="27" t="s">
        <v>2208</v>
      </c>
      <c r="L515" s="7"/>
    </row>
    <row r="516" spans="1:12" x14ac:dyDescent="0.2">
      <c r="A516" s="7"/>
      <c r="B516" s="7"/>
      <c r="C516" s="7"/>
      <c r="D516" s="7"/>
      <c r="E516" s="7">
        <v>602356</v>
      </c>
      <c r="F516" s="7"/>
      <c r="G516" s="7" t="s">
        <v>412</v>
      </c>
      <c r="H516" s="7"/>
      <c r="I516" s="27" t="s">
        <v>133</v>
      </c>
      <c r="J516" s="7"/>
      <c r="K516" s="27" t="s">
        <v>2208</v>
      </c>
      <c r="L516" s="7"/>
    </row>
    <row r="517" spans="1:12" x14ac:dyDescent="0.2">
      <c r="A517" s="7"/>
      <c r="B517" s="7"/>
      <c r="C517" s="7"/>
      <c r="D517" s="7"/>
      <c r="E517" s="7">
        <v>604001</v>
      </c>
      <c r="F517" s="7"/>
      <c r="G517" s="7" t="s">
        <v>413</v>
      </c>
      <c r="H517" s="7"/>
      <c r="I517" s="27" t="s">
        <v>133</v>
      </c>
      <c r="J517" s="7"/>
      <c r="K517" s="27" t="s">
        <v>2208</v>
      </c>
      <c r="L517" s="7"/>
    </row>
    <row r="518" spans="1:12" x14ac:dyDescent="0.2">
      <c r="A518" s="7"/>
      <c r="B518" s="7"/>
      <c r="C518" s="7"/>
      <c r="D518" s="7"/>
      <c r="E518" s="7">
        <v>604004</v>
      </c>
      <c r="F518" s="7"/>
      <c r="G518" s="7" t="s">
        <v>414</v>
      </c>
      <c r="H518" s="7"/>
      <c r="I518" s="27" t="s">
        <v>71</v>
      </c>
      <c r="J518" s="7"/>
      <c r="K518" s="27" t="s">
        <v>2208</v>
      </c>
      <c r="L518" s="7"/>
    </row>
    <row r="519" spans="1:12" x14ac:dyDescent="0.2">
      <c r="A519" s="7"/>
      <c r="B519" s="7"/>
      <c r="C519" s="7"/>
      <c r="D519" s="7"/>
      <c r="E519" s="7">
        <v>604007</v>
      </c>
      <c r="F519" s="7"/>
      <c r="G519" s="7" t="s">
        <v>415</v>
      </c>
      <c r="H519" s="7"/>
      <c r="I519" s="27" t="s">
        <v>71</v>
      </c>
      <c r="J519" s="7"/>
      <c r="K519" s="27" t="s">
        <v>2208</v>
      </c>
      <c r="L519" s="7"/>
    </row>
    <row r="520" spans="1:12" x14ac:dyDescent="0.2">
      <c r="A520" s="7"/>
      <c r="B520" s="7"/>
      <c r="C520" s="7"/>
      <c r="D520" s="7"/>
      <c r="E520" s="7">
        <v>604008</v>
      </c>
      <c r="F520" s="7"/>
      <c r="G520" s="7" t="s">
        <v>416</v>
      </c>
      <c r="H520" s="7"/>
      <c r="I520" s="27" t="s">
        <v>71</v>
      </c>
      <c r="J520" s="7"/>
      <c r="K520" s="27" t="s">
        <v>2208</v>
      </c>
      <c r="L520" s="7"/>
    </row>
    <row r="521" spans="1:12" x14ac:dyDescent="0.2">
      <c r="A521" s="7"/>
      <c r="B521" s="7"/>
      <c r="C521" s="7"/>
      <c r="D521" s="7"/>
      <c r="E521" s="7">
        <v>604009</v>
      </c>
      <c r="F521" s="7"/>
      <c r="G521" s="7" t="s">
        <v>417</v>
      </c>
      <c r="H521" s="7"/>
      <c r="I521" s="27" t="s">
        <v>71</v>
      </c>
      <c r="J521" s="7"/>
      <c r="K521" s="27" t="s">
        <v>2208</v>
      </c>
      <c r="L521" s="7"/>
    </row>
    <row r="522" spans="1:12" x14ac:dyDescent="0.2">
      <c r="A522" s="7"/>
      <c r="B522" s="7"/>
      <c r="C522" s="7"/>
      <c r="D522" s="7"/>
      <c r="E522" s="7">
        <v>604010</v>
      </c>
      <c r="F522" s="7"/>
      <c r="G522" s="7" t="s">
        <v>418</v>
      </c>
      <c r="H522" s="7"/>
      <c r="I522" s="27" t="s">
        <v>71</v>
      </c>
      <c r="J522" s="7"/>
      <c r="K522" s="27" t="s">
        <v>2208</v>
      </c>
      <c r="L522" s="7"/>
    </row>
    <row r="523" spans="1:12" x14ac:dyDescent="0.2">
      <c r="A523" s="7"/>
      <c r="B523" s="7"/>
      <c r="C523" s="7"/>
      <c r="D523" s="7"/>
      <c r="E523" s="7">
        <v>604011</v>
      </c>
      <c r="F523" s="7"/>
      <c r="G523" s="7" t="s">
        <v>419</v>
      </c>
      <c r="H523" s="7"/>
      <c r="I523" s="27" t="s">
        <v>71</v>
      </c>
      <c r="J523" s="7"/>
      <c r="K523" s="27" t="s">
        <v>2208</v>
      </c>
      <c r="L523" s="7"/>
    </row>
    <row r="524" spans="1:12" x14ac:dyDescent="0.2">
      <c r="A524" s="7"/>
      <c r="B524" s="7"/>
      <c r="C524" s="7"/>
      <c r="D524" s="7"/>
      <c r="E524" s="7">
        <v>604012</v>
      </c>
      <c r="F524" s="7"/>
      <c r="G524" s="7" t="s">
        <v>420</v>
      </c>
      <c r="H524" s="7"/>
      <c r="I524" s="27" t="s">
        <v>71</v>
      </c>
      <c r="J524" s="7"/>
      <c r="K524" s="27" t="s">
        <v>2208</v>
      </c>
      <c r="L524" s="7"/>
    </row>
    <row r="525" spans="1:12" x14ac:dyDescent="0.2">
      <c r="A525" s="7"/>
      <c r="B525" s="7"/>
      <c r="C525" s="7"/>
      <c r="D525" s="7"/>
      <c r="E525" s="7">
        <v>604013</v>
      </c>
      <c r="F525" s="7"/>
      <c r="G525" s="7" t="s">
        <v>421</v>
      </c>
      <c r="H525" s="7"/>
      <c r="I525" s="27" t="s">
        <v>71</v>
      </c>
      <c r="J525" s="7"/>
      <c r="K525" s="27" t="s">
        <v>2208</v>
      </c>
      <c r="L525" s="7"/>
    </row>
    <row r="526" spans="1:12" x14ac:dyDescent="0.2">
      <c r="A526" s="7"/>
      <c r="B526" s="7"/>
      <c r="C526" s="7"/>
      <c r="D526" s="7"/>
      <c r="E526" s="7">
        <v>604014</v>
      </c>
      <c r="F526" s="7"/>
      <c r="G526" s="7" t="s">
        <v>422</v>
      </c>
      <c r="H526" s="7"/>
      <c r="I526" s="27" t="s">
        <v>71</v>
      </c>
      <c r="J526" s="7"/>
      <c r="K526" s="27" t="s">
        <v>2208</v>
      </c>
      <c r="L526" s="7"/>
    </row>
    <row r="527" spans="1:12" x14ac:dyDescent="0.2">
      <c r="A527" s="7"/>
      <c r="B527" s="7"/>
      <c r="C527" s="7"/>
      <c r="D527" s="7"/>
      <c r="E527" s="7">
        <v>604018</v>
      </c>
      <c r="F527" s="7"/>
      <c r="G527" s="7" t="s">
        <v>423</v>
      </c>
      <c r="H527" s="7"/>
      <c r="I527" s="27" t="s">
        <v>71</v>
      </c>
      <c r="J527" s="7"/>
      <c r="K527" s="27" t="s">
        <v>2208</v>
      </c>
      <c r="L527" s="7"/>
    </row>
    <row r="528" spans="1:12" x14ac:dyDescent="0.2">
      <c r="A528" s="7"/>
      <c r="B528" s="7"/>
      <c r="C528" s="7"/>
      <c r="D528" s="7"/>
      <c r="E528" s="7">
        <v>604019</v>
      </c>
      <c r="F528" s="7"/>
      <c r="G528" s="7" t="s">
        <v>424</v>
      </c>
      <c r="H528" s="7"/>
      <c r="I528" s="27" t="s">
        <v>133</v>
      </c>
      <c r="J528" s="7"/>
      <c r="K528" s="27" t="s">
        <v>2208</v>
      </c>
      <c r="L528" s="7"/>
    </row>
    <row r="529" spans="1:12" x14ac:dyDescent="0.2">
      <c r="A529" s="7"/>
      <c r="B529" s="7"/>
      <c r="C529" s="7"/>
      <c r="D529" s="7"/>
      <c r="E529" s="7">
        <v>604021</v>
      </c>
      <c r="F529" s="7"/>
      <c r="G529" s="7" t="s">
        <v>425</v>
      </c>
      <c r="H529" s="7"/>
      <c r="I529" s="27" t="s">
        <v>133</v>
      </c>
      <c r="J529" s="7"/>
      <c r="K529" s="27" t="s">
        <v>2208</v>
      </c>
      <c r="L529" s="7"/>
    </row>
    <row r="530" spans="1:12" x14ac:dyDescent="0.2">
      <c r="A530" s="7"/>
      <c r="B530" s="7"/>
      <c r="C530" s="7"/>
      <c r="D530" s="7"/>
      <c r="E530" s="7">
        <v>604022</v>
      </c>
      <c r="F530" s="7"/>
      <c r="G530" s="7" t="s">
        <v>426</v>
      </c>
      <c r="H530" s="7"/>
      <c r="I530" s="27" t="s">
        <v>133</v>
      </c>
      <c r="J530" s="7"/>
      <c r="K530" s="27" t="s">
        <v>2208</v>
      </c>
      <c r="L530" s="7"/>
    </row>
    <row r="531" spans="1:12" x14ac:dyDescent="0.2">
      <c r="A531" s="7"/>
      <c r="B531" s="7"/>
      <c r="C531" s="7"/>
      <c r="D531" s="7"/>
      <c r="E531" s="7">
        <v>604041</v>
      </c>
      <c r="F531" s="7"/>
      <c r="G531" s="7" t="s">
        <v>427</v>
      </c>
      <c r="H531" s="7"/>
      <c r="I531" s="27" t="s">
        <v>71</v>
      </c>
      <c r="J531" s="7"/>
      <c r="K531" s="27" t="s">
        <v>2208</v>
      </c>
      <c r="L531" s="7"/>
    </row>
    <row r="532" spans="1:12" x14ac:dyDescent="0.2">
      <c r="A532" s="7"/>
      <c r="B532" s="7"/>
      <c r="C532" s="7"/>
      <c r="D532" s="7"/>
      <c r="E532" s="7">
        <v>604048</v>
      </c>
      <c r="F532" s="7"/>
      <c r="G532" s="7" t="s">
        <v>428</v>
      </c>
      <c r="H532" s="7"/>
      <c r="I532" s="27" t="s">
        <v>71</v>
      </c>
      <c r="J532" s="7"/>
      <c r="K532" s="27" t="s">
        <v>2208</v>
      </c>
      <c r="L532" s="7"/>
    </row>
    <row r="533" spans="1:12" x14ac:dyDescent="0.2">
      <c r="A533" s="7"/>
      <c r="B533" s="7"/>
      <c r="C533" s="7"/>
      <c r="D533" s="7"/>
      <c r="E533" s="7">
        <v>604049</v>
      </c>
      <c r="F533" s="7"/>
      <c r="G533" s="7" t="s">
        <v>429</v>
      </c>
      <c r="H533" s="7"/>
      <c r="I533" s="27" t="s">
        <v>71</v>
      </c>
      <c r="J533" s="7"/>
      <c r="K533" s="27" t="s">
        <v>2208</v>
      </c>
      <c r="L533" s="7"/>
    </row>
    <row r="534" spans="1:12" x14ac:dyDescent="0.2">
      <c r="A534" s="7"/>
      <c r="B534" s="7"/>
      <c r="C534" s="7"/>
      <c r="D534" s="7"/>
      <c r="E534" s="7">
        <v>604051</v>
      </c>
      <c r="F534" s="7"/>
      <c r="G534" s="7" t="s">
        <v>430</v>
      </c>
      <c r="H534" s="7"/>
      <c r="I534" s="27" t="s">
        <v>133</v>
      </c>
      <c r="J534" s="7"/>
      <c r="K534" s="27" t="s">
        <v>2208</v>
      </c>
      <c r="L534" s="7"/>
    </row>
    <row r="535" spans="1:12" x14ac:dyDescent="0.2">
      <c r="A535" s="7"/>
      <c r="B535" s="7"/>
      <c r="C535" s="7"/>
      <c r="D535" s="7"/>
      <c r="E535" s="7">
        <v>604053</v>
      </c>
      <c r="F535" s="7"/>
      <c r="G535" s="7" t="s">
        <v>431</v>
      </c>
      <c r="H535" s="7"/>
      <c r="I535" s="27" t="s">
        <v>133</v>
      </c>
      <c r="J535" s="7"/>
      <c r="K535" s="27" t="s">
        <v>2208</v>
      </c>
      <c r="L535" s="7"/>
    </row>
    <row r="536" spans="1:12" x14ac:dyDescent="0.2">
      <c r="A536" s="7"/>
      <c r="B536" s="7"/>
      <c r="C536" s="7"/>
      <c r="D536" s="7"/>
      <c r="E536" s="7">
        <v>604054</v>
      </c>
      <c r="F536" s="7"/>
      <c r="G536" s="7" t="s">
        <v>432</v>
      </c>
      <c r="H536" s="7"/>
      <c r="I536" s="27" t="s">
        <v>71</v>
      </c>
      <c r="J536" s="7"/>
      <c r="K536" s="27" t="s">
        <v>2208</v>
      </c>
      <c r="L536" s="7"/>
    </row>
    <row r="537" spans="1:12" x14ac:dyDescent="0.2">
      <c r="A537" s="7"/>
      <c r="B537" s="7"/>
      <c r="C537" s="7"/>
      <c r="D537" s="7"/>
      <c r="E537" s="7">
        <v>604055</v>
      </c>
      <c r="F537" s="7"/>
      <c r="G537" s="7" t="s">
        <v>433</v>
      </c>
      <c r="H537" s="7"/>
      <c r="I537" s="27" t="s">
        <v>71</v>
      </c>
      <c r="J537" s="7"/>
      <c r="K537" s="27" t="s">
        <v>2208</v>
      </c>
      <c r="L537" s="7"/>
    </row>
    <row r="538" spans="1:12" x14ac:dyDescent="0.2">
      <c r="A538" s="7"/>
      <c r="B538" s="7"/>
      <c r="C538" s="7"/>
      <c r="D538" s="7"/>
      <c r="E538" s="7">
        <v>604056</v>
      </c>
      <c r="F538" s="7"/>
      <c r="G538" s="7" t="s">
        <v>434</v>
      </c>
      <c r="H538" s="7"/>
      <c r="I538" s="27" t="s">
        <v>71</v>
      </c>
      <c r="J538" s="7"/>
      <c r="K538" s="27" t="s">
        <v>2208</v>
      </c>
      <c r="L538" s="7"/>
    </row>
    <row r="539" spans="1:12" x14ac:dyDescent="0.2">
      <c r="A539" s="7"/>
      <c r="B539" s="7"/>
      <c r="C539" s="7"/>
      <c r="D539" s="7"/>
      <c r="E539" s="7">
        <v>604059</v>
      </c>
      <c r="F539" s="7"/>
      <c r="G539" s="7" t="s">
        <v>435</v>
      </c>
      <c r="H539" s="7"/>
      <c r="I539" s="27" t="s">
        <v>133</v>
      </c>
      <c r="J539" s="7"/>
      <c r="K539" s="27" t="s">
        <v>2208</v>
      </c>
      <c r="L539" s="7"/>
    </row>
    <row r="540" spans="1:12" x14ac:dyDescent="0.2">
      <c r="A540" s="7"/>
      <c r="B540" s="7"/>
      <c r="C540" s="7"/>
      <c r="D540" s="7"/>
      <c r="E540" s="7">
        <v>604060</v>
      </c>
      <c r="F540" s="7"/>
      <c r="G540" s="7" t="s">
        <v>436</v>
      </c>
      <c r="H540" s="7"/>
      <c r="I540" s="27" t="s">
        <v>71</v>
      </c>
      <c r="J540" s="7"/>
      <c r="K540" s="27" t="s">
        <v>2208</v>
      </c>
      <c r="L540" s="7"/>
    </row>
    <row r="541" spans="1:12" x14ac:dyDescent="0.2">
      <c r="A541" s="7"/>
      <c r="B541" s="7"/>
      <c r="C541" s="7"/>
      <c r="D541" s="7"/>
      <c r="E541" s="7">
        <v>604061</v>
      </c>
      <c r="F541" s="7"/>
      <c r="G541" s="7" t="s">
        <v>437</v>
      </c>
      <c r="H541" s="7"/>
      <c r="I541" s="27" t="s">
        <v>71</v>
      </c>
      <c r="J541" s="7"/>
      <c r="K541" s="27" t="s">
        <v>2208</v>
      </c>
      <c r="L541" s="7"/>
    </row>
    <row r="542" spans="1:12" x14ac:dyDescent="0.2">
      <c r="A542" s="7"/>
      <c r="B542" s="7"/>
      <c r="C542" s="7"/>
      <c r="D542" s="7"/>
      <c r="E542" s="7">
        <v>604062</v>
      </c>
      <c r="F542" s="7"/>
      <c r="G542" s="7" t="s">
        <v>438</v>
      </c>
      <c r="H542" s="7"/>
      <c r="I542" s="27" t="s">
        <v>71</v>
      </c>
      <c r="J542" s="7"/>
      <c r="K542" s="27" t="s">
        <v>2208</v>
      </c>
      <c r="L542" s="7"/>
    </row>
    <row r="543" spans="1:12" x14ac:dyDescent="0.2">
      <c r="A543" s="7"/>
      <c r="B543" s="7"/>
      <c r="C543" s="7"/>
      <c r="D543" s="7"/>
      <c r="E543" s="7">
        <v>604064</v>
      </c>
      <c r="F543" s="7"/>
      <c r="G543" s="7" t="s">
        <v>439</v>
      </c>
      <c r="H543" s="7"/>
      <c r="I543" s="27" t="s">
        <v>71</v>
      </c>
      <c r="J543" s="7"/>
      <c r="K543" s="27" t="s">
        <v>2208</v>
      </c>
      <c r="L543" s="7"/>
    </row>
    <row r="544" spans="1:12" x14ac:dyDescent="0.2">
      <c r="A544" s="7"/>
      <c r="B544" s="7"/>
      <c r="C544" s="7"/>
      <c r="D544" s="7"/>
      <c r="E544" s="7">
        <v>604065</v>
      </c>
      <c r="F544" s="7"/>
      <c r="G544" s="7" t="s">
        <v>440</v>
      </c>
      <c r="H544" s="7"/>
      <c r="I544" s="27" t="s">
        <v>71</v>
      </c>
      <c r="J544" s="7"/>
      <c r="K544" s="27" t="s">
        <v>2208</v>
      </c>
      <c r="L544" s="7"/>
    </row>
    <row r="545" spans="1:12" x14ac:dyDescent="0.2">
      <c r="A545" s="7"/>
      <c r="B545" s="7"/>
      <c r="C545" s="7"/>
      <c r="D545" s="7"/>
      <c r="E545" s="7">
        <v>604066</v>
      </c>
      <c r="F545" s="7"/>
      <c r="G545" s="7" t="s">
        <v>441</v>
      </c>
      <c r="H545" s="7"/>
      <c r="I545" s="27" t="s">
        <v>71</v>
      </c>
      <c r="J545" s="7"/>
      <c r="K545" s="27" t="s">
        <v>2208</v>
      </c>
      <c r="L545" s="7"/>
    </row>
    <row r="546" spans="1:12" x14ac:dyDescent="0.2">
      <c r="A546" s="7"/>
      <c r="B546" s="7"/>
      <c r="C546" s="7"/>
      <c r="D546" s="7"/>
      <c r="E546" s="7">
        <v>604067</v>
      </c>
      <c r="F546" s="7"/>
      <c r="G546" s="7" t="s">
        <v>442</v>
      </c>
      <c r="H546" s="7"/>
      <c r="I546" s="27" t="s">
        <v>71</v>
      </c>
      <c r="J546" s="7"/>
      <c r="K546" s="27" t="s">
        <v>2208</v>
      </c>
      <c r="L546" s="7"/>
    </row>
    <row r="547" spans="1:12" x14ac:dyDescent="0.2">
      <c r="A547" s="7"/>
      <c r="B547" s="7"/>
      <c r="C547" s="7"/>
      <c r="D547" s="7"/>
      <c r="E547" s="7">
        <v>604070</v>
      </c>
      <c r="F547" s="7"/>
      <c r="G547" s="7" t="s">
        <v>443</v>
      </c>
      <c r="H547" s="7"/>
      <c r="I547" s="27" t="s">
        <v>71</v>
      </c>
      <c r="J547" s="7"/>
      <c r="K547" s="27" t="s">
        <v>2208</v>
      </c>
      <c r="L547" s="7"/>
    </row>
    <row r="548" spans="1:12" x14ac:dyDescent="0.2">
      <c r="A548" s="7"/>
      <c r="B548" s="7"/>
      <c r="C548" s="7"/>
      <c r="D548" s="7"/>
      <c r="E548" s="7">
        <v>604071</v>
      </c>
      <c r="F548" s="7"/>
      <c r="G548" s="7" t="s">
        <v>444</v>
      </c>
      <c r="H548" s="7"/>
      <c r="I548" s="27" t="s">
        <v>71</v>
      </c>
      <c r="J548" s="7"/>
      <c r="K548" s="27" t="s">
        <v>2208</v>
      </c>
      <c r="L548" s="7"/>
    </row>
    <row r="549" spans="1:12" x14ac:dyDescent="0.2">
      <c r="A549" s="7"/>
      <c r="B549" s="7"/>
      <c r="C549" s="7"/>
      <c r="D549" s="7"/>
      <c r="E549" s="7">
        <v>604073</v>
      </c>
      <c r="F549" s="7"/>
      <c r="G549" s="7" t="s">
        <v>445</v>
      </c>
      <c r="H549" s="7"/>
      <c r="I549" s="27" t="s">
        <v>71</v>
      </c>
      <c r="J549" s="7"/>
      <c r="K549" s="27" t="s">
        <v>2208</v>
      </c>
      <c r="L549" s="7"/>
    </row>
    <row r="550" spans="1:12" x14ac:dyDescent="0.2">
      <c r="A550" s="7"/>
      <c r="B550" s="7"/>
      <c r="C550" s="7"/>
      <c r="D550" s="7"/>
      <c r="E550" s="7">
        <v>604075</v>
      </c>
      <c r="F550" s="7"/>
      <c r="G550" s="7" t="s">
        <v>446</v>
      </c>
      <c r="H550" s="7"/>
      <c r="I550" s="27" t="s">
        <v>71</v>
      </c>
      <c r="J550" s="7"/>
      <c r="K550" s="27" t="s">
        <v>2208</v>
      </c>
      <c r="L550" s="7"/>
    </row>
    <row r="551" spans="1:12" x14ac:dyDescent="0.2">
      <c r="A551" s="7"/>
      <c r="B551" s="7"/>
      <c r="C551" s="7"/>
      <c r="D551" s="7"/>
      <c r="E551" s="7">
        <v>604076</v>
      </c>
      <c r="F551" s="7"/>
      <c r="G551" s="7" t="s">
        <v>447</v>
      </c>
      <c r="H551" s="7"/>
      <c r="I551" s="27" t="s">
        <v>71</v>
      </c>
      <c r="J551" s="7"/>
      <c r="K551" s="27" t="s">
        <v>2208</v>
      </c>
      <c r="L551" s="7"/>
    </row>
    <row r="552" spans="1:12" x14ac:dyDescent="0.2">
      <c r="A552" s="7"/>
      <c r="B552" s="7"/>
      <c r="C552" s="7"/>
      <c r="D552" s="7"/>
      <c r="E552" s="7">
        <v>604077</v>
      </c>
      <c r="F552" s="7"/>
      <c r="G552" s="7" t="s">
        <v>448</v>
      </c>
      <c r="H552" s="7"/>
      <c r="I552" s="27" t="s">
        <v>71</v>
      </c>
      <c r="J552" s="7"/>
      <c r="K552" s="27" t="s">
        <v>2208</v>
      </c>
      <c r="L552" s="7"/>
    </row>
    <row r="553" spans="1:12" x14ac:dyDescent="0.2">
      <c r="A553" s="7"/>
      <c r="B553" s="7"/>
      <c r="C553" s="7"/>
      <c r="D553" s="7"/>
      <c r="E553" s="7">
        <v>604078</v>
      </c>
      <c r="F553" s="7"/>
      <c r="G553" s="7" t="s">
        <v>449</v>
      </c>
      <c r="H553" s="7"/>
      <c r="I553" s="27" t="s">
        <v>71</v>
      </c>
      <c r="J553" s="7"/>
      <c r="K553" s="27" t="s">
        <v>2208</v>
      </c>
      <c r="L553" s="7"/>
    </row>
    <row r="554" spans="1:12" x14ac:dyDescent="0.2">
      <c r="A554" s="7"/>
      <c r="B554" s="7"/>
      <c r="C554" s="7"/>
      <c r="D554" s="7"/>
      <c r="E554" s="7">
        <v>604079</v>
      </c>
      <c r="F554" s="7"/>
      <c r="G554" s="7" t="s">
        <v>450</v>
      </c>
      <c r="H554" s="7"/>
      <c r="I554" s="27" t="s">
        <v>71</v>
      </c>
      <c r="J554" s="7"/>
      <c r="K554" s="27" t="s">
        <v>2208</v>
      </c>
      <c r="L554" s="7"/>
    </row>
    <row r="555" spans="1:12" x14ac:dyDescent="0.2">
      <c r="A555" s="7"/>
      <c r="B555" s="7"/>
      <c r="C555" s="7"/>
      <c r="D555" s="7"/>
      <c r="E555" s="7">
        <v>604080</v>
      </c>
      <c r="F555" s="7"/>
      <c r="G555" s="7" t="s">
        <v>451</v>
      </c>
      <c r="H555" s="7"/>
      <c r="I555" s="27" t="s">
        <v>71</v>
      </c>
      <c r="J555" s="7"/>
      <c r="K555" s="27" t="s">
        <v>2208</v>
      </c>
      <c r="L555" s="7"/>
    </row>
    <row r="556" spans="1:12" x14ac:dyDescent="0.2">
      <c r="A556" s="7"/>
      <c r="B556" s="7"/>
      <c r="C556" s="7"/>
      <c r="D556" s="7"/>
      <c r="E556" s="7">
        <v>604081</v>
      </c>
      <c r="F556" s="7"/>
      <c r="G556" s="7" t="s">
        <v>452</v>
      </c>
      <c r="H556" s="7"/>
      <c r="I556" s="27" t="s">
        <v>25</v>
      </c>
      <c r="J556" s="7"/>
      <c r="K556" s="27" t="s">
        <v>2208</v>
      </c>
      <c r="L556" s="7"/>
    </row>
    <row r="557" spans="1:12" x14ac:dyDescent="0.2">
      <c r="A557" s="7"/>
      <c r="B557" s="7"/>
      <c r="C557" s="7"/>
      <c r="D557" s="7"/>
      <c r="E557" s="7">
        <v>604082</v>
      </c>
      <c r="F557" s="7"/>
      <c r="G557" s="7" t="s">
        <v>453</v>
      </c>
      <c r="H557" s="7"/>
      <c r="I557" s="27" t="s">
        <v>25</v>
      </c>
      <c r="J557" s="7"/>
      <c r="K557" s="27" t="s">
        <v>2208</v>
      </c>
      <c r="L557" s="7"/>
    </row>
    <row r="558" spans="1:12" x14ac:dyDescent="0.2">
      <c r="A558" s="7"/>
      <c r="B558" s="7"/>
      <c r="C558" s="7"/>
      <c r="D558" s="7"/>
      <c r="E558" s="7">
        <v>604083</v>
      </c>
      <c r="F558" s="7"/>
      <c r="G558" s="7" t="s">
        <v>454</v>
      </c>
      <c r="H558" s="7"/>
      <c r="I558" s="27" t="s">
        <v>71</v>
      </c>
      <c r="J558" s="7"/>
      <c r="K558" s="27" t="s">
        <v>2208</v>
      </c>
      <c r="L558" s="7"/>
    </row>
    <row r="559" spans="1:12" x14ac:dyDescent="0.2">
      <c r="A559" s="7"/>
      <c r="B559" s="7"/>
      <c r="C559" s="7"/>
      <c r="D559" s="7"/>
      <c r="E559" s="7">
        <v>604084</v>
      </c>
      <c r="F559" s="7"/>
      <c r="G559" s="7" t="s">
        <v>455</v>
      </c>
      <c r="H559" s="7"/>
      <c r="I559" s="27" t="s">
        <v>71</v>
      </c>
      <c r="J559" s="7"/>
      <c r="K559" s="27" t="s">
        <v>2208</v>
      </c>
      <c r="L559" s="7"/>
    </row>
    <row r="560" spans="1:12" x14ac:dyDescent="0.2">
      <c r="A560" s="7"/>
      <c r="B560" s="7"/>
      <c r="C560" s="7"/>
      <c r="D560" s="7"/>
      <c r="E560" s="7">
        <v>604085</v>
      </c>
      <c r="F560" s="7"/>
      <c r="G560" s="7" t="s">
        <v>456</v>
      </c>
      <c r="H560" s="7"/>
      <c r="I560" s="27" t="s">
        <v>71</v>
      </c>
      <c r="J560" s="7"/>
      <c r="K560" s="27" t="s">
        <v>2208</v>
      </c>
      <c r="L560" s="7"/>
    </row>
    <row r="561" spans="1:12" x14ac:dyDescent="0.2">
      <c r="A561" s="7"/>
      <c r="B561" s="7"/>
      <c r="C561" s="7"/>
      <c r="D561" s="7"/>
      <c r="E561" s="7">
        <v>604086</v>
      </c>
      <c r="F561" s="7"/>
      <c r="G561" s="7" t="s">
        <v>457</v>
      </c>
      <c r="H561" s="7"/>
      <c r="I561" s="27" t="s">
        <v>71</v>
      </c>
      <c r="J561" s="7"/>
      <c r="K561" s="27" t="s">
        <v>2208</v>
      </c>
      <c r="L561" s="7"/>
    </row>
    <row r="562" spans="1:12" x14ac:dyDescent="0.2">
      <c r="A562" s="7"/>
      <c r="B562" s="7"/>
      <c r="C562" s="7"/>
      <c r="D562" s="7"/>
      <c r="E562" s="7">
        <v>604087</v>
      </c>
      <c r="F562" s="7"/>
      <c r="G562" s="7" t="s">
        <v>458</v>
      </c>
      <c r="H562" s="7"/>
      <c r="I562" s="27" t="s">
        <v>133</v>
      </c>
      <c r="J562" s="7"/>
      <c r="K562" s="27" t="s">
        <v>2208</v>
      </c>
      <c r="L562" s="7"/>
    </row>
    <row r="563" spans="1:12" x14ac:dyDescent="0.2">
      <c r="A563" s="7"/>
      <c r="B563" s="7"/>
      <c r="C563" s="7"/>
      <c r="D563" s="7"/>
      <c r="E563" s="7">
        <v>604100</v>
      </c>
      <c r="F563" s="7"/>
      <c r="G563" s="7" t="s">
        <v>459</v>
      </c>
      <c r="H563" s="7"/>
      <c r="I563" s="27" t="s">
        <v>133</v>
      </c>
      <c r="J563" s="7"/>
      <c r="K563" s="27" t="s">
        <v>2208</v>
      </c>
      <c r="L563" s="7"/>
    </row>
    <row r="564" spans="1:12" x14ac:dyDescent="0.2">
      <c r="A564" s="7"/>
      <c r="B564" s="7"/>
      <c r="C564" s="7"/>
      <c r="D564" s="7"/>
      <c r="E564" s="7">
        <v>604101</v>
      </c>
      <c r="F564" s="7"/>
      <c r="G564" s="7" t="s">
        <v>460</v>
      </c>
      <c r="H564" s="7"/>
      <c r="I564" s="27" t="s">
        <v>71</v>
      </c>
      <c r="J564" s="7"/>
      <c r="K564" s="27" t="s">
        <v>2208</v>
      </c>
      <c r="L564" s="7"/>
    </row>
    <row r="565" spans="1:12" x14ac:dyDescent="0.2">
      <c r="A565" s="7"/>
      <c r="B565" s="7"/>
      <c r="C565" s="7"/>
      <c r="D565" s="7"/>
      <c r="E565" s="7">
        <v>604105</v>
      </c>
      <c r="F565" s="7"/>
      <c r="G565" s="7" t="s">
        <v>461</v>
      </c>
      <c r="H565" s="7"/>
      <c r="I565" s="27" t="s">
        <v>133</v>
      </c>
      <c r="J565" s="7"/>
      <c r="K565" s="27" t="s">
        <v>2208</v>
      </c>
      <c r="L565" s="7"/>
    </row>
    <row r="566" spans="1:12" x14ac:dyDescent="0.2">
      <c r="A566" s="7"/>
      <c r="B566" s="7"/>
      <c r="C566" s="7"/>
      <c r="D566" s="7"/>
      <c r="E566" s="7">
        <v>604106</v>
      </c>
      <c r="F566" s="7"/>
      <c r="G566" s="7" t="s">
        <v>462</v>
      </c>
      <c r="H566" s="7"/>
      <c r="I566" s="27" t="s">
        <v>133</v>
      </c>
      <c r="J566" s="7"/>
      <c r="K566" s="27" t="s">
        <v>2208</v>
      </c>
      <c r="L566" s="7"/>
    </row>
    <row r="567" spans="1:12" x14ac:dyDescent="0.2">
      <c r="A567" s="7"/>
      <c r="B567" s="7"/>
      <c r="C567" s="7"/>
      <c r="D567" s="7"/>
      <c r="E567" s="7">
        <v>604110</v>
      </c>
      <c r="F567" s="7"/>
      <c r="G567" s="7" t="s">
        <v>463</v>
      </c>
      <c r="H567" s="7"/>
      <c r="I567" s="27" t="s">
        <v>71</v>
      </c>
      <c r="J567" s="7"/>
      <c r="K567" s="27" t="s">
        <v>2208</v>
      </c>
      <c r="L567" s="7"/>
    </row>
    <row r="568" spans="1:12" x14ac:dyDescent="0.2">
      <c r="A568" s="7"/>
      <c r="B568" s="7"/>
      <c r="C568" s="7"/>
      <c r="D568" s="7"/>
      <c r="E568" s="7">
        <v>604111</v>
      </c>
      <c r="F568" s="7"/>
      <c r="G568" s="7" t="s">
        <v>464</v>
      </c>
      <c r="H568" s="7"/>
      <c r="I568" s="27" t="s">
        <v>71</v>
      </c>
      <c r="J568" s="7"/>
      <c r="K568" s="27" t="s">
        <v>2208</v>
      </c>
      <c r="L568" s="7"/>
    </row>
    <row r="569" spans="1:12" x14ac:dyDescent="0.2">
      <c r="A569" s="7"/>
      <c r="B569" s="7"/>
      <c r="C569" s="7"/>
      <c r="D569" s="7"/>
      <c r="E569" s="7">
        <v>604112</v>
      </c>
      <c r="F569" s="7"/>
      <c r="G569" s="7" t="s">
        <v>465</v>
      </c>
      <c r="H569" s="7"/>
      <c r="I569" s="27" t="s">
        <v>71</v>
      </c>
      <c r="J569" s="7"/>
      <c r="K569" s="27" t="s">
        <v>2208</v>
      </c>
      <c r="L569" s="7"/>
    </row>
    <row r="570" spans="1:12" x14ac:dyDescent="0.2">
      <c r="A570" s="7"/>
      <c r="B570" s="7"/>
      <c r="C570" s="7"/>
      <c r="D570" s="7"/>
      <c r="E570" s="7">
        <v>604114</v>
      </c>
      <c r="F570" s="7"/>
      <c r="G570" s="7" t="s">
        <v>466</v>
      </c>
      <c r="H570" s="7"/>
      <c r="I570" s="27" t="s">
        <v>71</v>
      </c>
      <c r="J570" s="7"/>
      <c r="K570" s="27" t="s">
        <v>2208</v>
      </c>
      <c r="L570" s="7"/>
    </row>
    <row r="571" spans="1:12" x14ac:dyDescent="0.2">
      <c r="A571" s="7"/>
      <c r="B571" s="7"/>
      <c r="C571" s="7"/>
      <c r="D571" s="7"/>
      <c r="E571" s="7">
        <v>604115</v>
      </c>
      <c r="F571" s="7"/>
      <c r="G571" s="7" t="s">
        <v>467</v>
      </c>
      <c r="H571" s="7"/>
      <c r="I571" s="27" t="s">
        <v>71</v>
      </c>
      <c r="J571" s="7"/>
      <c r="K571" s="27" t="s">
        <v>2208</v>
      </c>
      <c r="L571" s="7"/>
    </row>
    <row r="572" spans="1:12" x14ac:dyDescent="0.2">
      <c r="A572" s="7"/>
      <c r="B572" s="7"/>
      <c r="C572" s="7"/>
      <c r="D572" s="7"/>
      <c r="E572" s="7">
        <v>604116</v>
      </c>
      <c r="F572" s="7"/>
      <c r="G572" s="7" t="s">
        <v>468</v>
      </c>
      <c r="H572" s="7"/>
      <c r="I572" s="27" t="s">
        <v>71</v>
      </c>
      <c r="J572" s="7"/>
      <c r="K572" s="27" t="s">
        <v>2208</v>
      </c>
      <c r="L572" s="7"/>
    </row>
    <row r="573" spans="1:12" x14ac:dyDescent="0.2">
      <c r="A573" s="7"/>
      <c r="B573" s="7"/>
      <c r="C573" s="7"/>
      <c r="D573" s="7"/>
      <c r="E573" s="7">
        <v>604117</v>
      </c>
      <c r="F573" s="7"/>
      <c r="G573" s="7" t="s">
        <v>469</v>
      </c>
      <c r="H573" s="7"/>
      <c r="I573" s="27" t="s">
        <v>71</v>
      </c>
      <c r="J573" s="7"/>
      <c r="K573" s="27" t="s">
        <v>2208</v>
      </c>
      <c r="L573" s="7"/>
    </row>
    <row r="574" spans="1:12" x14ac:dyDescent="0.2">
      <c r="A574" s="7"/>
      <c r="B574" s="7"/>
      <c r="C574" s="7"/>
      <c r="D574" s="7"/>
      <c r="E574" s="7">
        <v>604118</v>
      </c>
      <c r="F574" s="7"/>
      <c r="G574" s="7" t="s">
        <v>470</v>
      </c>
      <c r="H574" s="7"/>
      <c r="I574" s="27" t="s">
        <v>71</v>
      </c>
      <c r="J574" s="7"/>
      <c r="K574" s="27" t="s">
        <v>2208</v>
      </c>
      <c r="L574" s="7"/>
    </row>
    <row r="575" spans="1:12" x14ac:dyDescent="0.2">
      <c r="A575" s="7"/>
      <c r="B575" s="7"/>
      <c r="C575" s="7"/>
      <c r="D575" s="7"/>
      <c r="E575" s="7">
        <v>604119</v>
      </c>
      <c r="F575" s="7"/>
      <c r="G575" s="7" t="s">
        <v>471</v>
      </c>
      <c r="H575" s="7"/>
      <c r="I575" s="27" t="s">
        <v>71</v>
      </c>
      <c r="J575" s="7"/>
      <c r="K575" s="27" t="s">
        <v>2208</v>
      </c>
      <c r="L575" s="7"/>
    </row>
    <row r="576" spans="1:12" x14ac:dyDescent="0.2">
      <c r="A576" s="7"/>
      <c r="B576" s="7"/>
      <c r="C576" s="7"/>
      <c r="D576" s="7"/>
      <c r="E576" s="7">
        <v>604120</v>
      </c>
      <c r="F576" s="7"/>
      <c r="G576" s="7" t="s">
        <v>472</v>
      </c>
      <c r="H576" s="7"/>
      <c r="I576" s="27" t="s">
        <v>71</v>
      </c>
      <c r="J576" s="7"/>
      <c r="K576" s="27" t="s">
        <v>2208</v>
      </c>
      <c r="L576" s="7"/>
    </row>
    <row r="577" spans="1:12" x14ac:dyDescent="0.2">
      <c r="A577" s="7"/>
      <c r="B577" s="7"/>
      <c r="C577" s="7"/>
      <c r="D577" s="7"/>
      <c r="E577" s="7">
        <v>604121</v>
      </c>
      <c r="F577" s="7"/>
      <c r="G577" s="7" t="s">
        <v>473</v>
      </c>
      <c r="H577" s="7"/>
      <c r="I577" s="27" t="s">
        <v>71</v>
      </c>
      <c r="J577" s="7"/>
      <c r="K577" s="27" t="s">
        <v>2208</v>
      </c>
      <c r="L577" s="7"/>
    </row>
    <row r="578" spans="1:12" x14ac:dyDescent="0.2">
      <c r="A578" s="7"/>
      <c r="B578" s="7"/>
      <c r="C578" s="7"/>
      <c r="D578" s="7"/>
      <c r="E578" s="7">
        <v>604122</v>
      </c>
      <c r="F578" s="7"/>
      <c r="G578" s="7" t="s">
        <v>474</v>
      </c>
      <c r="H578" s="7"/>
      <c r="I578" s="27" t="s">
        <v>71</v>
      </c>
      <c r="J578" s="7"/>
      <c r="K578" s="27" t="s">
        <v>2208</v>
      </c>
      <c r="L578" s="7"/>
    </row>
    <row r="579" spans="1:12" x14ac:dyDescent="0.2">
      <c r="A579" s="7"/>
      <c r="B579" s="7"/>
      <c r="C579" s="7"/>
      <c r="D579" s="7"/>
      <c r="E579" s="7">
        <v>604123</v>
      </c>
      <c r="F579" s="7"/>
      <c r="G579" s="7" t="s">
        <v>475</v>
      </c>
      <c r="H579" s="7"/>
      <c r="I579" s="27" t="s">
        <v>71</v>
      </c>
      <c r="J579" s="7"/>
      <c r="K579" s="27" t="s">
        <v>2208</v>
      </c>
      <c r="L579" s="7"/>
    </row>
    <row r="580" spans="1:12" x14ac:dyDescent="0.2">
      <c r="A580" s="7"/>
      <c r="B580" s="7"/>
      <c r="C580" s="7"/>
      <c r="D580" s="7"/>
      <c r="E580" s="7">
        <v>604124</v>
      </c>
      <c r="F580" s="7"/>
      <c r="G580" s="7" t="s">
        <v>476</v>
      </c>
      <c r="H580" s="7"/>
      <c r="I580" s="27" t="s">
        <v>71</v>
      </c>
      <c r="J580" s="7"/>
      <c r="K580" s="27" t="s">
        <v>2208</v>
      </c>
      <c r="L580" s="7"/>
    </row>
    <row r="581" spans="1:12" x14ac:dyDescent="0.2">
      <c r="A581" s="7"/>
      <c r="B581" s="7"/>
      <c r="C581" s="7"/>
      <c r="D581" s="7"/>
      <c r="E581" s="7">
        <v>604125</v>
      </c>
      <c r="F581" s="7"/>
      <c r="G581" s="7" t="s">
        <v>477</v>
      </c>
      <c r="H581" s="7"/>
      <c r="I581" s="27" t="s">
        <v>71</v>
      </c>
      <c r="J581" s="7"/>
      <c r="K581" s="27" t="s">
        <v>2208</v>
      </c>
      <c r="L581" s="7"/>
    </row>
    <row r="582" spans="1:12" x14ac:dyDescent="0.2">
      <c r="A582" s="7"/>
      <c r="B582" s="7"/>
      <c r="C582" s="7"/>
      <c r="D582" s="7"/>
      <c r="E582" s="7">
        <v>604126</v>
      </c>
      <c r="F582" s="7"/>
      <c r="G582" s="7" t="s">
        <v>478</v>
      </c>
      <c r="H582" s="7"/>
      <c r="I582" s="27" t="s">
        <v>71</v>
      </c>
      <c r="J582" s="7"/>
      <c r="K582" s="27" t="s">
        <v>2208</v>
      </c>
      <c r="L582" s="7"/>
    </row>
    <row r="583" spans="1:12" x14ac:dyDescent="0.2">
      <c r="A583" s="7"/>
      <c r="B583" s="7"/>
      <c r="C583" s="7"/>
      <c r="D583" s="7"/>
      <c r="E583" s="7">
        <v>604128</v>
      </c>
      <c r="F583" s="7"/>
      <c r="G583" s="7" t="s">
        <v>479</v>
      </c>
      <c r="H583" s="7"/>
      <c r="I583" s="27" t="s">
        <v>71</v>
      </c>
      <c r="J583" s="7"/>
      <c r="K583" s="27" t="s">
        <v>2208</v>
      </c>
      <c r="L583" s="7"/>
    </row>
    <row r="584" spans="1:12" x14ac:dyDescent="0.2">
      <c r="A584" s="7"/>
      <c r="B584" s="7"/>
      <c r="C584" s="7"/>
      <c r="D584" s="7"/>
      <c r="E584" s="7">
        <v>604129</v>
      </c>
      <c r="F584" s="7"/>
      <c r="G584" s="7" t="s">
        <v>480</v>
      </c>
      <c r="H584" s="7"/>
      <c r="I584" s="27" t="s">
        <v>71</v>
      </c>
      <c r="J584" s="7"/>
      <c r="K584" s="27" t="s">
        <v>2208</v>
      </c>
      <c r="L584" s="7"/>
    </row>
    <row r="585" spans="1:12" x14ac:dyDescent="0.2">
      <c r="A585" s="7"/>
      <c r="B585" s="7"/>
      <c r="C585" s="7"/>
      <c r="D585" s="7"/>
      <c r="E585" s="7">
        <v>604130</v>
      </c>
      <c r="F585" s="7"/>
      <c r="G585" s="7" t="s">
        <v>481</v>
      </c>
      <c r="H585" s="7"/>
      <c r="I585" s="27" t="s">
        <v>71</v>
      </c>
      <c r="J585" s="7"/>
      <c r="K585" s="27" t="s">
        <v>2208</v>
      </c>
      <c r="L585" s="7"/>
    </row>
    <row r="586" spans="1:12" x14ac:dyDescent="0.2">
      <c r="A586" s="7"/>
      <c r="B586" s="7"/>
      <c r="C586" s="7"/>
      <c r="D586" s="7"/>
      <c r="E586" s="7">
        <v>604132</v>
      </c>
      <c r="F586" s="7"/>
      <c r="G586" s="7" t="s">
        <v>482</v>
      </c>
      <c r="H586" s="7"/>
      <c r="I586" s="27" t="s">
        <v>71</v>
      </c>
      <c r="J586" s="7"/>
      <c r="K586" s="27" t="s">
        <v>2208</v>
      </c>
      <c r="L586" s="7"/>
    </row>
    <row r="587" spans="1:12" x14ac:dyDescent="0.2">
      <c r="A587" s="7"/>
      <c r="B587" s="7"/>
      <c r="C587" s="7"/>
      <c r="D587" s="7"/>
      <c r="E587" s="7">
        <v>604133</v>
      </c>
      <c r="F587" s="7"/>
      <c r="G587" s="7" t="s">
        <v>483</v>
      </c>
      <c r="H587" s="7"/>
      <c r="I587" s="27" t="s">
        <v>71</v>
      </c>
      <c r="J587" s="7"/>
      <c r="K587" s="27" t="s">
        <v>2208</v>
      </c>
      <c r="L587" s="7"/>
    </row>
    <row r="588" spans="1:12" x14ac:dyDescent="0.2">
      <c r="A588" s="7"/>
      <c r="B588" s="7"/>
      <c r="C588" s="7"/>
      <c r="D588" s="7"/>
      <c r="E588" s="7">
        <v>604135</v>
      </c>
      <c r="F588" s="7"/>
      <c r="G588" s="7" t="s">
        <v>484</v>
      </c>
      <c r="H588" s="7"/>
      <c r="I588" s="27" t="s">
        <v>71</v>
      </c>
      <c r="J588" s="7"/>
      <c r="K588" s="27" t="s">
        <v>2208</v>
      </c>
      <c r="L588" s="7"/>
    </row>
    <row r="589" spans="1:12" x14ac:dyDescent="0.2">
      <c r="A589" s="7"/>
      <c r="B589" s="7"/>
      <c r="C589" s="7"/>
      <c r="D589" s="7"/>
      <c r="E589" s="7">
        <v>604149</v>
      </c>
      <c r="F589" s="7"/>
      <c r="G589" s="7" t="s">
        <v>485</v>
      </c>
      <c r="H589" s="7"/>
      <c r="I589" s="27" t="s">
        <v>71</v>
      </c>
      <c r="J589" s="7"/>
      <c r="K589" s="27" t="s">
        <v>2208</v>
      </c>
      <c r="L589" s="7"/>
    </row>
    <row r="590" spans="1:12" x14ac:dyDescent="0.2">
      <c r="A590" s="7"/>
      <c r="B590" s="7"/>
      <c r="C590" s="7"/>
      <c r="D590" s="7"/>
      <c r="E590" s="7">
        <v>604152</v>
      </c>
      <c r="F590" s="7"/>
      <c r="G590" s="7" t="s">
        <v>486</v>
      </c>
      <c r="H590" s="7"/>
      <c r="I590" s="27" t="s">
        <v>71</v>
      </c>
      <c r="J590" s="7"/>
      <c r="K590" s="27" t="s">
        <v>2208</v>
      </c>
      <c r="L590" s="7"/>
    </row>
    <row r="591" spans="1:12" x14ac:dyDescent="0.2">
      <c r="A591" s="7"/>
      <c r="B591" s="7"/>
      <c r="C591" s="7"/>
      <c r="D591" s="7"/>
      <c r="E591" s="7">
        <v>604600</v>
      </c>
      <c r="F591" s="7"/>
      <c r="G591" s="7" t="s">
        <v>487</v>
      </c>
      <c r="H591" s="7"/>
      <c r="I591" s="27" t="s">
        <v>26</v>
      </c>
      <c r="J591" s="7"/>
      <c r="K591" s="27" t="s">
        <v>2208</v>
      </c>
      <c r="L591" s="7"/>
    </row>
    <row r="592" spans="1:12" x14ac:dyDescent="0.2">
      <c r="A592" s="7"/>
      <c r="B592" s="7"/>
      <c r="C592" s="7"/>
      <c r="D592" s="7"/>
      <c r="E592" s="7">
        <v>604615</v>
      </c>
      <c r="F592" s="7"/>
      <c r="G592" s="7" t="s">
        <v>488</v>
      </c>
      <c r="H592" s="7"/>
      <c r="I592" s="27" t="s">
        <v>71</v>
      </c>
      <c r="J592" s="7"/>
      <c r="K592" s="27" t="s">
        <v>2208</v>
      </c>
      <c r="L592" s="7"/>
    </row>
    <row r="593" spans="1:12" x14ac:dyDescent="0.2">
      <c r="A593" s="7"/>
      <c r="B593" s="7"/>
      <c r="C593" s="7"/>
      <c r="D593" s="7"/>
      <c r="E593" s="7">
        <v>604650</v>
      </c>
      <c r="F593" s="7"/>
      <c r="G593" s="7" t="s">
        <v>489</v>
      </c>
      <c r="H593" s="7"/>
      <c r="I593" s="27" t="s">
        <v>71</v>
      </c>
      <c r="J593" s="7"/>
      <c r="K593" s="27" t="s">
        <v>2208</v>
      </c>
      <c r="L593" s="7"/>
    </row>
    <row r="594" spans="1:12" x14ac:dyDescent="0.2">
      <c r="A594" s="7"/>
      <c r="B594" s="7"/>
      <c r="C594" s="7"/>
      <c r="D594" s="7"/>
      <c r="E594" s="7">
        <v>605105</v>
      </c>
      <c r="F594" s="7"/>
      <c r="G594" s="7" t="s">
        <v>490</v>
      </c>
      <c r="H594" s="7"/>
      <c r="I594" s="27" t="s">
        <v>71</v>
      </c>
      <c r="J594" s="7"/>
      <c r="K594" s="27" t="s">
        <v>2208</v>
      </c>
      <c r="L594" s="7"/>
    </row>
    <row r="595" spans="1:12" x14ac:dyDescent="0.2">
      <c r="A595" s="7"/>
      <c r="B595" s="7"/>
      <c r="C595" s="7"/>
      <c r="D595" s="7"/>
      <c r="E595" s="7">
        <v>605120</v>
      </c>
      <c r="F595" s="7"/>
      <c r="G595" s="7" t="s">
        <v>491</v>
      </c>
      <c r="H595" s="7"/>
      <c r="I595" s="27" t="s">
        <v>71</v>
      </c>
      <c r="J595" s="7"/>
      <c r="K595" s="27" t="s">
        <v>2208</v>
      </c>
      <c r="L595" s="7"/>
    </row>
    <row r="596" spans="1:12" x14ac:dyDescent="0.2">
      <c r="A596" s="7"/>
      <c r="B596" s="7"/>
      <c r="C596" s="7"/>
      <c r="D596" s="7"/>
      <c r="E596" s="7">
        <v>605200</v>
      </c>
      <c r="F596" s="7"/>
      <c r="G596" s="7" t="s">
        <v>492</v>
      </c>
      <c r="H596" s="7"/>
      <c r="I596" s="27" t="s">
        <v>71</v>
      </c>
      <c r="J596" s="7"/>
      <c r="K596" s="27" t="s">
        <v>2208</v>
      </c>
      <c r="L596" s="7"/>
    </row>
    <row r="597" spans="1:12" x14ac:dyDescent="0.2">
      <c r="A597" s="7"/>
      <c r="B597" s="7"/>
      <c r="C597" s="7"/>
      <c r="D597" s="7"/>
      <c r="E597" s="7">
        <v>605201</v>
      </c>
      <c r="F597" s="7"/>
      <c r="G597" s="7" t="s">
        <v>493</v>
      </c>
      <c r="H597" s="7"/>
      <c r="I597" s="27" t="s">
        <v>71</v>
      </c>
      <c r="J597" s="7"/>
      <c r="K597" s="27" t="s">
        <v>2208</v>
      </c>
      <c r="L597" s="7"/>
    </row>
    <row r="598" spans="1:12" x14ac:dyDescent="0.2">
      <c r="A598" s="7"/>
      <c r="B598" s="7"/>
      <c r="C598" s="7"/>
      <c r="D598" s="7"/>
      <c r="E598" s="7">
        <v>605202</v>
      </c>
      <c r="F598" s="7"/>
      <c r="G598" s="7" t="s">
        <v>494</v>
      </c>
      <c r="H598" s="7"/>
      <c r="I598" s="27" t="s">
        <v>71</v>
      </c>
      <c r="J598" s="7"/>
      <c r="K598" s="27" t="s">
        <v>2208</v>
      </c>
      <c r="L598" s="7"/>
    </row>
    <row r="599" spans="1:12" x14ac:dyDescent="0.2">
      <c r="A599" s="7"/>
      <c r="B599" s="7"/>
      <c r="C599" s="7"/>
      <c r="D599" s="7"/>
      <c r="E599" s="7">
        <v>605203</v>
      </c>
      <c r="F599" s="7"/>
      <c r="G599" s="7" t="s">
        <v>495</v>
      </c>
      <c r="H599" s="7"/>
      <c r="I599" s="27" t="s">
        <v>71</v>
      </c>
      <c r="J599" s="7"/>
      <c r="K599" s="27" t="s">
        <v>2208</v>
      </c>
      <c r="L599" s="7"/>
    </row>
    <row r="600" spans="1:12" x14ac:dyDescent="0.2">
      <c r="A600" s="7"/>
      <c r="B600" s="7"/>
      <c r="C600" s="7"/>
      <c r="D600" s="7"/>
      <c r="E600" s="7">
        <v>605204</v>
      </c>
      <c r="F600" s="7"/>
      <c r="G600" s="7" t="s">
        <v>496</v>
      </c>
      <c r="H600" s="7"/>
      <c r="I600" s="27" t="s">
        <v>71</v>
      </c>
      <c r="J600" s="7"/>
      <c r="K600" s="27" t="s">
        <v>2208</v>
      </c>
      <c r="L600" s="7"/>
    </row>
    <row r="601" spans="1:12" x14ac:dyDescent="0.2">
      <c r="A601" s="7"/>
      <c r="B601" s="7"/>
      <c r="C601" s="7"/>
      <c r="D601" s="7"/>
      <c r="E601" s="7">
        <v>605205</v>
      </c>
      <c r="F601" s="7"/>
      <c r="G601" s="7" t="s">
        <v>497</v>
      </c>
      <c r="H601" s="7"/>
      <c r="I601" s="27" t="s">
        <v>71</v>
      </c>
      <c r="J601" s="7"/>
      <c r="K601" s="27" t="s">
        <v>2208</v>
      </c>
      <c r="L601" s="7"/>
    </row>
    <row r="602" spans="1:12" x14ac:dyDescent="0.2">
      <c r="A602" s="7"/>
      <c r="B602" s="7"/>
      <c r="C602" s="7"/>
      <c r="D602" s="7"/>
      <c r="E602" s="7">
        <v>605207</v>
      </c>
      <c r="F602" s="7"/>
      <c r="G602" s="7" t="s">
        <v>498</v>
      </c>
      <c r="H602" s="7"/>
      <c r="I602" s="27" t="s">
        <v>71</v>
      </c>
      <c r="J602" s="7"/>
      <c r="K602" s="27" t="s">
        <v>2208</v>
      </c>
      <c r="L602" s="7"/>
    </row>
    <row r="603" spans="1:12" x14ac:dyDescent="0.2">
      <c r="A603" s="7"/>
      <c r="B603" s="7"/>
      <c r="C603" s="7"/>
      <c r="D603" s="7"/>
      <c r="E603" s="7">
        <v>605208</v>
      </c>
      <c r="F603" s="7"/>
      <c r="G603" s="7" t="s">
        <v>498</v>
      </c>
      <c r="H603" s="7"/>
      <c r="I603" s="27" t="s">
        <v>71</v>
      </c>
      <c r="J603" s="7"/>
      <c r="K603" s="27" t="s">
        <v>2208</v>
      </c>
      <c r="L603" s="7"/>
    </row>
    <row r="604" spans="1:12" x14ac:dyDescent="0.2">
      <c r="A604" s="7"/>
      <c r="B604" s="7"/>
      <c r="C604" s="7"/>
      <c r="D604" s="7"/>
      <c r="E604" s="7">
        <v>605209</v>
      </c>
      <c r="F604" s="7"/>
      <c r="G604" s="7" t="s">
        <v>495</v>
      </c>
      <c r="H604" s="7"/>
      <c r="I604" s="27" t="s">
        <v>71</v>
      </c>
      <c r="J604" s="7"/>
      <c r="K604" s="27" t="s">
        <v>2208</v>
      </c>
      <c r="L604" s="7"/>
    </row>
    <row r="605" spans="1:12" x14ac:dyDescent="0.2">
      <c r="A605" s="7"/>
      <c r="B605" s="7"/>
      <c r="C605" s="7"/>
      <c r="D605" s="7"/>
      <c r="E605" s="7">
        <v>605210</v>
      </c>
      <c r="F605" s="7"/>
      <c r="G605" s="7" t="s">
        <v>495</v>
      </c>
      <c r="H605" s="7"/>
      <c r="I605" s="27" t="s">
        <v>71</v>
      </c>
      <c r="J605" s="7"/>
      <c r="K605" s="27" t="s">
        <v>2208</v>
      </c>
      <c r="L605" s="7"/>
    </row>
    <row r="606" spans="1:12" x14ac:dyDescent="0.2">
      <c r="A606" s="7"/>
      <c r="B606" s="7"/>
      <c r="C606" s="7"/>
      <c r="D606" s="7"/>
      <c r="E606" s="7">
        <v>605211</v>
      </c>
      <c r="F606" s="7"/>
      <c r="G606" s="7" t="s">
        <v>495</v>
      </c>
      <c r="H606" s="7"/>
      <c r="I606" s="27" t="s">
        <v>71</v>
      </c>
      <c r="J606" s="7"/>
      <c r="K606" s="27" t="s">
        <v>2208</v>
      </c>
      <c r="L606" s="7"/>
    </row>
    <row r="607" spans="1:12" x14ac:dyDescent="0.2">
      <c r="A607" s="7"/>
      <c r="B607" s="7"/>
      <c r="C607" s="7"/>
      <c r="D607" s="7"/>
      <c r="E607" s="7">
        <v>605212</v>
      </c>
      <c r="F607" s="7"/>
      <c r="G607" s="7" t="s">
        <v>499</v>
      </c>
      <c r="H607" s="7"/>
      <c r="I607" s="27" t="s">
        <v>71</v>
      </c>
      <c r="J607" s="7"/>
      <c r="K607" s="27" t="s">
        <v>2208</v>
      </c>
      <c r="L607" s="7"/>
    </row>
    <row r="608" spans="1:12" x14ac:dyDescent="0.2">
      <c r="A608" s="7"/>
      <c r="B608" s="7"/>
      <c r="C608" s="7"/>
      <c r="D608" s="7"/>
      <c r="E608" s="7">
        <v>605213</v>
      </c>
      <c r="F608" s="7"/>
      <c r="G608" s="7" t="s">
        <v>500</v>
      </c>
      <c r="H608" s="7"/>
      <c r="I608" s="27" t="s">
        <v>71</v>
      </c>
      <c r="J608" s="7"/>
      <c r="K608" s="27" t="s">
        <v>2208</v>
      </c>
      <c r="L608" s="7"/>
    </row>
    <row r="609" spans="1:12" x14ac:dyDescent="0.2">
      <c r="A609" s="7"/>
      <c r="B609" s="7"/>
      <c r="C609" s="7"/>
      <c r="D609" s="7"/>
      <c r="E609" s="7">
        <v>605214</v>
      </c>
      <c r="F609" s="7"/>
      <c r="G609" s="7" t="s">
        <v>501</v>
      </c>
      <c r="H609" s="7"/>
      <c r="I609" s="27" t="s">
        <v>71</v>
      </c>
      <c r="J609" s="7"/>
      <c r="K609" s="27" t="s">
        <v>2208</v>
      </c>
      <c r="L609" s="7"/>
    </row>
    <row r="610" spans="1:12" x14ac:dyDescent="0.2">
      <c r="A610" s="7"/>
      <c r="B610" s="7"/>
      <c r="C610" s="7"/>
      <c r="D610" s="7"/>
      <c r="E610" s="7">
        <v>605215</v>
      </c>
      <c r="F610" s="7"/>
      <c r="G610" s="7" t="s">
        <v>502</v>
      </c>
      <c r="H610" s="7"/>
      <c r="I610" s="27" t="s">
        <v>71</v>
      </c>
      <c r="J610" s="7"/>
      <c r="K610" s="27" t="s">
        <v>2208</v>
      </c>
      <c r="L610" s="7"/>
    </row>
    <row r="611" spans="1:12" x14ac:dyDescent="0.2">
      <c r="A611" s="7"/>
      <c r="B611" s="7"/>
      <c r="C611" s="7"/>
      <c r="D611" s="7"/>
      <c r="E611" s="7">
        <v>607011</v>
      </c>
      <c r="F611" s="7"/>
      <c r="G611" s="7" t="s">
        <v>503</v>
      </c>
      <c r="H611" s="7"/>
      <c r="I611" s="27" t="s">
        <v>71</v>
      </c>
      <c r="J611" s="7"/>
      <c r="K611" s="27" t="s">
        <v>2208</v>
      </c>
      <c r="L611" s="7"/>
    </row>
    <row r="612" spans="1:12" x14ac:dyDescent="0.2">
      <c r="A612" s="7"/>
      <c r="B612" s="7"/>
      <c r="C612" s="7"/>
      <c r="D612" s="7"/>
      <c r="E612" s="7">
        <v>607012</v>
      </c>
      <c r="F612" s="7"/>
      <c r="G612" s="7" t="s">
        <v>504</v>
      </c>
      <c r="H612" s="7"/>
      <c r="I612" s="27" t="s">
        <v>71</v>
      </c>
      <c r="J612" s="7"/>
      <c r="K612" s="27" t="s">
        <v>2208</v>
      </c>
      <c r="L612" s="7"/>
    </row>
    <row r="613" spans="1:12" x14ac:dyDescent="0.2">
      <c r="A613" s="7"/>
      <c r="B613" s="7"/>
      <c r="C613" s="7"/>
      <c r="D613" s="7"/>
      <c r="E613" s="7">
        <v>607013</v>
      </c>
      <c r="F613" s="7"/>
      <c r="G613" s="7" t="s">
        <v>505</v>
      </c>
      <c r="H613" s="7"/>
      <c r="I613" s="27" t="s">
        <v>71</v>
      </c>
      <c r="J613" s="7"/>
      <c r="K613" s="27" t="s">
        <v>2208</v>
      </c>
      <c r="L613" s="7"/>
    </row>
    <row r="614" spans="1:12" x14ac:dyDescent="0.2">
      <c r="A614" s="7"/>
      <c r="B614" s="7"/>
      <c r="C614" s="7"/>
      <c r="D614" s="7"/>
      <c r="E614" s="7">
        <v>607014</v>
      </c>
      <c r="F614" s="7"/>
      <c r="G614" s="7" t="s">
        <v>506</v>
      </c>
      <c r="H614" s="7"/>
      <c r="I614" s="27" t="s">
        <v>71</v>
      </c>
      <c r="J614" s="7"/>
      <c r="K614" s="27" t="s">
        <v>2208</v>
      </c>
      <c r="L614" s="7"/>
    </row>
    <row r="615" spans="1:12" x14ac:dyDescent="0.2">
      <c r="A615" s="7"/>
      <c r="B615" s="7"/>
      <c r="C615" s="7"/>
      <c r="D615" s="7"/>
      <c r="E615" s="7">
        <v>607015</v>
      </c>
      <c r="F615" s="7"/>
      <c r="G615" s="7" t="s">
        <v>507</v>
      </c>
      <c r="H615" s="7"/>
      <c r="I615" s="27" t="s">
        <v>71</v>
      </c>
      <c r="J615" s="7"/>
      <c r="K615" s="27" t="s">
        <v>2208</v>
      </c>
      <c r="L615" s="7"/>
    </row>
    <row r="616" spans="1:12" x14ac:dyDescent="0.2">
      <c r="A616" s="7"/>
      <c r="B616" s="7"/>
      <c r="C616" s="7"/>
      <c r="D616" s="7"/>
      <c r="E616" s="7">
        <v>607016</v>
      </c>
      <c r="F616" s="7"/>
      <c r="G616" s="7" t="s">
        <v>508</v>
      </c>
      <c r="H616" s="7"/>
      <c r="I616" s="27" t="s">
        <v>71</v>
      </c>
      <c r="J616" s="7"/>
      <c r="K616" s="27" t="s">
        <v>2208</v>
      </c>
      <c r="L616" s="7"/>
    </row>
    <row r="617" spans="1:12" x14ac:dyDescent="0.2">
      <c r="A617" s="7"/>
      <c r="B617" s="7"/>
      <c r="C617" s="7"/>
      <c r="D617" s="7"/>
      <c r="E617" s="7">
        <v>607018</v>
      </c>
      <c r="F617" s="7"/>
      <c r="G617" s="7" t="s">
        <v>509</v>
      </c>
      <c r="H617" s="7"/>
      <c r="I617" s="27" t="s">
        <v>71</v>
      </c>
      <c r="J617" s="7"/>
      <c r="K617" s="27" t="s">
        <v>2208</v>
      </c>
      <c r="L617" s="7"/>
    </row>
    <row r="618" spans="1:12" x14ac:dyDescent="0.2">
      <c r="A618" s="7"/>
      <c r="B618" s="7"/>
      <c r="C618" s="7"/>
      <c r="D618" s="7"/>
      <c r="E618" s="7">
        <v>607019</v>
      </c>
      <c r="F618" s="7"/>
      <c r="G618" s="7" t="s">
        <v>510</v>
      </c>
      <c r="H618" s="7"/>
      <c r="I618" s="27" t="s">
        <v>71</v>
      </c>
      <c r="J618" s="7"/>
      <c r="K618" s="27" t="s">
        <v>2208</v>
      </c>
      <c r="L618" s="7"/>
    </row>
    <row r="619" spans="1:12" x14ac:dyDescent="0.2">
      <c r="A619" s="7"/>
      <c r="B619" s="7"/>
      <c r="C619" s="7"/>
      <c r="D619" s="7"/>
      <c r="E619" s="7">
        <v>607021</v>
      </c>
      <c r="F619" s="7"/>
      <c r="G619" s="7" t="s">
        <v>511</v>
      </c>
      <c r="H619" s="7"/>
      <c r="I619" s="27" t="s">
        <v>71</v>
      </c>
      <c r="J619" s="7"/>
      <c r="K619" s="27" t="s">
        <v>2208</v>
      </c>
      <c r="L619" s="7"/>
    </row>
    <row r="620" spans="1:12" x14ac:dyDescent="0.2">
      <c r="A620" s="7"/>
      <c r="B620" s="7"/>
      <c r="C620" s="7"/>
      <c r="D620" s="7"/>
      <c r="E620" s="7">
        <v>607022</v>
      </c>
      <c r="F620" s="7"/>
      <c r="G620" s="7" t="s">
        <v>512</v>
      </c>
      <c r="H620" s="7"/>
      <c r="I620" s="27" t="s">
        <v>71</v>
      </c>
      <c r="J620" s="7"/>
      <c r="K620" s="27" t="s">
        <v>2208</v>
      </c>
      <c r="L620" s="7"/>
    </row>
    <row r="621" spans="1:12" x14ac:dyDescent="0.2">
      <c r="A621" s="7"/>
      <c r="B621" s="7"/>
      <c r="C621" s="7"/>
      <c r="D621" s="7"/>
      <c r="E621" s="7">
        <v>607023</v>
      </c>
      <c r="F621" s="7"/>
      <c r="G621" s="7" t="s">
        <v>513</v>
      </c>
      <c r="H621" s="7"/>
      <c r="I621" s="27" t="s">
        <v>71</v>
      </c>
      <c r="J621" s="7"/>
      <c r="K621" s="27" t="s">
        <v>2208</v>
      </c>
      <c r="L621" s="7"/>
    </row>
    <row r="622" spans="1:12" x14ac:dyDescent="0.2">
      <c r="A622" s="7"/>
      <c r="B622" s="7"/>
      <c r="C622" s="7"/>
      <c r="D622" s="7"/>
      <c r="E622" s="7">
        <v>607024</v>
      </c>
      <c r="F622" s="7"/>
      <c r="G622" s="7" t="s">
        <v>514</v>
      </c>
      <c r="H622" s="7"/>
      <c r="I622" s="27" t="s">
        <v>71</v>
      </c>
      <c r="J622" s="7"/>
      <c r="K622" s="27" t="s">
        <v>2208</v>
      </c>
      <c r="L622" s="7"/>
    </row>
    <row r="623" spans="1:12" x14ac:dyDescent="0.2">
      <c r="A623" s="7"/>
      <c r="B623" s="7"/>
      <c r="C623" s="7"/>
      <c r="D623" s="7"/>
      <c r="E623" s="7">
        <v>607027</v>
      </c>
      <c r="F623" s="7"/>
      <c r="G623" s="7" t="s">
        <v>515</v>
      </c>
      <c r="H623" s="7"/>
      <c r="I623" s="27" t="s">
        <v>71</v>
      </c>
      <c r="J623" s="7"/>
      <c r="K623" s="27" t="s">
        <v>2208</v>
      </c>
      <c r="L623" s="7"/>
    </row>
    <row r="624" spans="1:12" x14ac:dyDescent="0.2">
      <c r="A624" s="7"/>
      <c r="B624" s="7"/>
      <c r="C624" s="7"/>
      <c r="D624" s="7"/>
      <c r="E624" s="7">
        <v>607028</v>
      </c>
      <c r="F624" s="7"/>
      <c r="G624" s="7" t="s">
        <v>516</v>
      </c>
      <c r="H624" s="7"/>
      <c r="I624" s="27" t="s">
        <v>71</v>
      </c>
      <c r="J624" s="7"/>
      <c r="K624" s="27" t="s">
        <v>2208</v>
      </c>
      <c r="L624" s="7"/>
    </row>
    <row r="625" spans="1:12" x14ac:dyDescent="0.2">
      <c r="A625" s="7"/>
      <c r="B625" s="7"/>
      <c r="C625" s="7"/>
      <c r="D625" s="7"/>
      <c r="E625" s="7">
        <v>607029</v>
      </c>
      <c r="F625" s="7"/>
      <c r="G625" s="7" t="s">
        <v>517</v>
      </c>
      <c r="H625" s="7"/>
      <c r="I625" s="27" t="s">
        <v>71</v>
      </c>
      <c r="J625" s="7"/>
      <c r="K625" s="27" t="s">
        <v>2208</v>
      </c>
      <c r="L625" s="7"/>
    </row>
    <row r="626" spans="1:12" x14ac:dyDescent="0.2">
      <c r="A626" s="7"/>
      <c r="B626" s="7"/>
      <c r="C626" s="7"/>
      <c r="D626" s="7"/>
      <c r="E626" s="7">
        <v>607032</v>
      </c>
      <c r="F626" s="7"/>
      <c r="G626" s="7" t="s">
        <v>518</v>
      </c>
      <c r="H626" s="7"/>
      <c r="I626" s="27" t="s">
        <v>71</v>
      </c>
      <c r="J626" s="7"/>
      <c r="K626" s="27" t="s">
        <v>2208</v>
      </c>
      <c r="L626" s="7"/>
    </row>
    <row r="627" spans="1:12" x14ac:dyDescent="0.2">
      <c r="A627" s="7"/>
      <c r="B627" s="7"/>
      <c r="C627" s="7"/>
      <c r="D627" s="7"/>
      <c r="E627" s="7">
        <v>607140</v>
      </c>
      <c r="F627" s="7"/>
      <c r="G627" s="7" t="s">
        <v>519</v>
      </c>
      <c r="H627" s="7"/>
      <c r="I627" s="27" t="s">
        <v>71</v>
      </c>
      <c r="J627" s="7"/>
      <c r="K627" s="27" t="s">
        <v>2208</v>
      </c>
      <c r="L627" s="7"/>
    </row>
    <row r="628" spans="1:12" x14ac:dyDescent="0.2">
      <c r="A628" s="7"/>
      <c r="B628" s="7"/>
      <c r="C628" s="7"/>
      <c r="D628" s="7"/>
      <c r="E628" s="7">
        <v>607141</v>
      </c>
      <c r="F628" s="7"/>
      <c r="G628" s="7" t="s">
        <v>520</v>
      </c>
      <c r="H628" s="7"/>
      <c r="I628" s="27" t="s">
        <v>71</v>
      </c>
      <c r="J628" s="7"/>
      <c r="K628" s="27" t="s">
        <v>2208</v>
      </c>
      <c r="L628" s="7"/>
    </row>
    <row r="629" spans="1:12" x14ac:dyDescent="0.2">
      <c r="A629" s="7"/>
      <c r="B629" s="7"/>
      <c r="C629" s="7"/>
      <c r="D629" s="7"/>
      <c r="E629" s="7">
        <v>607150</v>
      </c>
      <c r="F629" s="7"/>
      <c r="G629" s="7" t="s">
        <v>521</v>
      </c>
      <c r="H629" s="7"/>
      <c r="I629" s="27" t="s">
        <v>71</v>
      </c>
      <c r="J629" s="7"/>
      <c r="K629" s="27" t="s">
        <v>2208</v>
      </c>
      <c r="L629" s="7"/>
    </row>
    <row r="630" spans="1:12" x14ac:dyDescent="0.2">
      <c r="A630" s="7"/>
      <c r="B630" s="7"/>
      <c r="C630" s="7"/>
      <c r="D630" s="7"/>
      <c r="E630" s="7">
        <v>607151</v>
      </c>
      <c r="F630" s="7"/>
      <c r="G630" s="7" t="s">
        <v>522</v>
      </c>
      <c r="H630" s="7"/>
      <c r="I630" s="27" t="s">
        <v>71</v>
      </c>
      <c r="J630" s="7"/>
      <c r="K630" s="27" t="s">
        <v>2208</v>
      </c>
      <c r="L630" s="7"/>
    </row>
    <row r="631" spans="1:12" x14ac:dyDescent="0.2">
      <c r="A631" s="7"/>
      <c r="B631" s="7"/>
      <c r="C631" s="7"/>
      <c r="D631" s="7"/>
      <c r="E631" s="7">
        <v>607152</v>
      </c>
      <c r="F631" s="7"/>
      <c r="G631" s="7" t="s">
        <v>523</v>
      </c>
      <c r="H631" s="7"/>
      <c r="I631" s="27" t="s">
        <v>71</v>
      </c>
      <c r="J631" s="7"/>
      <c r="K631" s="27" t="s">
        <v>2208</v>
      </c>
      <c r="L631" s="7"/>
    </row>
    <row r="632" spans="1:12" x14ac:dyDescent="0.2">
      <c r="A632" s="7"/>
      <c r="B632" s="7"/>
      <c r="C632" s="7"/>
      <c r="D632" s="7"/>
      <c r="E632" s="7">
        <v>607153</v>
      </c>
      <c r="F632" s="7"/>
      <c r="G632" s="7" t="s">
        <v>524</v>
      </c>
      <c r="H632" s="7"/>
      <c r="I632" s="27" t="s">
        <v>71</v>
      </c>
      <c r="J632" s="7"/>
      <c r="K632" s="27" t="s">
        <v>2208</v>
      </c>
      <c r="L632" s="7"/>
    </row>
    <row r="633" spans="1:12" x14ac:dyDescent="0.2">
      <c r="A633" s="7"/>
      <c r="B633" s="7"/>
      <c r="C633" s="7"/>
      <c r="D633" s="7"/>
      <c r="E633" s="7">
        <v>607154</v>
      </c>
      <c r="F633" s="7"/>
      <c r="G633" s="7" t="s">
        <v>525</v>
      </c>
      <c r="H633" s="7"/>
      <c r="I633" s="27" t="s">
        <v>71</v>
      </c>
      <c r="J633" s="7"/>
      <c r="K633" s="27" t="s">
        <v>2208</v>
      </c>
      <c r="L633" s="7"/>
    </row>
    <row r="634" spans="1:12" x14ac:dyDescent="0.2">
      <c r="A634" s="7"/>
      <c r="B634" s="7"/>
      <c r="C634" s="7"/>
      <c r="D634" s="7"/>
      <c r="E634" s="7">
        <v>607156</v>
      </c>
      <c r="F634" s="7"/>
      <c r="G634" s="7" t="s">
        <v>526</v>
      </c>
      <c r="H634" s="7"/>
      <c r="I634" s="27" t="s">
        <v>71</v>
      </c>
      <c r="J634" s="7"/>
      <c r="K634" s="27" t="s">
        <v>2208</v>
      </c>
      <c r="L634" s="7"/>
    </row>
    <row r="635" spans="1:12" x14ac:dyDescent="0.2">
      <c r="A635" s="7"/>
      <c r="B635" s="7"/>
      <c r="C635" s="7"/>
      <c r="D635" s="7"/>
      <c r="E635" s="7">
        <v>611000</v>
      </c>
      <c r="F635" s="7"/>
      <c r="G635" s="7" t="s">
        <v>527</v>
      </c>
      <c r="H635" s="7"/>
      <c r="I635" s="27" t="s">
        <v>133</v>
      </c>
      <c r="J635" s="7"/>
      <c r="K635" s="27" t="s">
        <v>2208</v>
      </c>
      <c r="L635" s="7"/>
    </row>
    <row r="636" spans="1:12" x14ac:dyDescent="0.2">
      <c r="A636" s="7"/>
      <c r="B636" s="7"/>
      <c r="C636" s="7"/>
      <c r="D636" s="7"/>
      <c r="E636" s="7">
        <v>611001</v>
      </c>
      <c r="F636" s="7"/>
      <c r="G636" s="7" t="s">
        <v>528</v>
      </c>
      <c r="H636" s="7"/>
      <c r="I636" s="27" t="s">
        <v>133</v>
      </c>
      <c r="J636" s="7"/>
      <c r="K636" s="27" t="s">
        <v>2208</v>
      </c>
      <c r="L636" s="7"/>
    </row>
    <row r="637" spans="1:12" x14ac:dyDescent="0.2">
      <c r="A637" s="7"/>
      <c r="B637" s="7"/>
      <c r="C637" s="7"/>
      <c r="D637" s="7"/>
      <c r="E637" s="7">
        <v>611002</v>
      </c>
      <c r="F637" s="7"/>
      <c r="G637" s="7" t="s">
        <v>529</v>
      </c>
      <c r="H637" s="7"/>
      <c r="I637" s="27" t="s">
        <v>133</v>
      </c>
      <c r="J637" s="7"/>
      <c r="K637" s="27" t="s">
        <v>2208</v>
      </c>
      <c r="L637" s="7"/>
    </row>
    <row r="638" spans="1:12" x14ac:dyDescent="0.2">
      <c r="A638" s="7"/>
      <c r="B638" s="7"/>
      <c r="C638" s="7"/>
      <c r="D638" s="7"/>
      <c r="E638" s="7">
        <v>611003</v>
      </c>
      <c r="F638" s="7"/>
      <c r="G638" s="7" t="s">
        <v>530</v>
      </c>
      <c r="H638" s="7"/>
      <c r="I638" s="27" t="s">
        <v>133</v>
      </c>
      <c r="J638" s="7"/>
      <c r="K638" s="27" t="s">
        <v>2208</v>
      </c>
      <c r="L638" s="7"/>
    </row>
    <row r="639" spans="1:12" x14ac:dyDescent="0.2">
      <c r="A639" s="7"/>
      <c r="B639" s="7"/>
      <c r="C639" s="7"/>
      <c r="D639" s="7"/>
      <c r="E639" s="7">
        <v>611004</v>
      </c>
      <c r="F639" s="7"/>
      <c r="G639" s="7" t="s">
        <v>531</v>
      </c>
      <c r="H639" s="7"/>
      <c r="I639" s="27" t="s">
        <v>133</v>
      </c>
      <c r="J639" s="7"/>
      <c r="K639" s="27" t="s">
        <v>2208</v>
      </c>
      <c r="L639" s="7"/>
    </row>
    <row r="640" spans="1:12" x14ac:dyDescent="0.2">
      <c r="A640" s="7"/>
      <c r="B640" s="7"/>
      <c r="C640" s="7"/>
      <c r="D640" s="7"/>
      <c r="E640" s="7">
        <v>611005</v>
      </c>
      <c r="F640" s="7"/>
      <c r="G640" s="7" t="s">
        <v>532</v>
      </c>
      <c r="H640" s="7"/>
      <c r="I640" s="27" t="s">
        <v>133</v>
      </c>
      <c r="J640" s="7"/>
      <c r="K640" s="27" t="s">
        <v>2208</v>
      </c>
      <c r="L640" s="7"/>
    </row>
    <row r="641" spans="1:12" x14ac:dyDescent="0.2">
      <c r="A641" s="7"/>
      <c r="B641" s="7"/>
      <c r="C641" s="7"/>
      <c r="D641" s="7"/>
      <c r="E641" s="7">
        <v>611006</v>
      </c>
      <c r="F641" s="7"/>
      <c r="G641" s="7" t="s">
        <v>533</v>
      </c>
      <c r="H641" s="7"/>
      <c r="I641" s="27" t="s">
        <v>133</v>
      </c>
      <c r="J641" s="7"/>
      <c r="K641" s="27" t="s">
        <v>2208</v>
      </c>
      <c r="L641" s="7"/>
    </row>
    <row r="642" spans="1:12" x14ac:dyDescent="0.2">
      <c r="A642" s="7"/>
      <c r="B642" s="7"/>
      <c r="C642" s="7"/>
      <c r="D642" s="7"/>
      <c r="E642" s="7">
        <v>611007</v>
      </c>
      <c r="F642" s="7"/>
      <c r="G642" s="7" t="s">
        <v>534</v>
      </c>
      <c r="H642" s="7"/>
      <c r="I642" s="27" t="s">
        <v>133</v>
      </c>
      <c r="J642" s="7"/>
      <c r="K642" s="27" t="s">
        <v>2208</v>
      </c>
      <c r="L642" s="7"/>
    </row>
    <row r="643" spans="1:12" x14ac:dyDescent="0.2">
      <c r="A643" s="7"/>
      <c r="B643" s="7"/>
      <c r="C643" s="7"/>
      <c r="D643" s="7"/>
      <c r="E643" s="7">
        <v>611008</v>
      </c>
      <c r="F643" s="7"/>
      <c r="G643" s="7" t="s">
        <v>535</v>
      </c>
      <c r="H643" s="7"/>
      <c r="I643" s="27" t="s">
        <v>133</v>
      </c>
      <c r="J643" s="7"/>
      <c r="K643" s="27" t="s">
        <v>2208</v>
      </c>
      <c r="L643" s="7"/>
    </row>
    <row r="644" spans="1:12" x14ac:dyDescent="0.2">
      <c r="A644" s="7"/>
      <c r="B644" s="7"/>
      <c r="C644" s="7"/>
      <c r="D644" s="7"/>
      <c r="E644" s="7">
        <v>611009</v>
      </c>
      <c r="F644" s="7"/>
      <c r="G644" s="7" t="s">
        <v>536</v>
      </c>
      <c r="H644" s="7"/>
      <c r="I644" s="27" t="s">
        <v>133</v>
      </c>
      <c r="J644" s="7"/>
      <c r="K644" s="27" t="s">
        <v>2208</v>
      </c>
      <c r="L644" s="7"/>
    </row>
    <row r="645" spans="1:12" x14ac:dyDescent="0.2">
      <c r="A645" s="7"/>
      <c r="B645" s="7"/>
      <c r="C645" s="7"/>
      <c r="D645" s="7"/>
      <c r="E645" s="7">
        <v>611010</v>
      </c>
      <c r="F645" s="7"/>
      <c r="G645" s="7" t="s">
        <v>537</v>
      </c>
      <c r="H645" s="7"/>
      <c r="I645" s="27" t="s">
        <v>133</v>
      </c>
      <c r="J645" s="7"/>
      <c r="K645" s="27" t="s">
        <v>2208</v>
      </c>
      <c r="L645" s="7"/>
    </row>
    <row r="646" spans="1:12" x14ac:dyDescent="0.2">
      <c r="A646" s="7"/>
      <c r="B646" s="7"/>
      <c r="C646" s="7"/>
      <c r="D646" s="7"/>
      <c r="E646" s="7">
        <v>611027</v>
      </c>
      <c r="F646" s="7"/>
      <c r="G646" s="7" t="s">
        <v>538</v>
      </c>
      <c r="H646" s="7"/>
      <c r="I646" s="27" t="s">
        <v>71</v>
      </c>
      <c r="J646" s="7"/>
      <c r="K646" s="27" t="s">
        <v>2208</v>
      </c>
      <c r="L646" s="7"/>
    </row>
    <row r="647" spans="1:12" x14ac:dyDescent="0.2">
      <c r="A647" s="7"/>
      <c r="B647" s="7"/>
      <c r="C647" s="7"/>
      <c r="D647" s="7"/>
      <c r="E647" s="7">
        <v>611028</v>
      </c>
      <c r="F647" s="7"/>
      <c r="G647" s="7" t="s">
        <v>539</v>
      </c>
      <c r="H647" s="7"/>
      <c r="I647" s="27" t="s">
        <v>133</v>
      </c>
      <c r="J647" s="7"/>
      <c r="K647" s="27" t="s">
        <v>2208</v>
      </c>
      <c r="L647" s="7"/>
    </row>
    <row r="648" spans="1:12" x14ac:dyDescent="0.2">
      <c r="A648" s="7"/>
      <c r="B648" s="7"/>
      <c r="C648" s="7"/>
      <c r="D648" s="7"/>
      <c r="E648" s="7">
        <v>611045</v>
      </c>
      <c r="F648" s="7"/>
      <c r="G648" s="7" t="s">
        <v>540</v>
      </c>
      <c r="H648" s="7"/>
      <c r="I648" s="27" t="s">
        <v>47</v>
      </c>
      <c r="J648" s="7"/>
      <c r="K648" s="27" t="s">
        <v>2208</v>
      </c>
      <c r="L648" s="7"/>
    </row>
    <row r="649" spans="1:12" x14ac:dyDescent="0.2">
      <c r="A649" s="7"/>
      <c r="B649" s="7"/>
      <c r="C649" s="7"/>
      <c r="D649" s="7"/>
      <c r="E649" s="7">
        <v>611046</v>
      </c>
      <c r="F649" s="7"/>
      <c r="G649" s="7" t="s">
        <v>541</v>
      </c>
      <c r="H649" s="7"/>
      <c r="I649" s="27" t="s">
        <v>47</v>
      </c>
      <c r="J649" s="7"/>
      <c r="K649" s="27" t="s">
        <v>2208</v>
      </c>
      <c r="L649" s="7"/>
    </row>
    <row r="650" spans="1:12" x14ac:dyDescent="0.2">
      <c r="A650" s="7"/>
      <c r="B650" s="7"/>
      <c r="C650" s="7"/>
      <c r="D650" s="7"/>
      <c r="E650" s="7">
        <v>611095</v>
      </c>
      <c r="F650" s="7"/>
      <c r="G650" s="7" t="s">
        <v>542</v>
      </c>
      <c r="H650" s="7"/>
      <c r="I650" s="27" t="s">
        <v>133</v>
      </c>
      <c r="J650" s="7"/>
      <c r="K650" s="27" t="s">
        <v>2208</v>
      </c>
      <c r="L650" s="7"/>
    </row>
    <row r="651" spans="1:12" x14ac:dyDescent="0.2">
      <c r="A651" s="7"/>
      <c r="B651" s="7"/>
      <c r="C651" s="7"/>
      <c r="D651" s="7"/>
      <c r="E651" s="7">
        <v>611096</v>
      </c>
      <c r="F651" s="7"/>
      <c r="G651" s="7" t="s">
        <v>542</v>
      </c>
      <c r="H651" s="7"/>
      <c r="I651" s="27" t="s">
        <v>133</v>
      </c>
      <c r="J651" s="7"/>
      <c r="K651" s="27" t="s">
        <v>2208</v>
      </c>
      <c r="L651" s="7"/>
    </row>
    <row r="652" spans="1:12" x14ac:dyDescent="0.2">
      <c r="A652" s="7"/>
      <c r="B652" s="7"/>
      <c r="C652" s="7"/>
      <c r="D652" s="7"/>
      <c r="E652" s="7">
        <v>611101</v>
      </c>
      <c r="F652" s="7"/>
      <c r="G652" s="7" t="s">
        <v>543</v>
      </c>
      <c r="H652" s="7"/>
      <c r="I652" s="27" t="s">
        <v>47</v>
      </c>
      <c r="J652" s="7"/>
      <c r="K652" s="27" t="s">
        <v>2208</v>
      </c>
      <c r="L652" s="7"/>
    </row>
    <row r="653" spans="1:12" x14ac:dyDescent="0.2">
      <c r="A653" s="7"/>
      <c r="B653" s="7"/>
      <c r="C653" s="7"/>
      <c r="D653" s="7"/>
      <c r="E653" s="7">
        <v>611102</v>
      </c>
      <c r="F653" s="7"/>
      <c r="G653" s="7" t="s">
        <v>544</v>
      </c>
      <c r="H653" s="7"/>
      <c r="I653" s="27" t="s">
        <v>133</v>
      </c>
      <c r="J653" s="7"/>
      <c r="K653" s="27" t="s">
        <v>2208</v>
      </c>
      <c r="L653" s="7"/>
    </row>
    <row r="654" spans="1:12" x14ac:dyDescent="0.2">
      <c r="A654" s="7"/>
      <c r="B654" s="7"/>
      <c r="C654" s="7"/>
      <c r="D654" s="7"/>
      <c r="E654" s="7">
        <v>611103</v>
      </c>
      <c r="F654" s="7"/>
      <c r="G654" s="7" t="s">
        <v>545</v>
      </c>
      <c r="H654" s="7"/>
      <c r="I654" s="27" t="s">
        <v>47</v>
      </c>
      <c r="J654" s="7"/>
      <c r="K654" s="27" t="s">
        <v>2208</v>
      </c>
      <c r="L654" s="7"/>
    </row>
    <row r="655" spans="1:12" x14ac:dyDescent="0.2">
      <c r="A655" s="7"/>
      <c r="B655" s="7"/>
      <c r="C655" s="7"/>
      <c r="D655" s="7"/>
      <c r="E655" s="7">
        <v>611104</v>
      </c>
      <c r="F655" s="7"/>
      <c r="G655" s="7" t="s">
        <v>546</v>
      </c>
      <c r="H655" s="7"/>
      <c r="I655" s="27" t="s">
        <v>47</v>
      </c>
      <c r="J655" s="7"/>
      <c r="K655" s="27" t="s">
        <v>2208</v>
      </c>
      <c r="L655" s="7"/>
    </row>
    <row r="656" spans="1:12" x14ac:dyDescent="0.2">
      <c r="A656" s="7"/>
      <c r="B656" s="7"/>
      <c r="C656" s="7"/>
      <c r="D656" s="7"/>
      <c r="E656" s="7">
        <v>611105</v>
      </c>
      <c r="F656" s="7"/>
      <c r="G656" s="7" t="s">
        <v>547</v>
      </c>
      <c r="H656" s="7"/>
      <c r="I656" s="27" t="s">
        <v>47</v>
      </c>
      <c r="J656" s="7"/>
      <c r="K656" s="27" t="s">
        <v>2208</v>
      </c>
      <c r="L656" s="7"/>
    </row>
    <row r="657" spans="1:12" x14ac:dyDescent="0.2">
      <c r="A657" s="7"/>
      <c r="B657" s="7"/>
      <c r="C657" s="7"/>
      <c r="D657" s="7"/>
      <c r="E657" s="7">
        <v>611106</v>
      </c>
      <c r="F657" s="7"/>
      <c r="G657" s="7" t="s">
        <v>548</v>
      </c>
      <c r="H657" s="7"/>
      <c r="I657" s="27" t="s">
        <v>47</v>
      </c>
      <c r="J657" s="7"/>
      <c r="K657" s="27" t="s">
        <v>2208</v>
      </c>
      <c r="L657" s="7"/>
    </row>
    <row r="658" spans="1:12" x14ac:dyDescent="0.2">
      <c r="A658" s="7"/>
      <c r="B658" s="7"/>
      <c r="C658" s="7"/>
      <c r="D658" s="7"/>
      <c r="E658" s="7">
        <v>611107</v>
      </c>
      <c r="F658" s="7"/>
      <c r="G658" s="7" t="s">
        <v>547</v>
      </c>
      <c r="H658" s="7"/>
      <c r="I658" s="27" t="s">
        <v>47</v>
      </c>
      <c r="J658" s="7"/>
      <c r="K658" s="27" t="s">
        <v>2208</v>
      </c>
      <c r="L658" s="7"/>
    </row>
    <row r="659" spans="1:12" x14ac:dyDescent="0.2">
      <c r="A659" s="7"/>
      <c r="B659" s="7"/>
      <c r="C659" s="7"/>
      <c r="D659" s="7"/>
      <c r="E659" s="7">
        <v>611108</v>
      </c>
      <c r="F659" s="7"/>
      <c r="G659" s="7" t="s">
        <v>549</v>
      </c>
      <c r="H659" s="7"/>
      <c r="I659" s="27" t="s">
        <v>47</v>
      </c>
      <c r="J659" s="7"/>
      <c r="K659" s="27" t="s">
        <v>2208</v>
      </c>
      <c r="L659" s="7"/>
    </row>
    <row r="660" spans="1:12" x14ac:dyDescent="0.2">
      <c r="A660" s="7"/>
      <c r="B660" s="7"/>
      <c r="C660" s="7"/>
      <c r="D660" s="7"/>
      <c r="E660" s="7">
        <v>611110</v>
      </c>
      <c r="F660" s="7"/>
      <c r="G660" s="7" t="s">
        <v>550</v>
      </c>
      <c r="H660" s="7"/>
      <c r="I660" s="27" t="s">
        <v>133</v>
      </c>
      <c r="J660" s="7"/>
      <c r="K660" s="27" t="s">
        <v>2208</v>
      </c>
      <c r="L660" s="7"/>
    </row>
    <row r="661" spans="1:12" x14ac:dyDescent="0.2">
      <c r="A661" s="7"/>
      <c r="B661" s="7"/>
      <c r="C661" s="7"/>
      <c r="D661" s="7"/>
      <c r="E661" s="7">
        <v>611111</v>
      </c>
      <c r="F661" s="7"/>
      <c r="G661" s="7" t="s">
        <v>551</v>
      </c>
      <c r="H661" s="7"/>
      <c r="I661" s="27" t="s">
        <v>133</v>
      </c>
      <c r="J661" s="7"/>
      <c r="K661" s="27" t="s">
        <v>2208</v>
      </c>
      <c r="L661" s="7"/>
    </row>
    <row r="662" spans="1:12" x14ac:dyDescent="0.2">
      <c r="A662" s="7"/>
      <c r="B662" s="7"/>
      <c r="C662" s="7"/>
      <c r="D662" s="7"/>
      <c r="E662" s="7">
        <v>611112</v>
      </c>
      <c r="F662" s="7"/>
      <c r="G662" s="7" t="s">
        <v>552</v>
      </c>
      <c r="H662" s="7"/>
      <c r="I662" s="27" t="s">
        <v>553</v>
      </c>
      <c r="J662" s="7"/>
      <c r="K662" s="27" t="s">
        <v>2208</v>
      </c>
      <c r="L662" s="7"/>
    </row>
    <row r="663" spans="1:12" x14ac:dyDescent="0.2">
      <c r="A663" s="7"/>
      <c r="B663" s="7"/>
      <c r="C663" s="7"/>
      <c r="D663" s="7"/>
      <c r="E663" s="7">
        <v>611113</v>
      </c>
      <c r="F663" s="7"/>
      <c r="G663" s="7" t="s">
        <v>554</v>
      </c>
      <c r="H663" s="7"/>
      <c r="I663" s="27" t="s">
        <v>553</v>
      </c>
      <c r="J663" s="7"/>
      <c r="K663" s="27" t="s">
        <v>2208</v>
      </c>
      <c r="L663" s="7"/>
    </row>
    <row r="664" spans="1:12" x14ac:dyDescent="0.2">
      <c r="A664" s="7"/>
      <c r="B664" s="7"/>
      <c r="C664" s="7"/>
      <c r="D664" s="7"/>
      <c r="E664" s="7">
        <v>611114</v>
      </c>
      <c r="F664" s="7"/>
      <c r="G664" s="7" t="s">
        <v>555</v>
      </c>
      <c r="H664" s="7"/>
      <c r="I664" s="27" t="s">
        <v>553</v>
      </c>
      <c r="J664" s="7"/>
      <c r="K664" s="27" t="s">
        <v>2208</v>
      </c>
      <c r="L664" s="7"/>
    </row>
    <row r="665" spans="1:12" x14ac:dyDescent="0.2">
      <c r="A665" s="7"/>
      <c r="B665" s="7"/>
      <c r="C665" s="7"/>
      <c r="D665" s="7"/>
      <c r="E665" s="7">
        <v>611115</v>
      </c>
      <c r="F665" s="7"/>
      <c r="G665" s="7" t="s">
        <v>556</v>
      </c>
      <c r="H665" s="7"/>
      <c r="I665" s="27" t="s">
        <v>553</v>
      </c>
      <c r="J665" s="7"/>
      <c r="K665" s="27" t="s">
        <v>2208</v>
      </c>
      <c r="L665" s="7"/>
    </row>
    <row r="666" spans="1:12" x14ac:dyDescent="0.2">
      <c r="A666" s="7"/>
      <c r="B666" s="7"/>
      <c r="C666" s="7"/>
      <c r="D666" s="7"/>
      <c r="E666" s="7">
        <v>611116</v>
      </c>
      <c r="F666" s="7"/>
      <c r="G666" s="7" t="s">
        <v>557</v>
      </c>
      <c r="H666" s="7"/>
      <c r="I666" s="27" t="s">
        <v>553</v>
      </c>
      <c r="J666" s="7"/>
      <c r="K666" s="27" t="s">
        <v>2208</v>
      </c>
      <c r="L666" s="7"/>
    </row>
    <row r="667" spans="1:12" x14ac:dyDescent="0.2">
      <c r="A667" s="7"/>
      <c r="B667" s="7"/>
      <c r="C667" s="7"/>
      <c r="D667" s="7"/>
      <c r="E667" s="7">
        <v>611117</v>
      </c>
      <c r="F667" s="7"/>
      <c r="G667" s="7" t="s">
        <v>558</v>
      </c>
      <c r="H667" s="7"/>
      <c r="I667" s="27" t="s">
        <v>133</v>
      </c>
      <c r="J667" s="7"/>
      <c r="K667" s="27" t="s">
        <v>2208</v>
      </c>
      <c r="L667" s="7"/>
    </row>
    <row r="668" spans="1:12" x14ac:dyDescent="0.2">
      <c r="A668" s="7"/>
      <c r="B668" s="7"/>
      <c r="C668" s="7"/>
      <c r="D668" s="7"/>
      <c r="E668" s="7">
        <v>611118</v>
      </c>
      <c r="F668" s="7"/>
      <c r="G668" s="7" t="s">
        <v>559</v>
      </c>
      <c r="H668" s="7"/>
      <c r="I668" s="27" t="s">
        <v>133</v>
      </c>
      <c r="J668" s="7"/>
      <c r="K668" s="27" t="s">
        <v>2208</v>
      </c>
      <c r="L668" s="7"/>
    </row>
    <row r="669" spans="1:12" x14ac:dyDescent="0.2">
      <c r="A669" s="7"/>
      <c r="B669" s="7"/>
      <c r="C669" s="7"/>
      <c r="D669" s="7"/>
      <c r="E669" s="7">
        <v>611119</v>
      </c>
      <c r="F669" s="7"/>
      <c r="G669" s="7" t="s">
        <v>560</v>
      </c>
      <c r="H669" s="7"/>
      <c r="I669" s="27" t="s">
        <v>133</v>
      </c>
      <c r="J669" s="7"/>
      <c r="K669" s="27" t="s">
        <v>2208</v>
      </c>
      <c r="L669" s="7"/>
    </row>
    <row r="670" spans="1:12" x14ac:dyDescent="0.2">
      <c r="A670" s="7"/>
      <c r="B670" s="7"/>
      <c r="C670" s="7"/>
      <c r="D670" s="7"/>
      <c r="E670" s="7">
        <v>611120</v>
      </c>
      <c r="F670" s="7"/>
      <c r="G670" s="7" t="s">
        <v>561</v>
      </c>
      <c r="H670" s="7"/>
      <c r="I670" s="27" t="s">
        <v>133</v>
      </c>
      <c r="J670" s="7"/>
      <c r="K670" s="27" t="s">
        <v>2208</v>
      </c>
      <c r="L670" s="7"/>
    </row>
    <row r="671" spans="1:12" x14ac:dyDescent="0.2">
      <c r="A671" s="7"/>
      <c r="B671" s="7"/>
      <c r="C671" s="7"/>
      <c r="D671" s="7"/>
      <c r="E671" s="7">
        <v>611121</v>
      </c>
      <c r="F671" s="7"/>
      <c r="G671" s="7" t="s">
        <v>562</v>
      </c>
      <c r="H671" s="7"/>
      <c r="I671" s="27" t="s">
        <v>133</v>
      </c>
      <c r="J671" s="7"/>
      <c r="K671" s="27" t="s">
        <v>2208</v>
      </c>
      <c r="L671" s="7"/>
    </row>
    <row r="672" spans="1:12" x14ac:dyDescent="0.2">
      <c r="A672" s="7"/>
      <c r="B672" s="7"/>
      <c r="C672" s="7"/>
      <c r="D672" s="7"/>
      <c r="E672" s="7">
        <v>611122</v>
      </c>
      <c r="F672" s="7"/>
      <c r="G672" s="7" t="s">
        <v>563</v>
      </c>
      <c r="H672" s="7"/>
      <c r="I672" s="27" t="s">
        <v>133</v>
      </c>
      <c r="J672" s="7"/>
      <c r="K672" s="27" t="s">
        <v>2208</v>
      </c>
      <c r="L672" s="7"/>
    </row>
    <row r="673" spans="1:12" x14ac:dyDescent="0.2">
      <c r="A673" s="7"/>
      <c r="B673" s="7"/>
      <c r="C673" s="7"/>
      <c r="D673" s="7"/>
      <c r="E673" s="7">
        <v>611123</v>
      </c>
      <c r="F673" s="7"/>
      <c r="G673" s="7" t="s">
        <v>564</v>
      </c>
      <c r="H673" s="7"/>
      <c r="I673" s="27" t="s">
        <v>133</v>
      </c>
      <c r="J673" s="7"/>
      <c r="K673" s="27" t="s">
        <v>2208</v>
      </c>
      <c r="L673" s="7"/>
    </row>
    <row r="674" spans="1:12" x14ac:dyDescent="0.2">
      <c r="A674" s="7"/>
      <c r="B674" s="7"/>
      <c r="C674" s="7"/>
      <c r="D674" s="7"/>
      <c r="E674" s="7">
        <v>611124</v>
      </c>
      <c r="F674" s="7"/>
      <c r="G674" s="7" t="s">
        <v>565</v>
      </c>
      <c r="H674" s="7"/>
      <c r="I674" s="27" t="s">
        <v>133</v>
      </c>
      <c r="J674" s="7"/>
      <c r="K674" s="27" t="s">
        <v>2208</v>
      </c>
      <c r="L674" s="7"/>
    </row>
    <row r="675" spans="1:12" x14ac:dyDescent="0.2">
      <c r="A675" s="7"/>
      <c r="B675" s="7"/>
      <c r="C675" s="7"/>
      <c r="D675" s="7"/>
      <c r="E675" s="7">
        <v>611125</v>
      </c>
      <c r="F675" s="7"/>
      <c r="G675" s="7" t="s">
        <v>566</v>
      </c>
      <c r="H675" s="7"/>
      <c r="I675" s="27" t="s">
        <v>47</v>
      </c>
      <c r="J675" s="7"/>
      <c r="K675" s="27" t="s">
        <v>2208</v>
      </c>
      <c r="L675" s="7"/>
    </row>
    <row r="676" spans="1:12" x14ac:dyDescent="0.2">
      <c r="A676" s="7"/>
      <c r="B676" s="7"/>
      <c r="C676" s="7"/>
      <c r="D676" s="7"/>
      <c r="E676" s="7">
        <v>611126</v>
      </c>
      <c r="F676" s="7"/>
      <c r="G676" s="7" t="s">
        <v>567</v>
      </c>
      <c r="H676" s="7"/>
      <c r="I676" s="27" t="s">
        <v>47</v>
      </c>
      <c r="J676" s="7"/>
      <c r="K676" s="27" t="s">
        <v>2208</v>
      </c>
      <c r="L676" s="7"/>
    </row>
    <row r="677" spans="1:12" x14ac:dyDescent="0.2">
      <c r="A677" s="7"/>
      <c r="B677" s="7"/>
      <c r="C677" s="7"/>
      <c r="D677" s="7"/>
      <c r="E677" s="7">
        <v>611127</v>
      </c>
      <c r="F677" s="7"/>
      <c r="G677" s="7" t="s">
        <v>568</v>
      </c>
      <c r="H677" s="7"/>
      <c r="I677" s="27" t="s">
        <v>47</v>
      </c>
      <c r="J677" s="7"/>
      <c r="K677" s="27" t="s">
        <v>2208</v>
      </c>
      <c r="L677" s="7"/>
    </row>
    <row r="678" spans="1:12" x14ac:dyDescent="0.2">
      <c r="A678" s="7"/>
      <c r="B678" s="7"/>
      <c r="C678" s="7"/>
      <c r="D678" s="7"/>
      <c r="E678" s="7">
        <v>611128</v>
      </c>
      <c r="F678" s="7"/>
      <c r="G678" s="7" t="s">
        <v>569</v>
      </c>
      <c r="H678" s="7"/>
      <c r="I678" s="27" t="s">
        <v>47</v>
      </c>
      <c r="J678" s="7"/>
      <c r="K678" s="27" t="s">
        <v>2208</v>
      </c>
      <c r="L678" s="7"/>
    </row>
    <row r="679" spans="1:12" x14ac:dyDescent="0.2">
      <c r="A679" s="7"/>
      <c r="B679" s="7"/>
      <c r="C679" s="7"/>
      <c r="D679" s="7"/>
      <c r="E679" s="7">
        <v>611129</v>
      </c>
      <c r="F679" s="7"/>
      <c r="G679" s="7" t="s">
        <v>570</v>
      </c>
      <c r="H679" s="7"/>
      <c r="I679" s="27" t="s">
        <v>47</v>
      </c>
      <c r="J679" s="7"/>
      <c r="K679" s="27" t="s">
        <v>2208</v>
      </c>
      <c r="L679" s="7"/>
    </row>
    <row r="680" spans="1:12" x14ac:dyDescent="0.2">
      <c r="A680" s="7"/>
      <c r="B680" s="7"/>
      <c r="C680" s="7"/>
      <c r="D680" s="7"/>
      <c r="E680" s="7">
        <v>611130</v>
      </c>
      <c r="F680" s="7"/>
      <c r="G680" s="7" t="s">
        <v>32</v>
      </c>
      <c r="H680" s="7"/>
      <c r="I680" s="27" t="s">
        <v>133</v>
      </c>
      <c r="J680" s="7"/>
      <c r="K680" s="27" t="s">
        <v>2208</v>
      </c>
      <c r="L680" s="7"/>
    </row>
    <row r="681" spans="1:12" x14ac:dyDescent="0.2">
      <c r="A681" s="7"/>
      <c r="B681" s="7"/>
      <c r="C681" s="7"/>
      <c r="D681" s="7"/>
      <c r="E681" s="7">
        <v>611131</v>
      </c>
      <c r="F681" s="7"/>
      <c r="G681" s="7" t="s">
        <v>571</v>
      </c>
      <c r="H681" s="7"/>
      <c r="I681" s="27" t="s">
        <v>47</v>
      </c>
      <c r="J681" s="7"/>
      <c r="K681" s="27" t="s">
        <v>2208</v>
      </c>
      <c r="L681" s="7"/>
    </row>
    <row r="682" spans="1:12" x14ac:dyDescent="0.2">
      <c r="A682" s="7"/>
      <c r="B682" s="7"/>
      <c r="C682" s="7"/>
      <c r="D682" s="7"/>
      <c r="E682" s="7">
        <v>611132</v>
      </c>
      <c r="F682" s="7"/>
      <c r="G682" s="7" t="s">
        <v>572</v>
      </c>
      <c r="H682" s="7"/>
      <c r="I682" s="27" t="s">
        <v>47</v>
      </c>
      <c r="J682" s="7"/>
      <c r="K682" s="27" t="s">
        <v>2208</v>
      </c>
      <c r="L682" s="7"/>
    </row>
    <row r="683" spans="1:12" x14ac:dyDescent="0.2">
      <c r="A683" s="7"/>
      <c r="B683" s="7"/>
      <c r="C683" s="7"/>
      <c r="D683" s="7"/>
      <c r="E683" s="7">
        <v>611133</v>
      </c>
      <c r="F683" s="7"/>
      <c r="G683" s="7" t="s">
        <v>573</v>
      </c>
      <c r="H683" s="7"/>
      <c r="I683" s="27" t="s">
        <v>47</v>
      </c>
      <c r="J683" s="7"/>
      <c r="K683" s="27" t="s">
        <v>2208</v>
      </c>
      <c r="L683" s="7"/>
    </row>
    <row r="684" spans="1:12" x14ac:dyDescent="0.2">
      <c r="A684" s="7"/>
      <c r="B684" s="7"/>
      <c r="C684" s="7"/>
      <c r="D684" s="7"/>
      <c r="E684" s="7">
        <v>611134</v>
      </c>
      <c r="F684" s="7"/>
      <c r="G684" s="7" t="s">
        <v>574</v>
      </c>
      <c r="H684" s="7"/>
      <c r="I684" s="27" t="s">
        <v>47</v>
      </c>
      <c r="J684" s="7"/>
      <c r="K684" s="27" t="s">
        <v>2208</v>
      </c>
      <c r="L684" s="7"/>
    </row>
    <row r="685" spans="1:12" x14ac:dyDescent="0.2">
      <c r="A685" s="7"/>
      <c r="B685" s="7"/>
      <c r="C685" s="7"/>
      <c r="D685" s="7"/>
      <c r="E685" s="7">
        <v>611135</v>
      </c>
      <c r="F685" s="7"/>
      <c r="G685" s="7" t="s">
        <v>575</v>
      </c>
      <c r="H685" s="7"/>
      <c r="I685" s="27" t="s">
        <v>47</v>
      </c>
      <c r="J685" s="7"/>
      <c r="K685" s="27" t="s">
        <v>2208</v>
      </c>
      <c r="L685" s="7"/>
    </row>
    <row r="686" spans="1:12" x14ac:dyDescent="0.2">
      <c r="A686" s="7"/>
      <c r="B686" s="7"/>
      <c r="C686" s="7"/>
      <c r="D686" s="7"/>
      <c r="E686" s="7">
        <v>611136</v>
      </c>
      <c r="F686" s="7"/>
      <c r="G686" s="7" t="s">
        <v>576</v>
      </c>
      <c r="H686" s="7"/>
      <c r="I686" s="27" t="s">
        <v>553</v>
      </c>
      <c r="J686" s="7"/>
      <c r="K686" s="27" t="s">
        <v>2208</v>
      </c>
      <c r="L686" s="7"/>
    </row>
    <row r="687" spans="1:12" x14ac:dyDescent="0.2">
      <c r="A687" s="7"/>
      <c r="B687" s="7"/>
      <c r="C687" s="7"/>
      <c r="D687" s="7"/>
      <c r="E687" s="7">
        <v>611137</v>
      </c>
      <c r="F687" s="7"/>
      <c r="G687" s="7" t="s">
        <v>577</v>
      </c>
      <c r="H687" s="7"/>
      <c r="I687" s="27" t="s">
        <v>553</v>
      </c>
      <c r="J687" s="7"/>
      <c r="K687" s="27" t="s">
        <v>2208</v>
      </c>
      <c r="L687" s="7"/>
    </row>
    <row r="688" spans="1:12" x14ac:dyDescent="0.2">
      <c r="A688" s="7"/>
      <c r="B688" s="7"/>
      <c r="C688" s="7"/>
      <c r="D688" s="7"/>
      <c r="E688" s="7">
        <v>611138</v>
      </c>
      <c r="F688" s="7"/>
      <c r="G688" s="7" t="s">
        <v>578</v>
      </c>
      <c r="H688" s="7"/>
      <c r="I688" s="27" t="s">
        <v>553</v>
      </c>
      <c r="J688" s="7"/>
      <c r="K688" s="27" t="s">
        <v>2208</v>
      </c>
      <c r="L688" s="7"/>
    </row>
    <row r="689" spans="1:12" x14ac:dyDescent="0.2">
      <c r="A689" s="7"/>
      <c r="B689" s="7"/>
      <c r="C689" s="7"/>
      <c r="D689" s="7"/>
      <c r="E689" s="7">
        <v>611139</v>
      </c>
      <c r="F689" s="7"/>
      <c r="G689" s="7" t="s">
        <v>579</v>
      </c>
      <c r="H689" s="7"/>
      <c r="I689" s="27" t="s">
        <v>553</v>
      </c>
      <c r="J689" s="7"/>
      <c r="K689" s="27" t="s">
        <v>2208</v>
      </c>
      <c r="L689" s="7"/>
    </row>
    <row r="690" spans="1:12" x14ac:dyDescent="0.2">
      <c r="A690" s="7"/>
      <c r="B690" s="7"/>
      <c r="C690" s="7"/>
      <c r="D690" s="7"/>
      <c r="E690" s="7">
        <v>611140</v>
      </c>
      <c r="F690" s="7"/>
      <c r="G690" s="7" t="s">
        <v>580</v>
      </c>
      <c r="H690" s="7"/>
      <c r="I690" s="27" t="s">
        <v>133</v>
      </c>
      <c r="J690" s="7"/>
      <c r="K690" s="27" t="s">
        <v>2208</v>
      </c>
      <c r="L690" s="7"/>
    </row>
    <row r="691" spans="1:12" x14ac:dyDescent="0.2">
      <c r="A691" s="7"/>
      <c r="B691" s="7"/>
      <c r="C691" s="7"/>
      <c r="D691" s="7"/>
      <c r="E691" s="7">
        <v>611141</v>
      </c>
      <c r="F691" s="7"/>
      <c r="G691" s="7" t="s">
        <v>581</v>
      </c>
      <c r="H691" s="7"/>
      <c r="I691" s="27" t="s">
        <v>47</v>
      </c>
      <c r="J691" s="7"/>
      <c r="K691" s="27" t="s">
        <v>2208</v>
      </c>
      <c r="L691" s="7"/>
    </row>
    <row r="692" spans="1:12" x14ac:dyDescent="0.2">
      <c r="A692" s="7"/>
      <c r="B692" s="7"/>
      <c r="C692" s="7"/>
      <c r="D692" s="7"/>
      <c r="E692" s="7">
        <v>611142</v>
      </c>
      <c r="F692" s="7"/>
      <c r="G692" s="7" t="s">
        <v>582</v>
      </c>
      <c r="H692" s="7"/>
      <c r="I692" s="27" t="s">
        <v>47</v>
      </c>
      <c r="J692" s="7"/>
      <c r="K692" s="27" t="s">
        <v>2208</v>
      </c>
      <c r="L692" s="7"/>
    </row>
    <row r="693" spans="1:12" x14ac:dyDescent="0.2">
      <c r="A693" s="7"/>
      <c r="B693" s="7"/>
      <c r="C693" s="7"/>
      <c r="D693" s="7"/>
      <c r="E693" s="7">
        <v>611143</v>
      </c>
      <c r="F693" s="7"/>
      <c r="G693" s="7" t="s">
        <v>583</v>
      </c>
      <c r="H693" s="7"/>
      <c r="I693" s="27" t="s">
        <v>47</v>
      </c>
      <c r="J693" s="7"/>
      <c r="K693" s="27" t="s">
        <v>2208</v>
      </c>
      <c r="L693" s="7"/>
    </row>
    <row r="694" spans="1:12" x14ac:dyDescent="0.2">
      <c r="A694" s="7"/>
      <c r="B694" s="7"/>
      <c r="C694" s="7"/>
      <c r="D694" s="7"/>
      <c r="E694" s="7">
        <v>611144</v>
      </c>
      <c r="F694" s="7"/>
      <c r="G694" s="7" t="s">
        <v>584</v>
      </c>
      <c r="H694" s="7"/>
      <c r="I694" s="27" t="s">
        <v>47</v>
      </c>
      <c r="J694" s="7"/>
      <c r="K694" s="27" t="s">
        <v>2208</v>
      </c>
      <c r="L694" s="7"/>
    </row>
    <row r="695" spans="1:12" x14ac:dyDescent="0.2">
      <c r="A695" s="7"/>
      <c r="B695" s="7"/>
      <c r="C695" s="7"/>
      <c r="D695" s="7"/>
      <c r="E695" s="7">
        <v>611145</v>
      </c>
      <c r="F695" s="7"/>
      <c r="G695" s="7" t="s">
        <v>585</v>
      </c>
      <c r="H695" s="7"/>
      <c r="I695" s="27" t="s">
        <v>553</v>
      </c>
      <c r="J695" s="7"/>
      <c r="K695" s="27" t="s">
        <v>2208</v>
      </c>
      <c r="L695" s="7"/>
    </row>
    <row r="696" spans="1:12" x14ac:dyDescent="0.2">
      <c r="A696" s="7"/>
      <c r="B696" s="7"/>
      <c r="C696" s="7"/>
      <c r="D696" s="7"/>
      <c r="E696" s="7">
        <v>611146</v>
      </c>
      <c r="F696" s="7"/>
      <c r="G696" s="7" t="s">
        <v>586</v>
      </c>
      <c r="H696" s="7"/>
      <c r="I696" s="27" t="s">
        <v>553</v>
      </c>
      <c r="J696" s="7"/>
      <c r="K696" s="27" t="s">
        <v>2208</v>
      </c>
      <c r="L696" s="7"/>
    </row>
    <row r="697" spans="1:12" x14ac:dyDescent="0.2">
      <c r="A697" s="7"/>
      <c r="B697" s="7"/>
      <c r="C697" s="7"/>
      <c r="D697" s="7"/>
      <c r="E697" s="7">
        <v>611147</v>
      </c>
      <c r="F697" s="7"/>
      <c r="G697" s="7" t="s">
        <v>587</v>
      </c>
      <c r="H697" s="7"/>
      <c r="I697" s="27" t="s">
        <v>553</v>
      </c>
      <c r="J697" s="7"/>
      <c r="K697" s="27" t="s">
        <v>2208</v>
      </c>
      <c r="L697" s="7"/>
    </row>
    <row r="698" spans="1:12" x14ac:dyDescent="0.2">
      <c r="A698" s="7"/>
      <c r="B698" s="7"/>
      <c r="C698" s="7"/>
      <c r="D698" s="7"/>
      <c r="E698" s="7">
        <v>611148</v>
      </c>
      <c r="F698" s="7"/>
      <c r="G698" s="7" t="s">
        <v>588</v>
      </c>
      <c r="H698" s="7"/>
      <c r="I698" s="27" t="s">
        <v>553</v>
      </c>
      <c r="J698" s="7"/>
      <c r="K698" s="27" t="s">
        <v>2208</v>
      </c>
      <c r="L698" s="7"/>
    </row>
    <row r="699" spans="1:12" x14ac:dyDescent="0.2">
      <c r="A699" s="7"/>
      <c r="B699" s="7"/>
      <c r="C699" s="7"/>
      <c r="D699" s="7"/>
      <c r="E699" s="7">
        <v>611150</v>
      </c>
      <c r="F699" s="7"/>
      <c r="G699" s="7" t="s">
        <v>589</v>
      </c>
      <c r="H699" s="7"/>
      <c r="I699" s="27" t="s">
        <v>133</v>
      </c>
      <c r="J699" s="7"/>
      <c r="K699" s="27" t="s">
        <v>2208</v>
      </c>
      <c r="L699" s="7"/>
    </row>
    <row r="700" spans="1:12" x14ac:dyDescent="0.2">
      <c r="A700" s="7"/>
      <c r="B700" s="7"/>
      <c r="C700" s="7"/>
      <c r="D700" s="7"/>
      <c r="E700" s="7">
        <v>611151</v>
      </c>
      <c r="F700" s="7"/>
      <c r="G700" s="7" t="s">
        <v>590</v>
      </c>
      <c r="H700" s="7"/>
      <c r="I700" s="27" t="s">
        <v>133</v>
      </c>
      <c r="J700" s="7"/>
      <c r="K700" s="27" t="s">
        <v>2208</v>
      </c>
      <c r="L700" s="7"/>
    </row>
    <row r="701" spans="1:12" x14ac:dyDescent="0.2">
      <c r="A701" s="7"/>
      <c r="B701" s="7"/>
      <c r="C701" s="7"/>
      <c r="D701" s="7"/>
      <c r="E701" s="7">
        <v>611152</v>
      </c>
      <c r="F701" s="7"/>
      <c r="G701" s="7" t="s">
        <v>591</v>
      </c>
      <c r="H701" s="7"/>
      <c r="I701" s="27" t="s">
        <v>133</v>
      </c>
      <c r="J701" s="7"/>
      <c r="K701" s="27" t="s">
        <v>2208</v>
      </c>
      <c r="L701" s="7"/>
    </row>
    <row r="702" spans="1:12" x14ac:dyDescent="0.2">
      <c r="A702" s="7"/>
      <c r="B702" s="7"/>
      <c r="C702" s="7"/>
      <c r="D702" s="7"/>
      <c r="E702" s="7">
        <v>611153</v>
      </c>
      <c r="F702" s="7"/>
      <c r="G702" s="7" t="s">
        <v>592</v>
      </c>
      <c r="H702" s="7"/>
      <c r="I702" s="27" t="s">
        <v>133</v>
      </c>
      <c r="J702" s="7"/>
      <c r="K702" s="27" t="s">
        <v>2208</v>
      </c>
      <c r="L702" s="7"/>
    </row>
    <row r="703" spans="1:12" x14ac:dyDescent="0.2">
      <c r="A703" s="7"/>
      <c r="B703" s="7"/>
      <c r="C703" s="7"/>
      <c r="D703" s="7"/>
      <c r="E703" s="7">
        <v>611160</v>
      </c>
      <c r="F703" s="7"/>
      <c r="G703" s="7" t="s">
        <v>593</v>
      </c>
      <c r="H703" s="7"/>
      <c r="I703" s="27" t="s">
        <v>133</v>
      </c>
      <c r="J703" s="7"/>
      <c r="K703" s="27" t="s">
        <v>2208</v>
      </c>
      <c r="L703" s="7"/>
    </row>
    <row r="704" spans="1:12" x14ac:dyDescent="0.2">
      <c r="A704" s="7"/>
      <c r="B704" s="7"/>
      <c r="C704" s="7"/>
      <c r="D704" s="7"/>
      <c r="E704" s="7">
        <v>611161</v>
      </c>
      <c r="F704" s="7"/>
      <c r="G704" s="7" t="s">
        <v>594</v>
      </c>
      <c r="H704" s="7"/>
      <c r="I704" s="27" t="s">
        <v>133</v>
      </c>
      <c r="J704" s="7"/>
      <c r="K704" s="27" t="s">
        <v>2208</v>
      </c>
      <c r="L704" s="7"/>
    </row>
    <row r="705" spans="1:12" x14ac:dyDescent="0.2">
      <c r="A705" s="7"/>
      <c r="B705" s="7"/>
      <c r="C705" s="7"/>
      <c r="D705" s="7"/>
      <c r="E705" s="7">
        <v>611162</v>
      </c>
      <c r="F705" s="7"/>
      <c r="G705" s="7" t="s">
        <v>595</v>
      </c>
      <c r="H705" s="7"/>
      <c r="I705" s="27" t="s">
        <v>133</v>
      </c>
      <c r="J705" s="7"/>
      <c r="K705" s="27" t="s">
        <v>2208</v>
      </c>
      <c r="L705" s="7"/>
    </row>
    <row r="706" spans="1:12" x14ac:dyDescent="0.2">
      <c r="A706" s="7"/>
      <c r="B706" s="7"/>
      <c r="C706" s="7"/>
      <c r="D706" s="7"/>
      <c r="E706" s="7">
        <v>611163</v>
      </c>
      <c r="F706" s="7"/>
      <c r="G706" s="7" t="s">
        <v>596</v>
      </c>
      <c r="H706" s="7"/>
      <c r="I706" s="27" t="s">
        <v>133</v>
      </c>
      <c r="J706" s="7"/>
      <c r="K706" s="27" t="s">
        <v>2208</v>
      </c>
      <c r="L706" s="7"/>
    </row>
    <row r="707" spans="1:12" x14ac:dyDescent="0.2">
      <c r="A707" s="7"/>
      <c r="B707" s="7"/>
      <c r="C707" s="7"/>
      <c r="D707" s="7"/>
      <c r="E707" s="7">
        <v>611164</v>
      </c>
      <c r="F707" s="7"/>
      <c r="G707" s="7" t="s">
        <v>597</v>
      </c>
      <c r="H707" s="7"/>
      <c r="I707" s="27" t="s">
        <v>133</v>
      </c>
      <c r="J707" s="7"/>
      <c r="K707" s="27" t="s">
        <v>2208</v>
      </c>
      <c r="L707" s="7"/>
    </row>
    <row r="708" spans="1:12" x14ac:dyDescent="0.2">
      <c r="A708" s="7"/>
      <c r="B708" s="7"/>
      <c r="C708" s="7"/>
      <c r="D708" s="7"/>
      <c r="E708" s="7">
        <v>611165</v>
      </c>
      <c r="F708" s="7"/>
      <c r="G708" s="7" t="s">
        <v>598</v>
      </c>
      <c r="H708" s="7"/>
      <c r="I708" s="27" t="s">
        <v>133</v>
      </c>
      <c r="J708" s="7"/>
      <c r="K708" s="27" t="s">
        <v>2208</v>
      </c>
      <c r="L708" s="7"/>
    </row>
    <row r="709" spans="1:12" x14ac:dyDescent="0.2">
      <c r="A709" s="7"/>
      <c r="B709" s="7"/>
      <c r="C709" s="7"/>
      <c r="D709" s="7"/>
      <c r="E709" s="7">
        <v>611166</v>
      </c>
      <c r="F709" s="7"/>
      <c r="G709" s="7" t="s">
        <v>599</v>
      </c>
      <c r="H709" s="7"/>
      <c r="I709" s="27" t="s">
        <v>133</v>
      </c>
      <c r="J709" s="7"/>
      <c r="K709" s="27" t="s">
        <v>2208</v>
      </c>
      <c r="L709" s="7"/>
    </row>
    <row r="710" spans="1:12" x14ac:dyDescent="0.2">
      <c r="A710" s="7"/>
      <c r="B710" s="7"/>
      <c r="C710" s="7"/>
      <c r="D710" s="7"/>
      <c r="E710" s="7">
        <v>611167</v>
      </c>
      <c r="F710" s="7"/>
      <c r="G710" s="7" t="s">
        <v>600</v>
      </c>
      <c r="H710" s="7"/>
      <c r="I710" s="27" t="s">
        <v>133</v>
      </c>
      <c r="J710" s="7"/>
      <c r="K710" s="27" t="s">
        <v>2208</v>
      </c>
      <c r="L710" s="7"/>
    </row>
    <row r="711" spans="1:12" x14ac:dyDescent="0.2">
      <c r="A711" s="7"/>
      <c r="B711" s="7"/>
      <c r="C711" s="7"/>
      <c r="D711" s="7"/>
      <c r="E711" s="7">
        <v>611168</v>
      </c>
      <c r="F711" s="7"/>
      <c r="G711" s="7" t="s">
        <v>601</v>
      </c>
      <c r="H711" s="7"/>
      <c r="I711" s="27" t="s">
        <v>133</v>
      </c>
      <c r="J711" s="7"/>
      <c r="K711" s="27" t="s">
        <v>2208</v>
      </c>
      <c r="L711" s="7"/>
    </row>
    <row r="712" spans="1:12" x14ac:dyDescent="0.2">
      <c r="A712" s="7"/>
      <c r="B712" s="7"/>
      <c r="C712" s="7"/>
      <c r="D712" s="7"/>
      <c r="E712" s="7">
        <v>611169</v>
      </c>
      <c r="F712" s="7"/>
      <c r="G712" s="7" t="s">
        <v>602</v>
      </c>
      <c r="H712" s="7"/>
      <c r="I712" s="27" t="s">
        <v>133</v>
      </c>
      <c r="J712" s="7"/>
      <c r="K712" s="27" t="s">
        <v>2208</v>
      </c>
      <c r="L712" s="7"/>
    </row>
    <row r="713" spans="1:12" x14ac:dyDescent="0.2">
      <c r="A713" s="7"/>
      <c r="B713" s="7"/>
      <c r="C713" s="7"/>
      <c r="D713" s="7"/>
      <c r="E713" s="7">
        <v>611170</v>
      </c>
      <c r="F713" s="7"/>
      <c r="G713" s="7" t="s">
        <v>603</v>
      </c>
      <c r="H713" s="7"/>
      <c r="I713" s="27" t="s">
        <v>133</v>
      </c>
      <c r="J713" s="7"/>
      <c r="K713" s="27" t="s">
        <v>2208</v>
      </c>
      <c r="L713" s="7"/>
    </row>
    <row r="714" spans="1:12" x14ac:dyDescent="0.2">
      <c r="A714" s="7"/>
      <c r="B714" s="7"/>
      <c r="C714" s="7"/>
      <c r="D714" s="7"/>
      <c r="E714" s="7">
        <v>611171</v>
      </c>
      <c r="F714" s="7"/>
      <c r="G714" s="7" t="s">
        <v>604</v>
      </c>
      <c r="H714" s="7"/>
      <c r="I714" s="27" t="s">
        <v>133</v>
      </c>
      <c r="J714" s="7"/>
      <c r="K714" s="27" t="s">
        <v>2208</v>
      </c>
      <c r="L714" s="7"/>
    </row>
    <row r="715" spans="1:12" x14ac:dyDescent="0.2">
      <c r="A715" s="7"/>
      <c r="B715" s="7"/>
      <c r="C715" s="7"/>
      <c r="D715" s="7"/>
      <c r="E715" s="7">
        <v>611172</v>
      </c>
      <c r="F715" s="7"/>
      <c r="G715" s="7" t="s">
        <v>605</v>
      </c>
      <c r="H715" s="7"/>
      <c r="I715" s="27" t="s">
        <v>133</v>
      </c>
      <c r="J715" s="7"/>
      <c r="K715" s="27" t="s">
        <v>2208</v>
      </c>
      <c r="L715" s="7"/>
    </row>
    <row r="716" spans="1:12" x14ac:dyDescent="0.2">
      <c r="A716" s="7"/>
      <c r="B716" s="7"/>
      <c r="C716" s="7"/>
      <c r="D716" s="7"/>
      <c r="E716" s="7">
        <v>611173</v>
      </c>
      <c r="F716" s="7"/>
      <c r="G716" s="7" t="s">
        <v>606</v>
      </c>
      <c r="H716" s="7"/>
      <c r="I716" s="27" t="s">
        <v>133</v>
      </c>
      <c r="J716" s="7"/>
      <c r="K716" s="27" t="s">
        <v>2208</v>
      </c>
      <c r="L716" s="7"/>
    </row>
    <row r="717" spans="1:12" x14ac:dyDescent="0.2">
      <c r="A717" s="7"/>
      <c r="B717" s="7"/>
      <c r="C717" s="7"/>
      <c r="D717" s="7"/>
      <c r="E717" s="7">
        <v>611174</v>
      </c>
      <c r="F717" s="7"/>
      <c r="G717" s="7" t="s">
        <v>607</v>
      </c>
      <c r="H717" s="7"/>
      <c r="I717" s="27" t="s">
        <v>133</v>
      </c>
      <c r="J717" s="7"/>
      <c r="K717" s="27" t="s">
        <v>2208</v>
      </c>
      <c r="L717" s="7"/>
    </row>
    <row r="718" spans="1:12" x14ac:dyDescent="0.2">
      <c r="A718" s="7"/>
      <c r="B718" s="7"/>
      <c r="C718" s="7"/>
      <c r="D718" s="7"/>
      <c r="E718" s="7">
        <v>611180</v>
      </c>
      <c r="F718" s="7"/>
      <c r="G718" s="7" t="s">
        <v>608</v>
      </c>
      <c r="H718" s="7"/>
      <c r="I718" s="27" t="s">
        <v>133</v>
      </c>
      <c r="J718" s="7"/>
      <c r="K718" s="27" t="s">
        <v>2208</v>
      </c>
      <c r="L718" s="7"/>
    </row>
    <row r="719" spans="1:12" x14ac:dyDescent="0.2">
      <c r="A719" s="7"/>
      <c r="B719" s="7"/>
      <c r="C719" s="7"/>
      <c r="D719" s="7"/>
      <c r="E719" s="7">
        <v>611181</v>
      </c>
      <c r="F719" s="7"/>
      <c r="G719" s="7" t="s">
        <v>609</v>
      </c>
      <c r="H719" s="7"/>
      <c r="I719" s="27" t="s">
        <v>133</v>
      </c>
      <c r="J719" s="7"/>
      <c r="K719" s="27" t="s">
        <v>2208</v>
      </c>
      <c r="L719" s="7"/>
    </row>
    <row r="720" spans="1:12" x14ac:dyDescent="0.2">
      <c r="A720" s="7"/>
      <c r="B720" s="7"/>
      <c r="C720" s="7"/>
      <c r="D720" s="7"/>
      <c r="E720" s="7">
        <v>611182</v>
      </c>
      <c r="F720" s="7"/>
      <c r="G720" s="7" t="s">
        <v>610</v>
      </c>
      <c r="H720" s="7"/>
      <c r="I720" s="27" t="s">
        <v>133</v>
      </c>
      <c r="J720" s="7"/>
      <c r="K720" s="27" t="s">
        <v>2208</v>
      </c>
      <c r="L720" s="7"/>
    </row>
    <row r="721" spans="1:12" x14ac:dyDescent="0.2">
      <c r="A721" s="7"/>
      <c r="B721" s="7"/>
      <c r="C721" s="7"/>
      <c r="D721" s="7"/>
      <c r="E721" s="7">
        <v>611183</v>
      </c>
      <c r="F721" s="7"/>
      <c r="G721" s="7" t="s">
        <v>611</v>
      </c>
      <c r="H721" s="7"/>
      <c r="I721" s="27" t="s">
        <v>133</v>
      </c>
      <c r="J721" s="7"/>
      <c r="K721" s="27" t="s">
        <v>2208</v>
      </c>
      <c r="L721" s="7"/>
    </row>
    <row r="722" spans="1:12" x14ac:dyDescent="0.2">
      <c r="A722" s="7"/>
      <c r="B722" s="7"/>
      <c r="C722" s="7"/>
      <c r="D722" s="7"/>
      <c r="E722" s="7">
        <v>611184</v>
      </c>
      <c r="F722" s="7"/>
      <c r="G722" s="7" t="s">
        <v>612</v>
      </c>
      <c r="H722" s="7"/>
      <c r="I722" s="27" t="s">
        <v>133</v>
      </c>
      <c r="J722" s="7"/>
      <c r="K722" s="27" t="s">
        <v>2208</v>
      </c>
      <c r="L722" s="7"/>
    </row>
    <row r="723" spans="1:12" x14ac:dyDescent="0.2">
      <c r="A723" s="7"/>
      <c r="B723" s="7"/>
      <c r="C723" s="7"/>
      <c r="D723" s="7"/>
      <c r="E723" s="7">
        <v>611185</v>
      </c>
      <c r="F723" s="7"/>
      <c r="G723" s="7" t="s">
        <v>613</v>
      </c>
      <c r="H723" s="7"/>
      <c r="I723" s="27" t="s">
        <v>133</v>
      </c>
      <c r="J723" s="7"/>
      <c r="K723" s="27" t="s">
        <v>2208</v>
      </c>
      <c r="L723" s="7"/>
    </row>
    <row r="724" spans="1:12" x14ac:dyDescent="0.2">
      <c r="A724" s="7"/>
      <c r="B724" s="7"/>
      <c r="C724" s="7"/>
      <c r="D724" s="7"/>
      <c r="E724" s="7">
        <v>611186</v>
      </c>
      <c r="F724" s="7"/>
      <c r="G724" s="7" t="s">
        <v>614</v>
      </c>
      <c r="H724" s="7"/>
      <c r="I724" s="27" t="s">
        <v>133</v>
      </c>
      <c r="J724" s="7"/>
      <c r="K724" s="27" t="s">
        <v>2208</v>
      </c>
      <c r="L724" s="7"/>
    </row>
    <row r="725" spans="1:12" x14ac:dyDescent="0.2">
      <c r="A725" s="7"/>
      <c r="B725" s="7"/>
      <c r="C725" s="7"/>
      <c r="D725" s="7"/>
      <c r="E725" s="7">
        <v>611187</v>
      </c>
      <c r="F725" s="7"/>
      <c r="G725" s="7" t="s">
        <v>615</v>
      </c>
      <c r="H725" s="7"/>
      <c r="I725" s="27" t="s">
        <v>616</v>
      </c>
      <c r="J725" s="7"/>
      <c r="K725" s="27" t="s">
        <v>2208</v>
      </c>
      <c r="L725" s="7"/>
    </row>
    <row r="726" spans="1:12" x14ac:dyDescent="0.2">
      <c r="A726" s="7"/>
      <c r="B726" s="7"/>
      <c r="C726" s="7"/>
      <c r="D726" s="7"/>
      <c r="E726" s="7">
        <v>611188</v>
      </c>
      <c r="F726" s="7"/>
      <c r="G726" s="7" t="s">
        <v>617</v>
      </c>
      <c r="H726" s="7"/>
      <c r="I726" s="27" t="s">
        <v>616</v>
      </c>
      <c r="J726" s="7"/>
      <c r="K726" s="27" t="s">
        <v>2208</v>
      </c>
      <c r="L726" s="7"/>
    </row>
    <row r="727" spans="1:12" x14ac:dyDescent="0.2">
      <c r="A727" s="7"/>
      <c r="B727" s="7"/>
      <c r="C727" s="7"/>
      <c r="D727" s="7"/>
      <c r="E727" s="7">
        <v>611189</v>
      </c>
      <c r="F727" s="7"/>
      <c r="G727" s="7" t="s">
        <v>618</v>
      </c>
      <c r="H727" s="7"/>
      <c r="I727" s="27" t="s">
        <v>616</v>
      </c>
      <c r="J727" s="7"/>
      <c r="K727" s="27" t="s">
        <v>2208</v>
      </c>
      <c r="L727" s="7"/>
    </row>
    <row r="728" spans="1:12" x14ac:dyDescent="0.2">
      <c r="A728" s="7"/>
      <c r="B728" s="7"/>
      <c r="C728" s="7"/>
      <c r="D728" s="7"/>
      <c r="E728" s="7">
        <v>611190</v>
      </c>
      <c r="F728" s="7"/>
      <c r="G728" s="7" t="s">
        <v>619</v>
      </c>
      <c r="H728" s="7"/>
      <c r="I728" s="27" t="s">
        <v>133</v>
      </c>
      <c r="J728" s="7"/>
      <c r="K728" s="27" t="s">
        <v>2208</v>
      </c>
      <c r="L728" s="7"/>
    </row>
    <row r="729" spans="1:12" x14ac:dyDescent="0.2">
      <c r="A729" s="7"/>
      <c r="B729" s="7"/>
      <c r="C729" s="7"/>
      <c r="D729" s="7"/>
      <c r="E729" s="7">
        <v>611200</v>
      </c>
      <c r="F729" s="7"/>
      <c r="G729" s="7" t="s">
        <v>620</v>
      </c>
      <c r="H729" s="7"/>
      <c r="I729" s="27" t="s">
        <v>133</v>
      </c>
      <c r="J729" s="7"/>
      <c r="K729" s="27" t="s">
        <v>2208</v>
      </c>
      <c r="L729" s="7"/>
    </row>
    <row r="730" spans="1:12" x14ac:dyDescent="0.2">
      <c r="A730" s="7"/>
      <c r="B730" s="7"/>
      <c r="C730" s="7"/>
      <c r="D730" s="7"/>
      <c r="E730" s="7">
        <v>611201</v>
      </c>
      <c r="F730" s="7"/>
      <c r="G730" s="7" t="s">
        <v>621</v>
      </c>
      <c r="H730" s="7"/>
      <c r="I730" s="27" t="s">
        <v>133</v>
      </c>
      <c r="J730" s="7"/>
      <c r="K730" s="27" t="s">
        <v>2208</v>
      </c>
      <c r="L730" s="7"/>
    </row>
    <row r="731" spans="1:12" x14ac:dyDescent="0.2">
      <c r="A731" s="7"/>
      <c r="B731" s="7"/>
      <c r="C731" s="7"/>
      <c r="D731" s="7"/>
      <c r="E731" s="7">
        <v>611202</v>
      </c>
      <c r="F731" s="7"/>
      <c r="G731" s="7" t="s">
        <v>622</v>
      </c>
      <c r="H731" s="7"/>
      <c r="I731" s="27" t="s">
        <v>553</v>
      </c>
      <c r="J731" s="7"/>
      <c r="K731" s="27" t="s">
        <v>2208</v>
      </c>
      <c r="L731" s="7"/>
    </row>
    <row r="732" spans="1:12" x14ac:dyDescent="0.2">
      <c r="A732" s="7"/>
      <c r="B732" s="7"/>
      <c r="C732" s="7"/>
      <c r="D732" s="7"/>
      <c r="E732" s="7">
        <v>611203</v>
      </c>
      <c r="F732" s="7"/>
      <c r="G732" s="7" t="s">
        <v>623</v>
      </c>
      <c r="H732" s="7"/>
      <c r="I732" s="27" t="s">
        <v>133</v>
      </c>
      <c r="J732" s="7"/>
      <c r="K732" s="27" t="s">
        <v>2208</v>
      </c>
      <c r="L732" s="7"/>
    </row>
    <row r="733" spans="1:12" x14ac:dyDescent="0.2">
      <c r="A733" s="7"/>
      <c r="B733" s="7"/>
      <c r="C733" s="7"/>
      <c r="D733" s="7"/>
      <c r="E733" s="7">
        <v>611210</v>
      </c>
      <c r="F733" s="7"/>
      <c r="G733" s="7" t="s">
        <v>624</v>
      </c>
      <c r="H733" s="7"/>
      <c r="I733" s="27" t="s">
        <v>133</v>
      </c>
      <c r="J733" s="7"/>
      <c r="K733" s="27" t="s">
        <v>2208</v>
      </c>
      <c r="L733" s="7"/>
    </row>
    <row r="734" spans="1:12" x14ac:dyDescent="0.2">
      <c r="A734" s="7"/>
      <c r="B734" s="7"/>
      <c r="C734" s="7"/>
      <c r="D734" s="7"/>
      <c r="E734" s="7">
        <v>611211</v>
      </c>
      <c r="F734" s="7"/>
      <c r="G734" s="7" t="s">
        <v>625</v>
      </c>
      <c r="H734" s="7"/>
      <c r="I734" s="27" t="s">
        <v>133</v>
      </c>
      <c r="J734" s="7"/>
      <c r="K734" s="27" t="s">
        <v>2208</v>
      </c>
      <c r="L734" s="7"/>
    </row>
    <row r="735" spans="1:12" x14ac:dyDescent="0.2">
      <c r="A735" s="7"/>
      <c r="B735" s="7"/>
      <c r="C735" s="7"/>
      <c r="D735" s="7"/>
      <c r="E735" s="7">
        <v>611212</v>
      </c>
      <c r="F735" s="7"/>
      <c r="G735" s="7" t="s">
        <v>626</v>
      </c>
      <c r="H735" s="7"/>
      <c r="I735" s="27" t="s">
        <v>133</v>
      </c>
      <c r="J735" s="7"/>
      <c r="K735" s="27" t="s">
        <v>2208</v>
      </c>
      <c r="L735" s="7"/>
    </row>
    <row r="736" spans="1:12" x14ac:dyDescent="0.2">
      <c r="A736" s="7"/>
      <c r="B736" s="7"/>
      <c r="C736" s="7"/>
      <c r="D736" s="7"/>
      <c r="E736" s="7">
        <v>611213</v>
      </c>
      <c r="F736" s="7"/>
      <c r="G736" s="7" t="s">
        <v>627</v>
      </c>
      <c r="H736" s="7"/>
      <c r="I736" s="27" t="s">
        <v>133</v>
      </c>
      <c r="J736" s="7"/>
      <c r="K736" s="27" t="s">
        <v>2208</v>
      </c>
      <c r="L736" s="7"/>
    </row>
    <row r="737" spans="1:12" x14ac:dyDescent="0.2">
      <c r="A737" s="7"/>
      <c r="B737" s="7"/>
      <c r="C737" s="7"/>
      <c r="D737" s="7"/>
      <c r="E737" s="7">
        <v>611214</v>
      </c>
      <c r="F737" s="7"/>
      <c r="G737" s="7" t="s">
        <v>628</v>
      </c>
      <c r="H737" s="7"/>
      <c r="I737" s="27" t="s">
        <v>133</v>
      </c>
      <c r="J737" s="7"/>
      <c r="K737" s="27" t="s">
        <v>2208</v>
      </c>
      <c r="L737" s="7"/>
    </row>
    <row r="738" spans="1:12" x14ac:dyDescent="0.2">
      <c r="A738" s="7"/>
      <c r="B738" s="7"/>
      <c r="C738" s="7"/>
      <c r="D738" s="7"/>
      <c r="E738" s="7">
        <v>611220</v>
      </c>
      <c r="F738" s="7"/>
      <c r="G738" s="7" t="s">
        <v>629</v>
      </c>
      <c r="H738" s="7"/>
      <c r="I738" s="27" t="s">
        <v>133</v>
      </c>
      <c r="J738" s="7"/>
      <c r="K738" s="27" t="s">
        <v>2208</v>
      </c>
      <c r="L738" s="7"/>
    </row>
    <row r="739" spans="1:12" x14ac:dyDescent="0.2">
      <c r="A739" s="7"/>
      <c r="B739" s="7"/>
      <c r="C739" s="7"/>
      <c r="D739" s="7"/>
      <c r="E739" s="7">
        <v>611221</v>
      </c>
      <c r="F739" s="7"/>
      <c r="G739" s="7" t="s">
        <v>630</v>
      </c>
      <c r="H739" s="7"/>
      <c r="I739" s="27" t="s">
        <v>47</v>
      </c>
      <c r="J739" s="7"/>
      <c r="K739" s="27" t="s">
        <v>2208</v>
      </c>
      <c r="L739" s="7"/>
    </row>
    <row r="740" spans="1:12" x14ac:dyDescent="0.2">
      <c r="A740" s="7"/>
      <c r="B740" s="7"/>
      <c r="C740" s="7"/>
      <c r="D740" s="7"/>
      <c r="E740" s="7">
        <v>611222</v>
      </c>
      <c r="F740" s="7"/>
      <c r="G740" s="7" t="s">
        <v>631</v>
      </c>
      <c r="H740" s="7"/>
      <c r="I740" s="27" t="s">
        <v>133</v>
      </c>
      <c r="J740" s="7"/>
      <c r="K740" s="27" t="s">
        <v>2208</v>
      </c>
      <c r="L740" s="7"/>
    </row>
    <row r="741" spans="1:12" x14ac:dyDescent="0.2">
      <c r="A741" s="7"/>
      <c r="B741" s="7"/>
      <c r="C741" s="7"/>
      <c r="D741" s="7"/>
      <c r="E741" s="7">
        <v>611230</v>
      </c>
      <c r="F741" s="7"/>
      <c r="G741" s="7" t="s">
        <v>632</v>
      </c>
      <c r="H741" s="7"/>
      <c r="I741" s="27" t="s">
        <v>133</v>
      </c>
      <c r="J741" s="7"/>
      <c r="K741" s="27" t="s">
        <v>2208</v>
      </c>
      <c r="L741" s="7"/>
    </row>
    <row r="742" spans="1:12" x14ac:dyDescent="0.2">
      <c r="A742" s="7"/>
      <c r="B742" s="7"/>
      <c r="C742" s="7"/>
      <c r="D742" s="7"/>
      <c r="E742" s="7">
        <v>611239</v>
      </c>
      <c r="F742" s="7"/>
      <c r="G742" s="7" t="s">
        <v>633</v>
      </c>
      <c r="H742" s="7"/>
      <c r="I742" s="27" t="s">
        <v>71</v>
      </c>
      <c r="J742" s="7"/>
      <c r="K742" s="27" t="s">
        <v>2208</v>
      </c>
      <c r="L742" s="7"/>
    </row>
    <row r="743" spans="1:12" x14ac:dyDescent="0.2">
      <c r="A743" s="7"/>
      <c r="B743" s="7"/>
      <c r="C743" s="7"/>
      <c r="D743" s="7"/>
      <c r="E743" s="7">
        <v>611240</v>
      </c>
      <c r="F743" s="7"/>
      <c r="G743" s="7" t="s">
        <v>634</v>
      </c>
      <c r="H743" s="7"/>
      <c r="I743" s="27" t="s">
        <v>71</v>
      </c>
      <c r="J743" s="7"/>
      <c r="K743" s="27" t="s">
        <v>2208</v>
      </c>
      <c r="L743" s="7"/>
    </row>
    <row r="744" spans="1:12" x14ac:dyDescent="0.2">
      <c r="A744" s="7"/>
      <c r="B744" s="7"/>
      <c r="C744" s="7"/>
      <c r="D744" s="7"/>
      <c r="E744" s="7">
        <v>611241</v>
      </c>
      <c r="F744" s="7"/>
      <c r="G744" s="7" t="s">
        <v>635</v>
      </c>
      <c r="H744" s="7"/>
      <c r="I744" s="27" t="s">
        <v>71</v>
      </c>
      <c r="J744" s="7"/>
      <c r="K744" s="27" t="s">
        <v>2208</v>
      </c>
      <c r="L744" s="7"/>
    </row>
    <row r="745" spans="1:12" x14ac:dyDescent="0.2">
      <c r="A745" s="7"/>
      <c r="B745" s="7"/>
      <c r="C745" s="7"/>
      <c r="D745" s="7"/>
      <c r="E745" s="7">
        <v>611242</v>
      </c>
      <c r="F745" s="7"/>
      <c r="G745" s="7" t="s">
        <v>636</v>
      </c>
      <c r="H745" s="7"/>
      <c r="I745" s="27" t="s">
        <v>71</v>
      </c>
      <c r="J745" s="7"/>
      <c r="K745" s="27" t="s">
        <v>2208</v>
      </c>
      <c r="L745" s="7"/>
    </row>
    <row r="746" spans="1:12" x14ac:dyDescent="0.2">
      <c r="A746" s="7"/>
      <c r="B746" s="7"/>
      <c r="C746" s="7"/>
      <c r="D746" s="7"/>
      <c r="E746" s="7">
        <v>611243</v>
      </c>
      <c r="F746" s="7"/>
      <c r="G746" s="7" t="s">
        <v>637</v>
      </c>
      <c r="H746" s="7"/>
      <c r="I746" s="27" t="s">
        <v>71</v>
      </c>
      <c r="J746" s="7"/>
      <c r="K746" s="27" t="s">
        <v>2208</v>
      </c>
      <c r="L746" s="7"/>
    </row>
    <row r="747" spans="1:12" x14ac:dyDescent="0.2">
      <c r="A747" s="7"/>
      <c r="B747" s="7"/>
      <c r="C747" s="7"/>
      <c r="D747" s="7"/>
      <c r="E747" s="7">
        <v>611244</v>
      </c>
      <c r="F747" s="7"/>
      <c r="G747" s="7" t="s">
        <v>638</v>
      </c>
      <c r="H747" s="7"/>
      <c r="I747" s="27" t="s">
        <v>71</v>
      </c>
      <c r="J747" s="7"/>
      <c r="K747" s="27" t="s">
        <v>2208</v>
      </c>
      <c r="L747" s="7"/>
    </row>
    <row r="748" spans="1:12" x14ac:dyDescent="0.2">
      <c r="A748" s="7"/>
      <c r="B748" s="7"/>
      <c r="C748" s="7"/>
      <c r="D748" s="7"/>
      <c r="E748" s="7">
        <v>611245</v>
      </c>
      <c r="F748" s="7"/>
      <c r="G748" s="7" t="s">
        <v>638</v>
      </c>
      <c r="H748" s="7"/>
      <c r="I748" s="27" t="s">
        <v>71</v>
      </c>
      <c r="J748" s="7"/>
      <c r="K748" s="27" t="s">
        <v>2208</v>
      </c>
      <c r="L748" s="7"/>
    </row>
    <row r="749" spans="1:12" x14ac:dyDescent="0.2">
      <c r="A749" s="7"/>
      <c r="B749" s="7"/>
      <c r="C749" s="7"/>
      <c r="D749" s="7"/>
      <c r="E749" s="7">
        <v>611246</v>
      </c>
      <c r="F749" s="7"/>
      <c r="G749" s="7" t="s">
        <v>639</v>
      </c>
      <c r="H749" s="7"/>
      <c r="I749" s="27" t="s">
        <v>71</v>
      </c>
      <c r="J749" s="7"/>
      <c r="K749" s="27" t="s">
        <v>2208</v>
      </c>
      <c r="L749" s="7"/>
    </row>
    <row r="750" spans="1:12" x14ac:dyDescent="0.2">
      <c r="A750" s="7"/>
      <c r="B750" s="7"/>
      <c r="C750" s="7"/>
      <c r="D750" s="7"/>
      <c r="E750" s="7">
        <v>611247</v>
      </c>
      <c r="F750" s="7"/>
      <c r="G750" s="7" t="s">
        <v>640</v>
      </c>
      <c r="H750" s="7"/>
      <c r="I750" s="27" t="s">
        <v>71</v>
      </c>
      <c r="J750" s="7"/>
      <c r="K750" s="27" t="s">
        <v>2208</v>
      </c>
      <c r="L750" s="7"/>
    </row>
    <row r="751" spans="1:12" x14ac:dyDescent="0.2">
      <c r="A751" s="7"/>
      <c r="B751" s="7"/>
      <c r="C751" s="7"/>
      <c r="D751" s="7"/>
      <c r="E751" s="7">
        <v>611248</v>
      </c>
      <c r="F751" s="7"/>
      <c r="G751" s="7" t="s">
        <v>641</v>
      </c>
      <c r="H751" s="7"/>
      <c r="I751" s="27" t="s">
        <v>71</v>
      </c>
      <c r="J751" s="7"/>
      <c r="K751" s="27" t="s">
        <v>2208</v>
      </c>
      <c r="L751" s="7"/>
    </row>
    <row r="752" spans="1:12" x14ac:dyDescent="0.2">
      <c r="A752" s="7"/>
      <c r="B752" s="7"/>
      <c r="C752" s="7"/>
      <c r="D752" s="7"/>
      <c r="E752" s="7">
        <v>611249</v>
      </c>
      <c r="F752" s="7"/>
      <c r="G752" s="7" t="s">
        <v>642</v>
      </c>
      <c r="H752" s="7"/>
      <c r="I752" s="27" t="s">
        <v>71</v>
      </c>
      <c r="J752" s="7"/>
      <c r="K752" s="27" t="s">
        <v>2208</v>
      </c>
      <c r="L752" s="7"/>
    </row>
    <row r="753" spans="1:12" x14ac:dyDescent="0.2">
      <c r="A753" s="7"/>
      <c r="B753" s="7"/>
      <c r="C753" s="7"/>
      <c r="D753" s="7"/>
      <c r="E753" s="7">
        <v>611250</v>
      </c>
      <c r="F753" s="7"/>
      <c r="G753" s="7" t="s">
        <v>643</v>
      </c>
      <c r="H753" s="7"/>
      <c r="I753" s="27" t="s">
        <v>71</v>
      </c>
      <c r="J753" s="7"/>
      <c r="K753" s="27" t="s">
        <v>2208</v>
      </c>
      <c r="L753" s="7"/>
    </row>
    <row r="754" spans="1:12" x14ac:dyDescent="0.2">
      <c r="A754" s="7"/>
      <c r="B754" s="7"/>
      <c r="C754" s="7"/>
      <c r="D754" s="7"/>
      <c r="E754" s="7">
        <v>611251</v>
      </c>
      <c r="F754" s="7"/>
      <c r="G754" s="7" t="s">
        <v>644</v>
      </c>
      <c r="H754" s="7"/>
      <c r="I754" s="27" t="s">
        <v>71</v>
      </c>
      <c r="J754" s="7"/>
      <c r="K754" s="27" t="s">
        <v>2208</v>
      </c>
      <c r="L754" s="7"/>
    </row>
    <row r="755" spans="1:12" x14ac:dyDescent="0.2">
      <c r="A755" s="7"/>
      <c r="B755" s="7"/>
      <c r="C755" s="7"/>
      <c r="D755" s="7"/>
      <c r="E755" s="7">
        <v>611252</v>
      </c>
      <c r="F755" s="7"/>
      <c r="G755" s="7" t="s">
        <v>645</v>
      </c>
      <c r="H755" s="7"/>
      <c r="I755" s="27" t="s">
        <v>133</v>
      </c>
      <c r="J755" s="7"/>
      <c r="K755" s="27" t="s">
        <v>2208</v>
      </c>
      <c r="L755" s="7"/>
    </row>
    <row r="756" spans="1:12" x14ac:dyDescent="0.2">
      <c r="A756" s="7"/>
      <c r="B756" s="7"/>
      <c r="C756" s="7"/>
      <c r="D756" s="7"/>
      <c r="E756" s="7">
        <v>611253</v>
      </c>
      <c r="F756" s="7"/>
      <c r="G756" s="7" t="s">
        <v>646</v>
      </c>
      <c r="H756" s="7"/>
      <c r="I756" s="27" t="s">
        <v>133</v>
      </c>
      <c r="J756" s="7"/>
      <c r="K756" s="27" t="s">
        <v>2208</v>
      </c>
      <c r="L756" s="7"/>
    </row>
    <row r="757" spans="1:12" x14ac:dyDescent="0.2">
      <c r="A757" s="7"/>
      <c r="B757" s="7"/>
      <c r="C757" s="7"/>
      <c r="D757" s="7"/>
      <c r="E757" s="7">
        <v>611254</v>
      </c>
      <c r="F757" s="7"/>
      <c r="G757" s="7" t="s">
        <v>647</v>
      </c>
      <c r="H757" s="7"/>
      <c r="I757" s="27" t="s">
        <v>71</v>
      </c>
      <c r="J757" s="7"/>
      <c r="K757" s="27" t="s">
        <v>2208</v>
      </c>
      <c r="L757" s="7"/>
    </row>
    <row r="758" spans="1:12" x14ac:dyDescent="0.2">
      <c r="A758" s="7"/>
      <c r="B758" s="7"/>
      <c r="C758" s="7"/>
      <c r="D758" s="7"/>
      <c r="E758" s="7">
        <v>611255</v>
      </c>
      <c r="F758" s="7"/>
      <c r="G758" s="7" t="s">
        <v>648</v>
      </c>
      <c r="H758" s="7"/>
      <c r="I758" s="27" t="s">
        <v>71</v>
      </c>
      <c r="J758" s="7"/>
      <c r="K758" s="27" t="s">
        <v>2208</v>
      </c>
      <c r="L758" s="7"/>
    </row>
    <row r="759" spans="1:12" x14ac:dyDescent="0.2">
      <c r="A759" s="7"/>
      <c r="B759" s="7"/>
      <c r="C759" s="7"/>
      <c r="D759" s="7"/>
      <c r="E759" s="7">
        <v>611256</v>
      </c>
      <c r="F759" s="7"/>
      <c r="G759" s="7" t="s">
        <v>649</v>
      </c>
      <c r="H759" s="7"/>
      <c r="I759" s="27" t="s">
        <v>71</v>
      </c>
      <c r="J759" s="7"/>
      <c r="K759" s="27" t="s">
        <v>2208</v>
      </c>
      <c r="L759" s="7"/>
    </row>
    <row r="760" spans="1:12" x14ac:dyDescent="0.2">
      <c r="A760" s="7"/>
      <c r="B760" s="7"/>
      <c r="C760" s="7"/>
      <c r="D760" s="7"/>
      <c r="E760" s="7">
        <v>611257</v>
      </c>
      <c r="F760" s="7"/>
      <c r="G760" s="7" t="s">
        <v>650</v>
      </c>
      <c r="H760" s="7"/>
      <c r="I760" s="27" t="s">
        <v>71</v>
      </c>
      <c r="J760" s="7"/>
      <c r="K760" s="27" t="s">
        <v>2208</v>
      </c>
      <c r="L760" s="7"/>
    </row>
    <row r="761" spans="1:12" x14ac:dyDescent="0.2">
      <c r="A761" s="7"/>
      <c r="B761" s="7"/>
      <c r="C761" s="7"/>
      <c r="D761" s="7"/>
      <c r="E761" s="7">
        <v>611258</v>
      </c>
      <c r="F761" s="7"/>
      <c r="G761" s="7" t="s">
        <v>651</v>
      </c>
      <c r="H761" s="7"/>
      <c r="I761" s="27" t="s">
        <v>71</v>
      </c>
      <c r="J761" s="7"/>
      <c r="K761" s="27" t="s">
        <v>2208</v>
      </c>
      <c r="L761" s="7"/>
    </row>
    <row r="762" spans="1:12" x14ac:dyDescent="0.2">
      <c r="A762" s="7"/>
      <c r="B762" s="7"/>
      <c r="C762" s="7"/>
      <c r="D762" s="7"/>
      <c r="E762" s="7">
        <v>611259</v>
      </c>
      <c r="F762" s="7"/>
      <c r="G762" s="7" t="s">
        <v>652</v>
      </c>
      <c r="H762" s="7"/>
      <c r="I762" s="27" t="s">
        <v>71</v>
      </c>
      <c r="J762" s="7"/>
      <c r="K762" s="27" t="s">
        <v>2208</v>
      </c>
      <c r="L762" s="7"/>
    </row>
    <row r="763" spans="1:12" x14ac:dyDescent="0.2">
      <c r="A763" s="7"/>
      <c r="B763" s="7"/>
      <c r="C763" s="7"/>
      <c r="D763" s="7"/>
      <c r="E763" s="7">
        <v>611260</v>
      </c>
      <c r="F763" s="7"/>
      <c r="G763" s="7" t="s">
        <v>653</v>
      </c>
      <c r="H763" s="7"/>
      <c r="I763" s="27" t="s">
        <v>71</v>
      </c>
      <c r="J763" s="7"/>
      <c r="K763" s="27" t="s">
        <v>2208</v>
      </c>
      <c r="L763" s="7"/>
    </row>
    <row r="764" spans="1:12" x14ac:dyDescent="0.2">
      <c r="A764" s="7"/>
      <c r="B764" s="7"/>
      <c r="C764" s="7"/>
      <c r="D764" s="7"/>
      <c r="E764" s="7">
        <v>611261</v>
      </c>
      <c r="F764" s="7"/>
      <c r="G764" s="7" t="s">
        <v>654</v>
      </c>
      <c r="H764" s="7"/>
      <c r="I764" s="27" t="s">
        <v>71</v>
      </c>
      <c r="J764" s="7"/>
      <c r="K764" s="27" t="s">
        <v>2208</v>
      </c>
      <c r="L764" s="7"/>
    </row>
    <row r="765" spans="1:12" x14ac:dyDescent="0.2">
      <c r="A765" s="7"/>
      <c r="B765" s="7"/>
      <c r="C765" s="7"/>
      <c r="D765" s="7"/>
      <c r="E765" s="7">
        <v>611262</v>
      </c>
      <c r="F765" s="7"/>
      <c r="G765" s="7" t="s">
        <v>655</v>
      </c>
      <c r="H765" s="7"/>
      <c r="I765" s="27" t="s">
        <v>71</v>
      </c>
      <c r="J765" s="7"/>
      <c r="K765" s="27" t="s">
        <v>2208</v>
      </c>
      <c r="L765" s="7"/>
    </row>
    <row r="766" spans="1:12" x14ac:dyDescent="0.2">
      <c r="A766" s="7"/>
      <c r="B766" s="7"/>
      <c r="C766" s="7"/>
      <c r="D766" s="7"/>
      <c r="E766" s="7">
        <v>611263</v>
      </c>
      <c r="F766" s="7"/>
      <c r="G766" s="7" t="s">
        <v>656</v>
      </c>
      <c r="H766" s="7"/>
      <c r="I766" s="27" t="s">
        <v>47</v>
      </c>
      <c r="J766" s="7"/>
      <c r="K766" s="27" t="s">
        <v>2208</v>
      </c>
      <c r="L766" s="7"/>
    </row>
    <row r="767" spans="1:12" x14ac:dyDescent="0.2">
      <c r="A767" s="7"/>
      <c r="B767" s="7"/>
      <c r="C767" s="7"/>
      <c r="D767" s="7"/>
      <c r="E767" s="7">
        <v>611264</v>
      </c>
      <c r="F767" s="7"/>
      <c r="G767" s="7" t="s">
        <v>657</v>
      </c>
      <c r="H767" s="7"/>
      <c r="I767" s="27" t="s">
        <v>47</v>
      </c>
      <c r="J767" s="7"/>
      <c r="K767" s="27" t="s">
        <v>2208</v>
      </c>
      <c r="L767" s="7"/>
    </row>
    <row r="768" spans="1:12" x14ac:dyDescent="0.2">
      <c r="A768" s="7"/>
      <c r="B768" s="7"/>
      <c r="C768" s="7"/>
      <c r="D768" s="7"/>
      <c r="E768" s="7">
        <v>611265</v>
      </c>
      <c r="F768" s="7"/>
      <c r="G768" s="7" t="s">
        <v>658</v>
      </c>
      <c r="H768" s="7"/>
      <c r="I768" s="27" t="s">
        <v>47</v>
      </c>
      <c r="J768" s="7"/>
      <c r="K768" s="27" t="s">
        <v>2208</v>
      </c>
      <c r="L768" s="7"/>
    </row>
    <row r="769" spans="1:12" x14ac:dyDescent="0.2">
      <c r="A769" s="7"/>
      <c r="B769" s="7"/>
      <c r="C769" s="7"/>
      <c r="D769" s="7"/>
      <c r="E769" s="7">
        <v>611266</v>
      </c>
      <c r="F769" s="7"/>
      <c r="G769" s="7" t="s">
        <v>659</v>
      </c>
      <c r="H769" s="7"/>
      <c r="I769" s="27" t="s">
        <v>47</v>
      </c>
      <c r="J769" s="7"/>
      <c r="K769" s="27" t="s">
        <v>2208</v>
      </c>
      <c r="L769" s="7"/>
    </row>
    <row r="770" spans="1:12" x14ac:dyDescent="0.2">
      <c r="A770" s="7"/>
      <c r="B770" s="7"/>
      <c r="C770" s="7"/>
      <c r="D770" s="7"/>
      <c r="E770" s="7">
        <v>611267</v>
      </c>
      <c r="F770" s="7"/>
      <c r="G770" s="7" t="s">
        <v>660</v>
      </c>
      <c r="H770" s="7"/>
      <c r="I770" s="27" t="s">
        <v>133</v>
      </c>
      <c r="J770" s="7"/>
      <c r="K770" s="27" t="s">
        <v>2208</v>
      </c>
      <c r="L770" s="7"/>
    </row>
    <row r="771" spans="1:12" x14ac:dyDescent="0.2">
      <c r="A771" s="7"/>
      <c r="B771" s="7"/>
      <c r="C771" s="7"/>
      <c r="D771" s="7"/>
      <c r="E771" s="7">
        <v>611268</v>
      </c>
      <c r="F771" s="7"/>
      <c r="G771" s="7" t="s">
        <v>661</v>
      </c>
      <c r="H771" s="7"/>
      <c r="I771" s="27" t="s">
        <v>133</v>
      </c>
      <c r="J771" s="7"/>
      <c r="K771" s="27" t="s">
        <v>2208</v>
      </c>
      <c r="L771" s="7"/>
    </row>
    <row r="772" spans="1:12" x14ac:dyDescent="0.2">
      <c r="A772" s="7"/>
      <c r="B772" s="7"/>
      <c r="C772" s="7"/>
      <c r="D772" s="7"/>
      <c r="E772" s="7">
        <v>611269</v>
      </c>
      <c r="F772" s="7"/>
      <c r="G772" s="7" t="s">
        <v>662</v>
      </c>
      <c r="H772" s="7"/>
      <c r="I772" s="27" t="s">
        <v>133</v>
      </c>
      <c r="J772" s="7"/>
      <c r="K772" s="27" t="s">
        <v>2208</v>
      </c>
      <c r="L772" s="7"/>
    </row>
    <row r="773" spans="1:12" x14ac:dyDescent="0.2">
      <c r="A773" s="7"/>
      <c r="B773" s="7"/>
      <c r="C773" s="7"/>
      <c r="D773" s="7"/>
      <c r="E773" s="7">
        <v>611270</v>
      </c>
      <c r="F773" s="7"/>
      <c r="G773" s="7" t="s">
        <v>663</v>
      </c>
      <c r="H773" s="7"/>
      <c r="I773" s="27" t="s">
        <v>133</v>
      </c>
      <c r="J773" s="7"/>
      <c r="K773" s="27" t="s">
        <v>2208</v>
      </c>
      <c r="L773" s="7"/>
    </row>
    <row r="774" spans="1:12" x14ac:dyDescent="0.2">
      <c r="A774" s="7"/>
      <c r="B774" s="7"/>
      <c r="C774" s="7"/>
      <c r="D774" s="7"/>
      <c r="E774" s="7">
        <v>611271</v>
      </c>
      <c r="F774" s="7"/>
      <c r="G774" s="7" t="s">
        <v>664</v>
      </c>
      <c r="H774" s="7"/>
      <c r="I774" s="27" t="s">
        <v>47</v>
      </c>
      <c r="J774" s="7"/>
      <c r="K774" s="27" t="s">
        <v>2208</v>
      </c>
      <c r="L774" s="7"/>
    </row>
    <row r="775" spans="1:12" x14ac:dyDescent="0.2">
      <c r="A775" s="7"/>
      <c r="B775" s="7"/>
      <c r="C775" s="7"/>
      <c r="D775" s="7"/>
      <c r="E775" s="7">
        <v>611272</v>
      </c>
      <c r="F775" s="7"/>
      <c r="G775" s="7" t="s">
        <v>665</v>
      </c>
      <c r="H775" s="7"/>
      <c r="I775" s="27" t="s">
        <v>47</v>
      </c>
      <c r="J775" s="7"/>
      <c r="K775" s="27" t="s">
        <v>2208</v>
      </c>
      <c r="L775" s="7"/>
    </row>
    <row r="776" spans="1:12" x14ac:dyDescent="0.2">
      <c r="A776" s="7"/>
      <c r="B776" s="7"/>
      <c r="C776" s="7"/>
      <c r="D776" s="7"/>
      <c r="E776" s="7">
        <v>611273</v>
      </c>
      <c r="F776" s="7"/>
      <c r="G776" s="7" t="s">
        <v>666</v>
      </c>
      <c r="H776" s="7"/>
      <c r="I776" s="27" t="s">
        <v>47</v>
      </c>
      <c r="J776" s="7"/>
      <c r="K776" s="27" t="s">
        <v>2208</v>
      </c>
      <c r="L776" s="7"/>
    </row>
    <row r="777" spans="1:12" x14ac:dyDescent="0.2">
      <c r="A777" s="7"/>
      <c r="B777" s="7"/>
      <c r="C777" s="7"/>
      <c r="D777" s="7"/>
      <c r="E777" s="7">
        <v>611274</v>
      </c>
      <c r="F777" s="7"/>
      <c r="G777" s="7" t="s">
        <v>667</v>
      </c>
      <c r="H777" s="7"/>
      <c r="I777" s="27" t="s">
        <v>47</v>
      </c>
      <c r="J777" s="7"/>
      <c r="K777" s="27" t="s">
        <v>2208</v>
      </c>
      <c r="L777" s="7"/>
    </row>
    <row r="778" spans="1:12" x14ac:dyDescent="0.2">
      <c r="A778" s="7"/>
      <c r="B778" s="7"/>
      <c r="C778" s="7"/>
      <c r="D778" s="7"/>
      <c r="E778" s="7">
        <v>611275</v>
      </c>
      <c r="F778" s="7"/>
      <c r="G778" s="7" t="s">
        <v>668</v>
      </c>
      <c r="H778" s="7"/>
      <c r="I778" s="27" t="s">
        <v>47</v>
      </c>
      <c r="J778" s="7"/>
      <c r="K778" s="27" t="s">
        <v>2208</v>
      </c>
      <c r="L778" s="7"/>
    </row>
    <row r="779" spans="1:12" x14ac:dyDescent="0.2">
      <c r="A779" s="7"/>
      <c r="B779" s="7"/>
      <c r="C779" s="7"/>
      <c r="D779" s="7"/>
      <c r="E779" s="7">
        <v>611276</v>
      </c>
      <c r="F779" s="7"/>
      <c r="G779" s="7" t="s">
        <v>669</v>
      </c>
      <c r="H779" s="7"/>
      <c r="I779" s="27" t="s">
        <v>47</v>
      </c>
      <c r="J779" s="7"/>
      <c r="K779" s="27" t="s">
        <v>2208</v>
      </c>
      <c r="L779" s="7"/>
    </row>
    <row r="780" spans="1:12" x14ac:dyDescent="0.2">
      <c r="A780" s="7"/>
      <c r="B780" s="7"/>
      <c r="C780" s="7"/>
      <c r="D780" s="7"/>
      <c r="E780" s="7">
        <v>611277</v>
      </c>
      <c r="F780" s="7"/>
      <c r="G780" s="7" t="s">
        <v>670</v>
      </c>
      <c r="H780" s="7"/>
      <c r="I780" s="27" t="s">
        <v>47</v>
      </c>
      <c r="J780" s="7"/>
      <c r="K780" s="27" t="s">
        <v>2208</v>
      </c>
      <c r="L780" s="7"/>
    </row>
    <row r="781" spans="1:12" x14ac:dyDescent="0.2">
      <c r="A781" s="7"/>
      <c r="B781" s="7"/>
      <c r="C781" s="7"/>
      <c r="D781" s="7"/>
      <c r="E781" s="7">
        <v>611278</v>
      </c>
      <c r="F781" s="7"/>
      <c r="G781" s="7" t="s">
        <v>671</v>
      </c>
      <c r="H781" s="7"/>
      <c r="I781" s="27" t="s">
        <v>47</v>
      </c>
      <c r="J781" s="7"/>
      <c r="K781" s="27" t="s">
        <v>2208</v>
      </c>
      <c r="L781" s="7"/>
    </row>
    <row r="782" spans="1:12" x14ac:dyDescent="0.2">
      <c r="A782" s="7"/>
      <c r="B782" s="7"/>
      <c r="C782" s="7"/>
      <c r="D782" s="7"/>
      <c r="E782" s="7">
        <v>611279</v>
      </c>
      <c r="F782" s="7"/>
      <c r="G782" s="7" t="s">
        <v>672</v>
      </c>
      <c r="H782" s="7"/>
      <c r="I782" s="27" t="s">
        <v>47</v>
      </c>
      <c r="J782" s="7"/>
      <c r="K782" s="27" t="s">
        <v>2208</v>
      </c>
      <c r="L782" s="7"/>
    </row>
    <row r="783" spans="1:12" x14ac:dyDescent="0.2">
      <c r="A783" s="7"/>
      <c r="B783" s="7"/>
      <c r="C783" s="7"/>
      <c r="D783" s="7"/>
      <c r="E783" s="7">
        <v>611280</v>
      </c>
      <c r="F783" s="7"/>
      <c r="G783" s="7" t="s">
        <v>673</v>
      </c>
      <c r="H783" s="7"/>
      <c r="I783" s="27" t="s">
        <v>47</v>
      </c>
      <c r="J783" s="7"/>
      <c r="K783" s="27" t="s">
        <v>2208</v>
      </c>
      <c r="L783" s="7"/>
    </row>
    <row r="784" spans="1:12" x14ac:dyDescent="0.2">
      <c r="A784" s="7"/>
      <c r="B784" s="7"/>
      <c r="C784" s="7"/>
      <c r="D784" s="7"/>
      <c r="E784" s="7">
        <v>611281</v>
      </c>
      <c r="F784" s="7"/>
      <c r="G784" s="7" t="s">
        <v>674</v>
      </c>
      <c r="H784" s="7"/>
      <c r="I784" s="27" t="s">
        <v>71</v>
      </c>
      <c r="J784" s="7"/>
      <c r="K784" s="27" t="s">
        <v>2208</v>
      </c>
      <c r="L784" s="7"/>
    </row>
    <row r="785" spans="1:12" x14ac:dyDescent="0.2">
      <c r="A785" s="7"/>
      <c r="B785" s="7"/>
      <c r="C785" s="7"/>
      <c r="D785" s="7"/>
      <c r="E785" s="7">
        <v>611282</v>
      </c>
      <c r="F785" s="7"/>
      <c r="G785" s="7" t="s">
        <v>675</v>
      </c>
      <c r="H785" s="7"/>
      <c r="I785" s="27" t="s">
        <v>71</v>
      </c>
      <c r="J785" s="7"/>
      <c r="K785" s="27" t="s">
        <v>2208</v>
      </c>
      <c r="L785" s="7"/>
    </row>
    <row r="786" spans="1:12" x14ac:dyDescent="0.2">
      <c r="A786" s="7"/>
      <c r="B786" s="7"/>
      <c r="C786" s="7"/>
      <c r="D786" s="7"/>
      <c r="E786" s="7">
        <v>611283</v>
      </c>
      <c r="F786" s="7"/>
      <c r="G786" s="7" t="s">
        <v>676</v>
      </c>
      <c r="H786" s="7"/>
      <c r="I786" s="27" t="s">
        <v>71</v>
      </c>
      <c r="J786" s="7"/>
      <c r="K786" s="27" t="s">
        <v>2208</v>
      </c>
      <c r="L786" s="7"/>
    </row>
    <row r="787" spans="1:12" x14ac:dyDescent="0.2">
      <c r="A787" s="7"/>
      <c r="B787" s="7"/>
      <c r="C787" s="7"/>
      <c r="D787" s="7"/>
      <c r="E787" s="7">
        <v>611284</v>
      </c>
      <c r="F787" s="7"/>
      <c r="G787" s="7" t="s">
        <v>677</v>
      </c>
      <c r="H787" s="7"/>
      <c r="I787" s="27" t="s">
        <v>71</v>
      </c>
      <c r="J787" s="7"/>
      <c r="K787" s="27" t="s">
        <v>2208</v>
      </c>
      <c r="L787" s="7"/>
    </row>
    <row r="788" spans="1:12" x14ac:dyDescent="0.2">
      <c r="A788" s="7"/>
      <c r="B788" s="7"/>
      <c r="C788" s="7"/>
      <c r="D788" s="7"/>
      <c r="E788" s="7">
        <v>611285</v>
      </c>
      <c r="F788" s="7"/>
      <c r="G788" s="7" t="s">
        <v>678</v>
      </c>
      <c r="H788" s="7"/>
      <c r="I788" s="27" t="s">
        <v>71</v>
      </c>
      <c r="J788" s="7"/>
      <c r="K788" s="27" t="s">
        <v>2208</v>
      </c>
      <c r="L788" s="7"/>
    </row>
    <row r="789" spans="1:12" x14ac:dyDescent="0.2">
      <c r="A789" s="7"/>
      <c r="B789" s="7"/>
      <c r="C789" s="7"/>
      <c r="D789" s="7"/>
      <c r="E789" s="7">
        <v>611286</v>
      </c>
      <c r="F789" s="7"/>
      <c r="G789" s="7" t="s">
        <v>679</v>
      </c>
      <c r="H789" s="7"/>
      <c r="I789" s="27" t="s">
        <v>71</v>
      </c>
      <c r="J789" s="7"/>
      <c r="K789" s="27" t="s">
        <v>2208</v>
      </c>
      <c r="L789" s="7"/>
    </row>
    <row r="790" spans="1:12" x14ac:dyDescent="0.2">
      <c r="A790" s="7"/>
      <c r="B790" s="7"/>
      <c r="C790" s="7"/>
      <c r="D790" s="7"/>
      <c r="E790" s="7">
        <v>611287</v>
      </c>
      <c r="F790" s="7"/>
      <c r="G790" s="7" t="s">
        <v>680</v>
      </c>
      <c r="H790" s="7"/>
      <c r="I790" s="27" t="s">
        <v>71</v>
      </c>
      <c r="J790" s="7"/>
      <c r="K790" s="27" t="s">
        <v>2208</v>
      </c>
      <c r="L790" s="7"/>
    </row>
    <row r="791" spans="1:12" x14ac:dyDescent="0.2">
      <c r="A791" s="7"/>
      <c r="B791" s="7"/>
      <c r="C791" s="7"/>
      <c r="D791" s="7"/>
      <c r="E791" s="7">
        <v>611288</v>
      </c>
      <c r="F791" s="7"/>
      <c r="G791" s="7" t="s">
        <v>681</v>
      </c>
      <c r="H791" s="7"/>
      <c r="I791" s="27" t="s">
        <v>71</v>
      </c>
      <c r="J791" s="7"/>
      <c r="K791" s="27" t="s">
        <v>2208</v>
      </c>
      <c r="L791" s="7"/>
    </row>
    <row r="792" spans="1:12" x14ac:dyDescent="0.2">
      <c r="A792" s="7"/>
      <c r="B792" s="7"/>
      <c r="C792" s="7"/>
      <c r="D792" s="7"/>
      <c r="E792" s="7">
        <v>611289</v>
      </c>
      <c r="F792" s="7"/>
      <c r="G792" s="7" t="s">
        <v>682</v>
      </c>
      <c r="H792" s="7"/>
      <c r="I792" s="27" t="s">
        <v>71</v>
      </c>
      <c r="J792" s="7"/>
      <c r="K792" s="27" t="s">
        <v>2208</v>
      </c>
      <c r="L792" s="7"/>
    </row>
    <row r="793" spans="1:12" x14ac:dyDescent="0.2">
      <c r="A793" s="7"/>
      <c r="B793" s="7"/>
      <c r="C793" s="7"/>
      <c r="D793" s="7"/>
      <c r="E793" s="7">
        <v>611290</v>
      </c>
      <c r="F793" s="7"/>
      <c r="G793" s="7" t="s">
        <v>683</v>
      </c>
      <c r="H793" s="7"/>
      <c r="I793" s="27" t="s">
        <v>71</v>
      </c>
      <c r="J793" s="7"/>
      <c r="K793" s="27" t="s">
        <v>2208</v>
      </c>
      <c r="L793" s="7"/>
    </row>
    <row r="794" spans="1:12" x14ac:dyDescent="0.2">
      <c r="A794" s="7"/>
      <c r="B794" s="7"/>
      <c r="C794" s="7"/>
      <c r="D794" s="7"/>
      <c r="E794" s="7">
        <v>611291</v>
      </c>
      <c r="F794" s="7"/>
      <c r="G794" s="7" t="s">
        <v>684</v>
      </c>
      <c r="H794" s="7"/>
      <c r="I794" s="27" t="s">
        <v>71</v>
      </c>
      <c r="J794" s="7"/>
      <c r="K794" s="27" t="s">
        <v>2208</v>
      </c>
      <c r="L794" s="7"/>
    </row>
    <row r="795" spans="1:12" x14ac:dyDescent="0.2">
      <c r="A795" s="7"/>
      <c r="B795" s="7"/>
      <c r="C795" s="7"/>
      <c r="D795" s="7"/>
      <c r="E795" s="7">
        <v>611292</v>
      </c>
      <c r="F795" s="7"/>
      <c r="G795" s="7" t="s">
        <v>685</v>
      </c>
      <c r="H795" s="7"/>
      <c r="I795" s="27" t="s">
        <v>71</v>
      </c>
      <c r="J795" s="7"/>
      <c r="K795" s="27" t="s">
        <v>2208</v>
      </c>
      <c r="L795" s="7"/>
    </row>
    <row r="796" spans="1:12" x14ac:dyDescent="0.2">
      <c r="A796" s="7"/>
      <c r="B796" s="7"/>
      <c r="C796" s="7"/>
      <c r="D796" s="7"/>
      <c r="E796" s="7">
        <v>611293</v>
      </c>
      <c r="F796" s="7"/>
      <c r="G796" s="7" t="s">
        <v>686</v>
      </c>
      <c r="H796" s="7"/>
      <c r="I796" s="27" t="s">
        <v>71</v>
      </c>
      <c r="J796" s="7"/>
      <c r="K796" s="27" t="s">
        <v>2208</v>
      </c>
      <c r="L796" s="7"/>
    </row>
    <row r="797" spans="1:12" x14ac:dyDescent="0.2">
      <c r="A797" s="7"/>
      <c r="B797" s="7"/>
      <c r="C797" s="7"/>
      <c r="D797" s="7"/>
      <c r="E797" s="7">
        <v>611294</v>
      </c>
      <c r="F797" s="7"/>
      <c r="G797" s="7" t="s">
        <v>687</v>
      </c>
      <c r="H797" s="7"/>
      <c r="I797" s="27" t="s">
        <v>47</v>
      </c>
      <c r="J797" s="7"/>
      <c r="K797" s="27" t="s">
        <v>2208</v>
      </c>
      <c r="L797" s="7"/>
    </row>
    <row r="798" spans="1:12" x14ac:dyDescent="0.2">
      <c r="A798" s="7"/>
      <c r="B798" s="7"/>
      <c r="C798" s="7"/>
      <c r="D798" s="7"/>
      <c r="E798" s="7">
        <v>611295</v>
      </c>
      <c r="F798" s="7"/>
      <c r="G798" s="7" t="s">
        <v>688</v>
      </c>
      <c r="H798" s="7"/>
      <c r="I798" s="27" t="s">
        <v>47</v>
      </c>
      <c r="J798" s="7"/>
      <c r="K798" s="27" t="s">
        <v>2208</v>
      </c>
      <c r="L798" s="7"/>
    </row>
    <row r="799" spans="1:12" x14ac:dyDescent="0.2">
      <c r="A799" s="7"/>
      <c r="B799" s="7"/>
      <c r="C799" s="7"/>
      <c r="D799" s="7"/>
      <c r="E799" s="7">
        <v>611296</v>
      </c>
      <c r="F799" s="7"/>
      <c r="G799" s="7" t="s">
        <v>689</v>
      </c>
      <c r="H799" s="7"/>
      <c r="I799" s="27" t="s">
        <v>47</v>
      </c>
      <c r="J799" s="7"/>
      <c r="K799" s="27" t="s">
        <v>2208</v>
      </c>
      <c r="L799" s="7"/>
    </row>
    <row r="800" spans="1:12" x14ac:dyDescent="0.2">
      <c r="A800" s="7"/>
      <c r="B800" s="7"/>
      <c r="C800" s="7"/>
      <c r="D800" s="7"/>
      <c r="E800" s="7">
        <v>611297</v>
      </c>
      <c r="F800" s="7"/>
      <c r="G800" s="7" t="s">
        <v>690</v>
      </c>
      <c r="H800" s="7"/>
      <c r="I800" s="27" t="s">
        <v>47</v>
      </c>
      <c r="J800" s="7"/>
      <c r="K800" s="27" t="s">
        <v>2208</v>
      </c>
      <c r="L800" s="7"/>
    </row>
    <row r="801" spans="1:12" x14ac:dyDescent="0.2">
      <c r="A801" s="7"/>
      <c r="B801" s="7"/>
      <c r="C801" s="7"/>
      <c r="D801" s="7"/>
      <c r="E801" s="7">
        <v>611298</v>
      </c>
      <c r="F801" s="7"/>
      <c r="G801" s="7" t="s">
        <v>691</v>
      </c>
      <c r="H801" s="7"/>
      <c r="I801" s="27" t="s">
        <v>47</v>
      </c>
      <c r="J801" s="7"/>
      <c r="K801" s="27" t="s">
        <v>2208</v>
      </c>
      <c r="L801" s="7"/>
    </row>
    <row r="802" spans="1:12" x14ac:dyDescent="0.2">
      <c r="A802" s="7"/>
      <c r="B802" s="7"/>
      <c r="C802" s="7"/>
      <c r="D802" s="7"/>
      <c r="E802" s="7">
        <v>611299</v>
      </c>
      <c r="F802" s="7"/>
      <c r="G802" s="7" t="s">
        <v>692</v>
      </c>
      <c r="H802" s="7"/>
      <c r="I802" s="27" t="s">
        <v>47</v>
      </c>
      <c r="J802" s="7"/>
      <c r="K802" s="27" t="s">
        <v>2208</v>
      </c>
      <c r="L802" s="7"/>
    </row>
    <row r="803" spans="1:12" x14ac:dyDescent="0.2">
      <c r="A803" s="7"/>
      <c r="B803" s="7"/>
      <c r="C803" s="7"/>
      <c r="D803" s="7"/>
      <c r="E803" s="7">
        <v>611300</v>
      </c>
      <c r="F803" s="7"/>
      <c r="G803" s="7" t="s">
        <v>693</v>
      </c>
      <c r="H803" s="7"/>
      <c r="I803" s="27" t="s">
        <v>47</v>
      </c>
      <c r="J803" s="7"/>
      <c r="K803" s="27" t="s">
        <v>2208</v>
      </c>
      <c r="L803" s="7"/>
    </row>
    <row r="804" spans="1:12" x14ac:dyDescent="0.2">
      <c r="A804" s="7"/>
      <c r="B804" s="7"/>
      <c r="C804" s="7"/>
      <c r="D804" s="7"/>
      <c r="E804" s="7">
        <v>611301</v>
      </c>
      <c r="F804" s="7"/>
      <c r="G804" s="7" t="s">
        <v>694</v>
      </c>
      <c r="H804" s="7"/>
      <c r="I804" s="27" t="s">
        <v>133</v>
      </c>
      <c r="J804" s="7"/>
      <c r="K804" s="27" t="s">
        <v>2208</v>
      </c>
      <c r="L804" s="7"/>
    </row>
    <row r="805" spans="1:12" x14ac:dyDescent="0.2">
      <c r="A805" s="7"/>
      <c r="B805" s="7"/>
      <c r="C805" s="7"/>
      <c r="D805" s="7"/>
      <c r="E805" s="7">
        <v>611302</v>
      </c>
      <c r="F805" s="7"/>
      <c r="G805" s="7" t="s">
        <v>695</v>
      </c>
      <c r="H805" s="7"/>
      <c r="I805" s="27" t="s">
        <v>133</v>
      </c>
      <c r="J805" s="7"/>
      <c r="K805" s="27" t="s">
        <v>2208</v>
      </c>
      <c r="L805" s="7"/>
    </row>
    <row r="806" spans="1:12" x14ac:dyDescent="0.2">
      <c r="A806" s="7"/>
      <c r="B806" s="7"/>
      <c r="C806" s="7"/>
      <c r="D806" s="7"/>
      <c r="E806" s="7">
        <v>611303</v>
      </c>
      <c r="F806" s="7"/>
      <c r="G806" s="7" t="s">
        <v>696</v>
      </c>
      <c r="H806" s="7"/>
      <c r="I806" s="27" t="s">
        <v>133</v>
      </c>
      <c r="J806" s="7"/>
      <c r="K806" s="27" t="s">
        <v>2208</v>
      </c>
      <c r="L806" s="7"/>
    </row>
    <row r="807" spans="1:12" x14ac:dyDescent="0.2">
      <c r="A807" s="7"/>
      <c r="B807" s="7"/>
      <c r="C807" s="7"/>
      <c r="D807" s="7"/>
      <c r="E807" s="7">
        <v>611304</v>
      </c>
      <c r="F807" s="7"/>
      <c r="G807" s="7" t="s">
        <v>697</v>
      </c>
      <c r="H807" s="7"/>
      <c r="I807" s="27" t="s">
        <v>133</v>
      </c>
      <c r="J807" s="7"/>
      <c r="K807" s="27" t="s">
        <v>2208</v>
      </c>
      <c r="L807" s="7"/>
    </row>
    <row r="808" spans="1:12" x14ac:dyDescent="0.2">
      <c r="A808" s="7"/>
      <c r="B808" s="7"/>
      <c r="C808" s="7"/>
      <c r="D808" s="7"/>
      <c r="E808" s="7">
        <v>611306</v>
      </c>
      <c r="F808" s="7"/>
      <c r="G808" s="7" t="s">
        <v>698</v>
      </c>
      <c r="H808" s="7"/>
      <c r="I808" s="27" t="s">
        <v>133</v>
      </c>
      <c r="J808" s="7"/>
      <c r="K808" s="27" t="s">
        <v>2208</v>
      </c>
      <c r="L808" s="7"/>
    </row>
    <row r="809" spans="1:12" x14ac:dyDescent="0.2">
      <c r="A809" s="7"/>
      <c r="B809" s="7"/>
      <c r="C809" s="7"/>
      <c r="D809" s="7"/>
      <c r="E809" s="7">
        <v>611307</v>
      </c>
      <c r="F809" s="7"/>
      <c r="G809" s="7" t="s">
        <v>699</v>
      </c>
      <c r="H809" s="7"/>
      <c r="I809" s="27" t="s">
        <v>133</v>
      </c>
      <c r="J809" s="7"/>
      <c r="K809" s="27" t="s">
        <v>2208</v>
      </c>
      <c r="L809" s="7"/>
    </row>
    <row r="810" spans="1:12" x14ac:dyDescent="0.2">
      <c r="A810" s="7"/>
      <c r="B810" s="7"/>
      <c r="C810" s="7"/>
      <c r="D810" s="7"/>
      <c r="E810" s="7">
        <v>611308</v>
      </c>
      <c r="F810" s="7"/>
      <c r="G810" s="7" t="s">
        <v>700</v>
      </c>
      <c r="H810" s="7"/>
      <c r="I810" s="27" t="s">
        <v>133</v>
      </c>
      <c r="J810" s="7"/>
      <c r="K810" s="27" t="s">
        <v>2208</v>
      </c>
      <c r="L810" s="7"/>
    </row>
    <row r="811" spans="1:12" x14ac:dyDescent="0.2">
      <c r="A811" s="7"/>
      <c r="B811" s="7"/>
      <c r="C811" s="7"/>
      <c r="D811" s="7"/>
      <c r="E811" s="7">
        <v>611310</v>
      </c>
      <c r="F811" s="7"/>
      <c r="G811" s="7" t="s">
        <v>701</v>
      </c>
      <c r="H811" s="7"/>
      <c r="I811" s="27" t="s">
        <v>133</v>
      </c>
      <c r="J811" s="7"/>
      <c r="K811" s="27" t="s">
        <v>2208</v>
      </c>
      <c r="L811" s="7"/>
    </row>
    <row r="812" spans="1:12" x14ac:dyDescent="0.2">
      <c r="A812" s="7"/>
      <c r="B812" s="7"/>
      <c r="C812" s="7"/>
      <c r="D812" s="7"/>
      <c r="E812" s="7">
        <v>611311</v>
      </c>
      <c r="F812" s="7"/>
      <c r="G812" s="7" t="s">
        <v>702</v>
      </c>
      <c r="H812" s="7"/>
      <c r="I812" s="27" t="s">
        <v>133</v>
      </c>
      <c r="J812" s="7"/>
      <c r="K812" s="27" t="s">
        <v>2208</v>
      </c>
      <c r="L812" s="7"/>
    </row>
    <row r="813" spans="1:12" x14ac:dyDescent="0.2">
      <c r="A813" s="7"/>
      <c r="B813" s="7"/>
      <c r="C813" s="7"/>
      <c r="D813" s="7"/>
      <c r="E813" s="7">
        <v>611312</v>
      </c>
      <c r="F813" s="7"/>
      <c r="G813" s="7" t="s">
        <v>703</v>
      </c>
      <c r="H813" s="7"/>
      <c r="I813" s="27" t="s">
        <v>133</v>
      </c>
      <c r="J813" s="7"/>
      <c r="K813" s="27" t="s">
        <v>2208</v>
      </c>
      <c r="L813" s="7"/>
    </row>
    <row r="814" spans="1:12" x14ac:dyDescent="0.2">
      <c r="A814" s="7"/>
      <c r="B814" s="7"/>
      <c r="C814" s="7"/>
      <c r="D814" s="7"/>
      <c r="E814" s="7">
        <v>611313</v>
      </c>
      <c r="F814" s="7"/>
      <c r="G814" s="7" t="s">
        <v>704</v>
      </c>
      <c r="H814" s="7"/>
      <c r="I814" s="27" t="s">
        <v>133</v>
      </c>
      <c r="J814" s="7"/>
      <c r="K814" s="27" t="s">
        <v>2208</v>
      </c>
      <c r="L814" s="7"/>
    </row>
    <row r="815" spans="1:12" x14ac:dyDescent="0.2">
      <c r="A815" s="7"/>
      <c r="B815" s="7"/>
      <c r="C815" s="7"/>
      <c r="D815" s="7"/>
      <c r="E815" s="7">
        <v>611314</v>
      </c>
      <c r="F815" s="7"/>
      <c r="G815" s="7" t="s">
        <v>705</v>
      </c>
      <c r="H815" s="7"/>
      <c r="I815" s="27" t="s">
        <v>71</v>
      </c>
      <c r="J815" s="7"/>
      <c r="K815" s="27" t="s">
        <v>2208</v>
      </c>
      <c r="L815" s="7"/>
    </row>
    <row r="816" spans="1:12" x14ac:dyDescent="0.2">
      <c r="A816" s="7"/>
      <c r="B816" s="7"/>
      <c r="C816" s="7"/>
      <c r="D816" s="7"/>
      <c r="E816" s="7">
        <v>611315</v>
      </c>
      <c r="F816" s="7"/>
      <c r="G816" s="7" t="s">
        <v>706</v>
      </c>
      <c r="H816" s="7"/>
      <c r="I816" s="27" t="s">
        <v>71</v>
      </c>
      <c r="J816" s="7"/>
      <c r="K816" s="27" t="s">
        <v>2208</v>
      </c>
      <c r="L816" s="7"/>
    </row>
    <row r="817" spans="1:12" x14ac:dyDescent="0.2">
      <c r="A817" s="7"/>
      <c r="B817" s="7"/>
      <c r="C817" s="7"/>
      <c r="D817" s="7"/>
      <c r="E817" s="7">
        <v>611316</v>
      </c>
      <c r="F817" s="7"/>
      <c r="G817" s="7" t="s">
        <v>707</v>
      </c>
      <c r="H817" s="7"/>
      <c r="I817" s="27" t="s">
        <v>71</v>
      </c>
      <c r="J817" s="7"/>
      <c r="K817" s="27" t="s">
        <v>2208</v>
      </c>
      <c r="L817" s="7"/>
    </row>
    <row r="818" spans="1:12" x14ac:dyDescent="0.2">
      <c r="A818" s="7"/>
      <c r="B818" s="7"/>
      <c r="C818" s="7"/>
      <c r="D818" s="7"/>
      <c r="E818" s="7">
        <v>611317</v>
      </c>
      <c r="F818" s="7"/>
      <c r="G818" s="7" t="s">
        <v>708</v>
      </c>
      <c r="H818" s="7"/>
      <c r="I818" s="27" t="s">
        <v>71</v>
      </c>
      <c r="J818" s="7"/>
      <c r="K818" s="27" t="s">
        <v>2208</v>
      </c>
      <c r="L818" s="7"/>
    </row>
    <row r="819" spans="1:12" x14ac:dyDescent="0.2">
      <c r="A819" s="7"/>
      <c r="B819" s="7"/>
      <c r="C819" s="7"/>
      <c r="D819" s="7"/>
      <c r="E819" s="7">
        <v>611320</v>
      </c>
      <c r="F819" s="7"/>
      <c r="G819" s="7" t="s">
        <v>709</v>
      </c>
      <c r="H819" s="7"/>
      <c r="I819" s="27" t="s">
        <v>133</v>
      </c>
      <c r="J819" s="7"/>
      <c r="K819" s="27" t="s">
        <v>2208</v>
      </c>
      <c r="L819" s="7"/>
    </row>
    <row r="820" spans="1:12" x14ac:dyDescent="0.2">
      <c r="A820" s="7"/>
      <c r="B820" s="7"/>
      <c r="C820" s="7"/>
      <c r="D820" s="7"/>
      <c r="E820" s="7">
        <v>611321</v>
      </c>
      <c r="F820" s="7"/>
      <c r="G820" s="7" t="s">
        <v>710</v>
      </c>
      <c r="H820" s="7"/>
      <c r="I820" s="27" t="s">
        <v>133</v>
      </c>
      <c r="J820" s="7"/>
      <c r="K820" s="27" t="s">
        <v>2208</v>
      </c>
      <c r="L820" s="7"/>
    </row>
    <row r="821" spans="1:12" x14ac:dyDescent="0.2">
      <c r="A821" s="7"/>
      <c r="B821" s="7"/>
      <c r="C821" s="7"/>
      <c r="D821" s="7"/>
      <c r="E821" s="7">
        <v>611322</v>
      </c>
      <c r="F821" s="7"/>
      <c r="G821" s="7" t="s">
        <v>711</v>
      </c>
      <c r="H821" s="7"/>
      <c r="I821" s="27" t="s">
        <v>133</v>
      </c>
      <c r="J821" s="7"/>
      <c r="K821" s="27" t="s">
        <v>2208</v>
      </c>
      <c r="L821" s="7"/>
    </row>
    <row r="822" spans="1:12" x14ac:dyDescent="0.2">
      <c r="A822" s="7"/>
      <c r="B822" s="7"/>
      <c r="C822" s="7"/>
      <c r="D822" s="7"/>
      <c r="E822" s="7">
        <v>611323</v>
      </c>
      <c r="F822" s="7"/>
      <c r="G822" s="7" t="s">
        <v>712</v>
      </c>
      <c r="H822" s="7"/>
      <c r="I822" s="27" t="s">
        <v>133</v>
      </c>
      <c r="J822" s="7"/>
      <c r="K822" s="27" t="s">
        <v>2208</v>
      </c>
      <c r="L822" s="7"/>
    </row>
    <row r="823" spans="1:12" x14ac:dyDescent="0.2">
      <c r="A823" s="7"/>
      <c r="B823" s="7"/>
      <c r="C823" s="7"/>
      <c r="D823" s="7"/>
      <c r="E823" s="7">
        <v>611324</v>
      </c>
      <c r="F823" s="7"/>
      <c r="G823" s="7" t="s">
        <v>713</v>
      </c>
      <c r="H823" s="7"/>
      <c r="I823" s="27" t="s">
        <v>133</v>
      </c>
      <c r="J823" s="7"/>
      <c r="K823" s="27" t="s">
        <v>2208</v>
      </c>
      <c r="L823" s="7"/>
    </row>
    <row r="824" spans="1:12" x14ac:dyDescent="0.2">
      <c r="A824" s="7"/>
      <c r="B824" s="7"/>
      <c r="C824" s="7"/>
      <c r="D824" s="7"/>
      <c r="E824" s="7">
        <v>611330</v>
      </c>
      <c r="F824" s="7"/>
      <c r="G824" s="7" t="s">
        <v>714</v>
      </c>
      <c r="H824" s="7"/>
      <c r="I824" s="27" t="s">
        <v>133</v>
      </c>
      <c r="J824" s="7"/>
      <c r="K824" s="27" t="s">
        <v>2208</v>
      </c>
      <c r="L824" s="7"/>
    </row>
    <row r="825" spans="1:12" x14ac:dyDescent="0.2">
      <c r="A825" s="7"/>
      <c r="B825" s="7"/>
      <c r="C825" s="7"/>
      <c r="D825" s="7"/>
      <c r="E825" s="7">
        <v>611331</v>
      </c>
      <c r="F825" s="7"/>
      <c r="G825" s="7" t="s">
        <v>715</v>
      </c>
      <c r="H825" s="7"/>
      <c r="I825" s="27" t="s">
        <v>133</v>
      </c>
      <c r="J825" s="7"/>
      <c r="K825" s="27" t="s">
        <v>2208</v>
      </c>
      <c r="L825" s="7"/>
    </row>
    <row r="826" spans="1:12" x14ac:dyDescent="0.2">
      <c r="A826" s="7"/>
      <c r="B826" s="7"/>
      <c r="C826" s="7"/>
      <c r="D826" s="7"/>
      <c r="E826" s="7">
        <v>611332</v>
      </c>
      <c r="F826" s="7"/>
      <c r="G826" s="7" t="s">
        <v>716</v>
      </c>
      <c r="H826" s="7"/>
      <c r="I826" s="27" t="s">
        <v>133</v>
      </c>
      <c r="J826" s="7"/>
      <c r="K826" s="27" t="s">
        <v>2208</v>
      </c>
      <c r="L826" s="7"/>
    </row>
    <row r="827" spans="1:12" x14ac:dyDescent="0.2">
      <c r="A827" s="7"/>
      <c r="B827" s="7"/>
      <c r="C827" s="7"/>
      <c r="D827" s="7"/>
      <c r="E827" s="7">
        <v>611333</v>
      </c>
      <c r="F827" s="7"/>
      <c r="G827" s="7" t="s">
        <v>717</v>
      </c>
      <c r="H827" s="7"/>
      <c r="I827" s="27" t="s">
        <v>133</v>
      </c>
      <c r="J827" s="7"/>
      <c r="K827" s="27" t="s">
        <v>2208</v>
      </c>
      <c r="L827" s="7"/>
    </row>
    <row r="828" spans="1:12" x14ac:dyDescent="0.2">
      <c r="A828" s="7"/>
      <c r="B828" s="7"/>
      <c r="C828" s="7"/>
      <c r="D828" s="7"/>
      <c r="E828" s="7">
        <v>611334</v>
      </c>
      <c r="F828" s="7"/>
      <c r="G828" s="7" t="s">
        <v>718</v>
      </c>
      <c r="H828" s="7"/>
      <c r="I828" s="27" t="s">
        <v>47</v>
      </c>
      <c r="J828" s="7"/>
      <c r="K828" s="27" t="s">
        <v>2208</v>
      </c>
      <c r="L828" s="7"/>
    </row>
    <row r="829" spans="1:12" x14ac:dyDescent="0.2">
      <c r="A829" s="7"/>
      <c r="B829" s="7"/>
      <c r="C829" s="7"/>
      <c r="D829" s="7"/>
      <c r="E829" s="7">
        <v>611335</v>
      </c>
      <c r="F829" s="7"/>
      <c r="G829" s="7" t="s">
        <v>719</v>
      </c>
      <c r="H829" s="7"/>
      <c r="I829" s="27" t="s">
        <v>47</v>
      </c>
      <c r="J829" s="7"/>
      <c r="K829" s="27" t="s">
        <v>2208</v>
      </c>
      <c r="L829" s="7"/>
    </row>
    <row r="830" spans="1:12" x14ac:dyDescent="0.2">
      <c r="A830" s="7"/>
      <c r="B830" s="7"/>
      <c r="C830" s="7"/>
      <c r="D830" s="7"/>
      <c r="E830" s="7">
        <v>611336</v>
      </c>
      <c r="F830" s="7"/>
      <c r="G830" s="7" t="s">
        <v>720</v>
      </c>
      <c r="H830" s="7"/>
      <c r="I830" s="27" t="s">
        <v>47</v>
      </c>
      <c r="J830" s="7"/>
      <c r="K830" s="27" t="s">
        <v>2208</v>
      </c>
      <c r="L830" s="7"/>
    </row>
    <row r="831" spans="1:12" x14ac:dyDescent="0.2">
      <c r="A831" s="7"/>
      <c r="B831" s="7"/>
      <c r="C831" s="7"/>
      <c r="D831" s="7"/>
      <c r="E831" s="7">
        <v>611337</v>
      </c>
      <c r="F831" s="7"/>
      <c r="G831" s="7" t="s">
        <v>721</v>
      </c>
      <c r="H831" s="7"/>
      <c r="I831" s="27" t="s">
        <v>133</v>
      </c>
      <c r="J831" s="7"/>
      <c r="K831" s="27" t="s">
        <v>2208</v>
      </c>
      <c r="L831" s="7"/>
    </row>
    <row r="832" spans="1:12" x14ac:dyDescent="0.2">
      <c r="A832" s="7"/>
      <c r="B832" s="7"/>
      <c r="C832" s="7"/>
      <c r="D832" s="7"/>
      <c r="E832" s="7">
        <v>611338</v>
      </c>
      <c r="F832" s="7"/>
      <c r="G832" s="7" t="s">
        <v>722</v>
      </c>
      <c r="H832" s="7"/>
      <c r="I832" s="27" t="s">
        <v>133</v>
      </c>
      <c r="J832" s="7"/>
      <c r="K832" s="27" t="s">
        <v>2208</v>
      </c>
      <c r="L832" s="7"/>
    </row>
    <row r="833" spans="1:12" x14ac:dyDescent="0.2">
      <c r="A833" s="7"/>
      <c r="B833" s="7"/>
      <c r="C833" s="7"/>
      <c r="D833" s="7"/>
      <c r="E833" s="7">
        <v>611339</v>
      </c>
      <c r="F833" s="7"/>
      <c r="G833" s="7" t="s">
        <v>723</v>
      </c>
      <c r="H833" s="7"/>
      <c r="I833" s="27" t="s">
        <v>133</v>
      </c>
      <c r="J833" s="7"/>
      <c r="K833" s="27" t="s">
        <v>2208</v>
      </c>
      <c r="L833" s="7"/>
    </row>
    <row r="834" spans="1:12" x14ac:dyDescent="0.2">
      <c r="A834" s="7"/>
      <c r="B834" s="7"/>
      <c r="C834" s="7"/>
      <c r="D834" s="7"/>
      <c r="E834" s="7">
        <v>611340</v>
      </c>
      <c r="F834" s="7"/>
      <c r="G834" s="7" t="s">
        <v>724</v>
      </c>
      <c r="H834" s="7"/>
      <c r="I834" s="27" t="s">
        <v>133</v>
      </c>
      <c r="J834" s="7"/>
      <c r="K834" s="27" t="s">
        <v>2208</v>
      </c>
      <c r="L834" s="7"/>
    </row>
    <row r="835" spans="1:12" x14ac:dyDescent="0.2">
      <c r="A835" s="7"/>
      <c r="B835" s="7"/>
      <c r="C835" s="7"/>
      <c r="D835" s="7"/>
      <c r="E835" s="7">
        <v>611341</v>
      </c>
      <c r="F835" s="7"/>
      <c r="G835" s="7" t="s">
        <v>725</v>
      </c>
      <c r="H835" s="7"/>
      <c r="I835" s="27" t="s">
        <v>133</v>
      </c>
      <c r="J835" s="7"/>
      <c r="K835" s="27" t="s">
        <v>2208</v>
      </c>
      <c r="L835" s="7"/>
    </row>
    <row r="836" spans="1:12" x14ac:dyDescent="0.2">
      <c r="A836" s="7"/>
      <c r="B836" s="7"/>
      <c r="C836" s="7"/>
      <c r="D836" s="7"/>
      <c r="E836" s="7">
        <v>611342</v>
      </c>
      <c r="F836" s="7"/>
      <c r="G836" s="7" t="s">
        <v>726</v>
      </c>
      <c r="H836" s="7"/>
      <c r="I836" s="27" t="s">
        <v>133</v>
      </c>
      <c r="J836" s="7"/>
      <c r="K836" s="27" t="s">
        <v>2208</v>
      </c>
      <c r="L836" s="7"/>
    </row>
    <row r="837" spans="1:12" x14ac:dyDescent="0.2">
      <c r="A837" s="7"/>
      <c r="B837" s="7"/>
      <c r="C837" s="7"/>
      <c r="D837" s="7"/>
      <c r="E837" s="7">
        <v>611343</v>
      </c>
      <c r="F837" s="7"/>
      <c r="G837" s="7" t="s">
        <v>727</v>
      </c>
      <c r="H837" s="7"/>
      <c r="I837" s="27" t="s">
        <v>133</v>
      </c>
      <c r="J837" s="7"/>
      <c r="K837" s="27" t="s">
        <v>2208</v>
      </c>
      <c r="L837" s="7"/>
    </row>
    <row r="838" spans="1:12" x14ac:dyDescent="0.2">
      <c r="A838" s="7"/>
      <c r="B838" s="7"/>
      <c r="C838" s="7"/>
      <c r="D838" s="7"/>
      <c r="E838" s="7">
        <v>611344</v>
      </c>
      <c r="F838" s="7"/>
      <c r="G838" s="7" t="s">
        <v>728</v>
      </c>
      <c r="H838" s="7"/>
      <c r="I838" s="27" t="s">
        <v>47</v>
      </c>
      <c r="J838" s="7"/>
      <c r="K838" s="27" t="s">
        <v>2208</v>
      </c>
      <c r="L838" s="7"/>
    </row>
    <row r="839" spans="1:12" x14ac:dyDescent="0.2">
      <c r="A839" s="7"/>
      <c r="B839" s="7"/>
      <c r="C839" s="7"/>
      <c r="D839" s="7"/>
      <c r="E839" s="7">
        <v>611345</v>
      </c>
      <c r="F839" s="7"/>
      <c r="G839" s="7" t="s">
        <v>729</v>
      </c>
      <c r="H839" s="7"/>
      <c r="I839" s="27" t="s">
        <v>133</v>
      </c>
      <c r="J839" s="7"/>
      <c r="K839" s="27" t="s">
        <v>2208</v>
      </c>
      <c r="L839" s="7"/>
    </row>
    <row r="840" spans="1:12" x14ac:dyDescent="0.2">
      <c r="A840" s="7"/>
      <c r="B840" s="7"/>
      <c r="C840" s="7"/>
      <c r="D840" s="7"/>
      <c r="E840" s="7">
        <v>611350</v>
      </c>
      <c r="F840" s="7"/>
      <c r="G840" s="7" t="s">
        <v>730</v>
      </c>
      <c r="H840" s="7"/>
      <c r="I840" s="27" t="s">
        <v>133</v>
      </c>
      <c r="J840" s="7"/>
      <c r="K840" s="27" t="s">
        <v>2208</v>
      </c>
      <c r="L840" s="7"/>
    </row>
    <row r="841" spans="1:12" x14ac:dyDescent="0.2">
      <c r="A841" s="7"/>
      <c r="B841" s="7"/>
      <c r="C841" s="7"/>
      <c r="D841" s="7"/>
      <c r="E841" s="7">
        <v>611351</v>
      </c>
      <c r="F841" s="7"/>
      <c r="G841" s="7" t="s">
        <v>731</v>
      </c>
      <c r="H841" s="7"/>
      <c r="I841" s="27" t="s">
        <v>133</v>
      </c>
      <c r="J841" s="7"/>
      <c r="K841" s="27" t="s">
        <v>2208</v>
      </c>
      <c r="L841" s="7"/>
    </row>
    <row r="842" spans="1:12" x14ac:dyDescent="0.2">
      <c r="A842" s="7"/>
      <c r="B842" s="7"/>
      <c r="C842" s="7"/>
      <c r="D842" s="7"/>
      <c r="E842" s="7">
        <v>611352</v>
      </c>
      <c r="F842" s="7"/>
      <c r="G842" s="7" t="s">
        <v>732</v>
      </c>
      <c r="H842" s="7"/>
      <c r="I842" s="27" t="s">
        <v>133</v>
      </c>
      <c r="J842" s="7"/>
      <c r="K842" s="27" t="s">
        <v>2208</v>
      </c>
      <c r="L842" s="7"/>
    </row>
    <row r="843" spans="1:12" x14ac:dyDescent="0.2">
      <c r="A843" s="7"/>
      <c r="B843" s="7"/>
      <c r="C843" s="7"/>
      <c r="D843" s="7"/>
      <c r="E843" s="7">
        <v>611353</v>
      </c>
      <c r="F843" s="7"/>
      <c r="G843" s="7" t="s">
        <v>733</v>
      </c>
      <c r="H843" s="7"/>
      <c r="I843" s="27" t="s">
        <v>133</v>
      </c>
      <c r="J843" s="7"/>
      <c r="K843" s="27" t="s">
        <v>2208</v>
      </c>
      <c r="L843" s="7"/>
    </row>
    <row r="844" spans="1:12" x14ac:dyDescent="0.2">
      <c r="A844" s="7"/>
      <c r="B844" s="7"/>
      <c r="C844" s="7"/>
      <c r="D844" s="7"/>
      <c r="E844" s="7">
        <v>611368</v>
      </c>
      <c r="F844" s="7"/>
      <c r="G844" s="7" t="s">
        <v>734</v>
      </c>
      <c r="H844" s="7"/>
      <c r="I844" s="27" t="s">
        <v>553</v>
      </c>
      <c r="J844" s="7"/>
      <c r="K844" s="27" t="s">
        <v>2208</v>
      </c>
      <c r="L844" s="7"/>
    </row>
    <row r="845" spans="1:12" x14ac:dyDescent="0.2">
      <c r="A845" s="7"/>
      <c r="B845" s="7"/>
      <c r="C845" s="7"/>
      <c r="D845" s="7"/>
      <c r="E845" s="7">
        <v>611369</v>
      </c>
      <c r="F845" s="7"/>
      <c r="G845" s="7" t="s">
        <v>735</v>
      </c>
      <c r="H845" s="7"/>
      <c r="I845" s="27" t="s">
        <v>616</v>
      </c>
      <c r="J845" s="7"/>
      <c r="K845" s="27" t="s">
        <v>2208</v>
      </c>
      <c r="L845" s="7"/>
    </row>
    <row r="846" spans="1:12" x14ac:dyDescent="0.2">
      <c r="A846" s="7"/>
      <c r="B846" s="7"/>
      <c r="C846" s="7"/>
      <c r="D846" s="7"/>
      <c r="E846" s="7">
        <v>611370</v>
      </c>
      <c r="F846" s="7"/>
      <c r="G846" s="7" t="s">
        <v>736</v>
      </c>
      <c r="H846" s="7"/>
      <c r="I846" s="27" t="s">
        <v>616</v>
      </c>
      <c r="J846" s="7"/>
      <c r="K846" s="27" t="s">
        <v>2208</v>
      </c>
      <c r="L846" s="7"/>
    </row>
    <row r="847" spans="1:12" x14ac:dyDescent="0.2">
      <c r="A847" s="7"/>
      <c r="B847" s="7"/>
      <c r="C847" s="7"/>
      <c r="D847" s="7"/>
      <c r="E847" s="7">
        <v>611371</v>
      </c>
      <c r="F847" s="7"/>
      <c r="G847" s="7" t="s">
        <v>737</v>
      </c>
      <c r="H847" s="7"/>
      <c r="I847" s="27" t="s">
        <v>616</v>
      </c>
      <c r="J847" s="7"/>
      <c r="K847" s="27" t="s">
        <v>2208</v>
      </c>
      <c r="L847" s="7"/>
    </row>
    <row r="848" spans="1:12" x14ac:dyDescent="0.2">
      <c r="A848" s="7"/>
      <c r="B848" s="7"/>
      <c r="C848" s="7"/>
      <c r="D848" s="7"/>
      <c r="E848" s="7">
        <v>611372</v>
      </c>
      <c r="F848" s="7"/>
      <c r="G848" s="7" t="s">
        <v>738</v>
      </c>
      <c r="H848" s="7"/>
      <c r="I848" s="27" t="s">
        <v>616</v>
      </c>
      <c r="J848" s="7"/>
      <c r="K848" s="27" t="s">
        <v>2208</v>
      </c>
      <c r="L848" s="7"/>
    </row>
    <row r="849" spans="1:12" x14ac:dyDescent="0.2">
      <c r="A849" s="7"/>
      <c r="B849" s="7"/>
      <c r="C849" s="7"/>
      <c r="D849" s="7"/>
      <c r="E849" s="7">
        <v>611373</v>
      </c>
      <c r="F849" s="7"/>
      <c r="G849" s="7" t="s">
        <v>739</v>
      </c>
      <c r="H849" s="7"/>
      <c r="I849" s="27" t="s">
        <v>616</v>
      </c>
      <c r="J849" s="7"/>
      <c r="K849" s="27" t="s">
        <v>2208</v>
      </c>
      <c r="L849" s="7"/>
    </row>
    <row r="850" spans="1:12" x14ac:dyDescent="0.2">
      <c r="A850" s="7"/>
      <c r="B850" s="7"/>
      <c r="C850" s="7"/>
      <c r="D850" s="7"/>
      <c r="E850" s="7">
        <v>611374</v>
      </c>
      <c r="F850" s="7"/>
      <c r="G850" s="7" t="s">
        <v>740</v>
      </c>
      <c r="H850" s="7"/>
      <c r="I850" s="27" t="s">
        <v>616</v>
      </c>
      <c r="J850" s="7"/>
      <c r="K850" s="27" t="s">
        <v>2208</v>
      </c>
      <c r="L850" s="7"/>
    </row>
    <row r="851" spans="1:12" x14ac:dyDescent="0.2">
      <c r="A851" s="7"/>
      <c r="B851" s="7"/>
      <c r="C851" s="7"/>
      <c r="D851" s="7"/>
      <c r="E851" s="7">
        <v>611375</v>
      </c>
      <c r="F851" s="7"/>
      <c r="G851" s="7" t="s">
        <v>741</v>
      </c>
      <c r="H851" s="7"/>
      <c r="I851" s="27" t="s">
        <v>616</v>
      </c>
      <c r="J851" s="7"/>
      <c r="K851" s="27" t="s">
        <v>2208</v>
      </c>
      <c r="L851" s="7"/>
    </row>
    <row r="852" spans="1:12" x14ac:dyDescent="0.2">
      <c r="A852" s="7"/>
      <c r="B852" s="7"/>
      <c r="C852" s="7"/>
      <c r="D852" s="7"/>
      <c r="E852" s="7">
        <v>611376</v>
      </c>
      <c r="F852" s="7"/>
      <c r="G852" s="7" t="s">
        <v>742</v>
      </c>
      <c r="H852" s="7"/>
      <c r="I852" s="27" t="s">
        <v>616</v>
      </c>
      <c r="J852" s="7"/>
      <c r="K852" s="27" t="s">
        <v>2208</v>
      </c>
      <c r="L852" s="7"/>
    </row>
    <row r="853" spans="1:12" x14ac:dyDescent="0.2">
      <c r="A853" s="7"/>
      <c r="B853" s="7"/>
      <c r="C853" s="7"/>
      <c r="D853" s="7"/>
      <c r="E853" s="7">
        <v>611377</v>
      </c>
      <c r="F853" s="7"/>
      <c r="G853" s="7" t="s">
        <v>743</v>
      </c>
      <c r="H853" s="7"/>
      <c r="I853" s="27" t="s">
        <v>616</v>
      </c>
      <c r="J853" s="7"/>
      <c r="K853" s="27" t="s">
        <v>2208</v>
      </c>
      <c r="L853" s="7"/>
    </row>
    <row r="854" spans="1:12" x14ac:dyDescent="0.2">
      <c r="A854" s="7"/>
      <c r="B854" s="7"/>
      <c r="C854" s="7"/>
      <c r="D854" s="7"/>
      <c r="E854" s="7">
        <v>611378</v>
      </c>
      <c r="F854" s="7"/>
      <c r="G854" s="7" t="s">
        <v>744</v>
      </c>
      <c r="H854" s="7"/>
      <c r="I854" s="27" t="s">
        <v>616</v>
      </c>
      <c r="J854" s="7"/>
      <c r="K854" s="27" t="s">
        <v>2208</v>
      </c>
      <c r="L854" s="7"/>
    </row>
    <row r="855" spans="1:12" x14ac:dyDescent="0.2">
      <c r="A855" s="7"/>
      <c r="B855" s="7"/>
      <c r="C855" s="7"/>
      <c r="D855" s="7"/>
      <c r="E855" s="7">
        <v>611379</v>
      </c>
      <c r="F855" s="7"/>
      <c r="G855" s="7" t="s">
        <v>739</v>
      </c>
      <c r="H855" s="7"/>
      <c r="I855" s="27" t="s">
        <v>616</v>
      </c>
      <c r="J855" s="7"/>
      <c r="K855" s="27" t="s">
        <v>2208</v>
      </c>
      <c r="L855" s="7"/>
    </row>
    <row r="856" spans="1:12" x14ac:dyDescent="0.2">
      <c r="A856" s="7"/>
      <c r="B856" s="7"/>
      <c r="C856" s="7"/>
      <c r="D856" s="7"/>
      <c r="E856" s="7">
        <v>611380</v>
      </c>
      <c r="F856" s="7"/>
      <c r="G856" s="7" t="s">
        <v>745</v>
      </c>
      <c r="H856" s="7"/>
      <c r="I856" s="27" t="s">
        <v>616</v>
      </c>
      <c r="J856" s="7"/>
      <c r="K856" s="27" t="s">
        <v>2208</v>
      </c>
      <c r="L856" s="7"/>
    </row>
    <row r="857" spans="1:12" x14ac:dyDescent="0.2">
      <c r="A857" s="7"/>
      <c r="B857" s="7"/>
      <c r="C857" s="7"/>
      <c r="D857" s="7"/>
      <c r="E857" s="7">
        <v>611381</v>
      </c>
      <c r="F857" s="7"/>
      <c r="G857" s="7" t="s">
        <v>746</v>
      </c>
      <c r="H857" s="7"/>
      <c r="I857" s="27" t="s">
        <v>616</v>
      </c>
      <c r="J857" s="7"/>
      <c r="K857" s="27" t="s">
        <v>2208</v>
      </c>
      <c r="L857" s="7"/>
    </row>
    <row r="858" spans="1:12" x14ac:dyDescent="0.2">
      <c r="A858" s="7"/>
      <c r="B858" s="7"/>
      <c r="C858" s="7"/>
      <c r="D858" s="7"/>
      <c r="E858" s="7">
        <v>611382</v>
      </c>
      <c r="F858" s="7"/>
      <c r="G858" s="7" t="s">
        <v>747</v>
      </c>
      <c r="H858" s="7"/>
      <c r="I858" s="27" t="s">
        <v>616</v>
      </c>
      <c r="J858" s="7"/>
      <c r="K858" s="27" t="s">
        <v>2208</v>
      </c>
      <c r="L858" s="7"/>
    </row>
    <row r="859" spans="1:12" x14ac:dyDescent="0.2">
      <c r="A859" s="7"/>
      <c r="B859" s="7"/>
      <c r="C859" s="7"/>
      <c r="D859" s="7"/>
      <c r="E859" s="7">
        <v>611383</v>
      </c>
      <c r="F859" s="7"/>
      <c r="G859" s="7" t="s">
        <v>748</v>
      </c>
      <c r="H859" s="7"/>
      <c r="I859" s="27" t="s">
        <v>616</v>
      </c>
      <c r="J859" s="7"/>
      <c r="K859" s="27" t="s">
        <v>2208</v>
      </c>
      <c r="L859" s="7"/>
    </row>
    <row r="860" spans="1:12" x14ac:dyDescent="0.2">
      <c r="A860" s="7"/>
      <c r="B860" s="7"/>
      <c r="C860" s="7"/>
      <c r="D860" s="7"/>
      <c r="E860" s="7">
        <v>611384</v>
      </c>
      <c r="F860" s="7"/>
      <c r="G860" s="7" t="s">
        <v>749</v>
      </c>
      <c r="H860" s="7"/>
      <c r="I860" s="27" t="s">
        <v>616</v>
      </c>
      <c r="J860" s="7"/>
      <c r="K860" s="27" t="s">
        <v>2208</v>
      </c>
      <c r="L860" s="7"/>
    </row>
    <row r="861" spans="1:12" x14ac:dyDescent="0.2">
      <c r="A861" s="7"/>
      <c r="B861" s="7"/>
      <c r="C861" s="7"/>
      <c r="D861" s="7"/>
      <c r="E861" s="7">
        <v>611385</v>
      </c>
      <c r="F861" s="7"/>
      <c r="G861" s="7" t="s">
        <v>750</v>
      </c>
      <c r="H861" s="7"/>
      <c r="I861" s="27" t="s">
        <v>616</v>
      </c>
      <c r="J861" s="7"/>
      <c r="K861" s="27" t="s">
        <v>2208</v>
      </c>
      <c r="L861" s="7"/>
    </row>
    <row r="862" spans="1:12" x14ac:dyDescent="0.2">
      <c r="A862" s="7"/>
      <c r="B862" s="7"/>
      <c r="C862" s="7"/>
      <c r="D862" s="7"/>
      <c r="E862" s="7">
        <v>611386</v>
      </c>
      <c r="F862" s="7"/>
      <c r="G862" s="7" t="s">
        <v>751</v>
      </c>
      <c r="H862" s="7"/>
      <c r="I862" s="27" t="s">
        <v>616</v>
      </c>
      <c r="J862" s="7"/>
      <c r="K862" s="27" t="s">
        <v>2208</v>
      </c>
      <c r="L862" s="7"/>
    </row>
    <row r="863" spans="1:12" x14ac:dyDescent="0.2">
      <c r="A863" s="7"/>
      <c r="B863" s="7"/>
      <c r="C863" s="7"/>
      <c r="D863" s="7"/>
      <c r="E863" s="7">
        <v>611387</v>
      </c>
      <c r="F863" s="7"/>
      <c r="G863" s="7" t="s">
        <v>752</v>
      </c>
      <c r="H863" s="7"/>
      <c r="I863" s="27" t="s">
        <v>616</v>
      </c>
      <c r="J863" s="7"/>
      <c r="K863" s="27" t="s">
        <v>2208</v>
      </c>
      <c r="L863" s="7"/>
    </row>
    <row r="864" spans="1:12" x14ac:dyDescent="0.2">
      <c r="A864" s="7"/>
      <c r="B864" s="7"/>
      <c r="C864" s="7"/>
      <c r="D864" s="7"/>
      <c r="E864" s="7">
        <v>611388</v>
      </c>
      <c r="F864" s="7"/>
      <c r="G864" s="7" t="s">
        <v>753</v>
      </c>
      <c r="H864" s="7"/>
      <c r="I864" s="27" t="s">
        <v>616</v>
      </c>
      <c r="J864" s="7"/>
      <c r="K864" s="27" t="s">
        <v>2208</v>
      </c>
      <c r="L864" s="7"/>
    </row>
    <row r="865" spans="1:12" x14ac:dyDescent="0.2">
      <c r="A865" s="7"/>
      <c r="B865" s="7"/>
      <c r="C865" s="7"/>
      <c r="D865" s="7"/>
      <c r="E865" s="7">
        <v>611389</v>
      </c>
      <c r="F865" s="7"/>
      <c r="G865" s="7" t="s">
        <v>754</v>
      </c>
      <c r="H865" s="7"/>
      <c r="I865" s="27" t="s">
        <v>616</v>
      </c>
      <c r="J865" s="7"/>
      <c r="K865" s="27" t="s">
        <v>2208</v>
      </c>
      <c r="L865" s="7"/>
    </row>
    <row r="866" spans="1:12" x14ac:dyDescent="0.2">
      <c r="A866" s="7"/>
      <c r="B866" s="7"/>
      <c r="C866" s="7"/>
      <c r="D866" s="7"/>
      <c r="E866" s="7">
        <v>611390</v>
      </c>
      <c r="F866" s="7"/>
      <c r="G866" s="7" t="s">
        <v>755</v>
      </c>
      <c r="H866" s="7"/>
      <c r="I866" s="27" t="s">
        <v>616</v>
      </c>
      <c r="J866" s="7"/>
      <c r="K866" s="27" t="s">
        <v>2208</v>
      </c>
      <c r="L866" s="7"/>
    </row>
    <row r="867" spans="1:12" x14ac:dyDescent="0.2">
      <c r="A867" s="7"/>
      <c r="B867" s="7"/>
      <c r="C867" s="7"/>
      <c r="D867" s="7"/>
      <c r="E867" s="7">
        <v>611391</v>
      </c>
      <c r="F867" s="7"/>
      <c r="G867" s="7" t="s">
        <v>756</v>
      </c>
      <c r="H867" s="7"/>
      <c r="I867" s="27" t="s">
        <v>616</v>
      </c>
      <c r="J867" s="7"/>
      <c r="K867" s="27" t="s">
        <v>2208</v>
      </c>
      <c r="L867" s="7"/>
    </row>
    <row r="868" spans="1:12" x14ac:dyDescent="0.2">
      <c r="A868" s="7"/>
      <c r="B868" s="7"/>
      <c r="C868" s="7"/>
      <c r="D868" s="7"/>
      <c r="E868" s="7">
        <v>611392</v>
      </c>
      <c r="F868" s="7"/>
      <c r="G868" s="7" t="s">
        <v>757</v>
      </c>
      <c r="H868" s="7"/>
      <c r="I868" s="27" t="s">
        <v>616</v>
      </c>
      <c r="J868" s="7"/>
      <c r="K868" s="27" t="s">
        <v>2208</v>
      </c>
      <c r="L868" s="7"/>
    </row>
    <row r="869" spans="1:12" x14ac:dyDescent="0.2">
      <c r="A869" s="7"/>
      <c r="B869" s="7"/>
      <c r="C869" s="7"/>
      <c r="D869" s="7"/>
      <c r="E869" s="7">
        <v>611393</v>
      </c>
      <c r="F869" s="7"/>
      <c r="G869" s="7" t="s">
        <v>758</v>
      </c>
      <c r="H869" s="7"/>
      <c r="I869" s="27" t="s">
        <v>616</v>
      </c>
      <c r="J869" s="7"/>
      <c r="K869" s="27" t="s">
        <v>2208</v>
      </c>
      <c r="L869" s="7"/>
    </row>
    <row r="870" spans="1:12" x14ac:dyDescent="0.2">
      <c r="A870" s="7"/>
      <c r="B870" s="7"/>
      <c r="C870" s="7"/>
      <c r="D870" s="7"/>
      <c r="E870" s="7">
        <v>611394</v>
      </c>
      <c r="F870" s="7"/>
      <c r="G870" s="7" t="s">
        <v>759</v>
      </c>
      <c r="H870" s="7"/>
      <c r="I870" s="27" t="s">
        <v>616</v>
      </c>
      <c r="J870" s="7"/>
      <c r="K870" s="27" t="s">
        <v>2208</v>
      </c>
      <c r="L870" s="7"/>
    </row>
    <row r="871" spans="1:12" x14ac:dyDescent="0.2">
      <c r="A871" s="7"/>
      <c r="B871" s="7"/>
      <c r="C871" s="7"/>
      <c r="D871" s="7"/>
      <c r="E871" s="7">
        <v>611395</v>
      </c>
      <c r="F871" s="7"/>
      <c r="G871" s="7" t="s">
        <v>760</v>
      </c>
      <c r="H871" s="7"/>
      <c r="I871" s="27" t="s">
        <v>616</v>
      </c>
      <c r="J871" s="7"/>
      <c r="K871" s="27" t="s">
        <v>2208</v>
      </c>
      <c r="L871" s="7"/>
    </row>
    <row r="872" spans="1:12" x14ac:dyDescent="0.2">
      <c r="A872" s="7"/>
      <c r="B872" s="7"/>
      <c r="C872" s="7"/>
      <c r="D872" s="7"/>
      <c r="E872" s="7">
        <v>611396</v>
      </c>
      <c r="F872" s="7"/>
      <c r="G872" s="7" t="s">
        <v>761</v>
      </c>
      <c r="H872" s="7"/>
      <c r="I872" s="27" t="s">
        <v>616</v>
      </c>
      <c r="J872" s="7"/>
      <c r="K872" s="27" t="s">
        <v>2208</v>
      </c>
      <c r="L872" s="7"/>
    </row>
    <row r="873" spans="1:12" x14ac:dyDescent="0.2">
      <c r="A873" s="7"/>
      <c r="B873" s="7"/>
      <c r="C873" s="7"/>
      <c r="D873" s="7"/>
      <c r="E873" s="7">
        <v>611397</v>
      </c>
      <c r="F873" s="7"/>
      <c r="G873" s="7" t="s">
        <v>762</v>
      </c>
      <c r="H873" s="7"/>
      <c r="I873" s="27" t="s">
        <v>616</v>
      </c>
      <c r="J873" s="7"/>
      <c r="K873" s="27" t="s">
        <v>2208</v>
      </c>
      <c r="L873" s="7"/>
    </row>
    <row r="874" spans="1:12" x14ac:dyDescent="0.2">
      <c r="A874" s="7"/>
      <c r="B874" s="7"/>
      <c r="C874" s="7"/>
      <c r="D874" s="7"/>
      <c r="E874" s="7">
        <v>611398</v>
      </c>
      <c r="F874" s="7"/>
      <c r="G874" s="7" t="s">
        <v>763</v>
      </c>
      <c r="H874" s="7"/>
      <c r="I874" s="27" t="s">
        <v>616</v>
      </c>
      <c r="J874" s="7"/>
      <c r="K874" s="27" t="s">
        <v>2208</v>
      </c>
      <c r="L874" s="7"/>
    </row>
    <row r="875" spans="1:12" x14ac:dyDescent="0.2">
      <c r="A875" s="7"/>
      <c r="B875" s="7"/>
      <c r="C875" s="7"/>
      <c r="D875" s="7"/>
      <c r="E875" s="7">
        <v>611399</v>
      </c>
      <c r="F875" s="7"/>
      <c r="G875" s="7" t="s">
        <v>764</v>
      </c>
      <c r="H875" s="7"/>
      <c r="I875" s="27" t="s">
        <v>616</v>
      </c>
      <c r="J875" s="7"/>
      <c r="K875" s="27" t="s">
        <v>2208</v>
      </c>
      <c r="L875" s="7"/>
    </row>
    <row r="876" spans="1:12" x14ac:dyDescent="0.2">
      <c r="A876" s="7"/>
      <c r="B876" s="7"/>
      <c r="C876" s="7"/>
      <c r="D876" s="7"/>
      <c r="E876" s="7">
        <v>611400</v>
      </c>
      <c r="F876" s="7"/>
      <c r="G876" s="7" t="s">
        <v>765</v>
      </c>
      <c r="H876" s="7"/>
      <c r="I876" s="27" t="s">
        <v>616</v>
      </c>
      <c r="J876" s="7"/>
      <c r="K876" s="27" t="s">
        <v>2208</v>
      </c>
      <c r="L876" s="7"/>
    </row>
    <row r="877" spans="1:12" x14ac:dyDescent="0.2">
      <c r="A877" s="7"/>
      <c r="B877" s="7"/>
      <c r="C877" s="7"/>
      <c r="D877" s="7"/>
      <c r="E877" s="7">
        <v>611401</v>
      </c>
      <c r="F877" s="7"/>
      <c r="G877" s="7" t="s">
        <v>766</v>
      </c>
      <c r="H877" s="7"/>
      <c r="I877" s="27" t="s">
        <v>616</v>
      </c>
      <c r="J877" s="7"/>
      <c r="K877" s="27" t="s">
        <v>2208</v>
      </c>
      <c r="L877" s="7"/>
    </row>
    <row r="878" spans="1:12" x14ac:dyDescent="0.2">
      <c r="A878" s="7"/>
      <c r="B878" s="7"/>
      <c r="C878" s="7"/>
      <c r="D878" s="7"/>
      <c r="E878" s="7">
        <v>611402</v>
      </c>
      <c r="F878" s="7"/>
      <c r="G878" s="7" t="s">
        <v>767</v>
      </c>
      <c r="H878" s="7"/>
      <c r="I878" s="27" t="s">
        <v>616</v>
      </c>
      <c r="J878" s="7"/>
      <c r="K878" s="27" t="s">
        <v>2208</v>
      </c>
      <c r="L878" s="7"/>
    </row>
    <row r="879" spans="1:12" x14ac:dyDescent="0.2">
      <c r="A879" s="7"/>
      <c r="B879" s="7"/>
      <c r="C879" s="7"/>
      <c r="D879" s="7"/>
      <c r="E879" s="7">
        <v>611403</v>
      </c>
      <c r="F879" s="7"/>
      <c r="G879" s="7" t="s">
        <v>768</v>
      </c>
      <c r="H879" s="7"/>
      <c r="I879" s="27" t="s">
        <v>616</v>
      </c>
      <c r="J879" s="7"/>
      <c r="K879" s="27" t="s">
        <v>2208</v>
      </c>
      <c r="L879" s="7"/>
    </row>
    <row r="880" spans="1:12" x14ac:dyDescent="0.2">
      <c r="A880" s="7"/>
      <c r="B880" s="7"/>
      <c r="C880" s="7"/>
      <c r="D880" s="7"/>
      <c r="E880" s="7">
        <v>611410</v>
      </c>
      <c r="F880" s="7"/>
      <c r="G880" s="7" t="s">
        <v>769</v>
      </c>
      <c r="H880" s="7"/>
      <c r="I880" s="27" t="s">
        <v>133</v>
      </c>
      <c r="J880" s="7"/>
      <c r="K880" s="27" t="s">
        <v>2208</v>
      </c>
      <c r="L880" s="7"/>
    </row>
    <row r="881" spans="1:12" x14ac:dyDescent="0.2">
      <c r="A881" s="7"/>
      <c r="B881" s="7"/>
      <c r="C881" s="7"/>
      <c r="D881" s="7"/>
      <c r="E881" s="7">
        <v>611411</v>
      </c>
      <c r="F881" s="7"/>
      <c r="G881" s="7" t="s">
        <v>770</v>
      </c>
      <c r="H881" s="7"/>
      <c r="I881" s="27" t="s">
        <v>133</v>
      </c>
      <c r="J881" s="7"/>
      <c r="K881" s="27" t="s">
        <v>2208</v>
      </c>
      <c r="L881" s="7"/>
    </row>
    <row r="882" spans="1:12" x14ac:dyDescent="0.2">
      <c r="A882" s="7"/>
      <c r="B882" s="7"/>
      <c r="C882" s="7"/>
      <c r="D882" s="7"/>
      <c r="E882" s="7">
        <v>611412</v>
      </c>
      <c r="F882" s="7"/>
      <c r="G882" s="7" t="s">
        <v>771</v>
      </c>
      <c r="H882" s="7"/>
      <c r="I882" s="27" t="s">
        <v>133</v>
      </c>
      <c r="J882" s="7"/>
      <c r="K882" s="27" t="s">
        <v>2208</v>
      </c>
      <c r="L882" s="7"/>
    </row>
    <row r="883" spans="1:12" x14ac:dyDescent="0.2">
      <c r="A883" s="7"/>
      <c r="B883" s="7"/>
      <c r="C883" s="7"/>
      <c r="D883" s="7"/>
      <c r="E883" s="7">
        <v>611413</v>
      </c>
      <c r="F883" s="7"/>
      <c r="G883" s="7" t="s">
        <v>772</v>
      </c>
      <c r="H883" s="7"/>
      <c r="I883" s="27" t="s">
        <v>133</v>
      </c>
      <c r="J883" s="7"/>
      <c r="K883" s="27" t="s">
        <v>2208</v>
      </c>
      <c r="L883" s="7"/>
    </row>
    <row r="884" spans="1:12" x14ac:dyDescent="0.2">
      <c r="A884" s="7"/>
      <c r="B884" s="7"/>
      <c r="C884" s="7"/>
      <c r="D884" s="7"/>
      <c r="E884" s="7">
        <v>611420</v>
      </c>
      <c r="F884" s="7"/>
      <c r="G884" s="7" t="s">
        <v>773</v>
      </c>
      <c r="H884" s="7"/>
      <c r="I884" s="27" t="s">
        <v>133</v>
      </c>
      <c r="J884" s="7"/>
      <c r="K884" s="27" t="s">
        <v>2208</v>
      </c>
      <c r="L884" s="7"/>
    </row>
    <row r="885" spans="1:12" x14ac:dyDescent="0.2">
      <c r="A885" s="7"/>
      <c r="B885" s="7"/>
      <c r="C885" s="7"/>
      <c r="D885" s="7"/>
      <c r="E885" s="7">
        <v>611421</v>
      </c>
      <c r="F885" s="7"/>
      <c r="G885" s="7" t="s">
        <v>774</v>
      </c>
      <c r="H885" s="7"/>
      <c r="I885" s="27" t="s">
        <v>133</v>
      </c>
      <c r="J885" s="7"/>
      <c r="K885" s="27" t="s">
        <v>2208</v>
      </c>
      <c r="L885" s="7"/>
    </row>
    <row r="886" spans="1:12" x14ac:dyDescent="0.2">
      <c r="A886" s="7"/>
      <c r="B886" s="7"/>
      <c r="C886" s="7"/>
      <c r="D886" s="7"/>
      <c r="E886" s="7">
        <v>611422</v>
      </c>
      <c r="F886" s="7"/>
      <c r="G886" s="7" t="s">
        <v>775</v>
      </c>
      <c r="H886" s="7"/>
      <c r="I886" s="27" t="s">
        <v>47</v>
      </c>
      <c r="J886" s="7"/>
      <c r="K886" s="27" t="s">
        <v>2208</v>
      </c>
      <c r="L886" s="7"/>
    </row>
    <row r="887" spans="1:12" x14ac:dyDescent="0.2">
      <c r="A887" s="7"/>
      <c r="B887" s="7"/>
      <c r="C887" s="7"/>
      <c r="D887" s="7"/>
      <c r="E887" s="7">
        <v>611423</v>
      </c>
      <c r="F887" s="7"/>
      <c r="G887" s="7" t="s">
        <v>776</v>
      </c>
      <c r="H887" s="7"/>
      <c r="I887" s="27" t="s">
        <v>47</v>
      </c>
      <c r="J887" s="7"/>
      <c r="K887" s="27" t="s">
        <v>2208</v>
      </c>
      <c r="L887" s="7"/>
    </row>
    <row r="888" spans="1:12" x14ac:dyDescent="0.2">
      <c r="A888" s="7"/>
      <c r="B888" s="7"/>
      <c r="C888" s="7"/>
      <c r="D888" s="7"/>
      <c r="E888" s="7">
        <v>611424</v>
      </c>
      <c r="F888" s="7"/>
      <c r="G888" s="7" t="s">
        <v>777</v>
      </c>
      <c r="H888" s="7"/>
      <c r="I888" s="27" t="s">
        <v>47</v>
      </c>
      <c r="J888" s="7"/>
      <c r="K888" s="27" t="s">
        <v>2208</v>
      </c>
      <c r="L888" s="7"/>
    </row>
    <row r="889" spans="1:12" x14ac:dyDescent="0.2">
      <c r="A889" s="7"/>
      <c r="B889" s="7"/>
      <c r="C889" s="7"/>
      <c r="D889" s="7"/>
      <c r="E889" s="7">
        <v>611425</v>
      </c>
      <c r="F889" s="7"/>
      <c r="G889" s="7" t="s">
        <v>778</v>
      </c>
      <c r="H889" s="7"/>
      <c r="I889" s="27" t="s">
        <v>47</v>
      </c>
      <c r="J889" s="7"/>
      <c r="K889" s="27" t="s">
        <v>2208</v>
      </c>
      <c r="L889" s="7"/>
    </row>
    <row r="890" spans="1:12" x14ac:dyDescent="0.2">
      <c r="A890" s="7"/>
      <c r="B890" s="7"/>
      <c r="C890" s="7"/>
      <c r="D890" s="7"/>
      <c r="E890" s="7">
        <v>611426</v>
      </c>
      <c r="F890" s="7"/>
      <c r="G890" s="7" t="s">
        <v>779</v>
      </c>
      <c r="H890" s="7"/>
      <c r="I890" s="27" t="s">
        <v>47</v>
      </c>
      <c r="J890" s="7"/>
      <c r="K890" s="27" t="s">
        <v>2208</v>
      </c>
      <c r="L890" s="7"/>
    </row>
    <row r="891" spans="1:12" x14ac:dyDescent="0.2">
      <c r="A891" s="7"/>
      <c r="B891" s="7"/>
      <c r="C891" s="7"/>
      <c r="D891" s="7"/>
      <c r="E891" s="7">
        <v>611427</v>
      </c>
      <c r="F891" s="7"/>
      <c r="G891" s="7" t="s">
        <v>780</v>
      </c>
      <c r="H891" s="7"/>
      <c r="I891" s="27" t="s">
        <v>47</v>
      </c>
      <c r="J891" s="7"/>
      <c r="K891" s="27" t="s">
        <v>2208</v>
      </c>
      <c r="L891" s="7"/>
    </row>
    <row r="892" spans="1:12" x14ac:dyDescent="0.2">
      <c r="A892" s="7"/>
      <c r="B892" s="7"/>
      <c r="C892" s="7"/>
      <c r="D892" s="7"/>
      <c r="E892" s="7">
        <v>611428</v>
      </c>
      <c r="F892" s="7"/>
      <c r="G892" s="7" t="s">
        <v>781</v>
      </c>
      <c r="H892" s="7"/>
      <c r="I892" s="27" t="s">
        <v>133</v>
      </c>
      <c r="J892" s="7"/>
      <c r="K892" s="27" t="s">
        <v>2208</v>
      </c>
      <c r="L892" s="7"/>
    </row>
    <row r="893" spans="1:12" x14ac:dyDescent="0.2">
      <c r="A893" s="7"/>
      <c r="B893" s="7"/>
      <c r="C893" s="7"/>
      <c r="D893" s="7"/>
      <c r="E893" s="7">
        <v>611429</v>
      </c>
      <c r="F893" s="7"/>
      <c r="G893" s="7" t="s">
        <v>782</v>
      </c>
      <c r="H893" s="7"/>
      <c r="I893" s="27" t="s">
        <v>133</v>
      </c>
      <c r="J893" s="7"/>
      <c r="K893" s="27" t="s">
        <v>2208</v>
      </c>
      <c r="L893" s="7"/>
    </row>
    <row r="894" spans="1:12" x14ac:dyDescent="0.2">
      <c r="A894" s="7"/>
      <c r="B894" s="7"/>
      <c r="C894" s="7"/>
      <c r="D894" s="7"/>
      <c r="E894" s="7">
        <v>611430</v>
      </c>
      <c r="F894" s="7"/>
      <c r="G894" s="7" t="s">
        <v>783</v>
      </c>
      <c r="H894" s="7"/>
      <c r="I894" s="27" t="s">
        <v>133</v>
      </c>
      <c r="J894" s="7"/>
      <c r="K894" s="27" t="s">
        <v>2208</v>
      </c>
      <c r="L894" s="7"/>
    </row>
    <row r="895" spans="1:12" x14ac:dyDescent="0.2">
      <c r="A895" s="7"/>
      <c r="B895" s="7"/>
      <c r="C895" s="7"/>
      <c r="D895" s="7"/>
      <c r="E895" s="7">
        <v>611431</v>
      </c>
      <c r="F895" s="7"/>
      <c r="G895" s="7" t="s">
        <v>784</v>
      </c>
      <c r="H895" s="7"/>
      <c r="I895" s="27" t="s">
        <v>47</v>
      </c>
      <c r="J895" s="7"/>
      <c r="K895" s="27" t="s">
        <v>2208</v>
      </c>
      <c r="L895" s="7"/>
    </row>
    <row r="896" spans="1:12" x14ac:dyDescent="0.2">
      <c r="A896" s="7"/>
      <c r="B896" s="7"/>
      <c r="C896" s="7"/>
      <c r="D896" s="7"/>
      <c r="E896" s="7">
        <v>611440</v>
      </c>
      <c r="F896" s="7"/>
      <c r="G896" s="7" t="s">
        <v>785</v>
      </c>
      <c r="H896" s="7"/>
      <c r="I896" s="27" t="s">
        <v>133</v>
      </c>
      <c r="J896" s="7"/>
      <c r="K896" s="27" t="s">
        <v>2208</v>
      </c>
      <c r="L896" s="7"/>
    </row>
    <row r="897" spans="1:12" x14ac:dyDescent="0.2">
      <c r="A897" s="7"/>
      <c r="B897" s="7"/>
      <c r="C897" s="7"/>
      <c r="D897" s="7"/>
      <c r="E897" s="7">
        <v>611441</v>
      </c>
      <c r="F897" s="7"/>
      <c r="G897" s="7" t="s">
        <v>786</v>
      </c>
      <c r="H897" s="7"/>
      <c r="I897" s="27" t="s">
        <v>133</v>
      </c>
      <c r="J897" s="7"/>
      <c r="K897" s="27" t="s">
        <v>2208</v>
      </c>
      <c r="L897" s="7"/>
    </row>
    <row r="898" spans="1:12" x14ac:dyDescent="0.2">
      <c r="A898" s="7"/>
      <c r="B898" s="7"/>
      <c r="C898" s="7"/>
      <c r="D898" s="7"/>
      <c r="E898" s="7">
        <v>611445</v>
      </c>
      <c r="F898" s="7"/>
      <c r="G898" s="7" t="s">
        <v>787</v>
      </c>
      <c r="H898" s="7"/>
      <c r="I898" s="27" t="s">
        <v>133</v>
      </c>
      <c r="J898" s="7"/>
      <c r="K898" s="27" t="s">
        <v>2208</v>
      </c>
      <c r="L898" s="7"/>
    </row>
    <row r="899" spans="1:12" x14ac:dyDescent="0.2">
      <c r="A899" s="7"/>
      <c r="B899" s="7"/>
      <c r="C899" s="7"/>
      <c r="D899" s="7"/>
      <c r="E899" s="7">
        <v>611446</v>
      </c>
      <c r="F899" s="7"/>
      <c r="G899" s="7" t="s">
        <v>788</v>
      </c>
      <c r="H899" s="7"/>
      <c r="I899" s="27" t="s">
        <v>133</v>
      </c>
      <c r="J899" s="7"/>
      <c r="K899" s="27" t="s">
        <v>2208</v>
      </c>
      <c r="L899" s="7"/>
    </row>
    <row r="900" spans="1:12" x14ac:dyDescent="0.2">
      <c r="A900" s="7"/>
      <c r="B900" s="7"/>
      <c r="C900" s="7"/>
      <c r="D900" s="7"/>
      <c r="E900" s="7">
        <v>611447</v>
      </c>
      <c r="F900" s="7"/>
      <c r="G900" s="7" t="s">
        <v>789</v>
      </c>
      <c r="H900" s="7"/>
      <c r="I900" s="27" t="s">
        <v>133</v>
      </c>
      <c r="J900" s="7"/>
      <c r="K900" s="27" t="s">
        <v>2208</v>
      </c>
      <c r="L900" s="7"/>
    </row>
    <row r="901" spans="1:12" x14ac:dyDescent="0.2">
      <c r="A901" s="7"/>
      <c r="B901" s="7"/>
      <c r="C901" s="7"/>
      <c r="D901" s="7"/>
      <c r="E901" s="7">
        <v>611448</v>
      </c>
      <c r="F901" s="7"/>
      <c r="G901" s="7" t="s">
        <v>790</v>
      </c>
      <c r="H901" s="7"/>
      <c r="I901" s="27" t="s">
        <v>133</v>
      </c>
      <c r="J901" s="7"/>
      <c r="K901" s="27" t="s">
        <v>2208</v>
      </c>
      <c r="L901" s="7"/>
    </row>
    <row r="902" spans="1:12" x14ac:dyDescent="0.2">
      <c r="A902" s="7"/>
      <c r="B902" s="7"/>
      <c r="C902" s="7"/>
      <c r="D902" s="7"/>
      <c r="E902" s="7">
        <v>611450</v>
      </c>
      <c r="F902" s="7"/>
      <c r="G902" s="7" t="s">
        <v>791</v>
      </c>
      <c r="H902" s="7"/>
      <c r="I902" s="27" t="s">
        <v>133</v>
      </c>
      <c r="J902" s="7"/>
      <c r="K902" s="27" t="s">
        <v>2208</v>
      </c>
      <c r="L902" s="7"/>
    </row>
    <row r="903" spans="1:12" x14ac:dyDescent="0.2">
      <c r="A903" s="7"/>
      <c r="B903" s="7"/>
      <c r="C903" s="7"/>
      <c r="D903" s="7"/>
      <c r="E903" s="7">
        <v>611451</v>
      </c>
      <c r="F903" s="7"/>
      <c r="G903" s="7" t="s">
        <v>792</v>
      </c>
      <c r="H903" s="7"/>
      <c r="I903" s="27" t="s">
        <v>133</v>
      </c>
      <c r="J903" s="7"/>
      <c r="K903" s="27" t="s">
        <v>2208</v>
      </c>
      <c r="L903" s="7"/>
    </row>
    <row r="904" spans="1:12" x14ac:dyDescent="0.2">
      <c r="A904" s="7"/>
      <c r="B904" s="7"/>
      <c r="C904" s="7"/>
      <c r="D904" s="7"/>
      <c r="E904" s="7">
        <v>611455</v>
      </c>
      <c r="F904" s="7"/>
      <c r="G904" s="7" t="s">
        <v>793</v>
      </c>
      <c r="H904" s="7"/>
      <c r="I904" s="27" t="s">
        <v>133</v>
      </c>
      <c r="J904" s="7"/>
      <c r="K904" s="27" t="s">
        <v>2208</v>
      </c>
      <c r="L904" s="7"/>
    </row>
    <row r="905" spans="1:12" x14ac:dyDescent="0.2">
      <c r="A905" s="7"/>
      <c r="B905" s="7"/>
      <c r="C905" s="7"/>
      <c r="D905" s="7"/>
      <c r="E905" s="7">
        <v>611456</v>
      </c>
      <c r="F905" s="7"/>
      <c r="G905" s="7" t="s">
        <v>791</v>
      </c>
      <c r="H905" s="7"/>
      <c r="I905" s="27" t="s">
        <v>133</v>
      </c>
      <c r="J905" s="7"/>
      <c r="K905" s="27" t="s">
        <v>2208</v>
      </c>
      <c r="L905" s="7"/>
    </row>
    <row r="906" spans="1:12" x14ac:dyDescent="0.2">
      <c r="A906" s="7"/>
      <c r="B906" s="7"/>
      <c r="C906" s="7"/>
      <c r="D906" s="7"/>
      <c r="E906" s="7">
        <v>611457</v>
      </c>
      <c r="F906" s="7"/>
      <c r="G906" s="7" t="s">
        <v>794</v>
      </c>
      <c r="H906" s="7"/>
      <c r="I906" s="27" t="s">
        <v>133</v>
      </c>
      <c r="J906" s="7"/>
      <c r="K906" s="27" t="s">
        <v>2208</v>
      </c>
      <c r="L906" s="7"/>
    </row>
    <row r="907" spans="1:12" x14ac:dyDescent="0.2">
      <c r="A907" s="7"/>
      <c r="B907" s="7"/>
      <c r="C907" s="7"/>
      <c r="D907" s="7"/>
      <c r="E907" s="7">
        <v>611458</v>
      </c>
      <c r="F907" s="7"/>
      <c r="G907" s="7" t="s">
        <v>795</v>
      </c>
      <c r="H907" s="7"/>
      <c r="I907" s="27" t="s">
        <v>133</v>
      </c>
      <c r="J907" s="7"/>
      <c r="K907" s="27" t="s">
        <v>2208</v>
      </c>
      <c r="L907" s="7"/>
    </row>
    <row r="908" spans="1:12" x14ac:dyDescent="0.2">
      <c r="A908" s="7"/>
      <c r="B908" s="7"/>
      <c r="C908" s="7"/>
      <c r="D908" s="7"/>
      <c r="E908" s="7">
        <v>611460</v>
      </c>
      <c r="F908" s="7"/>
      <c r="G908" s="7" t="s">
        <v>796</v>
      </c>
      <c r="H908" s="7"/>
      <c r="I908" s="27" t="s">
        <v>133</v>
      </c>
      <c r="J908" s="7"/>
      <c r="K908" s="27" t="s">
        <v>2208</v>
      </c>
      <c r="L908" s="7"/>
    </row>
    <row r="909" spans="1:12" x14ac:dyDescent="0.2">
      <c r="A909" s="7"/>
      <c r="B909" s="7"/>
      <c r="C909" s="7"/>
      <c r="D909" s="7"/>
      <c r="E909" s="7">
        <v>611461</v>
      </c>
      <c r="F909" s="7"/>
      <c r="G909" s="7" t="s">
        <v>797</v>
      </c>
      <c r="H909" s="7"/>
      <c r="I909" s="27" t="s">
        <v>133</v>
      </c>
      <c r="J909" s="7"/>
      <c r="K909" s="27" t="s">
        <v>2208</v>
      </c>
      <c r="L909" s="7"/>
    </row>
    <row r="910" spans="1:12" x14ac:dyDescent="0.2">
      <c r="A910" s="7"/>
      <c r="B910" s="7"/>
      <c r="C910" s="7"/>
      <c r="D910" s="7"/>
      <c r="E910" s="7">
        <v>611462</v>
      </c>
      <c r="F910" s="7"/>
      <c r="G910" s="7" t="s">
        <v>798</v>
      </c>
      <c r="H910" s="7"/>
      <c r="I910" s="27" t="s">
        <v>133</v>
      </c>
      <c r="J910" s="7"/>
      <c r="K910" s="27" t="s">
        <v>2208</v>
      </c>
      <c r="L910" s="7"/>
    </row>
    <row r="911" spans="1:12" x14ac:dyDescent="0.2">
      <c r="A911" s="7"/>
      <c r="B911" s="7"/>
      <c r="C911" s="7"/>
      <c r="D911" s="7"/>
      <c r="E911" s="7">
        <v>611463</v>
      </c>
      <c r="F911" s="7"/>
      <c r="G911" s="7" t="s">
        <v>799</v>
      </c>
      <c r="H911" s="7"/>
      <c r="I911" s="27" t="s">
        <v>133</v>
      </c>
      <c r="J911" s="7"/>
      <c r="K911" s="27" t="s">
        <v>2208</v>
      </c>
      <c r="L911" s="7"/>
    </row>
    <row r="912" spans="1:12" x14ac:dyDescent="0.2">
      <c r="A912" s="7"/>
      <c r="B912" s="7"/>
      <c r="C912" s="7"/>
      <c r="D912" s="7"/>
      <c r="E912" s="7">
        <v>611465</v>
      </c>
      <c r="F912" s="7"/>
      <c r="G912" s="7" t="s">
        <v>800</v>
      </c>
      <c r="H912" s="7"/>
      <c r="I912" s="27" t="s">
        <v>133</v>
      </c>
      <c r="J912" s="7"/>
      <c r="K912" s="27" t="s">
        <v>2208</v>
      </c>
      <c r="L912" s="7"/>
    </row>
    <row r="913" spans="1:12" x14ac:dyDescent="0.2">
      <c r="A913" s="7"/>
      <c r="B913" s="7"/>
      <c r="C913" s="7"/>
      <c r="D913" s="7"/>
      <c r="E913" s="7">
        <v>611470</v>
      </c>
      <c r="F913" s="7"/>
      <c r="G913" s="7" t="s">
        <v>801</v>
      </c>
      <c r="H913" s="7"/>
      <c r="I913" s="27" t="s">
        <v>133</v>
      </c>
      <c r="J913" s="7"/>
      <c r="K913" s="27" t="s">
        <v>2208</v>
      </c>
      <c r="L913" s="7"/>
    </row>
    <row r="914" spans="1:12" x14ac:dyDescent="0.2">
      <c r="A914" s="7"/>
      <c r="B914" s="7"/>
      <c r="C914" s="7"/>
      <c r="D914" s="7"/>
      <c r="E914" s="7">
        <v>611471</v>
      </c>
      <c r="F914" s="7"/>
      <c r="G914" s="7" t="s">
        <v>802</v>
      </c>
      <c r="H914" s="7"/>
      <c r="I914" s="27" t="s">
        <v>133</v>
      </c>
      <c r="J914" s="7"/>
      <c r="K914" s="27" t="s">
        <v>2208</v>
      </c>
      <c r="L914" s="7"/>
    </row>
    <row r="915" spans="1:12" x14ac:dyDescent="0.2">
      <c r="A915" s="7"/>
      <c r="B915" s="7"/>
      <c r="C915" s="7"/>
      <c r="D915" s="7"/>
      <c r="E915" s="7">
        <v>611472</v>
      </c>
      <c r="F915" s="7"/>
      <c r="G915" s="7" t="s">
        <v>803</v>
      </c>
      <c r="H915" s="7"/>
      <c r="I915" s="27" t="s">
        <v>133</v>
      </c>
      <c r="J915" s="7"/>
      <c r="K915" s="27" t="s">
        <v>2208</v>
      </c>
      <c r="L915" s="7"/>
    </row>
    <row r="916" spans="1:12" x14ac:dyDescent="0.2">
      <c r="A916" s="7"/>
      <c r="B916" s="7"/>
      <c r="C916" s="7"/>
      <c r="D916" s="7"/>
      <c r="E916" s="7">
        <v>611473</v>
      </c>
      <c r="F916" s="7"/>
      <c r="G916" s="7" t="s">
        <v>804</v>
      </c>
      <c r="H916" s="7"/>
      <c r="I916" s="27" t="s">
        <v>133</v>
      </c>
      <c r="J916" s="7"/>
      <c r="K916" s="27" t="s">
        <v>2208</v>
      </c>
      <c r="L916" s="7"/>
    </row>
    <row r="917" spans="1:12" x14ac:dyDescent="0.2">
      <c r="A917" s="7"/>
      <c r="B917" s="7"/>
      <c r="C917" s="7"/>
      <c r="D917" s="7"/>
      <c r="E917" s="7">
        <v>611480</v>
      </c>
      <c r="F917" s="7"/>
      <c r="G917" s="7" t="s">
        <v>805</v>
      </c>
      <c r="H917" s="7"/>
      <c r="I917" s="27" t="s">
        <v>133</v>
      </c>
      <c r="J917" s="7"/>
      <c r="K917" s="27" t="s">
        <v>2208</v>
      </c>
      <c r="L917" s="7"/>
    </row>
    <row r="918" spans="1:12" x14ac:dyDescent="0.2">
      <c r="A918" s="7"/>
      <c r="B918" s="7"/>
      <c r="C918" s="7"/>
      <c r="D918" s="7"/>
      <c r="E918" s="7">
        <v>611481</v>
      </c>
      <c r="F918" s="7"/>
      <c r="G918" s="7" t="s">
        <v>806</v>
      </c>
      <c r="H918" s="7"/>
      <c r="I918" s="27" t="s">
        <v>133</v>
      </c>
      <c r="J918" s="7"/>
      <c r="K918" s="27" t="s">
        <v>2208</v>
      </c>
      <c r="L918" s="7"/>
    </row>
    <row r="919" spans="1:12" x14ac:dyDescent="0.2">
      <c r="A919" s="7"/>
      <c r="B919" s="7"/>
      <c r="C919" s="7"/>
      <c r="D919" s="7"/>
      <c r="E919" s="7">
        <v>611482</v>
      </c>
      <c r="F919" s="7"/>
      <c r="G919" s="7" t="s">
        <v>807</v>
      </c>
      <c r="H919" s="7"/>
      <c r="I919" s="27" t="s">
        <v>133</v>
      </c>
      <c r="J919" s="7"/>
      <c r="K919" s="27" t="s">
        <v>2208</v>
      </c>
      <c r="L919" s="7"/>
    </row>
    <row r="920" spans="1:12" x14ac:dyDescent="0.2">
      <c r="A920" s="7"/>
      <c r="B920" s="7"/>
      <c r="C920" s="7"/>
      <c r="D920" s="7"/>
      <c r="E920" s="7">
        <v>611483</v>
      </c>
      <c r="F920" s="7"/>
      <c r="G920" s="7" t="s">
        <v>808</v>
      </c>
      <c r="H920" s="7"/>
      <c r="I920" s="27" t="s">
        <v>133</v>
      </c>
      <c r="J920" s="7"/>
      <c r="K920" s="27" t="s">
        <v>2208</v>
      </c>
      <c r="L920" s="7"/>
    </row>
    <row r="921" spans="1:12" x14ac:dyDescent="0.2">
      <c r="A921" s="7"/>
      <c r="B921" s="7"/>
      <c r="C921" s="7"/>
      <c r="D921" s="7"/>
      <c r="E921" s="7">
        <v>611484</v>
      </c>
      <c r="F921" s="7"/>
      <c r="G921" s="7" t="s">
        <v>809</v>
      </c>
      <c r="H921" s="7"/>
      <c r="I921" s="27" t="s">
        <v>133</v>
      </c>
      <c r="J921" s="7"/>
      <c r="K921" s="27" t="s">
        <v>2208</v>
      </c>
      <c r="L921" s="7"/>
    </row>
    <row r="922" spans="1:12" x14ac:dyDescent="0.2">
      <c r="A922" s="7"/>
      <c r="B922" s="7"/>
      <c r="C922" s="7"/>
      <c r="D922" s="7"/>
      <c r="E922" s="7">
        <v>611485</v>
      </c>
      <c r="F922" s="7"/>
      <c r="G922" s="7" t="s">
        <v>810</v>
      </c>
      <c r="H922" s="7"/>
      <c r="I922" s="27" t="s">
        <v>133</v>
      </c>
      <c r="J922" s="7"/>
      <c r="K922" s="27" t="s">
        <v>2208</v>
      </c>
      <c r="L922" s="7"/>
    </row>
    <row r="923" spans="1:12" x14ac:dyDescent="0.2">
      <c r="A923" s="7"/>
      <c r="B923" s="7"/>
      <c r="C923" s="7"/>
      <c r="D923" s="7"/>
      <c r="E923" s="7">
        <v>611486</v>
      </c>
      <c r="F923" s="7"/>
      <c r="G923" s="7" t="s">
        <v>811</v>
      </c>
      <c r="H923" s="7"/>
      <c r="I923" s="27" t="s">
        <v>133</v>
      </c>
      <c r="J923" s="7"/>
      <c r="K923" s="27" t="s">
        <v>2208</v>
      </c>
      <c r="L923" s="7"/>
    </row>
    <row r="924" spans="1:12" x14ac:dyDescent="0.2">
      <c r="A924" s="7"/>
      <c r="B924" s="7"/>
      <c r="C924" s="7"/>
      <c r="D924" s="7"/>
      <c r="E924" s="7">
        <v>611487</v>
      </c>
      <c r="F924" s="7"/>
      <c r="G924" s="7" t="s">
        <v>812</v>
      </c>
      <c r="H924" s="7"/>
      <c r="I924" s="27" t="s">
        <v>133</v>
      </c>
      <c r="J924" s="7"/>
      <c r="K924" s="27" t="s">
        <v>2208</v>
      </c>
      <c r="L924" s="7"/>
    </row>
    <row r="925" spans="1:12" x14ac:dyDescent="0.2">
      <c r="A925" s="7"/>
      <c r="B925" s="7"/>
      <c r="C925" s="7"/>
      <c r="D925" s="7"/>
      <c r="E925" s="7">
        <v>611488</v>
      </c>
      <c r="F925" s="7"/>
      <c r="G925" s="7" t="s">
        <v>813</v>
      </c>
      <c r="H925" s="7"/>
      <c r="I925" s="27" t="s">
        <v>133</v>
      </c>
      <c r="J925" s="7"/>
      <c r="K925" s="27" t="s">
        <v>2208</v>
      </c>
      <c r="L925" s="7"/>
    </row>
    <row r="926" spans="1:12" x14ac:dyDescent="0.2">
      <c r="A926" s="7"/>
      <c r="B926" s="7"/>
      <c r="C926" s="7"/>
      <c r="D926" s="7"/>
      <c r="E926" s="7">
        <v>611489</v>
      </c>
      <c r="F926" s="7"/>
      <c r="G926" s="7" t="s">
        <v>814</v>
      </c>
      <c r="H926" s="7"/>
      <c r="I926" s="27" t="s">
        <v>133</v>
      </c>
      <c r="J926" s="7"/>
      <c r="K926" s="27" t="s">
        <v>2208</v>
      </c>
      <c r="L926" s="7"/>
    </row>
    <row r="927" spans="1:12" x14ac:dyDescent="0.2">
      <c r="A927" s="7"/>
      <c r="B927" s="7"/>
      <c r="C927" s="7"/>
      <c r="D927" s="7"/>
      <c r="E927" s="7">
        <v>611490</v>
      </c>
      <c r="F927" s="7"/>
      <c r="G927" s="7" t="s">
        <v>815</v>
      </c>
      <c r="H927" s="7"/>
      <c r="I927" s="27" t="s">
        <v>47</v>
      </c>
      <c r="J927" s="7"/>
      <c r="K927" s="27" t="s">
        <v>2208</v>
      </c>
      <c r="L927" s="7"/>
    </row>
    <row r="928" spans="1:12" x14ac:dyDescent="0.2">
      <c r="A928" s="7"/>
      <c r="B928" s="7"/>
      <c r="C928" s="7"/>
      <c r="D928" s="7"/>
      <c r="E928" s="7">
        <v>611491</v>
      </c>
      <c r="F928" s="7"/>
      <c r="G928" s="7" t="s">
        <v>816</v>
      </c>
      <c r="H928" s="7"/>
      <c r="I928" s="27" t="s">
        <v>47</v>
      </c>
      <c r="J928" s="7"/>
      <c r="K928" s="27" t="s">
        <v>2208</v>
      </c>
      <c r="L928" s="7"/>
    </row>
    <row r="929" spans="1:12" x14ac:dyDescent="0.2">
      <c r="A929" s="7"/>
      <c r="B929" s="7"/>
      <c r="C929" s="7"/>
      <c r="D929" s="7"/>
      <c r="E929" s="7">
        <v>611492</v>
      </c>
      <c r="F929" s="7"/>
      <c r="G929" s="7" t="s">
        <v>817</v>
      </c>
      <c r="H929" s="7"/>
      <c r="I929" s="27" t="s">
        <v>47</v>
      </c>
      <c r="J929" s="7"/>
      <c r="K929" s="27" t="s">
        <v>2208</v>
      </c>
      <c r="L929" s="7"/>
    </row>
    <row r="930" spans="1:12" x14ac:dyDescent="0.2">
      <c r="A930" s="7"/>
      <c r="B930" s="7"/>
      <c r="C930" s="7"/>
      <c r="D930" s="7"/>
      <c r="E930" s="7">
        <v>611493</v>
      </c>
      <c r="F930" s="7"/>
      <c r="G930" s="7" t="s">
        <v>818</v>
      </c>
      <c r="H930" s="7"/>
      <c r="I930" s="27" t="s">
        <v>47</v>
      </c>
      <c r="J930" s="7"/>
      <c r="K930" s="27" t="s">
        <v>2208</v>
      </c>
      <c r="L930" s="7"/>
    </row>
    <row r="931" spans="1:12" x14ac:dyDescent="0.2">
      <c r="A931" s="7"/>
      <c r="B931" s="7"/>
      <c r="C931" s="7"/>
      <c r="D931" s="7"/>
      <c r="E931" s="7">
        <v>611494</v>
      </c>
      <c r="F931" s="7"/>
      <c r="G931" s="7" t="s">
        <v>819</v>
      </c>
      <c r="H931" s="7"/>
      <c r="I931" s="27" t="s">
        <v>47</v>
      </c>
      <c r="J931" s="7"/>
      <c r="K931" s="27" t="s">
        <v>2208</v>
      </c>
      <c r="L931" s="7"/>
    </row>
    <row r="932" spans="1:12" x14ac:dyDescent="0.2">
      <c r="A932" s="7"/>
      <c r="B932" s="7"/>
      <c r="C932" s="7"/>
      <c r="D932" s="7"/>
      <c r="E932" s="7">
        <v>611495</v>
      </c>
      <c r="F932" s="7"/>
      <c r="G932" s="7" t="s">
        <v>820</v>
      </c>
      <c r="H932" s="7"/>
      <c r="I932" s="27" t="s">
        <v>133</v>
      </c>
      <c r="J932" s="7"/>
      <c r="K932" s="27" t="s">
        <v>2208</v>
      </c>
      <c r="L932" s="7"/>
    </row>
    <row r="933" spans="1:12" x14ac:dyDescent="0.2">
      <c r="A933" s="7"/>
      <c r="B933" s="7"/>
      <c r="C933" s="7"/>
      <c r="D933" s="7"/>
      <c r="E933" s="7">
        <v>611496</v>
      </c>
      <c r="F933" s="7"/>
      <c r="G933" s="7" t="s">
        <v>821</v>
      </c>
      <c r="H933" s="7"/>
      <c r="I933" s="27" t="s">
        <v>133</v>
      </c>
      <c r="J933" s="7"/>
      <c r="K933" s="27" t="s">
        <v>2208</v>
      </c>
      <c r="L933" s="7"/>
    </row>
    <row r="934" spans="1:12" x14ac:dyDescent="0.2">
      <c r="A934" s="7"/>
      <c r="B934" s="7"/>
      <c r="C934" s="7"/>
      <c r="D934" s="7"/>
      <c r="E934" s="7">
        <v>611497</v>
      </c>
      <c r="F934" s="7"/>
      <c r="G934" s="7" t="s">
        <v>822</v>
      </c>
      <c r="H934" s="7"/>
      <c r="I934" s="27" t="s">
        <v>133</v>
      </c>
      <c r="J934" s="7"/>
      <c r="K934" s="27" t="s">
        <v>2208</v>
      </c>
      <c r="L934" s="7"/>
    </row>
    <row r="935" spans="1:12" x14ac:dyDescent="0.2">
      <c r="A935" s="7"/>
      <c r="B935" s="7"/>
      <c r="C935" s="7"/>
      <c r="D935" s="7"/>
      <c r="E935" s="7">
        <v>611498</v>
      </c>
      <c r="F935" s="7"/>
      <c r="G935" s="7" t="s">
        <v>823</v>
      </c>
      <c r="H935" s="7"/>
      <c r="I935" s="27" t="s">
        <v>133</v>
      </c>
      <c r="J935" s="7"/>
      <c r="K935" s="27" t="s">
        <v>2208</v>
      </c>
      <c r="L935" s="7"/>
    </row>
    <row r="936" spans="1:12" x14ac:dyDescent="0.2">
      <c r="A936" s="7"/>
      <c r="B936" s="7"/>
      <c r="C936" s="7"/>
      <c r="D936" s="7"/>
      <c r="E936" s="7">
        <v>611499</v>
      </c>
      <c r="F936" s="7"/>
      <c r="G936" s="7" t="s">
        <v>824</v>
      </c>
      <c r="H936" s="7"/>
      <c r="I936" s="27" t="s">
        <v>133</v>
      </c>
      <c r="J936" s="7"/>
      <c r="K936" s="27" t="s">
        <v>2208</v>
      </c>
      <c r="L936" s="7"/>
    </row>
    <row r="937" spans="1:12" x14ac:dyDescent="0.2">
      <c r="A937" s="7"/>
      <c r="B937" s="7"/>
      <c r="C937" s="7"/>
      <c r="D937" s="7"/>
      <c r="E937" s="7">
        <v>611510</v>
      </c>
      <c r="F937" s="7"/>
      <c r="G937" s="7" t="s">
        <v>825</v>
      </c>
      <c r="H937" s="7"/>
      <c r="I937" s="27" t="s">
        <v>133</v>
      </c>
      <c r="J937" s="7"/>
      <c r="K937" s="27" t="s">
        <v>2208</v>
      </c>
      <c r="L937" s="7"/>
    </row>
    <row r="938" spans="1:12" x14ac:dyDescent="0.2">
      <c r="A938" s="7"/>
      <c r="B938" s="7"/>
      <c r="C938" s="7"/>
      <c r="D938" s="7"/>
      <c r="E938" s="7">
        <v>611511</v>
      </c>
      <c r="F938" s="7"/>
      <c r="G938" s="7" t="s">
        <v>826</v>
      </c>
      <c r="H938" s="7"/>
      <c r="I938" s="27" t="s">
        <v>133</v>
      </c>
      <c r="J938" s="7"/>
      <c r="K938" s="27" t="s">
        <v>2208</v>
      </c>
      <c r="L938" s="7"/>
    </row>
    <row r="939" spans="1:12" x14ac:dyDescent="0.2">
      <c r="A939" s="7"/>
      <c r="B939" s="7"/>
      <c r="C939" s="7"/>
      <c r="D939" s="7"/>
      <c r="E939" s="7">
        <v>611520</v>
      </c>
      <c r="F939" s="7"/>
      <c r="G939" s="7" t="s">
        <v>827</v>
      </c>
      <c r="H939" s="7"/>
      <c r="I939" s="27" t="s">
        <v>133</v>
      </c>
      <c r="J939" s="7"/>
      <c r="K939" s="27" t="s">
        <v>2208</v>
      </c>
      <c r="L939" s="7"/>
    </row>
    <row r="940" spans="1:12" x14ac:dyDescent="0.2">
      <c r="A940" s="7"/>
      <c r="B940" s="7"/>
      <c r="C940" s="7"/>
      <c r="D940" s="7"/>
      <c r="E940" s="7">
        <v>611521</v>
      </c>
      <c r="F940" s="7"/>
      <c r="G940" s="7" t="s">
        <v>828</v>
      </c>
      <c r="H940" s="7"/>
      <c r="I940" s="27" t="s">
        <v>133</v>
      </c>
      <c r="J940" s="7"/>
      <c r="K940" s="27" t="s">
        <v>2208</v>
      </c>
      <c r="L940" s="7"/>
    </row>
    <row r="941" spans="1:12" x14ac:dyDescent="0.2">
      <c r="A941" s="7"/>
      <c r="B941" s="7"/>
      <c r="C941" s="7"/>
      <c r="D941" s="7"/>
      <c r="E941" s="7">
        <v>611530</v>
      </c>
      <c r="F941" s="7"/>
      <c r="G941" s="7" t="s">
        <v>829</v>
      </c>
      <c r="H941" s="7"/>
      <c r="I941" s="27" t="s">
        <v>133</v>
      </c>
      <c r="J941" s="7"/>
      <c r="K941" s="27" t="s">
        <v>2208</v>
      </c>
      <c r="L941" s="7"/>
    </row>
    <row r="942" spans="1:12" x14ac:dyDescent="0.2">
      <c r="A942" s="7"/>
      <c r="B942" s="7"/>
      <c r="C942" s="7"/>
      <c r="D942" s="7"/>
      <c r="E942" s="7">
        <v>611531</v>
      </c>
      <c r="F942" s="7"/>
      <c r="G942" s="7" t="s">
        <v>830</v>
      </c>
      <c r="H942" s="7"/>
      <c r="I942" s="27" t="s">
        <v>133</v>
      </c>
      <c r="J942" s="7"/>
      <c r="K942" s="27" t="s">
        <v>2208</v>
      </c>
      <c r="L942" s="7"/>
    </row>
    <row r="943" spans="1:12" x14ac:dyDescent="0.2">
      <c r="A943" s="7"/>
      <c r="B943" s="7"/>
      <c r="C943" s="7"/>
      <c r="D943" s="7"/>
      <c r="E943" s="7">
        <v>611532</v>
      </c>
      <c r="F943" s="7"/>
      <c r="G943" s="7" t="s">
        <v>831</v>
      </c>
      <c r="H943" s="7"/>
      <c r="I943" s="27" t="s">
        <v>133</v>
      </c>
      <c r="J943" s="7"/>
      <c r="K943" s="27" t="s">
        <v>2208</v>
      </c>
      <c r="L943" s="7"/>
    </row>
    <row r="944" spans="1:12" x14ac:dyDescent="0.2">
      <c r="A944" s="7"/>
      <c r="B944" s="7"/>
      <c r="C944" s="7"/>
      <c r="D944" s="7"/>
      <c r="E944" s="7">
        <v>611533</v>
      </c>
      <c r="F944" s="7"/>
      <c r="G944" s="7" t="s">
        <v>832</v>
      </c>
      <c r="H944" s="7"/>
      <c r="I944" s="27" t="s">
        <v>133</v>
      </c>
      <c r="J944" s="7"/>
      <c r="K944" s="27" t="s">
        <v>2208</v>
      </c>
      <c r="L944" s="7"/>
    </row>
    <row r="945" spans="1:12" x14ac:dyDescent="0.2">
      <c r="A945" s="7"/>
      <c r="B945" s="7"/>
      <c r="C945" s="7"/>
      <c r="D945" s="7"/>
      <c r="E945" s="7">
        <v>611534</v>
      </c>
      <c r="F945" s="7"/>
      <c r="G945" s="7" t="s">
        <v>833</v>
      </c>
      <c r="H945" s="7"/>
      <c r="I945" s="27" t="s">
        <v>47</v>
      </c>
      <c r="J945" s="7"/>
      <c r="K945" s="27" t="s">
        <v>2208</v>
      </c>
      <c r="L945" s="7"/>
    </row>
    <row r="946" spans="1:12" x14ac:dyDescent="0.2">
      <c r="A946" s="7"/>
      <c r="B946" s="7"/>
      <c r="C946" s="7"/>
      <c r="D946" s="7"/>
      <c r="E946" s="7">
        <v>611540</v>
      </c>
      <c r="F946" s="7"/>
      <c r="G946" s="7" t="s">
        <v>834</v>
      </c>
      <c r="H946" s="7"/>
      <c r="I946" s="27" t="s">
        <v>133</v>
      </c>
      <c r="J946" s="7"/>
      <c r="K946" s="27" t="s">
        <v>2208</v>
      </c>
      <c r="L946" s="7"/>
    </row>
    <row r="947" spans="1:12" x14ac:dyDescent="0.2">
      <c r="A947" s="7"/>
      <c r="B947" s="7"/>
      <c r="C947" s="7"/>
      <c r="D947" s="7"/>
      <c r="E947" s="7">
        <v>611541</v>
      </c>
      <c r="F947" s="7"/>
      <c r="G947" s="7" t="s">
        <v>835</v>
      </c>
      <c r="H947" s="7"/>
      <c r="I947" s="27" t="s">
        <v>133</v>
      </c>
      <c r="J947" s="7"/>
      <c r="K947" s="27" t="s">
        <v>2208</v>
      </c>
      <c r="L947" s="7"/>
    </row>
    <row r="948" spans="1:12" x14ac:dyDescent="0.2">
      <c r="A948" s="7"/>
      <c r="B948" s="7"/>
      <c r="C948" s="7"/>
      <c r="D948" s="7"/>
      <c r="E948" s="7">
        <v>611542</v>
      </c>
      <c r="F948" s="7"/>
      <c r="G948" s="7" t="s">
        <v>836</v>
      </c>
      <c r="H948" s="7"/>
      <c r="I948" s="27" t="s">
        <v>133</v>
      </c>
      <c r="J948" s="7"/>
      <c r="K948" s="27" t="s">
        <v>2208</v>
      </c>
      <c r="L948" s="7"/>
    </row>
    <row r="949" spans="1:12" x14ac:dyDescent="0.2">
      <c r="A949" s="7"/>
      <c r="B949" s="7"/>
      <c r="C949" s="7"/>
      <c r="D949" s="7"/>
      <c r="E949" s="7">
        <v>611543</v>
      </c>
      <c r="F949" s="7"/>
      <c r="G949" s="7" t="s">
        <v>837</v>
      </c>
      <c r="H949" s="7"/>
      <c r="I949" s="27" t="s">
        <v>133</v>
      </c>
      <c r="J949" s="7"/>
      <c r="K949" s="27" t="s">
        <v>2208</v>
      </c>
      <c r="L949" s="7"/>
    </row>
    <row r="950" spans="1:12" x14ac:dyDescent="0.2">
      <c r="A950" s="7"/>
      <c r="B950" s="7"/>
      <c r="C950" s="7"/>
      <c r="D950" s="7"/>
      <c r="E950" s="7">
        <v>611568</v>
      </c>
      <c r="F950" s="7"/>
      <c r="G950" s="7" t="s">
        <v>838</v>
      </c>
      <c r="H950" s="7"/>
      <c r="I950" s="27" t="s">
        <v>47</v>
      </c>
      <c r="J950" s="7"/>
      <c r="K950" s="27" t="s">
        <v>2208</v>
      </c>
      <c r="L950" s="7"/>
    </row>
    <row r="951" spans="1:12" x14ac:dyDescent="0.2">
      <c r="A951" s="7"/>
      <c r="B951" s="7"/>
      <c r="C951" s="7"/>
      <c r="D951" s="7"/>
      <c r="E951" s="7">
        <v>611575</v>
      </c>
      <c r="F951" s="7"/>
      <c r="G951" s="7" t="s">
        <v>839</v>
      </c>
      <c r="H951" s="7"/>
      <c r="I951" s="27" t="s">
        <v>133</v>
      </c>
      <c r="J951" s="7"/>
      <c r="K951" s="27" t="s">
        <v>2208</v>
      </c>
      <c r="L951" s="7"/>
    </row>
    <row r="952" spans="1:12" x14ac:dyDescent="0.2">
      <c r="A952" s="7"/>
      <c r="B952" s="7"/>
      <c r="C952" s="7"/>
      <c r="D952" s="7"/>
      <c r="E952" s="7">
        <v>611576</v>
      </c>
      <c r="F952" s="7"/>
      <c r="G952" s="7" t="s">
        <v>840</v>
      </c>
      <c r="H952" s="7"/>
      <c r="I952" s="27" t="s">
        <v>133</v>
      </c>
      <c r="J952" s="7"/>
      <c r="K952" s="27" t="s">
        <v>2208</v>
      </c>
      <c r="L952" s="7"/>
    </row>
    <row r="953" spans="1:12" x14ac:dyDescent="0.2">
      <c r="A953" s="7"/>
      <c r="B953" s="7"/>
      <c r="C953" s="7"/>
      <c r="D953" s="7"/>
      <c r="E953" s="7">
        <v>611577</v>
      </c>
      <c r="F953" s="7"/>
      <c r="G953" s="7" t="s">
        <v>841</v>
      </c>
      <c r="H953" s="7"/>
      <c r="I953" s="27" t="s">
        <v>133</v>
      </c>
      <c r="J953" s="7"/>
      <c r="K953" s="27" t="s">
        <v>2208</v>
      </c>
      <c r="L953" s="7"/>
    </row>
    <row r="954" spans="1:12" x14ac:dyDescent="0.2">
      <c r="A954" s="7"/>
      <c r="B954" s="7"/>
      <c r="C954" s="7"/>
      <c r="D954" s="7"/>
      <c r="E954" s="7">
        <v>611578</v>
      </c>
      <c r="F954" s="7"/>
      <c r="G954" s="7" t="s">
        <v>842</v>
      </c>
      <c r="H954" s="7"/>
      <c r="I954" s="27" t="s">
        <v>133</v>
      </c>
      <c r="J954" s="7"/>
      <c r="K954" s="27" t="s">
        <v>2208</v>
      </c>
      <c r="L954" s="7"/>
    </row>
    <row r="955" spans="1:12" x14ac:dyDescent="0.2">
      <c r="A955" s="7"/>
      <c r="B955" s="7"/>
      <c r="C955" s="7"/>
      <c r="D955" s="7"/>
      <c r="E955" s="7">
        <v>611579</v>
      </c>
      <c r="F955" s="7"/>
      <c r="G955" s="7" t="s">
        <v>843</v>
      </c>
      <c r="H955" s="7"/>
      <c r="I955" s="27" t="s">
        <v>133</v>
      </c>
      <c r="J955" s="7"/>
      <c r="K955" s="27" t="s">
        <v>2208</v>
      </c>
      <c r="L955" s="7"/>
    </row>
    <row r="956" spans="1:12" x14ac:dyDescent="0.2">
      <c r="A956" s="7"/>
      <c r="B956" s="7"/>
      <c r="C956" s="7"/>
      <c r="D956" s="7"/>
      <c r="E956" s="7">
        <v>611580</v>
      </c>
      <c r="F956" s="7"/>
      <c r="G956" s="7" t="s">
        <v>844</v>
      </c>
      <c r="H956" s="7"/>
      <c r="I956" s="27" t="s">
        <v>133</v>
      </c>
      <c r="J956" s="7"/>
      <c r="K956" s="27" t="s">
        <v>2208</v>
      </c>
      <c r="L956" s="7"/>
    </row>
    <row r="957" spans="1:12" x14ac:dyDescent="0.2">
      <c r="A957" s="7"/>
      <c r="B957" s="7"/>
      <c r="C957" s="7"/>
      <c r="D957" s="7"/>
      <c r="E957" s="7">
        <v>611581</v>
      </c>
      <c r="F957" s="7"/>
      <c r="G957" s="7" t="s">
        <v>845</v>
      </c>
      <c r="H957" s="7"/>
      <c r="I957" s="27" t="s">
        <v>133</v>
      </c>
      <c r="J957" s="7"/>
      <c r="K957" s="27" t="s">
        <v>2208</v>
      </c>
      <c r="L957" s="7"/>
    </row>
    <row r="958" spans="1:12" x14ac:dyDescent="0.2">
      <c r="A958" s="7"/>
      <c r="B958" s="7"/>
      <c r="C958" s="7"/>
      <c r="D958" s="7"/>
      <c r="E958" s="7">
        <v>611582</v>
      </c>
      <c r="F958" s="7"/>
      <c r="G958" s="7" t="s">
        <v>846</v>
      </c>
      <c r="H958" s="7"/>
      <c r="I958" s="27" t="s">
        <v>133</v>
      </c>
      <c r="J958" s="7"/>
      <c r="K958" s="27" t="s">
        <v>2208</v>
      </c>
      <c r="L958" s="7"/>
    </row>
    <row r="959" spans="1:12" x14ac:dyDescent="0.2">
      <c r="A959" s="7"/>
      <c r="B959" s="7"/>
      <c r="C959" s="7"/>
      <c r="D959" s="7"/>
      <c r="E959" s="7">
        <v>611583</v>
      </c>
      <c r="F959" s="7"/>
      <c r="G959" s="7" t="s">
        <v>847</v>
      </c>
      <c r="H959" s="7"/>
      <c r="I959" s="27" t="s">
        <v>133</v>
      </c>
      <c r="J959" s="7"/>
      <c r="K959" s="27" t="s">
        <v>2208</v>
      </c>
      <c r="L959" s="7"/>
    </row>
    <row r="960" spans="1:12" x14ac:dyDescent="0.2">
      <c r="A960" s="7"/>
      <c r="B960" s="7"/>
      <c r="C960" s="7"/>
      <c r="D960" s="7"/>
      <c r="E960" s="7">
        <v>611584</v>
      </c>
      <c r="F960" s="7"/>
      <c r="G960" s="7" t="s">
        <v>848</v>
      </c>
      <c r="H960" s="7"/>
      <c r="I960" s="27" t="s">
        <v>133</v>
      </c>
      <c r="J960" s="7"/>
      <c r="K960" s="27" t="s">
        <v>2208</v>
      </c>
      <c r="L960" s="7"/>
    </row>
    <row r="961" spans="1:12" x14ac:dyDescent="0.2">
      <c r="A961" s="7"/>
      <c r="B961" s="7"/>
      <c r="C961" s="7"/>
      <c r="D961" s="7"/>
      <c r="E961" s="7">
        <v>611585</v>
      </c>
      <c r="F961" s="7"/>
      <c r="G961" s="7" t="s">
        <v>849</v>
      </c>
      <c r="H961" s="7"/>
      <c r="I961" s="27" t="s">
        <v>133</v>
      </c>
      <c r="J961" s="7"/>
      <c r="K961" s="27" t="s">
        <v>2208</v>
      </c>
      <c r="L961" s="7"/>
    </row>
    <row r="962" spans="1:12" x14ac:dyDescent="0.2">
      <c r="A962" s="7"/>
      <c r="B962" s="7"/>
      <c r="C962" s="7"/>
      <c r="D962" s="7"/>
      <c r="E962" s="7">
        <v>611586</v>
      </c>
      <c r="F962" s="7"/>
      <c r="G962" s="7" t="s">
        <v>850</v>
      </c>
      <c r="H962" s="7"/>
      <c r="I962" s="27" t="s">
        <v>133</v>
      </c>
      <c r="J962" s="7"/>
      <c r="K962" s="27" t="s">
        <v>2208</v>
      </c>
      <c r="L962" s="7"/>
    </row>
    <row r="963" spans="1:12" x14ac:dyDescent="0.2">
      <c r="A963" s="7"/>
      <c r="B963" s="7"/>
      <c r="C963" s="7"/>
      <c r="D963" s="7"/>
      <c r="E963" s="7">
        <v>611587</v>
      </c>
      <c r="F963" s="7"/>
      <c r="G963" s="7" t="s">
        <v>851</v>
      </c>
      <c r="H963" s="7"/>
      <c r="I963" s="27" t="s">
        <v>133</v>
      </c>
      <c r="J963" s="7"/>
      <c r="K963" s="27" t="s">
        <v>2208</v>
      </c>
      <c r="L963" s="7"/>
    </row>
    <row r="964" spans="1:12" x14ac:dyDescent="0.2">
      <c r="A964" s="7"/>
      <c r="B964" s="7"/>
      <c r="C964" s="7"/>
      <c r="D964" s="7"/>
      <c r="E964" s="7">
        <v>611588</v>
      </c>
      <c r="F964" s="7"/>
      <c r="G964" s="7" t="s">
        <v>852</v>
      </c>
      <c r="H964" s="7"/>
      <c r="I964" s="27" t="s">
        <v>133</v>
      </c>
      <c r="J964" s="7"/>
      <c r="K964" s="27" t="s">
        <v>2208</v>
      </c>
      <c r="L964" s="7"/>
    </row>
    <row r="965" spans="1:12" x14ac:dyDescent="0.2">
      <c r="A965" s="7"/>
      <c r="B965" s="7"/>
      <c r="C965" s="7"/>
      <c r="D965" s="7"/>
      <c r="E965" s="7">
        <v>611589</v>
      </c>
      <c r="F965" s="7"/>
      <c r="G965" s="7" t="s">
        <v>853</v>
      </c>
      <c r="H965" s="7"/>
      <c r="I965" s="27" t="s">
        <v>133</v>
      </c>
      <c r="J965" s="7"/>
      <c r="K965" s="27" t="s">
        <v>2208</v>
      </c>
      <c r="L965" s="7"/>
    </row>
    <row r="966" spans="1:12" x14ac:dyDescent="0.2">
      <c r="A966" s="7"/>
      <c r="B966" s="7"/>
      <c r="C966" s="7"/>
      <c r="D966" s="7"/>
      <c r="E966" s="7">
        <v>611590</v>
      </c>
      <c r="F966" s="7"/>
      <c r="G966" s="7" t="s">
        <v>854</v>
      </c>
      <c r="H966" s="7"/>
      <c r="I966" s="27" t="s">
        <v>133</v>
      </c>
      <c r="J966" s="7"/>
      <c r="K966" s="27" t="s">
        <v>2208</v>
      </c>
      <c r="L966" s="7"/>
    </row>
    <row r="967" spans="1:12" x14ac:dyDescent="0.2">
      <c r="A967" s="7"/>
      <c r="B967" s="7"/>
      <c r="C967" s="7"/>
      <c r="D967" s="7"/>
      <c r="E967" s="7">
        <v>611591</v>
      </c>
      <c r="F967" s="7"/>
      <c r="G967" s="7" t="s">
        <v>855</v>
      </c>
      <c r="H967" s="7"/>
      <c r="I967" s="27" t="s">
        <v>133</v>
      </c>
      <c r="J967" s="7"/>
      <c r="K967" s="27" t="s">
        <v>2208</v>
      </c>
      <c r="L967" s="7"/>
    </row>
    <row r="968" spans="1:12" x14ac:dyDescent="0.2">
      <c r="A968" s="7"/>
      <c r="B968" s="7"/>
      <c r="C968" s="7"/>
      <c r="D968" s="7"/>
      <c r="E968" s="7">
        <v>611592</v>
      </c>
      <c r="F968" s="7"/>
      <c r="G968" s="7" t="s">
        <v>856</v>
      </c>
      <c r="H968" s="7"/>
      <c r="I968" s="27" t="s">
        <v>133</v>
      </c>
      <c r="J968" s="7"/>
      <c r="K968" s="27" t="s">
        <v>2208</v>
      </c>
      <c r="L968" s="7"/>
    </row>
    <row r="969" spans="1:12" x14ac:dyDescent="0.2">
      <c r="A969" s="7"/>
      <c r="B969" s="7"/>
      <c r="C969" s="7"/>
      <c r="D969" s="7"/>
      <c r="E969" s="7">
        <v>611593</v>
      </c>
      <c r="F969" s="7"/>
      <c r="G969" s="7" t="s">
        <v>857</v>
      </c>
      <c r="H969" s="7"/>
      <c r="I969" s="27" t="s">
        <v>133</v>
      </c>
      <c r="J969" s="7"/>
      <c r="K969" s="27" t="s">
        <v>2208</v>
      </c>
      <c r="L969" s="7"/>
    </row>
    <row r="970" spans="1:12" x14ac:dyDescent="0.2">
      <c r="A970" s="7"/>
      <c r="B970" s="7"/>
      <c r="C970" s="7"/>
      <c r="D970" s="7"/>
      <c r="E970" s="7">
        <v>611594</v>
      </c>
      <c r="F970" s="7"/>
      <c r="G970" s="7" t="s">
        <v>858</v>
      </c>
      <c r="H970" s="7"/>
      <c r="I970" s="27" t="s">
        <v>133</v>
      </c>
      <c r="J970" s="7"/>
      <c r="K970" s="27" t="s">
        <v>2208</v>
      </c>
      <c r="L970" s="7"/>
    </row>
    <row r="971" spans="1:12" x14ac:dyDescent="0.2">
      <c r="A971" s="7"/>
      <c r="B971" s="7"/>
      <c r="C971" s="7"/>
      <c r="D971" s="7"/>
      <c r="E971" s="7">
        <v>611595</v>
      </c>
      <c r="F971" s="7"/>
      <c r="G971" s="7" t="s">
        <v>859</v>
      </c>
      <c r="H971" s="7"/>
      <c r="I971" s="27" t="s">
        <v>133</v>
      </c>
      <c r="J971" s="7"/>
      <c r="K971" s="27" t="s">
        <v>2208</v>
      </c>
      <c r="L971" s="7"/>
    </row>
    <row r="972" spans="1:12" x14ac:dyDescent="0.2">
      <c r="A972" s="7"/>
      <c r="B972" s="7"/>
      <c r="C972" s="7"/>
      <c r="D972" s="7"/>
      <c r="E972" s="7">
        <v>611596</v>
      </c>
      <c r="F972" s="7"/>
      <c r="G972" s="7" t="s">
        <v>860</v>
      </c>
      <c r="H972" s="7"/>
      <c r="I972" s="27" t="s">
        <v>133</v>
      </c>
      <c r="J972" s="7"/>
      <c r="K972" s="27" t="s">
        <v>2208</v>
      </c>
      <c r="L972" s="7"/>
    </row>
    <row r="973" spans="1:12" x14ac:dyDescent="0.2">
      <c r="A973" s="7"/>
      <c r="B973" s="7"/>
      <c r="C973" s="7"/>
      <c r="D973" s="7"/>
      <c r="E973" s="7">
        <v>611597</v>
      </c>
      <c r="F973" s="7"/>
      <c r="G973" s="7" t="s">
        <v>861</v>
      </c>
      <c r="H973" s="7"/>
      <c r="I973" s="27" t="s">
        <v>133</v>
      </c>
      <c r="J973" s="7"/>
      <c r="K973" s="27" t="s">
        <v>2208</v>
      </c>
      <c r="L973" s="7"/>
    </row>
    <row r="974" spans="1:12" x14ac:dyDescent="0.2">
      <c r="A974" s="7"/>
      <c r="B974" s="7"/>
      <c r="C974" s="7"/>
      <c r="D974" s="7"/>
      <c r="E974" s="7">
        <v>611598</v>
      </c>
      <c r="F974" s="7"/>
      <c r="G974" s="7" t="s">
        <v>862</v>
      </c>
      <c r="H974" s="7"/>
      <c r="I974" s="27" t="s">
        <v>133</v>
      </c>
      <c r="J974" s="7"/>
      <c r="K974" s="27" t="s">
        <v>2208</v>
      </c>
      <c r="L974" s="7"/>
    </row>
    <row r="975" spans="1:12" x14ac:dyDescent="0.2">
      <c r="A975" s="7"/>
      <c r="B975" s="7"/>
      <c r="C975" s="7"/>
      <c r="D975" s="7"/>
      <c r="E975" s="7">
        <v>611610</v>
      </c>
      <c r="F975" s="7"/>
      <c r="G975" s="7" t="s">
        <v>863</v>
      </c>
      <c r="H975" s="7"/>
      <c r="I975" s="27" t="s">
        <v>133</v>
      </c>
      <c r="J975" s="7"/>
      <c r="K975" s="27" t="s">
        <v>2208</v>
      </c>
      <c r="L975" s="7"/>
    </row>
    <row r="976" spans="1:12" x14ac:dyDescent="0.2">
      <c r="A976" s="7"/>
      <c r="B976" s="7"/>
      <c r="C976" s="7"/>
      <c r="D976" s="7"/>
      <c r="E976" s="7">
        <v>611611</v>
      </c>
      <c r="F976" s="7"/>
      <c r="G976" s="7" t="s">
        <v>864</v>
      </c>
      <c r="H976" s="7"/>
      <c r="I976" s="27" t="s">
        <v>133</v>
      </c>
      <c r="J976" s="7"/>
      <c r="K976" s="27" t="s">
        <v>2208</v>
      </c>
      <c r="L976" s="7"/>
    </row>
    <row r="977" spans="1:12" x14ac:dyDescent="0.2">
      <c r="A977" s="7"/>
      <c r="B977" s="7"/>
      <c r="C977" s="7"/>
      <c r="D977" s="7"/>
      <c r="E977" s="7">
        <v>611612</v>
      </c>
      <c r="F977" s="7"/>
      <c r="G977" s="7" t="s">
        <v>865</v>
      </c>
      <c r="H977" s="7"/>
      <c r="I977" s="27" t="s">
        <v>133</v>
      </c>
      <c r="J977" s="7"/>
      <c r="K977" s="27" t="s">
        <v>2208</v>
      </c>
      <c r="L977" s="7"/>
    </row>
    <row r="978" spans="1:12" x14ac:dyDescent="0.2">
      <c r="A978" s="7"/>
      <c r="B978" s="7"/>
      <c r="C978" s="7"/>
      <c r="D978" s="7"/>
      <c r="E978" s="7">
        <v>611613</v>
      </c>
      <c r="F978" s="7"/>
      <c r="G978" s="7" t="s">
        <v>866</v>
      </c>
      <c r="H978" s="7"/>
      <c r="I978" s="27" t="s">
        <v>133</v>
      </c>
      <c r="J978" s="7"/>
      <c r="K978" s="27" t="s">
        <v>2208</v>
      </c>
      <c r="L978" s="7"/>
    </row>
    <row r="979" spans="1:12" x14ac:dyDescent="0.2">
      <c r="A979" s="7"/>
      <c r="B979" s="7"/>
      <c r="C979" s="7"/>
      <c r="D979" s="7"/>
      <c r="E979" s="7">
        <v>611620</v>
      </c>
      <c r="F979" s="7"/>
      <c r="G979" s="7" t="s">
        <v>867</v>
      </c>
      <c r="H979" s="7"/>
      <c r="I979" s="27" t="s">
        <v>133</v>
      </c>
      <c r="J979" s="7"/>
      <c r="K979" s="27" t="s">
        <v>2208</v>
      </c>
      <c r="L979" s="7"/>
    </row>
    <row r="980" spans="1:12" x14ac:dyDescent="0.2">
      <c r="A980" s="7"/>
      <c r="B980" s="7"/>
      <c r="C980" s="7"/>
      <c r="D980" s="7"/>
      <c r="E980" s="7">
        <v>611621</v>
      </c>
      <c r="F980" s="7"/>
      <c r="G980" s="7" t="s">
        <v>868</v>
      </c>
      <c r="H980" s="7"/>
      <c r="I980" s="27" t="s">
        <v>133</v>
      </c>
      <c r="J980" s="7"/>
      <c r="K980" s="27" t="s">
        <v>2208</v>
      </c>
      <c r="L980" s="7"/>
    </row>
    <row r="981" spans="1:12" x14ac:dyDescent="0.2">
      <c r="A981" s="7"/>
      <c r="B981" s="7"/>
      <c r="C981" s="7"/>
      <c r="D981" s="7"/>
      <c r="E981" s="7">
        <v>611622</v>
      </c>
      <c r="F981" s="7"/>
      <c r="G981" s="7" t="s">
        <v>869</v>
      </c>
      <c r="H981" s="7"/>
      <c r="I981" s="27" t="s">
        <v>133</v>
      </c>
      <c r="J981" s="7"/>
      <c r="K981" s="27" t="s">
        <v>2208</v>
      </c>
      <c r="L981" s="7"/>
    </row>
    <row r="982" spans="1:12" x14ac:dyDescent="0.2">
      <c r="A982" s="7"/>
      <c r="B982" s="7"/>
      <c r="C982" s="7"/>
      <c r="D982" s="7"/>
      <c r="E982" s="7">
        <v>611623</v>
      </c>
      <c r="F982" s="7"/>
      <c r="G982" s="7" t="s">
        <v>870</v>
      </c>
      <c r="H982" s="7"/>
      <c r="I982" s="27" t="s">
        <v>133</v>
      </c>
      <c r="J982" s="7"/>
      <c r="K982" s="27" t="s">
        <v>2208</v>
      </c>
      <c r="L982" s="7"/>
    </row>
    <row r="983" spans="1:12" x14ac:dyDescent="0.2">
      <c r="A983" s="7"/>
      <c r="B983" s="7"/>
      <c r="C983" s="7"/>
      <c r="D983" s="7"/>
      <c r="E983" s="7">
        <v>611630</v>
      </c>
      <c r="F983" s="7"/>
      <c r="G983" s="7" t="s">
        <v>871</v>
      </c>
      <c r="H983" s="7"/>
      <c r="I983" s="27" t="s">
        <v>133</v>
      </c>
      <c r="J983" s="7"/>
      <c r="K983" s="27" t="s">
        <v>2208</v>
      </c>
      <c r="L983" s="7"/>
    </row>
    <row r="984" spans="1:12" x14ac:dyDescent="0.2">
      <c r="A984" s="7"/>
      <c r="B984" s="7"/>
      <c r="C984" s="7"/>
      <c r="D984" s="7"/>
      <c r="E984" s="7">
        <v>611640</v>
      </c>
      <c r="F984" s="7"/>
      <c r="G984" s="7" t="s">
        <v>872</v>
      </c>
      <c r="H984" s="7"/>
      <c r="I984" s="27" t="s">
        <v>616</v>
      </c>
      <c r="J984" s="7"/>
      <c r="K984" s="27" t="s">
        <v>2208</v>
      </c>
      <c r="L984" s="7"/>
    </row>
    <row r="985" spans="1:12" x14ac:dyDescent="0.2">
      <c r="A985" s="7"/>
      <c r="B985" s="7"/>
      <c r="C985" s="7"/>
      <c r="D985" s="7"/>
      <c r="E985" s="7">
        <v>611641</v>
      </c>
      <c r="F985" s="7"/>
      <c r="G985" s="7" t="s">
        <v>873</v>
      </c>
      <c r="H985" s="7"/>
      <c r="I985" s="27" t="s">
        <v>616</v>
      </c>
      <c r="J985" s="7"/>
      <c r="K985" s="27" t="s">
        <v>2208</v>
      </c>
      <c r="L985" s="7"/>
    </row>
    <row r="986" spans="1:12" x14ac:dyDescent="0.2">
      <c r="A986" s="7"/>
      <c r="B986" s="7"/>
      <c r="C986" s="7"/>
      <c r="D986" s="7"/>
      <c r="E986" s="7">
        <v>611642</v>
      </c>
      <c r="F986" s="7"/>
      <c r="G986" s="7" t="s">
        <v>874</v>
      </c>
      <c r="H986" s="7"/>
      <c r="I986" s="27" t="s">
        <v>616</v>
      </c>
      <c r="J986" s="7"/>
      <c r="K986" s="27" t="s">
        <v>2208</v>
      </c>
      <c r="L986" s="7"/>
    </row>
    <row r="987" spans="1:12" x14ac:dyDescent="0.2">
      <c r="A987" s="7"/>
      <c r="B987" s="7"/>
      <c r="C987" s="7"/>
      <c r="D987" s="7"/>
      <c r="E987" s="7">
        <v>611643</v>
      </c>
      <c r="F987" s="7"/>
      <c r="G987" s="7" t="s">
        <v>875</v>
      </c>
      <c r="H987" s="7"/>
      <c r="I987" s="27" t="s">
        <v>616</v>
      </c>
      <c r="J987" s="7"/>
      <c r="K987" s="27" t="s">
        <v>2208</v>
      </c>
      <c r="L987" s="7"/>
    </row>
    <row r="988" spans="1:12" x14ac:dyDescent="0.2">
      <c r="A988" s="7"/>
      <c r="B988" s="7"/>
      <c r="C988" s="7"/>
      <c r="D988" s="7"/>
      <c r="E988" s="7">
        <v>611644</v>
      </c>
      <c r="F988" s="7"/>
      <c r="G988" s="7" t="s">
        <v>876</v>
      </c>
      <c r="H988" s="7"/>
      <c r="I988" s="27" t="s">
        <v>616</v>
      </c>
      <c r="J988" s="7"/>
      <c r="K988" s="27" t="s">
        <v>2208</v>
      </c>
      <c r="L988" s="7"/>
    </row>
    <row r="989" spans="1:12" x14ac:dyDescent="0.2">
      <c r="A989" s="7"/>
      <c r="B989" s="7"/>
      <c r="C989" s="7"/>
      <c r="D989" s="7"/>
      <c r="E989" s="7">
        <v>611645</v>
      </c>
      <c r="F989" s="7"/>
      <c r="G989" s="7" t="s">
        <v>877</v>
      </c>
      <c r="H989" s="7"/>
      <c r="I989" s="27" t="s">
        <v>616</v>
      </c>
      <c r="J989" s="7"/>
      <c r="K989" s="27" t="s">
        <v>2208</v>
      </c>
      <c r="L989" s="7"/>
    </row>
    <row r="990" spans="1:12" x14ac:dyDescent="0.2">
      <c r="A990" s="7"/>
      <c r="B990" s="7"/>
      <c r="C990" s="7"/>
      <c r="D990" s="7"/>
      <c r="E990" s="7">
        <v>611646</v>
      </c>
      <c r="F990" s="7"/>
      <c r="G990" s="7" t="s">
        <v>878</v>
      </c>
      <c r="H990" s="7"/>
      <c r="I990" s="27" t="s">
        <v>616</v>
      </c>
      <c r="J990" s="7"/>
      <c r="K990" s="27" t="s">
        <v>2208</v>
      </c>
      <c r="L990" s="7"/>
    </row>
    <row r="991" spans="1:12" x14ac:dyDescent="0.2">
      <c r="A991" s="7"/>
      <c r="B991" s="7"/>
      <c r="C991" s="7"/>
      <c r="D991" s="7"/>
      <c r="E991" s="7">
        <v>611647</v>
      </c>
      <c r="F991" s="7"/>
      <c r="G991" s="7" t="s">
        <v>879</v>
      </c>
      <c r="H991" s="7"/>
      <c r="I991" s="27" t="s">
        <v>616</v>
      </c>
      <c r="J991" s="7"/>
      <c r="K991" s="27" t="s">
        <v>2208</v>
      </c>
      <c r="L991" s="7"/>
    </row>
    <row r="992" spans="1:12" x14ac:dyDescent="0.2">
      <c r="A992" s="7"/>
      <c r="B992" s="7"/>
      <c r="C992" s="7"/>
      <c r="D992" s="7"/>
      <c r="E992" s="7">
        <v>611648</v>
      </c>
      <c r="F992" s="7"/>
      <c r="G992" s="7" t="s">
        <v>880</v>
      </c>
      <c r="H992" s="7"/>
      <c r="I992" s="27" t="s">
        <v>133</v>
      </c>
      <c r="J992" s="7"/>
      <c r="K992" s="27" t="s">
        <v>2208</v>
      </c>
      <c r="L992" s="7"/>
    </row>
    <row r="993" spans="1:12" x14ac:dyDescent="0.2">
      <c r="A993" s="7"/>
      <c r="B993" s="7"/>
      <c r="C993" s="7"/>
      <c r="D993" s="7"/>
      <c r="E993" s="7">
        <v>611649</v>
      </c>
      <c r="F993" s="7"/>
      <c r="G993" s="7" t="s">
        <v>881</v>
      </c>
      <c r="H993" s="7"/>
      <c r="I993" s="27" t="s">
        <v>133</v>
      </c>
      <c r="J993" s="7"/>
      <c r="K993" s="27" t="s">
        <v>2208</v>
      </c>
      <c r="L993" s="7"/>
    </row>
    <row r="994" spans="1:12" x14ac:dyDescent="0.2">
      <c r="A994" s="7"/>
      <c r="B994" s="7"/>
      <c r="C994" s="7"/>
      <c r="D994" s="7"/>
      <c r="E994" s="7">
        <v>611650</v>
      </c>
      <c r="F994" s="7"/>
      <c r="G994" s="7" t="s">
        <v>882</v>
      </c>
      <c r="H994" s="7"/>
      <c r="I994" s="27" t="s">
        <v>133</v>
      </c>
      <c r="J994" s="7"/>
      <c r="K994" s="27" t="s">
        <v>2208</v>
      </c>
      <c r="L994" s="7"/>
    </row>
    <row r="995" spans="1:12" x14ac:dyDescent="0.2">
      <c r="A995" s="7"/>
      <c r="B995" s="7"/>
      <c r="C995" s="7"/>
      <c r="D995" s="7"/>
      <c r="E995" s="7">
        <v>611651</v>
      </c>
      <c r="F995" s="7"/>
      <c r="G995" s="7" t="s">
        <v>883</v>
      </c>
      <c r="H995" s="7"/>
      <c r="I995" s="27" t="s">
        <v>133</v>
      </c>
      <c r="J995" s="7"/>
      <c r="K995" s="27" t="s">
        <v>2208</v>
      </c>
      <c r="L995" s="7"/>
    </row>
    <row r="996" spans="1:12" x14ac:dyDescent="0.2">
      <c r="A996" s="7"/>
      <c r="B996" s="7"/>
      <c r="C996" s="7"/>
      <c r="D996" s="7"/>
      <c r="E996" s="7">
        <v>611652</v>
      </c>
      <c r="F996" s="7"/>
      <c r="G996" s="7" t="s">
        <v>884</v>
      </c>
      <c r="H996" s="7"/>
      <c r="I996" s="27" t="s">
        <v>133</v>
      </c>
      <c r="J996" s="7"/>
      <c r="K996" s="27" t="s">
        <v>2208</v>
      </c>
      <c r="L996" s="7"/>
    </row>
    <row r="997" spans="1:12" x14ac:dyDescent="0.2">
      <c r="A997" s="7"/>
      <c r="B997" s="7"/>
      <c r="C997" s="7"/>
      <c r="D997" s="7"/>
      <c r="E997" s="7">
        <v>611653</v>
      </c>
      <c r="F997" s="7"/>
      <c r="G997" s="7" t="s">
        <v>885</v>
      </c>
      <c r="H997" s="7"/>
      <c r="I997" s="27" t="s">
        <v>133</v>
      </c>
      <c r="J997" s="7"/>
      <c r="K997" s="27" t="s">
        <v>2208</v>
      </c>
      <c r="L997" s="7"/>
    </row>
    <row r="998" spans="1:12" x14ac:dyDescent="0.2">
      <c r="A998" s="7"/>
      <c r="B998" s="7"/>
      <c r="C998" s="7"/>
      <c r="D998" s="7"/>
      <c r="E998" s="7">
        <v>611654</v>
      </c>
      <c r="F998" s="7"/>
      <c r="G998" s="7" t="s">
        <v>886</v>
      </c>
      <c r="H998" s="7"/>
      <c r="I998" s="27" t="s">
        <v>133</v>
      </c>
      <c r="J998" s="7"/>
      <c r="K998" s="27" t="s">
        <v>2208</v>
      </c>
      <c r="L998" s="7"/>
    </row>
    <row r="999" spans="1:12" x14ac:dyDescent="0.2">
      <c r="A999" s="7"/>
      <c r="B999" s="7"/>
      <c r="C999" s="7"/>
      <c r="D999" s="7"/>
      <c r="E999" s="7">
        <v>611655</v>
      </c>
      <c r="F999" s="7"/>
      <c r="G999" s="7" t="s">
        <v>887</v>
      </c>
      <c r="H999" s="7"/>
      <c r="I999" s="27" t="s">
        <v>133</v>
      </c>
      <c r="J999" s="7"/>
      <c r="K999" s="27" t="s">
        <v>2208</v>
      </c>
      <c r="L999" s="7"/>
    </row>
    <row r="1000" spans="1:12" x14ac:dyDescent="0.2">
      <c r="A1000" s="7"/>
      <c r="B1000" s="7"/>
      <c r="C1000" s="7"/>
      <c r="D1000" s="7"/>
      <c r="E1000" s="7">
        <v>611656</v>
      </c>
      <c r="F1000" s="7"/>
      <c r="G1000" s="7" t="s">
        <v>888</v>
      </c>
      <c r="H1000" s="7"/>
      <c r="I1000" s="27" t="s">
        <v>133</v>
      </c>
      <c r="J1000" s="7"/>
      <c r="K1000" s="27" t="s">
        <v>2208</v>
      </c>
      <c r="L1000" s="7"/>
    </row>
    <row r="1001" spans="1:12" x14ac:dyDescent="0.2">
      <c r="A1001" s="7"/>
      <c r="B1001" s="7"/>
      <c r="C1001" s="7"/>
      <c r="D1001" s="7"/>
      <c r="E1001" s="7">
        <v>611657</v>
      </c>
      <c r="F1001" s="7"/>
      <c r="G1001" s="7" t="s">
        <v>889</v>
      </c>
      <c r="H1001" s="7"/>
      <c r="I1001" s="27" t="s">
        <v>133</v>
      </c>
      <c r="J1001" s="7"/>
      <c r="K1001" s="27" t="s">
        <v>2208</v>
      </c>
      <c r="L1001" s="7"/>
    </row>
    <row r="1002" spans="1:12" x14ac:dyDescent="0.2">
      <c r="A1002" s="7"/>
      <c r="B1002" s="7"/>
      <c r="C1002" s="7"/>
      <c r="D1002" s="7"/>
      <c r="E1002" s="7">
        <v>611658</v>
      </c>
      <c r="F1002" s="7"/>
      <c r="G1002" s="7" t="s">
        <v>890</v>
      </c>
      <c r="H1002" s="7"/>
      <c r="I1002" s="27" t="s">
        <v>133</v>
      </c>
      <c r="J1002" s="7"/>
      <c r="K1002" s="27" t="s">
        <v>2208</v>
      </c>
      <c r="L1002" s="7"/>
    </row>
    <row r="1003" spans="1:12" x14ac:dyDescent="0.2">
      <c r="A1003" s="7"/>
      <c r="B1003" s="7"/>
      <c r="C1003" s="7"/>
      <c r="D1003" s="7"/>
      <c r="E1003" s="7">
        <v>611659</v>
      </c>
      <c r="F1003" s="7"/>
      <c r="G1003" s="7" t="s">
        <v>891</v>
      </c>
      <c r="H1003" s="7"/>
      <c r="I1003" s="27" t="s">
        <v>133</v>
      </c>
      <c r="J1003" s="7"/>
      <c r="K1003" s="27" t="s">
        <v>2208</v>
      </c>
      <c r="L1003" s="7"/>
    </row>
    <row r="1004" spans="1:12" x14ac:dyDescent="0.2">
      <c r="A1004" s="7"/>
      <c r="B1004" s="7"/>
      <c r="C1004" s="7"/>
      <c r="D1004" s="7"/>
      <c r="E1004" s="7">
        <v>611660</v>
      </c>
      <c r="F1004" s="7"/>
      <c r="G1004" s="7" t="s">
        <v>892</v>
      </c>
      <c r="H1004" s="7"/>
      <c r="I1004" s="27" t="s">
        <v>133</v>
      </c>
      <c r="J1004" s="7"/>
      <c r="K1004" s="27" t="s">
        <v>2208</v>
      </c>
      <c r="L1004" s="7"/>
    </row>
    <row r="1005" spans="1:12" x14ac:dyDescent="0.2">
      <c r="A1005" s="7"/>
      <c r="B1005" s="7"/>
      <c r="C1005" s="7"/>
      <c r="D1005" s="7"/>
      <c r="E1005" s="7">
        <v>611661</v>
      </c>
      <c r="F1005" s="7"/>
      <c r="G1005" s="7" t="s">
        <v>893</v>
      </c>
      <c r="H1005" s="7"/>
      <c r="I1005" s="27" t="s">
        <v>133</v>
      </c>
      <c r="J1005" s="7"/>
      <c r="K1005" s="27" t="s">
        <v>2208</v>
      </c>
      <c r="L1005" s="7"/>
    </row>
    <row r="1006" spans="1:12" x14ac:dyDescent="0.2">
      <c r="A1006" s="7"/>
      <c r="B1006" s="7"/>
      <c r="C1006" s="7"/>
      <c r="D1006" s="7"/>
      <c r="E1006" s="7">
        <v>611662</v>
      </c>
      <c r="F1006" s="7"/>
      <c r="G1006" s="7" t="s">
        <v>894</v>
      </c>
      <c r="H1006" s="7"/>
      <c r="I1006" s="27" t="s">
        <v>133</v>
      </c>
      <c r="J1006" s="7"/>
      <c r="K1006" s="27" t="s">
        <v>2208</v>
      </c>
      <c r="L1006" s="7"/>
    </row>
    <row r="1007" spans="1:12" x14ac:dyDescent="0.2">
      <c r="A1007" s="7"/>
      <c r="B1007" s="7"/>
      <c r="C1007" s="7"/>
      <c r="D1007" s="7"/>
      <c r="E1007" s="7">
        <v>611663</v>
      </c>
      <c r="F1007" s="7"/>
      <c r="G1007" s="7" t="s">
        <v>895</v>
      </c>
      <c r="H1007" s="7"/>
      <c r="I1007" s="27" t="s">
        <v>133</v>
      </c>
      <c r="J1007" s="7"/>
      <c r="K1007" s="27" t="s">
        <v>2208</v>
      </c>
      <c r="L1007" s="7"/>
    </row>
    <row r="1008" spans="1:12" x14ac:dyDescent="0.2">
      <c r="A1008" s="7"/>
      <c r="B1008" s="7"/>
      <c r="C1008" s="7"/>
      <c r="D1008" s="7"/>
      <c r="E1008" s="7">
        <v>611664</v>
      </c>
      <c r="F1008" s="7"/>
      <c r="G1008" s="7" t="s">
        <v>896</v>
      </c>
      <c r="H1008" s="7"/>
      <c r="I1008" s="27" t="s">
        <v>133</v>
      </c>
      <c r="J1008" s="7"/>
      <c r="K1008" s="27" t="s">
        <v>2208</v>
      </c>
      <c r="L1008" s="7"/>
    </row>
    <row r="1009" spans="1:12" x14ac:dyDescent="0.2">
      <c r="A1009" s="7"/>
      <c r="B1009" s="7"/>
      <c r="C1009" s="7"/>
      <c r="D1009" s="7"/>
      <c r="E1009" s="7">
        <v>611665</v>
      </c>
      <c r="F1009" s="7"/>
      <c r="G1009" s="7" t="s">
        <v>897</v>
      </c>
      <c r="H1009" s="7"/>
      <c r="I1009" s="27" t="s">
        <v>133</v>
      </c>
      <c r="J1009" s="7"/>
      <c r="K1009" s="27" t="s">
        <v>2208</v>
      </c>
      <c r="L1009" s="7"/>
    </row>
    <row r="1010" spans="1:12" x14ac:dyDescent="0.2">
      <c r="A1010" s="7"/>
      <c r="B1010" s="7"/>
      <c r="C1010" s="7"/>
      <c r="D1010" s="7"/>
      <c r="E1010" s="7">
        <v>611667</v>
      </c>
      <c r="F1010" s="7"/>
      <c r="G1010" s="7" t="s">
        <v>898</v>
      </c>
      <c r="H1010" s="7"/>
      <c r="I1010" s="27" t="s">
        <v>133</v>
      </c>
      <c r="J1010" s="7"/>
      <c r="K1010" s="27" t="s">
        <v>2208</v>
      </c>
      <c r="L1010" s="7"/>
    </row>
    <row r="1011" spans="1:12" x14ac:dyDescent="0.2">
      <c r="A1011" s="7"/>
      <c r="B1011" s="7"/>
      <c r="C1011" s="7"/>
      <c r="D1011" s="7"/>
      <c r="E1011" s="7">
        <v>611676</v>
      </c>
      <c r="F1011" s="7"/>
      <c r="G1011" s="7" t="s">
        <v>899</v>
      </c>
      <c r="H1011" s="7"/>
      <c r="I1011" s="27" t="s">
        <v>133</v>
      </c>
      <c r="J1011" s="7"/>
      <c r="K1011" s="27" t="s">
        <v>2208</v>
      </c>
      <c r="L1011" s="7"/>
    </row>
    <row r="1012" spans="1:12" x14ac:dyDescent="0.2">
      <c r="A1012" s="7"/>
      <c r="B1012" s="7"/>
      <c r="C1012" s="7"/>
      <c r="D1012" s="7"/>
      <c r="E1012" s="7">
        <v>611710</v>
      </c>
      <c r="F1012" s="7"/>
      <c r="G1012" s="7" t="s">
        <v>900</v>
      </c>
      <c r="H1012" s="7"/>
      <c r="I1012" s="27" t="s">
        <v>133</v>
      </c>
      <c r="J1012" s="7"/>
      <c r="K1012" s="27" t="s">
        <v>2208</v>
      </c>
      <c r="L1012" s="7"/>
    </row>
    <row r="1013" spans="1:12" x14ac:dyDescent="0.2">
      <c r="A1013" s="7"/>
      <c r="B1013" s="7"/>
      <c r="C1013" s="7"/>
      <c r="D1013" s="7"/>
      <c r="E1013" s="7">
        <v>611720</v>
      </c>
      <c r="F1013" s="7"/>
      <c r="G1013" s="7" t="s">
        <v>901</v>
      </c>
      <c r="H1013" s="7"/>
      <c r="I1013" s="27" t="s">
        <v>133</v>
      </c>
      <c r="J1013" s="7"/>
      <c r="K1013" s="27" t="s">
        <v>2208</v>
      </c>
      <c r="L1013" s="7"/>
    </row>
    <row r="1014" spans="1:12" x14ac:dyDescent="0.2">
      <c r="A1014" s="7"/>
      <c r="B1014" s="7"/>
      <c r="C1014" s="7"/>
      <c r="D1014" s="7"/>
      <c r="E1014" s="7">
        <v>611730</v>
      </c>
      <c r="F1014" s="7"/>
      <c r="G1014" s="7" t="s">
        <v>902</v>
      </c>
      <c r="H1014" s="7"/>
      <c r="I1014" s="27" t="s">
        <v>133</v>
      </c>
      <c r="J1014" s="7"/>
      <c r="K1014" s="27" t="s">
        <v>2208</v>
      </c>
      <c r="L1014" s="7"/>
    </row>
    <row r="1015" spans="1:12" x14ac:dyDescent="0.2">
      <c r="A1015" s="7"/>
      <c r="B1015" s="7"/>
      <c r="C1015" s="7"/>
      <c r="D1015" s="7"/>
      <c r="E1015" s="7">
        <v>611731</v>
      </c>
      <c r="F1015" s="7"/>
      <c r="G1015" s="7" t="s">
        <v>903</v>
      </c>
      <c r="H1015" s="7"/>
      <c r="I1015" s="27" t="s">
        <v>133</v>
      </c>
      <c r="J1015" s="7"/>
      <c r="K1015" s="27" t="s">
        <v>2208</v>
      </c>
      <c r="L1015" s="7"/>
    </row>
    <row r="1016" spans="1:12" x14ac:dyDescent="0.2">
      <c r="A1016" s="7"/>
      <c r="B1016" s="7"/>
      <c r="C1016" s="7"/>
      <c r="D1016" s="7"/>
      <c r="E1016" s="7">
        <v>611732</v>
      </c>
      <c r="F1016" s="7"/>
      <c r="G1016" s="7" t="s">
        <v>904</v>
      </c>
      <c r="H1016" s="7"/>
      <c r="I1016" s="27" t="s">
        <v>133</v>
      </c>
      <c r="J1016" s="7"/>
      <c r="K1016" s="27" t="s">
        <v>2208</v>
      </c>
      <c r="L1016" s="7"/>
    </row>
    <row r="1017" spans="1:12" x14ac:dyDescent="0.2">
      <c r="A1017" s="7"/>
      <c r="B1017" s="7"/>
      <c r="C1017" s="7"/>
      <c r="D1017" s="7"/>
      <c r="E1017" s="7">
        <v>611733</v>
      </c>
      <c r="F1017" s="7"/>
      <c r="G1017" s="7" t="s">
        <v>905</v>
      </c>
      <c r="H1017" s="7"/>
      <c r="I1017" s="27" t="s">
        <v>133</v>
      </c>
      <c r="J1017" s="7"/>
      <c r="K1017" s="27" t="s">
        <v>2208</v>
      </c>
      <c r="L1017" s="7"/>
    </row>
    <row r="1018" spans="1:12" x14ac:dyDescent="0.2">
      <c r="A1018" s="7"/>
      <c r="B1018" s="7"/>
      <c r="C1018" s="7"/>
      <c r="D1018" s="7"/>
      <c r="E1018" s="7">
        <v>611734</v>
      </c>
      <c r="F1018" s="7"/>
      <c r="G1018" s="7" t="s">
        <v>906</v>
      </c>
      <c r="H1018" s="7"/>
      <c r="I1018" s="27" t="s">
        <v>133</v>
      </c>
      <c r="J1018" s="7"/>
      <c r="K1018" s="27" t="s">
        <v>2208</v>
      </c>
      <c r="L1018" s="7"/>
    </row>
    <row r="1019" spans="1:12" x14ac:dyDescent="0.2">
      <c r="A1019" s="7"/>
      <c r="B1019" s="7"/>
      <c r="C1019" s="7"/>
      <c r="D1019" s="7"/>
      <c r="E1019" s="7">
        <v>611735</v>
      </c>
      <c r="F1019" s="7"/>
      <c r="G1019" s="7" t="s">
        <v>907</v>
      </c>
      <c r="H1019" s="7"/>
      <c r="I1019" s="27" t="s">
        <v>133</v>
      </c>
      <c r="J1019" s="7"/>
      <c r="K1019" s="27" t="s">
        <v>2208</v>
      </c>
      <c r="L1019" s="7"/>
    </row>
    <row r="1020" spans="1:12" x14ac:dyDescent="0.2">
      <c r="A1020" s="7"/>
      <c r="B1020" s="7"/>
      <c r="C1020" s="7"/>
      <c r="D1020" s="7"/>
      <c r="E1020" s="7">
        <v>611736</v>
      </c>
      <c r="F1020" s="7"/>
      <c r="G1020" s="7" t="s">
        <v>908</v>
      </c>
      <c r="H1020" s="7"/>
      <c r="I1020" s="27" t="s">
        <v>133</v>
      </c>
      <c r="J1020" s="7"/>
      <c r="K1020" s="27" t="s">
        <v>2208</v>
      </c>
      <c r="L1020" s="7"/>
    </row>
    <row r="1021" spans="1:12" x14ac:dyDescent="0.2">
      <c r="A1021" s="7"/>
      <c r="B1021" s="7"/>
      <c r="C1021" s="7"/>
      <c r="D1021" s="7"/>
      <c r="E1021" s="7">
        <v>611737</v>
      </c>
      <c r="F1021" s="7"/>
      <c r="G1021" s="7" t="s">
        <v>909</v>
      </c>
      <c r="H1021" s="7"/>
      <c r="I1021" s="27" t="s">
        <v>133</v>
      </c>
      <c r="J1021" s="7"/>
      <c r="K1021" s="27" t="s">
        <v>2208</v>
      </c>
      <c r="L1021" s="7"/>
    </row>
    <row r="1022" spans="1:12" x14ac:dyDescent="0.2">
      <c r="A1022" s="7"/>
      <c r="B1022" s="7"/>
      <c r="C1022" s="7"/>
      <c r="D1022" s="7"/>
      <c r="E1022" s="7">
        <v>611738</v>
      </c>
      <c r="F1022" s="7"/>
      <c r="G1022" s="7" t="s">
        <v>910</v>
      </c>
      <c r="H1022" s="7"/>
      <c r="I1022" s="27" t="s">
        <v>133</v>
      </c>
      <c r="J1022" s="7"/>
      <c r="K1022" s="27" t="s">
        <v>2208</v>
      </c>
      <c r="L1022" s="7"/>
    </row>
    <row r="1023" spans="1:12" x14ac:dyDescent="0.2">
      <c r="A1023" s="7"/>
      <c r="B1023" s="7"/>
      <c r="C1023" s="7"/>
      <c r="D1023" s="7"/>
      <c r="E1023" s="7">
        <v>611739</v>
      </c>
      <c r="F1023" s="7"/>
      <c r="G1023" s="7" t="s">
        <v>911</v>
      </c>
      <c r="H1023" s="7"/>
      <c r="I1023" s="27" t="s">
        <v>133</v>
      </c>
      <c r="J1023" s="7"/>
      <c r="K1023" s="27" t="s">
        <v>2208</v>
      </c>
      <c r="L1023" s="7"/>
    </row>
    <row r="1024" spans="1:12" x14ac:dyDescent="0.2">
      <c r="A1024" s="7"/>
      <c r="B1024" s="7"/>
      <c r="C1024" s="7"/>
      <c r="D1024" s="7"/>
      <c r="E1024" s="7">
        <v>611740</v>
      </c>
      <c r="F1024" s="7"/>
      <c r="G1024" s="7" t="s">
        <v>912</v>
      </c>
      <c r="H1024" s="7"/>
      <c r="I1024" s="27" t="s">
        <v>133</v>
      </c>
      <c r="J1024" s="7"/>
      <c r="K1024" s="27" t="s">
        <v>2208</v>
      </c>
      <c r="L1024" s="7"/>
    </row>
    <row r="1025" spans="1:12" x14ac:dyDescent="0.2">
      <c r="A1025" s="7"/>
      <c r="B1025" s="7"/>
      <c r="C1025" s="7"/>
      <c r="D1025" s="7"/>
      <c r="E1025" s="7">
        <v>611741</v>
      </c>
      <c r="F1025" s="7"/>
      <c r="G1025" s="7" t="s">
        <v>913</v>
      </c>
      <c r="H1025" s="7"/>
      <c r="I1025" s="27" t="s">
        <v>133</v>
      </c>
      <c r="J1025" s="7"/>
      <c r="K1025" s="27" t="s">
        <v>2208</v>
      </c>
      <c r="L1025" s="7"/>
    </row>
    <row r="1026" spans="1:12" x14ac:dyDescent="0.2">
      <c r="A1026" s="7"/>
      <c r="B1026" s="7"/>
      <c r="C1026" s="7"/>
      <c r="D1026" s="7"/>
      <c r="E1026" s="7">
        <v>611742</v>
      </c>
      <c r="F1026" s="7"/>
      <c r="G1026" s="7" t="s">
        <v>914</v>
      </c>
      <c r="H1026" s="7"/>
      <c r="I1026" s="27" t="s">
        <v>133</v>
      </c>
      <c r="J1026" s="7"/>
      <c r="K1026" s="27" t="s">
        <v>2208</v>
      </c>
      <c r="L1026" s="7"/>
    </row>
    <row r="1027" spans="1:12" x14ac:dyDescent="0.2">
      <c r="A1027" s="7"/>
      <c r="B1027" s="7"/>
      <c r="C1027" s="7"/>
      <c r="D1027" s="7"/>
      <c r="E1027" s="7">
        <v>611743</v>
      </c>
      <c r="F1027" s="7"/>
      <c r="G1027" s="7" t="s">
        <v>915</v>
      </c>
      <c r="H1027" s="7"/>
      <c r="I1027" s="27" t="s">
        <v>133</v>
      </c>
      <c r="J1027" s="7"/>
      <c r="K1027" s="27" t="s">
        <v>2208</v>
      </c>
      <c r="L1027" s="7"/>
    </row>
    <row r="1028" spans="1:12" x14ac:dyDescent="0.2">
      <c r="A1028" s="7"/>
      <c r="B1028" s="7"/>
      <c r="C1028" s="7"/>
      <c r="D1028" s="7"/>
      <c r="E1028" s="7">
        <v>611744</v>
      </c>
      <c r="F1028" s="7"/>
      <c r="G1028" s="7" t="s">
        <v>916</v>
      </c>
      <c r="H1028" s="7"/>
      <c r="I1028" s="27" t="s">
        <v>133</v>
      </c>
      <c r="J1028" s="7"/>
      <c r="K1028" s="27" t="s">
        <v>2208</v>
      </c>
      <c r="L1028" s="7"/>
    </row>
    <row r="1029" spans="1:12" x14ac:dyDescent="0.2">
      <c r="A1029" s="7"/>
      <c r="B1029" s="7"/>
      <c r="C1029" s="7"/>
      <c r="D1029" s="7"/>
      <c r="E1029" s="7">
        <v>611745</v>
      </c>
      <c r="F1029" s="7"/>
      <c r="G1029" s="7" t="s">
        <v>917</v>
      </c>
      <c r="H1029" s="7"/>
      <c r="I1029" s="27" t="s">
        <v>133</v>
      </c>
      <c r="J1029" s="7"/>
      <c r="K1029" s="27" t="s">
        <v>2208</v>
      </c>
      <c r="L1029" s="7"/>
    </row>
    <row r="1030" spans="1:12" x14ac:dyDescent="0.2">
      <c r="A1030" s="7"/>
      <c r="B1030" s="7"/>
      <c r="C1030" s="7"/>
      <c r="D1030" s="7"/>
      <c r="E1030" s="7">
        <v>611746</v>
      </c>
      <c r="F1030" s="7"/>
      <c r="G1030" s="7" t="s">
        <v>918</v>
      </c>
      <c r="H1030" s="7"/>
      <c r="I1030" s="27" t="s">
        <v>133</v>
      </c>
      <c r="J1030" s="7"/>
      <c r="K1030" s="27" t="s">
        <v>2208</v>
      </c>
      <c r="L1030" s="7"/>
    </row>
    <row r="1031" spans="1:12" x14ac:dyDescent="0.2">
      <c r="A1031" s="7"/>
      <c r="B1031" s="7"/>
      <c r="C1031" s="7"/>
      <c r="D1031" s="7"/>
      <c r="E1031" s="7">
        <v>611747</v>
      </c>
      <c r="F1031" s="7"/>
      <c r="G1031" s="7" t="s">
        <v>919</v>
      </c>
      <c r="H1031" s="7"/>
      <c r="I1031" s="27" t="s">
        <v>133</v>
      </c>
      <c r="J1031" s="7"/>
      <c r="K1031" s="27" t="s">
        <v>2208</v>
      </c>
      <c r="L1031" s="7"/>
    </row>
    <row r="1032" spans="1:12" x14ac:dyDescent="0.2">
      <c r="A1032" s="7"/>
      <c r="B1032" s="7"/>
      <c r="C1032" s="7"/>
      <c r="D1032" s="7"/>
      <c r="E1032" s="7">
        <v>611748</v>
      </c>
      <c r="F1032" s="7"/>
      <c r="G1032" s="7" t="s">
        <v>920</v>
      </c>
      <c r="H1032" s="7"/>
      <c r="I1032" s="27" t="s">
        <v>133</v>
      </c>
      <c r="J1032" s="7"/>
      <c r="K1032" s="27" t="s">
        <v>2208</v>
      </c>
      <c r="L1032" s="7"/>
    </row>
    <row r="1033" spans="1:12" x14ac:dyDescent="0.2">
      <c r="A1033" s="7"/>
      <c r="B1033" s="7"/>
      <c r="C1033" s="7"/>
      <c r="D1033" s="7"/>
      <c r="E1033" s="7">
        <v>611749</v>
      </c>
      <c r="F1033" s="7"/>
      <c r="G1033" s="7" t="s">
        <v>921</v>
      </c>
      <c r="H1033" s="7"/>
      <c r="I1033" s="27" t="s">
        <v>133</v>
      </c>
      <c r="J1033" s="7"/>
      <c r="K1033" s="27" t="s">
        <v>2208</v>
      </c>
      <c r="L1033" s="7"/>
    </row>
    <row r="1034" spans="1:12" x14ac:dyDescent="0.2">
      <c r="A1034" s="7"/>
      <c r="B1034" s="7"/>
      <c r="C1034" s="7"/>
      <c r="D1034" s="7"/>
      <c r="E1034" s="7">
        <v>611750</v>
      </c>
      <c r="F1034" s="7"/>
      <c r="G1034" s="7" t="s">
        <v>922</v>
      </c>
      <c r="H1034" s="7"/>
      <c r="I1034" s="27" t="s">
        <v>133</v>
      </c>
      <c r="J1034" s="7"/>
      <c r="K1034" s="27" t="s">
        <v>2208</v>
      </c>
      <c r="L1034" s="7"/>
    </row>
    <row r="1035" spans="1:12" x14ac:dyDescent="0.2">
      <c r="A1035" s="7"/>
      <c r="B1035" s="7"/>
      <c r="C1035" s="7"/>
      <c r="D1035" s="7"/>
      <c r="E1035" s="7">
        <v>611751</v>
      </c>
      <c r="F1035" s="7"/>
      <c r="G1035" s="7" t="s">
        <v>923</v>
      </c>
      <c r="H1035" s="7"/>
      <c r="I1035" s="27" t="s">
        <v>133</v>
      </c>
      <c r="J1035" s="7"/>
      <c r="K1035" s="27" t="s">
        <v>2208</v>
      </c>
      <c r="L1035" s="7"/>
    </row>
    <row r="1036" spans="1:12" x14ac:dyDescent="0.2">
      <c r="A1036" s="7"/>
      <c r="B1036" s="7"/>
      <c r="C1036" s="7"/>
      <c r="D1036" s="7"/>
      <c r="E1036" s="7">
        <v>611752</v>
      </c>
      <c r="F1036" s="7"/>
      <c r="G1036" s="7" t="s">
        <v>924</v>
      </c>
      <c r="H1036" s="7"/>
      <c r="I1036" s="27" t="s">
        <v>133</v>
      </c>
      <c r="J1036" s="7"/>
      <c r="K1036" s="27" t="s">
        <v>2208</v>
      </c>
      <c r="L1036" s="7"/>
    </row>
    <row r="1037" spans="1:12" x14ac:dyDescent="0.2">
      <c r="A1037" s="7"/>
      <c r="B1037" s="7"/>
      <c r="C1037" s="7"/>
      <c r="D1037" s="7"/>
      <c r="E1037" s="7">
        <v>611753</v>
      </c>
      <c r="F1037" s="7"/>
      <c r="G1037" s="7" t="s">
        <v>925</v>
      </c>
      <c r="H1037" s="7"/>
      <c r="I1037" s="27" t="s">
        <v>133</v>
      </c>
      <c r="J1037" s="7"/>
      <c r="K1037" s="27" t="s">
        <v>2208</v>
      </c>
      <c r="L1037" s="7"/>
    </row>
    <row r="1038" spans="1:12" x14ac:dyDescent="0.2">
      <c r="A1038" s="7"/>
      <c r="B1038" s="7"/>
      <c r="C1038" s="7"/>
      <c r="D1038" s="7"/>
      <c r="E1038" s="7">
        <v>611754</v>
      </c>
      <c r="F1038" s="7"/>
      <c r="G1038" s="7" t="s">
        <v>926</v>
      </c>
      <c r="H1038" s="7"/>
      <c r="I1038" s="27" t="s">
        <v>133</v>
      </c>
      <c r="J1038" s="7"/>
      <c r="K1038" s="27" t="s">
        <v>2208</v>
      </c>
      <c r="L1038" s="7"/>
    </row>
    <row r="1039" spans="1:12" x14ac:dyDescent="0.2">
      <c r="A1039" s="7"/>
      <c r="B1039" s="7"/>
      <c r="C1039" s="7"/>
      <c r="D1039" s="7"/>
      <c r="E1039" s="7">
        <v>611755</v>
      </c>
      <c r="F1039" s="7"/>
      <c r="G1039" s="7" t="s">
        <v>927</v>
      </c>
      <c r="H1039" s="7"/>
      <c r="I1039" s="27" t="s">
        <v>133</v>
      </c>
      <c r="J1039" s="7"/>
      <c r="K1039" s="27" t="s">
        <v>2208</v>
      </c>
      <c r="L1039" s="7"/>
    </row>
    <row r="1040" spans="1:12" x14ac:dyDescent="0.2">
      <c r="A1040" s="7"/>
      <c r="B1040" s="7"/>
      <c r="C1040" s="7"/>
      <c r="D1040" s="7"/>
      <c r="E1040" s="7">
        <v>611756</v>
      </c>
      <c r="F1040" s="7"/>
      <c r="G1040" s="7" t="s">
        <v>928</v>
      </c>
      <c r="H1040" s="7"/>
      <c r="I1040" s="27" t="s">
        <v>133</v>
      </c>
      <c r="J1040" s="7"/>
      <c r="K1040" s="27" t="s">
        <v>2208</v>
      </c>
      <c r="L1040" s="7"/>
    </row>
    <row r="1041" spans="1:12" x14ac:dyDescent="0.2">
      <c r="A1041" s="7"/>
      <c r="B1041" s="7"/>
      <c r="C1041" s="7"/>
      <c r="D1041" s="7"/>
      <c r="E1041" s="7">
        <v>611757</v>
      </c>
      <c r="F1041" s="7"/>
      <c r="G1041" s="7" t="s">
        <v>929</v>
      </c>
      <c r="H1041" s="7"/>
      <c r="I1041" s="27" t="s">
        <v>133</v>
      </c>
      <c r="J1041" s="7"/>
      <c r="K1041" s="27" t="s">
        <v>2208</v>
      </c>
      <c r="L1041" s="7"/>
    </row>
    <row r="1042" spans="1:12" x14ac:dyDescent="0.2">
      <c r="A1042" s="7"/>
      <c r="B1042" s="7"/>
      <c r="C1042" s="7"/>
      <c r="D1042" s="7"/>
      <c r="E1042" s="7">
        <v>611758</v>
      </c>
      <c r="F1042" s="7"/>
      <c r="G1042" s="7" t="s">
        <v>930</v>
      </c>
      <c r="H1042" s="7"/>
      <c r="I1042" s="27" t="s">
        <v>133</v>
      </c>
      <c r="J1042" s="7"/>
      <c r="K1042" s="27" t="s">
        <v>2208</v>
      </c>
      <c r="L1042" s="7"/>
    </row>
    <row r="1043" spans="1:12" x14ac:dyDescent="0.2">
      <c r="A1043" s="7"/>
      <c r="B1043" s="7"/>
      <c r="C1043" s="7"/>
      <c r="D1043" s="7"/>
      <c r="E1043" s="7">
        <v>611759</v>
      </c>
      <c r="F1043" s="7"/>
      <c r="G1043" s="7" t="s">
        <v>931</v>
      </c>
      <c r="H1043" s="7"/>
      <c r="I1043" s="27" t="s">
        <v>133</v>
      </c>
      <c r="J1043" s="7"/>
      <c r="K1043" s="27" t="s">
        <v>2208</v>
      </c>
      <c r="L1043" s="7"/>
    </row>
    <row r="1044" spans="1:12" x14ac:dyDescent="0.2">
      <c r="A1044" s="7"/>
      <c r="B1044" s="7"/>
      <c r="C1044" s="7"/>
      <c r="D1044" s="7"/>
      <c r="E1044" s="7">
        <v>611760</v>
      </c>
      <c r="F1044" s="7"/>
      <c r="G1044" s="7" t="s">
        <v>932</v>
      </c>
      <c r="H1044" s="7"/>
      <c r="I1044" s="27" t="s">
        <v>133</v>
      </c>
      <c r="J1044" s="7"/>
      <c r="K1044" s="27" t="s">
        <v>2208</v>
      </c>
      <c r="L1044" s="7"/>
    </row>
    <row r="1045" spans="1:12" x14ac:dyDescent="0.2">
      <c r="A1045" s="7"/>
      <c r="B1045" s="7"/>
      <c r="C1045" s="7"/>
      <c r="D1045" s="7"/>
      <c r="E1045" s="7">
        <v>611761</v>
      </c>
      <c r="F1045" s="7"/>
      <c r="G1045" s="7" t="s">
        <v>933</v>
      </c>
      <c r="H1045" s="7"/>
      <c r="I1045" s="27" t="s">
        <v>133</v>
      </c>
      <c r="J1045" s="7"/>
      <c r="K1045" s="27" t="s">
        <v>2208</v>
      </c>
      <c r="L1045" s="7"/>
    </row>
    <row r="1046" spans="1:12" x14ac:dyDescent="0.2">
      <c r="A1046" s="7"/>
      <c r="B1046" s="7"/>
      <c r="C1046" s="7"/>
      <c r="D1046" s="7"/>
      <c r="E1046" s="7">
        <v>611762</v>
      </c>
      <c r="F1046" s="7"/>
      <c r="G1046" s="7" t="s">
        <v>934</v>
      </c>
      <c r="H1046" s="7"/>
      <c r="I1046" s="27" t="s">
        <v>133</v>
      </c>
      <c r="J1046" s="7"/>
      <c r="K1046" s="27" t="s">
        <v>2208</v>
      </c>
      <c r="L1046" s="7"/>
    </row>
    <row r="1047" spans="1:12" x14ac:dyDescent="0.2">
      <c r="A1047" s="7"/>
      <c r="B1047" s="7"/>
      <c r="C1047" s="7"/>
      <c r="D1047" s="7"/>
      <c r="E1047" s="7">
        <v>611763</v>
      </c>
      <c r="F1047" s="7"/>
      <c r="G1047" s="7" t="s">
        <v>935</v>
      </c>
      <c r="H1047" s="7"/>
      <c r="I1047" s="27" t="s">
        <v>133</v>
      </c>
      <c r="J1047" s="7"/>
      <c r="K1047" s="27" t="s">
        <v>2208</v>
      </c>
      <c r="L1047" s="7"/>
    </row>
    <row r="1048" spans="1:12" x14ac:dyDescent="0.2">
      <c r="A1048" s="7"/>
      <c r="B1048" s="7"/>
      <c r="C1048" s="7"/>
      <c r="D1048" s="7"/>
      <c r="E1048" s="7">
        <v>611764</v>
      </c>
      <c r="F1048" s="7"/>
      <c r="G1048" s="7" t="s">
        <v>936</v>
      </c>
      <c r="H1048" s="7"/>
      <c r="I1048" s="27" t="s">
        <v>133</v>
      </c>
      <c r="J1048" s="7"/>
      <c r="K1048" s="27" t="s">
        <v>2208</v>
      </c>
      <c r="L1048" s="7"/>
    </row>
    <row r="1049" spans="1:12" x14ac:dyDescent="0.2">
      <c r="A1049" s="7"/>
      <c r="B1049" s="7"/>
      <c r="C1049" s="7"/>
      <c r="D1049" s="7"/>
      <c r="E1049" s="7">
        <v>611765</v>
      </c>
      <c r="F1049" s="7"/>
      <c r="G1049" s="7" t="s">
        <v>937</v>
      </c>
      <c r="H1049" s="7"/>
      <c r="I1049" s="27" t="s">
        <v>133</v>
      </c>
      <c r="J1049" s="7"/>
      <c r="K1049" s="27" t="s">
        <v>2208</v>
      </c>
      <c r="L1049" s="7"/>
    </row>
    <row r="1050" spans="1:12" x14ac:dyDescent="0.2">
      <c r="A1050" s="7"/>
      <c r="B1050" s="7"/>
      <c r="C1050" s="7"/>
      <c r="D1050" s="7"/>
      <c r="E1050" s="7">
        <v>611766</v>
      </c>
      <c r="F1050" s="7"/>
      <c r="G1050" s="7" t="s">
        <v>938</v>
      </c>
      <c r="H1050" s="7"/>
      <c r="I1050" s="27" t="s">
        <v>47</v>
      </c>
      <c r="J1050" s="7"/>
      <c r="K1050" s="27" t="s">
        <v>2208</v>
      </c>
      <c r="L1050" s="7"/>
    </row>
    <row r="1051" spans="1:12" x14ac:dyDescent="0.2">
      <c r="A1051" s="7"/>
      <c r="B1051" s="7"/>
      <c r="C1051" s="7"/>
      <c r="D1051" s="7"/>
      <c r="E1051" s="7">
        <v>611767</v>
      </c>
      <c r="F1051" s="7"/>
      <c r="G1051" s="7" t="s">
        <v>939</v>
      </c>
      <c r="H1051" s="7"/>
      <c r="I1051" s="27" t="s">
        <v>47</v>
      </c>
      <c r="J1051" s="7"/>
      <c r="K1051" s="27" t="s">
        <v>2208</v>
      </c>
      <c r="L1051" s="7"/>
    </row>
    <row r="1052" spans="1:12" x14ac:dyDescent="0.2">
      <c r="A1052" s="7"/>
      <c r="B1052" s="7"/>
      <c r="C1052" s="7"/>
      <c r="D1052" s="7"/>
      <c r="E1052" s="7">
        <v>611768</v>
      </c>
      <c r="F1052" s="7"/>
      <c r="G1052" s="7" t="s">
        <v>940</v>
      </c>
      <c r="H1052" s="7"/>
      <c r="I1052" s="27" t="s">
        <v>47</v>
      </c>
      <c r="J1052" s="7"/>
      <c r="K1052" s="27" t="s">
        <v>2208</v>
      </c>
      <c r="L1052" s="7"/>
    </row>
    <row r="1053" spans="1:12" x14ac:dyDescent="0.2">
      <c r="A1053" s="7"/>
      <c r="B1053" s="7"/>
      <c r="C1053" s="7"/>
      <c r="D1053" s="7"/>
      <c r="E1053" s="7">
        <v>611769</v>
      </c>
      <c r="F1053" s="7"/>
      <c r="G1053" s="7" t="s">
        <v>941</v>
      </c>
      <c r="H1053" s="7"/>
      <c r="I1053" s="27" t="s">
        <v>47</v>
      </c>
      <c r="J1053" s="7"/>
      <c r="K1053" s="27" t="s">
        <v>2208</v>
      </c>
      <c r="L1053" s="7"/>
    </row>
    <row r="1054" spans="1:12" x14ac:dyDescent="0.2">
      <c r="A1054" s="7"/>
      <c r="B1054" s="7"/>
      <c r="C1054" s="7"/>
      <c r="D1054" s="7"/>
      <c r="E1054" s="7">
        <v>611770</v>
      </c>
      <c r="F1054" s="7"/>
      <c r="G1054" s="7" t="s">
        <v>942</v>
      </c>
      <c r="H1054" s="7"/>
      <c r="I1054" s="27" t="s">
        <v>133</v>
      </c>
      <c r="J1054" s="7"/>
      <c r="K1054" s="27" t="s">
        <v>2208</v>
      </c>
      <c r="L1054" s="7"/>
    </row>
    <row r="1055" spans="1:12" x14ac:dyDescent="0.2">
      <c r="A1055" s="7"/>
      <c r="B1055" s="7"/>
      <c r="C1055" s="7"/>
      <c r="D1055" s="7"/>
      <c r="E1055" s="7">
        <v>611771</v>
      </c>
      <c r="F1055" s="7"/>
      <c r="G1055" s="7" t="s">
        <v>943</v>
      </c>
      <c r="H1055" s="7"/>
      <c r="I1055" s="27" t="s">
        <v>133</v>
      </c>
      <c r="J1055" s="7"/>
      <c r="K1055" s="27" t="s">
        <v>2208</v>
      </c>
      <c r="L1055" s="7"/>
    </row>
    <row r="1056" spans="1:12" x14ac:dyDescent="0.2">
      <c r="A1056" s="7"/>
      <c r="B1056" s="7"/>
      <c r="C1056" s="7"/>
      <c r="D1056" s="7"/>
      <c r="E1056" s="7">
        <v>611772</v>
      </c>
      <c r="F1056" s="7"/>
      <c r="G1056" s="7" t="s">
        <v>944</v>
      </c>
      <c r="H1056" s="7"/>
      <c r="I1056" s="27" t="s">
        <v>133</v>
      </c>
      <c r="J1056" s="7"/>
      <c r="K1056" s="27" t="s">
        <v>2208</v>
      </c>
      <c r="L1056" s="7"/>
    </row>
    <row r="1057" spans="1:12" x14ac:dyDescent="0.2">
      <c r="A1057" s="7"/>
      <c r="B1057" s="7"/>
      <c r="C1057" s="7"/>
      <c r="D1057" s="7"/>
      <c r="E1057" s="7">
        <v>611773</v>
      </c>
      <c r="F1057" s="7"/>
      <c r="G1057" s="7" t="s">
        <v>945</v>
      </c>
      <c r="H1057" s="7"/>
      <c r="I1057" s="27" t="s">
        <v>133</v>
      </c>
      <c r="J1057" s="7"/>
      <c r="K1057" s="27" t="s">
        <v>2208</v>
      </c>
      <c r="L1057" s="7"/>
    </row>
    <row r="1058" spans="1:12" x14ac:dyDescent="0.2">
      <c r="A1058" s="7"/>
      <c r="B1058" s="7"/>
      <c r="C1058" s="7"/>
      <c r="D1058" s="7"/>
      <c r="E1058" s="7">
        <v>611774</v>
      </c>
      <c r="F1058" s="7"/>
      <c r="G1058" s="7" t="s">
        <v>946</v>
      </c>
      <c r="H1058" s="7"/>
      <c r="I1058" s="27" t="s">
        <v>133</v>
      </c>
      <c r="J1058" s="7"/>
      <c r="K1058" s="27" t="s">
        <v>2208</v>
      </c>
      <c r="L1058" s="7"/>
    </row>
    <row r="1059" spans="1:12" x14ac:dyDescent="0.2">
      <c r="A1059" s="7"/>
      <c r="B1059" s="7"/>
      <c r="C1059" s="7"/>
      <c r="D1059" s="7"/>
      <c r="E1059" s="7">
        <v>611775</v>
      </c>
      <c r="F1059" s="7"/>
      <c r="G1059" s="7" t="s">
        <v>947</v>
      </c>
      <c r="H1059" s="7"/>
      <c r="I1059" s="27" t="s">
        <v>133</v>
      </c>
      <c r="J1059" s="7"/>
      <c r="K1059" s="27" t="s">
        <v>2208</v>
      </c>
      <c r="L1059" s="7"/>
    </row>
    <row r="1060" spans="1:12" x14ac:dyDescent="0.2">
      <c r="A1060" s="7"/>
      <c r="B1060" s="7"/>
      <c r="C1060" s="7"/>
      <c r="D1060" s="7"/>
      <c r="E1060" s="7">
        <v>611776</v>
      </c>
      <c r="F1060" s="7"/>
      <c r="G1060" s="7" t="s">
        <v>948</v>
      </c>
      <c r="H1060" s="7"/>
      <c r="I1060" s="27" t="s">
        <v>133</v>
      </c>
      <c r="J1060" s="7"/>
      <c r="K1060" s="27" t="s">
        <v>2208</v>
      </c>
      <c r="L1060" s="7"/>
    </row>
    <row r="1061" spans="1:12" x14ac:dyDescent="0.2">
      <c r="A1061" s="7"/>
      <c r="B1061" s="7"/>
      <c r="C1061" s="7"/>
      <c r="D1061" s="7"/>
      <c r="E1061" s="7">
        <v>611777</v>
      </c>
      <c r="F1061" s="7"/>
      <c r="G1061" s="7" t="s">
        <v>949</v>
      </c>
      <c r="H1061" s="7"/>
      <c r="I1061" s="27" t="s">
        <v>133</v>
      </c>
      <c r="J1061" s="7"/>
      <c r="K1061" s="27" t="s">
        <v>2208</v>
      </c>
      <c r="L1061" s="7"/>
    </row>
    <row r="1062" spans="1:12" x14ac:dyDescent="0.2">
      <c r="A1062" s="7"/>
      <c r="B1062" s="7"/>
      <c r="C1062" s="7"/>
      <c r="D1062" s="7"/>
      <c r="E1062" s="7">
        <v>611778</v>
      </c>
      <c r="F1062" s="7"/>
      <c r="G1062" s="7" t="s">
        <v>950</v>
      </c>
      <c r="H1062" s="7"/>
      <c r="I1062" s="27" t="s">
        <v>133</v>
      </c>
      <c r="J1062" s="7"/>
      <c r="K1062" s="27" t="s">
        <v>2208</v>
      </c>
      <c r="L1062" s="7"/>
    </row>
    <row r="1063" spans="1:12" x14ac:dyDescent="0.2">
      <c r="A1063" s="7"/>
      <c r="B1063" s="7"/>
      <c r="C1063" s="7"/>
      <c r="D1063" s="7"/>
      <c r="E1063" s="7">
        <v>611779</v>
      </c>
      <c r="F1063" s="7"/>
      <c r="G1063" s="7" t="s">
        <v>951</v>
      </c>
      <c r="H1063" s="7"/>
      <c r="I1063" s="27" t="s">
        <v>133</v>
      </c>
      <c r="J1063" s="7"/>
      <c r="K1063" s="27" t="s">
        <v>2208</v>
      </c>
      <c r="L1063" s="7"/>
    </row>
    <row r="1064" spans="1:12" x14ac:dyDescent="0.2">
      <c r="A1064" s="7"/>
      <c r="B1064" s="7"/>
      <c r="C1064" s="7"/>
      <c r="D1064" s="7"/>
      <c r="E1064" s="7">
        <v>611780</v>
      </c>
      <c r="F1064" s="7"/>
      <c r="G1064" s="7" t="s">
        <v>932</v>
      </c>
      <c r="H1064" s="7"/>
      <c r="I1064" s="27" t="s">
        <v>133</v>
      </c>
      <c r="J1064" s="7"/>
      <c r="K1064" s="27" t="s">
        <v>2208</v>
      </c>
      <c r="L1064" s="7"/>
    </row>
    <row r="1065" spans="1:12" x14ac:dyDescent="0.2">
      <c r="A1065" s="7"/>
      <c r="B1065" s="7"/>
      <c r="C1065" s="7"/>
      <c r="D1065" s="7"/>
      <c r="E1065" s="7">
        <v>611781</v>
      </c>
      <c r="F1065" s="7"/>
      <c r="G1065" s="7" t="s">
        <v>952</v>
      </c>
      <c r="H1065" s="7"/>
      <c r="I1065" s="27" t="s">
        <v>133</v>
      </c>
      <c r="J1065" s="7"/>
      <c r="K1065" s="27" t="s">
        <v>2208</v>
      </c>
      <c r="L1065" s="7"/>
    </row>
    <row r="1066" spans="1:12" x14ac:dyDescent="0.2">
      <c r="A1066" s="7"/>
      <c r="B1066" s="7"/>
      <c r="C1066" s="7"/>
      <c r="D1066" s="7"/>
      <c r="E1066" s="7">
        <v>611782</v>
      </c>
      <c r="F1066" s="7"/>
      <c r="G1066" s="7" t="s">
        <v>953</v>
      </c>
      <c r="H1066" s="7"/>
      <c r="I1066" s="27" t="s">
        <v>133</v>
      </c>
      <c r="J1066" s="7"/>
      <c r="K1066" s="27" t="s">
        <v>2208</v>
      </c>
      <c r="L1066" s="7"/>
    </row>
    <row r="1067" spans="1:12" x14ac:dyDescent="0.2">
      <c r="A1067" s="7"/>
      <c r="B1067" s="7"/>
      <c r="C1067" s="7"/>
      <c r="D1067" s="7"/>
      <c r="E1067" s="7">
        <v>611783</v>
      </c>
      <c r="F1067" s="7"/>
      <c r="G1067" s="7" t="s">
        <v>954</v>
      </c>
      <c r="H1067" s="7"/>
      <c r="I1067" s="27" t="s">
        <v>133</v>
      </c>
      <c r="J1067" s="7"/>
      <c r="K1067" s="27" t="s">
        <v>2208</v>
      </c>
      <c r="L1067" s="7"/>
    </row>
    <row r="1068" spans="1:12" x14ac:dyDescent="0.2">
      <c r="A1068" s="7"/>
      <c r="B1068" s="7"/>
      <c r="C1068" s="7"/>
      <c r="D1068" s="7"/>
      <c r="E1068" s="7">
        <v>611784</v>
      </c>
      <c r="F1068" s="7"/>
      <c r="G1068" s="7" t="s">
        <v>955</v>
      </c>
      <c r="H1068" s="7"/>
      <c r="I1068" s="27" t="s">
        <v>133</v>
      </c>
      <c r="J1068" s="7"/>
      <c r="K1068" s="27" t="s">
        <v>2208</v>
      </c>
      <c r="L1068" s="7"/>
    </row>
    <row r="1069" spans="1:12" x14ac:dyDescent="0.2">
      <c r="A1069" s="7"/>
      <c r="B1069" s="7"/>
      <c r="C1069" s="7"/>
      <c r="D1069" s="7"/>
      <c r="E1069" s="7">
        <v>611785</v>
      </c>
      <c r="F1069" s="7"/>
      <c r="G1069" s="7" t="s">
        <v>956</v>
      </c>
      <c r="H1069" s="7"/>
      <c r="I1069" s="27" t="s">
        <v>133</v>
      </c>
      <c r="J1069" s="7"/>
      <c r="K1069" s="27" t="s">
        <v>2208</v>
      </c>
      <c r="L1069" s="7"/>
    </row>
    <row r="1070" spans="1:12" x14ac:dyDescent="0.2">
      <c r="A1070" s="7"/>
      <c r="B1070" s="7"/>
      <c r="C1070" s="7"/>
      <c r="D1070" s="7"/>
      <c r="E1070" s="7">
        <v>611786</v>
      </c>
      <c r="F1070" s="7"/>
      <c r="G1070" s="7" t="s">
        <v>957</v>
      </c>
      <c r="H1070" s="7"/>
      <c r="I1070" s="27" t="s">
        <v>133</v>
      </c>
      <c r="J1070" s="7"/>
      <c r="K1070" s="27" t="s">
        <v>2208</v>
      </c>
      <c r="L1070" s="7"/>
    </row>
    <row r="1071" spans="1:12" x14ac:dyDescent="0.2">
      <c r="A1071" s="7"/>
      <c r="B1071" s="7"/>
      <c r="C1071" s="7"/>
      <c r="D1071" s="7"/>
      <c r="E1071" s="7">
        <v>611787</v>
      </c>
      <c r="F1071" s="7"/>
      <c r="G1071" s="7" t="s">
        <v>958</v>
      </c>
      <c r="H1071" s="7"/>
      <c r="I1071" s="27" t="s">
        <v>133</v>
      </c>
      <c r="J1071" s="7"/>
      <c r="K1071" s="27" t="s">
        <v>2208</v>
      </c>
      <c r="L1071" s="7"/>
    </row>
    <row r="1072" spans="1:12" x14ac:dyDescent="0.2">
      <c r="A1072" s="7"/>
      <c r="B1072" s="7"/>
      <c r="C1072" s="7"/>
      <c r="D1072" s="7"/>
      <c r="E1072" s="7">
        <v>611788</v>
      </c>
      <c r="F1072" s="7"/>
      <c r="G1072" s="7" t="s">
        <v>959</v>
      </c>
      <c r="H1072" s="7"/>
      <c r="I1072" s="27" t="s">
        <v>133</v>
      </c>
      <c r="J1072" s="7"/>
      <c r="K1072" s="27" t="s">
        <v>2208</v>
      </c>
      <c r="L1072" s="7"/>
    </row>
    <row r="1073" spans="1:12" x14ac:dyDescent="0.2">
      <c r="A1073" s="7"/>
      <c r="B1073" s="7"/>
      <c r="C1073" s="7"/>
      <c r="D1073" s="7"/>
      <c r="E1073" s="7">
        <v>611789</v>
      </c>
      <c r="F1073" s="7"/>
      <c r="G1073" s="7" t="s">
        <v>960</v>
      </c>
      <c r="H1073" s="7"/>
      <c r="I1073" s="27" t="s">
        <v>133</v>
      </c>
      <c r="J1073" s="7"/>
      <c r="K1073" s="27" t="s">
        <v>2208</v>
      </c>
      <c r="L1073" s="7"/>
    </row>
    <row r="1074" spans="1:12" x14ac:dyDescent="0.2">
      <c r="A1074" s="7"/>
      <c r="B1074" s="7"/>
      <c r="C1074" s="7"/>
      <c r="D1074" s="7"/>
      <c r="E1074" s="7">
        <v>611790</v>
      </c>
      <c r="F1074" s="7"/>
      <c r="G1074" s="7" t="s">
        <v>961</v>
      </c>
      <c r="H1074" s="7"/>
      <c r="I1074" s="27" t="s">
        <v>47</v>
      </c>
      <c r="J1074" s="7"/>
      <c r="K1074" s="27" t="s">
        <v>2208</v>
      </c>
      <c r="L1074" s="7"/>
    </row>
    <row r="1075" spans="1:12" x14ac:dyDescent="0.2">
      <c r="A1075" s="7"/>
      <c r="B1075" s="7"/>
      <c r="C1075" s="7"/>
      <c r="D1075" s="7"/>
      <c r="E1075" s="7">
        <v>611791</v>
      </c>
      <c r="F1075" s="7"/>
      <c r="G1075" s="7" t="s">
        <v>962</v>
      </c>
      <c r="H1075" s="7"/>
      <c r="I1075" s="27" t="s">
        <v>47</v>
      </c>
      <c r="J1075" s="7"/>
      <c r="K1075" s="27" t="s">
        <v>2208</v>
      </c>
      <c r="L1075" s="7"/>
    </row>
    <row r="1076" spans="1:12" x14ac:dyDescent="0.2">
      <c r="A1076" s="7"/>
      <c r="B1076" s="7"/>
      <c r="C1076" s="7"/>
      <c r="D1076" s="7"/>
      <c r="E1076" s="7">
        <v>611792</v>
      </c>
      <c r="F1076" s="7"/>
      <c r="G1076" s="7" t="s">
        <v>963</v>
      </c>
      <c r="H1076" s="7"/>
      <c r="I1076" s="27" t="s">
        <v>47</v>
      </c>
      <c r="J1076" s="7"/>
      <c r="K1076" s="27" t="s">
        <v>2208</v>
      </c>
      <c r="L1076" s="7"/>
    </row>
    <row r="1077" spans="1:12" x14ac:dyDescent="0.2">
      <c r="A1077" s="7"/>
      <c r="B1077" s="7"/>
      <c r="C1077" s="7"/>
      <c r="D1077" s="7"/>
      <c r="E1077" s="7">
        <v>611793</v>
      </c>
      <c r="F1077" s="7"/>
      <c r="G1077" s="7" t="s">
        <v>964</v>
      </c>
      <c r="H1077" s="7"/>
      <c r="I1077" s="27" t="s">
        <v>47</v>
      </c>
      <c r="J1077" s="7"/>
      <c r="K1077" s="27" t="s">
        <v>2208</v>
      </c>
      <c r="L1077" s="7"/>
    </row>
    <row r="1078" spans="1:12" x14ac:dyDescent="0.2">
      <c r="A1078" s="7"/>
      <c r="B1078" s="7"/>
      <c r="C1078" s="7"/>
      <c r="D1078" s="7"/>
      <c r="E1078" s="7">
        <v>611794</v>
      </c>
      <c r="F1078" s="7"/>
      <c r="G1078" s="7" t="s">
        <v>965</v>
      </c>
      <c r="H1078" s="7"/>
      <c r="I1078" s="27" t="s">
        <v>47</v>
      </c>
      <c r="J1078" s="7"/>
      <c r="K1078" s="27" t="s">
        <v>2208</v>
      </c>
      <c r="L1078" s="7"/>
    </row>
    <row r="1079" spans="1:12" x14ac:dyDescent="0.2">
      <c r="A1079" s="7"/>
      <c r="B1079" s="7"/>
      <c r="C1079" s="7"/>
      <c r="D1079" s="7"/>
      <c r="E1079" s="7">
        <v>611795</v>
      </c>
      <c r="F1079" s="7"/>
      <c r="G1079" s="7" t="s">
        <v>966</v>
      </c>
      <c r="H1079" s="7"/>
      <c r="I1079" s="27" t="s">
        <v>47</v>
      </c>
      <c r="J1079" s="7"/>
      <c r="K1079" s="27" t="s">
        <v>2208</v>
      </c>
      <c r="L1079" s="7"/>
    </row>
    <row r="1080" spans="1:12" x14ac:dyDescent="0.2">
      <c r="A1080" s="7"/>
      <c r="B1080" s="7"/>
      <c r="C1080" s="7"/>
      <c r="D1080" s="7"/>
      <c r="E1080" s="7">
        <v>611796</v>
      </c>
      <c r="F1080" s="7"/>
      <c r="G1080" s="7" t="s">
        <v>967</v>
      </c>
      <c r="H1080" s="7"/>
      <c r="I1080" s="27" t="s">
        <v>133</v>
      </c>
      <c r="J1080" s="7"/>
      <c r="K1080" s="27" t="s">
        <v>2208</v>
      </c>
      <c r="L1080" s="7"/>
    </row>
    <row r="1081" spans="1:12" x14ac:dyDescent="0.2">
      <c r="A1081" s="7"/>
      <c r="B1081" s="7"/>
      <c r="C1081" s="7"/>
      <c r="D1081" s="7"/>
      <c r="E1081" s="7">
        <v>611797</v>
      </c>
      <c r="F1081" s="7"/>
      <c r="G1081" s="7" t="s">
        <v>968</v>
      </c>
      <c r="H1081" s="7"/>
      <c r="I1081" s="27" t="s">
        <v>133</v>
      </c>
      <c r="J1081" s="7"/>
      <c r="K1081" s="27" t="s">
        <v>2208</v>
      </c>
      <c r="L1081" s="7"/>
    </row>
    <row r="1082" spans="1:12" x14ac:dyDescent="0.2">
      <c r="A1082" s="7"/>
      <c r="B1082" s="7"/>
      <c r="C1082" s="7"/>
      <c r="D1082" s="7"/>
      <c r="E1082" s="7">
        <v>611798</v>
      </c>
      <c r="F1082" s="7"/>
      <c r="G1082" s="7" t="s">
        <v>969</v>
      </c>
      <c r="H1082" s="7"/>
      <c r="I1082" s="27" t="s">
        <v>133</v>
      </c>
      <c r="J1082" s="7"/>
      <c r="K1082" s="27" t="s">
        <v>2208</v>
      </c>
      <c r="L1082" s="7"/>
    </row>
    <row r="1083" spans="1:12" x14ac:dyDescent="0.2">
      <c r="A1083" s="7"/>
      <c r="B1083" s="7"/>
      <c r="C1083" s="7"/>
      <c r="D1083" s="7"/>
      <c r="E1083" s="7">
        <v>611799</v>
      </c>
      <c r="F1083" s="7"/>
      <c r="G1083" s="7" t="s">
        <v>970</v>
      </c>
      <c r="H1083" s="7"/>
      <c r="I1083" s="27" t="s">
        <v>133</v>
      </c>
      <c r="J1083" s="7"/>
      <c r="K1083" s="27" t="s">
        <v>2208</v>
      </c>
      <c r="L1083" s="7"/>
    </row>
    <row r="1084" spans="1:12" x14ac:dyDescent="0.2">
      <c r="A1084" s="7"/>
      <c r="B1084" s="7"/>
      <c r="C1084" s="7"/>
      <c r="D1084" s="7"/>
      <c r="E1084" s="7">
        <v>611800</v>
      </c>
      <c r="F1084" s="7"/>
      <c r="G1084" s="7" t="s">
        <v>971</v>
      </c>
      <c r="H1084" s="7"/>
      <c r="I1084" s="27" t="s">
        <v>47</v>
      </c>
      <c r="J1084" s="7"/>
      <c r="K1084" s="27" t="s">
        <v>2208</v>
      </c>
      <c r="L1084" s="7"/>
    </row>
    <row r="1085" spans="1:12" x14ac:dyDescent="0.2">
      <c r="A1085" s="7"/>
      <c r="B1085" s="7"/>
      <c r="C1085" s="7"/>
      <c r="D1085" s="7"/>
      <c r="E1085" s="7">
        <v>611801</v>
      </c>
      <c r="F1085" s="7"/>
      <c r="G1085" s="7" t="s">
        <v>972</v>
      </c>
      <c r="H1085" s="7"/>
      <c r="I1085" s="27" t="s">
        <v>47</v>
      </c>
      <c r="J1085" s="7"/>
      <c r="K1085" s="27" t="s">
        <v>2208</v>
      </c>
      <c r="L1085" s="7"/>
    </row>
    <row r="1086" spans="1:12" x14ac:dyDescent="0.2">
      <c r="A1086" s="7"/>
      <c r="B1086" s="7"/>
      <c r="C1086" s="7"/>
      <c r="D1086" s="7"/>
      <c r="E1086" s="7">
        <v>611802</v>
      </c>
      <c r="F1086" s="7"/>
      <c r="G1086" s="7" t="s">
        <v>973</v>
      </c>
      <c r="H1086" s="7"/>
      <c r="I1086" s="27" t="s">
        <v>47</v>
      </c>
      <c r="J1086" s="7"/>
      <c r="K1086" s="27" t="s">
        <v>2208</v>
      </c>
      <c r="L1086" s="7"/>
    </row>
    <row r="1087" spans="1:12" x14ac:dyDescent="0.2">
      <c r="A1087" s="7"/>
      <c r="B1087" s="7"/>
      <c r="C1087" s="7"/>
      <c r="D1087" s="7"/>
      <c r="E1087" s="7">
        <v>611803</v>
      </c>
      <c r="F1087" s="7"/>
      <c r="G1087" s="7" t="s">
        <v>974</v>
      </c>
      <c r="H1087" s="7"/>
      <c r="I1087" s="27" t="s">
        <v>47</v>
      </c>
      <c r="J1087" s="7"/>
      <c r="K1087" s="27" t="s">
        <v>2208</v>
      </c>
      <c r="L1087" s="7"/>
    </row>
    <row r="1088" spans="1:12" x14ac:dyDescent="0.2">
      <c r="A1088" s="7"/>
      <c r="B1088" s="7"/>
      <c r="C1088" s="7"/>
      <c r="D1088" s="7"/>
      <c r="E1088" s="7">
        <v>611804</v>
      </c>
      <c r="F1088" s="7"/>
      <c r="G1088" s="7" t="s">
        <v>975</v>
      </c>
      <c r="H1088" s="7"/>
      <c r="I1088" s="27" t="s">
        <v>47</v>
      </c>
      <c r="J1088" s="7"/>
      <c r="K1088" s="27" t="s">
        <v>2208</v>
      </c>
      <c r="L1088" s="7"/>
    </row>
    <row r="1089" spans="1:12" x14ac:dyDescent="0.2">
      <c r="A1089" s="7"/>
      <c r="B1089" s="7"/>
      <c r="C1089" s="7"/>
      <c r="D1089" s="7"/>
      <c r="E1089" s="7">
        <v>611805</v>
      </c>
      <c r="F1089" s="7"/>
      <c r="G1089" s="7" t="s">
        <v>976</v>
      </c>
      <c r="H1089" s="7"/>
      <c r="I1089" s="27" t="s">
        <v>47</v>
      </c>
      <c r="J1089" s="7"/>
      <c r="K1089" s="27" t="s">
        <v>2208</v>
      </c>
      <c r="L1089" s="7"/>
    </row>
    <row r="1090" spans="1:12" x14ac:dyDescent="0.2">
      <c r="A1090" s="7"/>
      <c r="B1090" s="7"/>
      <c r="C1090" s="7"/>
      <c r="D1090" s="7"/>
      <c r="E1090" s="7">
        <v>611806</v>
      </c>
      <c r="F1090" s="7"/>
      <c r="G1090" s="7" t="s">
        <v>977</v>
      </c>
      <c r="H1090" s="7"/>
      <c r="I1090" s="27" t="s">
        <v>47</v>
      </c>
      <c r="J1090" s="7"/>
      <c r="K1090" s="27" t="s">
        <v>2208</v>
      </c>
      <c r="L1090" s="7"/>
    </row>
    <row r="1091" spans="1:12" x14ac:dyDescent="0.2">
      <c r="A1091" s="7"/>
      <c r="B1091" s="7"/>
      <c r="C1091" s="7"/>
      <c r="D1091" s="7"/>
      <c r="E1091" s="7">
        <v>611807</v>
      </c>
      <c r="F1091" s="7"/>
      <c r="G1091" s="7" t="s">
        <v>978</v>
      </c>
      <c r="H1091" s="7"/>
      <c r="I1091" s="27" t="s">
        <v>47</v>
      </c>
      <c r="J1091" s="7"/>
      <c r="K1091" s="27" t="s">
        <v>2208</v>
      </c>
      <c r="L1091" s="7"/>
    </row>
    <row r="1092" spans="1:12" x14ac:dyDescent="0.2">
      <c r="A1092" s="7"/>
      <c r="B1092" s="7"/>
      <c r="C1092" s="7"/>
      <c r="D1092" s="7"/>
      <c r="E1092" s="7">
        <v>611808</v>
      </c>
      <c r="F1092" s="7"/>
      <c r="G1092" s="7" t="s">
        <v>979</v>
      </c>
      <c r="H1092" s="7"/>
      <c r="I1092" s="27" t="s">
        <v>47</v>
      </c>
      <c r="J1092" s="7"/>
      <c r="K1092" s="27" t="s">
        <v>2208</v>
      </c>
      <c r="L1092" s="7"/>
    </row>
    <row r="1093" spans="1:12" x14ac:dyDescent="0.2">
      <c r="A1093" s="7"/>
      <c r="B1093" s="7"/>
      <c r="C1093" s="7"/>
      <c r="D1093" s="7"/>
      <c r="E1093" s="7">
        <v>611809</v>
      </c>
      <c r="F1093" s="7"/>
      <c r="G1093" s="7" t="s">
        <v>980</v>
      </c>
      <c r="H1093" s="7"/>
      <c r="I1093" s="27" t="s">
        <v>47</v>
      </c>
      <c r="J1093" s="7"/>
      <c r="K1093" s="27" t="s">
        <v>2208</v>
      </c>
      <c r="L1093" s="7"/>
    </row>
    <row r="1094" spans="1:12" x14ac:dyDescent="0.2">
      <c r="A1094" s="7"/>
      <c r="B1094" s="7"/>
      <c r="C1094" s="7"/>
      <c r="D1094" s="7"/>
      <c r="E1094" s="7">
        <v>611810</v>
      </c>
      <c r="F1094" s="7"/>
      <c r="G1094" s="7" t="s">
        <v>981</v>
      </c>
      <c r="H1094" s="7"/>
      <c r="I1094" s="27" t="s">
        <v>47</v>
      </c>
      <c r="J1094" s="7"/>
      <c r="K1094" s="27" t="s">
        <v>2208</v>
      </c>
      <c r="L1094" s="7"/>
    </row>
    <row r="1095" spans="1:12" x14ac:dyDescent="0.2">
      <c r="A1095" s="7"/>
      <c r="B1095" s="7"/>
      <c r="C1095" s="7"/>
      <c r="D1095" s="7"/>
      <c r="E1095" s="7">
        <v>611811</v>
      </c>
      <c r="F1095" s="7"/>
      <c r="G1095" s="7" t="s">
        <v>982</v>
      </c>
      <c r="H1095" s="7"/>
      <c r="I1095" s="27" t="s">
        <v>47</v>
      </c>
      <c r="J1095" s="7"/>
      <c r="K1095" s="27" t="s">
        <v>2208</v>
      </c>
      <c r="L1095" s="7"/>
    </row>
    <row r="1096" spans="1:12" x14ac:dyDescent="0.2">
      <c r="A1096" s="7"/>
      <c r="B1096" s="7"/>
      <c r="C1096" s="7"/>
      <c r="D1096" s="7"/>
      <c r="E1096" s="7">
        <v>611812</v>
      </c>
      <c r="F1096" s="7"/>
      <c r="G1096" s="7" t="s">
        <v>983</v>
      </c>
      <c r="H1096" s="7"/>
      <c r="I1096" s="27" t="s">
        <v>47</v>
      </c>
      <c r="J1096" s="7"/>
      <c r="K1096" s="27" t="s">
        <v>2208</v>
      </c>
      <c r="L1096" s="7"/>
    </row>
    <row r="1097" spans="1:12" x14ac:dyDescent="0.2">
      <c r="A1097" s="7"/>
      <c r="B1097" s="7"/>
      <c r="C1097" s="7"/>
      <c r="D1097" s="7"/>
      <c r="E1097" s="7">
        <v>611813</v>
      </c>
      <c r="F1097" s="7"/>
      <c r="G1097" s="7" t="s">
        <v>984</v>
      </c>
      <c r="H1097" s="7"/>
      <c r="I1097" s="27" t="s">
        <v>47</v>
      </c>
      <c r="J1097" s="7"/>
      <c r="K1097" s="27" t="s">
        <v>2208</v>
      </c>
      <c r="L1097" s="7"/>
    </row>
    <row r="1098" spans="1:12" x14ac:dyDescent="0.2">
      <c r="A1098" s="7"/>
      <c r="B1098" s="7"/>
      <c r="C1098" s="7"/>
      <c r="D1098" s="7"/>
      <c r="E1098" s="7">
        <v>611814</v>
      </c>
      <c r="F1098" s="7"/>
      <c r="G1098" s="7" t="s">
        <v>985</v>
      </c>
      <c r="H1098" s="7"/>
      <c r="I1098" s="27" t="s">
        <v>47</v>
      </c>
      <c r="J1098" s="7"/>
      <c r="K1098" s="27" t="s">
        <v>2208</v>
      </c>
      <c r="L1098" s="7"/>
    </row>
    <row r="1099" spans="1:12" x14ac:dyDescent="0.2">
      <c r="A1099" s="7"/>
      <c r="B1099" s="7"/>
      <c r="C1099" s="7"/>
      <c r="D1099" s="7"/>
      <c r="E1099" s="7">
        <v>611815</v>
      </c>
      <c r="F1099" s="7"/>
      <c r="G1099" s="7" t="s">
        <v>986</v>
      </c>
      <c r="H1099" s="7"/>
      <c r="I1099" s="27" t="s">
        <v>47</v>
      </c>
      <c r="J1099" s="7"/>
      <c r="K1099" s="27" t="s">
        <v>2208</v>
      </c>
      <c r="L1099" s="7"/>
    </row>
    <row r="1100" spans="1:12" x14ac:dyDescent="0.2">
      <c r="A1100" s="7"/>
      <c r="B1100" s="7"/>
      <c r="C1100" s="7"/>
      <c r="D1100" s="7"/>
      <c r="E1100" s="7">
        <v>611816</v>
      </c>
      <c r="F1100" s="7"/>
      <c r="G1100" s="7" t="s">
        <v>987</v>
      </c>
      <c r="H1100" s="7"/>
      <c r="I1100" s="27" t="s">
        <v>47</v>
      </c>
      <c r="J1100" s="7"/>
      <c r="K1100" s="27" t="s">
        <v>2208</v>
      </c>
      <c r="L1100" s="7"/>
    </row>
    <row r="1101" spans="1:12" x14ac:dyDescent="0.2">
      <c r="A1101" s="7"/>
      <c r="B1101" s="7"/>
      <c r="C1101" s="7"/>
      <c r="D1101" s="7"/>
      <c r="E1101" s="7">
        <v>611817</v>
      </c>
      <c r="F1101" s="7"/>
      <c r="G1101" s="7" t="s">
        <v>988</v>
      </c>
      <c r="H1101" s="7"/>
      <c r="I1101" s="27" t="s">
        <v>47</v>
      </c>
      <c r="J1101" s="7"/>
      <c r="K1101" s="27" t="s">
        <v>2208</v>
      </c>
      <c r="L1101" s="7"/>
    </row>
    <row r="1102" spans="1:12" x14ac:dyDescent="0.2">
      <c r="A1102" s="7"/>
      <c r="B1102" s="7"/>
      <c r="C1102" s="7"/>
      <c r="D1102" s="7"/>
      <c r="E1102" s="7">
        <v>611818</v>
      </c>
      <c r="F1102" s="7"/>
      <c r="G1102" s="7" t="s">
        <v>989</v>
      </c>
      <c r="H1102" s="7"/>
      <c r="I1102" s="27" t="s">
        <v>47</v>
      </c>
      <c r="J1102" s="7"/>
      <c r="K1102" s="27" t="s">
        <v>2208</v>
      </c>
      <c r="L1102" s="7"/>
    </row>
    <row r="1103" spans="1:12" x14ac:dyDescent="0.2">
      <c r="A1103" s="7"/>
      <c r="B1103" s="7"/>
      <c r="C1103" s="7"/>
      <c r="D1103" s="7"/>
      <c r="E1103" s="7">
        <v>611819</v>
      </c>
      <c r="F1103" s="7"/>
      <c r="G1103" s="7" t="s">
        <v>990</v>
      </c>
      <c r="H1103" s="7"/>
      <c r="I1103" s="27" t="s">
        <v>47</v>
      </c>
      <c r="J1103" s="7"/>
      <c r="K1103" s="27" t="s">
        <v>2208</v>
      </c>
      <c r="L1103" s="7"/>
    </row>
    <row r="1104" spans="1:12" x14ac:dyDescent="0.2">
      <c r="A1104" s="7"/>
      <c r="B1104" s="7"/>
      <c r="C1104" s="7"/>
      <c r="D1104" s="7"/>
      <c r="E1104" s="7">
        <v>611820</v>
      </c>
      <c r="F1104" s="7"/>
      <c r="G1104" s="7" t="s">
        <v>991</v>
      </c>
      <c r="H1104" s="7"/>
      <c r="I1104" s="27" t="s">
        <v>47</v>
      </c>
      <c r="J1104" s="7"/>
      <c r="K1104" s="27" t="s">
        <v>2208</v>
      </c>
      <c r="L1104" s="7"/>
    </row>
    <row r="1105" spans="1:12" x14ac:dyDescent="0.2">
      <c r="A1105" s="7"/>
      <c r="B1105" s="7"/>
      <c r="C1105" s="7"/>
      <c r="D1105" s="7"/>
      <c r="E1105" s="7">
        <v>611821</v>
      </c>
      <c r="F1105" s="7"/>
      <c r="G1105" s="7" t="s">
        <v>992</v>
      </c>
      <c r="H1105" s="7"/>
      <c r="I1105" s="27" t="s">
        <v>47</v>
      </c>
      <c r="J1105" s="7"/>
      <c r="K1105" s="27" t="s">
        <v>2208</v>
      </c>
      <c r="L1105" s="7"/>
    </row>
    <row r="1106" spans="1:12" x14ac:dyDescent="0.2">
      <c r="A1106" s="7"/>
      <c r="B1106" s="7"/>
      <c r="C1106" s="7"/>
      <c r="D1106" s="7"/>
      <c r="E1106" s="7">
        <v>611822</v>
      </c>
      <c r="F1106" s="7"/>
      <c r="G1106" s="7" t="s">
        <v>993</v>
      </c>
      <c r="H1106" s="7"/>
      <c r="I1106" s="27" t="s">
        <v>47</v>
      </c>
      <c r="J1106" s="7"/>
      <c r="K1106" s="27" t="s">
        <v>2208</v>
      </c>
      <c r="L1106" s="7"/>
    </row>
    <row r="1107" spans="1:12" x14ac:dyDescent="0.2">
      <c r="A1107" s="7"/>
      <c r="B1107" s="7"/>
      <c r="C1107" s="7"/>
      <c r="D1107" s="7"/>
      <c r="E1107" s="7">
        <v>611823</v>
      </c>
      <c r="F1107" s="7"/>
      <c r="G1107" s="7" t="s">
        <v>994</v>
      </c>
      <c r="H1107" s="7"/>
      <c r="I1107" s="27" t="s">
        <v>47</v>
      </c>
      <c r="J1107" s="7"/>
      <c r="K1107" s="27" t="s">
        <v>2208</v>
      </c>
      <c r="L1107" s="7"/>
    </row>
    <row r="1108" spans="1:12" x14ac:dyDescent="0.2">
      <c r="A1108" s="7"/>
      <c r="B1108" s="7"/>
      <c r="C1108" s="7"/>
      <c r="D1108" s="7"/>
      <c r="E1108" s="7">
        <v>611824</v>
      </c>
      <c r="F1108" s="7"/>
      <c r="G1108" s="7" t="s">
        <v>995</v>
      </c>
      <c r="H1108" s="7"/>
      <c r="I1108" s="27" t="s">
        <v>47</v>
      </c>
      <c r="J1108" s="7"/>
      <c r="K1108" s="27" t="s">
        <v>2208</v>
      </c>
      <c r="L1108" s="7"/>
    </row>
    <row r="1109" spans="1:12" x14ac:dyDescent="0.2">
      <c r="A1109" s="7"/>
      <c r="B1109" s="7"/>
      <c r="C1109" s="7"/>
      <c r="D1109" s="7"/>
      <c r="E1109" s="7">
        <v>611825</v>
      </c>
      <c r="F1109" s="7"/>
      <c r="G1109" s="7" t="s">
        <v>996</v>
      </c>
      <c r="H1109" s="7"/>
      <c r="I1109" s="27" t="s">
        <v>47</v>
      </c>
      <c r="J1109" s="7"/>
      <c r="K1109" s="27" t="s">
        <v>2208</v>
      </c>
      <c r="L1109" s="7"/>
    </row>
    <row r="1110" spans="1:12" x14ac:dyDescent="0.2">
      <c r="A1110" s="7"/>
      <c r="B1110" s="7"/>
      <c r="C1110" s="7"/>
      <c r="D1110" s="7"/>
      <c r="E1110" s="7">
        <v>611826</v>
      </c>
      <c r="F1110" s="7"/>
      <c r="G1110" s="7" t="s">
        <v>997</v>
      </c>
      <c r="H1110" s="7"/>
      <c r="I1110" s="27" t="s">
        <v>47</v>
      </c>
      <c r="J1110" s="7"/>
      <c r="K1110" s="27" t="s">
        <v>2208</v>
      </c>
      <c r="L1110" s="7"/>
    </row>
    <row r="1111" spans="1:12" x14ac:dyDescent="0.2">
      <c r="A1111" s="7"/>
      <c r="B1111" s="7"/>
      <c r="C1111" s="7"/>
      <c r="D1111" s="7"/>
      <c r="E1111" s="7">
        <v>611827</v>
      </c>
      <c r="F1111" s="7"/>
      <c r="G1111" s="7" t="s">
        <v>998</v>
      </c>
      <c r="H1111" s="7"/>
      <c r="I1111" s="27" t="s">
        <v>47</v>
      </c>
      <c r="J1111" s="7"/>
      <c r="K1111" s="27" t="s">
        <v>2208</v>
      </c>
      <c r="L1111" s="7"/>
    </row>
    <row r="1112" spans="1:12" x14ac:dyDescent="0.2">
      <c r="A1112" s="7"/>
      <c r="B1112" s="7"/>
      <c r="C1112" s="7"/>
      <c r="D1112" s="7"/>
      <c r="E1112" s="7">
        <v>611828</v>
      </c>
      <c r="F1112" s="7"/>
      <c r="G1112" s="7" t="s">
        <v>999</v>
      </c>
      <c r="H1112" s="7"/>
      <c r="I1112" s="27" t="s">
        <v>47</v>
      </c>
      <c r="J1112" s="7"/>
      <c r="K1112" s="27" t="s">
        <v>2208</v>
      </c>
      <c r="L1112" s="7"/>
    </row>
    <row r="1113" spans="1:12" x14ac:dyDescent="0.2">
      <c r="A1113" s="7"/>
      <c r="B1113" s="7"/>
      <c r="C1113" s="7"/>
      <c r="D1113" s="7"/>
      <c r="E1113" s="7">
        <v>611829</v>
      </c>
      <c r="F1113" s="7"/>
      <c r="G1113" s="7" t="s">
        <v>1000</v>
      </c>
      <c r="H1113" s="7"/>
      <c r="I1113" s="27" t="s">
        <v>47</v>
      </c>
      <c r="J1113" s="7"/>
      <c r="K1113" s="27" t="s">
        <v>2208</v>
      </c>
      <c r="L1113" s="7"/>
    </row>
    <row r="1114" spans="1:12" x14ac:dyDescent="0.2">
      <c r="A1114" s="7"/>
      <c r="B1114" s="7"/>
      <c r="C1114" s="7"/>
      <c r="D1114" s="7"/>
      <c r="E1114" s="7">
        <v>611830</v>
      </c>
      <c r="F1114" s="7"/>
      <c r="G1114" s="7" t="s">
        <v>1001</v>
      </c>
      <c r="H1114" s="7"/>
      <c r="I1114" s="27" t="s">
        <v>47</v>
      </c>
      <c r="J1114" s="7"/>
      <c r="K1114" s="27" t="s">
        <v>2208</v>
      </c>
      <c r="L1114" s="7"/>
    </row>
    <row r="1115" spans="1:12" x14ac:dyDescent="0.2">
      <c r="A1115" s="7"/>
      <c r="B1115" s="7"/>
      <c r="C1115" s="7"/>
      <c r="D1115" s="7"/>
      <c r="E1115" s="7">
        <v>611831</v>
      </c>
      <c r="F1115" s="7"/>
      <c r="G1115" s="7" t="s">
        <v>1002</v>
      </c>
      <c r="H1115" s="7"/>
      <c r="I1115" s="27" t="s">
        <v>47</v>
      </c>
      <c r="J1115" s="7"/>
      <c r="K1115" s="27" t="s">
        <v>2208</v>
      </c>
      <c r="L1115" s="7"/>
    </row>
    <row r="1116" spans="1:12" x14ac:dyDescent="0.2">
      <c r="A1116" s="7"/>
      <c r="B1116" s="7"/>
      <c r="C1116" s="7"/>
      <c r="D1116" s="7"/>
      <c r="E1116" s="7">
        <v>611832</v>
      </c>
      <c r="F1116" s="7"/>
      <c r="G1116" s="7" t="s">
        <v>1003</v>
      </c>
      <c r="H1116" s="7"/>
      <c r="I1116" s="27" t="s">
        <v>47</v>
      </c>
      <c r="J1116" s="7"/>
      <c r="K1116" s="27" t="s">
        <v>2208</v>
      </c>
      <c r="L1116" s="7"/>
    </row>
    <row r="1117" spans="1:12" x14ac:dyDescent="0.2">
      <c r="A1117" s="7"/>
      <c r="B1117" s="7"/>
      <c r="C1117" s="7"/>
      <c r="D1117" s="7"/>
      <c r="E1117" s="7">
        <v>611833</v>
      </c>
      <c r="F1117" s="7"/>
      <c r="G1117" s="7" t="s">
        <v>1004</v>
      </c>
      <c r="H1117" s="7"/>
      <c r="I1117" s="27" t="s">
        <v>47</v>
      </c>
      <c r="J1117" s="7"/>
      <c r="K1117" s="27" t="s">
        <v>2208</v>
      </c>
      <c r="L1117" s="7"/>
    </row>
    <row r="1118" spans="1:12" x14ac:dyDescent="0.2">
      <c r="A1118" s="7"/>
      <c r="B1118" s="7"/>
      <c r="C1118" s="7"/>
      <c r="D1118" s="7"/>
      <c r="E1118" s="7">
        <v>611834</v>
      </c>
      <c r="F1118" s="7"/>
      <c r="G1118" s="7" t="s">
        <v>1005</v>
      </c>
      <c r="H1118" s="7"/>
      <c r="I1118" s="27" t="s">
        <v>47</v>
      </c>
      <c r="J1118" s="7"/>
      <c r="K1118" s="27" t="s">
        <v>2208</v>
      </c>
      <c r="L1118" s="7"/>
    </row>
    <row r="1119" spans="1:12" x14ac:dyDescent="0.2">
      <c r="A1119" s="7"/>
      <c r="B1119" s="7"/>
      <c r="C1119" s="7"/>
      <c r="D1119" s="7"/>
      <c r="E1119" s="7">
        <v>611835</v>
      </c>
      <c r="F1119" s="7"/>
      <c r="G1119" s="7" t="s">
        <v>1006</v>
      </c>
      <c r="H1119" s="7"/>
      <c r="I1119" s="27" t="s">
        <v>47</v>
      </c>
      <c r="J1119" s="7"/>
      <c r="K1119" s="27" t="s">
        <v>2208</v>
      </c>
      <c r="L1119" s="7"/>
    </row>
    <row r="1120" spans="1:12" x14ac:dyDescent="0.2">
      <c r="A1120" s="7"/>
      <c r="B1120" s="7"/>
      <c r="C1120" s="7"/>
      <c r="D1120" s="7"/>
      <c r="E1120" s="7">
        <v>611836</v>
      </c>
      <c r="F1120" s="7"/>
      <c r="G1120" s="7" t="s">
        <v>1007</v>
      </c>
      <c r="H1120" s="7"/>
      <c r="I1120" s="27" t="s">
        <v>47</v>
      </c>
      <c r="J1120" s="7"/>
      <c r="K1120" s="27" t="s">
        <v>2208</v>
      </c>
      <c r="L1120" s="7"/>
    </row>
    <row r="1121" spans="1:12" x14ac:dyDescent="0.2">
      <c r="A1121" s="7"/>
      <c r="B1121" s="7"/>
      <c r="C1121" s="7"/>
      <c r="D1121" s="7"/>
      <c r="E1121" s="7">
        <v>611837</v>
      </c>
      <c r="F1121" s="7"/>
      <c r="G1121" s="7" t="s">
        <v>1008</v>
      </c>
      <c r="H1121" s="7"/>
      <c r="I1121" s="27" t="s">
        <v>47</v>
      </c>
      <c r="J1121" s="7"/>
      <c r="K1121" s="27" t="s">
        <v>2208</v>
      </c>
      <c r="L1121" s="7"/>
    </row>
    <row r="1122" spans="1:12" x14ac:dyDescent="0.2">
      <c r="A1122" s="7"/>
      <c r="B1122" s="7"/>
      <c r="C1122" s="7"/>
      <c r="D1122" s="7"/>
      <c r="E1122" s="7">
        <v>611838</v>
      </c>
      <c r="F1122" s="7"/>
      <c r="G1122" s="7" t="s">
        <v>1009</v>
      </c>
      <c r="H1122" s="7"/>
      <c r="I1122" s="27" t="s">
        <v>47</v>
      </c>
      <c r="J1122" s="7"/>
      <c r="K1122" s="27" t="s">
        <v>2208</v>
      </c>
      <c r="L1122" s="7"/>
    </row>
    <row r="1123" spans="1:12" x14ac:dyDescent="0.2">
      <c r="A1123" s="7"/>
      <c r="B1123" s="7"/>
      <c r="C1123" s="7"/>
      <c r="D1123" s="7"/>
      <c r="E1123" s="7">
        <v>611839</v>
      </c>
      <c r="F1123" s="7"/>
      <c r="G1123" s="7" t="s">
        <v>1010</v>
      </c>
      <c r="H1123" s="7"/>
      <c r="I1123" s="27" t="s">
        <v>47</v>
      </c>
      <c r="J1123" s="7"/>
      <c r="K1123" s="27" t="s">
        <v>2208</v>
      </c>
      <c r="L1123" s="7"/>
    </row>
    <row r="1124" spans="1:12" x14ac:dyDescent="0.2">
      <c r="A1124" s="7"/>
      <c r="B1124" s="7"/>
      <c r="C1124" s="7"/>
      <c r="D1124" s="7"/>
      <c r="E1124" s="7">
        <v>611840</v>
      </c>
      <c r="F1124" s="7"/>
      <c r="G1124" s="7" t="s">
        <v>1011</v>
      </c>
      <c r="H1124" s="7"/>
      <c r="I1124" s="27" t="s">
        <v>47</v>
      </c>
      <c r="J1124" s="7"/>
      <c r="K1124" s="27" t="s">
        <v>2208</v>
      </c>
      <c r="L1124" s="7"/>
    </row>
    <row r="1125" spans="1:12" x14ac:dyDescent="0.2">
      <c r="A1125" s="7"/>
      <c r="B1125" s="7"/>
      <c r="C1125" s="7"/>
      <c r="D1125" s="7"/>
      <c r="E1125" s="7">
        <v>611841</v>
      </c>
      <c r="F1125" s="7"/>
      <c r="G1125" s="7" t="s">
        <v>1012</v>
      </c>
      <c r="H1125" s="7"/>
      <c r="I1125" s="27" t="s">
        <v>47</v>
      </c>
      <c r="J1125" s="7"/>
      <c r="K1125" s="27" t="s">
        <v>2208</v>
      </c>
      <c r="L1125" s="7"/>
    </row>
    <row r="1126" spans="1:12" x14ac:dyDescent="0.2">
      <c r="A1126" s="7"/>
      <c r="B1126" s="7"/>
      <c r="C1126" s="7"/>
      <c r="D1126" s="7"/>
      <c r="E1126" s="7">
        <v>611842</v>
      </c>
      <c r="F1126" s="7"/>
      <c r="G1126" s="7" t="s">
        <v>1013</v>
      </c>
      <c r="H1126" s="7"/>
      <c r="I1126" s="27" t="s">
        <v>47</v>
      </c>
      <c r="J1126" s="7"/>
      <c r="K1126" s="27" t="s">
        <v>2208</v>
      </c>
      <c r="L1126" s="7"/>
    </row>
    <row r="1127" spans="1:12" x14ac:dyDescent="0.2">
      <c r="A1127" s="7"/>
      <c r="B1127" s="7"/>
      <c r="C1127" s="7"/>
      <c r="D1127" s="7"/>
      <c r="E1127" s="7">
        <v>611843</v>
      </c>
      <c r="F1127" s="7"/>
      <c r="G1127" s="7" t="s">
        <v>1014</v>
      </c>
      <c r="H1127" s="7"/>
      <c r="I1127" s="27" t="s">
        <v>47</v>
      </c>
      <c r="J1127" s="7"/>
      <c r="K1127" s="27" t="s">
        <v>2208</v>
      </c>
      <c r="L1127" s="7"/>
    </row>
    <row r="1128" spans="1:12" x14ac:dyDescent="0.2">
      <c r="A1128" s="7"/>
      <c r="B1128" s="7"/>
      <c r="C1128" s="7"/>
      <c r="D1128" s="7"/>
      <c r="E1128" s="7">
        <v>611844</v>
      </c>
      <c r="F1128" s="7"/>
      <c r="G1128" s="7" t="s">
        <v>1015</v>
      </c>
      <c r="H1128" s="7"/>
      <c r="I1128" s="27" t="s">
        <v>47</v>
      </c>
      <c r="J1128" s="7"/>
      <c r="K1128" s="27" t="s">
        <v>2208</v>
      </c>
      <c r="L1128" s="7"/>
    </row>
    <row r="1129" spans="1:12" x14ac:dyDescent="0.2">
      <c r="A1129" s="7"/>
      <c r="B1129" s="7"/>
      <c r="C1129" s="7"/>
      <c r="D1129" s="7"/>
      <c r="E1129" s="7">
        <v>611845</v>
      </c>
      <c r="F1129" s="7"/>
      <c r="G1129" s="7" t="s">
        <v>1016</v>
      </c>
      <c r="H1129" s="7"/>
      <c r="I1129" s="27" t="s">
        <v>47</v>
      </c>
      <c r="J1129" s="7"/>
      <c r="K1129" s="27" t="s">
        <v>2208</v>
      </c>
      <c r="L1129" s="7"/>
    </row>
    <row r="1130" spans="1:12" x14ac:dyDescent="0.2">
      <c r="A1130" s="7"/>
      <c r="B1130" s="7"/>
      <c r="C1130" s="7"/>
      <c r="D1130" s="7"/>
      <c r="E1130" s="7">
        <v>611846</v>
      </c>
      <c r="F1130" s="7"/>
      <c r="G1130" s="7" t="s">
        <v>1017</v>
      </c>
      <c r="H1130" s="7"/>
      <c r="I1130" s="27" t="s">
        <v>47</v>
      </c>
      <c r="J1130" s="7"/>
      <c r="K1130" s="27" t="s">
        <v>2208</v>
      </c>
      <c r="L1130" s="7"/>
    </row>
    <row r="1131" spans="1:12" x14ac:dyDescent="0.2">
      <c r="A1131" s="7"/>
      <c r="B1131" s="7"/>
      <c r="C1131" s="7"/>
      <c r="D1131" s="7"/>
      <c r="E1131" s="7">
        <v>611847</v>
      </c>
      <c r="F1131" s="7"/>
      <c r="G1131" s="7" t="s">
        <v>1018</v>
      </c>
      <c r="H1131" s="7"/>
      <c r="I1131" s="27" t="s">
        <v>47</v>
      </c>
      <c r="J1131" s="7"/>
      <c r="K1131" s="27" t="s">
        <v>2208</v>
      </c>
      <c r="L1131" s="7"/>
    </row>
    <row r="1132" spans="1:12" x14ac:dyDescent="0.2">
      <c r="A1132" s="7"/>
      <c r="B1132" s="7"/>
      <c r="C1132" s="7"/>
      <c r="D1132" s="7"/>
      <c r="E1132" s="7">
        <v>611848</v>
      </c>
      <c r="F1132" s="7"/>
      <c r="G1132" s="7" t="s">
        <v>991</v>
      </c>
      <c r="H1132" s="7"/>
      <c r="I1132" s="27" t="s">
        <v>133</v>
      </c>
      <c r="J1132" s="7"/>
      <c r="K1132" s="27" t="s">
        <v>2208</v>
      </c>
      <c r="L1132" s="7"/>
    </row>
    <row r="1133" spans="1:12" x14ac:dyDescent="0.2">
      <c r="A1133" s="7"/>
      <c r="B1133" s="7"/>
      <c r="C1133" s="7"/>
      <c r="D1133" s="7"/>
      <c r="E1133" s="7">
        <v>611849</v>
      </c>
      <c r="F1133" s="7"/>
      <c r="G1133" s="7" t="s">
        <v>1019</v>
      </c>
      <c r="H1133" s="7"/>
      <c r="I1133" s="27" t="s">
        <v>133</v>
      </c>
      <c r="J1133" s="7"/>
      <c r="K1133" s="27" t="s">
        <v>2208</v>
      </c>
      <c r="L1133" s="7"/>
    </row>
    <row r="1134" spans="1:12" x14ac:dyDescent="0.2">
      <c r="A1134" s="7"/>
      <c r="B1134" s="7"/>
      <c r="C1134" s="7"/>
      <c r="D1134" s="7"/>
      <c r="E1134" s="7">
        <v>611850</v>
      </c>
      <c r="F1134" s="7"/>
      <c r="G1134" s="7" t="s">
        <v>1020</v>
      </c>
      <c r="H1134" s="7"/>
      <c r="I1134" s="27" t="s">
        <v>133</v>
      </c>
      <c r="J1134" s="7"/>
      <c r="K1134" s="27" t="s">
        <v>2208</v>
      </c>
      <c r="L1134" s="7"/>
    </row>
    <row r="1135" spans="1:12" x14ac:dyDescent="0.2">
      <c r="A1135" s="7"/>
      <c r="B1135" s="7"/>
      <c r="C1135" s="7"/>
      <c r="D1135" s="7"/>
      <c r="E1135" s="7">
        <v>611851</v>
      </c>
      <c r="F1135" s="7"/>
      <c r="G1135" s="7" t="s">
        <v>1021</v>
      </c>
      <c r="H1135" s="7"/>
      <c r="I1135" s="27" t="s">
        <v>133</v>
      </c>
      <c r="J1135" s="7"/>
      <c r="K1135" s="27" t="s">
        <v>2208</v>
      </c>
      <c r="L1135" s="7"/>
    </row>
    <row r="1136" spans="1:12" x14ac:dyDescent="0.2">
      <c r="A1136" s="7"/>
      <c r="B1136" s="7"/>
      <c r="C1136" s="7"/>
      <c r="D1136" s="7"/>
      <c r="E1136" s="7">
        <v>611852</v>
      </c>
      <c r="F1136" s="7"/>
      <c r="G1136" s="7" t="s">
        <v>1022</v>
      </c>
      <c r="H1136" s="7"/>
      <c r="I1136" s="27" t="s">
        <v>133</v>
      </c>
      <c r="J1136" s="7"/>
      <c r="K1136" s="27" t="s">
        <v>2208</v>
      </c>
      <c r="L1136" s="7"/>
    </row>
    <row r="1137" spans="1:12" x14ac:dyDescent="0.2">
      <c r="A1137" s="7"/>
      <c r="B1137" s="7"/>
      <c r="C1137" s="7"/>
      <c r="D1137" s="7"/>
      <c r="E1137" s="7">
        <v>611853</v>
      </c>
      <c r="F1137" s="7"/>
      <c r="G1137" s="7" t="s">
        <v>1023</v>
      </c>
      <c r="H1137" s="7"/>
      <c r="I1137" s="27" t="s">
        <v>133</v>
      </c>
      <c r="J1137" s="7"/>
      <c r="K1137" s="27" t="s">
        <v>2208</v>
      </c>
      <c r="L1137" s="7"/>
    </row>
    <row r="1138" spans="1:12" x14ac:dyDescent="0.2">
      <c r="A1138" s="7"/>
      <c r="B1138" s="7"/>
      <c r="C1138" s="7"/>
      <c r="D1138" s="7"/>
      <c r="E1138" s="7">
        <v>611854</v>
      </c>
      <c r="F1138" s="7"/>
      <c r="G1138" s="7" t="s">
        <v>1024</v>
      </c>
      <c r="H1138" s="7"/>
      <c r="I1138" s="27" t="s">
        <v>133</v>
      </c>
      <c r="J1138" s="7"/>
      <c r="K1138" s="27" t="s">
        <v>2208</v>
      </c>
      <c r="L1138" s="7"/>
    </row>
    <row r="1139" spans="1:12" x14ac:dyDescent="0.2">
      <c r="A1139" s="7"/>
      <c r="B1139" s="7"/>
      <c r="C1139" s="7"/>
      <c r="D1139" s="7"/>
      <c r="E1139" s="7">
        <v>611855</v>
      </c>
      <c r="F1139" s="7"/>
      <c r="G1139" s="7" t="s">
        <v>1025</v>
      </c>
      <c r="H1139" s="7"/>
      <c r="I1139" s="27" t="s">
        <v>133</v>
      </c>
      <c r="J1139" s="7"/>
      <c r="K1139" s="27" t="s">
        <v>2208</v>
      </c>
      <c r="L1139" s="7"/>
    </row>
    <row r="1140" spans="1:12" x14ac:dyDescent="0.2">
      <c r="A1140" s="7"/>
      <c r="B1140" s="7"/>
      <c r="C1140" s="7"/>
      <c r="D1140" s="7"/>
      <c r="E1140" s="7">
        <v>611856</v>
      </c>
      <c r="F1140" s="7"/>
      <c r="G1140" s="7" t="s">
        <v>1026</v>
      </c>
      <c r="H1140" s="7"/>
      <c r="I1140" s="27" t="s">
        <v>133</v>
      </c>
      <c r="J1140" s="7"/>
      <c r="K1140" s="27" t="s">
        <v>2208</v>
      </c>
      <c r="L1140" s="7"/>
    </row>
    <row r="1141" spans="1:12" x14ac:dyDescent="0.2">
      <c r="A1141" s="7"/>
      <c r="B1141" s="7"/>
      <c r="C1141" s="7"/>
      <c r="D1141" s="7"/>
      <c r="E1141" s="7">
        <v>611859</v>
      </c>
      <c r="F1141" s="7"/>
      <c r="G1141" s="7" t="s">
        <v>1027</v>
      </c>
      <c r="H1141" s="7"/>
      <c r="I1141" s="27" t="s">
        <v>133</v>
      </c>
      <c r="J1141" s="7"/>
      <c r="K1141" s="27" t="s">
        <v>2208</v>
      </c>
      <c r="L1141" s="7"/>
    </row>
    <row r="1142" spans="1:12" x14ac:dyDescent="0.2">
      <c r="A1142" s="7"/>
      <c r="B1142" s="7"/>
      <c r="C1142" s="7"/>
      <c r="D1142" s="7"/>
      <c r="E1142" s="7">
        <v>611860</v>
      </c>
      <c r="F1142" s="7"/>
      <c r="G1142" s="7" t="s">
        <v>1028</v>
      </c>
      <c r="H1142" s="7"/>
      <c r="I1142" s="27" t="s">
        <v>133</v>
      </c>
      <c r="J1142" s="7"/>
      <c r="K1142" s="27" t="s">
        <v>2208</v>
      </c>
      <c r="L1142" s="7"/>
    </row>
    <row r="1143" spans="1:12" x14ac:dyDescent="0.2">
      <c r="A1143" s="7"/>
      <c r="B1143" s="7"/>
      <c r="C1143" s="7"/>
      <c r="D1143" s="7"/>
      <c r="E1143" s="7">
        <v>611861</v>
      </c>
      <c r="F1143" s="7"/>
      <c r="G1143" s="7" t="s">
        <v>1029</v>
      </c>
      <c r="H1143" s="7"/>
      <c r="I1143" s="27" t="s">
        <v>133</v>
      </c>
      <c r="J1143" s="7"/>
      <c r="K1143" s="27" t="s">
        <v>2208</v>
      </c>
      <c r="L1143" s="7"/>
    </row>
    <row r="1144" spans="1:12" x14ac:dyDescent="0.2">
      <c r="A1144" s="7"/>
      <c r="B1144" s="7"/>
      <c r="C1144" s="7"/>
      <c r="D1144" s="7"/>
      <c r="E1144" s="7">
        <v>611862</v>
      </c>
      <c r="F1144" s="7"/>
      <c r="G1144" s="7" t="s">
        <v>1030</v>
      </c>
      <c r="H1144" s="7"/>
      <c r="I1144" s="27" t="s">
        <v>133</v>
      </c>
      <c r="J1144" s="7"/>
      <c r="K1144" s="27" t="s">
        <v>2208</v>
      </c>
      <c r="L1144" s="7"/>
    </row>
    <row r="1145" spans="1:12" x14ac:dyDescent="0.2">
      <c r="A1145" s="7"/>
      <c r="B1145" s="7"/>
      <c r="C1145" s="7"/>
      <c r="D1145" s="7"/>
      <c r="E1145" s="7">
        <v>611863</v>
      </c>
      <c r="F1145" s="7"/>
      <c r="G1145" s="7" t="s">
        <v>1031</v>
      </c>
      <c r="H1145" s="7"/>
      <c r="I1145" s="27" t="s">
        <v>133</v>
      </c>
      <c r="J1145" s="7"/>
      <c r="K1145" s="27" t="s">
        <v>2208</v>
      </c>
      <c r="L1145" s="7"/>
    </row>
    <row r="1146" spans="1:12" x14ac:dyDescent="0.2">
      <c r="A1146" s="7"/>
      <c r="B1146" s="7"/>
      <c r="C1146" s="7"/>
      <c r="D1146" s="7"/>
      <c r="E1146" s="7">
        <v>611868</v>
      </c>
      <c r="F1146" s="7"/>
      <c r="G1146" s="7" t="s">
        <v>1032</v>
      </c>
      <c r="H1146" s="7"/>
      <c r="I1146" s="27" t="s">
        <v>133</v>
      </c>
      <c r="J1146" s="7"/>
      <c r="K1146" s="27" t="s">
        <v>2208</v>
      </c>
      <c r="L1146" s="7"/>
    </row>
    <row r="1147" spans="1:12" x14ac:dyDescent="0.2">
      <c r="A1147" s="7"/>
      <c r="B1147" s="7"/>
      <c r="C1147" s="7"/>
      <c r="D1147" s="7"/>
      <c r="E1147" s="7">
        <v>611870</v>
      </c>
      <c r="F1147" s="7"/>
      <c r="G1147" s="7" t="s">
        <v>1033</v>
      </c>
      <c r="H1147" s="7"/>
      <c r="I1147" s="27" t="s">
        <v>133</v>
      </c>
      <c r="J1147" s="7"/>
      <c r="K1147" s="27" t="s">
        <v>2208</v>
      </c>
      <c r="L1147" s="7"/>
    </row>
    <row r="1148" spans="1:12" x14ac:dyDescent="0.2">
      <c r="A1148" s="7"/>
      <c r="B1148" s="7"/>
      <c r="C1148" s="7"/>
      <c r="D1148" s="7"/>
      <c r="E1148" s="7">
        <v>611871</v>
      </c>
      <c r="F1148" s="7"/>
      <c r="G1148" s="7" t="s">
        <v>1034</v>
      </c>
      <c r="H1148" s="7"/>
      <c r="I1148" s="27" t="s">
        <v>133</v>
      </c>
      <c r="J1148" s="7"/>
      <c r="K1148" s="27" t="s">
        <v>2208</v>
      </c>
      <c r="L1148" s="7"/>
    </row>
    <row r="1149" spans="1:12" x14ac:dyDescent="0.2">
      <c r="A1149" s="7"/>
      <c r="B1149" s="7"/>
      <c r="C1149" s="7"/>
      <c r="D1149" s="7"/>
      <c r="E1149" s="7">
        <v>611873</v>
      </c>
      <c r="F1149" s="7"/>
      <c r="G1149" s="7" t="s">
        <v>1035</v>
      </c>
      <c r="H1149" s="7"/>
      <c r="I1149" s="27" t="s">
        <v>133</v>
      </c>
      <c r="J1149" s="7"/>
      <c r="K1149" s="27" t="s">
        <v>2208</v>
      </c>
      <c r="L1149" s="7"/>
    </row>
    <row r="1150" spans="1:12" x14ac:dyDescent="0.2">
      <c r="A1150" s="7"/>
      <c r="B1150" s="7"/>
      <c r="C1150" s="7"/>
      <c r="D1150" s="7"/>
      <c r="E1150" s="7">
        <v>611874</v>
      </c>
      <c r="F1150" s="7"/>
      <c r="G1150" s="7" t="s">
        <v>1036</v>
      </c>
      <c r="H1150" s="7"/>
      <c r="I1150" s="27" t="s">
        <v>133</v>
      </c>
      <c r="J1150" s="7"/>
      <c r="K1150" s="27" t="s">
        <v>2208</v>
      </c>
      <c r="L1150" s="7"/>
    </row>
    <row r="1151" spans="1:12" x14ac:dyDescent="0.2">
      <c r="A1151" s="7"/>
      <c r="B1151" s="7"/>
      <c r="C1151" s="7"/>
      <c r="D1151" s="7"/>
      <c r="E1151" s="7">
        <v>611875</v>
      </c>
      <c r="F1151" s="7"/>
      <c r="G1151" s="7" t="s">
        <v>1037</v>
      </c>
      <c r="H1151" s="7"/>
      <c r="I1151" s="27" t="s">
        <v>133</v>
      </c>
      <c r="J1151" s="7"/>
      <c r="K1151" s="27" t="s">
        <v>2208</v>
      </c>
      <c r="L1151" s="7"/>
    </row>
    <row r="1152" spans="1:12" x14ac:dyDescent="0.2">
      <c r="A1152" s="7"/>
      <c r="B1152" s="7"/>
      <c r="C1152" s="7"/>
      <c r="D1152" s="7"/>
      <c r="E1152" s="7">
        <v>611881</v>
      </c>
      <c r="F1152" s="7"/>
      <c r="G1152" s="7" t="s">
        <v>1038</v>
      </c>
      <c r="H1152" s="7"/>
      <c r="I1152" s="27" t="s">
        <v>133</v>
      </c>
      <c r="J1152" s="7"/>
      <c r="K1152" s="27" t="s">
        <v>2208</v>
      </c>
      <c r="L1152" s="7"/>
    </row>
    <row r="1153" spans="1:12" x14ac:dyDescent="0.2">
      <c r="A1153" s="7"/>
      <c r="B1153" s="7"/>
      <c r="C1153" s="7"/>
      <c r="D1153" s="7"/>
      <c r="E1153" s="7">
        <v>611882</v>
      </c>
      <c r="F1153" s="7"/>
      <c r="G1153" s="7" t="s">
        <v>1039</v>
      </c>
      <c r="H1153" s="7"/>
      <c r="I1153" s="27" t="s">
        <v>133</v>
      </c>
      <c r="J1153" s="7"/>
      <c r="K1153" s="27" t="s">
        <v>2208</v>
      </c>
      <c r="L1153" s="7"/>
    </row>
    <row r="1154" spans="1:12" x14ac:dyDescent="0.2">
      <c r="A1154" s="7"/>
      <c r="B1154" s="7"/>
      <c r="C1154" s="7"/>
      <c r="D1154" s="7"/>
      <c r="E1154" s="7">
        <v>611883</v>
      </c>
      <c r="F1154" s="7"/>
      <c r="G1154" s="7" t="s">
        <v>1040</v>
      </c>
      <c r="H1154" s="7"/>
      <c r="I1154" s="27" t="s">
        <v>47</v>
      </c>
      <c r="J1154" s="7"/>
      <c r="K1154" s="27" t="s">
        <v>2208</v>
      </c>
      <c r="L1154" s="7"/>
    </row>
    <row r="1155" spans="1:12" x14ac:dyDescent="0.2">
      <c r="A1155" s="7"/>
      <c r="B1155" s="7"/>
      <c r="C1155" s="7"/>
      <c r="D1155" s="7"/>
      <c r="E1155" s="7">
        <v>611884</v>
      </c>
      <c r="F1155" s="7"/>
      <c r="G1155" s="7" t="s">
        <v>1041</v>
      </c>
      <c r="H1155" s="7"/>
      <c r="I1155" s="27" t="s">
        <v>47</v>
      </c>
      <c r="J1155" s="7"/>
      <c r="K1155" s="27" t="s">
        <v>2208</v>
      </c>
      <c r="L1155" s="7"/>
    </row>
    <row r="1156" spans="1:12" x14ac:dyDescent="0.2">
      <c r="A1156" s="7"/>
      <c r="B1156" s="7"/>
      <c r="C1156" s="7"/>
      <c r="D1156" s="7"/>
      <c r="E1156" s="7">
        <v>611885</v>
      </c>
      <c r="F1156" s="7"/>
      <c r="G1156" s="7" t="s">
        <v>1042</v>
      </c>
      <c r="H1156" s="7"/>
      <c r="I1156" s="27" t="s">
        <v>47</v>
      </c>
      <c r="J1156" s="7"/>
      <c r="K1156" s="27" t="s">
        <v>2208</v>
      </c>
      <c r="L1156" s="7"/>
    </row>
    <row r="1157" spans="1:12" x14ac:dyDescent="0.2">
      <c r="A1157" s="7"/>
      <c r="B1157" s="7"/>
      <c r="C1157" s="7"/>
      <c r="D1157" s="7"/>
      <c r="E1157" s="7">
        <v>611886</v>
      </c>
      <c r="F1157" s="7"/>
      <c r="G1157" s="7" t="s">
        <v>1043</v>
      </c>
      <c r="H1157" s="7"/>
      <c r="I1157" s="27" t="s">
        <v>47</v>
      </c>
      <c r="J1157" s="7"/>
      <c r="K1157" s="27" t="s">
        <v>2208</v>
      </c>
      <c r="L1157" s="7"/>
    </row>
    <row r="1158" spans="1:12" x14ac:dyDescent="0.2">
      <c r="A1158" s="7"/>
      <c r="B1158" s="7"/>
      <c r="C1158" s="7"/>
      <c r="D1158" s="7"/>
      <c r="E1158" s="7">
        <v>611887</v>
      </c>
      <c r="F1158" s="7"/>
      <c r="G1158" s="7" t="s">
        <v>1044</v>
      </c>
      <c r="H1158" s="7"/>
      <c r="I1158" s="27" t="s">
        <v>133</v>
      </c>
      <c r="J1158" s="7"/>
      <c r="K1158" s="27" t="s">
        <v>2208</v>
      </c>
      <c r="L1158" s="7"/>
    </row>
    <row r="1159" spans="1:12" x14ac:dyDescent="0.2">
      <c r="A1159" s="7"/>
      <c r="B1159" s="7"/>
      <c r="C1159" s="7"/>
      <c r="D1159" s="7"/>
      <c r="E1159" s="7">
        <v>611888</v>
      </c>
      <c r="F1159" s="7"/>
      <c r="G1159" s="7" t="s">
        <v>1045</v>
      </c>
      <c r="H1159" s="7"/>
      <c r="I1159" s="27" t="s">
        <v>133</v>
      </c>
      <c r="J1159" s="7"/>
      <c r="K1159" s="27" t="s">
        <v>2208</v>
      </c>
      <c r="L1159" s="7"/>
    </row>
    <row r="1160" spans="1:12" x14ac:dyDescent="0.2">
      <c r="A1160" s="7"/>
      <c r="B1160" s="7"/>
      <c r="C1160" s="7"/>
      <c r="D1160" s="7"/>
      <c r="E1160" s="7">
        <v>611889</v>
      </c>
      <c r="F1160" s="7"/>
      <c r="G1160" s="7" t="s">
        <v>1046</v>
      </c>
      <c r="H1160" s="7"/>
      <c r="I1160" s="27" t="s">
        <v>616</v>
      </c>
      <c r="J1160" s="7"/>
      <c r="K1160" s="27" t="s">
        <v>2208</v>
      </c>
      <c r="L1160" s="7"/>
    </row>
    <row r="1161" spans="1:12" x14ac:dyDescent="0.2">
      <c r="A1161" s="7"/>
      <c r="B1161" s="7"/>
      <c r="C1161" s="7"/>
      <c r="D1161" s="7"/>
      <c r="E1161" s="7">
        <v>611890</v>
      </c>
      <c r="F1161" s="7"/>
      <c r="G1161" s="7" t="s">
        <v>1047</v>
      </c>
      <c r="H1161" s="7"/>
      <c r="I1161" s="27" t="s">
        <v>616</v>
      </c>
      <c r="J1161" s="7"/>
      <c r="K1161" s="27" t="s">
        <v>2208</v>
      </c>
      <c r="L1161" s="7"/>
    </row>
    <row r="1162" spans="1:12" x14ac:dyDescent="0.2">
      <c r="A1162" s="7"/>
      <c r="B1162" s="7"/>
      <c r="C1162" s="7"/>
      <c r="D1162" s="7"/>
      <c r="E1162" s="7">
        <v>611891</v>
      </c>
      <c r="F1162" s="7"/>
      <c r="G1162" s="7" t="s">
        <v>1048</v>
      </c>
      <c r="H1162" s="7"/>
      <c r="I1162" s="27" t="s">
        <v>133</v>
      </c>
      <c r="J1162" s="7"/>
      <c r="K1162" s="27" t="s">
        <v>2208</v>
      </c>
      <c r="L1162" s="7"/>
    </row>
    <row r="1163" spans="1:12" x14ac:dyDescent="0.2">
      <c r="A1163" s="7"/>
      <c r="B1163" s="7"/>
      <c r="C1163" s="7"/>
      <c r="D1163" s="7"/>
      <c r="E1163" s="7">
        <v>611892</v>
      </c>
      <c r="F1163" s="7"/>
      <c r="G1163" s="7" t="s">
        <v>1049</v>
      </c>
      <c r="H1163" s="7"/>
      <c r="I1163" s="27" t="s">
        <v>616</v>
      </c>
      <c r="J1163" s="7"/>
      <c r="K1163" s="27" t="s">
        <v>2208</v>
      </c>
      <c r="L1163" s="7"/>
    </row>
    <row r="1164" spans="1:12" x14ac:dyDescent="0.2">
      <c r="A1164" s="7"/>
      <c r="B1164" s="7"/>
      <c r="C1164" s="7"/>
      <c r="D1164" s="7"/>
      <c r="E1164" s="7">
        <v>611893</v>
      </c>
      <c r="F1164" s="7"/>
      <c r="G1164" s="7" t="s">
        <v>1050</v>
      </c>
      <c r="H1164" s="7"/>
      <c r="I1164" s="27" t="s">
        <v>616</v>
      </c>
      <c r="J1164" s="7"/>
      <c r="K1164" s="27" t="s">
        <v>2208</v>
      </c>
      <c r="L1164" s="7"/>
    </row>
    <row r="1165" spans="1:12" x14ac:dyDescent="0.2">
      <c r="A1165" s="7"/>
      <c r="B1165" s="7"/>
      <c r="C1165" s="7"/>
      <c r="D1165" s="7"/>
      <c r="E1165" s="7">
        <v>611894</v>
      </c>
      <c r="F1165" s="7"/>
      <c r="G1165" s="7" t="s">
        <v>1051</v>
      </c>
      <c r="H1165" s="7"/>
      <c r="I1165" s="27" t="s">
        <v>133</v>
      </c>
      <c r="J1165" s="7"/>
      <c r="K1165" s="27" t="s">
        <v>2208</v>
      </c>
      <c r="L1165" s="7"/>
    </row>
    <row r="1166" spans="1:12" x14ac:dyDescent="0.2">
      <c r="A1166" s="7"/>
      <c r="B1166" s="7"/>
      <c r="C1166" s="7"/>
      <c r="D1166" s="7"/>
      <c r="E1166" s="7">
        <v>611895</v>
      </c>
      <c r="F1166" s="7"/>
      <c r="G1166" s="7" t="s">
        <v>1052</v>
      </c>
      <c r="H1166" s="7"/>
      <c r="I1166" s="27" t="s">
        <v>133</v>
      </c>
      <c r="J1166" s="7"/>
      <c r="K1166" s="27" t="s">
        <v>2208</v>
      </c>
      <c r="L1166" s="7"/>
    </row>
    <row r="1167" spans="1:12" x14ac:dyDescent="0.2">
      <c r="A1167" s="7"/>
      <c r="B1167" s="7"/>
      <c r="C1167" s="7"/>
      <c r="D1167" s="7"/>
      <c r="E1167" s="7">
        <v>611896</v>
      </c>
      <c r="F1167" s="7"/>
      <c r="G1167" s="7" t="s">
        <v>1053</v>
      </c>
      <c r="H1167" s="7"/>
      <c r="I1167" s="27" t="s">
        <v>133</v>
      </c>
      <c r="J1167" s="7"/>
      <c r="K1167" s="27" t="s">
        <v>2208</v>
      </c>
      <c r="L1167" s="7"/>
    </row>
    <row r="1168" spans="1:12" x14ac:dyDescent="0.2">
      <c r="A1168" s="7"/>
      <c r="B1168" s="7"/>
      <c r="C1168" s="7"/>
      <c r="D1168" s="7"/>
      <c r="E1168" s="7">
        <v>611897</v>
      </c>
      <c r="F1168" s="7"/>
      <c r="G1168" s="7" t="s">
        <v>1054</v>
      </c>
      <c r="H1168" s="7"/>
      <c r="I1168" s="27" t="s">
        <v>47</v>
      </c>
      <c r="J1168" s="7"/>
      <c r="K1168" s="27" t="s">
        <v>2208</v>
      </c>
      <c r="L1168" s="7"/>
    </row>
    <row r="1169" spans="1:12" x14ac:dyDescent="0.2">
      <c r="A1169" s="7"/>
      <c r="B1169" s="7"/>
      <c r="C1169" s="7"/>
      <c r="D1169" s="7"/>
      <c r="E1169" s="7">
        <v>611898</v>
      </c>
      <c r="F1169" s="7"/>
      <c r="G1169" s="7" t="s">
        <v>1055</v>
      </c>
      <c r="H1169" s="7"/>
      <c r="I1169" s="27" t="s">
        <v>47</v>
      </c>
      <c r="J1169" s="7"/>
      <c r="K1169" s="27" t="s">
        <v>2208</v>
      </c>
      <c r="L1169" s="7"/>
    </row>
    <row r="1170" spans="1:12" x14ac:dyDescent="0.2">
      <c r="A1170" s="7"/>
      <c r="B1170" s="7"/>
      <c r="C1170" s="7"/>
      <c r="D1170" s="7"/>
      <c r="E1170" s="7">
        <v>611899</v>
      </c>
      <c r="F1170" s="7"/>
      <c r="G1170" s="7" t="s">
        <v>1056</v>
      </c>
      <c r="H1170" s="7"/>
      <c r="I1170" s="27" t="s">
        <v>47</v>
      </c>
      <c r="J1170" s="7"/>
      <c r="K1170" s="27" t="s">
        <v>2208</v>
      </c>
      <c r="L1170" s="7"/>
    </row>
    <row r="1171" spans="1:12" x14ac:dyDescent="0.2">
      <c r="A1171" s="7"/>
      <c r="B1171" s="7"/>
      <c r="C1171" s="7"/>
      <c r="D1171" s="7"/>
      <c r="E1171" s="7">
        <v>611900</v>
      </c>
      <c r="F1171" s="7"/>
      <c r="G1171" s="7" t="s">
        <v>1057</v>
      </c>
      <c r="H1171" s="7"/>
      <c r="I1171" s="27" t="s">
        <v>71</v>
      </c>
      <c r="J1171" s="7"/>
      <c r="K1171" s="27" t="s">
        <v>2208</v>
      </c>
      <c r="L1171" s="7"/>
    </row>
    <row r="1172" spans="1:12" x14ac:dyDescent="0.2">
      <c r="A1172" s="7"/>
      <c r="B1172" s="7"/>
      <c r="C1172" s="7"/>
      <c r="D1172" s="7"/>
      <c r="E1172" s="7">
        <v>611901</v>
      </c>
      <c r="F1172" s="7"/>
      <c r="G1172" s="7" t="s">
        <v>1058</v>
      </c>
      <c r="H1172" s="7"/>
      <c r="I1172" s="27" t="s">
        <v>71</v>
      </c>
      <c r="J1172" s="7"/>
      <c r="K1172" s="27" t="s">
        <v>2208</v>
      </c>
      <c r="L1172" s="7"/>
    </row>
    <row r="1173" spans="1:12" x14ac:dyDescent="0.2">
      <c r="A1173" s="7"/>
      <c r="B1173" s="7"/>
      <c r="C1173" s="7"/>
      <c r="D1173" s="7"/>
      <c r="E1173" s="7">
        <v>611902</v>
      </c>
      <c r="F1173" s="7"/>
      <c r="G1173" s="7" t="s">
        <v>1059</v>
      </c>
      <c r="H1173" s="7"/>
      <c r="I1173" s="27" t="s">
        <v>71</v>
      </c>
      <c r="J1173" s="7"/>
      <c r="K1173" s="27" t="s">
        <v>2208</v>
      </c>
      <c r="L1173" s="7"/>
    </row>
    <row r="1174" spans="1:12" x14ac:dyDescent="0.2">
      <c r="A1174" s="7"/>
      <c r="B1174" s="7"/>
      <c r="C1174" s="7"/>
      <c r="D1174" s="7"/>
      <c r="E1174" s="7">
        <v>611903</v>
      </c>
      <c r="F1174" s="7"/>
      <c r="G1174" s="7" t="s">
        <v>1060</v>
      </c>
      <c r="H1174" s="7"/>
      <c r="I1174" s="27" t="s">
        <v>47</v>
      </c>
      <c r="J1174" s="7"/>
      <c r="K1174" s="27" t="s">
        <v>2208</v>
      </c>
      <c r="L1174" s="7"/>
    </row>
    <row r="1175" spans="1:12" x14ac:dyDescent="0.2">
      <c r="A1175" s="7"/>
      <c r="B1175" s="7"/>
      <c r="C1175" s="7"/>
      <c r="D1175" s="7"/>
      <c r="E1175" s="7">
        <v>611904</v>
      </c>
      <c r="F1175" s="7"/>
      <c r="G1175" s="7" t="s">
        <v>1061</v>
      </c>
      <c r="H1175" s="7"/>
      <c r="I1175" s="27" t="s">
        <v>47</v>
      </c>
      <c r="J1175" s="7"/>
      <c r="K1175" s="27" t="s">
        <v>2208</v>
      </c>
      <c r="L1175" s="7"/>
    </row>
    <row r="1176" spans="1:12" x14ac:dyDescent="0.2">
      <c r="A1176" s="7"/>
      <c r="B1176" s="7"/>
      <c r="C1176" s="7"/>
      <c r="D1176" s="7"/>
      <c r="E1176" s="7">
        <v>611905</v>
      </c>
      <c r="F1176" s="7"/>
      <c r="G1176" s="7" t="s">
        <v>1062</v>
      </c>
      <c r="H1176" s="7"/>
      <c r="I1176" s="27" t="s">
        <v>47</v>
      </c>
      <c r="J1176" s="7"/>
      <c r="K1176" s="27" t="s">
        <v>2208</v>
      </c>
      <c r="L1176" s="7"/>
    </row>
    <row r="1177" spans="1:12" x14ac:dyDescent="0.2">
      <c r="A1177" s="7"/>
      <c r="B1177" s="7"/>
      <c r="C1177" s="7"/>
      <c r="D1177" s="7"/>
      <c r="E1177" s="7">
        <v>611906</v>
      </c>
      <c r="F1177" s="7"/>
      <c r="G1177" s="7" t="s">
        <v>1063</v>
      </c>
      <c r="H1177" s="7"/>
      <c r="I1177" s="27" t="s">
        <v>47</v>
      </c>
      <c r="J1177" s="7"/>
      <c r="K1177" s="27" t="s">
        <v>2208</v>
      </c>
      <c r="L1177" s="7"/>
    </row>
    <row r="1178" spans="1:12" x14ac:dyDescent="0.2">
      <c r="A1178" s="7"/>
      <c r="B1178" s="7"/>
      <c r="C1178" s="7"/>
      <c r="D1178" s="7"/>
      <c r="E1178" s="7">
        <v>611907</v>
      </c>
      <c r="F1178" s="7"/>
      <c r="G1178" s="7" t="s">
        <v>1064</v>
      </c>
      <c r="H1178" s="7"/>
      <c r="I1178" s="27" t="s">
        <v>47</v>
      </c>
      <c r="J1178" s="7"/>
      <c r="K1178" s="27" t="s">
        <v>2208</v>
      </c>
      <c r="L1178" s="7"/>
    </row>
    <row r="1179" spans="1:12" x14ac:dyDescent="0.2">
      <c r="A1179" s="7"/>
      <c r="B1179" s="7"/>
      <c r="C1179" s="7"/>
      <c r="D1179" s="7"/>
      <c r="E1179" s="7">
        <v>611908</v>
      </c>
      <c r="F1179" s="7"/>
      <c r="G1179" s="7" t="s">
        <v>1065</v>
      </c>
      <c r="H1179" s="7"/>
      <c r="I1179" s="27" t="s">
        <v>47</v>
      </c>
      <c r="J1179" s="7"/>
      <c r="K1179" s="27" t="s">
        <v>2208</v>
      </c>
      <c r="L1179" s="7"/>
    </row>
    <row r="1180" spans="1:12" x14ac:dyDescent="0.2">
      <c r="A1180" s="7"/>
      <c r="B1180" s="7"/>
      <c r="C1180" s="7"/>
      <c r="D1180" s="7"/>
      <c r="E1180" s="7">
        <v>611909</v>
      </c>
      <c r="F1180" s="7"/>
      <c r="G1180" s="7" t="s">
        <v>1066</v>
      </c>
      <c r="H1180" s="7"/>
      <c r="I1180" s="27" t="s">
        <v>47</v>
      </c>
      <c r="J1180" s="7"/>
      <c r="K1180" s="27" t="s">
        <v>2208</v>
      </c>
      <c r="L1180" s="7"/>
    </row>
    <row r="1181" spans="1:12" x14ac:dyDescent="0.2">
      <c r="A1181" s="7"/>
      <c r="B1181" s="7"/>
      <c r="C1181" s="7"/>
      <c r="D1181" s="7"/>
      <c r="E1181" s="7">
        <v>611910</v>
      </c>
      <c r="F1181" s="7"/>
      <c r="G1181" s="7" t="s">
        <v>1067</v>
      </c>
      <c r="H1181" s="7"/>
      <c r="I1181" s="27" t="s">
        <v>133</v>
      </c>
      <c r="J1181" s="7"/>
      <c r="K1181" s="27" t="s">
        <v>2208</v>
      </c>
      <c r="L1181" s="7"/>
    </row>
    <row r="1182" spans="1:12" x14ac:dyDescent="0.2">
      <c r="A1182" s="7"/>
      <c r="B1182" s="7"/>
      <c r="C1182" s="7"/>
      <c r="D1182" s="7"/>
      <c r="E1182" s="7">
        <v>611912</v>
      </c>
      <c r="F1182" s="7"/>
      <c r="G1182" s="7" t="s">
        <v>1068</v>
      </c>
      <c r="H1182" s="7"/>
      <c r="I1182" s="27" t="s">
        <v>47</v>
      </c>
      <c r="J1182" s="7"/>
      <c r="K1182" s="27" t="s">
        <v>2208</v>
      </c>
      <c r="L1182" s="7"/>
    </row>
    <row r="1183" spans="1:12" x14ac:dyDescent="0.2">
      <c r="A1183" s="7"/>
      <c r="B1183" s="7"/>
      <c r="C1183" s="7"/>
      <c r="D1183" s="7"/>
      <c r="E1183" s="7">
        <v>611913</v>
      </c>
      <c r="F1183" s="7"/>
      <c r="G1183" s="7" t="s">
        <v>1069</v>
      </c>
      <c r="H1183" s="7"/>
      <c r="I1183" s="27" t="s">
        <v>133</v>
      </c>
      <c r="J1183" s="7"/>
      <c r="K1183" s="27" t="s">
        <v>2208</v>
      </c>
      <c r="L1183" s="7"/>
    </row>
    <row r="1184" spans="1:12" x14ac:dyDescent="0.2">
      <c r="A1184" s="7"/>
      <c r="B1184" s="7"/>
      <c r="C1184" s="7"/>
      <c r="D1184" s="7"/>
      <c r="E1184" s="7">
        <v>611914</v>
      </c>
      <c r="F1184" s="7"/>
      <c r="G1184" s="7" t="s">
        <v>1070</v>
      </c>
      <c r="H1184" s="7"/>
      <c r="I1184" s="27" t="s">
        <v>133</v>
      </c>
      <c r="J1184" s="7"/>
      <c r="K1184" s="27" t="s">
        <v>2208</v>
      </c>
      <c r="L1184" s="7"/>
    </row>
    <row r="1185" spans="1:12" x14ac:dyDescent="0.2">
      <c r="A1185" s="7"/>
      <c r="B1185" s="7"/>
      <c r="C1185" s="7"/>
      <c r="D1185" s="7"/>
      <c r="E1185" s="7">
        <v>611915</v>
      </c>
      <c r="F1185" s="7"/>
      <c r="G1185" s="7" t="s">
        <v>1071</v>
      </c>
      <c r="H1185" s="7"/>
      <c r="I1185" s="27" t="s">
        <v>133</v>
      </c>
      <c r="J1185" s="7"/>
      <c r="K1185" s="27" t="s">
        <v>2208</v>
      </c>
      <c r="L1185" s="7"/>
    </row>
    <row r="1186" spans="1:12" x14ac:dyDescent="0.2">
      <c r="A1186" s="7"/>
      <c r="B1186" s="7"/>
      <c r="C1186" s="7"/>
      <c r="D1186" s="7"/>
      <c r="E1186" s="7">
        <v>611916</v>
      </c>
      <c r="F1186" s="7"/>
      <c r="G1186" s="7" t="s">
        <v>1072</v>
      </c>
      <c r="H1186" s="7"/>
      <c r="I1186" s="27" t="s">
        <v>133</v>
      </c>
      <c r="J1186" s="7"/>
      <c r="K1186" s="27" t="s">
        <v>2208</v>
      </c>
      <c r="L1186" s="7"/>
    </row>
    <row r="1187" spans="1:12" x14ac:dyDescent="0.2">
      <c r="A1187" s="7"/>
      <c r="B1187" s="7"/>
      <c r="C1187" s="7"/>
      <c r="D1187" s="7"/>
      <c r="E1187" s="7">
        <v>611917</v>
      </c>
      <c r="F1187" s="7"/>
      <c r="G1187" s="7" t="s">
        <v>1073</v>
      </c>
      <c r="H1187" s="7"/>
      <c r="I1187" s="27" t="s">
        <v>47</v>
      </c>
      <c r="J1187" s="7"/>
      <c r="K1187" s="27" t="s">
        <v>2208</v>
      </c>
      <c r="L1187" s="7"/>
    </row>
    <row r="1188" spans="1:12" x14ac:dyDescent="0.2">
      <c r="A1188" s="7"/>
      <c r="B1188" s="7"/>
      <c r="C1188" s="7"/>
      <c r="D1188" s="7"/>
      <c r="E1188" s="7">
        <v>611918</v>
      </c>
      <c r="F1188" s="7"/>
      <c r="G1188" s="7" t="s">
        <v>1074</v>
      </c>
      <c r="H1188" s="7"/>
      <c r="I1188" s="27" t="s">
        <v>47</v>
      </c>
      <c r="J1188" s="7"/>
      <c r="K1188" s="27" t="s">
        <v>2208</v>
      </c>
      <c r="L1188" s="7"/>
    </row>
    <row r="1189" spans="1:12" x14ac:dyDescent="0.2">
      <c r="A1189" s="7"/>
      <c r="B1189" s="7"/>
      <c r="C1189" s="7"/>
      <c r="D1189" s="7"/>
      <c r="E1189" s="7">
        <v>611919</v>
      </c>
      <c r="F1189" s="7"/>
      <c r="G1189" s="7" t="s">
        <v>1075</v>
      </c>
      <c r="H1189" s="7"/>
      <c r="I1189" s="27" t="s">
        <v>47</v>
      </c>
      <c r="J1189" s="7"/>
      <c r="K1189" s="27" t="s">
        <v>2208</v>
      </c>
      <c r="L1189" s="7"/>
    </row>
    <row r="1190" spans="1:12" x14ac:dyDescent="0.2">
      <c r="A1190" s="7"/>
      <c r="B1190" s="7"/>
      <c r="C1190" s="7"/>
      <c r="D1190" s="7"/>
      <c r="E1190" s="7">
        <v>611920</v>
      </c>
      <c r="F1190" s="7"/>
      <c r="G1190" s="7" t="s">
        <v>1076</v>
      </c>
      <c r="H1190" s="7"/>
      <c r="I1190" s="27" t="s">
        <v>133</v>
      </c>
      <c r="J1190" s="7"/>
      <c r="K1190" s="27" t="s">
        <v>2208</v>
      </c>
      <c r="L1190" s="7"/>
    </row>
    <row r="1191" spans="1:12" x14ac:dyDescent="0.2">
      <c r="A1191" s="7"/>
      <c r="B1191" s="7"/>
      <c r="C1191" s="7"/>
      <c r="D1191" s="7"/>
      <c r="E1191" s="7">
        <v>611922</v>
      </c>
      <c r="F1191" s="7"/>
      <c r="G1191" s="7" t="s">
        <v>1077</v>
      </c>
      <c r="H1191" s="7"/>
      <c r="I1191" s="27" t="s">
        <v>133</v>
      </c>
      <c r="J1191" s="7"/>
      <c r="K1191" s="27" t="s">
        <v>2208</v>
      </c>
      <c r="L1191" s="7"/>
    </row>
    <row r="1192" spans="1:12" x14ac:dyDescent="0.2">
      <c r="A1192" s="7"/>
      <c r="B1192" s="7"/>
      <c r="C1192" s="7"/>
      <c r="D1192" s="7"/>
      <c r="E1192" s="7">
        <v>611923</v>
      </c>
      <c r="F1192" s="7"/>
      <c r="G1192" s="7" t="s">
        <v>1078</v>
      </c>
      <c r="H1192" s="7"/>
      <c r="I1192" s="27" t="s">
        <v>133</v>
      </c>
      <c r="J1192" s="7"/>
      <c r="K1192" s="27" t="s">
        <v>2208</v>
      </c>
      <c r="L1192" s="7"/>
    </row>
    <row r="1193" spans="1:12" x14ac:dyDescent="0.2">
      <c r="A1193" s="7"/>
      <c r="B1193" s="7"/>
      <c r="C1193" s="7"/>
      <c r="D1193" s="7"/>
      <c r="E1193" s="7">
        <v>611924</v>
      </c>
      <c r="F1193" s="7"/>
      <c r="G1193" s="7" t="s">
        <v>1079</v>
      </c>
      <c r="H1193" s="7"/>
      <c r="I1193" s="27" t="s">
        <v>71</v>
      </c>
      <c r="J1193" s="7"/>
      <c r="K1193" s="27" t="s">
        <v>2208</v>
      </c>
      <c r="L1193" s="7"/>
    </row>
    <row r="1194" spans="1:12" x14ac:dyDescent="0.2">
      <c r="A1194" s="7"/>
      <c r="B1194" s="7"/>
      <c r="C1194" s="7"/>
      <c r="D1194" s="7"/>
      <c r="E1194" s="7">
        <v>611925</v>
      </c>
      <c r="F1194" s="7"/>
      <c r="G1194" s="7" t="s">
        <v>1080</v>
      </c>
      <c r="H1194" s="7"/>
      <c r="I1194" s="27" t="s">
        <v>71</v>
      </c>
      <c r="J1194" s="7"/>
      <c r="K1194" s="27" t="s">
        <v>2208</v>
      </c>
      <c r="L1194" s="7"/>
    </row>
    <row r="1195" spans="1:12" x14ac:dyDescent="0.2">
      <c r="A1195" s="7"/>
      <c r="B1195" s="7"/>
      <c r="C1195" s="7"/>
      <c r="D1195" s="7"/>
      <c r="E1195" s="7">
        <v>611926</v>
      </c>
      <c r="F1195" s="7"/>
      <c r="G1195" s="7" t="s">
        <v>1081</v>
      </c>
      <c r="H1195" s="7"/>
      <c r="I1195" s="27" t="s">
        <v>71</v>
      </c>
      <c r="J1195" s="7"/>
      <c r="K1195" s="27" t="s">
        <v>2208</v>
      </c>
      <c r="L1195" s="7"/>
    </row>
    <row r="1196" spans="1:12" x14ac:dyDescent="0.2">
      <c r="A1196" s="7"/>
      <c r="B1196" s="7"/>
      <c r="C1196" s="7"/>
      <c r="D1196" s="7"/>
      <c r="E1196" s="7">
        <v>611927</v>
      </c>
      <c r="F1196" s="7"/>
      <c r="G1196" s="7" t="s">
        <v>1082</v>
      </c>
      <c r="H1196" s="7"/>
      <c r="I1196" s="27" t="s">
        <v>47</v>
      </c>
      <c r="J1196" s="7"/>
      <c r="K1196" s="27" t="s">
        <v>2208</v>
      </c>
      <c r="L1196" s="7"/>
    </row>
    <row r="1197" spans="1:12" x14ac:dyDescent="0.2">
      <c r="A1197" s="7"/>
      <c r="B1197" s="7"/>
      <c r="C1197" s="7"/>
      <c r="D1197" s="7"/>
      <c r="E1197" s="7">
        <v>611928</v>
      </c>
      <c r="F1197" s="7"/>
      <c r="G1197" s="7" t="s">
        <v>1083</v>
      </c>
      <c r="H1197" s="7"/>
      <c r="I1197" s="27" t="s">
        <v>133</v>
      </c>
      <c r="J1197" s="7"/>
      <c r="K1197" s="27" t="s">
        <v>2208</v>
      </c>
      <c r="L1197" s="7"/>
    </row>
    <row r="1198" spans="1:12" x14ac:dyDescent="0.2">
      <c r="A1198" s="7"/>
      <c r="B1198" s="7"/>
      <c r="C1198" s="7"/>
      <c r="D1198" s="7"/>
      <c r="E1198" s="7">
        <v>611929</v>
      </c>
      <c r="F1198" s="7"/>
      <c r="G1198" s="7" t="s">
        <v>1084</v>
      </c>
      <c r="H1198" s="7"/>
      <c r="I1198" s="27" t="s">
        <v>133</v>
      </c>
      <c r="J1198" s="7"/>
      <c r="K1198" s="27" t="s">
        <v>2208</v>
      </c>
      <c r="L1198" s="7"/>
    </row>
    <row r="1199" spans="1:12" x14ac:dyDescent="0.2">
      <c r="A1199" s="7"/>
      <c r="B1199" s="7"/>
      <c r="C1199" s="7"/>
      <c r="D1199" s="7"/>
      <c r="E1199" s="7">
        <v>611930</v>
      </c>
      <c r="F1199" s="7"/>
      <c r="G1199" s="7" t="s">
        <v>1085</v>
      </c>
      <c r="H1199" s="7"/>
      <c r="I1199" s="27" t="s">
        <v>133</v>
      </c>
      <c r="J1199" s="7"/>
      <c r="K1199" s="27" t="s">
        <v>2208</v>
      </c>
      <c r="L1199" s="7"/>
    </row>
    <row r="1200" spans="1:12" x14ac:dyDescent="0.2">
      <c r="A1200" s="7"/>
      <c r="B1200" s="7"/>
      <c r="C1200" s="7"/>
      <c r="D1200" s="7"/>
      <c r="E1200" s="7">
        <v>611931</v>
      </c>
      <c r="F1200" s="7"/>
      <c r="G1200" s="7" t="s">
        <v>1086</v>
      </c>
      <c r="H1200" s="7"/>
      <c r="I1200" s="27" t="s">
        <v>133</v>
      </c>
      <c r="J1200" s="7"/>
      <c r="K1200" s="27" t="s">
        <v>2208</v>
      </c>
      <c r="L1200" s="7"/>
    </row>
    <row r="1201" spans="1:12" x14ac:dyDescent="0.2">
      <c r="A1201" s="7"/>
      <c r="B1201" s="7"/>
      <c r="C1201" s="7"/>
      <c r="D1201" s="7"/>
      <c r="E1201" s="7">
        <v>611932</v>
      </c>
      <c r="F1201" s="7"/>
      <c r="G1201" s="7" t="s">
        <v>1087</v>
      </c>
      <c r="H1201" s="7"/>
      <c r="I1201" s="27" t="s">
        <v>133</v>
      </c>
      <c r="J1201" s="7"/>
      <c r="K1201" s="27" t="s">
        <v>2208</v>
      </c>
      <c r="L1201" s="7"/>
    </row>
    <row r="1202" spans="1:12" x14ac:dyDescent="0.2">
      <c r="A1202" s="7"/>
      <c r="B1202" s="7"/>
      <c r="C1202" s="7"/>
      <c r="D1202" s="7"/>
      <c r="E1202" s="7">
        <v>611933</v>
      </c>
      <c r="F1202" s="7"/>
      <c r="G1202" s="7" t="s">
        <v>1088</v>
      </c>
      <c r="H1202" s="7"/>
      <c r="I1202" s="27" t="s">
        <v>133</v>
      </c>
      <c r="J1202" s="7"/>
      <c r="K1202" s="27" t="s">
        <v>2208</v>
      </c>
      <c r="L1202" s="7"/>
    </row>
    <row r="1203" spans="1:12" x14ac:dyDescent="0.2">
      <c r="A1203" s="7"/>
      <c r="B1203" s="7"/>
      <c r="C1203" s="7"/>
      <c r="D1203" s="7"/>
      <c r="E1203" s="7">
        <v>611934</v>
      </c>
      <c r="F1203" s="7"/>
      <c r="G1203" s="7" t="s">
        <v>1089</v>
      </c>
      <c r="H1203" s="7"/>
      <c r="I1203" s="27" t="s">
        <v>133</v>
      </c>
      <c r="J1203" s="7"/>
      <c r="K1203" s="27" t="s">
        <v>2208</v>
      </c>
      <c r="L1203" s="7"/>
    </row>
    <row r="1204" spans="1:12" x14ac:dyDescent="0.2">
      <c r="A1204" s="7"/>
      <c r="B1204" s="7"/>
      <c r="C1204" s="7"/>
      <c r="D1204" s="7"/>
      <c r="E1204" s="7">
        <v>611935</v>
      </c>
      <c r="F1204" s="7"/>
      <c r="G1204" s="7" t="s">
        <v>1090</v>
      </c>
      <c r="H1204" s="7"/>
      <c r="I1204" s="27" t="s">
        <v>133</v>
      </c>
      <c r="J1204" s="7"/>
      <c r="K1204" s="27" t="s">
        <v>2208</v>
      </c>
      <c r="L1204" s="7"/>
    </row>
    <row r="1205" spans="1:12" x14ac:dyDescent="0.2">
      <c r="A1205" s="7"/>
      <c r="B1205" s="7"/>
      <c r="C1205" s="7"/>
      <c r="D1205" s="7"/>
      <c r="E1205" s="7">
        <v>611936</v>
      </c>
      <c r="F1205" s="7"/>
      <c r="G1205" s="7" t="s">
        <v>1091</v>
      </c>
      <c r="H1205" s="7"/>
      <c r="I1205" s="27" t="s">
        <v>133</v>
      </c>
      <c r="J1205" s="7"/>
      <c r="K1205" s="27" t="s">
        <v>2208</v>
      </c>
      <c r="L1205" s="7"/>
    </row>
    <row r="1206" spans="1:12" x14ac:dyDescent="0.2">
      <c r="A1206" s="7"/>
      <c r="B1206" s="7"/>
      <c r="C1206" s="7"/>
      <c r="D1206" s="7"/>
      <c r="E1206" s="7">
        <v>611937</v>
      </c>
      <c r="F1206" s="7"/>
      <c r="G1206" s="7" t="s">
        <v>1092</v>
      </c>
      <c r="H1206" s="7"/>
      <c r="I1206" s="27" t="s">
        <v>133</v>
      </c>
      <c r="J1206" s="7"/>
      <c r="K1206" s="27" t="s">
        <v>2208</v>
      </c>
      <c r="L1206" s="7"/>
    </row>
    <row r="1207" spans="1:12" x14ac:dyDescent="0.2">
      <c r="A1207" s="7"/>
      <c r="B1207" s="7"/>
      <c r="C1207" s="7"/>
      <c r="D1207" s="7"/>
      <c r="E1207" s="7">
        <v>611938</v>
      </c>
      <c r="F1207" s="7"/>
      <c r="G1207" s="7" t="s">
        <v>1093</v>
      </c>
      <c r="H1207" s="7"/>
      <c r="I1207" s="27" t="s">
        <v>133</v>
      </c>
      <c r="J1207" s="7"/>
      <c r="K1207" s="27" t="s">
        <v>2208</v>
      </c>
      <c r="L1207" s="7"/>
    </row>
    <row r="1208" spans="1:12" x14ac:dyDescent="0.2">
      <c r="A1208" s="7"/>
      <c r="B1208" s="7"/>
      <c r="C1208" s="7"/>
      <c r="D1208" s="7"/>
      <c r="E1208" s="7">
        <v>611939</v>
      </c>
      <c r="F1208" s="7"/>
      <c r="G1208" s="7" t="s">
        <v>1094</v>
      </c>
      <c r="H1208" s="7"/>
      <c r="I1208" s="27" t="s">
        <v>71</v>
      </c>
      <c r="J1208" s="7"/>
      <c r="K1208" s="27" t="s">
        <v>2208</v>
      </c>
      <c r="L1208" s="7"/>
    </row>
    <row r="1209" spans="1:12" x14ac:dyDescent="0.2">
      <c r="A1209" s="7"/>
      <c r="B1209" s="7"/>
      <c r="C1209" s="7"/>
      <c r="D1209" s="7"/>
      <c r="E1209" s="7">
        <v>611940</v>
      </c>
      <c r="F1209" s="7"/>
      <c r="G1209" s="7" t="s">
        <v>1095</v>
      </c>
      <c r="H1209" s="7"/>
      <c r="I1209" s="27" t="s">
        <v>133</v>
      </c>
      <c r="J1209" s="7"/>
      <c r="K1209" s="27" t="s">
        <v>2208</v>
      </c>
      <c r="L1209" s="7"/>
    </row>
    <row r="1210" spans="1:12" x14ac:dyDescent="0.2">
      <c r="A1210" s="7"/>
      <c r="B1210" s="7"/>
      <c r="C1210" s="7"/>
      <c r="D1210" s="7"/>
      <c r="E1210" s="7">
        <v>611941</v>
      </c>
      <c r="F1210" s="7"/>
      <c r="G1210" s="7" t="s">
        <v>1096</v>
      </c>
      <c r="H1210" s="7"/>
      <c r="I1210" s="27" t="s">
        <v>71</v>
      </c>
      <c r="J1210" s="7"/>
      <c r="K1210" s="27" t="s">
        <v>2208</v>
      </c>
      <c r="L1210" s="7"/>
    </row>
    <row r="1211" spans="1:12" x14ac:dyDescent="0.2">
      <c r="A1211" s="7"/>
      <c r="B1211" s="7"/>
      <c r="C1211" s="7"/>
      <c r="D1211" s="7"/>
      <c r="E1211" s="7">
        <v>611942</v>
      </c>
      <c r="F1211" s="7"/>
      <c r="G1211" s="7" t="s">
        <v>1097</v>
      </c>
      <c r="H1211" s="7"/>
      <c r="I1211" s="27" t="s">
        <v>71</v>
      </c>
      <c r="J1211" s="7"/>
      <c r="K1211" s="27" t="s">
        <v>2208</v>
      </c>
      <c r="L1211" s="7"/>
    </row>
    <row r="1212" spans="1:12" x14ac:dyDescent="0.2">
      <c r="A1212" s="7"/>
      <c r="B1212" s="7"/>
      <c r="C1212" s="7"/>
      <c r="D1212" s="7"/>
      <c r="E1212" s="7">
        <v>611943</v>
      </c>
      <c r="F1212" s="7"/>
      <c r="G1212" s="7" t="s">
        <v>1098</v>
      </c>
      <c r="H1212" s="7"/>
      <c r="I1212" s="27" t="s">
        <v>71</v>
      </c>
      <c r="J1212" s="7"/>
      <c r="K1212" s="27" t="s">
        <v>2208</v>
      </c>
      <c r="L1212" s="7"/>
    </row>
    <row r="1213" spans="1:12" x14ac:dyDescent="0.2">
      <c r="A1213" s="7"/>
      <c r="B1213" s="7"/>
      <c r="C1213" s="7"/>
      <c r="D1213" s="7"/>
      <c r="E1213" s="7">
        <v>611944</v>
      </c>
      <c r="F1213" s="7"/>
      <c r="G1213" s="7" t="s">
        <v>1099</v>
      </c>
      <c r="H1213" s="7"/>
      <c r="I1213" s="27" t="s">
        <v>71</v>
      </c>
      <c r="J1213" s="7"/>
      <c r="K1213" s="27" t="s">
        <v>2208</v>
      </c>
      <c r="L1213" s="7"/>
    </row>
    <row r="1214" spans="1:12" x14ac:dyDescent="0.2">
      <c r="A1214" s="7"/>
      <c r="B1214" s="7"/>
      <c r="C1214" s="7"/>
      <c r="D1214" s="7"/>
      <c r="E1214" s="7">
        <v>611945</v>
      </c>
      <c r="F1214" s="7"/>
      <c r="G1214" s="7" t="s">
        <v>1100</v>
      </c>
      <c r="H1214" s="7"/>
      <c r="I1214" s="27" t="s">
        <v>71</v>
      </c>
      <c r="J1214" s="7"/>
      <c r="K1214" s="27" t="s">
        <v>2208</v>
      </c>
      <c r="L1214" s="7"/>
    </row>
    <row r="1215" spans="1:12" x14ac:dyDescent="0.2">
      <c r="A1215" s="7"/>
      <c r="B1215" s="7"/>
      <c r="C1215" s="7"/>
      <c r="D1215" s="7"/>
      <c r="E1215" s="7">
        <v>611946</v>
      </c>
      <c r="F1215" s="7"/>
      <c r="G1215" s="7" t="s">
        <v>1101</v>
      </c>
      <c r="H1215" s="7"/>
      <c r="I1215" s="27" t="s">
        <v>47</v>
      </c>
      <c r="J1215" s="7"/>
      <c r="K1215" s="27" t="s">
        <v>2208</v>
      </c>
      <c r="L1215" s="7"/>
    </row>
    <row r="1216" spans="1:12" x14ac:dyDescent="0.2">
      <c r="A1216" s="7"/>
      <c r="B1216" s="7"/>
      <c r="C1216" s="7"/>
      <c r="D1216" s="7"/>
      <c r="E1216" s="7">
        <v>611947</v>
      </c>
      <c r="F1216" s="7"/>
      <c r="G1216" s="7" t="s">
        <v>1102</v>
      </c>
      <c r="H1216" s="7"/>
      <c r="I1216" s="27" t="s">
        <v>71</v>
      </c>
      <c r="J1216" s="7"/>
      <c r="K1216" s="27" t="s">
        <v>2208</v>
      </c>
      <c r="L1216" s="7"/>
    </row>
    <row r="1217" spans="1:12" x14ac:dyDescent="0.2">
      <c r="A1217" s="7"/>
      <c r="B1217" s="7"/>
      <c r="C1217" s="7"/>
      <c r="D1217" s="7"/>
      <c r="E1217" s="7">
        <v>611948</v>
      </c>
      <c r="F1217" s="7"/>
      <c r="G1217" s="7" t="s">
        <v>1103</v>
      </c>
      <c r="H1217" s="7"/>
      <c r="I1217" s="27" t="s">
        <v>71</v>
      </c>
      <c r="J1217" s="7"/>
      <c r="K1217" s="27" t="s">
        <v>2208</v>
      </c>
      <c r="L1217" s="7"/>
    </row>
    <row r="1218" spans="1:12" x14ac:dyDescent="0.2">
      <c r="A1218" s="7"/>
      <c r="B1218" s="7"/>
      <c r="C1218" s="7"/>
      <c r="D1218" s="7"/>
      <c r="E1218" s="7">
        <v>611949</v>
      </c>
      <c r="F1218" s="7"/>
      <c r="G1218" s="7" t="s">
        <v>1104</v>
      </c>
      <c r="H1218" s="7"/>
      <c r="I1218" s="27" t="s">
        <v>71</v>
      </c>
      <c r="J1218" s="7"/>
      <c r="K1218" s="27" t="s">
        <v>2208</v>
      </c>
      <c r="L1218" s="7"/>
    </row>
    <row r="1219" spans="1:12" x14ac:dyDescent="0.2">
      <c r="A1219" s="7"/>
      <c r="B1219" s="7"/>
      <c r="C1219" s="7"/>
      <c r="D1219" s="7"/>
      <c r="E1219" s="7">
        <v>611950</v>
      </c>
      <c r="F1219" s="7"/>
      <c r="G1219" s="7" t="s">
        <v>1105</v>
      </c>
      <c r="H1219" s="7"/>
      <c r="I1219" s="27" t="s">
        <v>133</v>
      </c>
      <c r="J1219" s="7"/>
      <c r="K1219" s="27" t="s">
        <v>2208</v>
      </c>
      <c r="L1219" s="7"/>
    </row>
    <row r="1220" spans="1:12" x14ac:dyDescent="0.2">
      <c r="A1220" s="7"/>
      <c r="B1220" s="7"/>
      <c r="C1220" s="7"/>
      <c r="D1220" s="7"/>
      <c r="E1220" s="7">
        <v>611951</v>
      </c>
      <c r="F1220" s="7"/>
      <c r="G1220" s="7" t="s">
        <v>1106</v>
      </c>
      <c r="H1220" s="7"/>
      <c r="I1220" s="27" t="s">
        <v>133</v>
      </c>
      <c r="J1220" s="7"/>
      <c r="K1220" s="27" t="s">
        <v>2208</v>
      </c>
      <c r="L1220" s="7"/>
    </row>
    <row r="1221" spans="1:12" x14ac:dyDescent="0.2">
      <c r="A1221" s="7"/>
      <c r="B1221" s="7"/>
      <c r="C1221" s="7"/>
      <c r="D1221" s="7"/>
      <c r="E1221" s="7">
        <v>611952</v>
      </c>
      <c r="F1221" s="7"/>
      <c r="G1221" s="7" t="s">
        <v>1107</v>
      </c>
      <c r="H1221" s="7"/>
      <c r="I1221" s="27" t="s">
        <v>133</v>
      </c>
      <c r="J1221" s="7"/>
      <c r="K1221" s="27" t="s">
        <v>2208</v>
      </c>
      <c r="L1221" s="7"/>
    </row>
    <row r="1222" spans="1:12" x14ac:dyDescent="0.2">
      <c r="A1222" s="7"/>
      <c r="B1222" s="7"/>
      <c r="C1222" s="7"/>
      <c r="D1222" s="7"/>
      <c r="E1222" s="7">
        <v>611953</v>
      </c>
      <c r="F1222" s="7"/>
      <c r="G1222" s="7" t="s">
        <v>1108</v>
      </c>
      <c r="H1222" s="7"/>
      <c r="I1222" s="27" t="s">
        <v>133</v>
      </c>
      <c r="J1222" s="7"/>
      <c r="K1222" s="27" t="s">
        <v>2208</v>
      </c>
      <c r="L1222" s="7"/>
    </row>
    <row r="1223" spans="1:12" x14ac:dyDescent="0.2">
      <c r="A1223" s="7"/>
      <c r="B1223" s="7"/>
      <c r="C1223" s="7"/>
      <c r="D1223" s="7"/>
      <c r="E1223" s="7">
        <v>611954</v>
      </c>
      <c r="F1223" s="7"/>
      <c r="G1223" s="7" t="s">
        <v>1109</v>
      </c>
      <c r="H1223" s="7"/>
      <c r="I1223" s="27" t="s">
        <v>133</v>
      </c>
      <c r="J1223" s="7"/>
      <c r="K1223" s="27" t="s">
        <v>2208</v>
      </c>
      <c r="L1223" s="7"/>
    </row>
    <row r="1224" spans="1:12" x14ac:dyDescent="0.2">
      <c r="A1224" s="7"/>
      <c r="B1224" s="7"/>
      <c r="C1224" s="7"/>
      <c r="D1224" s="7"/>
      <c r="E1224" s="7">
        <v>611955</v>
      </c>
      <c r="F1224" s="7"/>
      <c r="G1224" s="7" t="s">
        <v>1110</v>
      </c>
      <c r="H1224" s="7"/>
      <c r="I1224" s="27" t="s">
        <v>133</v>
      </c>
      <c r="J1224" s="7"/>
      <c r="K1224" s="27" t="s">
        <v>2208</v>
      </c>
      <c r="L1224" s="7"/>
    </row>
    <row r="1225" spans="1:12" x14ac:dyDescent="0.2">
      <c r="A1225" s="7"/>
      <c r="B1225" s="7"/>
      <c r="C1225" s="7"/>
      <c r="D1225" s="7"/>
      <c r="E1225" s="7">
        <v>611956</v>
      </c>
      <c r="F1225" s="7"/>
      <c r="G1225" s="7" t="s">
        <v>1111</v>
      </c>
      <c r="H1225" s="7"/>
      <c r="I1225" s="27" t="s">
        <v>133</v>
      </c>
      <c r="J1225" s="7"/>
      <c r="K1225" s="27" t="s">
        <v>2208</v>
      </c>
      <c r="L1225" s="7"/>
    </row>
    <row r="1226" spans="1:12" x14ac:dyDescent="0.2">
      <c r="A1226" s="7"/>
      <c r="B1226" s="7"/>
      <c r="C1226" s="7"/>
      <c r="D1226" s="7"/>
      <c r="E1226" s="7">
        <v>611957</v>
      </c>
      <c r="F1226" s="7"/>
      <c r="G1226" s="7" t="s">
        <v>1112</v>
      </c>
      <c r="H1226" s="7"/>
      <c r="I1226" s="27" t="s">
        <v>133</v>
      </c>
      <c r="J1226" s="7"/>
      <c r="K1226" s="27" t="s">
        <v>2208</v>
      </c>
      <c r="L1226" s="7"/>
    </row>
    <row r="1227" spans="1:12" x14ac:dyDescent="0.2">
      <c r="A1227" s="7"/>
      <c r="B1227" s="7"/>
      <c r="C1227" s="7"/>
      <c r="D1227" s="7"/>
      <c r="E1227" s="7">
        <v>611958</v>
      </c>
      <c r="F1227" s="7"/>
      <c r="G1227" s="7" t="s">
        <v>1113</v>
      </c>
      <c r="H1227" s="7"/>
      <c r="I1227" s="27" t="s">
        <v>133</v>
      </c>
      <c r="J1227" s="7"/>
      <c r="K1227" s="27" t="s">
        <v>2208</v>
      </c>
      <c r="L1227" s="7"/>
    </row>
    <row r="1228" spans="1:12" x14ac:dyDescent="0.2">
      <c r="A1228" s="7"/>
      <c r="B1228" s="7"/>
      <c r="C1228" s="7"/>
      <c r="D1228" s="7"/>
      <c r="E1228" s="7">
        <v>611959</v>
      </c>
      <c r="F1228" s="7"/>
      <c r="G1228" s="7" t="s">
        <v>1114</v>
      </c>
      <c r="H1228" s="7"/>
      <c r="I1228" s="27" t="s">
        <v>133</v>
      </c>
      <c r="J1228" s="7"/>
      <c r="K1228" s="27" t="s">
        <v>2208</v>
      </c>
      <c r="L1228" s="7"/>
    </row>
    <row r="1229" spans="1:12" x14ac:dyDescent="0.2">
      <c r="A1229" s="7"/>
      <c r="B1229" s="7"/>
      <c r="C1229" s="7"/>
      <c r="D1229" s="7"/>
      <c r="E1229" s="7">
        <v>611960</v>
      </c>
      <c r="F1229" s="7"/>
      <c r="G1229" s="7" t="s">
        <v>1115</v>
      </c>
      <c r="H1229" s="7"/>
      <c r="I1229" s="27" t="s">
        <v>133</v>
      </c>
      <c r="J1229" s="7"/>
      <c r="K1229" s="27" t="s">
        <v>2208</v>
      </c>
      <c r="L1229" s="7"/>
    </row>
    <row r="1230" spans="1:12" x14ac:dyDescent="0.2">
      <c r="A1230" s="7"/>
      <c r="B1230" s="7"/>
      <c r="C1230" s="7"/>
      <c r="D1230" s="7"/>
      <c r="E1230" s="7">
        <v>611962</v>
      </c>
      <c r="F1230" s="7"/>
      <c r="G1230" s="7" t="s">
        <v>1116</v>
      </c>
      <c r="H1230" s="7"/>
      <c r="I1230" s="27" t="s">
        <v>133</v>
      </c>
      <c r="J1230" s="7"/>
      <c r="K1230" s="27" t="s">
        <v>2208</v>
      </c>
      <c r="L1230" s="7"/>
    </row>
    <row r="1231" spans="1:12" x14ac:dyDescent="0.2">
      <c r="A1231" s="7"/>
      <c r="B1231" s="7"/>
      <c r="C1231" s="7"/>
      <c r="D1231" s="7"/>
      <c r="E1231" s="7">
        <v>611963</v>
      </c>
      <c r="F1231" s="7"/>
      <c r="G1231" s="7" t="s">
        <v>1117</v>
      </c>
      <c r="H1231" s="7"/>
      <c r="I1231" s="27" t="s">
        <v>133</v>
      </c>
      <c r="J1231" s="7"/>
      <c r="K1231" s="27" t="s">
        <v>2208</v>
      </c>
      <c r="L1231" s="7"/>
    </row>
    <row r="1232" spans="1:12" x14ac:dyDescent="0.2">
      <c r="A1232" s="7"/>
      <c r="B1232" s="7"/>
      <c r="C1232" s="7"/>
      <c r="D1232" s="7"/>
      <c r="E1232" s="7">
        <v>611964</v>
      </c>
      <c r="F1232" s="7"/>
      <c r="G1232" s="7" t="s">
        <v>1118</v>
      </c>
      <c r="H1232" s="7"/>
      <c r="I1232" s="27" t="s">
        <v>133</v>
      </c>
      <c r="J1232" s="7"/>
      <c r="K1232" s="27" t="s">
        <v>2208</v>
      </c>
      <c r="L1232" s="7"/>
    </row>
    <row r="1233" spans="1:12" x14ac:dyDescent="0.2">
      <c r="A1233" s="7"/>
      <c r="B1233" s="7"/>
      <c r="C1233" s="7"/>
      <c r="D1233" s="7"/>
      <c r="E1233" s="7">
        <v>611965</v>
      </c>
      <c r="F1233" s="7"/>
      <c r="G1233" s="7" t="s">
        <v>1119</v>
      </c>
      <c r="H1233" s="7"/>
      <c r="I1233" s="27" t="s">
        <v>133</v>
      </c>
      <c r="J1233" s="7"/>
      <c r="K1233" s="27" t="s">
        <v>2208</v>
      </c>
      <c r="L1233" s="7"/>
    </row>
    <row r="1234" spans="1:12" x14ac:dyDescent="0.2">
      <c r="A1234" s="7"/>
      <c r="B1234" s="7"/>
      <c r="C1234" s="7"/>
      <c r="D1234" s="7"/>
      <c r="E1234" s="7">
        <v>611966</v>
      </c>
      <c r="F1234" s="7"/>
      <c r="G1234" s="7" t="s">
        <v>1120</v>
      </c>
      <c r="H1234" s="7"/>
      <c r="I1234" s="27" t="s">
        <v>133</v>
      </c>
      <c r="J1234" s="7"/>
      <c r="K1234" s="27" t="s">
        <v>2208</v>
      </c>
      <c r="L1234" s="7"/>
    </row>
    <row r="1235" spans="1:12" x14ac:dyDescent="0.2">
      <c r="A1235" s="7"/>
      <c r="B1235" s="7"/>
      <c r="C1235" s="7"/>
      <c r="D1235" s="7"/>
      <c r="E1235" s="7">
        <v>611967</v>
      </c>
      <c r="F1235" s="7"/>
      <c r="G1235" s="7" t="s">
        <v>1121</v>
      </c>
      <c r="H1235" s="7"/>
      <c r="I1235" s="27" t="s">
        <v>133</v>
      </c>
      <c r="J1235" s="7"/>
      <c r="K1235" s="27" t="s">
        <v>2208</v>
      </c>
      <c r="L1235" s="7"/>
    </row>
    <row r="1236" spans="1:12" x14ac:dyDescent="0.2">
      <c r="A1236" s="7"/>
      <c r="B1236" s="7"/>
      <c r="C1236" s="7"/>
      <c r="D1236" s="7"/>
      <c r="E1236" s="7">
        <v>611968</v>
      </c>
      <c r="F1236" s="7"/>
      <c r="G1236" s="7" t="s">
        <v>1122</v>
      </c>
      <c r="H1236" s="7"/>
      <c r="I1236" s="27" t="s">
        <v>133</v>
      </c>
      <c r="J1236" s="7"/>
      <c r="K1236" s="27" t="s">
        <v>2208</v>
      </c>
      <c r="L1236" s="7"/>
    </row>
    <row r="1237" spans="1:12" x14ac:dyDescent="0.2">
      <c r="A1237" s="7"/>
      <c r="B1237" s="7"/>
      <c r="C1237" s="7"/>
      <c r="D1237" s="7"/>
      <c r="E1237" s="7">
        <v>611969</v>
      </c>
      <c r="F1237" s="7"/>
      <c r="G1237" s="7" t="s">
        <v>1123</v>
      </c>
      <c r="H1237" s="7"/>
      <c r="I1237" s="27" t="s">
        <v>71</v>
      </c>
      <c r="J1237" s="7"/>
      <c r="K1237" s="27" t="s">
        <v>2208</v>
      </c>
      <c r="L1237" s="7"/>
    </row>
    <row r="1238" spans="1:12" x14ac:dyDescent="0.2">
      <c r="A1238" s="7"/>
      <c r="B1238" s="7"/>
      <c r="C1238" s="7"/>
      <c r="D1238" s="7"/>
      <c r="E1238" s="7">
        <v>611970</v>
      </c>
      <c r="F1238" s="7"/>
      <c r="G1238" s="7" t="s">
        <v>1124</v>
      </c>
      <c r="H1238" s="7"/>
      <c r="I1238" s="27" t="s">
        <v>133</v>
      </c>
      <c r="J1238" s="7"/>
      <c r="K1238" s="27" t="s">
        <v>2208</v>
      </c>
      <c r="L1238" s="7"/>
    </row>
    <row r="1239" spans="1:12" x14ac:dyDescent="0.2">
      <c r="A1239" s="7"/>
      <c r="B1239" s="7"/>
      <c r="C1239" s="7"/>
      <c r="D1239" s="7"/>
      <c r="E1239" s="7">
        <v>611971</v>
      </c>
      <c r="F1239" s="7"/>
      <c r="G1239" s="7" t="s">
        <v>1125</v>
      </c>
      <c r="H1239" s="7"/>
      <c r="I1239" s="27" t="s">
        <v>71</v>
      </c>
      <c r="J1239" s="7"/>
      <c r="K1239" s="27" t="s">
        <v>2208</v>
      </c>
      <c r="L1239" s="7"/>
    </row>
    <row r="1240" spans="1:12" x14ac:dyDescent="0.2">
      <c r="A1240" s="7"/>
      <c r="B1240" s="7"/>
      <c r="C1240" s="7"/>
      <c r="D1240" s="7"/>
      <c r="E1240" s="7">
        <v>611972</v>
      </c>
      <c r="F1240" s="7"/>
      <c r="G1240" s="7" t="s">
        <v>1126</v>
      </c>
      <c r="H1240" s="7"/>
      <c r="I1240" s="27" t="s">
        <v>71</v>
      </c>
      <c r="J1240" s="7"/>
      <c r="K1240" s="27" t="s">
        <v>2208</v>
      </c>
      <c r="L1240" s="7"/>
    </row>
    <row r="1241" spans="1:12" x14ac:dyDescent="0.2">
      <c r="A1241" s="7"/>
      <c r="B1241" s="7"/>
      <c r="C1241" s="7"/>
      <c r="D1241" s="7"/>
      <c r="E1241" s="7">
        <v>611973</v>
      </c>
      <c r="F1241" s="7"/>
      <c r="G1241" s="7" t="s">
        <v>1127</v>
      </c>
      <c r="H1241" s="7"/>
      <c r="I1241" s="27" t="s">
        <v>47</v>
      </c>
      <c r="J1241" s="7"/>
      <c r="K1241" s="27" t="s">
        <v>2208</v>
      </c>
      <c r="L1241" s="7"/>
    </row>
    <row r="1242" spans="1:12" x14ac:dyDescent="0.2">
      <c r="A1242" s="7"/>
      <c r="B1242" s="7"/>
      <c r="C1242" s="7"/>
      <c r="D1242" s="7"/>
      <c r="E1242" s="7">
        <v>611974</v>
      </c>
      <c r="F1242" s="7"/>
      <c r="G1242" s="7" t="s">
        <v>1128</v>
      </c>
      <c r="H1242" s="7"/>
      <c r="I1242" s="27" t="s">
        <v>47</v>
      </c>
      <c r="J1242" s="7"/>
      <c r="K1242" s="27" t="s">
        <v>2208</v>
      </c>
      <c r="L1242" s="7"/>
    </row>
    <row r="1243" spans="1:12" x14ac:dyDescent="0.2">
      <c r="A1243" s="7"/>
      <c r="B1243" s="7"/>
      <c r="C1243" s="7"/>
      <c r="D1243" s="7"/>
      <c r="E1243" s="7">
        <v>611975</v>
      </c>
      <c r="F1243" s="7"/>
      <c r="G1243" s="7" t="s">
        <v>1129</v>
      </c>
      <c r="H1243" s="7"/>
      <c r="I1243" s="27" t="s">
        <v>47</v>
      </c>
      <c r="J1243" s="7"/>
      <c r="K1243" s="27" t="s">
        <v>2208</v>
      </c>
      <c r="L1243" s="7"/>
    </row>
    <row r="1244" spans="1:12" x14ac:dyDescent="0.2">
      <c r="A1244" s="7"/>
      <c r="B1244" s="7"/>
      <c r="C1244" s="7"/>
      <c r="D1244" s="7"/>
      <c r="E1244" s="7">
        <v>611976</v>
      </c>
      <c r="F1244" s="7"/>
      <c r="G1244" s="7" t="s">
        <v>1130</v>
      </c>
      <c r="H1244" s="7"/>
      <c r="I1244" s="27" t="s">
        <v>133</v>
      </c>
      <c r="J1244" s="7"/>
      <c r="K1244" s="27" t="s">
        <v>2208</v>
      </c>
      <c r="L1244" s="7"/>
    </row>
    <row r="1245" spans="1:12" x14ac:dyDescent="0.2">
      <c r="A1245" s="7"/>
      <c r="B1245" s="7"/>
      <c r="C1245" s="7"/>
      <c r="D1245" s="7"/>
      <c r="E1245" s="7">
        <v>611977</v>
      </c>
      <c r="F1245" s="7"/>
      <c r="G1245" s="7" t="s">
        <v>1131</v>
      </c>
      <c r="H1245" s="7"/>
      <c r="I1245" s="27" t="s">
        <v>133</v>
      </c>
      <c r="J1245" s="7"/>
      <c r="K1245" s="27" t="s">
        <v>2208</v>
      </c>
      <c r="L1245" s="7"/>
    </row>
    <row r="1246" spans="1:12" x14ac:dyDescent="0.2">
      <c r="A1246" s="7"/>
      <c r="B1246" s="7"/>
      <c r="C1246" s="7"/>
      <c r="D1246" s="7"/>
      <c r="E1246" s="7">
        <v>611978</v>
      </c>
      <c r="F1246" s="7"/>
      <c r="G1246" s="7" t="s">
        <v>1132</v>
      </c>
      <c r="H1246" s="7"/>
      <c r="I1246" s="27" t="s">
        <v>133</v>
      </c>
      <c r="J1246" s="7"/>
      <c r="K1246" s="27" t="s">
        <v>2208</v>
      </c>
      <c r="L1246" s="7"/>
    </row>
    <row r="1247" spans="1:12" x14ac:dyDescent="0.2">
      <c r="A1247" s="7"/>
      <c r="B1247" s="7"/>
      <c r="C1247" s="7"/>
      <c r="D1247" s="7"/>
      <c r="E1247" s="7">
        <v>611979</v>
      </c>
      <c r="F1247" s="7"/>
      <c r="G1247" s="7" t="s">
        <v>1133</v>
      </c>
      <c r="H1247" s="7"/>
      <c r="I1247" s="27" t="s">
        <v>133</v>
      </c>
      <c r="J1247" s="7"/>
      <c r="K1247" s="27" t="s">
        <v>2208</v>
      </c>
      <c r="L1247" s="7"/>
    </row>
    <row r="1248" spans="1:12" x14ac:dyDescent="0.2">
      <c r="A1248" s="7"/>
      <c r="B1248" s="7"/>
      <c r="C1248" s="7"/>
      <c r="D1248" s="7"/>
      <c r="E1248" s="7">
        <v>611980</v>
      </c>
      <c r="F1248" s="7"/>
      <c r="G1248" s="7" t="s">
        <v>1134</v>
      </c>
      <c r="H1248" s="7"/>
      <c r="I1248" s="27" t="s">
        <v>133</v>
      </c>
      <c r="J1248" s="7"/>
      <c r="K1248" s="27" t="s">
        <v>2208</v>
      </c>
      <c r="L1248" s="7"/>
    </row>
    <row r="1249" spans="1:12" x14ac:dyDescent="0.2">
      <c r="A1249" s="7"/>
      <c r="B1249" s="7"/>
      <c r="C1249" s="7"/>
      <c r="D1249" s="7"/>
      <c r="E1249" s="7">
        <v>611981</v>
      </c>
      <c r="F1249" s="7"/>
      <c r="G1249" s="7" t="s">
        <v>1135</v>
      </c>
      <c r="H1249" s="7"/>
      <c r="I1249" s="27" t="s">
        <v>133</v>
      </c>
      <c r="J1249" s="7"/>
      <c r="K1249" s="27" t="s">
        <v>2208</v>
      </c>
      <c r="L1249" s="7"/>
    </row>
    <row r="1250" spans="1:12" x14ac:dyDescent="0.2">
      <c r="A1250" s="7"/>
      <c r="B1250" s="7"/>
      <c r="C1250" s="7"/>
      <c r="D1250" s="7"/>
      <c r="E1250" s="7">
        <v>611983</v>
      </c>
      <c r="F1250" s="7"/>
      <c r="G1250" s="7" t="s">
        <v>1136</v>
      </c>
      <c r="H1250" s="7"/>
      <c r="I1250" s="27" t="s">
        <v>133</v>
      </c>
      <c r="J1250" s="7"/>
      <c r="K1250" s="27" t="s">
        <v>2208</v>
      </c>
      <c r="L1250" s="7"/>
    </row>
    <row r="1251" spans="1:12" x14ac:dyDescent="0.2">
      <c r="A1251" s="7"/>
      <c r="B1251" s="7"/>
      <c r="C1251" s="7"/>
      <c r="D1251" s="7"/>
      <c r="E1251" s="7">
        <v>611985</v>
      </c>
      <c r="F1251" s="7"/>
      <c r="G1251" s="7" t="s">
        <v>1137</v>
      </c>
      <c r="H1251" s="7"/>
      <c r="I1251" s="27" t="s">
        <v>133</v>
      </c>
      <c r="J1251" s="7"/>
      <c r="K1251" s="27" t="s">
        <v>2208</v>
      </c>
      <c r="L1251" s="7"/>
    </row>
    <row r="1252" spans="1:12" x14ac:dyDescent="0.2">
      <c r="A1252" s="7"/>
      <c r="B1252" s="7"/>
      <c r="C1252" s="7"/>
      <c r="D1252" s="7"/>
      <c r="E1252" s="7">
        <v>611986</v>
      </c>
      <c r="F1252" s="7"/>
      <c r="G1252" s="7" t="s">
        <v>1138</v>
      </c>
      <c r="H1252" s="7"/>
      <c r="I1252" s="27" t="s">
        <v>47</v>
      </c>
      <c r="J1252" s="7"/>
      <c r="K1252" s="27" t="s">
        <v>2208</v>
      </c>
      <c r="L1252" s="7"/>
    </row>
    <row r="1253" spans="1:12" x14ac:dyDescent="0.2">
      <c r="A1253" s="7"/>
      <c r="B1253" s="7"/>
      <c r="C1253" s="7"/>
      <c r="D1253" s="7"/>
      <c r="E1253" s="7">
        <v>611987</v>
      </c>
      <c r="F1253" s="7"/>
      <c r="G1253" s="7" t="s">
        <v>1139</v>
      </c>
      <c r="H1253" s="7"/>
      <c r="I1253" s="27" t="s">
        <v>47</v>
      </c>
      <c r="J1253" s="7"/>
      <c r="K1253" s="27" t="s">
        <v>2208</v>
      </c>
      <c r="L1253" s="7"/>
    </row>
    <row r="1254" spans="1:12" x14ac:dyDescent="0.2">
      <c r="A1254" s="7"/>
      <c r="B1254" s="7"/>
      <c r="C1254" s="7"/>
      <c r="D1254" s="7"/>
      <c r="E1254" s="7">
        <v>611988</v>
      </c>
      <c r="F1254" s="7"/>
      <c r="G1254" s="7" t="s">
        <v>1140</v>
      </c>
      <c r="H1254" s="7"/>
      <c r="I1254" s="27" t="s">
        <v>133</v>
      </c>
      <c r="J1254" s="7"/>
      <c r="K1254" s="27" t="s">
        <v>2208</v>
      </c>
      <c r="L1254" s="7"/>
    </row>
    <row r="1255" spans="1:12" x14ac:dyDescent="0.2">
      <c r="A1255" s="7"/>
      <c r="B1255" s="7"/>
      <c r="C1255" s="7"/>
      <c r="D1255" s="7"/>
      <c r="E1255" s="7">
        <v>611989</v>
      </c>
      <c r="F1255" s="7"/>
      <c r="G1255" s="7" t="s">
        <v>1141</v>
      </c>
      <c r="H1255" s="7"/>
      <c r="I1255" s="27" t="s">
        <v>133</v>
      </c>
      <c r="J1255" s="7"/>
      <c r="K1255" s="27" t="s">
        <v>2208</v>
      </c>
      <c r="L1255" s="7"/>
    </row>
    <row r="1256" spans="1:12" x14ac:dyDescent="0.2">
      <c r="A1256" s="7"/>
      <c r="B1256" s="7"/>
      <c r="C1256" s="7"/>
      <c r="D1256" s="7"/>
      <c r="E1256" s="7">
        <v>611990</v>
      </c>
      <c r="F1256" s="7"/>
      <c r="G1256" s="7" t="s">
        <v>1142</v>
      </c>
      <c r="H1256" s="7"/>
      <c r="I1256" s="27" t="s">
        <v>133</v>
      </c>
      <c r="J1256" s="7"/>
      <c r="K1256" s="27" t="s">
        <v>2208</v>
      </c>
      <c r="L1256" s="7"/>
    </row>
    <row r="1257" spans="1:12" x14ac:dyDescent="0.2">
      <c r="A1257" s="7"/>
      <c r="B1257" s="7"/>
      <c r="C1257" s="7"/>
      <c r="D1257" s="7"/>
      <c r="E1257" s="7">
        <v>611992</v>
      </c>
      <c r="F1257" s="7"/>
      <c r="G1257" s="7" t="s">
        <v>1143</v>
      </c>
      <c r="H1257" s="7"/>
      <c r="I1257" s="27" t="s">
        <v>133</v>
      </c>
      <c r="J1257" s="7"/>
      <c r="K1257" s="27" t="s">
        <v>2208</v>
      </c>
      <c r="L1257" s="7"/>
    </row>
    <row r="1258" spans="1:12" x14ac:dyDescent="0.2">
      <c r="A1258" s="7"/>
      <c r="B1258" s="7"/>
      <c r="C1258" s="7"/>
      <c r="D1258" s="7"/>
      <c r="E1258" s="7">
        <v>611993</v>
      </c>
      <c r="F1258" s="7"/>
      <c r="G1258" s="7" t="s">
        <v>1144</v>
      </c>
      <c r="H1258" s="7"/>
      <c r="I1258" s="27" t="s">
        <v>133</v>
      </c>
      <c r="J1258" s="7"/>
      <c r="K1258" s="27" t="s">
        <v>2208</v>
      </c>
      <c r="L1258" s="7"/>
    </row>
    <row r="1259" spans="1:12" x14ac:dyDescent="0.2">
      <c r="A1259" s="7"/>
      <c r="B1259" s="7"/>
      <c r="C1259" s="7"/>
      <c r="D1259" s="7"/>
      <c r="E1259" s="7">
        <v>611994</v>
      </c>
      <c r="F1259" s="7"/>
      <c r="G1259" s="7" t="s">
        <v>1145</v>
      </c>
      <c r="H1259" s="7"/>
      <c r="I1259" s="27" t="s">
        <v>1146</v>
      </c>
      <c r="J1259" s="7"/>
      <c r="K1259" s="27" t="s">
        <v>2208</v>
      </c>
      <c r="L1259" s="7"/>
    </row>
    <row r="1260" spans="1:12" x14ac:dyDescent="0.2">
      <c r="A1260" s="7"/>
      <c r="B1260" s="7"/>
      <c r="C1260" s="7"/>
      <c r="D1260" s="7"/>
      <c r="E1260" s="7">
        <v>611995</v>
      </c>
      <c r="F1260" s="7"/>
      <c r="G1260" s="7" t="s">
        <v>1147</v>
      </c>
      <c r="H1260" s="7"/>
      <c r="I1260" s="27" t="s">
        <v>1146</v>
      </c>
      <c r="J1260" s="7"/>
      <c r="K1260" s="27" t="s">
        <v>2208</v>
      </c>
      <c r="L1260" s="7"/>
    </row>
    <row r="1261" spans="1:12" x14ac:dyDescent="0.2">
      <c r="A1261" s="7"/>
      <c r="B1261" s="7"/>
      <c r="C1261" s="7"/>
      <c r="D1261" s="7"/>
      <c r="E1261" s="7">
        <v>611996</v>
      </c>
      <c r="F1261" s="7"/>
      <c r="G1261" s="7" t="s">
        <v>1148</v>
      </c>
      <c r="H1261" s="7"/>
      <c r="I1261" s="27" t="s">
        <v>1146</v>
      </c>
      <c r="J1261" s="7"/>
      <c r="K1261" s="27" t="s">
        <v>2208</v>
      </c>
      <c r="L1261" s="7"/>
    </row>
    <row r="1262" spans="1:12" x14ac:dyDescent="0.2">
      <c r="A1262" s="7"/>
      <c r="B1262" s="7"/>
      <c r="C1262" s="7"/>
      <c r="D1262" s="7"/>
      <c r="E1262" s="7">
        <v>611997</v>
      </c>
      <c r="F1262" s="7"/>
      <c r="G1262" s="7" t="s">
        <v>1149</v>
      </c>
      <c r="H1262" s="7"/>
      <c r="I1262" s="27" t="s">
        <v>133</v>
      </c>
      <c r="J1262" s="7"/>
      <c r="K1262" s="27" t="s">
        <v>2208</v>
      </c>
      <c r="L1262" s="7"/>
    </row>
    <row r="1263" spans="1:12" x14ac:dyDescent="0.2">
      <c r="A1263" s="7"/>
      <c r="B1263" s="7"/>
      <c r="C1263" s="7"/>
      <c r="D1263" s="7"/>
      <c r="E1263" s="7">
        <v>611998</v>
      </c>
      <c r="F1263" s="7"/>
      <c r="G1263" s="7" t="s">
        <v>1150</v>
      </c>
      <c r="H1263" s="7"/>
      <c r="I1263" s="27" t="s">
        <v>133</v>
      </c>
      <c r="J1263" s="7"/>
      <c r="K1263" s="27" t="s">
        <v>2208</v>
      </c>
      <c r="L1263" s="7"/>
    </row>
    <row r="1264" spans="1:12" x14ac:dyDescent="0.2">
      <c r="A1264" s="7"/>
      <c r="B1264" s="7"/>
      <c r="C1264" s="7"/>
      <c r="D1264" s="7"/>
      <c r="E1264" s="7">
        <v>612000</v>
      </c>
      <c r="F1264" s="7"/>
      <c r="G1264" s="7" t="s">
        <v>1151</v>
      </c>
      <c r="H1264" s="7"/>
      <c r="I1264" s="27" t="s">
        <v>71</v>
      </c>
      <c r="J1264" s="7"/>
      <c r="K1264" s="27" t="s">
        <v>2208</v>
      </c>
      <c r="L1264" s="7"/>
    </row>
    <row r="1265" spans="1:12" x14ac:dyDescent="0.2">
      <c r="A1265" s="7"/>
      <c r="B1265" s="7"/>
      <c r="C1265" s="7"/>
      <c r="D1265" s="7"/>
      <c r="E1265" s="7">
        <v>612001</v>
      </c>
      <c r="F1265" s="7"/>
      <c r="G1265" s="7" t="s">
        <v>1152</v>
      </c>
      <c r="H1265" s="7"/>
      <c r="I1265" s="27" t="s">
        <v>71</v>
      </c>
      <c r="J1265" s="7"/>
      <c r="K1265" s="27" t="s">
        <v>2208</v>
      </c>
      <c r="L1265" s="7"/>
    </row>
    <row r="1266" spans="1:12" x14ac:dyDescent="0.2">
      <c r="A1266" s="7"/>
      <c r="B1266" s="7"/>
      <c r="C1266" s="7"/>
      <c r="D1266" s="7"/>
      <c r="E1266" s="7">
        <v>612002</v>
      </c>
      <c r="F1266" s="7"/>
      <c r="G1266" s="7" t="s">
        <v>1153</v>
      </c>
      <c r="H1266" s="7"/>
      <c r="I1266" s="27" t="s">
        <v>71</v>
      </c>
      <c r="J1266" s="7"/>
      <c r="K1266" s="27" t="s">
        <v>2208</v>
      </c>
      <c r="L1266" s="7"/>
    </row>
    <row r="1267" spans="1:12" x14ac:dyDescent="0.2">
      <c r="A1267" s="7"/>
      <c r="B1267" s="7"/>
      <c r="C1267" s="7"/>
      <c r="D1267" s="7"/>
      <c r="E1267" s="7">
        <v>612003</v>
      </c>
      <c r="F1267" s="7"/>
      <c r="G1267" s="7" t="s">
        <v>1154</v>
      </c>
      <c r="H1267" s="7"/>
      <c r="I1267" s="27" t="s">
        <v>71</v>
      </c>
      <c r="J1267" s="7"/>
      <c r="K1267" s="27" t="s">
        <v>2208</v>
      </c>
      <c r="L1267" s="7"/>
    </row>
    <row r="1268" spans="1:12" x14ac:dyDescent="0.2">
      <c r="A1268" s="7"/>
      <c r="B1268" s="7"/>
      <c r="C1268" s="7"/>
      <c r="D1268" s="7"/>
      <c r="E1268" s="7">
        <v>612004</v>
      </c>
      <c r="F1268" s="7"/>
      <c r="G1268" s="7" t="s">
        <v>1155</v>
      </c>
      <c r="H1268" s="7"/>
      <c r="I1268" s="27" t="s">
        <v>133</v>
      </c>
      <c r="J1268" s="7"/>
      <c r="K1268" s="27" t="s">
        <v>2208</v>
      </c>
      <c r="L1268" s="7"/>
    </row>
    <row r="1269" spans="1:12" x14ac:dyDescent="0.2">
      <c r="A1269" s="7"/>
      <c r="B1269" s="7"/>
      <c r="C1269" s="7"/>
      <c r="D1269" s="7"/>
      <c r="E1269" s="7">
        <v>612010</v>
      </c>
      <c r="F1269" s="7"/>
      <c r="G1269" s="7" t="s">
        <v>1156</v>
      </c>
      <c r="H1269" s="7"/>
      <c r="I1269" s="27" t="s">
        <v>133</v>
      </c>
      <c r="J1269" s="7"/>
      <c r="K1269" s="27" t="s">
        <v>2208</v>
      </c>
      <c r="L1269" s="7"/>
    </row>
    <row r="1270" spans="1:12" x14ac:dyDescent="0.2">
      <c r="A1270" s="7"/>
      <c r="B1270" s="7"/>
      <c r="C1270" s="7"/>
      <c r="D1270" s="7"/>
      <c r="E1270" s="7">
        <v>612011</v>
      </c>
      <c r="F1270" s="7"/>
      <c r="G1270" s="7" t="s">
        <v>1157</v>
      </c>
      <c r="H1270" s="7"/>
      <c r="I1270" s="27" t="s">
        <v>47</v>
      </c>
      <c r="J1270" s="7"/>
      <c r="K1270" s="27" t="s">
        <v>2208</v>
      </c>
      <c r="L1270" s="7"/>
    </row>
    <row r="1271" spans="1:12" x14ac:dyDescent="0.2">
      <c r="A1271" s="7"/>
      <c r="B1271" s="7"/>
      <c r="C1271" s="7"/>
      <c r="D1271" s="7"/>
      <c r="E1271" s="7">
        <v>612012</v>
      </c>
      <c r="F1271" s="7"/>
      <c r="G1271" s="7" t="s">
        <v>1158</v>
      </c>
      <c r="H1271" s="7"/>
      <c r="I1271" s="27" t="s">
        <v>47</v>
      </c>
      <c r="J1271" s="7"/>
      <c r="K1271" s="27" t="s">
        <v>2208</v>
      </c>
      <c r="L1271" s="7"/>
    </row>
    <row r="1272" spans="1:12" x14ac:dyDescent="0.2">
      <c r="A1272" s="7"/>
      <c r="B1272" s="7"/>
      <c r="C1272" s="7"/>
      <c r="D1272" s="7"/>
      <c r="E1272" s="7">
        <v>612013</v>
      </c>
      <c r="F1272" s="7"/>
      <c r="G1272" s="7" t="s">
        <v>1159</v>
      </c>
      <c r="H1272" s="7"/>
      <c r="I1272" s="27" t="s">
        <v>133</v>
      </c>
      <c r="J1272" s="7"/>
      <c r="K1272" s="27" t="s">
        <v>2208</v>
      </c>
      <c r="L1272" s="7"/>
    </row>
    <row r="1273" spans="1:12" x14ac:dyDescent="0.2">
      <c r="A1273" s="7"/>
      <c r="B1273" s="7"/>
      <c r="C1273" s="7"/>
      <c r="D1273" s="7"/>
      <c r="E1273" s="7">
        <v>612014</v>
      </c>
      <c r="F1273" s="7"/>
      <c r="G1273" s="7" t="s">
        <v>1160</v>
      </c>
      <c r="H1273" s="7"/>
      <c r="I1273" s="27" t="s">
        <v>133</v>
      </c>
      <c r="J1273" s="7"/>
      <c r="K1273" s="27" t="s">
        <v>2208</v>
      </c>
      <c r="L1273" s="7"/>
    </row>
    <row r="1274" spans="1:12" x14ac:dyDescent="0.2">
      <c r="A1274" s="7"/>
      <c r="B1274" s="7"/>
      <c r="C1274" s="7"/>
      <c r="D1274" s="7"/>
      <c r="E1274" s="7">
        <v>612020</v>
      </c>
      <c r="F1274" s="7"/>
      <c r="G1274" s="7" t="s">
        <v>1161</v>
      </c>
      <c r="H1274" s="7"/>
      <c r="I1274" s="27" t="s">
        <v>133</v>
      </c>
      <c r="J1274" s="7"/>
      <c r="K1274" s="27" t="s">
        <v>2208</v>
      </c>
      <c r="L1274" s="7"/>
    </row>
    <row r="1275" spans="1:12" x14ac:dyDescent="0.2">
      <c r="A1275" s="7"/>
      <c r="B1275" s="7"/>
      <c r="C1275" s="7"/>
      <c r="D1275" s="7"/>
      <c r="E1275" s="7">
        <v>612021</v>
      </c>
      <c r="F1275" s="7"/>
      <c r="G1275" s="7" t="s">
        <v>1162</v>
      </c>
      <c r="H1275" s="7"/>
      <c r="I1275" s="27" t="s">
        <v>47</v>
      </c>
      <c r="J1275" s="7"/>
      <c r="K1275" s="27" t="s">
        <v>2208</v>
      </c>
      <c r="L1275" s="7"/>
    </row>
    <row r="1276" spans="1:12" x14ac:dyDescent="0.2">
      <c r="A1276" s="7"/>
      <c r="B1276" s="7"/>
      <c r="C1276" s="7"/>
      <c r="D1276" s="7"/>
      <c r="E1276" s="7">
        <v>612022</v>
      </c>
      <c r="F1276" s="7"/>
      <c r="G1276" s="7" t="s">
        <v>1163</v>
      </c>
      <c r="H1276" s="7"/>
      <c r="I1276" s="27" t="s">
        <v>47</v>
      </c>
      <c r="J1276" s="7"/>
      <c r="K1276" s="27" t="s">
        <v>2208</v>
      </c>
      <c r="L1276" s="7"/>
    </row>
    <row r="1277" spans="1:12" x14ac:dyDescent="0.2">
      <c r="A1277" s="7"/>
      <c r="B1277" s="7"/>
      <c r="C1277" s="7"/>
      <c r="D1277" s="7"/>
      <c r="E1277" s="7">
        <v>612023</v>
      </c>
      <c r="F1277" s="7"/>
      <c r="G1277" s="7" t="s">
        <v>1164</v>
      </c>
      <c r="H1277" s="7"/>
      <c r="I1277" s="27" t="s">
        <v>47</v>
      </c>
      <c r="J1277" s="7"/>
      <c r="K1277" s="27" t="s">
        <v>2208</v>
      </c>
      <c r="L1277" s="7"/>
    </row>
    <row r="1278" spans="1:12" x14ac:dyDescent="0.2">
      <c r="A1278" s="7"/>
      <c r="B1278" s="7"/>
      <c r="C1278" s="7"/>
      <c r="D1278" s="7"/>
      <c r="E1278" s="7">
        <v>612024</v>
      </c>
      <c r="F1278" s="7"/>
      <c r="G1278" s="7" t="s">
        <v>1165</v>
      </c>
      <c r="H1278" s="7"/>
      <c r="I1278" s="27" t="s">
        <v>133</v>
      </c>
      <c r="J1278" s="7"/>
      <c r="K1278" s="27" t="s">
        <v>2208</v>
      </c>
      <c r="L1278" s="7"/>
    </row>
    <row r="1279" spans="1:12" x14ac:dyDescent="0.2">
      <c r="A1279" s="7"/>
      <c r="B1279" s="7"/>
      <c r="C1279" s="7"/>
      <c r="D1279" s="7"/>
      <c r="E1279" s="7">
        <v>612025</v>
      </c>
      <c r="F1279" s="7"/>
      <c r="G1279" s="7" t="s">
        <v>1166</v>
      </c>
      <c r="H1279" s="7"/>
      <c r="I1279" s="27" t="s">
        <v>133</v>
      </c>
      <c r="J1279" s="7"/>
      <c r="K1279" s="27" t="s">
        <v>2208</v>
      </c>
      <c r="L1279" s="7"/>
    </row>
    <row r="1280" spans="1:12" x14ac:dyDescent="0.2">
      <c r="A1280" s="7"/>
      <c r="B1280" s="7"/>
      <c r="C1280" s="7"/>
      <c r="D1280" s="7"/>
      <c r="E1280" s="7">
        <v>612026</v>
      </c>
      <c r="F1280" s="7"/>
      <c r="G1280" s="7" t="s">
        <v>1167</v>
      </c>
      <c r="H1280" s="7"/>
      <c r="I1280" s="27" t="s">
        <v>133</v>
      </c>
      <c r="J1280" s="7"/>
      <c r="K1280" s="27" t="s">
        <v>2208</v>
      </c>
      <c r="L1280" s="7"/>
    </row>
    <row r="1281" spans="1:12" x14ac:dyDescent="0.2">
      <c r="A1281" s="7"/>
      <c r="B1281" s="7"/>
      <c r="C1281" s="7"/>
      <c r="D1281" s="7"/>
      <c r="E1281" s="7">
        <v>612031</v>
      </c>
      <c r="F1281" s="7"/>
      <c r="G1281" s="7" t="s">
        <v>1168</v>
      </c>
      <c r="H1281" s="7"/>
      <c r="I1281" s="27" t="s">
        <v>47</v>
      </c>
      <c r="J1281" s="7"/>
      <c r="K1281" s="27" t="s">
        <v>2208</v>
      </c>
      <c r="L1281" s="7"/>
    </row>
    <row r="1282" spans="1:12" x14ac:dyDescent="0.2">
      <c r="A1282" s="7"/>
      <c r="B1282" s="7"/>
      <c r="C1282" s="7"/>
      <c r="D1282" s="7"/>
      <c r="E1282" s="7">
        <v>612032</v>
      </c>
      <c r="F1282" s="7"/>
      <c r="G1282" s="7" t="s">
        <v>1169</v>
      </c>
      <c r="H1282" s="7"/>
      <c r="I1282" s="27" t="s">
        <v>47</v>
      </c>
      <c r="J1282" s="7"/>
      <c r="K1282" s="27" t="s">
        <v>2208</v>
      </c>
      <c r="L1282" s="7"/>
    </row>
    <row r="1283" spans="1:12" x14ac:dyDescent="0.2">
      <c r="A1283" s="7"/>
      <c r="B1283" s="7"/>
      <c r="C1283" s="7"/>
      <c r="D1283" s="7"/>
      <c r="E1283" s="7">
        <v>612033</v>
      </c>
      <c r="F1283" s="7"/>
      <c r="G1283" s="7" t="s">
        <v>1170</v>
      </c>
      <c r="H1283" s="7"/>
      <c r="I1283" s="27" t="s">
        <v>47</v>
      </c>
      <c r="J1283" s="7"/>
      <c r="K1283" s="27" t="s">
        <v>2208</v>
      </c>
      <c r="L1283" s="7"/>
    </row>
    <row r="1284" spans="1:12" x14ac:dyDescent="0.2">
      <c r="A1284" s="7"/>
      <c r="B1284" s="7"/>
      <c r="C1284" s="7"/>
      <c r="D1284" s="7"/>
      <c r="E1284" s="7">
        <v>612034</v>
      </c>
      <c r="F1284" s="7"/>
      <c r="G1284" s="7" t="s">
        <v>1171</v>
      </c>
      <c r="H1284" s="7"/>
      <c r="I1284" s="27" t="s">
        <v>133</v>
      </c>
      <c r="J1284" s="7"/>
      <c r="K1284" s="27" t="s">
        <v>2208</v>
      </c>
      <c r="L1284" s="7"/>
    </row>
    <row r="1285" spans="1:12" x14ac:dyDescent="0.2">
      <c r="A1285" s="7"/>
      <c r="B1285" s="7"/>
      <c r="C1285" s="7"/>
      <c r="D1285" s="7"/>
      <c r="E1285" s="7">
        <v>612035</v>
      </c>
      <c r="F1285" s="7"/>
      <c r="G1285" s="7" t="s">
        <v>1172</v>
      </c>
      <c r="H1285" s="7"/>
      <c r="I1285" s="27" t="s">
        <v>133</v>
      </c>
      <c r="J1285" s="7"/>
      <c r="K1285" s="27" t="s">
        <v>2208</v>
      </c>
      <c r="L1285" s="7"/>
    </row>
    <row r="1286" spans="1:12" x14ac:dyDescent="0.2">
      <c r="A1286" s="7"/>
      <c r="B1286" s="7"/>
      <c r="C1286" s="7"/>
      <c r="D1286" s="7"/>
      <c r="E1286" s="7">
        <v>612036</v>
      </c>
      <c r="F1286" s="7"/>
      <c r="G1286" s="7" t="s">
        <v>1173</v>
      </c>
      <c r="H1286" s="7"/>
      <c r="I1286" s="27" t="s">
        <v>133</v>
      </c>
      <c r="J1286" s="7"/>
      <c r="K1286" s="27" t="s">
        <v>2208</v>
      </c>
      <c r="L1286" s="7"/>
    </row>
    <row r="1287" spans="1:12" x14ac:dyDescent="0.2">
      <c r="A1287" s="7"/>
      <c r="B1287" s="7"/>
      <c r="C1287" s="7"/>
      <c r="D1287" s="7"/>
      <c r="E1287" s="7">
        <v>612040</v>
      </c>
      <c r="F1287" s="7"/>
      <c r="G1287" s="7" t="s">
        <v>1174</v>
      </c>
      <c r="H1287" s="7"/>
      <c r="I1287" s="27" t="s">
        <v>133</v>
      </c>
      <c r="J1287" s="7"/>
      <c r="K1287" s="27" t="s">
        <v>2208</v>
      </c>
      <c r="L1287" s="7"/>
    </row>
    <row r="1288" spans="1:12" x14ac:dyDescent="0.2">
      <c r="A1288" s="7"/>
      <c r="B1288" s="7"/>
      <c r="C1288" s="7"/>
      <c r="D1288" s="7"/>
      <c r="E1288" s="7">
        <v>612050</v>
      </c>
      <c r="F1288" s="7"/>
      <c r="G1288" s="7" t="s">
        <v>1175</v>
      </c>
      <c r="H1288" s="7"/>
      <c r="I1288" s="27" t="s">
        <v>133</v>
      </c>
      <c r="J1288" s="7"/>
      <c r="K1288" s="27" t="s">
        <v>2208</v>
      </c>
      <c r="L1288" s="7"/>
    </row>
    <row r="1289" spans="1:12" x14ac:dyDescent="0.2">
      <c r="A1289" s="7"/>
      <c r="B1289" s="7"/>
      <c r="C1289" s="7"/>
      <c r="D1289" s="7"/>
      <c r="E1289" s="7">
        <v>612060</v>
      </c>
      <c r="F1289" s="7"/>
      <c r="G1289" s="7" t="s">
        <v>1176</v>
      </c>
      <c r="H1289" s="7"/>
      <c r="I1289" s="27" t="s">
        <v>133</v>
      </c>
      <c r="J1289" s="7"/>
      <c r="K1289" s="27" t="s">
        <v>2208</v>
      </c>
      <c r="L1289" s="7"/>
    </row>
    <row r="1290" spans="1:12" x14ac:dyDescent="0.2">
      <c r="A1290" s="7"/>
      <c r="B1290" s="7"/>
      <c r="C1290" s="7"/>
      <c r="D1290" s="7"/>
      <c r="E1290" s="7">
        <v>612070</v>
      </c>
      <c r="F1290" s="7"/>
      <c r="G1290" s="7" t="s">
        <v>1177</v>
      </c>
      <c r="H1290" s="7"/>
      <c r="I1290" s="27" t="s">
        <v>133</v>
      </c>
      <c r="J1290" s="7"/>
      <c r="K1290" s="27" t="s">
        <v>2208</v>
      </c>
      <c r="L1290" s="7"/>
    </row>
    <row r="1291" spans="1:12" x14ac:dyDescent="0.2">
      <c r="A1291" s="7"/>
      <c r="B1291" s="7"/>
      <c r="C1291" s="7"/>
      <c r="D1291" s="7"/>
      <c r="E1291" s="7">
        <v>612071</v>
      </c>
      <c r="F1291" s="7"/>
      <c r="G1291" s="7" t="s">
        <v>1178</v>
      </c>
      <c r="H1291" s="7"/>
      <c r="I1291" s="27" t="s">
        <v>133</v>
      </c>
      <c r="J1291" s="7"/>
      <c r="K1291" s="27" t="s">
        <v>2208</v>
      </c>
      <c r="L1291" s="7"/>
    </row>
    <row r="1292" spans="1:12" x14ac:dyDescent="0.2">
      <c r="A1292" s="7"/>
      <c r="B1292" s="7"/>
      <c r="C1292" s="7"/>
      <c r="D1292" s="7"/>
      <c r="E1292" s="7">
        <v>612080</v>
      </c>
      <c r="F1292" s="7"/>
      <c r="G1292" s="7" t="s">
        <v>1179</v>
      </c>
      <c r="H1292" s="7"/>
      <c r="I1292" s="27" t="s">
        <v>133</v>
      </c>
      <c r="J1292" s="7"/>
      <c r="K1292" s="27" t="s">
        <v>2208</v>
      </c>
      <c r="L1292" s="7"/>
    </row>
    <row r="1293" spans="1:12" x14ac:dyDescent="0.2">
      <c r="A1293" s="7"/>
      <c r="B1293" s="7"/>
      <c r="C1293" s="7"/>
      <c r="D1293" s="7"/>
      <c r="E1293" s="7">
        <v>612090</v>
      </c>
      <c r="F1293" s="7"/>
      <c r="G1293" s="7" t="s">
        <v>1180</v>
      </c>
      <c r="H1293" s="7"/>
      <c r="I1293" s="27" t="s">
        <v>133</v>
      </c>
      <c r="J1293" s="7"/>
      <c r="K1293" s="27" t="s">
        <v>2208</v>
      </c>
      <c r="L1293" s="7"/>
    </row>
    <row r="1294" spans="1:12" x14ac:dyDescent="0.2">
      <c r="A1294" s="7"/>
      <c r="B1294" s="7"/>
      <c r="C1294" s="7"/>
      <c r="D1294" s="7"/>
      <c r="E1294" s="7">
        <v>612105</v>
      </c>
      <c r="F1294" s="7"/>
      <c r="G1294" s="7" t="s">
        <v>1053</v>
      </c>
      <c r="H1294" s="7"/>
      <c r="I1294" s="27" t="s">
        <v>133</v>
      </c>
      <c r="J1294" s="7"/>
      <c r="K1294" s="27" t="s">
        <v>2208</v>
      </c>
      <c r="L1294" s="7"/>
    </row>
    <row r="1295" spans="1:12" x14ac:dyDescent="0.2">
      <c r="A1295" s="7"/>
      <c r="B1295" s="7"/>
      <c r="C1295" s="7"/>
      <c r="D1295" s="7"/>
      <c r="E1295" s="7">
        <v>612106</v>
      </c>
      <c r="F1295" s="7"/>
      <c r="G1295" s="7" t="s">
        <v>1054</v>
      </c>
      <c r="H1295" s="7"/>
      <c r="I1295" s="27" t="s">
        <v>47</v>
      </c>
      <c r="J1295" s="7"/>
      <c r="K1295" s="27" t="s">
        <v>2208</v>
      </c>
      <c r="L1295" s="7"/>
    </row>
    <row r="1296" spans="1:12" x14ac:dyDescent="0.2">
      <c r="A1296" s="7"/>
      <c r="B1296" s="7"/>
      <c r="C1296" s="7"/>
      <c r="D1296" s="7"/>
      <c r="E1296" s="7">
        <v>612107</v>
      </c>
      <c r="F1296" s="7"/>
      <c r="G1296" s="7" t="s">
        <v>1055</v>
      </c>
      <c r="H1296" s="7"/>
      <c r="I1296" s="27" t="s">
        <v>133</v>
      </c>
      <c r="J1296" s="7"/>
      <c r="K1296" s="27" t="s">
        <v>2208</v>
      </c>
      <c r="L1296" s="7"/>
    </row>
    <row r="1297" spans="1:12" x14ac:dyDescent="0.2">
      <c r="A1297" s="7"/>
      <c r="B1297" s="7"/>
      <c r="C1297" s="7"/>
      <c r="D1297" s="7"/>
      <c r="E1297" s="7">
        <v>612108</v>
      </c>
      <c r="F1297" s="7"/>
      <c r="G1297" s="7" t="s">
        <v>1056</v>
      </c>
      <c r="H1297" s="7"/>
      <c r="I1297" s="27" t="s">
        <v>133</v>
      </c>
      <c r="J1297" s="7"/>
      <c r="K1297" s="27" t="s">
        <v>2208</v>
      </c>
      <c r="L1297" s="7"/>
    </row>
    <row r="1298" spans="1:12" x14ac:dyDescent="0.2">
      <c r="A1298" s="7"/>
      <c r="B1298" s="7"/>
      <c r="C1298" s="7"/>
      <c r="D1298" s="7"/>
      <c r="E1298" s="7">
        <v>612110</v>
      </c>
      <c r="F1298" s="7"/>
      <c r="G1298" s="7" t="s">
        <v>1181</v>
      </c>
      <c r="H1298" s="7"/>
      <c r="I1298" s="27" t="s">
        <v>71</v>
      </c>
      <c r="J1298" s="7"/>
      <c r="K1298" s="27" t="s">
        <v>2208</v>
      </c>
      <c r="L1298" s="7"/>
    </row>
    <row r="1299" spans="1:12" x14ac:dyDescent="0.2">
      <c r="A1299" s="7"/>
      <c r="B1299" s="7"/>
      <c r="C1299" s="7"/>
      <c r="D1299" s="7"/>
      <c r="E1299" s="7">
        <v>612150</v>
      </c>
      <c r="F1299" s="7"/>
      <c r="G1299" s="7" t="s">
        <v>1182</v>
      </c>
      <c r="H1299" s="7"/>
      <c r="I1299" s="27" t="s">
        <v>133</v>
      </c>
      <c r="J1299" s="7"/>
      <c r="K1299" s="27" t="s">
        <v>2208</v>
      </c>
      <c r="L1299" s="7"/>
    </row>
    <row r="1300" spans="1:12" x14ac:dyDescent="0.2">
      <c r="A1300" s="7"/>
      <c r="B1300" s="7"/>
      <c r="C1300" s="7"/>
      <c r="D1300" s="7"/>
      <c r="E1300" s="7">
        <v>612160</v>
      </c>
      <c r="F1300" s="7"/>
      <c r="G1300" s="7" t="s">
        <v>1183</v>
      </c>
      <c r="H1300" s="7"/>
      <c r="I1300" s="27" t="s">
        <v>20</v>
      </c>
      <c r="J1300" s="7"/>
      <c r="K1300" s="27" t="s">
        <v>2208</v>
      </c>
      <c r="L1300" s="7"/>
    </row>
    <row r="1301" spans="1:12" x14ac:dyDescent="0.2">
      <c r="A1301" s="7"/>
      <c r="B1301" s="7"/>
      <c r="C1301" s="7"/>
      <c r="D1301" s="7"/>
      <c r="E1301" s="7">
        <v>612210</v>
      </c>
      <c r="F1301" s="7"/>
      <c r="G1301" s="7" t="s">
        <v>1184</v>
      </c>
      <c r="H1301" s="7"/>
      <c r="I1301" s="27" t="s">
        <v>133</v>
      </c>
      <c r="J1301" s="7"/>
      <c r="K1301" s="27" t="s">
        <v>2208</v>
      </c>
      <c r="L1301" s="7"/>
    </row>
    <row r="1302" spans="1:12" x14ac:dyDescent="0.2">
      <c r="A1302" s="7"/>
      <c r="B1302" s="7"/>
      <c r="C1302" s="7"/>
      <c r="D1302" s="7"/>
      <c r="E1302" s="7">
        <v>612211</v>
      </c>
      <c r="F1302" s="7"/>
      <c r="G1302" s="7" t="s">
        <v>1185</v>
      </c>
      <c r="H1302" s="7"/>
      <c r="I1302" s="27" t="s">
        <v>133</v>
      </c>
      <c r="J1302" s="7"/>
      <c r="K1302" s="27" t="s">
        <v>2208</v>
      </c>
      <c r="L1302" s="7"/>
    </row>
    <row r="1303" spans="1:12" x14ac:dyDescent="0.2">
      <c r="A1303" s="7"/>
      <c r="B1303" s="7"/>
      <c r="C1303" s="7"/>
      <c r="D1303" s="7"/>
      <c r="E1303" s="7">
        <v>612212</v>
      </c>
      <c r="F1303" s="7"/>
      <c r="G1303" s="7" t="s">
        <v>1186</v>
      </c>
      <c r="H1303" s="7"/>
      <c r="I1303" s="27" t="s">
        <v>133</v>
      </c>
      <c r="J1303" s="7"/>
      <c r="K1303" s="27" t="s">
        <v>2208</v>
      </c>
      <c r="L1303" s="7"/>
    </row>
    <row r="1304" spans="1:12" x14ac:dyDescent="0.2">
      <c r="A1304" s="7"/>
      <c r="B1304" s="7"/>
      <c r="C1304" s="7"/>
      <c r="D1304" s="7"/>
      <c r="E1304" s="7">
        <v>612213</v>
      </c>
      <c r="F1304" s="7"/>
      <c r="G1304" s="7" t="s">
        <v>1187</v>
      </c>
      <c r="H1304" s="7"/>
      <c r="I1304" s="27" t="s">
        <v>133</v>
      </c>
      <c r="J1304" s="7"/>
      <c r="K1304" s="27" t="s">
        <v>2208</v>
      </c>
      <c r="L1304" s="7"/>
    </row>
    <row r="1305" spans="1:12" x14ac:dyDescent="0.2">
      <c r="A1305" s="7"/>
      <c r="B1305" s="7"/>
      <c r="C1305" s="7"/>
      <c r="D1305" s="7"/>
      <c r="E1305" s="7">
        <v>612214</v>
      </c>
      <c r="F1305" s="7"/>
      <c r="G1305" s="7" t="s">
        <v>1188</v>
      </c>
      <c r="H1305" s="7"/>
      <c r="I1305" s="27" t="s">
        <v>133</v>
      </c>
      <c r="J1305" s="7"/>
      <c r="K1305" s="27" t="s">
        <v>2208</v>
      </c>
      <c r="L1305" s="7"/>
    </row>
    <row r="1306" spans="1:12" x14ac:dyDescent="0.2">
      <c r="A1306" s="7"/>
      <c r="B1306" s="7"/>
      <c r="C1306" s="7"/>
      <c r="D1306" s="7"/>
      <c r="E1306" s="7">
        <v>612215</v>
      </c>
      <c r="F1306" s="7"/>
      <c r="G1306" s="7" t="s">
        <v>1189</v>
      </c>
      <c r="H1306" s="7"/>
      <c r="I1306" s="27" t="s">
        <v>133</v>
      </c>
      <c r="J1306" s="7"/>
      <c r="K1306" s="27" t="s">
        <v>2208</v>
      </c>
      <c r="L1306" s="7"/>
    </row>
    <row r="1307" spans="1:12" x14ac:dyDescent="0.2">
      <c r="A1307" s="7"/>
      <c r="B1307" s="7"/>
      <c r="C1307" s="7"/>
      <c r="D1307" s="7"/>
      <c r="E1307" s="7">
        <v>612216</v>
      </c>
      <c r="F1307" s="7"/>
      <c r="G1307" s="7" t="s">
        <v>1190</v>
      </c>
      <c r="H1307" s="7"/>
      <c r="I1307" s="27" t="s">
        <v>133</v>
      </c>
      <c r="J1307" s="7"/>
      <c r="K1307" s="27" t="s">
        <v>2208</v>
      </c>
      <c r="L1307" s="7"/>
    </row>
    <row r="1308" spans="1:12" x14ac:dyDescent="0.2">
      <c r="A1308" s="7"/>
      <c r="B1308" s="7"/>
      <c r="C1308" s="7"/>
      <c r="D1308" s="7"/>
      <c r="E1308" s="7">
        <v>612217</v>
      </c>
      <c r="F1308" s="7"/>
      <c r="G1308" s="7" t="s">
        <v>1191</v>
      </c>
      <c r="H1308" s="7"/>
      <c r="I1308" s="27" t="s">
        <v>133</v>
      </c>
      <c r="J1308" s="7"/>
      <c r="K1308" s="27" t="s">
        <v>2208</v>
      </c>
      <c r="L1308" s="7"/>
    </row>
    <row r="1309" spans="1:12" x14ac:dyDescent="0.2">
      <c r="A1309" s="7"/>
      <c r="B1309" s="7"/>
      <c r="C1309" s="7"/>
      <c r="D1309" s="7"/>
      <c r="E1309" s="7">
        <v>612218</v>
      </c>
      <c r="F1309" s="7"/>
      <c r="G1309" s="7" t="s">
        <v>1192</v>
      </c>
      <c r="H1309" s="7"/>
      <c r="I1309" s="27" t="s">
        <v>133</v>
      </c>
      <c r="J1309" s="7"/>
      <c r="K1309" s="27" t="s">
        <v>2208</v>
      </c>
      <c r="L1309" s="7"/>
    </row>
    <row r="1310" spans="1:12" x14ac:dyDescent="0.2">
      <c r="A1310" s="7"/>
      <c r="B1310" s="7"/>
      <c r="C1310" s="7"/>
      <c r="D1310" s="7"/>
      <c r="E1310" s="7">
        <v>612219</v>
      </c>
      <c r="F1310" s="7"/>
      <c r="G1310" s="7" t="s">
        <v>1193</v>
      </c>
      <c r="H1310" s="7"/>
      <c r="I1310" s="27" t="s">
        <v>133</v>
      </c>
      <c r="J1310" s="7"/>
      <c r="K1310" s="27" t="s">
        <v>2208</v>
      </c>
      <c r="L1310" s="7"/>
    </row>
    <row r="1311" spans="1:12" x14ac:dyDescent="0.2">
      <c r="A1311" s="7"/>
      <c r="B1311" s="7"/>
      <c r="C1311" s="7"/>
      <c r="D1311" s="7"/>
      <c r="E1311" s="7">
        <v>612220</v>
      </c>
      <c r="F1311" s="7"/>
      <c r="G1311" s="7" t="s">
        <v>1194</v>
      </c>
      <c r="H1311" s="7"/>
      <c r="I1311" s="27" t="s">
        <v>133</v>
      </c>
      <c r="J1311" s="7"/>
      <c r="K1311" s="27" t="s">
        <v>2208</v>
      </c>
      <c r="L1311" s="7"/>
    </row>
    <row r="1312" spans="1:12" x14ac:dyDescent="0.2">
      <c r="A1312" s="7"/>
      <c r="B1312" s="7"/>
      <c r="C1312" s="7"/>
      <c r="D1312" s="7"/>
      <c r="E1312" s="7">
        <v>612221</v>
      </c>
      <c r="F1312" s="7"/>
      <c r="G1312" s="7" t="s">
        <v>1195</v>
      </c>
      <c r="H1312" s="7"/>
      <c r="I1312" s="27" t="s">
        <v>133</v>
      </c>
      <c r="J1312" s="7"/>
      <c r="K1312" s="27" t="s">
        <v>2208</v>
      </c>
      <c r="L1312" s="7"/>
    </row>
    <row r="1313" spans="1:12" x14ac:dyDescent="0.2">
      <c r="A1313" s="7"/>
      <c r="B1313" s="7"/>
      <c r="C1313" s="7"/>
      <c r="D1313" s="7"/>
      <c r="E1313" s="7">
        <v>612222</v>
      </c>
      <c r="F1313" s="7"/>
      <c r="G1313" s="7" t="s">
        <v>1196</v>
      </c>
      <c r="H1313" s="7"/>
      <c r="I1313" s="27" t="s">
        <v>133</v>
      </c>
      <c r="J1313" s="7"/>
      <c r="K1313" s="27" t="s">
        <v>2208</v>
      </c>
      <c r="L1313" s="7"/>
    </row>
    <row r="1314" spans="1:12" x14ac:dyDescent="0.2">
      <c r="A1314" s="7"/>
      <c r="B1314" s="7"/>
      <c r="C1314" s="7"/>
      <c r="D1314" s="7"/>
      <c r="E1314" s="7">
        <v>612223</v>
      </c>
      <c r="F1314" s="7"/>
      <c r="G1314" s="7" t="s">
        <v>1197</v>
      </c>
      <c r="H1314" s="7"/>
      <c r="I1314" s="27" t="s">
        <v>133</v>
      </c>
      <c r="J1314" s="7"/>
      <c r="K1314" s="27" t="s">
        <v>2208</v>
      </c>
      <c r="L1314" s="7"/>
    </row>
    <row r="1315" spans="1:12" x14ac:dyDescent="0.2">
      <c r="A1315" s="7"/>
      <c r="B1315" s="7"/>
      <c r="C1315" s="7"/>
      <c r="D1315" s="7"/>
      <c r="E1315" s="7">
        <v>612224</v>
      </c>
      <c r="F1315" s="7"/>
      <c r="G1315" s="7" t="s">
        <v>1198</v>
      </c>
      <c r="H1315" s="7"/>
      <c r="I1315" s="27" t="s">
        <v>133</v>
      </c>
      <c r="J1315" s="7"/>
      <c r="K1315" s="27" t="s">
        <v>2208</v>
      </c>
      <c r="L1315" s="7"/>
    </row>
    <row r="1316" spans="1:12" x14ac:dyDescent="0.2">
      <c r="A1316" s="7"/>
      <c r="B1316" s="7"/>
      <c r="C1316" s="7"/>
      <c r="D1316" s="7"/>
      <c r="E1316" s="7">
        <v>612225</v>
      </c>
      <c r="F1316" s="7"/>
      <c r="G1316" s="7" t="s">
        <v>1199</v>
      </c>
      <c r="H1316" s="7"/>
      <c r="I1316" s="27" t="s">
        <v>133</v>
      </c>
      <c r="J1316" s="7"/>
      <c r="K1316" s="27" t="s">
        <v>2208</v>
      </c>
      <c r="L1316" s="7"/>
    </row>
    <row r="1317" spans="1:12" x14ac:dyDescent="0.2">
      <c r="A1317" s="7"/>
      <c r="B1317" s="7"/>
      <c r="C1317" s="7"/>
      <c r="D1317" s="7"/>
      <c r="E1317" s="7">
        <v>612226</v>
      </c>
      <c r="F1317" s="7"/>
      <c r="G1317" s="7" t="s">
        <v>1200</v>
      </c>
      <c r="H1317" s="7"/>
      <c r="I1317" s="27" t="s">
        <v>133</v>
      </c>
      <c r="J1317" s="7"/>
      <c r="K1317" s="27" t="s">
        <v>2208</v>
      </c>
      <c r="L1317" s="7"/>
    </row>
    <row r="1318" spans="1:12" x14ac:dyDescent="0.2">
      <c r="A1318" s="7"/>
      <c r="B1318" s="7"/>
      <c r="C1318" s="7"/>
      <c r="D1318" s="7"/>
      <c r="E1318" s="7">
        <v>612227</v>
      </c>
      <c r="F1318" s="7"/>
      <c r="G1318" s="7" t="s">
        <v>1201</v>
      </c>
      <c r="H1318" s="7"/>
      <c r="I1318" s="27" t="s">
        <v>133</v>
      </c>
      <c r="J1318" s="7"/>
      <c r="K1318" s="27" t="s">
        <v>2208</v>
      </c>
      <c r="L1318" s="7"/>
    </row>
    <row r="1319" spans="1:12" x14ac:dyDescent="0.2">
      <c r="A1319" s="7"/>
      <c r="B1319" s="7"/>
      <c r="C1319" s="7"/>
      <c r="D1319" s="7"/>
      <c r="E1319" s="7">
        <v>612228</v>
      </c>
      <c r="F1319" s="7"/>
      <c r="G1319" s="7" t="s">
        <v>1202</v>
      </c>
      <c r="H1319" s="7"/>
      <c r="I1319" s="27" t="s">
        <v>133</v>
      </c>
      <c r="J1319" s="7"/>
      <c r="K1319" s="27" t="s">
        <v>2208</v>
      </c>
      <c r="L1319" s="7"/>
    </row>
    <row r="1320" spans="1:12" x14ac:dyDescent="0.2">
      <c r="A1320" s="7"/>
      <c r="B1320" s="7"/>
      <c r="C1320" s="7"/>
      <c r="D1320" s="7"/>
      <c r="E1320" s="7">
        <v>612230</v>
      </c>
      <c r="F1320" s="7"/>
      <c r="G1320" s="7" t="s">
        <v>1203</v>
      </c>
      <c r="H1320" s="7"/>
      <c r="I1320" s="27" t="s">
        <v>133</v>
      </c>
      <c r="J1320" s="7"/>
      <c r="K1320" s="27" t="s">
        <v>2208</v>
      </c>
      <c r="L1320" s="7"/>
    </row>
    <row r="1321" spans="1:12" x14ac:dyDescent="0.2">
      <c r="A1321" s="7"/>
      <c r="B1321" s="7"/>
      <c r="C1321" s="7"/>
      <c r="D1321" s="7"/>
      <c r="E1321" s="7">
        <v>612240</v>
      </c>
      <c r="F1321" s="7"/>
      <c r="G1321" s="7" t="s">
        <v>1204</v>
      </c>
      <c r="H1321" s="7"/>
      <c r="I1321" s="27" t="s">
        <v>133</v>
      </c>
      <c r="J1321" s="7"/>
      <c r="K1321" s="27" t="s">
        <v>2208</v>
      </c>
      <c r="L1321" s="7"/>
    </row>
    <row r="1322" spans="1:12" x14ac:dyDescent="0.2">
      <c r="A1322" s="7"/>
      <c r="B1322" s="7"/>
      <c r="C1322" s="7"/>
      <c r="D1322" s="7"/>
      <c r="E1322" s="7">
        <v>612250</v>
      </c>
      <c r="F1322" s="7"/>
      <c r="G1322" s="7" t="s">
        <v>1184</v>
      </c>
      <c r="H1322" s="7"/>
      <c r="I1322" s="27" t="s">
        <v>133</v>
      </c>
      <c r="J1322" s="7"/>
      <c r="K1322" s="27" t="s">
        <v>2208</v>
      </c>
      <c r="L1322" s="7"/>
    </row>
    <row r="1323" spans="1:12" x14ac:dyDescent="0.2">
      <c r="A1323" s="7"/>
      <c r="B1323" s="7"/>
      <c r="C1323" s="7"/>
      <c r="D1323" s="7"/>
      <c r="E1323" s="7">
        <v>612260</v>
      </c>
      <c r="F1323" s="7"/>
      <c r="G1323" s="7" t="s">
        <v>1205</v>
      </c>
      <c r="H1323" s="7"/>
      <c r="I1323" s="27" t="s">
        <v>133</v>
      </c>
      <c r="J1323" s="7"/>
      <c r="K1323" s="27" t="s">
        <v>2208</v>
      </c>
      <c r="L1323" s="7"/>
    </row>
    <row r="1324" spans="1:12" x14ac:dyDescent="0.2">
      <c r="A1324" s="7"/>
      <c r="B1324" s="7"/>
      <c r="C1324" s="7"/>
      <c r="D1324" s="7"/>
      <c r="E1324" s="7">
        <v>612270</v>
      </c>
      <c r="F1324" s="7"/>
      <c r="G1324" s="7" t="s">
        <v>1206</v>
      </c>
      <c r="H1324" s="7"/>
      <c r="I1324" s="27" t="s">
        <v>133</v>
      </c>
      <c r="J1324" s="7"/>
      <c r="K1324" s="27" t="s">
        <v>2208</v>
      </c>
      <c r="L1324" s="7"/>
    </row>
    <row r="1325" spans="1:12" x14ac:dyDescent="0.2">
      <c r="A1325" s="7"/>
      <c r="B1325" s="7"/>
      <c r="C1325" s="7"/>
      <c r="D1325" s="7"/>
      <c r="E1325" s="7">
        <v>612305</v>
      </c>
      <c r="F1325" s="7"/>
      <c r="G1325" s="7" t="s">
        <v>1207</v>
      </c>
      <c r="H1325" s="7"/>
      <c r="I1325" s="27" t="s">
        <v>133</v>
      </c>
      <c r="J1325" s="7"/>
      <c r="K1325" s="27" t="s">
        <v>2208</v>
      </c>
      <c r="L1325" s="7"/>
    </row>
    <row r="1326" spans="1:12" x14ac:dyDescent="0.2">
      <c r="A1326" s="7"/>
      <c r="B1326" s="7"/>
      <c r="C1326" s="7"/>
      <c r="D1326" s="7"/>
      <c r="E1326" s="7">
        <v>612310</v>
      </c>
      <c r="F1326" s="7"/>
      <c r="G1326" s="7" t="s">
        <v>1208</v>
      </c>
      <c r="H1326" s="7"/>
      <c r="I1326" s="27" t="s">
        <v>133</v>
      </c>
      <c r="J1326" s="7"/>
      <c r="K1326" s="27" t="s">
        <v>2208</v>
      </c>
      <c r="L1326" s="7"/>
    </row>
    <row r="1327" spans="1:12" x14ac:dyDescent="0.2">
      <c r="A1327" s="7"/>
      <c r="B1327" s="7"/>
      <c r="C1327" s="7"/>
      <c r="D1327" s="7"/>
      <c r="E1327" s="7">
        <v>612320</v>
      </c>
      <c r="F1327" s="7"/>
      <c r="G1327" s="7" t="s">
        <v>1209</v>
      </c>
      <c r="H1327" s="7"/>
      <c r="I1327" s="27" t="s">
        <v>133</v>
      </c>
      <c r="J1327" s="7"/>
      <c r="K1327" s="27" t="s">
        <v>2208</v>
      </c>
      <c r="L1327" s="7"/>
    </row>
    <row r="1328" spans="1:12" x14ac:dyDescent="0.2">
      <c r="A1328" s="7"/>
      <c r="B1328" s="7"/>
      <c r="C1328" s="7"/>
      <c r="D1328" s="7"/>
      <c r="E1328" s="7">
        <v>612324</v>
      </c>
      <c r="F1328" s="7"/>
      <c r="G1328" s="7" t="s">
        <v>1210</v>
      </c>
      <c r="H1328" s="7"/>
      <c r="I1328" s="27" t="s">
        <v>47</v>
      </c>
      <c r="J1328" s="7"/>
      <c r="K1328" s="27" t="s">
        <v>2208</v>
      </c>
      <c r="L1328" s="7"/>
    </row>
    <row r="1329" spans="1:12" x14ac:dyDescent="0.2">
      <c r="A1329" s="7"/>
      <c r="B1329" s="7"/>
      <c r="C1329" s="7"/>
      <c r="D1329" s="7"/>
      <c r="E1329" s="7">
        <v>612325</v>
      </c>
      <c r="F1329" s="7"/>
      <c r="G1329" s="7" t="s">
        <v>1211</v>
      </c>
      <c r="H1329" s="7"/>
      <c r="I1329" s="27" t="s">
        <v>47</v>
      </c>
      <c r="J1329" s="7"/>
      <c r="K1329" s="27" t="s">
        <v>2208</v>
      </c>
      <c r="L1329" s="7"/>
    </row>
    <row r="1330" spans="1:12" x14ac:dyDescent="0.2">
      <c r="A1330" s="7"/>
      <c r="B1330" s="7"/>
      <c r="C1330" s="7"/>
      <c r="D1330" s="7"/>
      <c r="E1330" s="7">
        <v>612326</v>
      </c>
      <c r="F1330" s="7"/>
      <c r="G1330" s="7" t="s">
        <v>1212</v>
      </c>
      <c r="H1330" s="7"/>
      <c r="I1330" s="27" t="s">
        <v>47</v>
      </c>
      <c r="J1330" s="7"/>
      <c r="K1330" s="27" t="s">
        <v>2208</v>
      </c>
      <c r="L1330" s="7"/>
    </row>
    <row r="1331" spans="1:12" x14ac:dyDescent="0.2">
      <c r="A1331" s="7"/>
      <c r="B1331" s="7"/>
      <c r="C1331" s="7"/>
      <c r="D1331" s="7"/>
      <c r="E1331" s="7">
        <v>612327</v>
      </c>
      <c r="F1331" s="7"/>
      <c r="G1331" s="7" t="s">
        <v>1213</v>
      </c>
      <c r="H1331" s="7"/>
      <c r="I1331" s="27" t="s">
        <v>47</v>
      </c>
      <c r="J1331" s="7"/>
      <c r="K1331" s="27" t="s">
        <v>2208</v>
      </c>
      <c r="L1331" s="7"/>
    </row>
    <row r="1332" spans="1:12" x14ac:dyDescent="0.2">
      <c r="A1332" s="7"/>
      <c r="B1332" s="7"/>
      <c r="C1332" s="7"/>
      <c r="D1332" s="7"/>
      <c r="E1332" s="7">
        <v>612328</v>
      </c>
      <c r="F1332" s="7"/>
      <c r="G1332" s="7" t="s">
        <v>1214</v>
      </c>
      <c r="H1332" s="7"/>
      <c r="I1332" s="27" t="s">
        <v>47</v>
      </c>
      <c r="J1332" s="7"/>
      <c r="K1332" s="27" t="s">
        <v>2208</v>
      </c>
      <c r="L1332" s="7"/>
    </row>
    <row r="1333" spans="1:12" x14ac:dyDescent="0.2">
      <c r="A1333" s="7"/>
      <c r="B1333" s="7"/>
      <c r="C1333" s="7"/>
      <c r="D1333" s="7"/>
      <c r="E1333" s="7">
        <v>612329</v>
      </c>
      <c r="F1333" s="7"/>
      <c r="G1333" s="7" t="s">
        <v>1215</v>
      </c>
      <c r="H1333" s="7"/>
      <c r="I1333" s="27" t="s">
        <v>47</v>
      </c>
      <c r="J1333" s="7"/>
      <c r="K1333" s="27" t="s">
        <v>2208</v>
      </c>
      <c r="L1333" s="7"/>
    </row>
    <row r="1334" spans="1:12" x14ac:dyDescent="0.2">
      <c r="A1334" s="7"/>
      <c r="B1334" s="7"/>
      <c r="C1334" s="7"/>
      <c r="D1334" s="7"/>
      <c r="E1334" s="7">
        <v>612330</v>
      </c>
      <c r="F1334" s="7"/>
      <c r="G1334" s="7" t="s">
        <v>1216</v>
      </c>
      <c r="H1334" s="7"/>
      <c r="I1334" s="27" t="s">
        <v>133</v>
      </c>
      <c r="J1334" s="7"/>
      <c r="K1334" s="27" t="s">
        <v>2208</v>
      </c>
      <c r="L1334" s="7"/>
    </row>
    <row r="1335" spans="1:12" x14ac:dyDescent="0.2">
      <c r="A1335" s="7"/>
      <c r="B1335" s="7"/>
      <c r="C1335" s="7"/>
      <c r="D1335" s="7"/>
      <c r="E1335" s="7">
        <v>612340</v>
      </c>
      <c r="F1335" s="7"/>
      <c r="G1335" s="7" t="s">
        <v>1217</v>
      </c>
      <c r="H1335" s="7"/>
      <c r="I1335" s="27" t="s">
        <v>133</v>
      </c>
      <c r="J1335" s="7"/>
      <c r="K1335" s="27" t="s">
        <v>2208</v>
      </c>
      <c r="L1335" s="7"/>
    </row>
    <row r="1336" spans="1:12" x14ac:dyDescent="0.2">
      <c r="A1336" s="7"/>
      <c r="B1336" s="7"/>
      <c r="C1336" s="7"/>
      <c r="D1336" s="7"/>
      <c r="E1336" s="7">
        <v>612350</v>
      </c>
      <c r="F1336" s="7"/>
      <c r="G1336" s="7" t="s">
        <v>1218</v>
      </c>
      <c r="H1336" s="7"/>
      <c r="I1336" s="27" t="s">
        <v>133</v>
      </c>
      <c r="J1336" s="7"/>
      <c r="K1336" s="27" t="s">
        <v>2208</v>
      </c>
      <c r="L1336" s="7"/>
    </row>
    <row r="1337" spans="1:12" x14ac:dyDescent="0.2">
      <c r="A1337" s="7"/>
      <c r="B1337" s="7"/>
      <c r="C1337" s="7"/>
      <c r="D1337" s="7"/>
      <c r="E1337" s="7">
        <v>612360</v>
      </c>
      <c r="F1337" s="7"/>
      <c r="G1337" s="7" t="s">
        <v>1219</v>
      </c>
      <c r="H1337" s="7"/>
      <c r="I1337" s="27" t="s">
        <v>133</v>
      </c>
      <c r="J1337" s="7"/>
      <c r="K1337" s="27" t="s">
        <v>2208</v>
      </c>
      <c r="L1337" s="7"/>
    </row>
    <row r="1338" spans="1:12" x14ac:dyDescent="0.2">
      <c r="A1338" s="7"/>
      <c r="B1338" s="7"/>
      <c r="C1338" s="7"/>
      <c r="D1338" s="7"/>
      <c r="E1338" s="7">
        <v>612370</v>
      </c>
      <c r="F1338" s="7"/>
      <c r="G1338" s="7" t="s">
        <v>1220</v>
      </c>
      <c r="H1338" s="7"/>
      <c r="I1338" s="27" t="s">
        <v>133</v>
      </c>
      <c r="J1338" s="7"/>
      <c r="K1338" s="27" t="s">
        <v>2208</v>
      </c>
      <c r="L1338" s="7"/>
    </row>
    <row r="1339" spans="1:12" x14ac:dyDescent="0.2">
      <c r="A1339" s="7"/>
      <c r="B1339" s="7"/>
      <c r="C1339" s="7"/>
      <c r="D1339" s="7"/>
      <c r="E1339" s="7">
        <v>612395</v>
      </c>
      <c r="F1339" s="7"/>
      <c r="G1339" s="7" t="s">
        <v>1221</v>
      </c>
      <c r="H1339" s="7"/>
      <c r="I1339" s="27" t="s">
        <v>133</v>
      </c>
      <c r="J1339" s="7"/>
      <c r="K1339" s="27" t="s">
        <v>2208</v>
      </c>
      <c r="L1339" s="7"/>
    </row>
    <row r="1340" spans="1:12" x14ac:dyDescent="0.2">
      <c r="A1340" s="7"/>
      <c r="B1340" s="7"/>
      <c r="C1340" s="7"/>
      <c r="D1340" s="7"/>
      <c r="E1340" s="7">
        <v>612396</v>
      </c>
      <c r="F1340" s="7"/>
      <c r="G1340" s="7" t="s">
        <v>1221</v>
      </c>
      <c r="H1340" s="7"/>
      <c r="I1340" s="27" t="s">
        <v>133</v>
      </c>
      <c r="J1340" s="7"/>
      <c r="K1340" s="27" t="s">
        <v>2208</v>
      </c>
      <c r="L1340" s="7"/>
    </row>
    <row r="1341" spans="1:12" x14ac:dyDescent="0.2">
      <c r="A1341" s="7"/>
      <c r="B1341" s="7"/>
      <c r="C1341" s="7"/>
      <c r="D1341" s="7"/>
      <c r="E1341" s="7">
        <v>612400</v>
      </c>
      <c r="F1341" s="7"/>
      <c r="G1341" s="7" t="s">
        <v>1222</v>
      </c>
      <c r="H1341" s="7"/>
      <c r="I1341" s="27" t="s">
        <v>133</v>
      </c>
      <c r="J1341" s="7"/>
      <c r="K1341" s="27" t="s">
        <v>2208</v>
      </c>
      <c r="L1341" s="7"/>
    </row>
    <row r="1342" spans="1:12" x14ac:dyDescent="0.2">
      <c r="A1342" s="7"/>
      <c r="B1342" s="7"/>
      <c r="C1342" s="7"/>
      <c r="D1342" s="7"/>
      <c r="E1342" s="7">
        <v>612410</v>
      </c>
      <c r="F1342" s="7"/>
      <c r="G1342" s="7" t="s">
        <v>1223</v>
      </c>
      <c r="H1342" s="7"/>
      <c r="I1342" s="27" t="s">
        <v>133</v>
      </c>
      <c r="J1342" s="7"/>
      <c r="K1342" s="27" t="s">
        <v>2208</v>
      </c>
      <c r="L1342" s="7"/>
    </row>
    <row r="1343" spans="1:12" x14ac:dyDescent="0.2">
      <c r="A1343" s="7"/>
      <c r="B1343" s="7"/>
      <c r="C1343" s="7"/>
      <c r="D1343" s="7"/>
      <c r="E1343" s="7">
        <v>612412</v>
      </c>
      <c r="F1343" s="7"/>
      <c r="G1343" s="7" t="s">
        <v>1224</v>
      </c>
      <c r="H1343" s="7"/>
      <c r="I1343" s="27" t="s">
        <v>133</v>
      </c>
      <c r="J1343" s="7"/>
      <c r="K1343" s="27" t="s">
        <v>2208</v>
      </c>
      <c r="L1343" s="7"/>
    </row>
    <row r="1344" spans="1:12" x14ac:dyDescent="0.2">
      <c r="A1344" s="7"/>
      <c r="B1344" s="7"/>
      <c r="C1344" s="7"/>
      <c r="D1344" s="7"/>
      <c r="E1344" s="7">
        <v>612413</v>
      </c>
      <c r="F1344" s="7"/>
      <c r="G1344" s="7" t="s">
        <v>1225</v>
      </c>
      <c r="H1344" s="7"/>
      <c r="I1344" s="27" t="s">
        <v>133</v>
      </c>
      <c r="J1344" s="7"/>
      <c r="K1344" s="27" t="s">
        <v>2208</v>
      </c>
      <c r="L1344" s="7"/>
    </row>
    <row r="1345" spans="1:12" x14ac:dyDescent="0.2">
      <c r="A1345" s="7"/>
      <c r="B1345" s="7"/>
      <c r="C1345" s="7"/>
      <c r="D1345" s="7"/>
      <c r="E1345" s="7">
        <v>612414</v>
      </c>
      <c r="F1345" s="7"/>
      <c r="G1345" s="7" t="s">
        <v>1226</v>
      </c>
      <c r="H1345" s="7"/>
      <c r="I1345" s="27" t="s">
        <v>133</v>
      </c>
      <c r="J1345" s="7"/>
      <c r="K1345" s="27" t="s">
        <v>2208</v>
      </c>
      <c r="L1345" s="7"/>
    </row>
    <row r="1346" spans="1:12" x14ac:dyDescent="0.2">
      <c r="A1346" s="7"/>
      <c r="B1346" s="7"/>
      <c r="C1346" s="7"/>
      <c r="D1346" s="7"/>
      <c r="E1346" s="7">
        <v>612420</v>
      </c>
      <c r="F1346" s="7"/>
      <c r="G1346" s="7" t="s">
        <v>1227</v>
      </c>
      <c r="H1346" s="7"/>
      <c r="I1346" s="27" t="s">
        <v>133</v>
      </c>
      <c r="J1346" s="7"/>
      <c r="K1346" s="27" t="s">
        <v>2208</v>
      </c>
      <c r="L1346" s="7"/>
    </row>
    <row r="1347" spans="1:12" x14ac:dyDescent="0.2">
      <c r="A1347" s="7"/>
      <c r="B1347" s="7"/>
      <c r="C1347" s="7"/>
      <c r="D1347" s="7"/>
      <c r="E1347" s="7">
        <v>612422</v>
      </c>
      <c r="F1347" s="7"/>
      <c r="G1347" s="7" t="s">
        <v>1228</v>
      </c>
      <c r="H1347" s="7"/>
      <c r="I1347" s="27" t="s">
        <v>47</v>
      </c>
      <c r="J1347" s="7"/>
      <c r="K1347" s="27" t="s">
        <v>2208</v>
      </c>
      <c r="L1347" s="7"/>
    </row>
    <row r="1348" spans="1:12" x14ac:dyDescent="0.2">
      <c r="A1348" s="7"/>
      <c r="B1348" s="7"/>
      <c r="C1348" s="7"/>
      <c r="D1348" s="7"/>
      <c r="E1348" s="7">
        <v>612423</v>
      </c>
      <c r="F1348" s="7"/>
      <c r="G1348" s="7" t="s">
        <v>1229</v>
      </c>
      <c r="H1348" s="7"/>
      <c r="I1348" s="27" t="s">
        <v>47</v>
      </c>
      <c r="J1348" s="7"/>
      <c r="K1348" s="27" t="s">
        <v>2208</v>
      </c>
      <c r="L1348" s="7"/>
    </row>
    <row r="1349" spans="1:12" x14ac:dyDescent="0.2">
      <c r="A1349" s="7"/>
      <c r="B1349" s="7"/>
      <c r="C1349" s="7"/>
      <c r="D1349" s="7"/>
      <c r="E1349" s="7">
        <v>612424</v>
      </c>
      <c r="F1349" s="7"/>
      <c r="G1349" s="7" t="s">
        <v>1230</v>
      </c>
      <c r="H1349" s="7"/>
      <c r="I1349" s="27" t="s">
        <v>47</v>
      </c>
      <c r="J1349" s="7"/>
      <c r="K1349" s="27" t="s">
        <v>2208</v>
      </c>
      <c r="L1349" s="7"/>
    </row>
    <row r="1350" spans="1:12" x14ac:dyDescent="0.2">
      <c r="A1350" s="7"/>
      <c r="B1350" s="7"/>
      <c r="C1350" s="7"/>
      <c r="D1350" s="7"/>
      <c r="E1350" s="7">
        <v>612425</v>
      </c>
      <c r="F1350" s="7"/>
      <c r="G1350" s="7" t="s">
        <v>1231</v>
      </c>
      <c r="H1350" s="7"/>
      <c r="I1350" s="27" t="s">
        <v>47</v>
      </c>
      <c r="J1350" s="7"/>
      <c r="K1350" s="27" t="s">
        <v>2208</v>
      </c>
      <c r="L1350" s="7"/>
    </row>
    <row r="1351" spans="1:12" x14ac:dyDescent="0.2">
      <c r="A1351" s="7"/>
      <c r="B1351" s="7"/>
      <c r="C1351" s="7"/>
      <c r="D1351" s="7"/>
      <c r="E1351" s="7">
        <v>612426</v>
      </c>
      <c r="F1351" s="7"/>
      <c r="G1351" s="7" t="s">
        <v>1232</v>
      </c>
      <c r="H1351" s="7"/>
      <c r="I1351" s="27" t="s">
        <v>47</v>
      </c>
      <c r="J1351" s="7"/>
      <c r="K1351" s="27" t="s">
        <v>2208</v>
      </c>
      <c r="L1351" s="7"/>
    </row>
    <row r="1352" spans="1:12" x14ac:dyDescent="0.2">
      <c r="A1352" s="7"/>
      <c r="B1352" s="7"/>
      <c r="C1352" s="7"/>
      <c r="D1352" s="7"/>
      <c r="E1352" s="7">
        <v>612427</v>
      </c>
      <c r="F1352" s="7"/>
      <c r="G1352" s="7" t="s">
        <v>1233</v>
      </c>
      <c r="H1352" s="7"/>
      <c r="I1352" s="27" t="s">
        <v>47</v>
      </c>
      <c r="J1352" s="7"/>
      <c r="K1352" s="27" t="s">
        <v>2208</v>
      </c>
      <c r="L1352" s="7"/>
    </row>
    <row r="1353" spans="1:12" x14ac:dyDescent="0.2">
      <c r="A1353" s="7"/>
      <c r="B1353" s="7"/>
      <c r="C1353" s="7"/>
      <c r="D1353" s="7"/>
      <c r="E1353" s="7">
        <v>612430</v>
      </c>
      <c r="F1353" s="7"/>
      <c r="G1353" s="7" t="s">
        <v>1234</v>
      </c>
      <c r="H1353" s="7"/>
      <c r="I1353" s="27" t="s">
        <v>133</v>
      </c>
      <c r="J1353" s="7"/>
      <c r="K1353" s="27" t="s">
        <v>2208</v>
      </c>
      <c r="L1353" s="7"/>
    </row>
    <row r="1354" spans="1:12" x14ac:dyDescent="0.2">
      <c r="A1354" s="7"/>
      <c r="B1354" s="7"/>
      <c r="C1354" s="7"/>
      <c r="D1354" s="7"/>
      <c r="E1354" s="7">
        <v>612431</v>
      </c>
      <c r="F1354" s="7"/>
      <c r="G1354" s="7" t="s">
        <v>1235</v>
      </c>
      <c r="H1354" s="7"/>
      <c r="I1354" s="27" t="s">
        <v>133</v>
      </c>
      <c r="J1354" s="7"/>
      <c r="K1354" s="27" t="s">
        <v>2208</v>
      </c>
      <c r="L1354" s="7"/>
    </row>
    <row r="1355" spans="1:12" x14ac:dyDescent="0.2">
      <c r="A1355" s="7"/>
      <c r="B1355" s="7"/>
      <c r="C1355" s="7"/>
      <c r="D1355" s="7"/>
      <c r="E1355" s="7">
        <v>612432</v>
      </c>
      <c r="F1355" s="7"/>
      <c r="G1355" s="7" t="s">
        <v>1236</v>
      </c>
      <c r="H1355" s="7"/>
      <c r="I1355" s="27" t="s">
        <v>133</v>
      </c>
      <c r="J1355" s="7"/>
      <c r="K1355" s="27" t="s">
        <v>2208</v>
      </c>
      <c r="L1355" s="7"/>
    </row>
    <row r="1356" spans="1:12" x14ac:dyDescent="0.2">
      <c r="A1356" s="7"/>
      <c r="B1356" s="7"/>
      <c r="C1356" s="7"/>
      <c r="D1356" s="7"/>
      <c r="E1356" s="7">
        <v>612433</v>
      </c>
      <c r="F1356" s="7"/>
      <c r="G1356" s="7" t="s">
        <v>1237</v>
      </c>
      <c r="H1356" s="7"/>
      <c r="I1356" s="27" t="s">
        <v>133</v>
      </c>
      <c r="J1356" s="7"/>
      <c r="K1356" s="27" t="s">
        <v>2208</v>
      </c>
      <c r="L1356" s="7"/>
    </row>
    <row r="1357" spans="1:12" x14ac:dyDescent="0.2">
      <c r="A1357" s="7"/>
      <c r="B1357" s="7"/>
      <c r="C1357" s="7"/>
      <c r="D1357" s="7"/>
      <c r="E1357" s="7">
        <v>612434</v>
      </c>
      <c r="F1357" s="7"/>
      <c r="G1357" s="7" t="s">
        <v>1238</v>
      </c>
      <c r="H1357" s="7"/>
      <c r="I1357" s="27" t="s">
        <v>133</v>
      </c>
      <c r="J1357" s="7"/>
      <c r="K1357" s="27" t="s">
        <v>2208</v>
      </c>
      <c r="L1357" s="7"/>
    </row>
    <row r="1358" spans="1:12" x14ac:dyDescent="0.2">
      <c r="A1358" s="7"/>
      <c r="B1358" s="7"/>
      <c r="C1358" s="7"/>
      <c r="D1358" s="7"/>
      <c r="E1358" s="7">
        <v>612435</v>
      </c>
      <c r="F1358" s="7"/>
      <c r="G1358" s="7" t="s">
        <v>1239</v>
      </c>
      <c r="H1358" s="7"/>
      <c r="I1358" s="27" t="s">
        <v>133</v>
      </c>
      <c r="J1358" s="7"/>
      <c r="K1358" s="27" t="s">
        <v>2208</v>
      </c>
      <c r="L1358" s="7"/>
    </row>
    <row r="1359" spans="1:12" x14ac:dyDescent="0.2">
      <c r="A1359" s="7"/>
      <c r="B1359" s="7"/>
      <c r="C1359" s="7"/>
      <c r="D1359" s="7"/>
      <c r="E1359" s="7">
        <v>612436</v>
      </c>
      <c r="F1359" s="7"/>
      <c r="G1359" s="7" t="s">
        <v>1240</v>
      </c>
      <c r="H1359" s="7"/>
      <c r="I1359" s="27" t="s">
        <v>133</v>
      </c>
      <c r="J1359" s="7"/>
      <c r="K1359" s="27" t="s">
        <v>2208</v>
      </c>
      <c r="L1359" s="7"/>
    </row>
    <row r="1360" spans="1:12" x14ac:dyDescent="0.2">
      <c r="A1360" s="7"/>
      <c r="B1360" s="7"/>
      <c r="C1360" s="7"/>
      <c r="D1360" s="7"/>
      <c r="E1360" s="7">
        <v>612437</v>
      </c>
      <c r="F1360" s="7"/>
      <c r="G1360" s="7" t="s">
        <v>1235</v>
      </c>
      <c r="H1360" s="7"/>
      <c r="I1360" s="27" t="s">
        <v>133</v>
      </c>
      <c r="J1360" s="7"/>
      <c r="K1360" s="27" t="s">
        <v>2208</v>
      </c>
      <c r="L1360" s="7"/>
    </row>
    <row r="1361" spans="1:12" x14ac:dyDescent="0.2">
      <c r="A1361" s="7"/>
      <c r="B1361" s="7"/>
      <c r="C1361" s="7"/>
      <c r="D1361" s="7"/>
      <c r="E1361" s="7">
        <v>612438</v>
      </c>
      <c r="F1361" s="7"/>
      <c r="G1361" s="7" t="s">
        <v>1236</v>
      </c>
      <c r="H1361" s="7"/>
      <c r="I1361" s="27" t="s">
        <v>133</v>
      </c>
      <c r="J1361" s="7"/>
      <c r="K1361" s="27" t="s">
        <v>2208</v>
      </c>
      <c r="L1361" s="7"/>
    </row>
    <row r="1362" spans="1:12" x14ac:dyDescent="0.2">
      <c r="A1362" s="7"/>
      <c r="B1362" s="7"/>
      <c r="C1362" s="7"/>
      <c r="D1362" s="7"/>
      <c r="E1362" s="7">
        <v>612439</v>
      </c>
      <c r="F1362" s="7"/>
      <c r="G1362" s="7" t="s">
        <v>1237</v>
      </c>
      <c r="H1362" s="7"/>
      <c r="I1362" s="27" t="s">
        <v>133</v>
      </c>
      <c r="J1362" s="7"/>
      <c r="K1362" s="27" t="s">
        <v>2208</v>
      </c>
      <c r="L1362" s="7"/>
    </row>
    <row r="1363" spans="1:12" x14ac:dyDescent="0.2">
      <c r="A1363" s="7"/>
      <c r="B1363" s="7"/>
      <c r="C1363" s="7"/>
      <c r="D1363" s="7"/>
      <c r="E1363" s="7">
        <v>612440</v>
      </c>
      <c r="F1363" s="7"/>
      <c r="G1363" s="7" t="s">
        <v>1241</v>
      </c>
      <c r="H1363" s="7"/>
      <c r="I1363" s="27" t="s">
        <v>133</v>
      </c>
      <c r="J1363" s="7"/>
      <c r="K1363" s="27" t="s">
        <v>2208</v>
      </c>
      <c r="L1363" s="7"/>
    </row>
    <row r="1364" spans="1:12" x14ac:dyDescent="0.2">
      <c r="A1364" s="7"/>
      <c r="B1364" s="7"/>
      <c r="C1364" s="7"/>
      <c r="D1364" s="7"/>
      <c r="E1364" s="7">
        <v>612441</v>
      </c>
      <c r="F1364" s="7"/>
      <c r="G1364" s="7" t="s">
        <v>1238</v>
      </c>
      <c r="H1364" s="7"/>
      <c r="I1364" s="27" t="s">
        <v>133</v>
      </c>
      <c r="J1364" s="7"/>
      <c r="K1364" s="27" t="s">
        <v>2208</v>
      </c>
      <c r="L1364" s="7"/>
    </row>
    <row r="1365" spans="1:12" x14ac:dyDescent="0.2">
      <c r="A1365" s="7"/>
      <c r="B1365" s="7"/>
      <c r="C1365" s="7"/>
      <c r="D1365" s="7"/>
      <c r="E1365" s="7">
        <v>612442</v>
      </c>
      <c r="F1365" s="7"/>
      <c r="G1365" s="7" t="s">
        <v>1239</v>
      </c>
      <c r="H1365" s="7"/>
      <c r="I1365" s="27" t="s">
        <v>133</v>
      </c>
      <c r="J1365" s="7"/>
      <c r="K1365" s="27" t="s">
        <v>2208</v>
      </c>
      <c r="L1365" s="7"/>
    </row>
    <row r="1366" spans="1:12" x14ac:dyDescent="0.2">
      <c r="A1366" s="7"/>
      <c r="B1366" s="7"/>
      <c r="C1366" s="7"/>
      <c r="D1366" s="7"/>
      <c r="E1366" s="7">
        <v>612443</v>
      </c>
      <c r="F1366" s="7"/>
      <c r="G1366" s="7" t="s">
        <v>1240</v>
      </c>
      <c r="H1366" s="7"/>
      <c r="I1366" s="27" t="s">
        <v>133</v>
      </c>
      <c r="J1366" s="7"/>
      <c r="K1366" s="27" t="s">
        <v>2208</v>
      </c>
      <c r="L1366" s="7"/>
    </row>
    <row r="1367" spans="1:12" x14ac:dyDescent="0.2">
      <c r="A1367" s="7"/>
      <c r="B1367" s="7"/>
      <c r="C1367" s="7"/>
      <c r="D1367" s="7"/>
      <c r="E1367" s="7">
        <v>612450</v>
      </c>
      <c r="F1367" s="7"/>
      <c r="G1367" s="7" t="s">
        <v>1242</v>
      </c>
      <c r="H1367" s="7"/>
      <c r="I1367" s="27" t="s">
        <v>133</v>
      </c>
      <c r="J1367" s="7"/>
      <c r="K1367" s="27" t="s">
        <v>2208</v>
      </c>
      <c r="L1367" s="7"/>
    </row>
    <row r="1368" spans="1:12" x14ac:dyDescent="0.2">
      <c r="A1368" s="7"/>
      <c r="B1368" s="7"/>
      <c r="C1368" s="7"/>
      <c r="D1368" s="7"/>
      <c r="E1368" s="7">
        <v>612451</v>
      </c>
      <c r="F1368" s="7"/>
      <c r="G1368" s="7" t="s">
        <v>1242</v>
      </c>
      <c r="H1368" s="7"/>
      <c r="I1368" s="27" t="s">
        <v>133</v>
      </c>
      <c r="J1368" s="7"/>
      <c r="K1368" s="27" t="s">
        <v>2208</v>
      </c>
      <c r="L1368" s="7"/>
    </row>
    <row r="1369" spans="1:12" x14ac:dyDescent="0.2">
      <c r="A1369" s="7"/>
      <c r="B1369" s="7"/>
      <c r="C1369" s="7"/>
      <c r="D1369" s="7"/>
      <c r="E1369" s="7">
        <v>612460</v>
      </c>
      <c r="F1369" s="7"/>
      <c r="G1369" s="7" t="s">
        <v>1243</v>
      </c>
      <c r="H1369" s="7"/>
      <c r="I1369" s="27" t="s">
        <v>133</v>
      </c>
      <c r="J1369" s="7"/>
      <c r="K1369" s="27" t="s">
        <v>2208</v>
      </c>
      <c r="L1369" s="7"/>
    </row>
    <row r="1370" spans="1:12" x14ac:dyDescent="0.2">
      <c r="A1370" s="7"/>
      <c r="B1370" s="7"/>
      <c r="C1370" s="7"/>
      <c r="D1370" s="7"/>
      <c r="E1370" s="7">
        <v>612461</v>
      </c>
      <c r="F1370" s="7"/>
      <c r="G1370" s="7" t="s">
        <v>1243</v>
      </c>
      <c r="H1370" s="7"/>
      <c r="I1370" s="27" t="s">
        <v>133</v>
      </c>
      <c r="J1370" s="7"/>
      <c r="K1370" s="27" t="s">
        <v>2208</v>
      </c>
      <c r="L1370" s="7"/>
    </row>
    <row r="1371" spans="1:12" x14ac:dyDescent="0.2">
      <c r="A1371" s="7"/>
      <c r="B1371" s="7"/>
      <c r="C1371" s="7"/>
      <c r="D1371" s="7"/>
      <c r="E1371" s="7">
        <v>612462</v>
      </c>
      <c r="F1371" s="7"/>
      <c r="G1371" s="7" t="s">
        <v>1244</v>
      </c>
      <c r="H1371" s="7"/>
      <c r="I1371" s="27" t="s">
        <v>133</v>
      </c>
      <c r="J1371" s="7"/>
      <c r="K1371" s="27" t="s">
        <v>2208</v>
      </c>
      <c r="L1371" s="7"/>
    </row>
    <row r="1372" spans="1:12" x14ac:dyDescent="0.2">
      <c r="A1372" s="7"/>
      <c r="B1372" s="7"/>
      <c r="C1372" s="7"/>
      <c r="D1372" s="7"/>
      <c r="E1372" s="7">
        <v>613010</v>
      </c>
      <c r="F1372" s="7"/>
      <c r="G1372" s="7" t="s">
        <v>1245</v>
      </c>
      <c r="H1372" s="7"/>
      <c r="I1372" s="27" t="s">
        <v>133</v>
      </c>
      <c r="J1372" s="7"/>
      <c r="K1372" s="27" t="s">
        <v>2208</v>
      </c>
      <c r="L1372" s="7"/>
    </row>
    <row r="1373" spans="1:12" x14ac:dyDescent="0.2">
      <c r="A1373" s="7"/>
      <c r="B1373" s="7"/>
      <c r="C1373" s="7"/>
      <c r="D1373" s="7"/>
      <c r="E1373" s="7">
        <v>613015</v>
      </c>
      <c r="F1373" s="7"/>
      <c r="G1373" s="7" t="s">
        <v>1246</v>
      </c>
      <c r="H1373" s="7"/>
      <c r="I1373" s="27" t="s">
        <v>133</v>
      </c>
      <c r="J1373" s="7"/>
      <c r="K1373" s="27" t="s">
        <v>2208</v>
      </c>
      <c r="L1373" s="7"/>
    </row>
    <row r="1374" spans="1:12" x14ac:dyDescent="0.2">
      <c r="A1374" s="7"/>
      <c r="B1374" s="7"/>
      <c r="C1374" s="7"/>
      <c r="D1374" s="7"/>
      <c r="E1374" s="7">
        <v>613016</v>
      </c>
      <c r="F1374" s="7"/>
      <c r="G1374" s="7" t="s">
        <v>538</v>
      </c>
      <c r="H1374" s="7"/>
      <c r="I1374" s="27" t="s">
        <v>71</v>
      </c>
      <c r="J1374" s="7"/>
      <c r="K1374" s="27" t="s">
        <v>2208</v>
      </c>
      <c r="L1374" s="7"/>
    </row>
    <row r="1375" spans="1:12" x14ac:dyDescent="0.2">
      <c r="A1375" s="7"/>
      <c r="B1375" s="7"/>
      <c r="C1375" s="7"/>
      <c r="D1375" s="7"/>
      <c r="E1375" s="7">
        <v>613017</v>
      </c>
      <c r="F1375" s="7"/>
      <c r="G1375" s="7" t="s">
        <v>539</v>
      </c>
      <c r="H1375" s="7"/>
      <c r="I1375" s="27" t="s">
        <v>133</v>
      </c>
      <c r="J1375" s="7"/>
      <c r="K1375" s="27" t="s">
        <v>2208</v>
      </c>
      <c r="L1375" s="7"/>
    </row>
    <row r="1376" spans="1:12" x14ac:dyDescent="0.2">
      <c r="A1376" s="7"/>
      <c r="B1376" s="7"/>
      <c r="C1376" s="7"/>
      <c r="D1376" s="7"/>
      <c r="E1376" s="7">
        <v>613020</v>
      </c>
      <c r="F1376" s="7"/>
      <c r="G1376" s="7" t="s">
        <v>1247</v>
      </c>
      <c r="H1376" s="7"/>
      <c r="I1376" s="27" t="s">
        <v>133</v>
      </c>
      <c r="J1376" s="7"/>
      <c r="K1376" s="27" t="s">
        <v>2208</v>
      </c>
      <c r="L1376" s="7"/>
    </row>
    <row r="1377" spans="1:12" x14ac:dyDescent="0.2">
      <c r="A1377" s="7"/>
      <c r="B1377" s="7"/>
      <c r="C1377" s="7"/>
      <c r="D1377" s="7"/>
      <c r="E1377" s="7">
        <v>613030</v>
      </c>
      <c r="F1377" s="7"/>
      <c r="G1377" s="7" t="s">
        <v>1248</v>
      </c>
      <c r="H1377" s="7"/>
      <c r="I1377" s="27" t="s">
        <v>133</v>
      </c>
      <c r="J1377" s="7"/>
      <c r="K1377" s="27" t="s">
        <v>2208</v>
      </c>
      <c r="L1377" s="7"/>
    </row>
    <row r="1378" spans="1:12" x14ac:dyDescent="0.2">
      <c r="A1378" s="7"/>
      <c r="B1378" s="7"/>
      <c r="C1378" s="7"/>
      <c r="D1378" s="7"/>
      <c r="E1378" s="7">
        <v>613035</v>
      </c>
      <c r="F1378" s="7"/>
      <c r="G1378" s="7" t="s">
        <v>1249</v>
      </c>
      <c r="H1378" s="7"/>
      <c r="I1378" s="27" t="s">
        <v>133</v>
      </c>
      <c r="J1378" s="7"/>
      <c r="K1378" s="27" t="s">
        <v>2208</v>
      </c>
      <c r="L1378" s="7"/>
    </row>
    <row r="1379" spans="1:12" x14ac:dyDescent="0.2">
      <c r="A1379" s="7"/>
      <c r="B1379" s="7"/>
      <c r="C1379" s="7"/>
      <c r="D1379" s="7"/>
      <c r="E1379" s="7">
        <v>613040</v>
      </c>
      <c r="F1379" s="7"/>
      <c r="G1379" s="7" t="s">
        <v>1250</v>
      </c>
      <c r="H1379" s="7"/>
      <c r="I1379" s="27" t="s">
        <v>133</v>
      </c>
      <c r="J1379" s="7"/>
      <c r="K1379" s="27" t="s">
        <v>2208</v>
      </c>
      <c r="L1379" s="7"/>
    </row>
    <row r="1380" spans="1:12" x14ac:dyDescent="0.2">
      <c r="A1380" s="7"/>
      <c r="B1380" s="7"/>
      <c r="C1380" s="7"/>
      <c r="D1380" s="7"/>
      <c r="E1380" s="7">
        <v>613045</v>
      </c>
      <c r="F1380" s="7"/>
      <c r="G1380" s="7" t="s">
        <v>1251</v>
      </c>
      <c r="H1380" s="7"/>
      <c r="I1380" s="27" t="s">
        <v>133</v>
      </c>
      <c r="J1380" s="7"/>
      <c r="K1380" s="27" t="s">
        <v>2208</v>
      </c>
      <c r="L1380" s="7"/>
    </row>
    <row r="1381" spans="1:12" x14ac:dyDescent="0.2">
      <c r="A1381" s="7"/>
      <c r="B1381" s="7"/>
      <c r="C1381" s="7"/>
      <c r="D1381" s="7"/>
      <c r="E1381" s="7">
        <v>613050</v>
      </c>
      <c r="F1381" s="7"/>
      <c r="G1381" s="7" t="s">
        <v>1252</v>
      </c>
      <c r="H1381" s="7"/>
      <c r="I1381" s="27" t="s">
        <v>133</v>
      </c>
      <c r="J1381" s="7"/>
      <c r="K1381" s="27" t="s">
        <v>2208</v>
      </c>
      <c r="L1381" s="7"/>
    </row>
    <row r="1382" spans="1:12" x14ac:dyDescent="0.2">
      <c r="A1382" s="7"/>
      <c r="B1382" s="7"/>
      <c r="C1382" s="7"/>
      <c r="D1382" s="7"/>
      <c r="E1382" s="7">
        <v>613055</v>
      </c>
      <c r="F1382" s="7"/>
      <c r="G1382" s="7" t="s">
        <v>1253</v>
      </c>
      <c r="H1382" s="7"/>
      <c r="I1382" s="27" t="s">
        <v>133</v>
      </c>
      <c r="J1382" s="7"/>
      <c r="K1382" s="27" t="s">
        <v>2208</v>
      </c>
      <c r="L1382" s="7"/>
    </row>
    <row r="1383" spans="1:12" x14ac:dyDescent="0.2">
      <c r="A1383" s="7"/>
      <c r="B1383" s="7"/>
      <c r="C1383" s="7"/>
      <c r="D1383" s="7"/>
      <c r="E1383" s="7">
        <v>613060</v>
      </c>
      <c r="F1383" s="7"/>
      <c r="G1383" s="7" t="s">
        <v>1254</v>
      </c>
      <c r="H1383" s="7"/>
      <c r="I1383" s="27" t="s">
        <v>133</v>
      </c>
      <c r="J1383" s="7"/>
      <c r="K1383" s="27" t="s">
        <v>2208</v>
      </c>
      <c r="L1383" s="7"/>
    </row>
    <row r="1384" spans="1:12" x14ac:dyDescent="0.2">
      <c r="A1384" s="7"/>
      <c r="B1384" s="7"/>
      <c r="C1384" s="7"/>
      <c r="D1384" s="7"/>
      <c r="E1384" s="7">
        <v>613065</v>
      </c>
      <c r="F1384" s="7"/>
      <c r="G1384" s="7" t="s">
        <v>1255</v>
      </c>
      <c r="H1384" s="7"/>
      <c r="I1384" s="27" t="s">
        <v>133</v>
      </c>
      <c r="J1384" s="7"/>
      <c r="K1384" s="27" t="s">
        <v>2208</v>
      </c>
      <c r="L1384" s="7"/>
    </row>
    <row r="1385" spans="1:12" x14ac:dyDescent="0.2">
      <c r="A1385" s="7"/>
      <c r="B1385" s="7"/>
      <c r="C1385" s="7"/>
      <c r="D1385" s="7"/>
      <c r="E1385" s="7">
        <v>613070</v>
      </c>
      <c r="F1385" s="7"/>
      <c r="G1385" s="7" t="s">
        <v>1256</v>
      </c>
      <c r="H1385" s="7"/>
      <c r="I1385" s="27" t="s">
        <v>133</v>
      </c>
      <c r="J1385" s="7"/>
      <c r="K1385" s="27" t="s">
        <v>2208</v>
      </c>
      <c r="L1385" s="7"/>
    </row>
    <row r="1386" spans="1:12" x14ac:dyDescent="0.2">
      <c r="A1386" s="7"/>
      <c r="B1386" s="7"/>
      <c r="C1386" s="7"/>
      <c r="D1386" s="7"/>
      <c r="E1386" s="7">
        <v>613075</v>
      </c>
      <c r="F1386" s="7"/>
      <c r="G1386" s="7" t="s">
        <v>1257</v>
      </c>
      <c r="H1386" s="7"/>
      <c r="I1386" s="27" t="s">
        <v>133</v>
      </c>
      <c r="J1386" s="7"/>
      <c r="K1386" s="27" t="s">
        <v>2208</v>
      </c>
      <c r="L1386" s="7"/>
    </row>
    <row r="1387" spans="1:12" x14ac:dyDescent="0.2">
      <c r="A1387" s="7"/>
      <c r="B1387" s="7"/>
      <c r="C1387" s="7"/>
      <c r="D1387" s="7"/>
      <c r="E1387" s="7">
        <v>613076</v>
      </c>
      <c r="F1387" s="7"/>
      <c r="G1387" s="7" t="s">
        <v>1258</v>
      </c>
      <c r="H1387" s="7"/>
      <c r="I1387" s="27" t="s">
        <v>133</v>
      </c>
      <c r="J1387" s="7"/>
      <c r="K1387" s="27" t="s">
        <v>2208</v>
      </c>
      <c r="L1387" s="7"/>
    </row>
    <row r="1388" spans="1:12" x14ac:dyDescent="0.2">
      <c r="A1388" s="7"/>
      <c r="B1388" s="7"/>
      <c r="C1388" s="7"/>
      <c r="D1388" s="7"/>
      <c r="E1388" s="7">
        <v>613085</v>
      </c>
      <c r="F1388" s="7"/>
      <c r="G1388" s="7" t="s">
        <v>1259</v>
      </c>
      <c r="H1388" s="7"/>
      <c r="I1388" s="27" t="s">
        <v>616</v>
      </c>
      <c r="J1388" s="7"/>
      <c r="K1388" s="27" t="s">
        <v>2208</v>
      </c>
      <c r="L1388" s="7"/>
    </row>
    <row r="1389" spans="1:12" x14ac:dyDescent="0.2">
      <c r="A1389" s="7"/>
      <c r="B1389" s="7"/>
      <c r="C1389" s="7"/>
      <c r="D1389" s="7"/>
      <c r="E1389" s="7">
        <v>613086</v>
      </c>
      <c r="F1389" s="7"/>
      <c r="G1389" s="7" t="s">
        <v>1260</v>
      </c>
      <c r="H1389" s="7"/>
      <c r="I1389" s="27" t="s">
        <v>616</v>
      </c>
      <c r="J1389" s="7"/>
      <c r="K1389" s="27" t="s">
        <v>2208</v>
      </c>
      <c r="L1389" s="7"/>
    </row>
    <row r="1390" spans="1:12" x14ac:dyDescent="0.2">
      <c r="A1390" s="7"/>
      <c r="B1390" s="7"/>
      <c r="C1390" s="7"/>
      <c r="D1390" s="7"/>
      <c r="E1390" s="7">
        <v>613090</v>
      </c>
      <c r="F1390" s="7"/>
      <c r="G1390" s="7" t="s">
        <v>1261</v>
      </c>
      <c r="H1390" s="7"/>
      <c r="I1390" s="27" t="s">
        <v>133</v>
      </c>
      <c r="J1390" s="7"/>
      <c r="K1390" s="27" t="s">
        <v>2208</v>
      </c>
      <c r="L1390" s="7"/>
    </row>
    <row r="1391" spans="1:12" x14ac:dyDescent="0.2">
      <c r="A1391" s="7"/>
      <c r="B1391" s="7"/>
      <c r="C1391" s="7"/>
      <c r="D1391" s="7"/>
      <c r="E1391" s="7">
        <v>613091</v>
      </c>
      <c r="F1391" s="7"/>
      <c r="G1391" s="7" t="s">
        <v>1262</v>
      </c>
      <c r="H1391" s="7"/>
      <c r="I1391" s="27" t="s">
        <v>616</v>
      </c>
      <c r="J1391" s="7"/>
      <c r="K1391" s="27" t="s">
        <v>2208</v>
      </c>
      <c r="L1391" s="7"/>
    </row>
    <row r="1392" spans="1:12" x14ac:dyDescent="0.2">
      <c r="A1392" s="7"/>
      <c r="B1392" s="7"/>
      <c r="C1392" s="7"/>
      <c r="D1392" s="7"/>
      <c r="E1392" s="7">
        <v>613095</v>
      </c>
      <c r="F1392" s="7"/>
      <c r="G1392" s="7" t="s">
        <v>1263</v>
      </c>
      <c r="H1392" s="7"/>
      <c r="I1392" s="27" t="s">
        <v>616</v>
      </c>
      <c r="J1392" s="7"/>
      <c r="K1392" s="27" t="s">
        <v>2208</v>
      </c>
      <c r="L1392" s="7"/>
    </row>
    <row r="1393" spans="1:12" x14ac:dyDescent="0.2">
      <c r="A1393" s="7"/>
      <c r="B1393" s="7"/>
      <c r="C1393" s="7"/>
      <c r="D1393" s="7"/>
      <c r="E1393" s="7">
        <v>613096</v>
      </c>
      <c r="F1393" s="7"/>
      <c r="G1393" s="7" t="s">
        <v>1264</v>
      </c>
      <c r="H1393" s="7"/>
      <c r="I1393" s="27" t="s">
        <v>616</v>
      </c>
      <c r="J1393" s="7"/>
      <c r="K1393" s="27" t="s">
        <v>2208</v>
      </c>
      <c r="L1393" s="7"/>
    </row>
    <row r="1394" spans="1:12" x14ac:dyDescent="0.2">
      <c r="A1394" s="7"/>
      <c r="B1394" s="7"/>
      <c r="C1394" s="7"/>
      <c r="D1394" s="7"/>
      <c r="E1394" s="7">
        <v>613097</v>
      </c>
      <c r="F1394" s="7"/>
      <c r="G1394" s="7" t="s">
        <v>630</v>
      </c>
      <c r="H1394" s="7"/>
      <c r="I1394" s="27" t="s">
        <v>47</v>
      </c>
      <c r="J1394" s="7"/>
      <c r="K1394" s="27" t="s">
        <v>2208</v>
      </c>
      <c r="L1394" s="7"/>
    </row>
    <row r="1395" spans="1:12" x14ac:dyDescent="0.2">
      <c r="A1395" s="7"/>
      <c r="B1395" s="7"/>
      <c r="C1395" s="7"/>
      <c r="D1395" s="7"/>
      <c r="E1395" s="7">
        <v>613100</v>
      </c>
      <c r="F1395" s="7"/>
      <c r="G1395" s="7" t="s">
        <v>1265</v>
      </c>
      <c r="H1395" s="7"/>
      <c r="I1395" s="27" t="s">
        <v>616</v>
      </c>
      <c r="J1395" s="7"/>
      <c r="K1395" s="27" t="s">
        <v>2208</v>
      </c>
      <c r="L1395" s="7"/>
    </row>
    <row r="1396" spans="1:12" x14ac:dyDescent="0.2">
      <c r="A1396" s="7"/>
      <c r="B1396" s="7"/>
      <c r="C1396" s="7"/>
      <c r="D1396" s="7"/>
      <c r="E1396" s="7">
        <v>613101</v>
      </c>
      <c r="F1396" s="7"/>
      <c r="G1396" s="7" t="s">
        <v>1266</v>
      </c>
      <c r="H1396" s="7"/>
      <c r="I1396" s="27" t="s">
        <v>616</v>
      </c>
      <c r="J1396" s="7"/>
      <c r="K1396" s="27" t="s">
        <v>2208</v>
      </c>
      <c r="L1396" s="7"/>
    </row>
    <row r="1397" spans="1:12" x14ac:dyDescent="0.2">
      <c r="A1397" s="7"/>
      <c r="B1397" s="7"/>
      <c r="C1397" s="7"/>
      <c r="D1397" s="7"/>
      <c r="E1397" s="7">
        <v>613105</v>
      </c>
      <c r="F1397" s="7"/>
      <c r="G1397" s="7" t="s">
        <v>1267</v>
      </c>
      <c r="H1397" s="7"/>
      <c r="I1397" s="27" t="s">
        <v>47</v>
      </c>
      <c r="J1397" s="7"/>
      <c r="K1397" s="27" t="s">
        <v>2208</v>
      </c>
      <c r="L1397" s="7"/>
    </row>
    <row r="1398" spans="1:12" x14ac:dyDescent="0.2">
      <c r="A1398" s="7"/>
      <c r="B1398" s="7"/>
      <c r="C1398" s="7"/>
      <c r="D1398" s="7"/>
      <c r="E1398" s="7">
        <v>613110</v>
      </c>
      <c r="F1398" s="7"/>
      <c r="G1398" s="7" t="s">
        <v>1268</v>
      </c>
      <c r="H1398" s="7"/>
      <c r="I1398" s="27" t="s">
        <v>47</v>
      </c>
      <c r="J1398" s="7"/>
      <c r="K1398" s="27" t="s">
        <v>2208</v>
      </c>
      <c r="L1398" s="7"/>
    </row>
    <row r="1399" spans="1:12" x14ac:dyDescent="0.2">
      <c r="A1399" s="7"/>
      <c r="B1399" s="7"/>
      <c r="C1399" s="7"/>
      <c r="D1399" s="7"/>
      <c r="E1399" s="7">
        <v>613115</v>
      </c>
      <c r="F1399" s="7"/>
      <c r="G1399" s="7" t="s">
        <v>1269</v>
      </c>
      <c r="H1399" s="7"/>
      <c r="I1399" s="27" t="s">
        <v>47</v>
      </c>
      <c r="J1399" s="7"/>
      <c r="K1399" s="27" t="s">
        <v>2208</v>
      </c>
      <c r="L1399" s="7"/>
    </row>
    <row r="1400" spans="1:12" x14ac:dyDescent="0.2">
      <c r="A1400" s="7"/>
      <c r="B1400" s="7"/>
      <c r="C1400" s="7"/>
      <c r="D1400" s="7"/>
      <c r="E1400" s="7">
        <v>613116</v>
      </c>
      <c r="F1400" s="7"/>
      <c r="G1400" s="7" t="s">
        <v>1270</v>
      </c>
      <c r="H1400" s="7"/>
      <c r="I1400" s="27" t="s">
        <v>133</v>
      </c>
      <c r="J1400" s="7"/>
      <c r="K1400" s="27" t="s">
        <v>2208</v>
      </c>
      <c r="L1400" s="7"/>
    </row>
    <row r="1401" spans="1:12" x14ac:dyDescent="0.2">
      <c r="A1401" s="7"/>
      <c r="B1401" s="7"/>
      <c r="C1401" s="7"/>
      <c r="D1401" s="7"/>
      <c r="E1401" s="7">
        <v>613120</v>
      </c>
      <c r="F1401" s="7"/>
      <c r="G1401" s="7" t="s">
        <v>1271</v>
      </c>
      <c r="H1401" s="7"/>
      <c r="I1401" s="27" t="s">
        <v>133</v>
      </c>
      <c r="J1401" s="7"/>
      <c r="K1401" s="27" t="s">
        <v>2208</v>
      </c>
      <c r="L1401" s="7"/>
    </row>
    <row r="1402" spans="1:12" x14ac:dyDescent="0.2">
      <c r="A1402" s="7"/>
      <c r="B1402" s="7"/>
      <c r="C1402" s="7"/>
      <c r="D1402" s="7"/>
      <c r="E1402" s="7">
        <v>613121</v>
      </c>
      <c r="F1402" s="7"/>
      <c r="G1402" s="7" t="s">
        <v>1272</v>
      </c>
      <c r="H1402" s="7"/>
      <c r="I1402" s="27" t="s">
        <v>133</v>
      </c>
      <c r="J1402" s="7"/>
      <c r="K1402" s="27" t="s">
        <v>2208</v>
      </c>
      <c r="L1402" s="7"/>
    </row>
    <row r="1403" spans="1:12" x14ac:dyDescent="0.2">
      <c r="A1403" s="7"/>
      <c r="B1403" s="7"/>
      <c r="C1403" s="7"/>
      <c r="D1403" s="7"/>
      <c r="E1403" s="7">
        <v>613122</v>
      </c>
      <c r="F1403" s="7"/>
      <c r="G1403" s="7" t="s">
        <v>1273</v>
      </c>
      <c r="H1403" s="7"/>
      <c r="I1403" s="27" t="s">
        <v>133</v>
      </c>
      <c r="J1403" s="7"/>
      <c r="K1403" s="27" t="s">
        <v>2208</v>
      </c>
      <c r="L1403" s="7"/>
    </row>
    <row r="1404" spans="1:12" x14ac:dyDescent="0.2">
      <c r="A1404" s="7"/>
      <c r="B1404" s="7"/>
      <c r="C1404" s="7"/>
      <c r="D1404" s="7"/>
      <c r="E1404" s="7">
        <v>613125</v>
      </c>
      <c r="F1404" s="7"/>
      <c r="G1404" s="7" t="s">
        <v>1274</v>
      </c>
      <c r="H1404" s="7"/>
      <c r="I1404" s="27" t="s">
        <v>133</v>
      </c>
      <c r="J1404" s="7"/>
      <c r="K1404" s="27" t="s">
        <v>2208</v>
      </c>
      <c r="L1404" s="7"/>
    </row>
    <row r="1405" spans="1:12" x14ac:dyDescent="0.2">
      <c r="A1405" s="7"/>
      <c r="B1405" s="7"/>
      <c r="C1405" s="7"/>
      <c r="D1405" s="7"/>
      <c r="E1405" s="7">
        <v>613130</v>
      </c>
      <c r="F1405" s="7"/>
      <c r="G1405" s="7" t="s">
        <v>1275</v>
      </c>
      <c r="H1405" s="7"/>
      <c r="I1405" s="27" t="s">
        <v>133</v>
      </c>
      <c r="J1405" s="7"/>
      <c r="K1405" s="27" t="s">
        <v>2208</v>
      </c>
      <c r="L1405" s="7"/>
    </row>
    <row r="1406" spans="1:12" x14ac:dyDescent="0.2">
      <c r="A1406" s="7"/>
      <c r="B1406" s="7"/>
      <c r="C1406" s="7"/>
      <c r="D1406" s="7"/>
      <c r="E1406" s="7">
        <v>613135</v>
      </c>
      <c r="F1406" s="7"/>
      <c r="G1406" s="7" t="s">
        <v>1276</v>
      </c>
      <c r="H1406" s="7"/>
      <c r="I1406" s="27" t="s">
        <v>133</v>
      </c>
      <c r="J1406" s="7"/>
      <c r="K1406" s="27" t="s">
        <v>2208</v>
      </c>
      <c r="L1406" s="7"/>
    </row>
    <row r="1407" spans="1:12" x14ac:dyDescent="0.2">
      <c r="A1407" s="7"/>
      <c r="B1407" s="7"/>
      <c r="C1407" s="7"/>
      <c r="D1407" s="7"/>
      <c r="E1407" s="7">
        <v>613136</v>
      </c>
      <c r="F1407" s="7"/>
      <c r="G1407" s="7" t="s">
        <v>1277</v>
      </c>
      <c r="H1407" s="7"/>
      <c r="I1407" s="27" t="s">
        <v>133</v>
      </c>
      <c r="J1407" s="7"/>
      <c r="K1407" s="27" t="s">
        <v>2208</v>
      </c>
      <c r="L1407" s="7"/>
    </row>
    <row r="1408" spans="1:12" x14ac:dyDescent="0.2">
      <c r="A1408" s="7"/>
      <c r="B1408" s="7"/>
      <c r="C1408" s="7"/>
      <c r="D1408" s="7"/>
      <c r="E1408" s="7">
        <v>613137</v>
      </c>
      <c r="F1408" s="7"/>
      <c r="G1408" s="7" t="s">
        <v>1278</v>
      </c>
      <c r="H1408" s="7"/>
      <c r="I1408" s="27" t="s">
        <v>133</v>
      </c>
      <c r="J1408" s="7"/>
      <c r="K1408" s="27" t="s">
        <v>2208</v>
      </c>
      <c r="L1408" s="7"/>
    </row>
    <row r="1409" spans="1:12" x14ac:dyDescent="0.2">
      <c r="A1409" s="7"/>
      <c r="B1409" s="7"/>
      <c r="C1409" s="7"/>
      <c r="D1409" s="7"/>
      <c r="E1409" s="7">
        <v>613138</v>
      </c>
      <c r="F1409" s="7"/>
      <c r="G1409" s="7" t="s">
        <v>1279</v>
      </c>
      <c r="H1409" s="7"/>
      <c r="I1409" s="27" t="s">
        <v>133</v>
      </c>
      <c r="J1409" s="7"/>
      <c r="K1409" s="27" t="s">
        <v>2208</v>
      </c>
      <c r="L1409" s="7"/>
    </row>
    <row r="1410" spans="1:12" x14ac:dyDescent="0.2">
      <c r="A1410" s="7"/>
      <c r="B1410" s="7"/>
      <c r="C1410" s="7"/>
      <c r="D1410" s="7"/>
      <c r="E1410" s="7">
        <v>613140</v>
      </c>
      <c r="F1410" s="7"/>
      <c r="G1410" s="7" t="s">
        <v>1280</v>
      </c>
      <c r="H1410" s="7"/>
      <c r="I1410" s="27" t="s">
        <v>133</v>
      </c>
      <c r="J1410" s="7"/>
      <c r="K1410" s="27" t="s">
        <v>2208</v>
      </c>
      <c r="L1410" s="7"/>
    </row>
    <row r="1411" spans="1:12" x14ac:dyDescent="0.2">
      <c r="A1411" s="7"/>
      <c r="B1411" s="7"/>
      <c r="C1411" s="7"/>
      <c r="D1411" s="7"/>
      <c r="E1411" s="7">
        <v>613141</v>
      </c>
      <c r="F1411" s="7"/>
      <c r="G1411" s="7" t="s">
        <v>1281</v>
      </c>
      <c r="H1411" s="7"/>
      <c r="I1411" s="27" t="s">
        <v>133</v>
      </c>
      <c r="J1411" s="7"/>
      <c r="K1411" s="27" t="s">
        <v>2208</v>
      </c>
      <c r="L1411" s="7"/>
    </row>
    <row r="1412" spans="1:12" x14ac:dyDescent="0.2">
      <c r="A1412" s="7"/>
      <c r="B1412" s="7"/>
      <c r="C1412" s="7"/>
      <c r="D1412" s="7"/>
      <c r="E1412" s="7">
        <v>613142</v>
      </c>
      <c r="F1412" s="7"/>
      <c r="G1412" s="7" t="s">
        <v>1282</v>
      </c>
      <c r="H1412" s="7"/>
      <c r="I1412" s="27" t="s">
        <v>133</v>
      </c>
      <c r="J1412" s="7"/>
      <c r="K1412" s="27" t="s">
        <v>2208</v>
      </c>
      <c r="L1412" s="7"/>
    </row>
    <row r="1413" spans="1:12" x14ac:dyDescent="0.2">
      <c r="A1413" s="7"/>
      <c r="B1413" s="7"/>
      <c r="C1413" s="7"/>
      <c r="D1413" s="7"/>
      <c r="E1413" s="7">
        <v>613145</v>
      </c>
      <c r="F1413" s="7"/>
      <c r="G1413" s="7" t="s">
        <v>1283</v>
      </c>
      <c r="H1413" s="7"/>
      <c r="I1413" s="27" t="s">
        <v>133</v>
      </c>
      <c r="J1413" s="7"/>
      <c r="K1413" s="27" t="s">
        <v>2208</v>
      </c>
      <c r="L1413" s="7"/>
    </row>
    <row r="1414" spans="1:12" x14ac:dyDescent="0.2">
      <c r="A1414" s="7"/>
      <c r="B1414" s="7"/>
      <c r="C1414" s="7"/>
      <c r="D1414" s="7"/>
      <c r="E1414" s="7">
        <v>613150</v>
      </c>
      <c r="F1414" s="7"/>
      <c r="G1414" s="7" t="s">
        <v>1284</v>
      </c>
      <c r="H1414" s="7"/>
      <c r="I1414" s="27" t="s">
        <v>133</v>
      </c>
      <c r="J1414" s="7"/>
      <c r="K1414" s="27" t="s">
        <v>2208</v>
      </c>
      <c r="L1414" s="7"/>
    </row>
    <row r="1415" spans="1:12" x14ac:dyDescent="0.2">
      <c r="A1415" s="7"/>
      <c r="B1415" s="7"/>
      <c r="C1415" s="7"/>
      <c r="D1415" s="7"/>
      <c r="E1415" s="7">
        <v>613155</v>
      </c>
      <c r="F1415" s="7"/>
      <c r="G1415" s="7" t="s">
        <v>1285</v>
      </c>
      <c r="H1415" s="7"/>
      <c r="I1415" s="27" t="s">
        <v>133</v>
      </c>
      <c r="J1415" s="7"/>
      <c r="K1415" s="27" t="s">
        <v>2208</v>
      </c>
      <c r="L1415" s="7"/>
    </row>
    <row r="1416" spans="1:12" x14ac:dyDescent="0.2">
      <c r="A1416" s="7"/>
      <c r="B1416" s="7"/>
      <c r="C1416" s="7"/>
      <c r="D1416" s="7"/>
      <c r="E1416" s="7">
        <v>613156</v>
      </c>
      <c r="F1416" s="7"/>
      <c r="G1416" s="7" t="s">
        <v>1286</v>
      </c>
      <c r="H1416" s="7"/>
      <c r="I1416" s="27" t="s">
        <v>133</v>
      </c>
      <c r="J1416" s="7"/>
      <c r="K1416" s="27" t="s">
        <v>2208</v>
      </c>
      <c r="L1416" s="7"/>
    </row>
    <row r="1417" spans="1:12" x14ac:dyDescent="0.2">
      <c r="A1417" s="7"/>
      <c r="B1417" s="7"/>
      <c r="C1417" s="7"/>
      <c r="D1417" s="7"/>
      <c r="E1417" s="7">
        <v>613160</v>
      </c>
      <c r="F1417" s="7"/>
      <c r="G1417" s="7" t="s">
        <v>1287</v>
      </c>
      <c r="H1417" s="7"/>
      <c r="I1417" s="27" t="s">
        <v>133</v>
      </c>
      <c r="J1417" s="7"/>
      <c r="K1417" s="27" t="s">
        <v>2208</v>
      </c>
      <c r="L1417" s="7"/>
    </row>
    <row r="1418" spans="1:12" x14ac:dyDescent="0.2">
      <c r="A1418" s="7"/>
      <c r="B1418" s="7"/>
      <c r="C1418" s="7"/>
      <c r="D1418" s="7"/>
      <c r="E1418" s="7">
        <v>613165</v>
      </c>
      <c r="F1418" s="7"/>
      <c r="G1418" s="7" t="s">
        <v>1288</v>
      </c>
      <c r="H1418" s="7"/>
      <c r="I1418" s="27" t="s">
        <v>133</v>
      </c>
      <c r="J1418" s="7"/>
      <c r="K1418" s="27" t="s">
        <v>2208</v>
      </c>
      <c r="L1418" s="7"/>
    </row>
    <row r="1419" spans="1:12" x14ac:dyDescent="0.2">
      <c r="A1419" s="7"/>
      <c r="B1419" s="7"/>
      <c r="C1419" s="7"/>
      <c r="D1419" s="7"/>
      <c r="E1419" s="7">
        <v>613166</v>
      </c>
      <c r="F1419" s="7"/>
      <c r="G1419" s="7" t="s">
        <v>1289</v>
      </c>
      <c r="H1419" s="7"/>
      <c r="I1419" s="27" t="s">
        <v>133</v>
      </c>
      <c r="J1419" s="7"/>
      <c r="K1419" s="27" t="s">
        <v>2208</v>
      </c>
      <c r="L1419" s="7"/>
    </row>
    <row r="1420" spans="1:12" x14ac:dyDescent="0.2">
      <c r="A1420" s="7"/>
      <c r="B1420" s="7"/>
      <c r="C1420" s="7"/>
      <c r="D1420" s="7"/>
      <c r="E1420" s="7">
        <v>613167</v>
      </c>
      <c r="F1420" s="7"/>
      <c r="G1420" s="7" t="s">
        <v>1290</v>
      </c>
      <c r="H1420" s="7"/>
      <c r="I1420" s="27" t="s">
        <v>133</v>
      </c>
      <c r="J1420" s="7"/>
      <c r="K1420" s="27" t="s">
        <v>2208</v>
      </c>
      <c r="L1420" s="7"/>
    </row>
    <row r="1421" spans="1:12" x14ac:dyDescent="0.2">
      <c r="A1421" s="7"/>
      <c r="B1421" s="7"/>
      <c r="C1421" s="7"/>
      <c r="D1421" s="7"/>
      <c r="E1421" s="7">
        <v>613170</v>
      </c>
      <c r="F1421" s="7"/>
      <c r="G1421" s="7" t="s">
        <v>1291</v>
      </c>
      <c r="H1421" s="7"/>
      <c r="I1421" s="27" t="s">
        <v>133</v>
      </c>
      <c r="J1421" s="7"/>
      <c r="K1421" s="27" t="s">
        <v>2208</v>
      </c>
      <c r="L1421" s="7"/>
    </row>
    <row r="1422" spans="1:12" x14ac:dyDescent="0.2">
      <c r="A1422" s="7"/>
      <c r="B1422" s="7"/>
      <c r="C1422" s="7"/>
      <c r="D1422" s="7"/>
      <c r="E1422" s="7">
        <v>613171</v>
      </c>
      <c r="F1422" s="7"/>
      <c r="G1422" s="7" t="s">
        <v>1292</v>
      </c>
      <c r="H1422" s="7"/>
      <c r="I1422" s="27" t="s">
        <v>47</v>
      </c>
      <c r="J1422" s="7"/>
      <c r="K1422" s="27" t="s">
        <v>2208</v>
      </c>
      <c r="L1422" s="7"/>
    </row>
    <row r="1423" spans="1:12" x14ac:dyDescent="0.2">
      <c r="A1423" s="7"/>
      <c r="B1423" s="7"/>
      <c r="C1423" s="7"/>
      <c r="D1423" s="7"/>
      <c r="E1423" s="7">
        <v>613172</v>
      </c>
      <c r="F1423" s="7"/>
      <c r="G1423" s="7" t="s">
        <v>1293</v>
      </c>
      <c r="H1423" s="7"/>
      <c r="I1423" s="27" t="s">
        <v>47</v>
      </c>
      <c r="J1423" s="7"/>
      <c r="K1423" s="27" t="s">
        <v>2208</v>
      </c>
      <c r="L1423" s="7"/>
    </row>
    <row r="1424" spans="1:12" x14ac:dyDescent="0.2">
      <c r="A1424" s="7"/>
      <c r="B1424" s="7"/>
      <c r="C1424" s="7"/>
      <c r="D1424" s="7"/>
      <c r="E1424" s="7">
        <v>613173</v>
      </c>
      <c r="F1424" s="7"/>
      <c r="G1424" s="7" t="s">
        <v>1294</v>
      </c>
      <c r="H1424" s="7"/>
      <c r="I1424" s="27" t="s">
        <v>47</v>
      </c>
      <c r="J1424" s="7"/>
      <c r="K1424" s="27" t="s">
        <v>2208</v>
      </c>
      <c r="L1424" s="7"/>
    </row>
    <row r="1425" spans="1:12" x14ac:dyDescent="0.2">
      <c r="A1425" s="7"/>
      <c r="B1425" s="7"/>
      <c r="C1425" s="7"/>
      <c r="D1425" s="7"/>
      <c r="E1425" s="7">
        <v>613174</v>
      </c>
      <c r="F1425" s="7"/>
      <c r="G1425" s="7" t="s">
        <v>1295</v>
      </c>
      <c r="H1425" s="7"/>
      <c r="I1425" s="27" t="s">
        <v>133</v>
      </c>
      <c r="J1425" s="7"/>
      <c r="K1425" s="27" t="s">
        <v>2208</v>
      </c>
      <c r="L1425" s="7"/>
    </row>
    <row r="1426" spans="1:12" x14ac:dyDescent="0.2">
      <c r="A1426" s="7"/>
      <c r="B1426" s="7"/>
      <c r="C1426" s="7"/>
      <c r="D1426" s="7"/>
      <c r="E1426" s="7">
        <v>613175</v>
      </c>
      <c r="F1426" s="7"/>
      <c r="G1426" s="7" t="s">
        <v>1296</v>
      </c>
      <c r="H1426" s="7"/>
      <c r="I1426" s="27" t="s">
        <v>47</v>
      </c>
      <c r="J1426" s="7"/>
      <c r="K1426" s="27" t="s">
        <v>2208</v>
      </c>
      <c r="L1426" s="7"/>
    </row>
    <row r="1427" spans="1:12" x14ac:dyDescent="0.2">
      <c r="A1427" s="7"/>
      <c r="B1427" s="7"/>
      <c r="C1427" s="7"/>
      <c r="D1427" s="7"/>
      <c r="E1427" s="7">
        <v>613176</v>
      </c>
      <c r="F1427" s="7"/>
      <c r="G1427" s="7" t="s">
        <v>1297</v>
      </c>
      <c r="H1427" s="7"/>
      <c r="I1427" s="27" t="s">
        <v>133</v>
      </c>
      <c r="J1427" s="7"/>
      <c r="K1427" s="27" t="s">
        <v>2208</v>
      </c>
      <c r="L1427" s="7"/>
    </row>
    <row r="1428" spans="1:12" x14ac:dyDescent="0.2">
      <c r="A1428" s="7"/>
      <c r="B1428" s="7"/>
      <c r="C1428" s="7"/>
      <c r="D1428" s="7"/>
      <c r="E1428" s="7">
        <v>613177</v>
      </c>
      <c r="F1428" s="7"/>
      <c r="G1428" s="7" t="s">
        <v>1298</v>
      </c>
      <c r="H1428" s="7"/>
      <c r="I1428" s="27" t="s">
        <v>133</v>
      </c>
      <c r="J1428" s="7"/>
      <c r="K1428" s="27" t="s">
        <v>2208</v>
      </c>
      <c r="L1428" s="7"/>
    </row>
    <row r="1429" spans="1:12" x14ac:dyDescent="0.2">
      <c r="A1429" s="7"/>
      <c r="B1429" s="7"/>
      <c r="C1429" s="7"/>
      <c r="D1429" s="7"/>
      <c r="E1429" s="7">
        <v>613180</v>
      </c>
      <c r="F1429" s="7"/>
      <c r="G1429" s="7" t="s">
        <v>1299</v>
      </c>
      <c r="H1429" s="7"/>
      <c r="I1429" s="27" t="s">
        <v>47</v>
      </c>
      <c r="J1429" s="7"/>
      <c r="K1429" s="27" t="s">
        <v>2208</v>
      </c>
      <c r="L1429" s="7"/>
    </row>
    <row r="1430" spans="1:12" x14ac:dyDescent="0.2">
      <c r="A1430" s="7"/>
      <c r="B1430" s="7"/>
      <c r="C1430" s="7"/>
      <c r="D1430" s="7"/>
      <c r="E1430" s="7">
        <v>613185</v>
      </c>
      <c r="F1430" s="7"/>
      <c r="G1430" s="7" t="s">
        <v>1300</v>
      </c>
      <c r="H1430" s="7"/>
      <c r="I1430" s="27" t="s">
        <v>133</v>
      </c>
      <c r="J1430" s="7"/>
      <c r="K1430" s="27" t="s">
        <v>2208</v>
      </c>
      <c r="L1430" s="7"/>
    </row>
    <row r="1431" spans="1:12" x14ac:dyDescent="0.2">
      <c r="A1431" s="7"/>
      <c r="B1431" s="7"/>
      <c r="C1431" s="7"/>
      <c r="D1431" s="7"/>
      <c r="E1431" s="7">
        <v>613190</v>
      </c>
      <c r="F1431" s="7"/>
      <c r="G1431" s="7" t="s">
        <v>1301</v>
      </c>
      <c r="H1431" s="7"/>
      <c r="I1431" s="27" t="s">
        <v>133</v>
      </c>
      <c r="J1431" s="7"/>
      <c r="K1431" s="27" t="s">
        <v>2208</v>
      </c>
      <c r="L1431" s="7"/>
    </row>
    <row r="1432" spans="1:12" x14ac:dyDescent="0.2">
      <c r="A1432" s="7"/>
      <c r="B1432" s="7"/>
      <c r="C1432" s="7"/>
      <c r="D1432" s="7"/>
      <c r="E1432" s="7">
        <v>613195</v>
      </c>
      <c r="F1432" s="7"/>
      <c r="G1432" s="7" t="s">
        <v>1302</v>
      </c>
      <c r="H1432" s="7"/>
      <c r="I1432" s="27" t="s">
        <v>133</v>
      </c>
      <c r="J1432" s="7"/>
      <c r="K1432" s="27" t="s">
        <v>2208</v>
      </c>
      <c r="L1432" s="7"/>
    </row>
    <row r="1433" spans="1:12" x14ac:dyDescent="0.2">
      <c r="A1433" s="7"/>
      <c r="B1433" s="7"/>
      <c r="C1433" s="7"/>
      <c r="D1433" s="7"/>
      <c r="E1433" s="7">
        <v>613200</v>
      </c>
      <c r="F1433" s="7"/>
      <c r="G1433" s="7" t="s">
        <v>1303</v>
      </c>
      <c r="H1433" s="7"/>
      <c r="I1433" s="27" t="s">
        <v>47</v>
      </c>
      <c r="J1433" s="7"/>
      <c r="K1433" s="27" t="s">
        <v>2208</v>
      </c>
      <c r="L1433" s="7"/>
    </row>
    <row r="1434" spans="1:12" x14ac:dyDescent="0.2">
      <c r="A1434" s="7"/>
      <c r="B1434" s="7"/>
      <c r="C1434" s="7"/>
      <c r="D1434" s="7"/>
      <c r="E1434" s="7">
        <v>613201</v>
      </c>
      <c r="F1434" s="7"/>
      <c r="G1434" s="7" t="s">
        <v>1304</v>
      </c>
      <c r="H1434" s="7"/>
      <c r="I1434" s="27" t="s">
        <v>553</v>
      </c>
      <c r="J1434" s="7"/>
      <c r="K1434" s="27" t="s">
        <v>2208</v>
      </c>
      <c r="L1434" s="7"/>
    </row>
    <row r="1435" spans="1:12" x14ac:dyDescent="0.2">
      <c r="A1435" s="7"/>
      <c r="B1435" s="7"/>
      <c r="C1435" s="7"/>
      <c r="D1435" s="7"/>
      <c r="E1435" s="7">
        <v>613202</v>
      </c>
      <c r="F1435" s="7"/>
      <c r="G1435" s="7" t="s">
        <v>1305</v>
      </c>
      <c r="H1435" s="7"/>
      <c r="I1435" s="27" t="s">
        <v>553</v>
      </c>
      <c r="J1435" s="7"/>
      <c r="K1435" s="27" t="s">
        <v>2208</v>
      </c>
      <c r="L1435" s="7"/>
    </row>
    <row r="1436" spans="1:12" x14ac:dyDescent="0.2">
      <c r="A1436" s="7"/>
      <c r="B1436" s="7"/>
      <c r="C1436" s="7"/>
      <c r="D1436" s="7"/>
      <c r="E1436" s="7">
        <v>613203</v>
      </c>
      <c r="F1436" s="7"/>
      <c r="G1436" s="7" t="s">
        <v>1306</v>
      </c>
      <c r="H1436" s="7"/>
      <c r="I1436" s="27" t="s">
        <v>47</v>
      </c>
      <c r="J1436" s="7"/>
      <c r="K1436" s="27" t="s">
        <v>2208</v>
      </c>
      <c r="L1436" s="7"/>
    </row>
    <row r="1437" spans="1:12" x14ac:dyDescent="0.2">
      <c r="A1437" s="7"/>
      <c r="B1437" s="7"/>
      <c r="C1437" s="7"/>
      <c r="D1437" s="7"/>
      <c r="E1437" s="7">
        <v>613204</v>
      </c>
      <c r="F1437" s="7"/>
      <c r="G1437" s="7" t="s">
        <v>1307</v>
      </c>
      <c r="H1437" s="7"/>
      <c r="I1437" s="27" t="s">
        <v>133</v>
      </c>
      <c r="J1437" s="7"/>
      <c r="K1437" s="27" t="s">
        <v>2208</v>
      </c>
      <c r="L1437" s="7"/>
    </row>
    <row r="1438" spans="1:12" x14ac:dyDescent="0.2">
      <c r="A1438" s="7"/>
      <c r="B1438" s="7"/>
      <c r="C1438" s="7"/>
      <c r="D1438" s="7"/>
      <c r="E1438" s="7">
        <v>613205</v>
      </c>
      <c r="F1438" s="7"/>
      <c r="G1438" s="7" t="s">
        <v>1308</v>
      </c>
      <c r="H1438" s="7"/>
      <c r="I1438" s="27" t="s">
        <v>133</v>
      </c>
      <c r="J1438" s="7"/>
      <c r="K1438" s="27" t="s">
        <v>2208</v>
      </c>
      <c r="L1438" s="7"/>
    </row>
    <row r="1439" spans="1:12" x14ac:dyDescent="0.2">
      <c r="A1439" s="7"/>
      <c r="B1439" s="7"/>
      <c r="C1439" s="7"/>
      <c r="D1439" s="7"/>
      <c r="E1439" s="7">
        <v>613210</v>
      </c>
      <c r="F1439" s="7"/>
      <c r="G1439" s="7" t="s">
        <v>1309</v>
      </c>
      <c r="H1439" s="7"/>
      <c r="I1439" s="27" t="s">
        <v>553</v>
      </c>
      <c r="J1439" s="7"/>
      <c r="K1439" s="27" t="s">
        <v>2208</v>
      </c>
      <c r="L1439" s="7"/>
    </row>
    <row r="1440" spans="1:12" x14ac:dyDescent="0.2">
      <c r="A1440" s="7"/>
      <c r="B1440" s="7"/>
      <c r="C1440" s="7"/>
      <c r="D1440" s="7"/>
      <c r="E1440" s="7">
        <v>613211</v>
      </c>
      <c r="F1440" s="7"/>
      <c r="G1440" s="7" t="s">
        <v>1310</v>
      </c>
      <c r="H1440" s="7"/>
      <c r="I1440" s="27" t="s">
        <v>47</v>
      </c>
      <c r="J1440" s="7"/>
      <c r="K1440" s="27" t="s">
        <v>2208</v>
      </c>
      <c r="L1440" s="7"/>
    </row>
    <row r="1441" spans="1:12" x14ac:dyDescent="0.2">
      <c r="A1441" s="7"/>
      <c r="B1441" s="7"/>
      <c r="C1441" s="7"/>
      <c r="D1441" s="7"/>
      <c r="E1441" s="7">
        <v>613214</v>
      </c>
      <c r="F1441" s="7"/>
      <c r="G1441" s="7" t="s">
        <v>1311</v>
      </c>
      <c r="H1441" s="7"/>
      <c r="I1441" s="27" t="s">
        <v>71</v>
      </c>
      <c r="J1441" s="7"/>
      <c r="K1441" s="27" t="s">
        <v>2208</v>
      </c>
      <c r="L1441" s="7"/>
    </row>
    <row r="1442" spans="1:12" x14ac:dyDescent="0.2">
      <c r="A1442" s="7"/>
      <c r="B1442" s="7"/>
      <c r="C1442" s="7"/>
      <c r="D1442" s="7"/>
      <c r="E1442" s="7">
        <v>613215</v>
      </c>
      <c r="F1442" s="7"/>
      <c r="G1442" s="7" t="s">
        <v>1312</v>
      </c>
      <c r="H1442" s="7"/>
      <c r="I1442" s="27" t="s">
        <v>47</v>
      </c>
      <c r="J1442" s="7"/>
      <c r="K1442" s="27" t="s">
        <v>2208</v>
      </c>
      <c r="L1442" s="7"/>
    </row>
    <row r="1443" spans="1:12" x14ac:dyDescent="0.2">
      <c r="A1443" s="7"/>
      <c r="B1443" s="7"/>
      <c r="C1443" s="7"/>
      <c r="D1443" s="7"/>
      <c r="E1443" s="7">
        <v>613220</v>
      </c>
      <c r="F1443" s="7"/>
      <c r="G1443" s="7" t="s">
        <v>1313</v>
      </c>
      <c r="H1443" s="7"/>
      <c r="I1443" s="27" t="s">
        <v>133</v>
      </c>
      <c r="J1443" s="7"/>
      <c r="K1443" s="27" t="s">
        <v>2208</v>
      </c>
      <c r="L1443" s="7"/>
    </row>
    <row r="1444" spans="1:12" x14ac:dyDescent="0.2">
      <c r="A1444" s="7"/>
      <c r="B1444" s="7"/>
      <c r="C1444" s="7"/>
      <c r="D1444" s="7"/>
      <c r="E1444" s="7">
        <v>613225</v>
      </c>
      <c r="F1444" s="7"/>
      <c r="G1444" s="7" t="s">
        <v>212</v>
      </c>
      <c r="H1444" s="7"/>
      <c r="I1444" s="27" t="s">
        <v>47</v>
      </c>
      <c r="J1444" s="7"/>
      <c r="K1444" s="27" t="s">
        <v>2208</v>
      </c>
      <c r="L1444" s="7"/>
    </row>
    <row r="1445" spans="1:12" x14ac:dyDescent="0.2">
      <c r="A1445" s="7"/>
      <c r="B1445" s="7"/>
      <c r="C1445" s="7"/>
      <c r="D1445" s="7"/>
      <c r="E1445" s="7">
        <v>613235</v>
      </c>
      <c r="F1445" s="7"/>
      <c r="G1445" s="7" t="s">
        <v>1314</v>
      </c>
      <c r="H1445" s="7"/>
      <c r="I1445" s="27" t="s">
        <v>133</v>
      </c>
      <c r="J1445" s="7"/>
      <c r="K1445" s="27" t="s">
        <v>2208</v>
      </c>
      <c r="L1445" s="7"/>
    </row>
    <row r="1446" spans="1:12" x14ac:dyDescent="0.2">
      <c r="A1446" s="7"/>
      <c r="B1446" s="7"/>
      <c r="C1446" s="7"/>
      <c r="D1446" s="7"/>
      <c r="E1446" s="7">
        <v>613236</v>
      </c>
      <c r="F1446" s="7"/>
      <c r="G1446" s="7" t="s">
        <v>2420</v>
      </c>
      <c r="H1446" s="7"/>
      <c r="I1446" s="27" t="s">
        <v>133</v>
      </c>
      <c r="J1446" s="7"/>
      <c r="K1446" s="27" t="s">
        <v>2208</v>
      </c>
      <c r="L1446" s="7"/>
    </row>
    <row r="1447" spans="1:12" x14ac:dyDescent="0.2">
      <c r="A1447" s="7"/>
      <c r="B1447" s="7"/>
      <c r="C1447" s="7"/>
      <c r="D1447" s="7"/>
      <c r="E1447" s="7">
        <v>613237</v>
      </c>
      <c r="F1447" s="7"/>
      <c r="G1447" s="7" t="s">
        <v>2421</v>
      </c>
      <c r="H1447" s="7"/>
      <c r="I1447" s="27" t="s">
        <v>133</v>
      </c>
      <c r="J1447" s="7"/>
      <c r="K1447" s="27" t="s">
        <v>2208</v>
      </c>
      <c r="L1447" s="7"/>
    </row>
    <row r="1448" spans="1:12" x14ac:dyDescent="0.2">
      <c r="A1448" s="7"/>
      <c r="B1448" s="7"/>
      <c r="C1448" s="7"/>
      <c r="D1448" s="7"/>
      <c r="E1448" s="7">
        <v>613240</v>
      </c>
      <c r="F1448" s="7"/>
      <c r="G1448" s="7" t="s">
        <v>1315</v>
      </c>
      <c r="H1448" s="7"/>
      <c r="I1448" s="27" t="s">
        <v>133</v>
      </c>
      <c r="J1448" s="7"/>
      <c r="K1448" s="27" t="s">
        <v>2208</v>
      </c>
      <c r="L1448" s="7"/>
    </row>
    <row r="1449" spans="1:12" x14ac:dyDescent="0.2">
      <c r="A1449" s="7"/>
      <c r="B1449" s="7"/>
      <c r="C1449" s="7"/>
      <c r="D1449" s="7"/>
      <c r="E1449" s="7">
        <v>613241</v>
      </c>
      <c r="F1449" s="7"/>
      <c r="G1449" s="7" t="s">
        <v>1316</v>
      </c>
      <c r="H1449" s="7"/>
      <c r="I1449" s="27" t="s">
        <v>133</v>
      </c>
      <c r="J1449" s="7"/>
      <c r="K1449" s="27" t="s">
        <v>2208</v>
      </c>
      <c r="L1449" s="7"/>
    </row>
    <row r="1450" spans="1:12" x14ac:dyDescent="0.2">
      <c r="A1450" s="7"/>
      <c r="B1450" s="7"/>
      <c r="C1450" s="7"/>
      <c r="D1450" s="7"/>
      <c r="E1450" s="7">
        <v>613244</v>
      </c>
      <c r="F1450" s="7"/>
      <c r="G1450" s="7" t="s">
        <v>1317</v>
      </c>
      <c r="H1450" s="7"/>
      <c r="I1450" s="27" t="s">
        <v>133</v>
      </c>
      <c r="J1450" s="7"/>
      <c r="K1450" s="27" t="s">
        <v>2208</v>
      </c>
      <c r="L1450" s="7"/>
    </row>
    <row r="1451" spans="1:12" x14ac:dyDescent="0.2">
      <c r="A1451" s="7"/>
      <c r="B1451" s="7"/>
      <c r="C1451" s="7"/>
      <c r="D1451" s="7"/>
      <c r="E1451" s="7">
        <v>613245</v>
      </c>
      <c r="F1451" s="7"/>
      <c r="G1451" s="7" t="s">
        <v>1318</v>
      </c>
      <c r="H1451" s="7"/>
      <c r="I1451" s="27" t="s">
        <v>133</v>
      </c>
      <c r="J1451" s="7"/>
      <c r="K1451" s="27" t="s">
        <v>2208</v>
      </c>
      <c r="L1451" s="7"/>
    </row>
    <row r="1452" spans="1:12" x14ac:dyDescent="0.2">
      <c r="A1452" s="7"/>
      <c r="B1452" s="7"/>
      <c r="C1452" s="7"/>
      <c r="D1452" s="7"/>
      <c r="E1452" s="7">
        <v>613246</v>
      </c>
      <c r="F1452" s="7"/>
      <c r="G1452" s="7" t="s">
        <v>1319</v>
      </c>
      <c r="H1452" s="7"/>
      <c r="I1452" s="27" t="s">
        <v>133</v>
      </c>
      <c r="J1452" s="7"/>
      <c r="K1452" s="27" t="s">
        <v>2208</v>
      </c>
      <c r="L1452" s="7"/>
    </row>
    <row r="1453" spans="1:12" x14ac:dyDescent="0.2">
      <c r="A1453" s="7"/>
      <c r="B1453" s="7"/>
      <c r="C1453" s="7"/>
      <c r="D1453" s="7"/>
      <c r="E1453" s="7">
        <v>613247</v>
      </c>
      <c r="F1453" s="7"/>
      <c r="G1453" s="7" t="s">
        <v>1320</v>
      </c>
      <c r="H1453" s="7"/>
      <c r="I1453" s="27" t="s">
        <v>133</v>
      </c>
      <c r="J1453" s="7"/>
      <c r="K1453" s="27" t="s">
        <v>2208</v>
      </c>
      <c r="L1453" s="7"/>
    </row>
    <row r="1454" spans="1:12" x14ac:dyDescent="0.2">
      <c r="A1454" s="7"/>
      <c r="B1454" s="7"/>
      <c r="C1454" s="7"/>
      <c r="D1454" s="7"/>
      <c r="E1454" s="7">
        <v>613248</v>
      </c>
      <c r="F1454" s="7"/>
      <c r="G1454" s="7" t="s">
        <v>1321</v>
      </c>
      <c r="H1454" s="7"/>
      <c r="I1454" s="27" t="s">
        <v>133</v>
      </c>
      <c r="J1454" s="7"/>
      <c r="K1454" s="27" t="s">
        <v>2208</v>
      </c>
      <c r="L1454" s="7"/>
    </row>
    <row r="1455" spans="1:12" x14ac:dyDescent="0.2">
      <c r="A1455" s="7"/>
      <c r="B1455" s="7"/>
      <c r="C1455" s="7"/>
      <c r="D1455" s="7"/>
      <c r="E1455" s="7">
        <v>613249</v>
      </c>
      <c r="F1455" s="7"/>
      <c r="G1455" s="7" t="s">
        <v>1322</v>
      </c>
      <c r="H1455" s="7"/>
      <c r="I1455" s="27" t="s">
        <v>133</v>
      </c>
      <c r="J1455" s="7"/>
      <c r="K1455" s="27" t="s">
        <v>2208</v>
      </c>
      <c r="L1455" s="7"/>
    </row>
    <row r="1456" spans="1:12" x14ac:dyDescent="0.2">
      <c r="A1456" s="7"/>
      <c r="B1456" s="7"/>
      <c r="C1456" s="7"/>
      <c r="D1456" s="7"/>
      <c r="E1456" s="7">
        <v>613250</v>
      </c>
      <c r="F1456" s="7"/>
      <c r="G1456" s="7" t="s">
        <v>1323</v>
      </c>
      <c r="H1456" s="7"/>
      <c r="I1456" s="27" t="s">
        <v>133</v>
      </c>
      <c r="J1456" s="7"/>
      <c r="K1456" s="27" t="s">
        <v>2208</v>
      </c>
      <c r="L1456" s="7"/>
    </row>
    <row r="1457" spans="1:12" x14ac:dyDescent="0.2">
      <c r="A1457" s="7"/>
      <c r="B1457" s="7"/>
      <c r="C1457" s="7"/>
      <c r="D1457" s="7"/>
      <c r="E1457" s="7">
        <v>613251</v>
      </c>
      <c r="F1457" s="7"/>
      <c r="G1457" s="7" t="s">
        <v>1324</v>
      </c>
      <c r="H1457" s="7"/>
      <c r="I1457" s="27" t="s">
        <v>133</v>
      </c>
      <c r="J1457" s="7"/>
      <c r="K1457" s="27" t="s">
        <v>2208</v>
      </c>
      <c r="L1457" s="7"/>
    </row>
    <row r="1458" spans="1:12" x14ac:dyDescent="0.2">
      <c r="A1458" s="7"/>
      <c r="B1458" s="7"/>
      <c r="C1458" s="7"/>
      <c r="D1458" s="7"/>
      <c r="E1458" s="7">
        <v>613254</v>
      </c>
      <c r="F1458" s="7"/>
      <c r="G1458" s="7" t="s">
        <v>1325</v>
      </c>
      <c r="H1458" s="7"/>
      <c r="I1458" s="27" t="s">
        <v>133</v>
      </c>
      <c r="J1458" s="7"/>
      <c r="K1458" s="27" t="s">
        <v>2208</v>
      </c>
      <c r="L1458" s="7"/>
    </row>
    <row r="1459" spans="1:12" x14ac:dyDescent="0.2">
      <c r="A1459" s="7"/>
      <c r="B1459" s="7"/>
      <c r="C1459" s="7"/>
      <c r="D1459" s="7"/>
      <c r="E1459" s="7">
        <v>613255</v>
      </c>
      <c r="F1459" s="7"/>
      <c r="G1459" s="7" t="s">
        <v>1326</v>
      </c>
      <c r="H1459" s="7"/>
      <c r="I1459" s="27" t="s">
        <v>133</v>
      </c>
      <c r="J1459" s="7"/>
      <c r="K1459" s="27" t="s">
        <v>2208</v>
      </c>
      <c r="L1459" s="7"/>
    </row>
    <row r="1460" spans="1:12" x14ac:dyDescent="0.2">
      <c r="A1460" s="7"/>
      <c r="B1460" s="7"/>
      <c r="C1460" s="7"/>
      <c r="D1460" s="7"/>
      <c r="E1460" s="7">
        <v>613256</v>
      </c>
      <c r="F1460" s="7"/>
      <c r="G1460" s="7" t="s">
        <v>1327</v>
      </c>
      <c r="H1460" s="7"/>
      <c r="I1460" s="27" t="s">
        <v>133</v>
      </c>
      <c r="J1460" s="7"/>
      <c r="K1460" s="27" t="s">
        <v>2208</v>
      </c>
      <c r="L1460" s="7"/>
    </row>
    <row r="1461" spans="1:12" x14ac:dyDescent="0.2">
      <c r="A1461" s="7"/>
      <c r="B1461" s="7"/>
      <c r="C1461" s="7"/>
      <c r="D1461" s="7"/>
      <c r="E1461" s="7">
        <v>613258</v>
      </c>
      <c r="F1461" s="7"/>
      <c r="G1461" s="7" t="s">
        <v>1328</v>
      </c>
      <c r="H1461" s="7"/>
      <c r="I1461" s="27" t="s">
        <v>133</v>
      </c>
      <c r="J1461" s="7"/>
      <c r="K1461" s="27" t="s">
        <v>2208</v>
      </c>
      <c r="L1461" s="7"/>
    </row>
    <row r="1462" spans="1:12" x14ac:dyDescent="0.2">
      <c r="A1462" s="7"/>
      <c r="B1462" s="7"/>
      <c r="C1462" s="7"/>
      <c r="D1462" s="7"/>
      <c r="E1462" s="7">
        <v>613259</v>
      </c>
      <c r="F1462" s="7"/>
      <c r="G1462" s="7" t="s">
        <v>1329</v>
      </c>
      <c r="H1462" s="7"/>
      <c r="I1462" s="27" t="s">
        <v>133</v>
      </c>
      <c r="J1462" s="7"/>
      <c r="K1462" s="27" t="s">
        <v>2208</v>
      </c>
      <c r="L1462" s="7"/>
    </row>
    <row r="1463" spans="1:12" x14ac:dyDescent="0.2">
      <c r="A1463" s="7"/>
      <c r="B1463" s="7"/>
      <c r="C1463" s="7"/>
      <c r="D1463" s="7"/>
      <c r="E1463" s="7">
        <v>613260</v>
      </c>
      <c r="F1463" s="7"/>
      <c r="G1463" s="7" t="s">
        <v>1330</v>
      </c>
      <c r="H1463" s="7"/>
      <c r="I1463" s="27" t="s">
        <v>133</v>
      </c>
      <c r="J1463" s="7"/>
      <c r="K1463" s="27" t="s">
        <v>2208</v>
      </c>
      <c r="L1463" s="7"/>
    </row>
    <row r="1464" spans="1:12" x14ac:dyDescent="0.2">
      <c r="A1464" s="7"/>
      <c r="B1464" s="7"/>
      <c r="C1464" s="7"/>
      <c r="D1464" s="7"/>
      <c r="E1464" s="7">
        <v>613261</v>
      </c>
      <c r="F1464" s="7"/>
      <c r="G1464" s="7" t="s">
        <v>1331</v>
      </c>
      <c r="H1464" s="7"/>
      <c r="I1464" s="27" t="s">
        <v>133</v>
      </c>
      <c r="J1464" s="7"/>
      <c r="K1464" s="27" t="s">
        <v>2208</v>
      </c>
      <c r="L1464" s="7"/>
    </row>
    <row r="1465" spans="1:12" x14ac:dyDescent="0.2">
      <c r="A1465" s="7"/>
      <c r="B1465" s="7"/>
      <c r="C1465" s="7"/>
      <c r="D1465" s="7"/>
      <c r="E1465" s="7">
        <v>613264</v>
      </c>
      <c r="F1465" s="7"/>
      <c r="G1465" s="7" t="s">
        <v>1332</v>
      </c>
      <c r="H1465" s="7"/>
      <c r="I1465" s="27" t="s">
        <v>133</v>
      </c>
      <c r="J1465" s="7"/>
      <c r="K1465" s="27" t="s">
        <v>2208</v>
      </c>
      <c r="L1465" s="7"/>
    </row>
    <row r="1466" spans="1:12" x14ac:dyDescent="0.2">
      <c r="A1466" s="7"/>
      <c r="B1466" s="7"/>
      <c r="C1466" s="7"/>
      <c r="D1466" s="7"/>
      <c r="E1466" s="7">
        <v>613265</v>
      </c>
      <c r="F1466" s="7"/>
      <c r="G1466" s="7" t="s">
        <v>1333</v>
      </c>
      <c r="H1466" s="7"/>
      <c r="I1466" s="27" t="s">
        <v>133</v>
      </c>
      <c r="J1466" s="7"/>
      <c r="K1466" s="27" t="s">
        <v>2208</v>
      </c>
      <c r="L1466" s="7"/>
    </row>
    <row r="1467" spans="1:12" x14ac:dyDescent="0.2">
      <c r="A1467" s="7"/>
      <c r="B1467" s="7"/>
      <c r="C1467" s="7"/>
      <c r="D1467" s="7"/>
      <c r="E1467" s="7">
        <v>613266</v>
      </c>
      <c r="F1467" s="7"/>
      <c r="G1467" s="7" t="s">
        <v>1334</v>
      </c>
      <c r="H1467" s="7"/>
      <c r="I1467" s="27" t="s">
        <v>133</v>
      </c>
      <c r="J1467" s="7"/>
      <c r="K1467" s="27" t="s">
        <v>2208</v>
      </c>
      <c r="L1467" s="7"/>
    </row>
    <row r="1468" spans="1:12" x14ac:dyDescent="0.2">
      <c r="A1468" s="7"/>
      <c r="B1468" s="7"/>
      <c r="C1468" s="7"/>
      <c r="D1468" s="7"/>
      <c r="E1468" s="7">
        <v>613268</v>
      </c>
      <c r="F1468" s="7"/>
      <c r="G1468" s="7" t="s">
        <v>1335</v>
      </c>
      <c r="H1468" s="7"/>
      <c r="I1468" s="27" t="s">
        <v>133</v>
      </c>
      <c r="J1468" s="7"/>
      <c r="K1468" s="27" t="s">
        <v>2208</v>
      </c>
      <c r="L1468" s="7"/>
    </row>
    <row r="1469" spans="1:12" x14ac:dyDescent="0.2">
      <c r="A1469" s="7"/>
      <c r="B1469" s="7"/>
      <c r="C1469" s="7"/>
      <c r="D1469" s="7"/>
      <c r="E1469" s="7">
        <v>613269</v>
      </c>
      <c r="F1469" s="7"/>
      <c r="G1469" s="7" t="s">
        <v>1336</v>
      </c>
      <c r="H1469" s="7"/>
      <c r="I1469" s="27" t="s">
        <v>133</v>
      </c>
      <c r="J1469" s="7"/>
      <c r="K1469" s="27" t="s">
        <v>2208</v>
      </c>
      <c r="L1469" s="7"/>
    </row>
    <row r="1470" spans="1:12" x14ac:dyDescent="0.2">
      <c r="A1470" s="7"/>
      <c r="B1470" s="7"/>
      <c r="C1470" s="7"/>
      <c r="D1470" s="7"/>
      <c r="E1470" s="7">
        <v>613270</v>
      </c>
      <c r="F1470" s="7"/>
      <c r="G1470" s="7" t="s">
        <v>1337</v>
      </c>
      <c r="H1470" s="7"/>
      <c r="I1470" s="27" t="s">
        <v>133</v>
      </c>
      <c r="J1470" s="7"/>
      <c r="K1470" s="27" t="s">
        <v>2208</v>
      </c>
      <c r="L1470" s="7"/>
    </row>
    <row r="1471" spans="1:12" x14ac:dyDescent="0.2">
      <c r="A1471" s="7"/>
      <c r="B1471" s="7"/>
      <c r="C1471" s="7"/>
      <c r="D1471" s="7"/>
      <c r="E1471" s="7">
        <v>613271</v>
      </c>
      <c r="F1471" s="7"/>
      <c r="G1471" s="7" t="s">
        <v>1338</v>
      </c>
      <c r="H1471" s="7"/>
      <c r="I1471" s="27" t="s">
        <v>133</v>
      </c>
      <c r="J1471" s="7"/>
      <c r="K1471" s="27" t="s">
        <v>2208</v>
      </c>
      <c r="L1471" s="7"/>
    </row>
    <row r="1472" spans="1:12" x14ac:dyDescent="0.2">
      <c r="A1472" s="7"/>
      <c r="B1472" s="7"/>
      <c r="C1472" s="7"/>
      <c r="D1472" s="7"/>
      <c r="E1472" s="7">
        <v>613276</v>
      </c>
      <c r="F1472" s="7"/>
      <c r="G1472" s="7" t="s">
        <v>1339</v>
      </c>
      <c r="H1472" s="7"/>
      <c r="I1472" s="27" t="s">
        <v>133</v>
      </c>
      <c r="J1472" s="7"/>
      <c r="K1472" s="27" t="s">
        <v>2208</v>
      </c>
      <c r="L1472" s="7"/>
    </row>
    <row r="1473" spans="1:12" x14ac:dyDescent="0.2">
      <c r="A1473" s="7"/>
      <c r="B1473" s="7"/>
      <c r="C1473" s="7"/>
      <c r="D1473" s="7"/>
      <c r="E1473" s="7">
        <v>613278</v>
      </c>
      <c r="F1473" s="7"/>
      <c r="G1473" s="7" t="s">
        <v>1340</v>
      </c>
      <c r="H1473" s="7"/>
      <c r="I1473" s="27" t="s">
        <v>133</v>
      </c>
      <c r="J1473" s="7"/>
      <c r="K1473" s="27" t="s">
        <v>2208</v>
      </c>
      <c r="L1473" s="7"/>
    </row>
    <row r="1474" spans="1:12" x14ac:dyDescent="0.2">
      <c r="A1474" s="7"/>
      <c r="B1474" s="7"/>
      <c r="C1474" s="7"/>
      <c r="D1474" s="7"/>
      <c r="E1474" s="7">
        <v>613279</v>
      </c>
      <c r="F1474" s="7"/>
      <c r="G1474" s="7" t="s">
        <v>1341</v>
      </c>
      <c r="H1474" s="7"/>
      <c r="I1474" s="27" t="s">
        <v>133</v>
      </c>
      <c r="J1474" s="7"/>
      <c r="K1474" s="27" t="s">
        <v>2208</v>
      </c>
      <c r="L1474" s="7"/>
    </row>
    <row r="1475" spans="1:12" x14ac:dyDescent="0.2">
      <c r="A1475" s="7"/>
      <c r="B1475" s="7"/>
      <c r="C1475" s="7"/>
      <c r="D1475" s="7"/>
      <c r="E1475" s="7">
        <v>613280</v>
      </c>
      <c r="F1475" s="7"/>
      <c r="G1475" s="7" t="s">
        <v>1342</v>
      </c>
      <c r="H1475" s="7"/>
      <c r="I1475" s="27" t="s">
        <v>133</v>
      </c>
      <c r="J1475" s="7"/>
      <c r="K1475" s="27" t="s">
        <v>2208</v>
      </c>
      <c r="L1475" s="7"/>
    </row>
    <row r="1476" spans="1:12" x14ac:dyDescent="0.2">
      <c r="A1476" s="7"/>
      <c r="B1476" s="7"/>
      <c r="C1476" s="7"/>
      <c r="D1476" s="7"/>
      <c r="E1476" s="7">
        <v>613281</v>
      </c>
      <c r="F1476" s="7"/>
      <c r="G1476" s="7" t="s">
        <v>1343</v>
      </c>
      <c r="H1476" s="7"/>
      <c r="I1476" s="27" t="s">
        <v>133</v>
      </c>
      <c r="J1476" s="7"/>
      <c r="K1476" s="27" t="s">
        <v>2208</v>
      </c>
      <c r="L1476" s="7"/>
    </row>
    <row r="1477" spans="1:12" x14ac:dyDescent="0.2">
      <c r="A1477" s="7"/>
      <c r="B1477" s="7"/>
      <c r="C1477" s="7"/>
      <c r="D1477" s="7"/>
      <c r="E1477" s="7">
        <v>613284</v>
      </c>
      <c r="F1477" s="7"/>
      <c r="G1477" s="7" t="s">
        <v>1344</v>
      </c>
      <c r="H1477" s="7"/>
      <c r="I1477" s="27" t="s">
        <v>133</v>
      </c>
      <c r="J1477" s="7"/>
      <c r="K1477" s="27" t="s">
        <v>2208</v>
      </c>
      <c r="L1477" s="7"/>
    </row>
    <row r="1478" spans="1:12" x14ac:dyDescent="0.2">
      <c r="A1478" s="7"/>
      <c r="B1478" s="7"/>
      <c r="C1478" s="7"/>
      <c r="D1478" s="7"/>
      <c r="E1478" s="7">
        <v>613286</v>
      </c>
      <c r="F1478" s="7"/>
      <c r="G1478" s="7" t="s">
        <v>1345</v>
      </c>
      <c r="H1478" s="7"/>
      <c r="I1478" s="27" t="s">
        <v>133</v>
      </c>
      <c r="J1478" s="7"/>
      <c r="K1478" s="27" t="s">
        <v>2208</v>
      </c>
      <c r="L1478" s="7"/>
    </row>
    <row r="1479" spans="1:12" x14ac:dyDescent="0.2">
      <c r="A1479" s="7"/>
      <c r="B1479" s="7"/>
      <c r="C1479" s="7"/>
      <c r="D1479" s="7"/>
      <c r="E1479" s="7">
        <v>613288</v>
      </c>
      <c r="F1479" s="7"/>
      <c r="G1479" s="7" t="s">
        <v>1346</v>
      </c>
      <c r="H1479" s="7"/>
      <c r="I1479" s="27" t="s">
        <v>133</v>
      </c>
      <c r="J1479" s="7"/>
      <c r="K1479" s="27" t="s">
        <v>2208</v>
      </c>
      <c r="L1479" s="7"/>
    </row>
    <row r="1480" spans="1:12" x14ac:dyDescent="0.2">
      <c r="A1480" s="7"/>
      <c r="B1480" s="7"/>
      <c r="C1480" s="7"/>
      <c r="D1480" s="7"/>
      <c r="E1480" s="7">
        <v>613289</v>
      </c>
      <c r="F1480" s="7"/>
      <c r="G1480" s="7" t="s">
        <v>1347</v>
      </c>
      <c r="H1480" s="7"/>
      <c r="I1480" s="27" t="s">
        <v>133</v>
      </c>
      <c r="J1480" s="7"/>
      <c r="K1480" s="27" t="s">
        <v>2208</v>
      </c>
      <c r="L1480" s="7"/>
    </row>
    <row r="1481" spans="1:12" x14ac:dyDescent="0.2">
      <c r="A1481" s="7"/>
      <c r="B1481" s="7"/>
      <c r="C1481" s="7"/>
      <c r="D1481" s="7"/>
      <c r="E1481" s="7">
        <v>613290</v>
      </c>
      <c r="F1481" s="7"/>
      <c r="G1481" s="7" t="s">
        <v>1348</v>
      </c>
      <c r="H1481" s="7"/>
      <c r="I1481" s="27" t="s">
        <v>133</v>
      </c>
      <c r="J1481" s="7"/>
      <c r="K1481" s="27" t="s">
        <v>2208</v>
      </c>
      <c r="L1481" s="7"/>
    </row>
    <row r="1482" spans="1:12" x14ac:dyDescent="0.2">
      <c r="A1482" s="7"/>
      <c r="B1482" s="7"/>
      <c r="C1482" s="7"/>
      <c r="D1482" s="7"/>
      <c r="E1482" s="7">
        <v>613291</v>
      </c>
      <c r="F1482" s="7"/>
      <c r="G1482" s="7" t="s">
        <v>1349</v>
      </c>
      <c r="H1482" s="7"/>
      <c r="I1482" s="27" t="s">
        <v>133</v>
      </c>
      <c r="J1482" s="7"/>
      <c r="K1482" s="27" t="s">
        <v>2208</v>
      </c>
      <c r="L1482" s="7"/>
    </row>
    <row r="1483" spans="1:12" x14ac:dyDescent="0.2">
      <c r="A1483" s="7"/>
      <c r="B1483" s="7"/>
      <c r="C1483" s="7"/>
      <c r="D1483" s="7"/>
      <c r="E1483" s="7">
        <v>613296</v>
      </c>
      <c r="F1483" s="7"/>
      <c r="G1483" s="7" t="s">
        <v>1350</v>
      </c>
      <c r="H1483" s="7"/>
      <c r="I1483" s="27" t="s">
        <v>133</v>
      </c>
      <c r="J1483" s="7"/>
      <c r="K1483" s="27" t="s">
        <v>2208</v>
      </c>
      <c r="L1483" s="7"/>
    </row>
    <row r="1484" spans="1:12" x14ac:dyDescent="0.2">
      <c r="A1484" s="7"/>
      <c r="B1484" s="7"/>
      <c r="C1484" s="7"/>
      <c r="D1484" s="7"/>
      <c r="E1484" s="7">
        <v>613298</v>
      </c>
      <c r="F1484" s="7"/>
      <c r="G1484" s="7" t="s">
        <v>1351</v>
      </c>
      <c r="H1484" s="7"/>
      <c r="I1484" s="27" t="s">
        <v>133</v>
      </c>
      <c r="J1484" s="7"/>
      <c r="K1484" s="27" t="s">
        <v>2208</v>
      </c>
      <c r="L1484" s="7"/>
    </row>
    <row r="1485" spans="1:12" x14ac:dyDescent="0.2">
      <c r="A1485" s="7"/>
      <c r="B1485" s="7"/>
      <c r="C1485" s="7"/>
      <c r="D1485" s="7"/>
      <c r="E1485" s="7">
        <v>613299</v>
      </c>
      <c r="F1485" s="7"/>
      <c r="G1485" s="7" t="s">
        <v>1352</v>
      </c>
      <c r="H1485" s="7"/>
      <c r="I1485" s="27" t="s">
        <v>133</v>
      </c>
      <c r="J1485" s="7"/>
      <c r="K1485" s="27" t="s">
        <v>2208</v>
      </c>
      <c r="L1485" s="7"/>
    </row>
    <row r="1486" spans="1:12" x14ac:dyDescent="0.2">
      <c r="A1486" s="7"/>
      <c r="B1486" s="7"/>
      <c r="C1486" s="7"/>
      <c r="D1486" s="7"/>
      <c r="E1486" s="7">
        <v>613300</v>
      </c>
      <c r="F1486" s="7"/>
      <c r="G1486" s="7" t="s">
        <v>1353</v>
      </c>
      <c r="H1486" s="7"/>
      <c r="I1486" s="27" t="s">
        <v>133</v>
      </c>
      <c r="J1486" s="7"/>
      <c r="K1486" s="27" t="s">
        <v>2208</v>
      </c>
      <c r="L1486" s="7"/>
    </row>
    <row r="1487" spans="1:12" x14ac:dyDescent="0.2">
      <c r="A1487" s="7"/>
      <c r="B1487" s="7"/>
      <c r="C1487" s="7"/>
      <c r="D1487" s="7"/>
      <c r="E1487" s="7">
        <v>613301</v>
      </c>
      <c r="F1487" s="7"/>
      <c r="G1487" s="7" t="s">
        <v>1354</v>
      </c>
      <c r="H1487" s="7"/>
      <c r="I1487" s="27" t="s">
        <v>133</v>
      </c>
      <c r="J1487" s="7"/>
      <c r="K1487" s="27" t="s">
        <v>2208</v>
      </c>
      <c r="L1487" s="7"/>
    </row>
    <row r="1488" spans="1:12" x14ac:dyDescent="0.2">
      <c r="A1488" s="7"/>
      <c r="B1488" s="7"/>
      <c r="C1488" s="7"/>
      <c r="D1488" s="7"/>
      <c r="E1488" s="7">
        <v>613305</v>
      </c>
      <c r="F1488" s="7"/>
      <c r="G1488" s="7" t="s">
        <v>1355</v>
      </c>
      <c r="H1488" s="7"/>
      <c r="I1488" s="27" t="s">
        <v>133</v>
      </c>
      <c r="J1488" s="7"/>
      <c r="K1488" s="27" t="s">
        <v>2208</v>
      </c>
      <c r="L1488" s="7"/>
    </row>
    <row r="1489" spans="1:12" x14ac:dyDescent="0.2">
      <c r="A1489" s="7"/>
      <c r="B1489" s="7"/>
      <c r="C1489" s="7"/>
      <c r="D1489" s="7"/>
      <c r="E1489" s="7">
        <v>613306</v>
      </c>
      <c r="F1489" s="7"/>
      <c r="G1489" s="7" t="s">
        <v>1356</v>
      </c>
      <c r="H1489" s="7"/>
      <c r="I1489" s="27" t="s">
        <v>133</v>
      </c>
      <c r="J1489" s="7"/>
      <c r="K1489" s="27" t="s">
        <v>2208</v>
      </c>
      <c r="L1489" s="7"/>
    </row>
    <row r="1490" spans="1:12" x14ac:dyDescent="0.2">
      <c r="A1490" s="7"/>
      <c r="B1490" s="7"/>
      <c r="C1490" s="7"/>
      <c r="D1490" s="7"/>
      <c r="E1490" s="7">
        <v>613310</v>
      </c>
      <c r="F1490" s="7"/>
      <c r="G1490" s="7" t="s">
        <v>1357</v>
      </c>
      <c r="H1490" s="7"/>
      <c r="I1490" s="27" t="s">
        <v>133</v>
      </c>
      <c r="J1490" s="7"/>
      <c r="K1490" s="27" t="s">
        <v>2208</v>
      </c>
      <c r="L1490" s="7"/>
    </row>
    <row r="1491" spans="1:12" x14ac:dyDescent="0.2">
      <c r="A1491" s="7"/>
      <c r="B1491" s="7"/>
      <c r="C1491" s="7"/>
      <c r="D1491" s="7"/>
      <c r="E1491" s="7">
        <v>613311</v>
      </c>
      <c r="F1491" s="7"/>
      <c r="G1491" s="7" t="s">
        <v>1358</v>
      </c>
      <c r="H1491" s="7"/>
      <c r="I1491" s="27" t="s">
        <v>133</v>
      </c>
      <c r="J1491" s="7"/>
      <c r="K1491" s="27" t="s">
        <v>2208</v>
      </c>
      <c r="L1491" s="7"/>
    </row>
    <row r="1492" spans="1:12" x14ac:dyDescent="0.2">
      <c r="A1492" s="7"/>
      <c r="B1492" s="7"/>
      <c r="C1492" s="7"/>
      <c r="D1492" s="7"/>
      <c r="E1492" s="7">
        <v>613316</v>
      </c>
      <c r="F1492" s="7"/>
      <c r="G1492" s="7" t="s">
        <v>1359</v>
      </c>
      <c r="H1492" s="7"/>
      <c r="I1492" s="27" t="s">
        <v>133</v>
      </c>
      <c r="J1492" s="7"/>
      <c r="K1492" s="27" t="s">
        <v>2208</v>
      </c>
      <c r="L1492" s="7"/>
    </row>
    <row r="1493" spans="1:12" x14ac:dyDescent="0.2">
      <c r="A1493" s="7"/>
      <c r="B1493" s="7"/>
      <c r="C1493" s="7"/>
      <c r="D1493" s="7"/>
      <c r="E1493" s="7">
        <v>613318</v>
      </c>
      <c r="F1493" s="7"/>
      <c r="G1493" s="7" t="s">
        <v>1360</v>
      </c>
      <c r="H1493" s="7"/>
      <c r="I1493" s="27" t="s">
        <v>133</v>
      </c>
      <c r="J1493" s="7"/>
      <c r="K1493" s="27" t="s">
        <v>2208</v>
      </c>
      <c r="L1493" s="7"/>
    </row>
    <row r="1494" spans="1:12" x14ac:dyDescent="0.2">
      <c r="A1494" s="7"/>
      <c r="B1494" s="7"/>
      <c r="C1494" s="7"/>
      <c r="D1494" s="7"/>
      <c r="E1494" s="7">
        <v>613319</v>
      </c>
      <c r="F1494" s="7"/>
      <c r="G1494" s="7" t="s">
        <v>1361</v>
      </c>
      <c r="H1494" s="7"/>
      <c r="I1494" s="27" t="s">
        <v>133</v>
      </c>
      <c r="J1494" s="7"/>
      <c r="K1494" s="27" t="s">
        <v>2208</v>
      </c>
      <c r="L1494" s="7"/>
    </row>
    <row r="1495" spans="1:12" x14ac:dyDescent="0.2">
      <c r="A1495" s="7"/>
      <c r="B1495" s="7"/>
      <c r="C1495" s="7"/>
      <c r="D1495" s="7"/>
      <c r="E1495" s="7">
        <v>613320</v>
      </c>
      <c r="F1495" s="7"/>
      <c r="G1495" s="7" t="s">
        <v>1362</v>
      </c>
      <c r="H1495" s="7"/>
      <c r="I1495" s="27" t="s">
        <v>133</v>
      </c>
      <c r="J1495" s="7"/>
      <c r="K1495" s="27" t="s">
        <v>2208</v>
      </c>
      <c r="L1495" s="7"/>
    </row>
    <row r="1496" spans="1:12" x14ac:dyDescent="0.2">
      <c r="A1496" s="7"/>
      <c r="B1496" s="7"/>
      <c r="C1496" s="7"/>
      <c r="D1496" s="7"/>
      <c r="E1496" s="7">
        <v>613321</v>
      </c>
      <c r="F1496" s="7"/>
      <c r="G1496" s="7" t="s">
        <v>1363</v>
      </c>
      <c r="H1496" s="7"/>
      <c r="I1496" s="27" t="s">
        <v>133</v>
      </c>
      <c r="J1496" s="7"/>
      <c r="K1496" s="27" t="s">
        <v>2208</v>
      </c>
      <c r="L1496" s="7"/>
    </row>
    <row r="1497" spans="1:12" x14ac:dyDescent="0.2">
      <c r="A1497" s="7"/>
      <c r="B1497" s="7"/>
      <c r="C1497" s="7"/>
      <c r="D1497" s="7"/>
      <c r="E1497" s="7">
        <v>613324</v>
      </c>
      <c r="F1497" s="7"/>
      <c r="G1497" s="7" t="s">
        <v>1364</v>
      </c>
      <c r="H1497" s="7"/>
      <c r="I1497" s="27" t="s">
        <v>133</v>
      </c>
      <c r="J1497" s="7"/>
      <c r="K1497" s="27" t="s">
        <v>2208</v>
      </c>
      <c r="L1497" s="7"/>
    </row>
    <row r="1498" spans="1:12" x14ac:dyDescent="0.2">
      <c r="A1498" s="7"/>
      <c r="B1498" s="7"/>
      <c r="C1498" s="7"/>
      <c r="D1498" s="7"/>
      <c r="E1498" s="7">
        <v>613325</v>
      </c>
      <c r="F1498" s="7"/>
      <c r="G1498" s="7" t="s">
        <v>1365</v>
      </c>
      <c r="H1498" s="7"/>
      <c r="I1498" s="27" t="s">
        <v>133</v>
      </c>
      <c r="J1498" s="7"/>
      <c r="K1498" s="27" t="s">
        <v>2208</v>
      </c>
      <c r="L1498" s="7"/>
    </row>
    <row r="1499" spans="1:12" x14ac:dyDescent="0.2">
      <c r="A1499" s="7"/>
      <c r="B1499" s="7"/>
      <c r="C1499" s="7"/>
      <c r="D1499" s="7"/>
      <c r="E1499" s="7">
        <v>613330</v>
      </c>
      <c r="F1499" s="7"/>
      <c r="G1499" s="7" t="s">
        <v>1366</v>
      </c>
      <c r="H1499" s="7"/>
      <c r="I1499" s="27" t="s">
        <v>133</v>
      </c>
      <c r="J1499" s="7"/>
      <c r="K1499" s="27" t="s">
        <v>2208</v>
      </c>
      <c r="L1499" s="7"/>
    </row>
    <row r="1500" spans="1:12" x14ac:dyDescent="0.2">
      <c r="A1500" s="7"/>
      <c r="B1500" s="7"/>
      <c r="C1500" s="7"/>
      <c r="D1500" s="7"/>
      <c r="E1500" s="7">
        <v>613331</v>
      </c>
      <c r="F1500" s="7"/>
      <c r="G1500" s="7" t="s">
        <v>1367</v>
      </c>
      <c r="H1500" s="7"/>
      <c r="I1500" s="27" t="s">
        <v>133</v>
      </c>
      <c r="J1500" s="7"/>
      <c r="K1500" s="27" t="s">
        <v>2208</v>
      </c>
      <c r="L1500" s="7"/>
    </row>
    <row r="1501" spans="1:12" x14ac:dyDescent="0.2">
      <c r="A1501" s="7"/>
      <c r="B1501" s="7"/>
      <c r="C1501" s="7"/>
      <c r="D1501" s="7"/>
      <c r="E1501" s="7">
        <v>613332</v>
      </c>
      <c r="F1501" s="7"/>
      <c r="G1501" s="7" t="s">
        <v>1368</v>
      </c>
      <c r="H1501" s="7"/>
      <c r="I1501" s="27" t="s">
        <v>133</v>
      </c>
      <c r="J1501" s="7"/>
      <c r="K1501" s="27" t="s">
        <v>2208</v>
      </c>
      <c r="L1501" s="7"/>
    </row>
    <row r="1502" spans="1:12" x14ac:dyDescent="0.2">
      <c r="A1502" s="7"/>
      <c r="B1502" s="7"/>
      <c r="C1502" s="7"/>
      <c r="D1502" s="7"/>
      <c r="E1502" s="7">
        <v>613333</v>
      </c>
      <c r="F1502" s="7"/>
      <c r="G1502" s="7" t="s">
        <v>1369</v>
      </c>
      <c r="H1502" s="7"/>
      <c r="I1502" s="27" t="s">
        <v>133</v>
      </c>
      <c r="J1502" s="7"/>
      <c r="K1502" s="27" t="s">
        <v>2208</v>
      </c>
      <c r="L1502" s="7"/>
    </row>
    <row r="1503" spans="1:12" x14ac:dyDescent="0.2">
      <c r="A1503" s="7"/>
      <c r="B1503" s="7"/>
      <c r="C1503" s="7"/>
      <c r="D1503" s="7"/>
      <c r="E1503" s="7">
        <v>613334</v>
      </c>
      <c r="F1503" s="7"/>
      <c r="G1503" s="7" t="s">
        <v>1370</v>
      </c>
      <c r="H1503" s="7"/>
      <c r="I1503" s="27" t="s">
        <v>133</v>
      </c>
      <c r="J1503" s="7"/>
      <c r="K1503" s="27" t="s">
        <v>2208</v>
      </c>
      <c r="L1503" s="7"/>
    </row>
    <row r="1504" spans="1:12" x14ac:dyDescent="0.2">
      <c r="A1504" s="7"/>
      <c r="B1504" s="7"/>
      <c r="C1504" s="7"/>
      <c r="D1504" s="7"/>
      <c r="E1504" s="7">
        <v>613335</v>
      </c>
      <c r="F1504" s="7"/>
      <c r="G1504" s="7" t="s">
        <v>1371</v>
      </c>
      <c r="H1504" s="7"/>
      <c r="I1504" s="27" t="s">
        <v>133</v>
      </c>
      <c r="J1504" s="7"/>
      <c r="K1504" s="27" t="s">
        <v>2208</v>
      </c>
      <c r="L1504" s="7"/>
    </row>
    <row r="1505" spans="1:12" x14ac:dyDescent="0.2">
      <c r="A1505" s="7"/>
      <c r="B1505" s="7"/>
      <c r="C1505" s="7"/>
      <c r="D1505" s="7"/>
      <c r="E1505" s="7">
        <v>613336</v>
      </c>
      <c r="F1505" s="7"/>
      <c r="G1505" s="7" t="s">
        <v>1372</v>
      </c>
      <c r="H1505" s="7"/>
      <c r="I1505" s="27" t="s">
        <v>133</v>
      </c>
      <c r="J1505" s="7"/>
      <c r="K1505" s="27" t="s">
        <v>2208</v>
      </c>
      <c r="L1505" s="7"/>
    </row>
    <row r="1506" spans="1:12" x14ac:dyDescent="0.2">
      <c r="A1506" s="7"/>
      <c r="B1506" s="7"/>
      <c r="C1506" s="7"/>
      <c r="D1506" s="7"/>
      <c r="E1506" s="7">
        <v>613337</v>
      </c>
      <c r="F1506" s="7"/>
      <c r="G1506" s="7" t="s">
        <v>1373</v>
      </c>
      <c r="H1506" s="7"/>
      <c r="I1506" s="27" t="s">
        <v>133</v>
      </c>
      <c r="J1506" s="7"/>
      <c r="K1506" s="27" t="s">
        <v>2208</v>
      </c>
      <c r="L1506" s="7"/>
    </row>
    <row r="1507" spans="1:12" x14ac:dyDescent="0.2">
      <c r="A1507" s="7"/>
      <c r="B1507" s="7"/>
      <c r="C1507" s="7"/>
      <c r="D1507" s="7"/>
      <c r="E1507" s="7">
        <v>613338</v>
      </c>
      <c r="F1507" s="7"/>
      <c r="G1507" s="7" t="s">
        <v>1374</v>
      </c>
      <c r="H1507" s="7"/>
      <c r="I1507" s="27" t="s">
        <v>133</v>
      </c>
      <c r="J1507" s="7"/>
      <c r="K1507" s="27" t="s">
        <v>2208</v>
      </c>
      <c r="L1507" s="7"/>
    </row>
    <row r="1508" spans="1:12" x14ac:dyDescent="0.2">
      <c r="A1508" s="7"/>
      <c r="B1508" s="7"/>
      <c r="C1508" s="7"/>
      <c r="D1508" s="7"/>
      <c r="E1508" s="7">
        <v>613339</v>
      </c>
      <c r="F1508" s="7"/>
      <c r="G1508" s="7" t="s">
        <v>1375</v>
      </c>
      <c r="H1508" s="7"/>
      <c r="I1508" s="27" t="s">
        <v>133</v>
      </c>
      <c r="J1508" s="7"/>
      <c r="K1508" s="27" t="s">
        <v>2208</v>
      </c>
      <c r="L1508" s="7"/>
    </row>
    <row r="1509" spans="1:12" x14ac:dyDescent="0.2">
      <c r="A1509" s="7"/>
      <c r="B1509" s="7"/>
      <c r="C1509" s="7"/>
      <c r="D1509" s="7"/>
      <c r="E1509" s="7">
        <v>613340</v>
      </c>
      <c r="F1509" s="7"/>
      <c r="G1509" s="7" t="s">
        <v>1366</v>
      </c>
      <c r="H1509" s="7"/>
      <c r="I1509" s="27" t="s">
        <v>133</v>
      </c>
      <c r="J1509" s="7"/>
      <c r="K1509" s="27" t="s">
        <v>2208</v>
      </c>
      <c r="L1509" s="7"/>
    </row>
    <row r="1510" spans="1:12" x14ac:dyDescent="0.2">
      <c r="A1510" s="7"/>
      <c r="B1510" s="7"/>
      <c r="C1510" s="7"/>
      <c r="D1510" s="7"/>
      <c r="E1510" s="7">
        <v>613341</v>
      </c>
      <c r="F1510" s="7"/>
      <c r="G1510" s="7" t="s">
        <v>1367</v>
      </c>
      <c r="H1510" s="7"/>
      <c r="I1510" s="27" t="s">
        <v>133</v>
      </c>
      <c r="J1510" s="7"/>
      <c r="K1510" s="27" t="s">
        <v>2208</v>
      </c>
      <c r="L1510" s="7"/>
    </row>
    <row r="1511" spans="1:12" x14ac:dyDescent="0.2">
      <c r="A1511" s="7"/>
      <c r="B1511" s="7"/>
      <c r="C1511" s="7"/>
      <c r="D1511" s="7"/>
      <c r="E1511" s="7">
        <v>613342</v>
      </c>
      <c r="F1511" s="7"/>
      <c r="G1511" s="7" t="s">
        <v>1376</v>
      </c>
      <c r="H1511" s="7"/>
      <c r="I1511" s="27" t="s">
        <v>133</v>
      </c>
      <c r="J1511" s="7"/>
      <c r="K1511" s="27" t="s">
        <v>2208</v>
      </c>
      <c r="L1511" s="7"/>
    </row>
    <row r="1512" spans="1:12" x14ac:dyDescent="0.2">
      <c r="A1512" s="7"/>
      <c r="B1512" s="7"/>
      <c r="C1512" s="7"/>
      <c r="D1512" s="7"/>
      <c r="E1512" s="7">
        <v>613343</v>
      </c>
      <c r="F1512" s="7"/>
      <c r="G1512" s="7" t="s">
        <v>1377</v>
      </c>
      <c r="H1512" s="7"/>
      <c r="I1512" s="27" t="s">
        <v>133</v>
      </c>
      <c r="J1512" s="7"/>
      <c r="K1512" s="27" t="s">
        <v>2208</v>
      </c>
      <c r="L1512" s="7"/>
    </row>
    <row r="1513" spans="1:12" x14ac:dyDescent="0.2">
      <c r="A1513" s="7"/>
      <c r="B1513" s="7"/>
      <c r="C1513" s="7"/>
      <c r="D1513" s="7"/>
      <c r="E1513" s="7">
        <v>613344</v>
      </c>
      <c r="F1513" s="7"/>
      <c r="G1513" s="7" t="s">
        <v>1378</v>
      </c>
      <c r="H1513" s="7"/>
      <c r="I1513" s="27" t="s">
        <v>133</v>
      </c>
      <c r="J1513" s="7"/>
      <c r="K1513" s="27" t="s">
        <v>2208</v>
      </c>
      <c r="L1513" s="7"/>
    </row>
    <row r="1514" spans="1:12" x14ac:dyDescent="0.2">
      <c r="A1514" s="7"/>
      <c r="B1514" s="7"/>
      <c r="C1514" s="7"/>
      <c r="D1514" s="7"/>
      <c r="E1514" s="7">
        <v>613345</v>
      </c>
      <c r="F1514" s="7"/>
      <c r="G1514" s="7" t="s">
        <v>1379</v>
      </c>
      <c r="H1514" s="7"/>
      <c r="I1514" s="27" t="s">
        <v>133</v>
      </c>
      <c r="J1514" s="7"/>
      <c r="K1514" s="27" t="s">
        <v>2208</v>
      </c>
      <c r="L1514" s="7"/>
    </row>
    <row r="1515" spans="1:12" x14ac:dyDescent="0.2">
      <c r="A1515" s="7"/>
      <c r="B1515" s="7"/>
      <c r="C1515" s="7"/>
      <c r="D1515" s="7"/>
      <c r="E1515" s="7">
        <v>613346</v>
      </c>
      <c r="F1515" s="7"/>
      <c r="G1515" s="7" t="s">
        <v>1380</v>
      </c>
      <c r="H1515" s="7"/>
      <c r="I1515" s="27" t="s">
        <v>133</v>
      </c>
      <c r="J1515" s="7"/>
      <c r="K1515" s="27" t="s">
        <v>2208</v>
      </c>
      <c r="L1515" s="7"/>
    </row>
    <row r="1516" spans="1:12" x14ac:dyDescent="0.2">
      <c r="A1516" s="7"/>
      <c r="B1516" s="7"/>
      <c r="C1516" s="7"/>
      <c r="D1516" s="7"/>
      <c r="E1516" s="7">
        <v>613347</v>
      </c>
      <c r="F1516" s="7"/>
      <c r="G1516" s="7" t="s">
        <v>1381</v>
      </c>
      <c r="H1516" s="7"/>
      <c r="I1516" s="27" t="s">
        <v>133</v>
      </c>
      <c r="J1516" s="7"/>
      <c r="K1516" s="27" t="s">
        <v>2208</v>
      </c>
      <c r="L1516" s="7"/>
    </row>
    <row r="1517" spans="1:12" x14ac:dyDescent="0.2">
      <c r="A1517" s="7"/>
      <c r="B1517" s="7"/>
      <c r="C1517" s="7"/>
      <c r="D1517" s="7"/>
      <c r="E1517" s="7">
        <v>613348</v>
      </c>
      <c r="F1517" s="7"/>
      <c r="G1517" s="7" t="s">
        <v>1382</v>
      </c>
      <c r="H1517" s="7"/>
      <c r="I1517" s="27" t="s">
        <v>133</v>
      </c>
      <c r="J1517" s="7"/>
      <c r="K1517" s="27" t="s">
        <v>2208</v>
      </c>
      <c r="L1517" s="7"/>
    </row>
    <row r="1518" spans="1:12" x14ac:dyDescent="0.2">
      <c r="A1518" s="7"/>
      <c r="B1518" s="7"/>
      <c r="C1518" s="7"/>
      <c r="D1518" s="7"/>
      <c r="E1518" s="7">
        <v>613349</v>
      </c>
      <c r="F1518" s="7"/>
      <c r="G1518" s="7" t="s">
        <v>1383</v>
      </c>
      <c r="H1518" s="7"/>
      <c r="I1518" s="27" t="s">
        <v>133</v>
      </c>
      <c r="J1518" s="7"/>
      <c r="K1518" s="27" t="s">
        <v>2208</v>
      </c>
      <c r="L1518" s="7"/>
    </row>
    <row r="1519" spans="1:12" x14ac:dyDescent="0.2">
      <c r="A1519" s="7"/>
      <c r="B1519" s="7"/>
      <c r="C1519" s="7"/>
      <c r="D1519" s="7"/>
      <c r="E1519" s="7">
        <v>613350</v>
      </c>
      <c r="F1519" s="7"/>
      <c r="G1519" s="7" t="s">
        <v>1384</v>
      </c>
      <c r="H1519" s="7"/>
      <c r="I1519" s="27" t="s">
        <v>133</v>
      </c>
      <c r="J1519" s="7"/>
      <c r="K1519" s="27" t="s">
        <v>2208</v>
      </c>
      <c r="L1519" s="7"/>
    </row>
    <row r="1520" spans="1:12" x14ac:dyDescent="0.2">
      <c r="A1520" s="7"/>
      <c r="B1520" s="7"/>
      <c r="C1520" s="7"/>
      <c r="D1520" s="7"/>
      <c r="E1520" s="7">
        <v>613351</v>
      </c>
      <c r="F1520" s="7"/>
      <c r="G1520" s="7" t="s">
        <v>1385</v>
      </c>
      <c r="H1520" s="7"/>
      <c r="I1520" s="27" t="s">
        <v>133</v>
      </c>
      <c r="J1520" s="7"/>
      <c r="K1520" s="27" t="s">
        <v>2208</v>
      </c>
      <c r="L1520" s="7"/>
    </row>
    <row r="1521" spans="1:12" x14ac:dyDescent="0.2">
      <c r="A1521" s="7"/>
      <c r="B1521" s="7"/>
      <c r="C1521" s="7"/>
      <c r="D1521" s="7"/>
      <c r="E1521" s="7">
        <v>613352</v>
      </c>
      <c r="F1521" s="7"/>
      <c r="G1521" s="7" t="s">
        <v>1386</v>
      </c>
      <c r="H1521" s="7"/>
      <c r="I1521" s="27" t="s">
        <v>133</v>
      </c>
      <c r="J1521" s="7"/>
      <c r="K1521" s="27" t="s">
        <v>2208</v>
      </c>
      <c r="L1521" s="7"/>
    </row>
    <row r="1522" spans="1:12" x14ac:dyDescent="0.2">
      <c r="A1522" s="7"/>
      <c r="B1522" s="7"/>
      <c r="C1522" s="7"/>
      <c r="D1522" s="7"/>
      <c r="E1522" s="7">
        <v>613353</v>
      </c>
      <c r="F1522" s="7"/>
      <c r="G1522" s="7" t="s">
        <v>1387</v>
      </c>
      <c r="H1522" s="7"/>
      <c r="I1522" s="27" t="s">
        <v>133</v>
      </c>
      <c r="J1522" s="7"/>
      <c r="K1522" s="27" t="s">
        <v>2208</v>
      </c>
      <c r="L1522" s="7"/>
    </row>
    <row r="1523" spans="1:12" x14ac:dyDescent="0.2">
      <c r="A1523" s="7"/>
      <c r="B1523" s="7"/>
      <c r="C1523" s="7"/>
      <c r="D1523" s="7"/>
      <c r="E1523" s="7">
        <v>613354</v>
      </c>
      <c r="F1523" s="7"/>
      <c r="G1523" s="7" t="s">
        <v>1388</v>
      </c>
      <c r="H1523" s="7"/>
      <c r="I1523" s="27" t="s">
        <v>133</v>
      </c>
      <c r="J1523" s="7"/>
      <c r="K1523" s="27" t="s">
        <v>2208</v>
      </c>
      <c r="L1523" s="7"/>
    </row>
    <row r="1524" spans="1:12" x14ac:dyDescent="0.2">
      <c r="A1524" s="7"/>
      <c r="B1524" s="7"/>
      <c r="C1524" s="7"/>
      <c r="D1524" s="7"/>
      <c r="E1524" s="7">
        <v>613355</v>
      </c>
      <c r="F1524" s="7"/>
      <c r="G1524" s="7" t="s">
        <v>1389</v>
      </c>
      <c r="H1524" s="7"/>
      <c r="I1524" s="27" t="s">
        <v>133</v>
      </c>
      <c r="J1524" s="7"/>
      <c r="K1524" s="27" t="s">
        <v>2208</v>
      </c>
      <c r="L1524" s="7"/>
    </row>
    <row r="1525" spans="1:12" x14ac:dyDescent="0.2">
      <c r="A1525" s="7"/>
      <c r="B1525" s="7"/>
      <c r="C1525" s="7"/>
      <c r="D1525" s="7"/>
      <c r="E1525" s="7">
        <v>613356</v>
      </c>
      <c r="F1525" s="7"/>
      <c r="G1525" s="7" t="s">
        <v>1390</v>
      </c>
      <c r="H1525" s="7"/>
      <c r="I1525" s="27" t="s">
        <v>133</v>
      </c>
      <c r="J1525" s="7"/>
      <c r="K1525" s="27" t="s">
        <v>2208</v>
      </c>
      <c r="L1525" s="7"/>
    </row>
    <row r="1526" spans="1:12" x14ac:dyDescent="0.2">
      <c r="A1526" s="7"/>
      <c r="B1526" s="7"/>
      <c r="C1526" s="7"/>
      <c r="D1526" s="7"/>
      <c r="E1526" s="7">
        <v>613357</v>
      </c>
      <c r="F1526" s="7"/>
      <c r="G1526" s="7" t="s">
        <v>1391</v>
      </c>
      <c r="H1526" s="7"/>
      <c r="I1526" s="27" t="s">
        <v>133</v>
      </c>
      <c r="J1526" s="7"/>
      <c r="K1526" s="27" t="s">
        <v>2208</v>
      </c>
      <c r="L1526" s="7"/>
    </row>
    <row r="1527" spans="1:12" x14ac:dyDescent="0.2">
      <c r="A1527" s="7"/>
      <c r="B1527" s="7"/>
      <c r="C1527" s="7"/>
      <c r="D1527" s="7"/>
      <c r="E1527" s="7">
        <v>613358</v>
      </c>
      <c r="F1527" s="7"/>
      <c r="G1527" s="7" t="s">
        <v>1392</v>
      </c>
      <c r="H1527" s="7"/>
      <c r="I1527" s="27" t="s">
        <v>133</v>
      </c>
      <c r="J1527" s="7"/>
      <c r="K1527" s="27" t="s">
        <v>2208</v>
      </c>
      <c r="L1527" s="7"/>
    </row>
    <row r="1528" spans="1:12" x14ac:dyDescent="0.2">
      <c r="A1528" s="7"/>
      <c r="B1528" s="7"/>
      <c r="C1528" s="7"/>
      <c r="D1528" s="7"/>
      <c r="E1528" s="7">
        <v>613359</v>
      </c>
      <c r="F1528" s="7"/>
      <c r="G1528" s="7" t="s">
        <v>1393</v>
      </c>
      <c r="H1528" s="7"/>
      <c r="I1528" s="27" t="s">
        <v>133</v>
      </c>
      <c r="J1528" s="7"/>
      <c r="K1528" s="27" t="s">
        <v>2208</v>
      </c>
      <c r="L1528" s="7"/>
    </row>
    <row r="1529" spans="1:12" x14ac:dyDescent="0.2">
      <c r="A1529" s="7"/>
      <c r="B1529" s="7"/>
      <c r="C1529" s="7"/>
      <c r="D1529" s="7"/>
      <c r="E1529" s="7">
        <v>613360</v>
      </c>
      <c r="F1529" s="7"/>
      <c r="G1529" s="7" t="s">
        <v>1394</v>
      </c>
      <c r="H1529" s="7"/>
      <c r="I1529" s="27" t="s">
        <v>133</v>
      </c>
      <c r="J1529" s="7"/>
      <c r="K1529" s="27" t="s">
        <v>2208</v>
      </c>
      <c r="L1529" s="7"/>
    </row>
    <row r="1530" spans="1:12" x14ac:dyDescent="0.2">
      <c r="A1530" s="7"/>
      <c r="B1530" s="7"/>
      <c r="C1530" s="7"/>
      <c r="D1530" s="7"/>
      <c r="E1530" s="7">
        <v>613361</v>
      </c>
      <c r="F1530" s="7"/>
      <c r="G1530" s="7" t="s">
        <v>1395</v>
      </c>
      <c r="H1530" s="7"/>
      <c r="I1530" s="27" t="s">
        <v>133</v>
      </c>
      <c r="J1530" s="7"/>
      <c r="K1530" s="27" t="s">
        <v>2208</v>
      </c>
      <c r="L1530" s="7"/>
    </row>
    <row r="1531" spans="1:12" x14ac:dyDescent="0.2">
      <c r="A1531" s="7"/>
      <c r="B1531" s="7"/>
      <c r="C1531" s="7"/>
      <c r="D1531" s="7"/>
      <c r="E1531" s="7">
        <v>613362</v>
      </c>
      <c r="F1531" s="7"/>
      <c r="G1531" s="7" t="s">
        <v>1396</v>
      </c>
      <c r="H1531" s="7"/>
      <c r="I1531" s="27" t="s">
        <v>133</v>
      </c>
      <c r="J1531" s="7"/>
      <c r="K1531" s="27" t="s">
        <v>2208</v>
      </c>
      <c r="L1531" s="7"/>
    </row>
    <row r="1532" spans="1:12" x14ac:dyDescent="0.2">
      <c r="A1532" s="7"/>
      <c r="B1532" s="7"/>
      <c r="C1532" s="7"/>
      <c r="D1532" s="7"/>
      <c r="E1532" s="7">
        <v>613363</v>
      </c>
      <c r="F1532" s="7"/>
      <c r="G1532" s="7" t="s">
        <v>1397</v>
      </c>
      <c r="H1532" s="7"/>
      <c r="I1532" s="27" t="s">
        <v>133</v>
      </c>
      <c r="J1532" s="7"/>
      <c r="K1532" s="27" t="s">
        <v>2208</v>
      </c>
      <c r="L1532" s="7"/>
    </row>
    <row r="1533" spans="1:12" x14ac:dyDescent="0.2">
      <c r="A1533" s="7"/>
      <c r="B1533" s="7"/>
      <c r="C1533" s="7"/>
      <c r="D1533" s="7"/>
      <c r="E1533" s="7">
        <v>613364</v>
      </c>
      <c r="F1533" s="7"/>
      <c r="G1533" s="7" t="s">
        <v>1398</v>
      </c>
      <c r="H1533" s="7"/>
      <c r="I1533" s="27" t="s">
        <v>133</v>
      </c>
      <c r="J1533" s="7"/>
      <c r="K1533" s="27" t="s">
        <v>2208</v>
      </c>
      <c r="L1533" s="7"/>
    </row>
    <row r="1534" spans="1:12" x14ac:dyDescent="0.2">
      <c r="A1534" s="7"/>
      <c r="B1534" s="7"/>
      <c r="C1534" s="7"/>
      <c r="D1534" s="7"/>
      <c r="E1534" s="7">
        <v>613365</v>
      </c>
      <c r="F1534" s="7"/>
      <c r="G1534" s="7" t="s">
        <v>1399</v>
      </c>
      <c r="H1534" s="7"/>
      <c r="I1534" s="27" t="s">
        <v>133</v>
      </c>
      <c r="J1534" s="7"/>
      <c r="K1534" s="27" t="s">
        <v>2208</v>
      </c>
      <c r="L1534" s="7"/>
    </row>
    <row r="1535" spans="1:12" x14ac:dyDescent="0.2">
      <c r="A1535" s="7"/>
      <c r="B1535" s="7"/>
      <c r="C1535" s="7"/>
      <c r="D1535" s="7"/>
      <c r="E1535" s="7">
        <v>613366</v>
      </c>
      <c r="F1535" s="7"/>
      <c r="G1535" s="7" t="s">
        <v>1400</v>
      </c>
      <c r="H1535" s="7"/>
      <c r="I1535" s="27" t="s">
        <v>133</v>
      </c>
      <c r="J1535" s="7"/>
      <c r="K1535" s="27" t="s">
        <v>2208</v>
      </c>
      <c r="L1535" s="7"/>
    </row>
    <row r="1536" spans="1:12" x14ac:dyDescent="0.2">
      <c r="A1536" s="7"/>
      <c r="B1536" s="7"/>
      <c r="C1536" s="7"/>
      <c r="D1536" s="7"/>
      <c r="E1536" s="7">
        <v>613367</v>
      </c>
      <c r="F1536" s="7"/>
      <c r="G1536" s="7" t="s">
        <v>1401</v>
      </c>
      <c r="H1536" s="7"/>
      <c r="I1536" s="27" t="s">
        <v>133</v>
      </c>
      <c r="J1536" s="7"/>
      <c r="K1536" s="27" t="s">
        <v>2208</v>
      </c>
      <c r="L1536" s="7"/>
    </row>
    <row r="1537" spans="1:12" x14ac:dyDescent="0.2">
      <c r="A1537" s="7"/>
      <c r="B1537" s="7"/>
      <c r="C1537" s="7"/>
      <c r="D1537" s="7"/>
      <c r="E1537" s="7">
        <v>613370</v>
      </c>
      <c r="F1537" s="7"/>
      <c r="G1537" s="7" t="s">
        <v>1402</v>
      </c>
      <c r="H1537" s="7"/>
      <c r="I1537" s="27" t="s">
        <v>133</v>
      </c>
      <c r="J1537" s="7"/>
      <c r="K1537" s="27" t="s">
        <v>2208</v>
      </c>
      <c r="L1537" s="7"/>
    </row>
    <row r="1538" spans="1:12" x14ac:dyDescent="0.2">
      <c r="A1538" s="7"/>
      <c r="B1538" s="7"/>
      <c r="C1538" s="7"/>
      <c r="D1538" s="7"/>
      <c r="E1538" s="7">
        <v>613371</v>
      </c>
      <c r="F1538" s="7"/>
      <c r="G1538" s="7" t="s">
        <v>1403</v>
      </c>
      <c r="H1538" s="7"/>
      <c r="I1538" s="27" t="s">
        <v>133</v>
      </c>
      <c r="J1538" s="7"/>
      <c r="K1538" s="27" t="s">
        <v>2208</v>
      </c>
      <c r="L1538" s="7"/>
    </row>
    <row r="1539" spans="1:12" x14ac:dyDescent="0.2">
      <c r="A1539" s="7"/>
      <c r="B1539" s="7"/>
      <c r="C1539" s="7"/>
      <c r="D1539" s="7"/>
      <c r="E1539" s="7">
        <v>613380</v>
      </c>
      <c r="F1539" s="7"/>
      <c r="G1539" s="7" t="s">
        <v>1404</v>
      </c>
      <c r="H1539" s="7"/>
      <c r="I1539" s="27" t="s">
        <v>71</v>
      </c>
      <c r="J1539" s="7"/>
      <c r="K1539" s="27" t="s">
        <v>2208</v>
      </c>
      <c r="L1539" s="7"/>
    </row>
    <row r="1540" spans="1:12" x14ac:dyDescent="0.2">
      <c r="A1540" s="7"/>
      <c r="B1540" s="7"/>
      <c r="C1540" s="7"/>
      <c r="D1540" s="7"/>
      <c r="E1540" s="7">
        <v>613390</v>
      </c>
      <c r="F1540" s="7"/>
      <c r="G1540" s="7" t="s">
        <v>1405</v>
      </c>
      <c r="H1540" s="7"/>
      <c r="I1540" s="27" t="s">
        <v>71</v>
      </c>
      <c r="J1540" s="7"/>
      <c r="K1540" s="27" t="s">
        <v>2208</v>
      </c>
      <c r="L1540" s="7"/>
    </row>
    <row r="1541" spans="1:12" x14ac:dyDescent="0.2">
      <c r="A1541" s="7"/>
      <c r="B1541" s="7"/>
      <c r="C1541" s="7"/>
      <c r="D1541" s="7"/>
      <c r="E1541" s="7">
        <v>613391</v>
      </c>
      <c r="F1541" s="7"/>
      <c r="G1541" s="7" t="s">
        <v>1406</v>
      </c>
      <c r="H1541" s="7"/>
      <c r="I1541" s="27" t="s">
        <v>71</v>
      </c>
      <c r="J1541" s="7"/>
      <c r="K1541" s="27" t="s">
        <v>2208</v>
      </c>
      <c r="L1541" s="7"/>
    </row>
    <row r="1542" spans="1:12" x14ac:dyDescent="0.2">
      <c r="A1542" s="7"/>
      <c r="B1542" s="7"/>
      <c r="C1542" s="7"/>
      <c r="D1542" s="7"/>
      <c r="E1542" s="7">
        <v>613392</v>
      </c>
      <c r="F1542" s="7"/>
      <c r="G1542" s="7" t="s">
        <v>1407</v>
      </c>
      <c r="H1542" s="7"/>
      <c r="I1542" s="27" t="s">
        <v>133</v>
      </c>
      <c r="J1542" s="7"/>
      <c r="K1542" s="27" t="s">
        <v>2208</v>
      </c>
      <c r="L1542" s="7"/>
    </row>
    <row r="1543" spans="1:12" x14ac:dyDescent="0.2">
      <c r="A1543" s="7"/>
      <c r="B1543" s="7"/>
      <c r="C1543" s="7"/>
      <c r="D1543" s="7"/>
      <c r="E1543" s="7">
        <v>613393</v>
      </c>
      <c r="F1543" s="7"/>
      <c r="G1543" s="7" t="s">
        <v>1408</v>
      </c>
      <c r="H1543" s="7"/>
      <c r="I1543" s="27" t="s">
        <v>133</v>
      </c>
      <c r="J1543" s="7"/>
      <c r="K1543" s="27" t="s">
        <v>2208</v>
      </c>
      <c r="L1543" s="7"/>
    </row>
    <row r="1544" spans="1:12" x14ac:dyDescent="0.2">
      <c r="A1544" s="7"/>
      <c r="B1544" s="7"/>
      <c r="C1544" s="7"/>
      <c r="D1544" s="7"/>
      <c r="E1544" s="7">
        <v>613394</v>
      </c>
      <c r="F1544" s="7"/>
      <c r="G1544" s="7" t="s">
        <v>1409</v>
      </c>
      <c r="H1544" s="7"/>
      <c r="I1544" s="27" t="s">
        <v>133</v>
      </c>
      <c r="J1544" s="7"/>
      <c r="K1544" s="27" t="s">
        <v>2208</v>
      </c>
      <c r="L1544" s="7"/>
    </row>
    <row r="1545" spans="1:12" x14ac:dyDescent="0.2">
      <c r="A1545" s="7"/>
      <c r="B1545" s="7"/>
      <c r="C1545" s="7"/>
      <c r="D1545" s="7"/>
      <c r="E1545" s="7">
        <v>613396</v>
      </c>
      <c r="F1545" s="7"/>
      <c r="G1545" s="7" t="s">
        <v>1410</v>
      </c>
      <c r="H1545" s="7"/>
      <c r="I1545" s="27" t="s">
        <v>133</v>
      </c>
      <c r="J1545" s="7"/>
      <c r="K1545" s="27" t="s">
        <v>2208</v>
      </c>
      <c r="L1545" s="7"/>
    </row>
    <row r="1546" spans="1:12" x14ac:dyDescent="0.2">
      <c r="A1546" s="7"/>
      <c r="B1546" s="7"/>
      <c r="C1546" s="7"/>
      <c r="D1546" s="7"/>
      <c r="E1546" s="7">
        <v>613397</v>
      </c>
      <c r="F1546" s="7"/>
      <c r="G1546" s="7" t="s">
        <v>1411</v>
      </c>
      <c r="H1546" s="7"/>
      <c r="I1546" s="27" t="s">
        <v>133</v>
      </c>
      <c r="J1546" s="7"/>
      <c r="K1546" s="27" t="s">
        <v>2208</v>
      </c>
      <c r="L1546" s="7"/>
    </row>
    <row r="1547" spans="1:12" x14ac:dyDescent="0.2">
      <c r="A1547" s="7"/>
      <c r="B1547" s="7"/>
      <c r="C1547" s="7"/>
      <c r="D1547" s="7"/>
      <c r="E1547" s="7">
        <v>613398</v>
      </c>
      <c r="F1547" s="7"/>
      <c r="G1547" s="7" t="s">
        <v>1412</v>
      </c>
      <c r="H1547" s="7"/>
      <c r="I1547" s="27" t="s">
        <v>133</v>
      </c>
      <c r="J1547" s="7"/>
      <c r="K1547" s="27" t="s">
        <v>2208</v>
      </c>
      <c r="L1547" s="7"/>
    </row>
    <row r="1548" spans="1:12" x14ac:dyDescent="0.2">
      <c r="A1548" s="7"/>
      <c r="B1548" s="7"/>
      <c r="C1548" s="7"/>
      <c r="D1548" s="7"/>
      <c r="E1548" s="7">
        <v>613399</v>
      </c>
      <c r="F1548" s="7"/>
      <c r="G1548" s="7" t="s">
        <v>1413</v>
      </c>
      <c r="H1548" s="7"/>
      <c r="I1548" s="27" t="s">
        <v>133</v>
      </c>
      <c r="J1548" s="7"/>
      <c r="K1548" s="27" t="s">
        <v>2208</v>
      </c>
      <c r="L1548" s="7"/>
    </row>
    <row r="1549" spans="1:12" x14ac:dyDescent="0.2">
      <c r="A1549" s="7"/>
      <c r="B1549" s="7"/>
      <c r="C1549" s="7"/>
      <c r="D1549" s="7"/>
      <c r="E1549" s="7">
        <v>613400</v>
      </c>
      <c r="F1549" s="7"/>
      <c r="G1549" s="7" t="s">
        <v>1414</v>
      </c>
      <c r="H1549" s="7"/>
      <c r="I1549" s="27" t="s">
        <v>133</v>
      </c>
      <c r="J1549" s="7"/>
      <c r="K1549" s="27" t="s">
        <v>2208</v>
      </c>
      <c r="L1549" s="7"/>
    </row>
    <row r="1550" spans="1:12" x14ac:dyDescent="0.2">
      <c r="A1550" s="7"/>
      <c r="B1550" s="7"/>
      <c r="C1550" s="7"/>
      <c r="D1550" s="7"/>
      <c r="E1550" s="7">
        <v>613401</v>
      </c>
      <c r="F1550" s="7"/>
      <c r="G1550" s="7" t="s">
        <v>1415</v>
      </c>
      <c r="H1550" s="7"/>
      <c r="I1550" s="27" t="s">
        <v>133</v>
      </c>
      <c r="J1550" s="7"/>
      <c r="K1550" s="27" t="s">
        <v>2208</v>
      </c>
      <c r="L1550" s="7"/>
    </row>
    <row r="1551" spans="1:12" x14ac:dyDescent="0.2">
      <c r="A1551" s="7"/>
      <c r="B1551" s="7"/>
      <c r="C1551" s="7"/>
      <c r="D1551" s="7"/>
      <c r="E1551" s="7">
        <v>613404</v>
      </c>
      <c r="F1551" s="7"/>
      <c r="G1551" s="7" t="s">
        <v>1416</v>
      </c>
      <c r="H1551" s="7"/>
      <c r="I1551" s="27" t="s">
        <v>133</v>
      </c>
      <c r="J1551" s="7"/>
      <c r="K1551" s="27" t="s">
        <v>2208</v>
      </c>
      <c r="L1551" s="7"/>
    </row>
    <row r="1552" spans="1:12" x14ac:dyDescent="0.2">
      <c r="A1552" s="7"/>
      <c r="B1552" s="7"/>
      <c r="C1552" s="7"/>
      <c r="D1552" s="7"/>
      <c r="E1552" s="7">
        <v>613405</v>
      </c>
      <c r="F1552" s="7"/>
      <c r="G1552" s="7" t="s">
        <v>1417</v>
      </c>
      <c r="H1552" s="7"/>
      <c r="I1552" s="27" t="s">
        <v>133</v>
      </c>
      <c r="J1552" s="7"/>
      <c r="K1552" s="27" t="s">
        <v>2208</v>
      </c>
      <c r="L1552" s="7"/>
    </row>
    <row r="1553" spans="1:12" x14ac:dyDescent="0.2">
      <c r="A1553" s="7"/>
      <c r="B1553" s="7"/>
      <c r="C1553" s="7"/>
      <c r="D1553" s="7"/>
      <c r="E1553" s="7">
        <v>613408</v>
      </c>
      <c r="F1553" s="7"/>
      <c r="G1553" s="7" t="s">
        <v>1418</v>
      </c>
      <c r="H1553" s="7"/>
      <c r="I1553" s="27" t="s">
        <v>133</v>
      </c>
      <c r="J1553" s="7"/>
      <c r="K1553" s="27" t="s">
        <v>2208</v>
      </c>
      <c r="L1553" s="7"/>
    </row>
    <row r="1554" spans="1:12" x14ac:dyDescent="0.2">
      <c r="A1554" s="7"/>
      <c r="B1554" s="7"/>
      <c r="C1554" s="7"/>
      <c r="D1554" s="7"/>
      <c r="E1554" s="7">
        <v>613409</v>
      </c>
      <c r="F1554" s="7"/>
      <c r="G1554" s="7" t="s">
        <v>1419</v>
      </c>
      <c r="H1554" s="7"/>
      <c r="I1554" s="27" t="s">
        <v>133</v>
      </c>
      <c r="J1554" s="7"/>
      <c r="K1554" s="27" t="s">
        <v>2208</v>
      </c>
      <c r="L1554" s="7"/>
    </row>
    <row r="1555" spans="1:12" x14ac:dyDescent="0.2">
      <c r="A1555" s="7"/>
      <c r="B1555" s="7"/>
      <c r="C1555" s="7"/>
      <c r="D1555" s="7"/>
      <c r="E1555" s="7">
        <v>613410</v>
      </c>
      <c r="F1555" s="7"/>
      <c r="G1555" s="7" t="s">
        <v>1420</v>
      </c>
      <c r="H1555" s="7"/>
      <c r="I1555" s="27" t="s">
        <v>133</v>
      </c>
      <c r="J1555" s="7"/>
      <c r="K1555" s="27" t="s">
        <v>2208</v>
      </c>
      <c r="L1555" s="7"/>
    </row>
    <row r="1556" spans="1:12" x14ac:dyDescent="0.2">
      <c r="A1556" s="7"/>
      <c r="B1556" s="7"/>
      <c r="C1556" s="7"/>
      <c r="D1556" s="7"/>
      <c r="E1556" s="7">
        <v>613411</v>
      </c>
      <c r="F1556" s="7"/>
      <c r="G1556" s="7" t="s">
        <v>1421</v>
      </c>
      <c r="H1556" s="7"/>
      <c r="I1556" s="27" t="s">
        <v>133</v>
      </c>
      <c r="J1556" s="7"/>
      <c r="K1556" s="27" t="s">
        <v>2208</v>
      </c>
      <c r="L1556" s="7"/>
    </row>
    <row r="1557" spans="1:12" x14ac:dyDescent="0.2">
      <c r="A1557" s="7"/>
      <c r="B1557" s="7"/>
      <c r="C1557" s="7"/>
      <c r="D1557" s="7"/>
      <c r="E1557" s="7">
        <v>613414</v>
      </c>
      <c r="F1557" s="7"/>
      <c r="G1557" s="7" t="s">
        <v>1422</v>
      </c>
      <c r="H1557" s="7"/>
      <c r="I1557" s="27" t="s">
        <v>133</v>
      </c>
      <c r="J1557" s="7"/>
      <c r="K1557" s="27" t="s">
        <v>2208</v>
      </c>
      <c r="L1557" s="7"/>
    </row>
    <row r="1558" spans="1:12" x14ac:dyDescent="0.2">
      <c r="A1558" s="7"/>
      <c r="B1558" s="7"/>
      <c r="C1558" s="7"/>
      <c r="D1558" s="7"/>
      <c r="E1558" s="7">
        <v>613415</v>
      </c>
      <c r="F1558" s="7"/>
      <c r="G1558" s="7" t="s">
        <v>1423</v>
      </c>
      <c r="H1558" s="7"/>
      <c r="I1558" s="27" t="s">
        <v>133</v>
      </c>
      <c r="J1558" s="7"/>
      <c r="K1558" s="27" t="s">
        <v>2208</v>
      </c>
      <c r="L1558" s="7"/>
    </row>
    <row r="1559" spans="1:12" x14ac:dyDescent="0.2">
      <c r="A1559" s="7"/>
      <c r="B1559" s="7"/>
      <c r="C1559" s="7"/>
      <c r="D1559" s="7"/>
      <c r="E1559" s="7">
        <v>613418</v>
      </c>
      <c r="F1559" s="7"/>
      <c r="G1559" s="7" t="s">
        <v>1424</v>
      </c>
      <c r="H1559" s="7"/>
      <c r="I1559" s="27" t="s">
        <v>133</v>
      </c>
      <c r="J1559" s="7"/>
      <c r="K1559" s="27" t="s">
        <v>2208</v>
      </c>
      <c r="L1559" s="7"/>
    </row>
    <row r="1560" spans="1:12" x14ac:dyDescent="0.2">
      <c r="A1560" s="7"/>
      <c r="B1560" s="7"/>
      <c r="C1560" s="7"/>
      <c r="D1560" s="7"/>
      <c r="E1560" s="7">
        <v>613419</v>
      </c>
      <c r="F1560" s="7"/>
      <c r="G1560" s="7" t="s">
        <v>1425</v>
      </c>
      <c r="H1560" s="7"/>
      <c r="I1560" s="27" t="s">
        <v>133</v>
      </c>
      <c r="J1560" s="7"/>
      <c r="K1560" s="27" t="s">
        <v>2208</v>
      </c>
      <c r="L1560" s="7"/>
    </row>
    <row r="1561" spans="1:12" x14ac:dyDescent="0.2">
      <c r="A1561" s="7"/>
      <c r="B1561" s="7"/>
      <c r="C1561" s="7"/>
      <c r="D1561" s="7"/>
      <c r="E1561" s="7">
        <v>613420</v>
      </c>
      <c r="F1561" s="7"/>
      <c r="G1561" s="7" t="s">
        <v>1426</v>
      </c>
      <c r="H1561" s="7"/>
      <c r="I1561" s="27" t="s">
        <v>133</v>
      </c>
      <c r="J1561" s="7"/>
      <c r="K1561" s="27" t="s">
        <v>2208</v>
      </c>
      <c r="L1561" s="7"/>
    </row>
    <row r="1562" spans="1:12" x14ac:dyDescent="0.2">
      <c r="A1562" s="7"/>
      <c r="B1562" s="7"/>
      <c r="C1562" s="7"/>
      <c r="D1562" s="7"/>
      <c r="E1562" s="7">
        <v>613421</v>
      </c>
      <c r="F1562" s="7"/>
      <c r="G1562" s="7" t="s">
        <v>1427</v>
      </c>
      <c r="H1562" s="7"/>
      <c r="I1562" s="27" t="s">
        <v>133</v>
      </c>
      <c r="J1562" s="7"/>
      <c r="K1562" s="27" t="s">
        <v>2208</v>
      </c>
      <c r="L1562" s="7"/>
    </row>
    <row r="1563" spans="1:12" x14ac:dyDescent="0.2">
      <c r="A1563" s="7"/>
      <c r="B1563" s="7"/>
      <c r="C1563" s="7"/>
      <c r="D1563" s="7"/>
      <c r="E1563" s="7">
        <v>613424</v>
      </c>
      <c r="F1563" s="7"/>
      <c r="G1563" s="7" t="s">
        <v>1428</v>
      </c>
      <c r="H1563" s="7"/>
      <c r="I1563" s="27" t="s">
        <v>133</v>
      </c>
      <c r="J1563" s="7"/>
      <c r="K1563" s="27" t="s">
        <v>2208</v>
      </c>
      <c r="L1563" s="7"/>
    </row>
    <row r="1564" spans="1:12" x14ac:dyDescent="0.2">
      <c r="A1564" s="7"/>
      <c r="B1564" s="7"/>
      <c r="C1564" s="7"/>
      <c r="D1564" s="7"/>
      <c r="E1564" s="7">
        <v>613425</v>
      </c>
      <c r="F1564" s="7"/>
      <c r="G1564" s="7" t="s">
        <v>1429</v>
      </c>
      <c r="H1564" s="7"/>
      <c r="I1564" s="27" t="s">
        <v>133</v>
      </c>
      <c r="J1564" s="7"/>
      <c r="K1564" s="27" t="s">
        <v>2208</v>
      </c>
      <c r="L1564" s="7"/>
    </row>
    <row r="1565" spans="1:12" x14ac:dyDescent="0.2">
      <c r="A1565" s="7"/>
      <c r="B1565" s="7"/>
      <c r="C1565" s="7"/>
      <c r="D1565" s="7"/>
      <c r="E1565" s="7">
        <v>613428</v>
      </c>
      <c r="F1565" s="7"/>
      <c r="G1565" s="7" t="s">
        <v>1430</v>
      </c>
      <c r="H1565" s="7"/>
      <c r="I1565" s="27" t="s">
        <v>133</v>
      </c>
      <c r="J1565" s="7"/>
      <c r="K1565" s="27" t="s">
        <v>2208</v>
      </c>
      <c r="L1565" s="7"/>
    </row>
    <row r="1566" spans="1:12" x14ac:dyDescent="0.2">
      <c r="A1566" s="7"/>
      <c r="B1566" s="7"/>
      <c r="C1566" s="7"/>
      <c r="D1566" s="7"/>
      <c r="E1566" s="7">
        <v>613429</v>
      </c>
      <c r="F1566" s="7"/>
      <c r="G1566" s="7" t="s">
        <v>1431</v>
      </c>
      <c r="H1566" s="7"/>
      <c r="I1566" s="27" t="s">
        <v>133</v>
      </c>
      <c r="J1566" s="7"/>
      <c r="K1566" s="27" t="s">
        <v>2208</v>
      </c>
      <c r="L1566" s="7"/>
    </row>
    <row r="1567" spans="1:12" x14ac:dyDescent="0.2">
      <c r="A1567" s="7"/>
      <c r="B1567" s="7"/>
      <c r="C1567" s="7"/>
      <c r="D1567" s="7"/>
      <c r="E1567" s="7">
        <v>613430</v>
      </c>
      <c r="F1567" s="7"/>
      <c r="G1567" s="7" t="s">
        <v>1432</v>
      </c>
      <c r="H1567" s="7"/>
      <c r="I1567" s="27" t="s">
        <v>133</v>
      </c>
      <c r="J1567" s="7"/>
      <c r="K1567" s="27" t="s">
        <v>2208</v>
      </c>
      <c r="L1567" s="7"/>
    </row>
    <row r="1568" spans="1:12" x14ac:dyDescent="0.2">
      <c r="A1568" s="7"/>
      <c r="B1568" s="7"/>
      <c r="C1568" s="7"/>
      <c r="D1568" s="7"/>
      <c r="E1568" s="7">
        <v>613431</v>
      </c>
      <c r="F1568" s="7"/>
      <c r="G1568" s="7" t="s">
        <v>1433</v>
      </c>
      <c r="H1568" s="7"/>
      <c r="I1568" s="27" t="s">
        <v>133</v>
      </c>
      <c r="J1568" s="7"/>
      <c r="K1568" s="27" t="s">
        <v>2208</v>
      </c>
      <c r="L1568" s="7"/>
    </row>
    <row r="1569" spans="1:12" x14ac:dyDescent="0.2">
      <c r="A1569" s="7"/>
      <c r="B1569" s="7"/>
      <c r="C1569" s="7"/>
      <c r="D1569" s="7"/>
      <c r="E1569" s="7">
        <v>613434</v>
      </c>
      <c r="F1569" s="7"/>
      <c r="G1569" s="7" t="s">
        <v>1434</v>
      </c>
      <c r="H1569" s="7"/>
      <c r="I1569" s="27" t="s">
        <v>133</v>
      </c>
      <c r="J1569" s="7"/>
      <c r="K1569" s="27" t="s">
        <v>2208</v>
      </c>
      <c r="L1569" s="7"/>
    </row>
    <row r="1570" spans="1:12" x14ac:dyDescent="0.2">
      <c r="A1570" s="7"/>
      <c r="B1570" s="7"/>
      <c r="C1570" s="7"/>
      <c r="D1570" s="7"/>
      <c r="E1570" s="7">
        <v>613435</v>
      </c>
      <c r="F1570" s="7"/>
      <c r="G1570" s="7" t="s">
        <v>1435</v>
      </c>
      <c r="H1570" s="7"/>
      <c r="I1570" s="27" t="s">
        <v>133</v>
      </c>
      <c r="J1570" s="7"/>
      <c r="K1570" s="27" t="s">
        <v>2208</v>
      </c>
      <c r="L1570" s="7"/>
    </row>
    <row r="1571" spans="1:12" x14ac:dyDescent="0.2">
      <c r="A1571" s="7"/>
      <c r="B1571" s="7"/>
      <c r="C1571" s="7"/>
      <c r="D1571" s="7"/>
      <c r="E1571" s="7">
        <v>613438</v>
      </c>
      <c r="F1571" s="7"/>
      <c r="G1571" s="7" t="s">
        <v>1436</v>
      </c>
      <c r="H1571" s="7"/>
      <c r="I1571" s="27" t="s">
        <v>133</v>
      </c>
      <c r="J1571" s="7"/>
      <c r="K1571" s="27" t="s">
        <v>2208</v>
      </c>
      <c r="L1571" s="7"/>
    </row>
    <row r="1572" spans="1:12" x14ac:dyDescent="0.2">
      <c r="A1572" s="7"/>
      <c r="B1572" s="7"/>
      <c r="C1572" s="7"/>
      <c r="D1572" s="7"/>
      <c r="E1572" s="7">
        <v>613439</v>
      </c>
      <c r="F1572" s="7"/>
      <c r="G1572" s="7" t="s">
        <v>1437</v>
      </c>
      <c r="H1572" s="7"/>
      <c r="I1572" s="27" t="s">
        <v>133</v>
      </c>
      <c r="J1572" s="7"/>
      <c r="K1572" s="27" t="s">
        <v>2208</v>
      </c>
      <c r="L1572" s="7"/>
    </row>
    <row r="1573" spans="1:12" x14ac:dyDescent="0.2">
      <c r="A1573" s="7"/>
      <c r="B1573" s="7"/>
      <c r="C1573" s="7"/>
      <c r="D1573" s="7"/>
      <c r="E1573" s="7">
        <v>613440</v>
      </c>
      <c r="F1573" s="7"/>
      <c r="G1573" s="7" t="s">
        <v>1438</v>
      </c>
      <c r="H1573" s="7"/>
      <c r="I1573" s="27" t="s">
        <v>133</v>
      </c>
      <c r="J1573" s="7"/>
      <c r="K1573" s="27" t="s">
        <v>2208</v>
      </c>
      <c r="L1573" s="7"/>
    </row>
    <row r="1574" spans="1:12" x14ac:dyDescent="0.2">
      <c r="A1574" s="7"/>
      <c r="B1574" s="7"/>
      <c r="C1574" s="7"/>
      <c r="D1574" s="7"/>
      <c r="E1574" s="7">
        <v>613441</v>
      </c>
      <c r="F1574" s="7"/>
      <c r="G1574" s="7" t="s">
        <v>1439</v>
      </c>
      <c r="H1574" s="7"/>
      <c r="I1574" s="27" t="s">
        <v>133</v>
      </c>
      <c r="J1574" s="7"/>
      <c r="K1574" s="27" t="s">
        <v>2208</v>
      </c>
      <c r="L1574" s="7"/>
    </row>
    <row r="1575" spans="1:12" x14ac:dyDescent="0.2">
      <c r="A1575" s="7"/>
      <c r="B1575" s="7"/>
      <c r="C1575" s="7"/>
      <c r="D1575" s="7"/>
      <c r="E1575" s="7">
        <v>613448</v>
      </c>
      <c r="F1575" s="7"/>
      <c r="G1575" s="7" t="s">
        <v>1440</v>
      </c>
      <c r="H1575" s="7"/>
      <c r="I1575" s="27" t="s">
        <v>133</v>
      </c>
      <c r="J1575" s="7"/>
      <c r="K1575" s="27" t="s">
        <v>2208</v>
      </c>
      <c r="L1575" s="7"/>
    </row>
    <row r="1576" spans="1:12" x14ac:dyDescent="0.2">
      <c r="A1576" s="7"/>
      <c r="B1576" s="7"/>
      <c r="C1576" s="7"/>
      <c r="D1576" s="7"/>
      <c r="E1576" s="7">
        <v>613449</v>
      </c>
      <c r="F1576" s="7"/>
      <c r="G1576" s="7" t="s">
        <v>1441</v>
      </c>
      <c r="H1576" s="7"/>
      <c r="I1576" s="27" t="s">
        <v>133</v>
      </c>
      <c r="J1576" s="7"/>
      <c r="K1576" s="27" t="s">
        <v>2208</v>
      </c>
      <c r="L1576" s="7"/>
    </row>
    <row r="1577" spans="1:12" x14ac:dyDescent="0.2">
      <c r="A1577" s="7"/>
      <c r="B1577" s="7"/>
      <c r="C1577" s="7"/>
      <c r="D1577" s="7"/>
      <c r="E1577" s="7">
        <v>613450</v>
      </c>
      <c r="F1577" s="7"/>
      <c r="G1577" s="7" t="s">
        <v>1442</v>
      </c>
      <c r="H1577" s="7"/>
      <c r="I1577" s="27" t="s">
        <v>133</v>
      </c>
      <c r="J1577" s="7"/>
      <c r="K1577" s="27" t="s">
        <v>2208</v>
      </c>
      <c r="L1577" s="7"/>
    </row>
    <row r="1578" spans="1:12" x14ac:dyDescent="0.2">
      <c r="A1578" s="7"/>
      <c r="B1578" s="7"/>
      <c r="C1578" s="7"/>
      <c r="D1578" s="7"/>
      <c r="E1578" s="7">
        <v>613451</v>
      </c>
      <c r="F1578" s="7"/>
      <c r="G1578" s="7" t="s">
        <v>1443</v>
      </c>
      <c r="H1578" s="7"/>
      <c r="I1578" s="27" t="s">
        <v>133</v>
      </c>
      <c r="J1578" s="7"/>
      <c r="K1578" s="27" t="s">
        <v>2208</v>
      </c>
      <c r="L1578" s="7"/>
    </row>
    <row r="1579" spans="1:12" x14ac:dyDescent="0.2">
      <c r="A1579" s="7"/>
      <c r="B1579" s="7"/>
      <c r="C1579" s="7"/>
      <c r="D1579" s="7"/>
      <c r="E1579" s="7">
        <v>613452</v>
      </c>
      <c r="F1579" s="7"/>
      <c r="G1579" s="7" t="s">
        <v>1444</v>
      </c>
      <c r="H1579" s="7"/>
      <c r="I1579" s="27" t="s">
        <v>133</v>
      </c>
      <c r="J1579" s="7"/>
      <c r="K1579" s="27" t="s">
        <v>2208</v>
      </c>
      <c r="L1579" s="7"/>
    </row>
    <row r="1580" spans="1:12" x14ac:dyDescent="0.2">
      <c r="A1580" s="7"/>
      <c r="B1580" s="7"/>
      <c r="C1580" s="7"/>
      <c r="D1580" s="7"/>
      <c r="E1580" s="7">
        <v>613453</v>
      </c>
      <c r="F1580" s="7"/>
      <c r="G1580" s="7" t="s">
        <v>1445</v>
      </c>
      <c r="H1580" s="7"/>
      <c r="I1580" s="27" t="s">
        <v>133</v>
      </c>
      <c r="J1580" s="7"/>
      <c r="K1580" s="27" t="s">
        <v>2208</v>
      </c>
      <c r="L1580" s="7"/>
    </row>
    <row r="1581" spans="1:12" x14ac:dyDescent="0.2">
      <c r="A1581" s="7"/>
      <c r="B1581" s="7"/>
      <c r="C1581" s="7"/>
      <c r="D1581" s="7"/>
      <c r="E1581" s="7">
        <v>613454</v>
      </c>
      <c r="F1581" s="7"/>
      <c r="G1581" s="7" t="s">
        <v>1446</v>
      </c>
      <c r="H1581" s="7"/>
      <c r="I1581" s="27" t="s">
        <v>133</v>
      </c>
      <c r="J1581" s="7"/>
      <c r="K1581" s="27" t="s">
        <v>2208</v>
      </c>
      <c r="L1581" s="7"/>
    </row>
    <row r="1582" spans="1:12" x14ac:dyDescent="0.2">
      <c r="A1582" s="7"/>
      <c r="B1582" s="7"/>
      <c r="C1582" s="7"/>
      <c r="D1582" s="7"/>
      <c r="E1582" s="7">
        <v>613455</v>
      </c>
      <c r="F1582" s="7"/>
      <c r="G1582" s="7" t="s">
        <v>1447</v>
      </c>
      <c r="H1582" s="7"/>
      <c r="I1582" s="27" t="s">
        <v>133</v>
      </c>
      <c r="J1582" s="7"/>
      <c r="K1582" s="27" t="s">
        <v>2208</v>
      </c>
      <c r="L1582" s="7"/>
    </row>
    <row r="1583" spans="1:12" x14ac:dyDescent="0.2">
      <c r="A1583" s="7"/>
      <c r="B1583" s="7"/>
      <c r="C1583" s="7"/>
      <c r="D1583" s="7"/>
      <c r="E1583" s="7">
        <v>613460</v>
      </c>
      <c r="F1583" s="7"/>
      <c r="G1583" s="7" t="s">
        <v>1448</v>
      </c>
      <c r="H1583" s="7"/>
      <c r="I1583" s="27" t="s">
        <v>133</v>
      </c>
      <c r="J1583" s="7"/>
      <c r="K1583" s="27" t="s">
        <v>2208</v>
      </c>
      <c r="L1583" s="7"/>
    </row>
    <row r="1584" spans="1:12" x14ac:dyDescent="0.2">
      <c r="A1584" s="7"/>
      <c r="B1584" s="7"/>
      <c r="C1584" s="7"/>
      <c r="D1584" s="7"/>
      <c r="E1584" s="7">
        <v>613461</v>
      </c>
      <c r="F1584" s="7"/>
      <c r="G1584" s="7" t="s">
        <v>1449</v>
      </c>
      <c r="H1584" s="7"/>
      <c r="I1584" s="27" t="s">
        <v>133</v>
      </c>
      <c r="J1584" s="7"/>
      <c r="K1584" s="27" t="s">
        <v>2208</v>
      </c>
      <c r="L1584" s="7"/>
    </row>
    <row r="1585" spans="1:12" x14ac:dyDescent="0.2">
      <c r="A1585" s="7"/>
      <c r="B1585" s="7"/>
      <c r="C1585" s="7"/>
      <c r="D1585" s="7"/>
      <c r="E1585" s="7">
        <v>613462</v>
      </c>
      <c r="F1585" s="7"/>
      <c r="G1585" s="7" t="s">
        <v>1450</v>
      </c>
      <c r="H1585" s="7"/>
      <c r="I1585" s="27" t="s">
        <v>133</v>
      </c>
      <c r="J1585" s="7"/>
      <c r="K1585" s="27" t="s">
        <v>2208</v>
      </c>
      <c r="L1585" s="7"/>
    </row>
    <row r="1586" spans="1:12" x14ac:dyDescent="0.2">
      <c r="A1586" s="7"/>
      <c r="B1586" s="7"/>
      <c r="C1586" s="7"/>
      <c r="D1586" s="7"/>
      <c r="E1586" s="7">
        <v>613463</v>
      </c>
      <c r="F1586" s="7"/>
      <c r="G1586" s="7" t="s">
        <v>1451</v>
      </c>
      <c r="H1586" s="7"/>
      <c r="I1586" s="27" t="s">
        <v>133</v>
      </c>
      <c r="J1586" s="7"/>
      <c r="K1586" s="27" t="s">
        <v>2208</v>
      </c>
      <c r="L1586" s="7"/>
    </row>
    <row r="1587" spans="1:12" x14ac:dyDescent="0.2">
      <c r="A1587" s="7"/>
      <c r="B1587" s="7"/>
      <c r="C1587" s="7"/>
      <c r="D1587" s="7"/>
      <c r="E1587" s="7">
        <v>613464</v>
      </c>
      <c r="F1587" s="7"/>
      <c r="G1587" s="7" t="s">
        <v>1452</v>
      </c>
      <c r="H1587" s="7"/>
      <c r="I1587" s="27" t="s">
        <v>133</v>
      </c>
      <c r="J1587" s="7"/>
      <c r="K1587" s="27" t="s">
        <v>2208</v>
      </c>
      <c r="L1587" s="7"/>
    </row>
    <row r="1588" spans="1:12" x14ac:dyDescent="0.2">
      <c r="A1588" s="7"/>
      <c r="B1588" s="7"/>
      <c r="C1588" s="7"/>
      <c r="D1588" s="7"/>
      <c r="E1588" s="7">
        <v>613465</v>
      </c>
      <c r="F1588" s="7"/>
      <c r="G1588" s="7" t="s">
        <v>1453</v>
      </c>
      <c r="H1588" s="7"/>
      <c r="I1588" s="27" t="s">
        <v>133</v>
      </c>
      <c r="J1588" s="7"/>
      <c r="K1588" s="27" t="s">
        <v>2208</v>
      </c>
      <c r="L1588" s="7"/>
    </row>
    <row r="1589" spans="1:12" x14ac:dyDescent="0.2">
      <c r="A1589" s="7"/>
      <c r="B1589" s="7"/>
      <c r="C1589" s="7"/>
      <c r="D1589" s="7"/>
      <c r="E1589" s="7">
        <v>613466</v>
      </c>
      <c r="F1589" s="7"/>
      <c r="G1589" s="7" t="s">
        <v>631</v>
      </c>
      <c r="H1589" s="7"/>
      <c r="I1589" s="27" t="s">
        <v>71</v>
      </c>
      <c r="J1589" s="7"/>
      <c r="K1589" s="27" t="s">
        <v>2208</v>
      </c>
      <c r="L1589" s="7"/>
    </row>
    <row r="1590" spans="1:12" x14ac:dyDescent="0.2">
      <c r="A1590" s="7"/>
      <c r="B1590" s="7"/>
      <c r="C1590" s="7"/>
      <c r="D1590" s="7"/>
      <c r="E1590" s="7">
        <v>613468</v>
      </c>
      <c r="F1590" s="7"/>
      <c r="G1590" s="7" t="s">
        <v>1454</v>
      </c>
      <c r="H1590" s="7"/>
      <c r="I1590" s="27" t="s">
        <v>133</v>
      </c>
      <c r="J1590" s="7"/>
      <c r="K1590" s="27" t="s">
        <v>2208</v>
      </c>
      <c r="L1590" s="7"/>
    </row>
    <row r="1591" spans="1:12" x14ac:dyDescent="0.2">
      <c r="A1591" s="7"/>
      <c r="B1591" s="7"/>
      <c r="C1591" s="7"/>
      <c r="D1591" s="7"/>
      <c r="E1591" s="7">
        <v>613469</v>
      </c>
      <c r="F1591" s="7"/>
      <c r="G1591" s="7" t="s">
        <v>1455</v>
      </c>
      <c r="H1591" s="7"/>
      <c r="I1591" s="27" t="s">
        <v>133</v>
      </c>
      <c r="J1591" s="7"/>
      <c r="K1591" s="27" t="s">
        <v>2208</v>
      </c>
      <c r="L1591" s="7"/>
    </row>
    <row r="1592" spans="1:12" x14ac:dyDescent="0.2">
      <c r="A1592" s="7"/>
      <c r="B1592" s="7"/>
      <c r="C1592" s="7"/>
      <c r="D1592" s="7"/>
      <c r="E1592" s="7">
        <v>613470</v>
      </c>
      <c r="F1592" s="7"/>
      <c r="G1592" s="7" t="s">
        <v>815</v>
      </c>
      <c r="H1592" s="7"/>
      <c r="I1592" s="27" t="s">
        <v>47</v>
      </c>
      <c r="J1592" s="7"/>
      <c r="K1592" s="27" t="s">
        <v>2208</v>
      </c>
      <c r="L1592" s="7"/>
    </row>
    <row r="1593" spans="1:12" x14ac:dyDescent="0.2">
      <c r="A1593" s="7"/>
      <c r="B1593" s="7"/>
      <c r="C1593" s="7"/>
      <c r="D1593" s="7"/>
      <c r="E1593" s="7">
        <v>613471</v>
      </c>
      <c r="F1593" s="7"/>
      <c r="G1593" s="7" t="s">
        <v>816</v>
      </c>
      <c r="H1593" s="7"/>
      <c r="I1593" s="27" t="s">
        <v>47</v>
      </c>
      <c r="J1593" s="7"/>
      <c r="K1593" s="27" t="s">
        <v>2208</v>
      </c>
      <c r="L1593" s="7"/>
    </row>
    <row r="1594" spans="1:12" x14ac:dyDescent="0.2">
      <c r="A1594" s="7"/>
      <c r="B1594" s="7"/>
      <c r="C1594" s="7"/>
      <c r="D1594" s="7"/>
      <c r="E1594" s="7">
        <v>613472</v>
      </c>
      <c r="F1594" s="7"/>
      <c r="G1594" s="7" t="s">
        <v>817</v>
      </c>
      <c r="H1594" s="7"/>
      <c r="I1594" s="27" t="s">
        <v>47</v>
      </c>
      <c r="J1594" s="7"/>
      <c r="K1594" s="27" t="s">
        <v>2208</v>
      </c>
      <c r="L1594" s="7"/>
    </row>
    <row r="1595" spans="1:12" x14ac:dyDescent="0.2">
      <c r="A1595" s="7"/>
      <c r="B1595" s="7"/>
      <c r="C1595" s="7"/>
      <c r="D1595" s="7"/>
      <c r="E1595" s="7">
        <v>613473</v>
      </c>
      <c r="F1595" s="7"/>
      <c r="G1595" s="7" t="s">
        <v>818</v>
      </c>
      <c r="H1595" s="7"/>
      <c r="I1595" s="27" t="s">
        <v>47</v>
      </c>
      <c r="J1595" s="7"/>
      <c r="K1595" s="27" t="s">
        <v>2208</v>
      </c>
      <c r="L1595" s="7"/>
    </row>
    <row r="1596" spans="1:12" x14ac:dyDescent="0.2">
      <c r="A1596" s="7"/>
      <c r="B1596" s="7"/>
      <c r="C1596" s="7"/>
      <c r="D1596" s="7"/>
      <c r="E1596" s="7">
        <v>613474</v>
      </c>
      <c r="F1596" s="7"/>
      <c r="G1596" s="7" t="s">
        <v>819</v>
      </c>
      <c r="H1596" s="7"/>
      <c r="I1596" s="27" t="s">
        <v>47</v>
      </c>
      <c r="J1596" s="7"/>
      <c r="K1596" s="27" t="s">
        <v>2208</v>
      </c>
      <c r="L1596" s="7"/>
    </row>
    <row r="1597" spans="1:12" x14ac:dyDescent="0.2">
      <c r="A1597" s="7"/>
      <c r="B1597" s="7"/>
      <c r="C1597" s="7"/>
      <c r="D1597" s="7"/>
      <c r="E1597" s="7">
        <v>613475</v>
      </c>
      <c r="F1597" s="7"/>
      <c r="G1597" s="7" t="s">
        <v>820</v>
      </c>
      <c r="H1597" s="7"/>
      <c r="I1597" s="27" t="s">
        <v>133</v>
      </c>
      <c r="J1597" s="7"/>
      <c r="K1597" s="27" t="s">
        <v>2208</v>
      </c>
      <c r="L1597" s="7"/>
    </row>
    <row r="1598" spans="1:12" x14ac:dyDescent="0.2">
      <c r="A1598" s="7"/>
      <c r="B1598" s="7"/>
      <c r="C1598" s="7"/>
      <c r="D1598" s="7"/>
      <c r="E1598" s="7">
        <v>613476</v>
      </c>
      <c r="F1598" s="7"/>
      <c r="G1598" s="7" t="s">
        <v>821</v>
      </c>
      <c r="H1598" s="7"/>
      <c r="I1598" s="27" t="s">
        <v>133</v>
      </c>
      <c r="J1598" s="7"/>
      <c r="K1598" s="27" t="s">
        <v>2208</v>
      </c>
      <c r="L1598" s="7"/>
    </row>
    <row r="1599" spans="1:12" x14ac:dyDescent="0.2">
      <c r="A1599" s="7"/>
      <c r="B1599" s="7"/>
      <c r="C1599" s="7"/>
      <c r="D1599" s="7"/>
      <c r="E1599" s="7">
        <v>613477</v>
      </c>
      <c r="F1599" s="7"/>
      <c r="G1599" s="7" t="s">
        <v>822</v>
      </c>
      <c r="H1599" s="7"/>
      <c r="I1599" s="27" t="s">
        <v>133</v>
      </c>
      <c r="J1599" s="7"/>
      <c r="K1599" s="27" t="s">
        <v>2208</v>
      </c>
      <c r="L1599" s="7"/>
    </row>
    <row r="1600" spans="1:12" x14ac:dyDescent="0.2">
      <c r="A1600" s="7"/>
      <c r="B1600" s="7"/>
      <c r="C1600" s="7"/>
      <c r="D1600" s="7"/>
      <c r="E1600" s="7">
        <v>613478</v>
      </c>
      <c r="F1600" s="7"/>
      <c r="G1600" s="7" t="s">
        <v>823</v>
      </c>
      <c r="H1600" s="7"/>
      <c r="I1600" s="27" t="s">
        <v>133</v>
      </c>
      <c r="J1600" s="7"/>
      <c r="K1600" s="27" t="s">
        <v>2208</v>
      </c>
      <c r="L1600" s="7"/>
    </row>
    <row r="1601" spans="1:12" x14ac:dyDescent="0.2">
      <c r="A1601" s="7"/>
      <c r="B1601" s="7"/>
      <c r="C1601" s="7"/>
      <c r="D1601" s="7"/>
      <c r="E1601" s="7">
        <v>613479</v>
      </c>
      <c r="F1601" s="7"/>
      <c r="G1601" s="7" t="s">
        <v>824</v>
      </c>
      <c r="H1601" s="7"/>
      <c r="I1601" s="27" t="s">
        <v>133</v>
      </c>
      <c r="J1601" s="7"/>
      <c r="K1601" s="27" t="s">
        <v>2208</v>
      </c>
      <c r="L1601" s="7"/>
    </row>
    <row r="1602" spans="1:12" x14ac:dyDescent="0.2">
      <c r="A1602" s="7"/>
      <c r="B1602" s="7"/>
      <c r="C1602" s="7"/>
      <c r="D1602" s="7"/>
      <c r="E1602" s="7">
        <v>613487</v>
      </c>
      <c r="F1602" s="7"/>
      <c r="G1602" s="7" t="s">
        <v>1456</v>
      </c>
      <c r="H1602" s="7"/>
      <c r="I1602" s="27" t="s">
        <v>71</v>
      </c>
      <c r="J1602" s="7"/>
      <c r="K1602" s="27" t="s">
        <v>2208</v>
      </c>
      <c r="L1602" s="7"/>
    </row>
    <row r="1603" spans="1:12" x14ac:dyDescent="0.2">
      <c r="A1603" s="7"/>
      <c r="B1603" s="7"/>
      <c r="C1603" s="7"/>
      <c r="D1603" s="7"/>
      <c r="E1603" s="7">
        <v>613488</v>
      </c>
      <c r="F1603" s="7"/>
      <c r="G1603" s="7" t="s">
        <v>1457</v>
      </c>
      <c r="H1603" s="7"/>
      <c r="I1603" s="27" t="s">
        <v>71</v>
      </c>
      <c r="J1603" s="7"/>
      <c r="K1603" s="27" t="s">
        <v>2208</v>
      </c>
      <c r="L1603" s="7"/>
    </row>
    <row r="1604" spans="1:12" x14ac:dyDescent="0.2">
      <c r="A1604" s="7"/>
      <c r="B1604" s="7"/>
      <c r="C1604" s="7"/>
      <c r="D1604" s="7"/>
      <c r="E1604" s="7">
        <v>613490</v>
      </c>
      <c r="F1604" s="7"/>
      <c r="G1604" s="7" t="s">
        <v>1458</v>
      </c>
      <c r="H1604" s="7"/>
      <c r="I1604" s="27" t="s">
        <v>71</v>
      </c>
      <c r="J1604" s="7"/>
      <c r="K1604" s="27" t="s">
        <v>2208</v>
      </c>
      <c r="L1604" s="7"/>
    </row>
    <row r="1605" spans="1:12" x14ac:dyDescent="0.2">
      <c r="A1605" s="7"/>
      <c r="B1605" s="7"/>
      <c r="C1605" s="7"/>
      <c r="D1605" s="7"/>
      <c r="E1605" s="7">
        <v>613491</v>
      </c>
      <c r="F1605" s="7"/>
      <c r="G1605" s="7" t="s">
        <v>1459</v>
      </c>
      <c r="H1605" s="7"/>
      <c r="I1605" s="27" t="s">
        <v>71</v>
      </c>
      <c r="J1605" s="7"/>
      <c r="K1605" s="27" t="s">
        <v>2208</v>
      </c>
      <c r="L1605" s="7"/>
    </row>
    <row r="1606" spans="1:12" x14ac:dyDescent="0.2">
      <c r="A1606" s="7"/>
      <c r="B1606" s="7"/>
      <c r="C1606" s="7"/>
      <c r="D1606" s="7"/>
      <c r="E1606" s="7">
        <v>613500</v>
      </c>
      <c r="F1606" s="7"/>
      <c r="G1606" s="7" t="s">
        <v>1460</v>
      </c>
      <c r="H1606" s="7"/>
      <c r="I1606" s="27" t="s">
        <v>133</v>
      </c>
      <c r="J1606" s="7"/>
      <c r="K1606" s="27" t="s">
        <v>2208</v>
      </c>
      <c r="L1606" s="7"/>
    </row>
    <row r="1607" spans="1:12" x14ac:dyDescent="0.2">
      <c r="A1607" s="7"/>
      <c r="B1607" s="7"/>
      <c r="C1607" s="7"/>
      <c r="D1607" s="7"/>
      <c r="E1607" s="7">
        <v>613501</v>
      </c>
      <c r="F1607" s="7"/>
      <c r="G1607" s="7" t="s">
        <v>1461</v>
      </c>
      <c r="H1607" s="7"/>
      <c r="I1607" s="27" t="s">
        <v>133</v>
      </c>
      <c r="J1607" s="7"/>
      <c r="K1607" s="27" t="s">
        <v>2208</v>
      </c>
      <c r="L1607" s="7"/>
    </row>
    <row r="1608" spans="1:12" x14ac:dyDescent="0.2">
      <c r="A1608" s="7"/>
      <c r="B1608" s="7"/>
      <c r="C1608" s="7"/>
      <c r="D1608" s="7"/>
      <c r="E1608" s="7">
        <v>613502</v>
      </c>
      <c r="F1608" s="7"/>
      <c r="G1608" s="7" t="s">
        <v>1462</v>
      </c>
      <c r="H1608" s="7"/>
      <c r="I1608" s="27" t="s">
        <v>133</v>
      </c>
      <c r="J1608" s="7"/>
      <c r="K1608" s="27" t="s">
        <v>2208</v>
      </c>
      <c r="L1608" s="7"/>
    </row>
    <row r="1609" spans="1:12" x14ac:dyDescent="0.2">
      <c r="A1609" s="7"/>
      <c r="B1609" s="7"/>
      <c r="C1609" s="7"/>
      <c r="D1609" s="7"/>
      <c r="E1609" s="7">
        <v>613503</v>
      </c>
      <c r="F1609" s="7"/>
      <c r="G1609" s="7" t="s">
        <v>1463</v>
      </c>
      <c r="H1609" s="7"/>
      <c r="I1609" s="27" t="s">
        <v>133</v>
      </c>
      <c r="J1609" s="7"/>
      <c r="K1609" s="27" t="s">
        <v>2208</v>
      </c>
      <c r="L1609" s="7"/>
    </row>
    <row r="1610" spans="1:12" x14ac:dyDescent="0.2">
      <c r="A1610" s="7"/>
      <c r="B1610" s="7"/>
      <c r="C1610" s="7"/>
      <c r="D1610" s="7"/>
      <c r="E1610" s="7">
        <v>613504</v>
      </c>
      <c r="F1610" s="7"/>
      <c r="G1610" s="7" t="s">
        <v>1464</v>
      </c>
      <c r="H1610" s="7"/>
      <c r="I1610" s="27" t="s">
        <v>133</v>
      </c>
      <c r="J1610" s="7"/>
      <c r="K1610" s="27" t="s">
        <v>2208</v>
      </c>
      <c r="L1610" s="7"/>
    </row>
    <row r="1611" spans="1:12" x14ac:dyDescent="0.2">
      <c r="A1611" s="7"/>
      <c r="B1611" s="7"/>
      <c r="C1611" s="7"/>
      <c r="D1611" s="7"/>
      <c r="E1611" s="7">
        <v>613505</v>
      </c>
      <c r="F1611" s="7"/>
      <c r="G1611" s="7" t="s">
        <v>1465</v>
      </c>
      <c r="H1611" s="7"/>
      <c r="I1611" s="27" t="s">
        <v>133</v>
      </c>
      <c r="J1611" s="7"/>
      <c r="K1611" s="27" t="s">
        <v>2208</v>
      </c>
      <c r="L1611" s="7"/>
    </row>
    <row r="1612" spans="1:12" x14ac:dyDescent="0.2">
      <c r="A1612" s="7"/>
      <c r="B1612" s="7"/>
      <c r="C1612" s="7"/>
      <c r="D1612" s="7"/>
      <c r="E1612" s="7">
        <v>613506</v>
      </c>
      <c r="F1612" s="7"/>
      <c r="G1612" s="7" t="s">
        <v>1466</v>
      </c>
      <c r="H1612" s="7"/>
      <c r="I1612" s="27" t="s">
        <v>133</v>
      </c>
      <c r="J1612" s="7"/>
      <c r="K1612" s="27" t="s">
        <v>2208</v>
      </c>
      <c r="L1612" s="7"/>
    </row>
    <row r="1613" spans="1:12" x14ac:dyDescent="0.2">
      <c r="A1613" s="7"/>
      <c r="B1613" s="7"/>
      <c r="C1613" s="7"/>
      <c r="D1613" s="7"/>
      <c r="E1613" s="7">
        <v>613507</v>
      </c>
      <c r="F1613" s="7"/>
      <c r="G1613" s="7" t="s">
        <v>1467</v>
      </c>
      <c r="H1613" s="7"/>
      <c r="I1613" s="27" t="s">
        <v>133</v>
      </c>
      <c r="J1613" s="7"/>
      <c r="K1613" s="27" t="s">
        <v>2208</v>
      </c>
      <c r="L1613" s="7"/>
    </row>
    <row r="1614" spans="1:12" x14ac:dyDescent="0.2">
      <c r="A1614" s="7"/>
      <c r="B1614" s="7"/>
      <c r="C1614" s="7"/>
      <c r="D1614" s="7"/>
      <c r="E1614" s="7">
        <v>613508</v>
      </c>
      <c r="F1614" s="7"/>
      <c r="G1614" s="7" t="s">
        <v>1468</v>
      </c>
      <c r="H1614" s="7"/>
      <c r="I1614" s="27" t="s">
        <v>133</v>
      </c>
      <c r="J1614" s="7"/>
      <c r="K1614" s="27" t="s">
        <v>2208</v>
      </c>
      <c r="L1614" s="7"/>
    </row>
    <row r="1615" spans="1:12" x14ac:dyDescent="0.2">
      <c r="A1615" s="7"/>
      <c r="B1615" s="7"/>
      <c r="C1615" s="7"/>
      <c r="D1615" s="7"/>
      <c r="E1615" s="7">
        <v>613509</v>
      </c>
      <c r="F1615" s="7"/>
      <c r="G1615" s="7" t="s">
        <v>1469</v>
      </c>
      <c r="H1615" s="7"/>
      <c r="I1615" s="27" t="s">
        <v>133</v>
      </c>
      <c r="J1615" s="7"/>
      <c r="K1615" s="27" t="s">
        <v>2208</v>
      </c>
      <c r="L1615" s="7"/>
    </row>
    <row r="1616" spans="1:12" x14ac:dyDescent="0.2">
      <c r="A1616" s="7"/>
      <c r="B1616" s="7"/>
      <c r="C1616" s="7"/>
      <c r="D1616" s="7"/>
      <c r="E1616" s="7">
        <v>613510</v>
      </c>
      <c r="F1616" s="7"/>
      <c r="G1616" s="7" t="s">
        <v>1470</v>
      </c>
      <c r="H1616" s="7"/>
      <c r="I1616" s="27" t="s">
        <v>133</v>
      </c>
      <c r="J1616" s="7"/>
      <c r="K1616" s="27" t="s">
        <v>2208</v>
      </c>
      <c r="L1616" s="7"/>
    </row>
    <row r="1617" spans="1:12" x14ac:dyDescent="0.2">
      <c r="A1617" s="7"/>
      <c r="B1617" s="7"/>
      <c r="C1617" s="7"/>
      <c r="D1617" s="7"/>
      <c r="E1617" s="7">
        <v>613511</v>
      </c>
      <c r="F1617" s="7"/>
      <c r="G1617" s="7" t="s">
        <v>1471</v>
      </c>
      <c r="H1617" s="7"/>
      <c r="I1617" s="27" t="s">
        <v>133</v>
      </c>
      <c r="J1617" s="7"/>
      <c r="K1617" s="27" t="s">
        <v>2208</v>
      </c>
      <c r="L1617" s="7"/>
    </row>
    <row r="1618" spans="1:12" x14ac:dyDescent="0.2">
      <c r="A1618" s="7"/>
      <c r="B1618" s="7"/>
      <c r="C1618" s="7"/>
      <c r="D1618" s="7"/>
      <c r="E1618" s="7">
        <v>613520</v>
      </c>
      <c r="F1618" s="7"/>
      <c r="G1618" s="7" t="s">
        <v>1472</v>
      </c>
      <c r="H1618" s="7"/>
      <c r="I1618" s="27" t="s">
        <v>133</v>
      </c>
      <c r="J1618" s="7"/>
      <c r="K1618" s="27" t="s">
        <v>2208</v>
      </c>
      <c r="L1618" s="7"/>
    </row>
    <row r="1619" spans="1:12" x14ac:dyDescent="0.2">
      <c r="A1619" s="7"/>
      <c r="B1619" s="7"/>
      <c r="C1619" s="7"/>
      <c r="D1619" s="7"/>
      <c r="E1619" s="7">
        <v>613521</v>
      </c>
      <c r="F1619" s="7"/>
      <c r="G1619" s="7" t="s">
        <v>1473</v>
      </c>
      <c r="H1619" s="7"/>
      <c r="I1619" s="27" t="s">
        <v>133</v>
      </c>
      <c r="J1619" s="7"/>
      <c r="K1619" s="27" t="s">
        <v>2208</v>
      </c>
      <c r="L1619" s="7"/>
    </row>
    <row r="1620" spans="1:12" x14ac:dyDescent="0.2">
      <c r="A1620" s="7"/>
      <c r="B1620" s="7"/>
      <c r="C1620" s="7"/>
      <c r="D1620" s="7"/>
      <c r="E1620" s="7">
        <v>613522</v>
      </c>
      <c r="F1620" s="7"/>
      <c r="G1620" s="7" t="s">
        <v>1474</v>
      </c>
      <c r="H1620" s="7"/>
      <c r="I1620" s="27" t="s">
        <v>133</v>
      </c>
      <c r="J1620" s="7"/>
      <c r="K1620" s="27" t="s">
        <v>2208</v>
      </c>
      <c r="L1620" s="7"/>
    </row>
    <row r="1621" spans="1:12" x14ac:dyDescent="0.2">
      <c r="A1621" s="7"/>
      <c r="B1621" s="7"/>
      <c r="C1621" s="7"/>
      <c r="D1621" s="7"/>
      <c r="E1621" s="7">
        <v>613523</v>
      </c>
      <c r="F1621" s="7"/>
      <c r="G1621" s="7" t="s">
        <v>1475</v>
      </c>
      <c r="H1621" s="7"/>
      <c r="I1621" s="27" t="s">
        <v>71</v>
      </c>
      <c r="J1621" s="7"/>
      <c r="K1621" s="27" t="s">
        <v>2208</v>
      </c>
      <c r="L1621" s="7"/>
    </row>
    <row r="1622" spans="1:12" x14ac:dyDescent="0.2">
      <c r="A1622" s="7"/>
      <c r="B1622" s="7"/>
      <c r="C1622" s="7"/>
      <c r="D1622" s="7"/>
      <c r="E1622" s="7">
        <v>613524</v>
      </c>
      <c r="F1622" s="7"/>
      <c r="G1622" s="7" t="s">
        <v>37</v>
      </c>
      <c r="H1622" s="7"/>
      <c r="I1622" s="27" t="s">
        <v>133</v>
      </c>
      <c r="J1622" s="7"/>
      <c r="K1622" s="27" t="s">
        <v>2208</v>
      </c>
      <c r="L1622" s="7"/>
    </row>
    <row r="1623" spans="1:12" x14ac:dyDescent="0.2">
      <c r="A1623" s="7"/>
      <c r="B1623" s="7"/>
      <c r="C1623" s="7"/>
      <c r="D1623" s="7"/>
      <c r="E1623" s="7">
        <v>613525</v>
      </c>
      <c r="F1623" s="7"/>
      <c r="G1623" s="7" t="s">
        <v>1476</v>
      </c>
      <c r="H1623" s="7"/>
      <c r="I1623" s="27" t="s">
        <v>133</v>
      </c>
      <c r="J1623" s="7"/>
      <c r="K1623" s="27" t="s">
        <v>2208</v>
      </c>
      <c r="L1623" s="7"/>
    </row>
    <row r="1624" spans="1:12" x14ac:dyDescent="0.2">
      <c r="A1624" s="7"/>
      <c r="B1624" s="7"/>
      <c r="C1624" s="7"/>
      <c r="D1624" s="7"/>
      <c r="E1624" s="7">
        <v>613526</v>
      </c>
      <c r="F1624" s="7"/>
      <c r="G1624" s="7" t="s">
        <v>1477</v>
      </c>
      <c r="H1624" s="7"/>
      <c r="I1624" s="27" t="s">
        <v>133</v>
      </c>
      <c r="J1624" s="7"/>
      <c r="K1624" s="27" t="s">
        <v>2208</v>
      </c>
      <c r="L1624" s="7"/>
    </row>
    <row r="1625" spans="1:12" x14ac:dyDescent="0.2">
      <c r="A1625" s="7"/>
      <c r="B1625" s="7"/>
      <c r="C1625" s="7"/>
      <c r="D1625" s="7"/>
      <c r="E1625" s="7">
        <v>613530</v>
      </c>
      <c r="F1625" s="7"/>
      <c r="G1625" s="7" t="s">
        <v>1478</v>
      </c>
      <c r="H1625" s="7"/>
      <c r="I1625" s="27" t="s">
        <v>133</v>
      </c>
      <c r="J1625" s="7"/>
      <c r="K1625" s="27" t="s">
        <v>2208</v>
      </c>
      <c r="L1625" s="7"/>
    </row>
    <row r="1626" spans="1:12" x14ac:dyDescent="0.2">
      <c r="A1626" s="7"/>
      <c r="B1626" s="7"/>
      <c r="C1626" s="7"/>
      <c r="D1626" s="7"/>
      <c r="E1626" s="7">
        <v>613531</v>
      </c>
      <c r="F1626" s="7"/>
      <c r="G1626" s="7" t="s">
        <v>1479</v>
      </c>
      <c r="H1626" s="7"/>
      <c r="I1626" s="27" t="s">
        <v>133</v>
      </c>
      <c r="J1626" s="7"/>
      <c r="K1626" s="27" t="s">
        <v>2208</v>
      </c>
      <c r="L1626" s="7"/>
    </row>
    <row r="1627" spans="1:12" x14ac:dyDescent="0.2">
      <c r="A1627" s="7"/>
      <c r="B1627" s="7"/>
      <c r="C1627" s="7"/>
      <c r="D1627" s="7"/>
      <c r="E1627" s="7">
        <v>613532</v>
      </c>
      <c r="F1627" s="7"/>
      <c r="G1627" s="7" t="s">
        <v>1210</v>
      </c>
      <c r="H1627" s="7"/>
      <c r="I1627" s="27" t="s">
        <v>47</v>
      </c>
      <c r="J1627" s="7"/>
      <c r="K1627" s="27" t="s">
        <v>2208</v>
      </c>
      <c r="L1627" s="7"/>
    </row>
    <row r="1628" spans="1:12" x14ac:dyDescent="0.2">
      <c r="A1628" s="7"/>
      <c r="B1628" s="7"/>
      <c r="C1628" s="7"/>
      <c r="D1628" s="7"/>
      <c r="E1628" s="7">
        <v>613533</v>
      </c>
      <c r="F1628" s="7"/>
      <c r="G1628" s="7" t="s">
        <v>1211</v>
      </c>
      <c r="H1628" s="7"/>
      <c r="I1628" s="27" t="s">
        <v>47</v>
      </c>
      <c r="J1628" s="7"/>
      <c r="K1628" s="27" t="s">
        <v>2208</v>
      </c>
      <c r="L1628" s="7"/>
    </row>
    <row r="1629" spans="1:12" x14ac:dyDescent="0.2">
      <c r="A1629" s="7"/>
      <c r="B1629" s="7"/>
      <c r="C1629" s="7"/>
      <c r="D1629" s="7"/>
      <c r="E1629" s="7">
        <v>613534</v>
      </c>
      <c r="F1629" s="7"/>
      <c r="G1629" s="7" t="s">
        <v>1212</v>
      </c>
      <c r="H1629" s="7"/>
      <c r="I1629" s="27" t="s">
        <v>47</v>
      </c>
      <c r="J1629" s="7"/>
      <c r="K1629" s="27" t="s">
        <v>2208</v>
      </c>
      <c r="L1629" s="7"/>
    </row>
    <row r="1630" spans="1:12" x14ac:dyDescent="0.2">
      <c r="A1630" s="7"/>
      <c r="B1630" s="7"/>
      <c r="C1630" s="7"/>
      <c r="D1630" s="7"/>
      <c r="E1630" s="7">
        <v>613535</v>
      </c>
      <c r="F1630" s="7"/>
      <c r="G1630" s="7" t="s">
        <v>1213</v>
      </c>
      <c r="H1630" s="7"/>
      <c r="I1630" s="27" t="s">
        <v>47</v>
      </c>
      <c r="J1630" s="7"/>
      <c r="K1630" s="27" t="s">
        <v>2208</v>
      </c>
      <c r="L1630" s="7"/>
    </row>
    <row r="1631" spans="1:12" x14ac:dyDescent="0.2">
      <c r="A1631" s="7"/>
      <c r="B1631" s="7"/>
      <c r="C1631" s="7"/>
      <c r="D1631" s="7"/>
      <c r="E1631" s="7">
        <v>613536</v>
      </c>
      <c r="F1631" s="7"/>
      <c r="G1631" s="7" t="s">
        <v>1214</v>
      </c>
      <c r="H1631" s="7"/>
      <c r="I1631" s="27" t="s">
        <v>47</v>
      </c>
      <c r="J1631" s="7"/>
      <c r="K1631" s="27" t="s">
        <v>2208</v>
      </c>
      <c r="L1631" s="7"/>
    </row>
    <row r="1632" spans="1:12" x14ac:dyDescent="0.2">
      <c r="A1632" s="7"/>
      <c r="B1632" s="7"/>
      <c r="C1632" s="7"/>
      <c r="D1632" s="7"/>
      <c r="E1632" s="7">
        <v>613537</v>
      </c>
      <c r="F1632" s="7"/>
      <c r="G1632" s="7" t="s">
        <v>1215</v>
      </c>
      <c r="H1632" s="7"/>
      <c r="I1632" s="27" t="s">
        <v>47</v>
      </c>
      <c r="J1632" s="7"/>
      <c r="K1632" s="27" t="s">
        <v>2208</v>
      </c>
      <c r="L1632" s="7"/>
    </row>
    <row r="1633" spans="1:12" x14ac:dyDescent="0.2">
      <c r="A1633" s="7"/>
      <c r="B1633" s="7"/>
      <c r="C1633" s="7"/>
      <c r="D1633" s="7"/>
      <c r="E1633" s="7">
        <v>613538</v>
      </c>
      <c r="F1633" s="7"/>
      <c r="G1633" s="7" t="s">
        <v>1235</v>
      </c>
      <c r="H1633" s="7"/>
      <c r="I1633" s="27" t="s">
        <v>133</v>
      </c>
      <c r="J1633" s="7"/>
      <c r="K1633" s="27" t="s">
        <v>2208</v>
      </c>
      <c r="L1633" s="7"/>
    </row>
    <row r="1634" spans="1:12" x14ac:dyDescent="0.2">
      <c r="A1634" s="7"/>
      <c r="B1634" s="7"/>
      <c r="C1634" s="7"/>
      <c r="D1634" s="7"/>
      <c r="E1634" s="7">
        <v>613539</v>
      </c>
      <c r="F1634" s="7"/>
      <c r="G1634" s="7" t="s">
        <v>1236</v>
      </c>
      <c r="H1634" s="7"/>
      <c r="I1634" s="27" t="s">
        <v>133</v>
      </c>
      <c r="J1634" s="7"/>
      <c r="K1634" s="27" t="s">
        <v>2208</v>
      </c>
      <c r="L1634" s="7"/>
    </row>
    <row r="1635" spans="1:12" x14ac:dyDescent="0.2">
      <c r="A1635" s="7"/>
      <c r="B1635" s="7"/>
      <c r="C1635" s="7"/>
      <c r="D1635" s="7"/>
      <c r="E1635" s="7">
        <v>613540</v>
      </c>
      <c r="F1635" s="7"/>
      <c r="G1635" s="7" t="s">
        <v>1480</v>
      </c>
      <c r="H1635" s="7"/>
      <c r="I1635" s="27" t="s">
        <v>133</v>
      </c>
      <c r="J1635" s="7"/>
      <c r="K1635" s="27" t="s">
        <v>2208</v>
      </c>
      <c r="L1635" s="7"/>
    </row>
    <row r="1636" spans="1:12" x14ac:dyDescent="0.2">
      <c r="A1636" s="7"/>
      <c r="B1636" s="7"/>
      <c r="C1636" s="7"/>
      <c r="D1636" s="7"/>
      <c r="E1636" s="7">
        <v>613541</v>
      </c>
      <c r="F1636" s="7"/>
      <c r="G1636" s="7" t="s">
        <v>1481</v>
      </c>
      <c r="H1636" s="7"/>
      <c r="I1636" s="27" t="s">
        <v>133</v>
      </c>
      <c r="J1636" s="7"/>
      <c r="K1636" s="27" t="s">
        <v>2208</v>
      </c>
      <c r="L1636" s="7"/>
    </row>
    <row r="1637" spans="1:12" x14ac:dyDescent="0.2">
      <c r="A1637" s="7"/>
      <c r="B1637" s="7"/>
      <c r="C1637" s="7"/>
      <c r="D1637" s="7"/>
      <c r="E1637" s="7">
        <v>613566</v>
      </c>
      <c r="F1637" s="7"/>
      <c r="G1637" s="7" t="s">
        <v>1482</v>
      </c>
      <c r="H1637" s="7"/>
      <c r="I1637" s="27" t="s">
        <v>133</v>
      </c>
      <c r="J1637" s="7"/>
      <c r="K1637" s="27" t="s">
        <v>2208</v>
      </c>
      <c r="L1637" s="7"/>
    </row>
    <row r="1638" spans="1:12" x14ac:dyDescent="0.2">
      <c r="A1638" s="7"/>
      <c r="B1638" s="7"/>
      <c r="C1638" s="7"/>
      <c r="D1638" s="7"/>
      <c r="E1638" s="7">
        <v>613567</v>
      </c>
      <c r="F1638" s="7"/>
      <c r="G1638" s="7" t="s">
        <v>1483</v>
      </c>
      <c r="H1638" s="7"/>
      <c r="I1638" s="27" t="s">
        <v>133</v>
      </c>
      <c r="J1638" s="7"/>
      <c r="K1638" s="27" t="s">
        <v>2208</v>
      </c>
      <c r="L1638" s="7"/>
    </row>
    <row r="1639" spans="1:12" x14ac:dyDescent="0.2">
      <c r="A1639" s="7"/>
      <c r="B1639" s="7"/>
      <c r="C1639" s="7"/>
      <c r="D1639" s="7"/>
      <c r="E1639" s="7">
        <v>613570</v>
      </c>
      <c r="F1639" s="7"/>
      <c r="G1639" s="7" t="s">
        <v>1484</v>
      </c>
      <c r="H1639" s="7"/>
      <c r="I1639" s="27" t="s">
        <v>133</v>
      </c>
      <c r="J1639" s="7"/>
      <c r="K1639" s="27" t="s">
        <v>2208</v>
      </c>
      <c r="L1639" s="7"/>
    </row>
    <row r="1640" spans="1:12" x14ac:dyDescent="0.2">
      <c r="A1640" s="7"/>
      <c r="B1640" s="7"/>
      <c r="C1640" s="7"/>
      <c r="D1640" s="7"/>
      <c r="E1640" s="7">
        <v>613571</v>
      </c>
      <c r="F1640" s="7"/>
      <c r="G1640" s="7" t="s">
        <v>1485</v>
      </c>
      <c r="H1640" s="7"/>
      <c r="I1640" s="27" t="s">
        <v>133</v>
      </c>
      <c r="J1640" s="7"/>
      <c r="K1640" s="27" t="s">
        <v>2208</v>
      </c>
      <c r="L1640" s="7"/>
    </row>
    <row r="1641" spans="1:12" x14ac:dyDescent="0.2">
      <c r="A1641" s="7"/>
      <c r="B1641" s="7"/>
      <c r="C1641" s="7"/>
      <c r="D1641" s="7"/>
      <c r="E1641" s="7">
        <v>613572</v>
      </c>
      <c r="F1641" s="7"/>
      <c r="G1641" s="7" t="s">
        <v>1486</v>
      </c>
      <c r="H1641" s="7"/>
      <c r="I1641" s="27" t="s">
        <v>133</v>
      </c>
      <c r="J1641" s="7"/>
      <c r="K1641" s="27" t="s">
        <v>2208</v>
      </c>
      <c r="L1641" s="7"/>
    </row>
    <row r="1642" spans="1:12" x14ac:dyDescent="0.2">
      <c r="A1642" s="7"/>
      <c r="B1642" s="7"/>
      <c r="C1642" s="7"/>
      <c r="D1642" s="7"/>
      <c r="E1642" s="7">
        <v>613573</v>
      </c>
      <c r="F1642" s="7"/>
      <c r="G1642" s="7" t="s">
        <v>1487</v>
      </c>
      <c r="H1642" s="7"/>
      <c r="I1642" s="27" t="s">
        <v>133</v>
      </c>
      <c r="J1642" s="7"/>
      <c r="K1642" s="27" t="s">
        <v>2208</v>
      </c>
      <c r="L1642" s="7"/>
    </row>
    <row r="1643" spans="1:12" x14ac:dyDescent="0.2">
      <c r="A1643" s="7"/>
      <c r="B1643" s="7"/>
      <c r="C1643" s="7"/>
      <c r="D1643" s="7"/>
      <c r="E1643" s="7">
        <v>613574</v>
      </c>
      <c r="F1643" s="7"/>
      <c r="G1643" s="7" t="s">
        <v>1488</v>
      </c>
      <c r="H1643" s="7"/>
      <c r="I1643" s="27" t="s">
        <v>133</v>
      </c>
      <c r="J1643" s="7"/>
      <c r="K1643" s="27" t="s">
        <v>2208</v>
      </c>
      <c r="L1643" s="7"/>
    </row>
    <row r="1644" spans="1:12" x14ac:dyDescent="0.2">
      <c r="A1644" s="7"/>
      <c r="B1644" s="7"/>
      <c r="C1644" s="7"/>
      <c r="D1644" s="7"/>
      <c r="E1644" s="7">
        <v>613575</v>
      </c>
      <c r="F1644" s="7"/>
      <c r="G1644" s="7" t="s">
        <v>1489</v>
      </c>
      <c r="H1644" s="7"/>
      <c r="I1644" s="27" t="s">
        <v>133</v>
      </c>
      <c r="J1644" s="7"/>
      <c r="K1644" s="27" t="s">
        <v>2208</v>
      </c>
      <c r="L1644" s="7"/>
    </row>
    <row r="1645" spans="1:12" x14ac:dyDescent="0.2">
      <c r="A1645" s="7"/>
      <c r="B1645" s="7"/>
      <c r="C1645" s="7"/>
      <c r="D1645" s="7"/>
      <c r="E1645" s="7">
        <v>613576</v>
      </c>
      <c r="F1645" s="7"/>
      <c r="G1645" s="7" t="s">
        <v>1490</v>
      </c>
      <c r="H1645" s="7"/>
      <c r="I1645" s="27" t="s">
        <v>133</v>
      </c>
      <c r="J1645" s="7"/>
      <c r="K1645" s="27" t="s">
        <v>2208</v>
      </c>
      <c r="L1645" s="7"/>
    </row>
    <row r="1646" spans="1:12" x14ac:dyDescent="0.2">
      <c r="A1646" s="7"/>
      <c r="B1646" s="7"/>
      <c r="C1646" s="7"/>
      <c r="D1646" s="7"/>
      <c r="E1646" s="7">
        <v>613577</v>
      </c>
      <c r="F1646" s="7"/>
      <c r="G1646" s="7" t="s">
        <v>1491</v>
      </c>
      <c r="H1646" s="7"/>
      <c r="I1646" s="27" t="s">
        <v>133</v>
      </c>
      <c r="J1646" s="7"/>
      <c r="K1646" s="27" t="s">
        <v>2208</v>
      </c>
      <c r="L1646" s="7"/>
    </row>
    <row r="1647" spans="1:12" x14ac:dyDescent="0.2">
      <c r="A1647" s="7"/>
      <c r="B1647" s="7"/>
      <c r="C1647" s="7"/>
      <c r="D1647" s="7"/>
      <c r="E1647" s="7">
        <v>613600</v>
      </c>
      <c r="F1647" s="7"/>
      <c r="G1647" s="7" t="s">
        <v>1492</v>
      </c>
      <c r="H1647" s="7"/>
      <c r="I1647" s="27" t="s">
        <v>133</v>
      </c>
      <c r="J1647" s="7"/>
      <c r="K1647" s="27" t="s">
        <v>2208</v>
      </c>
      <c r="L1647" s="7"/>
    </row>
    <row r="1648" spans="1:12" x14ac:dyDescent="0.2">
      <c r="A1648" s="7"/>
      <c r="B1648" s="7"/>
      <c r="C1648" s="7"/>
      <c r="D1648" s="7"/>
      <c r="E1648" s="7">
        <v>613601</v>
      </c>
      <c r="F1648" s="7"/>
      <c r="G1648" s="7" t="s">
        <v>1493</v>
      </c>
      <c r="H1648" s="7"/>
      <c r="I1648" s="27" t="s">
        <v>133</v>
      </c>
      <c r="J1648" s="7"/>
      <c r="K1648" s="27" t="s">
        <v>2208</v>
      </c>
      <c r="L1648" s="7"/>
    </row>
    <row r="1649" spans="1:12" x14ac:dyDescent="0.2">
      <c r="A1649" s="7"/>
      <c r="B1649" s="7"/>
      <c r="C1649" s="7"/>
      <c r="D1649" s="7"/>
      <c r="E1649" s="7">
        <v>613602</v>
      </c>
      <c r="F1649" s="7"/>
      <c r="G1649" s="7" t="s">
        <v>1494</v>
      </c>
      <c r="H1649" s="7"/>
      <c r="I1649" s="27" t="s">
        <v>133</v>
      </c>
      <c r="J1649" s="7"/>
      <c r="K1649" s="27" t="s">
        <v>2208</v>
      </c>
      <c r="L1649" s="7"/>
    </row>
    <row r="1650" spans="1:12" x14ac:dyDescent="0.2">
      <c r="A1650" s="7"/>
      <c r="B1650" s="7"/>
      <c r="C1650" s="7"/>
      <c r="D1650" s="7"/>
      <c r="E1650" s="7">
        <v>613603</v>
      </c>
      <c r="F1650" s="7"/>
      <c r="G1650" s="7" t="s">
        <v>1495</v>
      </c>
      <c r="H1650" s="7"/>
      <c r="I1650" s="27" t="s">
        <v>133</v>
      </c>
      <c r="J1650" s="7"/>
      <c r="K1650" s="27" t="s">
        <v>2208</v>
      </c>
      <c r="L1650" s="7"/>
    </row>
    <row r="1651" spans="1:12" x14ac:dyDescent="0.2">
      <c r="A1651" s="7"/>
      <c r="B1651" s="7"/>
      <c r="C1651" s="7"/>
      <c r="D1651" s="7"/>
      <c r="E1651" s="7">
        <v>613604</v>
      </c>
      <c r="F1651" s="7"/>
      <c r="G1651" s="7" t="s">
        <v>212</v>
      </c>
      <c r="H1651" s="7"/>
      <c r="I1651" s="27" t="s">
        <v>133</v>
      </c>
      <c r="J1651" s="7"/>
      <c r="K1651" s="27" t="s">
        <v>2208</v>
      </c>
      <c r="L1651" s="7"/>
    </row>
    <row r="1652" spans="1:12" x14ac:dyDescent="0.2">
      <c r="A1652" s="7"/>
      <c r="B1652" s="7"/>
      <c r="C1652" s="7"/>
      <c r="D1652" s="7"/>
      <c r="E1652" s="7">
        <v>613606</v>
      </c>
      <c r="F1652" s="7"/>
      <c r="G1652" s="7" t="s">
        <v>1496</v>
      </c>
      <c r="H1652" s="7"/>
      <c r="I1652" s="27" t="s">
        <v>133</v>
      </c>
      <c r="J1652" s="7"/>
      <c r="K1652" s="27" t="s">
        <v>2208</v>
      </c>
      <c r="L1652" s="7"/>
    </row>
    <row r="1653" spans="1:12" x14ac:dyDescent="0.2">
      <c r="A1653" s="7"/>
      <c r="B1653" s="7"/>
      <c r="C1653" s="7"/>
      <c r="D1653" s="7"/>
      <c r="E1653" s="7">
        <v>613607</v>
      </c>
      <c r="F1653" s="7"/>
      <c r="G1653" s="7" t="s">
        <v>1497</v>
      </c>
      <c r="H1653" s="7"/>
      <c r="I1653" s="27" t="s">
        <v>133</v>
      </c>
      <c r="J1653" s="7"/>
      <c r="K1653" s="27" t="s">
        <v>2208</v>
      </c>
      <c r="L1653" s="7"/>
    </row>
    <row r="1654" spans="1:12" x14ac:dyDescent="0.2">
      <c r="A1654" s="7"/>
      <c r="B1654" s="7"/>
      <c r="C1654" s="7"/>
      <c r="D1654" s="7"/>
      <c r="E1654" s="7">
        <v>613630</v>
      </c>
      <c r="F1654" s="7"/>
      <c r="G1654" s="7" t="s">
        <v>1498</v>
      </c>
      <c r="H1654" s="7"/>
      <c r="I1654" s="27" t="s">
        <v>133</v>
      </c>
      <c r="J1654" s="7"/>
      <c r="K1654" s="27" t="s">
        <v>2208</v>
      </c>
      <c r="L1654" s="7"/>
    </row>
    <row r="1655" spans="1:12" x14ac:dyDescent="0.2">
      <c r="A1655" s="7"/>
      <c r="B1655" s="7"/>
      <c r="C1655" s="7"/>
      <c r="D1655" s="7"/>
      <c r="E1655" s="7">
        <v>613631</v>
      </c>
      <c r="F1655" s="7"/>
      <c r="G1655" s="7" t="s">
        <v>1499</v>
      </c>
      <c r="H1655" s="7"/>
      <c r="I1655" s="27" t="s">
        <v>133</v>
      </c>
      <c r="J1655" s="7"/>
      <c r="K1655" s="27" t="s">
        <v>2208</v>
      </c>
      <c r="L1655" s="7"/>
    </row>
    <row r="1656" spans="1:12" x14ac:dyDescent="0.2">
      <c r="A1656" s="7"/>
      <c r="B1656" s="7"/>
      <c r="C1656" s="7"/>
      <c r="D1656" s="7"/>
      <c r="E1656" s="7">
        <v>613640</v>
      </c>
      <c r="F1656" s="7"/>
      <c r="G1656" s="7" t="s">
        <v>1500</v>
      </c>
      <c r="H1656" s="7"/>
      <c r="I1656" s="27" t="s">
        <v>133</v>
      </c>
      <c r="J1656" s="7"/>
      <c r="K1656" s="27" t="s">
        <v>2208</v>
      </c>
      <c r="L1656" s="7"/>
    </row>
    <row r="1657" spans="1:12" x14ac:dyDescent="0.2">
      <c r="A1657" s="7"/>
      <c r="B1657" s="7"/>
      <c r="C1657" s="7"/>
      <c r="D1657" s="7"/>
      <c r="E1657" s="7">
        <v>613641</v>
      </c>
      <c r="F1657" s="7"/>
      <c r="G1657" s="7" t="s">
        <v>1501</v>
      </c>
      <c r="H1657" s="7"/>
      <c r="I1657" s="27" t="s">
        <v>133</v>
      </c>
      <c r="J1657" s="7"/>
      <c r="K1657" s="27" t="s">
        <v>2208</v>
      </c>
      <c r="L1657" s="7"/>
    </row>
    <row r="1658" spans="1:12" x14ac:dyDescent="0.2">
      <c r="A1658" s="7"/>
      <c r="B1658" s="7"/>
      <c r="C1658" s="7"/>
      <c r="D1658" s="7"/>
      <c r="E1658" s="7">
        <v>613642</v>
      </c>
      <c r="F1658" s="7"/>
      <c r="G1658" s="7" t="s">
        <v>1502</v>
      </c>
      <c r="H1658" s="7"/>
      <c r="I1658" s="27" t="s">
        <v>133</v>
      </c>
      <c r="J1658" s="7"/>
      <c r="K1658" s="27" t="s">
        <v>2208</v>
      </c>
      <c r="L1658" s="7"/>
    </row>
    <row r="1659" spans="1:12" x14ac:dyDescent="0.2">
      <c r="A1659" s="7"/>
      <c r="B1659" s="7"/>
      <c r="C1659" s="7"/>
      <c r="D1659" s="7"/>
      <c r="E1659" s="7">
        <v>613643</v>
      </c>
      <c r="F1659" s="7"/>
      <c r="G1659" s="7" t="s">
        <v>1503</v>
      </c>
      <c r="H1659" s="7"/>
      <c r="I1659" s="27" t="s">
        <v>616</v>
      </c>
      <c r="J1659" s="7"/>
      <c r="K1659" s="27" t="s">
        <v>2208</v>
      </c>
      <c r="L1659" s="7"/>
    </row>
    <row r="1660" spans="1:12" x14ac:dyDescent="0.2">
      <c r="A1660" s="7"/>
      <c r="B1660" s="7"/>
      <c r="C1660" s="7"/>
      <c r="D1660" s="7"/>
      <c r="E1660" s="7">
        <v>613644</v>
      </c>
      <c r="F1660" s="7"/>
      <c r="G1660" s="7" t="s">
        <v>1504</v>
      </c>
      <c r="H1660" s="7"/>
      <c r="I1660" s="27" t="s">
        <v>616</v>
      </c>
      <c r="J1660" s="7"/>
      <c r="K1660" s="27" t="s">
        <v>2208</v>
      </c>
      <c r="L1660" s="7"/>
    </row>
    <row r="1661" spans="1:12" x14ac:dyDescent="0.2">
      <c r="A1661" s="7"/>
      <c r="B1661" s="7"/>
      <c r="C1661" s="7"/>
      <c r="D1661" s="7"/>
      <c r="E1661" s="7">
        <v>613645</v>
      </c>
      <c r="F1661" s="7"/>
      <c r="G1661" s="7" t="s">
        <v>1505</v>
      </c>
      <c r="H1661" s="7"/>
      <c r="I1661" s="27" t="s">
        <v>616</v>
      </c>
      <c r="J1661" s="7"/>
      <c r="K1661" s="27" t="s">
        <v>2208</v>
      </c>
      <c r="L1661" s="7"/>
    </row>
    <row r="1662" spans="1:12" x14ac:dyDescent="0.2">
      <c r="A1662" s="7"/>
      <c r="B1662" s="7"/>
      <c r="C1662" s="7"/>
      <c r="D1662" s="7"/>
      <c r="E1662" s="7">
        <v>613646</v>
      </c>
      <c r="F1662" s="7"/>
      <c r="G1662" s="7" t="s">
        <v>1506</v>
      </c>
      <c r="H1662" s="7"/>
      <c r="I1662" s="27" t="s">
        <v>616</v>
      </c>
      <c r="J1662" s="7"/>
      <c r="K1662" s="27" t="s">
        <v>2208</v>
      </c>
      <c r="L1662" s="7"/>
    </row>
    <row r="1663" spans="1:12" x14ac:dyDescent="0.2">
      <c r="A1663" s="7"/>
      <c r="B1663" s="7"/>
      <c r="C1663" s="7"/>
      <c r="D1663" s="7"/>
      <c r="E1663" s="7">
        <v>613647</v>
      </c>
      <c r="F1663" s="7"/>
      <c r="G1663" s="7" t="s">
        <v>1507</v>
      </c>
      <c r="H1663" s="7"/>
      <c r="I1663" s="27" t="s">
        <v>616</v>
      </c>
      <c r="J1663" s="7"/>
      <c r="K1663" s="27" t="s">
        <v>2208</v>
      </c>
      <c r="L1663" s="7"/>
    </row>
    <row r="1664" spans="1:12" x14ac:dyDescent="0.2">
      <c r="A1664" s="7"/>
      <c r="B1664" s="7"/>
      <c r="C1664" s="7"/>
      <c r="D1664" s="7"/>
      <c r="E1664" s="7">
        <v>613648</v>
      </c>
      <c r="F1664" s="7"/>
      <c r="G1664" s="7" t="s">
        <v>1508</v>
      </c>
      <c r="H1664" s="7"/>
      <c r="I1664" s="27" t="s">
        <v>616</v>
      </c>
      <c r="J1664" s="7"/>
      <c r="K1664" s="27" t="s">
        <v>2208</v>
      </c>
      <c r="L1664" s="7"/>
    </row>
    <row r="1665" spans="1:12" x14ac:dyDescent="0.2">
      <c r="A1665" s="7"/>
      <c r="B1665" s="7"/>
      <c r="C1665" s="7"/>
      <c r="D1665" s="7"/>
      <c r="E1665" s="7">
        <v>613649</v>
      </c>
      <c r="F1665" s="7"/>
      <c r="G1665" s="7" t="s">
        <v>1509</v>
      </c>
      <c r="H1665" s="7"/>
      <c r="I1665" s="27" t="s">
        <v>616</v>
      </c>
      <c r="J1665" s="7"/>
      <c r="K1665" s="27" t="s">
        <v>2208</v>
      </c>
      <c r="L1665" s="7"/>
    </row>
    <row r="1666" spans="1:12" x14ac:dyDescent="0.2">
      <c r="A1666" s="7"/>
      <c r="B1666" s="7"/>
      <c r="C1666" s="7"/>
      <c r="D1666" s="7"/>
      <c r="E1666" s="7">
        <v>613650</v>
      </c>
      <c r="F1666" s="7"/>
      <c r="G1666" s="7" t="s">
        <v>1510</v>
      </c>
      <c r="H1666" s="7"/>
      <c r="I1666" s="27" t="s">
        <v>133</v>
      </c>
      <c r="J1666" s="7"/>
      <c r="K1666" s="27" t="s">
        <v>2208</v>
      </c>
      <c r="L1666" s="7"/>
    </row>
    <row r="1667" spans="1:12" x14ac:dyDescent="0.2">
      <c r="A1667" s="7"/>
      <c r="B1667" s="7"/>
      <c r="C1667" s="7"/>
      <c r="D1667" s="7"/>
      <c r="E1667" s="7">
        <v>613651</v>
      </c>
      <c r="F1667" s="7"/>
      <c r="G1667" s="7" t="s">
        <v>1511</v>
      </c>
      <c r="H1667" s="7"/>
      <c r="I1667" s="27" t="s">
        <v>616</v>
      </c>
      <c r="J1667" s="7"/>
      <c r="K1667" s="27" t="s">
        <v>2208</v>
      </c>
      <c r="L1667" s="7"/>
    </row>
    <row r="1668" spans="1:12" x14ac:dyDescent="0.2">
      <c r="A1668" s="7"/>
      <c r="B1668" s="7"/>
      <c r="C1668" s="7"/>
      <c r="D1668" s="7"/>
      <c r="E1668" s="7">
        <v>613652</v>
      </c>
      <c r="F1668" s="7"/>
      <c r="G1668" s="7" t="s">
        <v>1512</v>
      </c>
      <c r="H1668" s="7"/>
      <c r="I1668" s="27" t="s">
        <v>133</v>
      </c>
      <c r="J1668" s="7"/>
      <c r="K1668" s="27" t="s">
        <v>2208</v>
      </c>
      <c r="L1668" s="7"/>
    </row>
    <row r="1669" spans="1:12" x14ac:dyDescent="0.2">
      <c r="A1669" s="7"/>
      <c r="B1669" s="7"/>
      <c r="C1669" s="7"/>
      <c r="D1669" s="7"/>
      <c r="E1669" s="7">
        <v>613653</v>
      </c>
      <c r="F1669" s="7"/>
      <c r="G1669" s="7" t="s">
        <v>1513</v>
      </c>
      <c r="H1669" s="7"/>
      <c r="I1669" s="27" t="s">
        <v>133</v>
      </c>
      <c r="J1669" s="7"/>
      <c r="K1669" s="27" t="s">
        <v>2208</v>
      </c>
      <c r="L1669" s="7"/>
    </row>
    <row r="1670" spans="1:12" x14ac:dyDescent="0.2">
      <c r="A1670" s="7"/>
      <c r="B1670" s="7"/>
      <c r="C1670" s="7"/>
      <c r="D1670" s="7"/>
      <c r="E1670" s="7">
        <v>613654</v>
      </c>
      <c r="F1670" s="7"/>
      <c r="G1670" s="7" t="s">
        <v>1514</v>
      </c>
      <c r="H1670" s="7"/>
      <c r="I1670" s="27" t="s">
        <v>133</v>
      </c>
      <c r="J1670" s="7"/>
      <c r="K1670" s="27" t="s">
        <v>2208</v>
      </c>
      <c r="L1670" s="7"/>
    </row>
    <row r="1671" spans="1:12" x14ac:dyDescent="0.2">
      <c r="A1671" s="7"/>
      <c r="B1671" s="7"/>
      <c r="C1671" s="7"/>
      <c r="D1671" s="7"/>
      <c r="E1671" s="7">
        <v>613655</v>
      </c>
      <c r="F1671" s="7"/>
      <c r="G1671" s="7" t="s">
        <v>1515</v>
      </c>
      <c r="H1671" s="7"/>
      <c r="I1671" s="27" t="s">
        <v>133</v>
      </c>
      <c r="J1671" s="7"/>
      <c r="K1671" s="27" t="s">
        <v>2208</v>
      </c>
      <c r="L1671" s="7"/>
    </row>
    <row r="1672" spans="1:12" x14ac:dyDescent="0.2">
      <c r="A1672" s="7"/>
      <c r="B1672" s="7"/>
      <c r="C1672" s="7"/>
      <c r="D1672" s="7"/>
      <c r="E1672" s="7">
        <v>613656</v>
      </c>
      <c r="F1672" s="7"/>
      <c r="G1672" s="7" t="s">
        <v>1516</v>
      </c>
      <c r="H1672" s="7"/>
      <c r="I1672" s="27" t="s">
        <v>133</v>
      </c>
      <c r="J1672" s="7"/>
      <c r="K1672" s="27" t="s">
        <v>2208</v>
      </c>
      <c r="L1672" s="7"/>
    </row>
    <row r="1673" spans="1:12" x14ac:dyDescent="0.2">
      <c r="A1673" s="7"/>
      <c r="B1673" s="7"/>
      <c r="C1673" s="7"/>
      <c r="D1673" s="7"/>
      <c r="E1673" s="7">
        <v>613657</v>
      </c>
      <c r="F1673" s="7"/>
      <c r="G1673" s="7" t="s">
        <v>1517</v>
      </c>
      <c r="H1673" s="7"/>
      <c r="I1673" s="27" t="s">
        <v>133</v>
      </c>
      <c r="J1673" s="7"/>
      <c r="K1673" s="27" t="s">
        <v>2208</v>
      </c>
      <c r="L1673" s="7"/>
    </row>
    <row r="1674" spans="1:12" x14ac:dyDescent="0.2">
      <c r="A1674" s="7"/>
      <c r="B1674" s="7"/>
      <c r="C1674" s="7"/>
      <c r="D1674" s="7"/>
      <c r="E1674" s="7">
        <v>613658</v>
      </c>
      <c r="F1674" s="7"/>
      <c r="G1674" s="7" t="s">
        <v>1518</v>
      </c>
      <c r="H1674" s="7"/>
      <c r="I1674" s="27" t="s">
        <v>616</v>
      </c>
      <c r="J1674" s="7"/>
      <c r="K1674" s="27" t="s">
        <v>2208</v>
      </c>
      <c r="L1674" s="7"/>
    </row>
    <row r="1675" spans="1:12" x14ac:dyDescent="0.2">
      <c r="A1675" s="7"/>
      <c r="B1675" s="7"/>
      <c r="C1675" s="7"/>
      <c r="D1675" s="7"/>
      <c r="E1675" s="7">
        <v>613659</v>
      </c>
      <c r="F1675" s="7"/>
      <c r="G1675" s="7" t="s">
        <v>1519</v>
      </c>
      <c r="H1675" s="7"/>
      <c r="I1675" s="27" t="s">
        <v>616</v>
      </c>
      <c r="J1675" s="7"/>
      <c r="K1675" s="27" t="s">
        <v>2208</v>
      </c>
      <c r="L1675" s="7"/>
    </row>
    <row r="1676" spans="1:12" x14ac:dyDescent="0.2">
      <c r="A1676" s="7"/>
      <c r="B1676" s="7"/>
      <c r="C1676" s="7"/>
      <c r="D1676" s="7"/>
      <c r="E1676" s="7">
        <v>613660</v>
      </c>
      <c r="F1676" s="7"/>
      <c r="G1676" s="7" t="s">
        <v>1520</v>
      </c>
      <c r="H1676" s="7"/>
      <c r="I1676" s="27" t="s">
        <v>616</v>
      </c>
      <c r="J1676" s="7"/>
      <c r="K1676" s="27" t="s">
        <v>2208</v>
      </c>
      <c r="L1676" s="7"/>
    </row>
    <row r="1677" spans="1:12" x14ac:dyDescent="0.2">
      <c r="A1677" s="7"/>
      <c r="B1677" s="7"/>
      <c r="C1677" s="7"/>
      <c r="D1677" s="7"/>
      <c r="E1677" s="7">
        <v>613661</v>
      </c>
      <c r="F1677" s="7"/>
      <c r="G1677" s="7" t="s">
        <v>1521</v>
      </c>
      <c r="H1677" s="7"/>
      <c r="I1677" s="27" t="s">
        <v>616</v>
      </c>
      <c r="J1677" s="7"/>
      <c r="K1677" s="27" t="s">
        <v>2208</v>
      </c>
      <c r="L1677" s="7"/>
    </row>
    <row r="1678" spans="1:12" x14ac:dyDescent="0.2">
      <c r="A1678" s="7"/>
      <c r="B1678" s="7"/>
      <c r="C1678" s="7"/>
      <c r="D1678" s="7"/>
      <c r="E1678" s="7">
        <v>613662</v>
      </c>
      <c r="F1678" s="7"/>
      <c r="G1678" s="7" t="s">
        <v>1522</v>
      </c>
      <c r="H1678" s="7"/>
      <c r="I1678" s="27" t="s">
        <v>616</v>
      </c>
      <c r="J1678" s="7"/>
      <c r="K1678" s="27" t="s">
        <v>2208</v>
      </c>
      <c r="L1678" s="7"/>
    </row>
    <row r="1679" spans="1:12" x14ac:dyDescent="0.2">
      <c r="A1679" s="7"/>
      <c r="B1679" s="7"/>
      <c r="C1679" s="7"/>
      <c r="D1679" s="7"/>
      <c r="E1679" s="7">
        <v>613663</v>
      </c>
      <c r="F1679" s="7"/>
      <c r="G1679" s="7" t="s">
        <v>1523</v>
      </c>
      <c r="H1679" s="7"/>
      <c r="I1679" s="27" t="s">
        <v>133</v>
      </c>
      <c r="J1679" s="7"/>
      <c r="K1679" s="27" t="s">
        <v>2208</v>
      </c>
      <c r="L1679" s="7"/>
    </row>
    <row r="1680" spans="1:12" x14ac:dyDescent="0.2">
      <c r="A1680" s="7"/>
      <c r="B1680" s="7"/>
      <c r="C1680" s="7"/>
      <c r="D1680" s="7"/>
      <c r="E1680" s="7">
        <v>613664</v>
      </c>
      <c r="F1680" s="7"/>
      <c r="G1680" s="7" t="s">
        <v>1524</v>
      </c>
      <c r="H1680" s="7"/>
      <c r="I1680" s="27" t="s">
        <v>133</v>
      </c>
      <c r="J1680" s="7"/>
      <c r="K1680" s="27" t="s">
        <v>2208</v>
      </c>
      <c r="L1680" s="7"/>
    </row>
    <row r="1681" spans="1:12" x14ac:dyDescent="0.2">
      <c r="A1681" s="7"/>
      <c r="B1681" s="7"/>
      <c r="C1681" s="7"/>
      <c r="D1681" s="7"/>
      <c r="E1681" s="7">
        <v>613665</v>
      </c>
      <c r="F1681" s="7"/>
      <c r="G1681" s="7" t="s">
        <v>1525</v>
      </c>
      <c r="H1681" s="7"/>
      <c r="I1681" s="27" t="s">
        <v>133</v>
      </c>
      <c r="J1681" s="7"/>
      <c r="K1681" s="27" t="s">
        <v>2208</v>
      </c>
      <c r="L1681" s="7"/>
    </row>
    <row r="1682" spans="1:12" x14ac:dyDescent="0.2">
      <c r="A1682" s="7"/>
      <c r="B1682" s="7"/>
      <c r="C1682" s="7"/>
      <c r="D1682" s="7"/>
      <c r="E1682" s="7">
        <v>613666</v>
      </c>
      <c r="F1682" s="7"/>
      <c r="G1682" s="7" t="s">
        <v>1526</v>
      </c>
      <c r="H1682" s="7"/>
      <c r="I1682" s="27" t="s">
        <v>616</v>
      </c>
      <c r="J1682" s="7"/>
      <c r="K1682" s="27" t="s">
        <v>2208</v>
      </c>
      <c r="L1682" s="7"/>
    </row>
    <row r="1683" spans="1:12" x14ac:dyDescent="0.2">
      <c r="A1683" s="7"/>
      <c r="B1683" s="7"/>
      <c r="C1683" s="7"/>
      <c r="D1683" s="7"/>
      <c r="E1683" s="7">
        <v>613667</v>
      </c>
      <c r="F1683" s="7"/>
      <c r="G1683" s="7" t="s">
        <v>1527</v>
      </c>
      <c r="H1683" s="7"/>
      <c r="I1683" s="27" t="s">
        <v>616</v>
      </c>
      <c r="J1683" s="7"/>
      <c r="K1683" s="27" t="s">
        <v>2208</v>
      </c>
      <c r="L1683" s="7"/>
    </row>
    <row r="1684" spans="1:12" x14ac:dyDescent="0.2">
      <c r="A1684" s="7"/>
      <c r="B1684" s="7"/>
      <c r="C1684" s="7"/>
      <c r="D1684" s="7"/>
      <c r="E1684" s="7">
        <v>613668</v>
      </c>
      <c r="F1684" s="7"/>
      <c r="G1684" s="7" t="s">
        <v>1528</v>
      </c>
      <c r="H1684" s="7"/>
      <c r="I1684" s="27" t="s">
        <v>616</v>
      </c>
      <c r="J1684" s="7"/>
      <c r="K1684" s="27" t="s">
        <v>2208</v>
      </c>
      <c r="L1684" s="7"/>
    </row>
    <row r="1685" spans="1:12" x14ac:dyDescent="0.2">
      <c r="A1685" s="7"/>
      <c r="B1685" s="7"/>
      <c r="C1685" s="7"/>
      <c r="D1685" s="7"/>
      <c r="E1685" s="7">
        <v>613669</v>
      </c>
      <c r="F1685" s="7"/>
      <c r="G1685" s="7" t="s">
        <v>1529</v>
      </c>
      <c r="H1685" s="7"/>
      <c r="I1685" s="27" t="s">
        <v>47</v>
      </c>
      <c r="J1685" s="7"/>
      <c r="K1685" s="27" t="s">
        <v>2208</v>
      </c>
      <c r="L1685" s="7"/>
    </row>
    <row r="1686" spans="1:12" x14ac:dyDescent="0.2">
      <c r="A1686" s="7"/>
      <c r="B1686" s="7"/>
      <c r="C1686" s="7"/>
      <c r="D1686" s="7"/>
      <c r="E1686" s="7">
        <v>613670</v>
      </c>
      <c r="F1686" s="7"/>
      <c r="G1686" s="7" t="s">
        <v>1530</v>
      </c>
      <c r="H1686" s="7"/>
      <c r="I1686" s="27" t="s">
        <v>616</v>
      </c>
      <c r="J1686" s="7"/>
      <c r="K1686" s="27" t="s">
        <v>2208</v>
      </c>
      <c r="L1686" s="7"/>
    </row>
    <row r="1687" spans="1:12" x14ac:dyDescent="0.2">
      <c r="A1687" s="7"/>
      <c r="B1687" s="7"/>
      <c r="C1687" s="7"/>
      <c r="D1687" s="7"/>
      <c r="E1687" s="7">
        <v>613671</v>
      </c>
      <c r="F1687" s="7"/>
      <c r="G1687" s="7" t="s">
        <v>1531</v>
      </c>
      <c r="H1687" s="7"/>
      <c r="I1687" s="27" t="s">
        <v>616</v>
      </c>
      <c r="J1687" s="7"/>
      <c r="K1687" s="27" t="s">
        <v>2208</v>
      </c>
      <c r="L1687" s="7"/>
    </row>
    <row r="1688" spans="1:12" x14ac:dyDescent="0.2">
      <c r="A1688" s="7"/>
      <c r="B1688" s="7"/>
      <c r="C1688" s="7"/>
      <c r="D1688" s="7"/>
      <c r="E1688" s="7">
        <v>613672</v>
      </c>
      <c r="F1688" s="7"/>
      <c r="G1688" s="7" t="s">
        <v>1532</v>
      </c>
      <c r="H1688" s="7"/>
      <c r="I1688" s="27" t="s">
        <v>616</v>
      </c>
      <c r="J1688" s="7"/>
      <c r="K1688" s="27" t="s">
        <v>2208</v>
      </c>
      <c r="L1688" s="7"/>
    </row>
    <row r="1689" spans="1:12" x14ac:dyDescent="0.2">
      <c r="A1689" s="7"/>
      <c r="B1689" s="7"/>
      <c r="C1689" s="7"/>
      <c r="D1689" s="7"/>
      <c r="E1689" s="7">
        <v>613673</v>
      </c>
      <c r="F1689" s="7"/>
      <c r="G1689" s="7" t="s">
        <v>1533</v>
      </c>
      <c r="H1689" s="7"/>
      <c r="I1689" s="27" t="s">
        <v>133</v>
      </c>
      <c r="J1689" s="7"/>
      <c r="K1689" s="27" t="s">
        <v>2208</v>
      </c>
      <c r="L1689" s="7"/>
    </row>
    <row r="1690" spans="1:12" x14ac:dyDescent="0.2">
      <c r="A1690" s="7"/>
      <c r="B1690" s="7"/>
      <c r="C1690" s="7"/>
      <c r="D1690" s="7"/>
      <c r="E1690" s="7">
        <v>613674</v>
      </c>
      <c r="F1690" s="7"/>
      <c r="G1690" s="7" t="s">
        <v>1534</v>
      </c>
      <c r="H1690" s="7"/>
      <c r="I1690" s="27" t="s">
        <v>133</v>
      </c>
      <c r="J1690" s="7"/>
      <c r="K1690" s="27" t="s">
        <v>2208</v>
      </c>
      <c r="L1690" s="7"/>
    </row>
    <row r="1691" spans="1:12" x14ac:dyDescent="0.2">
      <c r="A1691" s="7"/>
      <c r="B1691" s="7"/>
      <c r="C1691" s="7"/>
      <c r="D1691" s="7"/>
      <c r="E1691" s="7">
        <v>613676</v>
      </c>
      <c r="F1691" s="7"/>
      <c r="G1691" s="7" t="s">
        <v>1535</v>
      </c>
      <c r="H1691" s="7"/>
      <c r="I1691" s="27" t="s">
        <v>616</v>
      </c>
      <c r="J1691" s="7"/>
      <c r="K1691" s="27" t="s">
        <v>2208</v>
      </c>
      <c r="L1691" s="7"/>
    </row>
    <row r="1692" spans="1:12" x14ac:dyDescent="0.2">
      <c r="A1692" s="7"/>
      <c r="B1692" s="7"/>
      <c r="C1692" s="7"/>
      <c r="D1692" s="7"/>
      <c r="E1692" s="7">
        <v>613680</v>
      </c>
      <c r="F1692" s="7"/>
      <c r="G1692" s="7" t="s">
        <v>1536</v>
      </c>
      <c r="H1692" s="7"/>
      <c r="I1692" s="27" t="s">
        <v>133</v>
      </c>
      <c r="J1692" s="7"/>
      <c r="K1692" s="27" t="s">
        <v>2208</v>
      </c>
      <c r="L1692" s="7"/>
    </row>
    <row r="1693" spans="1:12" x14ac:dyDescent="0.2">
      <c r="A1693" s="7"/>
      <c r="B1693" s="7"/>
      <c r="C1693" s="7"/>
      <c r="D1693" s="7"/>
      <c r="E1693" s="7">
        <v>613681</v>
      </c>
      <c r="F1693" s="7"/>
      <c r="G1693" s="7" t="s">
        <v>1537</v>
      </c>
      <c r="H1693" s="7"/>
      <c r="I1693" s="27" t="s">
        <v>133</v>
      </c>
      <c r="J1693" s="7"/>
      <c r="K1693" s="27" t="s">
        <v>2208</v>
      </c>
      <c r="L1693" s="7"/>
    </row>
    <row r="1694" spans="1:12" x14ac:dyDescent="0.2">
      <c r="A1694" s="7"/>
      <c r="B1694" s="7"/>
      <c r="C1694" s="7"/>
      <c r="D1694" s="7"/>
      <c r="E1694" s="7">
        <v>613682</v>
      </c>
      <c r="F1694" s="7"/>
      <c r="G1694" s="7" t="s">
        <v>1237</v>
      </c>
      <c r="H1694" s="7"/>
      <c r="I1694" s="27" t="s">
        <v>133</v>
      </c>
      <c r="J1694" s="7"/>
      <c r="K1694" s="27" t="s">
        <v>2208</v>
      </c>
      <c r="L1694" s="7"/>
    </row>
    <row r="1695" spans="1:12" x14ac:dyDescent="0.2">
      <c r="A1695" s="7"/>
      <c r="B1695" s="7"/>
      <c r="C1695" s="7"/>
      <c r="D1695" s="7"/>
      <c r="E1695" s="7">
        <v>613683</v>
      </c>
      <c r="F1695" s="7"/>
      <c r="G1695" s="7" t="s">
        <v>1238</v>
      </c>
      <c r="H1695" s="7"/>
      <c r="I1695" s="27" t="s">
        <v>133</v>
      </c>
      <c r="J1695" s="7"/>
      <c r="K1695" s="27" t="s">
        <v>2208</v>
      </c>
      <c r="L1695" s="7"/>
    </row>
    <row r="1696" spans="1:12" x14ac:dyDescent="0.2">
      <c r="A1696" s="7"/>
      <c r="B1696" s="7"/>
      <c r="C1696" s="7"/>
      <c r="D1696" s="7"/>
      <c r="E1696" s="7">
        <v>613684</v>
      </c>
      <c r="F1696" s="7"/>
      <c r="G1696" s="7" t="s">
        <v>1239</v>
      </c>
      <c r="H1696" s="7"/>
      <c r="I1696" s="27" t="s">
        <v>133</v>
      </c>
      <c r="J1696" s="7"/>
      <c r="K1696" s="27" t="s">
        <v>2208</v>
      </c>
      <c r="L1696" s="7"/>
    </row>
    <row r="1697" spans="1:12" x14ac:dyDescent="0.2">
      <c r="A1697" s="7"/>
      <c r="B1697" s="7"/>
      <c r="C1697" s="7"/>
      <c r="D1697" s="7"/>
      <c r="E1697" s="7">
        <v>613685</v>
      </c>
      <c r="F1697" s="7"/>
      <c r="G1697" s="7" t="s">
        <v>1240</v>
      </c>
      <c r="H1697" s="7"/>
      <c r="I1697" s="27" t="s">
        <v>133</v>
      </c>
      <c r="J1697" s="7"/>
      <c r="K1697" s="27" t="s">
        <v>2208</v>
      </c>
      <c r="L1697" s="7"/>
    </row>
    <row r="1698" spans="1:12" x14ac:dyDescent="0.2">
      <c r="A1698" s="7"/>
      <c r="B1698" s="7"/>
      <c r="C1698" s="7"/>
      <c r="D1698" s="7"/>
      <c r="E1698" s="7">
        <v>613686</v>
      </c>
      <c r="F1698" s="7"/>
      <c r="G1698" s="7" t="s">
        <v>1228</v>
      </c>
      <c r="H1698" s="7"/>
      <c r="I1698" s="27" t="s">
        <v>47</v>
      </c>
      <c r="J1698" s="7"/>
      <c r="K1698" s="27" t="s">
        <v>2208</v>
      </c>
      <c r="L1698" s="7"/>
    </row>
    <row r="1699" spans="1:12" x14ac:dyDescent="0.2">
      <c r="A1699" s="7"/>
      <c r="B1699" s="7"/>
      <c r="C1699" s="7"/>
      <c r="D1699" s="7"/>
      <c r="E1699" s="7">
        <v>613687</v>
      </c>
      <c r="F1699" s="7"/>
      <c r="G1699" s="7" t="s">
        <v>1229</v>
      </c>
      <c r="H1699" s="7"/>
      <c r="I1699" s="27" t="s">
        <v>47</v>
      </c>
      <c r="J1699" s="7"/>
      <c r="K1699" s="27" t="s">
        <v>2208</v>
      </c>
      <c r="L1699" s="7"/>
    </row>
    <row r="1700" spans="1:12" x14ac:dyDescent="0.2">
      <c r="A1700" s="7"/>
      <c r="B1700" s="7"/>
      <c r="C1700" s="7"/>
      <c r="D1700" s="7"/>
      <c r="E1700" s="7">
        <v>613688</v>
      </c>
      <c r="F1700" s="7"/>
      <c r="G1700" s="7" t="s">
        <v>1230</v>
      </c>
      <c r="H1700" s="7"/>
      <c r="I1700" s="27" t="s">
        <v>47</v>
      </c>
      <c r="J1700" s="7"/>
      <c r="K1700" s="27" t="s">
        <v>2208</v>
      </c>
      <c r="L1700" s="7"/>
    </row>
    <row r="1701" spans="1:12" x14ac:dyDescent="0.2">
      <c r="A1701" s="7"/>
      <c r="B1701" s="7"/>
      <c r="C1701" s="7"/>
      <c r="D1701" s="7"/>
      <c r="E1701" s="7">
        <v>613689</v>
      </c>
      <c r="F1701" s="7"/>
      <c r="G1701" s="7" t="s">
        <v>1231</v>
      </c>
      <c r="H1701" s="7"/>
      <c r="I1701" s="27" t="s">
        <v>47</v>
      </c>
      <c r="J1701" s="7"/>
      <c r="K1701" s="27" t="s">
        <v>2208</v>
      </c>
      <c r="L1701" s="7"/>
    </row>
    <row r="1702" spans="1:12" x14ac:dyDescent="0.2">
      <c r="A1702" s="7"/>
      <c r="B1702" s="7"/>
      <c r="C1702" s="7"/>
      <c r="D1702" s="7"/>
      <c r="E1702" s="7">
        <v>613690</v>
      </c>
      <c r="F1702" s="7"/>
      <c r="G1702" s="7" t="s">
        <v>1232</v>
      </c>
      <c r="H1702" s="7"/>
      <c r="I1702" s="27" t="s">
        <v>47</v>
      </c>
      <c r="J1702" s="7"/>
      <c r="K1702" s="27" t="s">
        <v>2208</v>
      </c>
      <c r="L1702" s="7"/>
    </row>
    <row r="1703" spans="1:12" x14ac:dyDescent="0.2">
      <c r="A1703" s="7"/>
      <c r="B1703" s="7"/>
      <c r="C1703" s="7"/>
      <c r="D1703" s="7"/>
      <c r="E1703" s="7">
        <v>613691</v>
      </c>
      <c r="F1703" s="7"/>
      <c r="G1703" s="7" t="s">
        <v>1233</v>
      </c>
      <c r="H1703" s="7"/>
      <c r="I1703" s="27" t="s">
        <v>47</v>
      </c>
      <c r="J1703" s="7"/>
      <c r="K1703" s="27" t="s">
        <v>2208</v>
      </c>
      <c r="L1703" s="7"/>
    </row>
    <row r="1704" spans="1:12" x14ac:dyDescent="0.2">
      <c r="A1704" s="7"/>
      <c r="B1704" s="7"/>
      <c r="C1704" s="7"/>
      <c r="D1704" s="7"/>
      <c r="E1704" s="7">
        <v>613692</v>
      </c>
      <c r="F1704" s="7"/>
      <c r="G1704" s="7" t="s">
        <v>1235</v>
      </c>
      <c r="H1704" s="7"/>
      <c r="I1704" s="27" t="s">
        <v>71</v>
      </c>
      <c r="J1704" s="7"/>
      <c r="K1704" s="27" t="s">
        <v>2208</v>
      </c>
      <c r="L1704" s="7"/>
    </row>
    <row r="1705" spans="1:12" x14ac:dyDescent="0.2">
      <c r="A1705" s="7"/>
      <c r="B1705" s="7"/>
      <c r="C1705" s="7"/>
      <c r="D1705" s="7"/>
      <c r="E1705" s="7">
        <v>613693</v>
      </c>
      <c r="F1705" s="7"/>
      <c r="G1705" s="7" t="s">
        <v>1236</v>
      </c>
      <c r="H1705" s="7"/>
      <c r="I1705" s="27" t="s">
        <v>71</v>
      </c>
      <c r="J1705" s="7"/>
      <c r="K1705" s="27" t="s">
        <v>2208</v>
      </c>
      <c r="L1705" s="7"/>
    </row>
    <row r="1706" spans="1:12" x14ac:dyDescent="0.2">
      <c r="A1706" s="7"/>
      <c r="B1706" s="7"/>
      <c r="C1706" s="7"/>
      <c r="D1706" s="7"/>
      <c r="E1706" s="7">
        <v>613694</v>
      </c>
      <c r="F1706" s="7"/>
      <c r="G1706" s="7" t="s">
        <v>1237</v>
      </c>
      <c r="H1706" s="7"/>
      <c r="I1706" s="27" t="s">
        <v>71</v>
      </c>
      <c r="J1706" s="7"/>
      <c r="K1706" s="27" t="s">
        <v>2208</v>
      </c>
      <c r="L1706" s="7"/>
    </row>
    <row r="1707" spans="1:12" x14ac:dyDescent="0.2">
      <c r="A1707" s="7"/>
      <c r="B1707" s="7"/>
      <c r="C1707" s="7"/>
      <c r="D1707" s="7"/>
      <c r="E1707" s="7">
        <v>613695</v>
      </c>
      <c r="F1707" s="7"/>
      <c r="G1707" s="7" t="s">
        <v>1238</v>
      </c>
      <c r="H1707" s="7"/>
      <c r="I1707" s="27" t="s">
        <v>71</v>
      </c>
      <c r="J1707" s="7"/>
      <c r="K1707" s="27" t="s">
        <v>2208</v>
      </c>
      <c r="L1707" s="7"/>
    </row>
    <row r="1708" spans="1:12" x14ac:dyDescent="0.2">
      <c r="A1708" s="7"/>
      <c r="B1708" s="7"/>
      <c r="C1708" s="7"/>
      <c r="D1708" s="7"/>
      <c r="E1708" s="7">
        <v>613696</v>
      </c>
      <c r="F1708" s="7"/>
      <c r="G1708" s="7" t="s">
        <v>1239</v>
      </c>
      <c r="H1708" s="7"/>
      <c r="I1708" s="27" t="s">
        <v>71</v>
      </c>
      <c r="J1708" s="7"/>
      <c r="K1708" s="27" t="s">
        <v>2208</v>
      </c>
      <c r="L1708" s="7"/>
    </row>
    <row r="1709" spans="1:12" x14ac:dyDescent="0.2">
      <c r="A1709" s="7"/>
      <c r="B1709" s="7"/>
      <c r="C1709" s="7"/>
      <c r="D1709" s="7"/>
      <c r="E1709" s="7">
        <v>613697</v>
      </c>
      <c r="F1709" s="7"/>
      <c r="G1709" s="7" t="s">
        <v>1240</v>
      </c>
      <c r="H1709" s="7"/>
      <c r="I1709" s="27" t="s">
        <v>71</v>
      </c>
      <c r="J1709" s="7"/>
      <c r="K1709" s="27" t="s">
        <v>2208</v>
      </c>
      <c r="L1709" s="7"/>
    </row>
    <row r="1710" spans="1:12" x14ac:dyDescent="0.2">
      <c r="A1710" s="7"/>
      <c r="B1710" s="7"/>
      <c r="C1710" s="7"/>
      <c r="D1710" s="7"/>
      <c r="E1710" s="7">
        <v>613700</v>
      </c>
      <c r="F1710" s="7"/>
      <c r="G1710" s="7" t="s">
        <v>938</v>
      </c>
      <c r="H1710" s="7"/>
      <c r="I1710" s="27" t="s">
        <v>47</v>
      </c>
      <c r="J1710" s="7"/>
      <c r="K1710" s="27" t="s">
        <v>2208</v>
      </c>
      <c r="L1710" s="7"/>
    </row>
    <row r="1711" spans="1:12" x14ac:dyDescent="0.2">
      <c r="A1711" s="7"/>
      <c r="B1711" s="7"/>
      <c r="C1711" s="7"/>
      <c r="D1711" s="7"/>
      <c r="E1711" s="7">
        <v>613701</v>
      </c>
      <c r="F1711" s="7"/>
      <c r="G1711" s="7" t="s">
        <v>939</v>
      </c>
      <c r="H1711" s="7"/>
      <c r="I1711" s="27" t="s">
        <v>47</v>
      </c>
      <c r="J1711" s="7"/>
      <c r="K1711" s="27" t="s">
        <v>2208</v>
      </c>
      <c r="L1711" s="7"/>
    </row>
    <row r="1712" spans="1:12" x14ac:dyDescent="0.2">
      <c r="A1712" s="7"/>
      <c r="B1712" s="7"/>
      <c r="C1712" s="7"/>
      <c r="D1712" s="7"/>
      <c r="E1712" s="7">
        <v>613702</v>
      </c>
      <c r="F1712" s="7"/>
      <c r="G1712" s="7" t="s">
        <v>940</v>
      </c>
      <c r="H1712" s="7"/>
      <c r="I1712" s="27" t="s">
        <v>133</v>
      </c>
      <c r="J1712" s="7"/>
      <c r="K1712" s="27" t="s">
        <v>2208</v>
      </c>
      <c r="L1712" s="7"/>
    </row>
    <row r="1713" spans="1:12" x14ac:dyDescent="0.2">
      <c r="A1713" s="7"/>
      <c r="B1713" s="7"/>
      <c r="C1713" s="7"/>
      <c r="D1713" s="7"/>
      <c r="E1713" s="7">
        <v>613703</v>
      </c>
      <c r="F1713" s="7"/>
      <c r="G1713" s="7" t="s">
        <v>1538</v>
      </c>
      <c r="H1713" s="7"/>
      <c r="I1713" s="27" t="s">
        <v>47</v>
      </c>
      <c r="J1713" s="7"/>
      <c r="K1713" s="27" t="s">
        <v>2208</v>
      </c>
      <c r="L1713" s="7"/>
    </row>
    <row r="1714" spans="1:12" x14ac:dyDescent="0.2">
      <c r="A1714" s="7"/>
      <c r="B1714" s="7"/>
      <c r="C1714" s="7"/>
      <c r="D1714" s="7"/>
      <c r="E1714" s="7">
        <v>613704</v>
      </c>
      <c r="F1714" s="7"/>
      <c r="G1714" s="7" t="s">
        <v>1539</v>
      </c>
      <c r="H1714" s="7"/>
      <c r="I1714" s="27" t="s">
        <v>133</v>
      </c>
      <c r="J1714" s="7"/>
      <c r="K1714" s="27" t="s">
        <v>2208</v>
      </c>
      <c r="L1714" s="7"/>
    </row>
    <row r="1715" spans="1:12" x14ac:dyDescent="0.2">
      <c r="A1715" s="7"/>
      <c r="B1715" s="7"/>
      <c r="C1715" s="7"/>
      <c r="D1715" s="7"/>
      <c r="E1715" s="7">
        <v>613705</v>
      </c>
      <c r="F1715" s="7"/>
      <c r="G1715" s="7" t="s">
        <v>1540</v>
      </c>
      <c r="H1715" s="7"/>
      <c r="I1715" s="27" t="s">
        <v>133</v>
      </c>
      <c r="J1715" s="7"/>
      <c r="K1715" s="27" t="s">
        <v>2208</v>
      </c>
      <c r="L1715" s="7"/>
    </row>
    <row r="1716" spans="1:12" x14ac:dyDescent="0.2">
      <c r="A1716" s="7"/>
      <c r="B1716" s="7"/>
      <c r="C1716" s="7"/>
      <c r="D1716" s="7"/>
      <c r="E1716" s="7">
        <v>613706</v>
      </c>
      <c r="F1716" s="7"/>
      <c r="G1716" s="7" t="s">
        <v>1541</v>
      </c>
      <c r="H1716" s="7"/>
      <c r="I1716" s="27" t="s">
        <v>133</v>
      </c>
      <c r="J1716" s="7"/>
      <c r="K1716" s="27" t="s">
        <v>2208</v>
      </c>
      <c r="L1716" s="7"/>
    </row>
    <row r="1717" spans="1:12" x14ac:dyDescent="0.2">
      <c r="A1717" s="7"/>
      <c r="B1717" s="7"/>
      <c r="C1717" s="7"/>
      <c r="D1717" s="7"/>
      <c r="E1717" s="7">
        <v>613707</v>
      </c>
      <c r="F1717" s="7"/>
      <c r="G1717" s="7" t="s">
        <v>1542</v>
      </c>
      <c r="H1717" s="7"/>
      <c r="I1717" s="27" t="s">
        <v>133</v>
      </c>
      <c r="J1717" s="7"/>
      <c r="K1717" s="27" t="s">
        <v>2208</v>
      </c>
      <c r="L1717" s="7"/>
    </row>
    <row r="1718" spans="1:12" x14ac:dyDescent="0.2">
      <c r="A1718" s="7"/>
      <c r="B1718" s="7"/>
      <c r="C1718" s="7"/>
      <c r="D1718" s="7"/>
      <c r="E1718" s="7">
        <v>613708</v>
      </c>
      <c r="F1718" s="7"/>
      <c r="G1718" s="7" t="s">
        <v>1543</v>
      </c>
      <c r="H1718" s="7"/>
      <c r="I1718" s="27" t="s">
        <v>47</v>
      </c>
      <c r="J1718" s="7"/>
      <c r="K1718" s="27" t="s">
        <v>2208</v>
      </c>
      <c r="L1718" s="7"/>
    </row>
    <row r="1719" spans="1:12" x14ac:dyDescent="0.2">
      <c r="A1719" s="7"/>
      <c r="B1719" s="7"/>
      <c r="C1719" s="7"/>
      <c r="D1719" s="7"/>
      <c r="E1719" s="7">
        <v>613709</v>
      </c>
      <c r="F1719" s="7"/>
      <c r="G1719" s="7" t="s">
        <v>1544</v>
      </c>
      <c r="H1719" s="7"/>
      <c r="I1719" s="27" t="s">
        <v>47</v>
      </c>
      <c r="J1719" s="7"/>
      <c r="K1719" s="27" t="s">
        <v>2208</v>
      </c>
      <c r="L1719" s="7"/>
    </row>
    <row r="1720" spans="1:12" x14ac:dyDescent="0.2">
      <c r="A1720" s="7"/>
      <c r="B1720" s="7"/>
      <c r="C1720" s="7"/>
      <c r="D1720" s="7"/>
      <c r="E1720" s="7">
        <v>613710</v>
      </c>
      <c r="F1720" s="7"/>
      <c r="G1720" s="7" t="s">
        <v>1545</v>
      </c>
      <c r="H1720" s="7"/>
      <c r="I1720" s="27" t="s">
        <v>47</v>
      </c>
      <c r="J1720" s="7"/>
      <c r="K1720" s="27" t="s">
        <v>2208</v>
      </c>
      <c r="L1720" s="7"/>
    </row>
    <row r="1721" spans="1:12" x14ac:dyDescent="0.2">
      <c r="A1721" s="7"/>
      <c r="B1721" s="7"/>
      <c r="C1721" s="7"/>
      <c r="D1721" s="7"/>
      <c r="E1721" s="7">
        <v>613711</v>
      </c>
      <c r="F1721" s="7"/>
      <c r="G1721" s="7" t="s">
        <v>1546</v>
      </c>
      <c r="H1721" s="7"/>
      <c r="I1721" s="27" t="s">
        <v>47</v>
      </c>
      <c r="J1721" s="7"/>
      <c r="K1721" s="27" t="s">
        <v>2208</v>
      </c>
      <c r="L1721" s="7"/>
    </row>
    <row r="1722" spans="1:12" x14ac:dyDescent="0.2">
      <c r="A1722" s="7"/>
      <c r="B1722" s="7"/>
      <c r="C1722" s="7"/>
      <c r="D1722" s="7"/>
      <c r="E1722" s="7">
        <v>613712</v>
      </c>
      <c r="F1722" s="7"/>
      <c r="G1722" s="7" t="s">
        <v>1546</v>
      </c>
      <c r="H1722" s="7"/>
      <c r="I1722" s="27" t="s">
        <v>47</v>
      </c>
      <c r="J1722" s="7"/>
      <c r="K1722" s="27" t="s">
        <v>2208</v>
      </c>
      <c r="L1722" s="7"/>
    </row>
    <row r="1723" spans="1:12" x14ac:dyDescent="0.2">
      <c r="A1723" s="7"/>
      <c r="B1723" s="7"/>
      <c r="C1723" s="7"/>
      <c r="D1723" s="7"/>
      <c r="E1723" s="7">
        <v>613713</v>
      </c>
      <c r="F1723" s="7"/>
      <c r="G1723" s="7" t="s">
        <v>1547</v>
      </c>
      <c r="H1723" s="7"/>
      <c r="I1723" s="27" t="s">
        <v>47</v>
      </c>
      <c r="J1723" s="7"/>
      <c r="K1723" s="27" t="s">
        <v>2208</v>
      </c>
      <c r="L1723" s="7"/>
    </row>
    <row r="1724" spans="1:12" x14ac:dyDescent="0.2">
      <c r="A1724" s="7"/>
      <c r="B1724" s="7"/>
      <c r="C1724" s="7"/>
      <c r="D1724" s="7"/>
      <c r="E1724" s="7">
        <v>613714</v>
      </c>
      <c r="F1724" s="7"/>
      <c r="G1724" s="7" t="s">
        <v>1548</v>
      </c>
      <c r="H1724" s="7"/>
      <c r="I1724" s="27" t="s">
        <v>71</v>
      </c>
      <c r="J1724" s="7"/>
      <c r="K1724" s="27" t="s">
        <v>2208</v>
      </c>
      <c r="L1724" s="7"/>
    </row>
    <row r="1725" spans="1:12" x14ac:dyDescent="0.2">
      <c r="A1725" s="7"/>
      <c r="B1725" s="7"/>
      <c r="C1725" s="7"/>
      <c r="D1725" s="7"/>
      <c r="E1725" s="7">
        <v>613715</v>
      </c>
      <c r="F1725" s="7"/>
      <c r="G1725" s="7" t="s">
        <v>1549</v>
      </c>
      <c r="H1725" s="7"/>
      <c r="I1725" s="27" t="s">
        <v>71</v>
      </c>
      <c r="J1725" s="7"/>
      <c r="K1725" s="27" t="s">
        <v>2208</v>
      </c>
      <c r="L1725" s="7"/>
    </row>
    <row r="1726" spans="1:12" x14ac:dyDescent="0.2">
      <c r="A1726" s="7"/>
      <c r="B1726" s="7"/>
      <c r="C1726" s="7"/>
      <c r="D1726" s="7"/>
      <c r="E1726" s="7">
        <v>613716</v>
      </c>
      <c r="F1726" s="7"/>
      <c r="G1726" s="7" t="s">
        <v>1550</v>
      </c>
      <c r="H1726" s="7"/>
      <c r="I1726" s="27" t="s">
        <v>71</v>
      </c>
      <c r="J1726" s="7"/>
      <c r="K1726" s="27" t="s">
        <v>2208</v>
      </c>
      <c r="L1726" s="7"/>
    </row>
    <row r="1727" spans="1:12" x14ac:dyDescent="0.2">
      <c r="A1727" s="7"/>
      <c r="B1727" s="7"/>
      <c r="C1727" s="7"/>
      <c r="D1727" s="7"/>
      <c r="E1727" s="7">
        <v>613717</v>
      </c>
      <c r="F1727" s="7"/>
      <c r="G1727" s="7" t="s">
        <v>1551</v>
      </c>
      <c r="H1727" s="7"/>
      <c r="I1727" s="27" t="s">
        <v>71</v>
      </c>
      <c r="J1727" s="7"/>
      <c r="K1727" s="27" t="s">
        <v>2208</v>
      </c>
      <c r="L1727" s="7"/>
    </row>
    <row r="1728" spans="1:12" x14ac:dyDescent="0.2">
      <c r="A1728" s="7"/>
      <c r="B1728" s="7"/>
      <c r="C1728" s="7"/>
      <c r="D1728" s="7"/>
      <c r="E1728" s="7">
        <v>613718</v>
      </c>
      <c r="F1728" s="7"/>
      <c r="G1728" s="7" t="s">
        <v>1552</v>
      </c>
      <c r="H1728" s="7"/>
      <c r="I1728" s="27" t="s">
        <v>71</v>
      </c>
      <c r="J1728" s="7"/>
      <c r="K1728" s="27" t="s">
        <v>2208</v>
      </c>
      <c r="L1728" s="7"/>
    </row>
    <row r="1729" spans="1:12" x14ac:dyDescent="0.2">
      <c r="A1729" s="7"/>
      <c r="B1729" s="7"/>
      <c r="C1729" s="7"/>
      <c r="D1729" s="7"/>
      <c r="E1729" s="7">
        <v>613719</v>
      </c>
      <c r="F1729" s="7"/>
      <c r="G1729" s="7" t="s">
        <v>1553</v>
      </c>
      <c r="H1729" s="7"/>
      <c r="I1729" s="27" t="s">
        <v>71</v>
      </c>
      <c r="J1729" s="7"/>
      <c r="K1729" s="27" t="s">
        <v>2208</v>
      </c>
      <c r="L1729" s="7"/>
    </row>
    <row r="1730" spans="1:12" x14ac:dyDescent="0.2">
      <c r="A1730" s="7"/>
      <c r="B1730" s="7"/>
      <c r="C1730" s="7"/>
      <c r="D1730" s="7"/>
      <c r="E1730" s="7">
        <v>613720</v>
      </c>
      <c r="F1730" s="7"/>
      <c r="G1730" s="7" t="s">
        <v>1040</v>
      </c>
      <c r="H1730" s="7"/>
      <c r="I1730" s="27" t="s">
        <v>47</v>
      </c>
      <c r="J1730" s="7"/>
      <c r="K1730" s="27" t="s">
        <v>2208</v>
      </c>
      <c r="L1730" s="7"/>
    </row>
    <row r="1731" spans="1:12" x14ac:dyDescent="0.2">
      <c r="A1731" s="7"/>
      <c r="B1731" s="7"/>
      <c r="C1731" s="7"/>
      <c r="D1731" s="7"/>
      <c r="E1731" s="7">
        <v>613721</v>
      </c>
      <c r="F1731" s="7"/>
      <c r="G1731" s="7" t="s">
        <v>1554</v>
      </c>
      <c r="H1731" s="7"/>
      <c r="I1731" s="27" t="s">
        <v>47</v>
      </c>
      <c r="J1731" s="7"/>
      <c r="K1731" s="27" t="s">
        <v>2208</v>
      </c>
      <c r="L1731" s="7"/>
    </row>
    <row r="1732" spans="1:12" x14ac:dyDescent="0.2">
      <c r="A1732" s="7"/>
      <c r="B1732" s="7"/>
      <c r="C1732" s="7"/>
      <c r="D1732" s="7"/>
      <c r="E1732" s="7">
        <v>613722</v>
      </c>
      <c r="F1732" s="7"/>
      <c r="G1732" s="7" t="s">
        <v>1042</v>
      </c>
      <c r="H1732" s="7"/>
      <c r="I1732" s="27" t="s">
        <v>47</v>
      </c>
      <c r="J1732" s="7"/>
      <c r="K1732" s="27" t="s">
        <v>2208</v>
      </c>
      <c r="L1732" s="7"/>
    </row>
    <row r="1733" spans="1:12" x14ac:dyDescent="0.2">
      <c r="A1733" s="7"/>
      <c r="B1733" s="7"/>
      <c r="C1733" s="7"/>
      <c r="D1733" s="7"/>
      <c r="E1733" s="7">
        <v>613723</v>
      </c>
      <c r="F1733" s="7"/>
      <c r="G1733" s="7" t="s">
        <v>1043</v>
      </c>
      <c r="H1733" s="7"/>
      <c r="I1733" s="27" t="s">
        <v>47</v>
      </c>
      <c r="J1733" s="7"/>
      <c r="K1733" s="27" t="s">
        <v>2208</v>
      </c>
      <c r="L1733" s="7"/>
    </row>
    <row r="1734" spans="1:12" x14ac:dyDescent="0.2">
      <c r="A1734" s="7"/>
      <c r="B1734" s="7"/>
      <c r="C1734" s="7"/>
      <c r="D1734" s="7"/>
      <c r="E1734" s="7">
        <v>613724</v>
      </c>
      <c r="F1734" s="7"/>
      <c r="G1734" s="7" t="s">
        <v>1044</v>
      </c>
      <c r="H1734" s="7"/>
      <c r="I1734" s="27" t="s">
        <v>133</v>
      </c>
      <c r="J1734" s="7"/>
      <c r="K1734" s="27" t="s">
        <v>2208</v>
      </c>
      <c r="L1734" s="7"/>
    </row>
    <row r="1735" spans="1:12" x14ac:dyDescent="0.2">
      <c r="A1735" s="7"/>
      <c r="B1735" s="7"/>
      <c r="C1735" s="7"/>
      <c r="D1735" s="7"/>
      <c r="E1735" s="7">
        <v>613725</v>
      </c>
      <c r="F1735" s="7"/>
      <c r="G1735" s="7" t="s">
        <v>606</v>
      </c>
      <c r="H1735" s="7"/>
      <c r="I1735" s="27" t="s">
        <v>133</v>
      </c>
      <c r="J1735" s="7"/>
      <c r="K1735" s="27" t="s">
        <v>2208</v>
      </c>
      <c r="L1735" s="7"/>
    </row>
    <row r="1736" spans="1:12" x14ac:dyDescent="0.2">
      <c r="A1736" s="7"/>
      <c r="B1736" s="7"/>
      <c r="C1736" s="7"/>
      <c r="D1736" s="7"/>
      <c r="E1736" s="7">
        <v>613726</v>
      </c>
      <c r="F1736" s="7"/>
      <c r="G1736" s="7" t="s">
        <v>1555</v>
      </c>
      <c r="H1736" s="7"/>
      <c r="I1736" s="27" t="s">
        <v>133</v>
      </c>
      <c r="J1736" s="7"/>
      <c r="K1736" s="27" t="s">
        <v>2208</v>
      </c>
      <c r="L1736" s="7"/>
    </row>
    <row r="1737" spans="1:12" x14ac:dyDescent="0.2">
      <c r="A1737" s="7"/>
      <c r="B1737" s="7"/>
      <c r="C1737" s="7"/>
      <c r="D1737" s="7"/>
      <c r="E1737" s="7">
        <v>613736</v>
      </c>
      <c r="F1737" s="7"/>
      <c r="G1737" s="7" t="s">
        <v>1045</v>
      </c>
      <c r="H1737" s="7"/>
      <c r="I1737" s="27" t="s">
        <v>616</v>
      </c>
      <c r="J1737" s="7"/>
      <c r="K1737" s="27" t="s">
        <v>2208</v>
      </c>
      <c r="L1737" s="7"/>
    </row>
    <row r="1738" spans="1:12" x14ac:dyDescent="0.2">
      <c r="A1738" s="7"/>
      <c r="B1738" s="7"/>
      <c r="C1738" s="7"/>
      <c r="D1738" s="7"/>
      <c r="E1738" s="7">
        <v>613737</v>
      </c>
      <c r="F1738" s="7"/>
      <c r="G1738" s="7" t="s">
        <v>1556</v>
      </c>
      <c r="H1738" s="7"/>
      <c r="I1738" s="27" t="s">
        <v>616</v>
      </c>
      <c r="J1738" s="7"/>
      <c r="K1738" s="27" t="s">
        <v>2208</v>
      </c>
      <c r="L1738" s="7"/>
    </row>
    <row r="1739" spans="1:12" x14ac:dyDescent="0.2">
      <c r="A1739" s="7"/>
      <c r="B1739" s="7"/>
      <c r="C1739" s="7"/>
      <c r="D1739" s="7"/>
      <c r="E1739" s="7">
        <v>613738</v>
      </c>
      <c r="F1739" s="7"/>
      <c r="G1739" s="7" t="s">
        <v>1047</v>
      </c>
      <c r="H1739" s="7"/>
      <c r="I1739" s="27" t="s">
        <v>71</v>
      </c>
      <c r="J1739" s="7"/>
      <c r="K1739" s="27" t="s">
        <v>2208</v>
      </c>
      <c r="L1739" s="7"/>
    </row>
    <row r="1740" spans="1:12" x14ac:dyDescent="0.2">
      <c r="A1740" s="7"/>
      <c r="B1740" s="7"/>
      <c r="C1740" s="7"/>
      <c r="D1740" s="7"/>
      <c r="E1740" s="7">
        <v>613739</v>
      </c>
      <c r="F1740" s="7"/>
      <c r="G1740" s="7" t="s">
        <v>1048</v>
      </c>
      <c r="H1740" s="7"/>
      <c r="I1740" s="27" t="s">
        <v>616</v>
      </c>
      <c r="J1740" s="7"/>
      <c r="K1740" s="27" t="s">
        <v>2208</v>
      </c>
      <c r="L1740" s="7"/>
    </row>
    <row r="1741" spans="1:12" x14ac:dyDescent="0.2">
      <c r="A1741" s="7"/>
      <c r="B1741" s="7"/>
      <c r="C1741" s="7"/>
      <c r="D1741" s="7"/>
      <c r="E1741" s="7">
        <v>613740</v>
      </c>
      <c r="F1741" s="7"/>
      <c r="G1741" s="7" t="s">
        <v>1557</v>
      </c>
      <c r="H1741" s="7"/>
      <c r="I1741" s="27" t="s">
        <v>47</v>
      </c>
      <c r="J1741" s="7"/>
      <c r="K1741" s="27" t="s">
        <v>2208</v>
      </c>
      <c r="L1741" s="7"/>
    </row>
    <row r="1742" spans="1:12" x14ac:dyDescent="0.2">
      <c r="A1742" s="7"/>
      <c r="B1742" s="7"/>
      <c r="C1742" s="7"/>
      <c r="D1742" s="7"/>
      <c r="E1742" s="7">
        <v>613741</v>
      </c>
      <c r="F1742" s="7"/>
      <c r="G1742" s="7" t="s">
        <v>1050</v>
      </c>
      <c r="H1742" s="7"/>
      <c r="I1742" s="27" t="s">
        <v>71</v>
      </c>
      <c r="J1742" s="7"/>
      <c r="K1742" s="27" t="s">
        <v>2208</v>
      </c>
      <c r="L1742" s="7"/>
    </row>
    <row r="1743" spans="1:12" x14ac:dyDescent="0.2">
      <c r="A1743" s="7"/>
      <c r="B1743" s="7"/>
      <c r="C1743" s="7"/>
      <c r="D1743" s="7"/>
      <c r="E1743" s="7">
        <v>613742</v>
      </c>
      <c r="F1743" s="7"/>
      <c r="G1743" s="7" t="s">
        <v>1051</v>
      </c>
      <c r="H1743" s="7"/>
      <c r="I1743" s="27" t="s">
        <v>616</v>
      </c>
      <c r="J1743" s="7"/>
      <c r="K1743" s="27" t="s">
        <v>2208</v>
      </c>
      <c r="L1743" s="7"/>
    </row>
    <row r="1744" spans="1:12" x14ac:dyDescent="0.2">
      <c r="A1744" s="7"/>
      <c r="B1744" s="7"/>
      <c r="C1744" s="7"/>
      <c r="D1744" s="7"/>
      <c r="E1744" s="7">
        <v>613743</v>
      </c>
      <c r="F1744" s="7"/>
      <c r="G1744" s="7" t="s">
        <v>1052</v>
      </c>
      <c r="H1744" s="7"/>
      <c r="I1744" s="27" t="s">
        <v>616</v>
      </c>
      <c r="J1744" s="7"/>
      <c r="K1744" s="27" t="s">
        <v>2208</v>
      </c>
      <c r="L1744" s="7"/>
    </row>
    <row r="1745" spans="1:12" x14ac:dyDescent="0.2">
      <c r="A1745" s="7"/>
      <c r="B1745" s="7"/>
      <c r="C1745" s="7"/>
      <c r="D1745" s="7"/>
      <c r="E1745" s="7">
        <v>613744</v>
      </c>
      <c r="F1745" s="7"/>
      <c r="G1745" s="7" t="s">
        <v>588</v>
      </c>
      <c r="H1745" s="7"/>
      <c r="I1745" s="27" t="s">
        <v>616</v>
      </c>
      <c r="J1745" s="7"/>
      <c r="K1745" s="27" t="s">
        <v>2208</v>
      </c>
      <c r="L1745" s="7"/>
    </row>
    <row r="1746" spans="1:12" x14ac:dyDescent="0.2">
      <c r="A1746" s="7"/>
      <c r="B1746" s="7"/>
      <c r="C1746" s="7"/>
      <c r="D1746" s="7"/>
      <c r="E1746" s="7">
        <v>613745</v>
      </c>
      <c r="F1746" s="7"/>
      <c r="G1746" s="7" t="s">
        <v>620</v>
      </c>
      <c r="H1746" s="7"/>
      <c r="I1746" s="27" t="s">
        <v>71</v>
      </c>
      <c r="J1746" s="7"/>
      <c r="K1746" s="27" t="s">
        <v>2208</v>
      </c>
      <c r="L1746" s="7"/>
    </row>
    <row r="1747" spans="1:12" x14ac:dyDescent="0.2">
      <c r="A1747" s="7"/>
      <c r="B1747" s="7"/>
      <c r="C1747" s="7"/>
      <c r="D1747" s="7"/>
      <c r="E1747" s="7">
        <v>613746</v>
      </c>
      <c r="F1747" s="7"/>
      <c r="G1747" s="7" t="s">
        <v>619</v>
      </c>
      <c r="H1747" s="7"/>
      <c r="I1747" s="27" t="s">
        <v>616</v>
      </c>
      <c r="J1747" s="7"/>
      <c r="K1747" s="27" t="s">
        <v>2208</v>
      </c>
      <c r="L1747" s="7"/>
    </row>
    <row r="1748" spans="1:12" x14ac:dyDescent="0.2">
      <c r="A1748" s="7"/>
      <c r="B1748" s="7"/>
      <c r="C1748" s="7"/>
      <c r="D1748" s="7"/>
      <c r="E1748" s="7">
        <v>613747</v>
      </c>
      <c r="F1748" s="7"/>
      <c r="G1748" s="7" t="s">
        <v>1558</v>
      </c>
      <c r="H1748" s="7"/>
      <c r="I1748" s="27" t="s">
        <v>47</v>
      </c>
      <c r="J1748" s="7"/>
      <c r="K1748" s="27" t="s">
        <v>2208</v>
      </c>
      <c r="L1748" s="7"/>
    </row>
    <row r="1749" spans="1:12" x14ac:dyDescent="0.2">
      <c r="A1749" s="7"/>
      <c r="B1749" s="7"/>
      <c r="C1749" s="7"/>
      <c r="D1749" s="7"/>
      <c r="E1749" s="7">
        <v>613748</v>
      </c>
      <c r="F1749" s="7"/>
      <c r="G1749" s="7" t="s">
        <v>1559</v>
      </c>
      <c r="H1749" s="7"/>
      <c r="I1749" s="27" t="s">
        <v>616</v>
      </c>
      <c r="J1749" s="7"/>
      <c r="K1749" s="27" t="s">
        <v>2208</v>
      </c>
      <c r="L1749" s="7"/>
    </row>
    <row r="1750" spans="1:12" x14ac:dyDescent="0.2">
      <c r="A1750" s="7"/>
      <c r="B1750" s="7"/>
      <c r="C1750" s="7"/>
      <c r="D1750" s="7"/>
      <c r="E1750" s="7">
        <v>613749</v>
      </c>
      <c r="F1750" s="7"/>
      <c r="G1750" s="7" t="s">
        <v>1560</v>
      </c>
      <c r="H1750" s="7"/>
      <c r="I1750" s="27" t="s">
        <v>133</v>
      </c>
      <c r="J1750" s="7"/>
      <c r="K1750" s="27" t="s">
        <v>2208</v>
      </c>
      <c r="L1750" s="7"/>
    </row>
    <row r="1751" spans="1:12" x14ac:dyDescent="0.2">
      <c r="A1751" s="7"/>
      <c r="B1751" s="7"/>
      <c r="C1751" s="7"/>
      <c r="D1751" s="7"/>
      <c r="E1751" s="7">
        <v>613750</v>
      </c>
      <c r="F1751" s="7"/>
      <c r="G1751" s="7" t="s">
        <v>1561</v>
      </c>
      <c r="H1751" s="7"/>
      <c r="I1751" s="27" t="s">
        <v>133</v>
      </c>
      <c r="J1751" s="7"/>
      <c r="K1751" s="27" t="s">
        <v>2208</v>
      </c>
      <c r="L1751" s="7"/>
    </row>
    <row r="1752" spans="1:12" x14ac:dyDescent="0.2">
      <c r="A1752" s="7"/>
      <c r="B1752" s="7"/>
      <c r="C1752" s="7"/>
      <c r="D1752" s="7"/>
      <c r="E1752" s="7">
        <v>613751</v>
      </c>
      <c r="F1752" s="7"/>
      <c r="G1752" s="7" t="s">
        <v>1562</v>
      </c>
      <c r="H1752" s="7"/>
      <c r="I1752" s="27" t="s">
        <v>47</v>
      </c>
      <c r="J1752" s="7"/>
      <c r="K1752" s="27" t="s">
        <v>2208</v>
      </c>
      <c r="L1752" s="7"/>
    </row>
    <row r="1753" spans="1:12" x14ac:dyDescent="0.2">
      <c r="A1753" s="7"/>
      <c r="B1753" s="7"/>
      <c r="C1753" s="7"/>
      <c r="D1753" s="7"/>
      <c r="E1753" s="7">
        <v>613752</v>
      </c>
      <c r="F1753" s="7"/>
      <c r="G1753" s="7" t="s">
        <v>1563</v>
      </c>
      <c r="H1753" s="7"/>
      <c r="I1753" s="27" t="s">
        <v>47</v>
      </c>
      <c r="J1753" s="7"/>
      <c r="K1753" s="27" t="s">
        <v>2208</v>
      </c>
      <c r="L1753" s="7"/>
    </row>
    <row r="1754" spans="1:12" x14ac:dyDescent="0.2">
      <c r="A1754" s="7"/>
      <c r="B1754" s="7"/>
      <c r="C1754" s="7"/>
      <c r="D1754" s="7"/>
      <c r="E1754" s="7">
        <v>613753</v>
      </c>
      <c r="F1754" s="7"/>
      <c r="G1754" s="7" t="s">
        <v>1564</v>
      </c>
      <c r="H1754" s="7"/>
      <c r="I1754" s="27" t="s">
        <v>47</v>
      </c>
      <c r="J1754" s="7"/>
      <c r="K1754" s="27" t="s">
        <v>2208</v>
      </c>
      <c r="L1754" s="7"/>
    </row>
    <row r="1755" spans="1:12" x14ac:dyDescent="0.2">
      <c r="A1755" s="7"/>
      <c r="B1755" s="7"/>
      <c r="C1755" s="7"/>
      <c r="D1755" s="7"/>
      <c r="E1755" s="7">
        <v>613754</v>
      </c>
      <c r="F1755" s="7"/>
      <c r="G1755" s="7" t="s">
        <v>1565</v>
      </c>
      <c r="H1755" s="7"/>
      <c r="I1755" s="27" t="s">
        <v>47</v>
      </c>
      <c r="J1755" s="7"/>
      <c r="K1755" s="27" t="s">
        <v>2208</v>
      </c>
      <c r="L1755" s="7"/>
    </row>
    <row r="1756" spans="1:12" x14ac:dyDescent="0.2">
      <c r="A1756" s="7"/>
      <c r="B1756" s="7"/>
      <c r="C1756" s="7"/>
      <c r="D1756" s="7"/>
      <c r="E1756" s="7">
        <v>613755</v>
      </c>
      <c r="F1756" s="7"/>
      <c r="G1756" s="7" t="s">
        <v>1566</v>
      </c>
      <c r="H1756" s="7"/>
      <c r="I1756" s="27" t="s">
        <v>133</v>
      </c>
      <c r="J1756" s="7"/>
      <c r="K1756" s="27" t="s">
        <v>2208</v>
      </c>
      <c r="L1756" s="7"/>
    </row>
    <row r="1757" spans="1:12" x14ac:dyDescent="0.2">
      <c r="A1757" s="7"/>
      <c r="B1757" s="7"/>
      <c r="C1757" s="7"/>
      <c r="D1757" s="7"/>
      <c r="E1757" s="7">
        <v>613756</v>
      </c>
      <c r="F1757" s="7"/>
      <c r="G1757" s="7" t="s">
        <v>1567</v>
      </c>
      <c r="H1757" s="7"/>
      <c r="I1757" s="27" t="s">
        <v>133</v>
      </c>
      <c r="J1757" s="7"/>
      <c r="K1757" s="27" t="s">
        <v>2208</v>
      </c>
      <c r="L1757" s="7"/>
    </row>
    <row r="1758" spans="1:12" x14ac:dyDescent="0.2">
      <c r="A1758" s="7"/>
      <c r="B1758" s="7"/>
      <c r="C1758" s="7"/>
      <c r="D1758" s="7"/>
      <c r="E1758" s="7">
        <v>613757</v>
      </c>
      <c r="F1758" s="7"/>
      <c r="G1758" s="7" t="s">
        <v>1568</v>
      </c>
      <c r="H1758" s="7"/>
      <c r="I1758" s="27" t="s">
        <v>133</v>
      </c>
      <c r="J1758" s="7"/>
      <c r="K1758" s="27" t="s">
        <v>2208</v>
      </c>
      <c r="L1758" s="7"/>
    </row>
    <row r="1759" spans="1:12" x14ac:dyDescent="0.2">
      <c r="A1759" s="7"/>
      <c r="B1759" s="7"/>
      <c r="C1759" s="7"/>
      <c r="D1759" s="7"/>
      <c r="E1759" s="7">
        <v>613758</v>
      </c>
      <c r="F1759" s="7"/>
      <c r="G1759" s="7" t="s">
        <v>1569</v>
      </c>
      <c r="H1759" s="7"/>
      <c r="I1759" s="27" t="s">
        <v>133</v>
      </c>
      <c r="J1759" s="7"/>
      <c r="K1759" s="27" t="s">
        <v>2208</v>
      </c>
      <c r="L1759" s="7"/>
    </row>
    <row r="1760" spans="1:12" x14ac:dyDescent="0.2">
      <c r="A1760" s="7"/>
      <c r="B1760" s="7"/>
      <c r="C1760" s="7"/>
      <c r="D1760" s="7"/>
      <c r="E1760" s="7">
        <v>613759</v>
      </c>
      <c r="F1760" s="7"/>
      <c r="G1760" s="7" t="s">
        <v>579</v>
      </c>
      <c r="H1760" s="7"/>
      <c r="I1760" s="27" t="s">
        <v>553</v>
      </c>
      <c r="J1760" s="7"/>
      <c r="K1760" s="27" t="s">
        <v>2208</v>
      </c>
      <c r="L1760" s="7"/>
    </row>
    <row r="1761" spans="1:12" x14ac:dyDescent="0.2">
      <c r="A1761" s="7"/>
      <c r="B1761" s="7"/>
      <c r="C1761" s="7"/>
      <c r="D1761" s="7"/>
      <c r="E1761" s="7">
        <v>613760</v>
      </c>
      <c r="F1761" s="7"/>
      <c r="G1761" s="7" t="s">
        <v>578</v>
      </c>
      <c r="H1761" s="7"/>
      <c r="I1761" s="27" t="s">
        <v>553</v>
      </c>
      <c r="J1761" s="7"/>
      <c r="K1761" s="27" t="s">
        <v>2208</v>
      </c>
      <c r="L1761" s="7"/>
    </row>
    <row r="1762" spans="1:12" x14ac:dyDescent="0.2">
      <c r="A1762" s="7"/>
      <c r="B1762" s="7"/>
      <c r="C1762" s="7"/>
      <c r="D1762" s="7"/>
      <c r="E1762" s="7">
        <v>613761</v>
      </c>
      <c r="F1762" s="7"/>
      <c r="G1762" s="7" t="s">
        <v>577</v>
      </c>
      <c r="H1762" s="7"/>
      <c r="I1762" s="27" t="s">
        <v>553</v>
      </c>
      <c r="J1762" s="7"/>
      <c r="K1762" s="27" t="s">
        <v>2208</v>
      </c>
      <c r="L1762" s="7"/>
    </row>
    <row r="1763" spans="1:12" x14ac:dyDescent="0.2">
      <c r="A1763" s="7"/>
      <c r="B1763" s="7"/>
      <c r="C1763" s="7"/>
      <c r="D1763" s="7"/>
      <c r="E1763" s="7">
        <v>613762</v>
      </c>
      <c r="F1763" s="7"/>
      <c r="G1763" s="7" t="s">
        <v>576</v>
      </c>
      <c r="H1763" s="7"/>
      <c r="I1763" s="27" t="s">
        <v>553</v>
      </c>
      <c r="J1763" s="7"/>
      <c r="K1763" s="27" t="s">
        <v>2208</v>
      </c>
      <c r="L1763" s="7"/>
    </row>
    <row r="1764" spans="1:12" x14ac:dyDescent="0.2">
      <c r="A1764" s="7"/>
      <c r="B1764" s="7"/>
      <c r="C1764" s="7"/>
      <c r="D1764" s="7"/>
      <c r="E1764" s="7">
        <v>613763</v>
      </c>
      <c r="F1764" s="7"/>
      <c r="G1764" s="7" t="s">
        <v>585</v>
      </c>
      <c r="H1764" s="7"/>
      <c r="I1764" s="27" t="s">
        <v>553</v>
      </c>
      <c r="J1764" s="7"/>
      <c r="K1764" s="27" t="s">
        <v>2208</v>
      </c>
      <c r="L1764" s="7"/>
    </row>
    <row r="1765" spans="1:12" x14ac:dyDescent="0.2">
      <c r="A1765" s="7"/>
      <c r="B1765" s="7"/>
      <c r="C1765" s="7"/>
      <c r="D1765" s="7"/>
      <c r="E1765" s="7">
        <v>613764</v>
      </c>
      <c r="F1765" s="7"/>
      <c r="G1765" s="7" t="s">
        <v>586</v>
      </c>
      <c r="H1765" s="7"/>
      <c r="I1765" s="27" t="s">
        <v>553</v>
      </c>
      <c r="J1765" s="7"/>
      <c r="K1765" s="27" t="s">
        <v>2208</v>
      </c>
      <c r="L1765" s="7"/>
    </row>
    <row r="1766" spans="1:12" x14ac:dyDescent="0.2">
      <c r="A1766" s="7"/>
      <c r="B1766" s="7"/>
      <c r="C1766" s="7"/>
      <c r="D1766" s="7"/>
      <c r="E1766" s="7">
        <v>613765</v>
      </c>
      <c r="F1766" s="7"/>
      <c r="G1766" s="7" t="s">
        <v>587</v>
      </c>
      <c r="H1766" s="7"/>
      <c r="I1766" s="27" t="s">
        <v>553</v>
      </c>
      <c r="J1766" s="7"/>
      <c r="K1766" s="27" t="s">
        <v>2208</v>
      </c>
      <c r="L1766" s="7"/>
    </row>
    <row r="1767" spans="1:12" x14ac:dyDescent="0.2">
      <c r="A1767" s="7"/>
      <c r="B1767" s="7"/>
      <c r="C1767" s="7"/>
      <c r="D1767" s="7"/>
      <c r="E1767" s="7">
        <v>613766</v>
      </c>
      <c r="F1767" s="7"/>
      <c r="G1767" s="7" t="s">
        <v>1570</v>
      </c>
      <c r="H1767" s="7"/>
      <c r="I1767" s="27" t="s">
        <v>133</v>
      </c>
      <c r="J1767" s="7"/>
      <c r="K1767" s="27" t="s">
        <v>2208</v>
      </c>
      <c r="L1767" s="7"/>
    </row>
    <row r="1768" spans="1:12" x14ac:dyDescent="0.2">
      <c r="A1768" s="7"/>
      <c r="B1768" s="7"/>
      <c r="C1768" s="7"/>
      <c r="D1768" s="7"/>
      <c r="E1768" s="7">
        <v>613767</v>
      </c>
      <c r="F1768" s="7"/>
      <c r="G1768" s="7" t="s">
        <v>1571</v>
      </c>
      <c r="H1768" s="7"/>
      <c r="I1768" s="27" t="s">
        <v>133</v>
      </c>
      <c r="J1768" s="7"/>
      <c r="K1768" s="27" t="s">
        <v>2208</v>
      </c>
      <c r="L1768" s="7"/>
    </row>
    <row r="1769" spans="1:12" x14ac:dyDescent="0.2">
      <c r="A1769" s="7"/>
      <c r="B1769" s="7"/>
      <c r="C1769" s="7"/>
      <c r="D1769" s="7"/>
      <c r="E1769" s="7">
        <v>613768</v>
      </c>
      <c r="F1769" s="7"/>
      <c r="G1769" s="7" t="s">
        <v>1572</v>
      </c>
      <c r="H1769" s="7"/>
      <c r="I1769" s="27" t="s">
        <v>553</v>
      </c>
      <c r="J1769" s="7"/>
      <c r="K1769" s="27" t="s">
        <v>2208</v>
      </c>
      <c r="L1769" s="7"/>
    </row>
    <row r="1770" spans="1:12" x14ac:dyDescent="0.2">
      <c r="A1770" s="7"/>
      <c r="B1770" s="7"/>
      <c r="C1770" s="7"/>
      <c r="D1770" s="7"/>
      <c r="E1770" s="7">
        <v>613769</v>
      </c>
      <c r="F1770" s="7"/>
      <c r="G1770" s="7" t="s">
        <v>1573</v>
      </c>
      <c r="H1770" s="7"/>
      <c r="I1770" s="27" t="s">
        <v>553</v>
      </c>
      <c r="J1770" s="7"/>
      <c r="K1770" s="27" t="s">
        <v>2208</v>
      </c>
      <c r="L1770" s="7"/>
    </row>
    <row r="1771" spans="1:12" x14ac:dyDescent="0.2">
      <c r="A1771" s="7"/>
      <c r="B1771" s="7"/>
      <c r="C1771" s="7"/>
      <c r="D1771" s="7"/>
      <c r="E1771" s="7">
        <v>613770</v>
      </c>
      <c r="F1771" s="7"/>
      <c r="G1771" s="7" t="s">
        <v>876</v>
      </c>
      <c r="H1771" s="7"/>
      <c r="I1771" s="27" t="s">
        <v>553</v>
      </c>
      <c r="J1771" s="7"/>
      <c r="K1771" s="27" t="s">
        <v>2208</v>
      </c>
      <c r="L1771" s="7"/>
    </row>
    <row r="1772" spans="1:12" x14ac:dyDescent="0.2">
      <c r="A1772" s="7"/>
      <c r="B1772" s="7"/>
      <c r="C1772" s="7"/>
      <c r="D1772" s="7"/>
      <c r="E1772" s="7">
        <v>613771</v>
      </c>
      <c r="F1772" s="7"/>
      <c r="G1772" s="7" t="s">
        <v>1574</v>
      </c>
      <c r="H1772" s="7"/>
      <c r="I1772" s="27" t="s">
        <v>133</v>
      </c>
      <c r="J1772" s="7"/>
      <c r="K1772" s="27" t="s">
        <v>2208</v>
      </c>
      <c r="L1772" s="7"/>
    </row>
    <row r="1773" spans="1:12" x14ac:dyDescent="0.2">
      <c r="A1773" s="7"/>
      <c r="B1773" s="7"/>
      <c r="C1773" s="7"/>
      <c r="D1773" s="7"/>
      <c r="E1773" s="7">
        <v>613772</v>
      </c>
      <c r="F1773" s="7"/>
      <c r="G1773" s="7" t="s">
        <v>1575</v>
      </c>
      <c r="H1773" s="7"/>
      <c r="I1773" s="27" t="s">
        <v>553</v>
      </c>
      <c r="J1773" s="7"/>
      <c r="K1773" s="27" t="s">
        <v>2208</v>
      </c>
      <c r="L1773" s="7"/>
    </row>
    <row r="1774" spans="1:12" x14ac:dyDescent="0.2">
      <c r="A1774" s="7"/>
      <c r="B1774" s="7"/>
      <c r="C1774" s="7"/>
      <c r="D1774" s="7"/>
      <c r="E1774" s="7">
        <v>613773</v>
      </c>
      <c r="F1774" s="7"/>
      <c r="G1774" s="7" t="s">
        <v>1576</v>
      </c>
      <c r="H1774" s="7"/>
      <c r="I1774" s="27" t="s">
        <v>47</v>
      </c>
      <c r="J1774" s="7"/>
      <c r="K1774" s="27" t="s">
        <v>2208</v>
      </c>
      <c r="L1774" s="7"/>
    </row>
    <row r="1775" spans="1:12" x14ac:dyDescent="0.2">
      <c r="A1775" s="7"/>
      <c r="B1775" s="7"/>
      <c r="C1775" s="7"/>
      <c r="D1775" s="7"/>
      <c r="E1775" s="7">
        <v>613774</v>
      </c>
      <c r="F1775" s="7"/>
      <c r="G1775" s="7" t="s">
        <v>1577</v>
      </c>
      <c r="H1775" s="7"/>
      <c r="I1775" s="27" t="s">
        <v>47</v>
      </c>
      <c r="J1775" s="7"/>
      <c r="K1775" s="27" t="s">
        <v>2208</v>
      </c>
      <c r="L1775" s="7"/>
    </row>
    <row r="1776" spans="1:12" x14ac:dyDescent="0.2">
      <c r="A1776" s="7"/>
      <c r="B1776" s="7"/>
      <c r="C1776" s="7"/>
      <c r="D1776" s="7"/>
      <c r="E1776" s="7">
        <v>613775</v>
      </c>
      <c r="F1776" s="7"/>
      <c r="G1776" s="7" t="s">
        <v>1578</v>
      </c>
      <c r="H1776" s="7"/>
      <c r="I1776" s="27" t="s">
        <v>47</v>
      </c>
      <c r="J1776" s="7"/>
      <c r="K1776" s="27" t="s">
        <v>2208</v>
      </c>
      <c r="L1776" s="7"/>
    </row>
    <row r="1777" spans="1:12" x14ac:dyDescent="0.2">
      <c r="A1777" s="7"/>
      <c r="B1777" s="7"/>
      <c r="C1777" s="7"/>
      <c r="D1777" s="7"/>
      <c r="E1777" s="7">
        <v>613776</v>
      </c>
      <c r="F1777" s="7"/>
      <c r="G1777" s="7" t="s">
        <v>1579</v>
      </c>
      <c r="H1777" s="7"/>
      <c r="I1777" s="27" t="s">
        <v>47</v>
      </c>
      <c r="J1777" s="7"/>
      <c r="K1777" s="27" t="s">
        <v>2208</v>
      </c>
      <c r="L1777" s="7"/>
    </row>
    <row r="1778" spans="1:12" x14ac:dyDescent="0.2">
      <c r="A1778" s="7"/>
      <c r="B1778" s="7"/>
      <c r="C1778" s="7"/>
      <c r="D1778" s="7"/>
      <c r="E1778" s="7">
        <v>613777</v>
      </c>
      <c r="F1778" s="7"/>
      <c r="G1778" s="7" t="s">
        <v>1580</v>
      </c>
      <c r="H1778" s="7"/>
      <c r="I1778" s="27" t="s">
        <v>47</v>
      </c>
      <c r="J1778" s="7"/>
      <c r="K1778" s="27" t="s">
        <v>2208</v>
      </c>
      <c r="L1778" s="7"/>
    </row>
    <row r="1779" spans="1:12" x14ac:dyDescent="0.2">
      <c r="A1779" s="7"/>
      <c r="B1779" s="7"/>
      <c r="C1779" s="7"/>
      <c r="D1779" s="7"/>
      <c r="E1779" s="7">
        <v>613778</v>
      </c>
      <c r="F1779" s="7"/>
      <c r="G1779" s="7" t="s">
        <v>1065</v>
      </c>
      <c r="H1779" s="7"/>
      <c r="I1779" s="27" t="s">
        <v>47</v>
      </c>
      <c r="J1779" s="7"/>
      <c r="K1779" s="27" t="s">
        <v>2208</v>
      </c>
      <c r="L1779" s="7"/>
    </row>
    <row r="1780" spans="1:12" x14ac:dyDescent="0.2">
      <c r="A1780" s="7"/>
      <c r="B1780" s="7"/>
      <c r="C1780" s="7"/>
      <c r="D1780" s="7"/>
      <c r="E1780" s="7">
        <v>613779</v>
      </c>
      <c r="F1780" s="7"/>
      <c r="G1780" s="7" t="s">
        <v>1581</v>
      </c>
      <c r="H1780" s="7"/>
      <c r="I1780" s="27" t="s">
        <v>47</v>
      </c>
      <c r="J1780" s="7"/>
      <c r="K1780" s="27" t="s">
        <v>2208</v>
      </c>
      <c r="L1780" s="7"/>
    </row>
    <row r="1781" spans="1:12" x14ac:dyDescent="0.2">
      <c r="A1781" s="7"/>
      <c r="B1781" s="7"/>
      <c r="C1781" s="7"/>
      <c r="D1781" s="7"/>
      <c r="E1781" s="7">
        <v>613780</v>
      </c>
      <c r="F1781" s="7"/>
      <c r="G1781" s="7" t="s">
        <v>1582</v>
      </c>
      <c r="H1781" s="7"/>
      <c r="I1781" s="27" t="s">
        <v>133</v>
      </c>
      <c r="J1781" s="7"/>
      <c r="K1781" s="27" t="s">
        <v>2208</v>
      </c>
      <c r="L1781" s="7"/>
    </row>
    <row r="1782" spans="1:12" x14ac:dyDescent="0.2">
      <c r="A1782" s="7"/>
      <c r="B1782" s="7"/>
      <c r="C1782" s="7"/>
      <c r="D1782" s="7"/>
      <c r="E1782" s="7">
        <v>613781</v>
      </c>
      <c r="F1782" s="7"/>
      <c r="G1782" s="7" t="s">
        <v>1070</v>
      </c>
      <c r="H1782" s="7"/>
      <c r="I1782" s="27" t="s">
        <v>133</v>
      </c>
      <c r="J1782" s="7"/>
      <c r="K1782" s="27" t="s">
        <v>2208</v>
      </c>
      <c r="L1782" s="7"/>
    </row>
    <row r="1783" spans="1:12" x14ac:dyDescent="0.2">
      <c r="A1783" s="7"/>
      <c r="B1783" s="7"/>
      <c r="C1783" s="7"/>
      <c r="D1783" s="7"/>
      <c r="E1783" s="7">
        <v>613782</v>
      </c>
      <c r="F1783" s="7"/>
      <c r="G1783" s="7" t="s">
        <v>1583</v>
      </c>
      <c r="H1783" s="7"/>
      <c r="I1783" s="27" t="s">
        <v>133</v>
      </c>
      <c r="J1783" s="7"/>
      <c r="K1783" s="27" t="s">
        <v>2208</v>
      </c>
      <c r="L1783" s="7"/>
    </row>
    <row r="1784" spans="1:12" x14ac:dyDescent="0.2">
      <c r="A1784" s="7"/>
      <c r="B1784" s="7"/>
      <c r="C1784" s="7"/>
      <c r="D1784" s="7"/>
      <c r="E1784" s="7">
        <v>613783</v>
      </c>
      <c r="F1784" s="7"/>
      <c r="G1784" s="7" t="s">
        <v>1584</v>
      </c>
      <c r="H1784" s="7"/>
      <c r="I1784" s="27" t="s">
        <v>133</v>
      </c>
      <c r="J1784" s="7"/>
      <c r="K1784" s="27" t="s">
        <v>2208</v>
      </c>
      <c r="L1784" s="7"/>
    </row>
    <row r="1785" spans="1:12" x14ac:dyDescent="0.2">
      <c r="A1785" s="7"/>
      <c r="B1785" s="7"/>
      <c r="C1785" s="7"/>
      <c r="D1785" s="7"/>
      <c r="E1785" s="7">
        <v>613784</v>
      </c>
      <c r="F1785" s="7"/>
      <c r="G1785" s="7" t="s">
        <v>1585</v>
      </c>
      <c r="H1785" s="7"/>
      <c r="I1785" s="27" t="s">
        <v>47</v>
      </c>
      <c r="J1785" s="7"/>
      <c r="K1785" s="27" t="s">
        <v>2208</v>
      </c>
      <c r="L1785" s="7"/>
    </row>
    <row r="1786" spans="1:12" x14ac:dyDescent="0.2">
      <c r="A1786" s="7"/>
      <c r="B1786" s="7"/>
      <c r="C1786" s="7"/>
      <c r="D1786" s="7"/>
      <c r="E1786" s="7">
        <v>613785</v>
      </c>
      <c r="F1786" s="7"/>
      <c r="G1786" s="7" t="s">
        <v>1586</v>
      </c>
      <c r="H1786" s="7"/>
      <c r="I1786" s="27" t="s">
        <v>47</v>
      </c>
      <c r="J1786" s="7"/>
      <c r="K1786" s="27" t="s">
        <v>2208</v>
      </c>
      <c r="L1786" s="7"/>
    </row>
    <row r="1787" spans="1:12" x14ac:dyDescent="0.2">
      <c r="A1787" s="7"/>
      <c r="B1787" s="7"/>
      <c r="C1787" s="7"/>
      <c r="D1787" s="7"/>
      <c r="E1787" s="7">
        <v>613786</v>
      </c>
      <c r="F1787" s="7"/>
      <c r="G1787" s="7" t="s">
        <v>1587</v>
      </c>
      <c r="H1787" s="7"/>
      <c r="I1787" s="27" t="s">
        <v>133</v>
      </c>
      <c r="J1787" s="7"/>
      <c r="K1787" s="27" t="s">
        <v>2208</v>
      </c>
      <c r="L1787" s="7"/>
    </row>
    <row r="1788" spans="1:12" x14ac:dyDescent="0.2">
      <c r="A1788" s="7"/>
      <c r="B1788" s="7"/>
      <c r="C1788" s="7"/>
      <c r="D1788" s="7"/>
      <c r="E1788" s="7">
        <v>613787</v>
      </c>
      <c r="F1788" s="7"/>
      <c r="G1788" s="7" t="s">
        <v>1588</v>
      </c>
      <c r="H1788" s="7"/>
      <c r="I1788" s="27" t="s">
        <v>133</v>
      </c>
      <c r="J1788" s="7"/>
      <c r="K1788" s="27" t="s">
        <v>2208</v>
      </c>
      <c r="L1788" s="7"/>
    </row>
    <row r="1789" spans="1:12" x14ac:dyDescent="0.2">
      <c r="A1789" s="7"/>
      <c r="B1789" s="7"/>
      <c r="C1789" s="7"/>
      <c r="D1789" s="7"/>
      <c r="E1789" s="7">
        <v>613788</v>
      </c>
      <c r="F1789" s="7"/>
      <c r="G1789" s="7" t="s">
        <v>1589</v>
      </c>
      <c r="H1789" s="7"/>
      <c r="I1789" s="27" t="s">
        <v>133</v>
      </c>
      <c r="J1789" s="7"/>
      <c r="K1789" s="27" t="s">
        <v>2208</v>
      </c>
      <c r="L1789" s="7"/>
    </row>
    <row r="1790" spans="1:12" x14ac:dyDescent="0.2">
      <c r="A1790" s="7"/>
      <c r="B1790" s="7"/>
      <c r="C1790" s="7"/>
      <c r="D1790" s="7"/>
      <c r="E1790" s="7">
        <v>613789</v>
      </c>
      <c r="F1790" s="7"/>
      <c r="G1790" s="7" t="s">
        <v>1590</v>
      </c>
      <c r="H1790" s="7"/>
      <c r="I1790" s="27" t="s">
        <v>47</v>
      </c>
      <c r="J1790" s="7"/>
      <c r="K1790" s="27" t="s">
        <v>2208</v>
      </c>
      <c r="L1790" s="7"/>
    </row>
    <row r="1791" spans="1:12" x14ac:dyDescent="0.2">
      <c r="A1791" s="7"/>
      <c r="B1791" s="7"/>
      <c r="C1791" s="7"/>
      <c r="D1791" s="7"/>
      <c r="E1791" s="7">
        <v>613790</v>
      </c>
      <c r="F1791" s="7"/>
      <c r="G1791" s="7" t="s">
        <v>1591</v>
      </c>
      <c r="H1791" s="7"/>
      <c r="I1791" s="27" t="s">
        <v>47</v>
      </c>
      <c r="J1791" s="7"/>
      <c r="K1791" s="27" t="s">
        <v>2208</v>
      </c>
      <c r="L1791" s="7"/>
    </row>
    <row r="1792" spans="1:12" x14ac:dyDescent="0.2">
      <c r="A1792" s="7"/>
      <c r="B1792" s="7"/>
      <c r="C1792" s="7"/>
      <c r="D1792" s="7"/>
      <c r="E1792" s="7">
        <v>613791</v>
      </c>
      <c r="F1792" s="7"/>
      <c r="G1792" s="7" t="s">
        <v>1592</v>
      </c>
      <c r="H1792" s="7"/>
      <c r="I1792" s="27" t="s">
        <v>71</v>
      </c>
      <c r="J1792" s="7"/>
      <c r="K1792" s="27" t="s">
        <v>2208</v>
      </c>
      <c r="L1792" s="7"/>
    </row>
    <row r="1793" spans="1:12" x14ac:dyDescent="0.2">
      <c r="A1793" s="7"/>
      <c r="B1793" s="7"/>
      <c r="C1793" s="7"/>
      <c r="D1793" s="7"/>
      <c r="E1793" s="7">
        <v>613792</v>
      </c>
      <c r="F1793" s="7"/>
      <c r="G1793" s="7" t="s">
        <v>1079</v>
      </c>
      <c r="H1793" s="7"/>
      <c r="I1793" s="27" t="s">
        <v>71</v>
      </c>
      <c r="J1793" s="7"/>
      <c r="K1793" s="27" t="s">
        <v>2208</v>
      </c>
      <c r="L1793" s="7"/>
    </row>
    <row r="1794" spans="1:12" x14ac:dyDescent="0.2">
      <c r="A1794" s="7"/>
      <c r="B1794" s="7"/>
      <c r="C1794" s="7"/>
      <c r="D1794" s="7"/>
      <c r="E1794" s="7">
        <v>613793</v>
      </c>
      <c r="F1794" s="7"/>
      <c r="G1794" s="7" t="s">
        <v>1080</v>
      </c>
      <c r="H1794" s="7"/>
      <c r="I1794" s="27" t="s">
        <v>71</v>
      </c>
      <c r="J1794" s="7"/>
      <c r="K1794" s="27" t="s">
        <v>2208</v>
      </c>
      <c r="L1794" s="7"/>
    </row>
    <row r="1795" spans="1:12" x14ac:dyDescent="0.2">
      <c r="A1795" s="7"/>
      <c r="B1795" s="7"/>
      <c r="C1795" s="7"/>
      <c r="D1795" s="7"/>
      <c r="E1795" s="7">
        <v>613794</v>
      </c>
      <c r="F1795" s="7"/>
      <c r="G1795" s="7" t="s">
        <v>1081</v>
      </c>
      <c r="H1795" s="7"/>
      <c r="I1795" s="27" t="s">
        <v>71</v>
      </c>
      <c r="J1795" s="7"/>
      <c r="K1795" s="27" t="s">
        <v>2208</v>
      </c>
      <c r="L1795" s="7"/>
    </row>
    <row r="1796" spans="1:12" x14ac:dyDescent="0.2">
      <c r="A1796" s="7"/>
      <c r="B1796" s="7"/>
      <c r="C1796" s="7"/>
      <c r="D1796" s="7"/>
      <c r="E1796" s="7">
        <v>613795</v>
      </c>
      <c r="F1796" s="7"/>
      <c r="G1796" s="7" t="s">
        <v>1082</v>
      </c>
      <c r="H1796" s="7"/>
      <c r="I1796" s="27" t="s">
        <v>133</v>
      </c>
      <c r="J1796" s="7"/>
      <c r="K1796" s="27" t="s">
        <v>2208</v>
      </c>
      <c r="L1796" s="7"/>
    </row>
    <row r="1797" spans="1:12" x14ac:dyDescent="0.2">
      <c r="A1797" s="7"/>
      <c r="B1797" s="7"/>
      <c r="C1797" s="7"/>
      <c r="D1797" s="7"/>
      <c r="E1797" s="7">
        <v>613796</v>
      </c>
      <c r="F1797" s="7"/>
      <c r="G1797" s="7" t="s">
        <v>1096</v>
      </c>
      <c r="H1797" s="7"/>
      <c r="I1797" s="27" t="s">
        <v>71</v>
      </c>
      <c r="J1797" s="7"/>
      <c r="K1797" s="27" t="s">
        <v>2208</v>
      </c>
      <c r="L1797" s="7"/>
    </row>
    <row r="1798" spans="1:12" x14ac:dyDescent="0.2">
      <c r="A1798" s="7"/>
      <c r="B1798" s="7"/>
      <c r="C1798" s="7"/>
      <c r="D1798" s="7"/>
      <c r="E1798" s="7">
        <v>613797</v>
      </c>
      <c r="F1798" s="7"/>
      <c r="G1798" s="7" t="s">
        <v>1097</v>
      </c>
      <c r="H1798" s="7"/>
      <c r="I1798" s="27" t="s">
        <v>71</v>
      </c>
      <c r="J1798" s="7"/>
      <c r="K1798" s="27" t="s">
        <v>2208</v>
      </c>
      <c r="L1798" s="7"/>
    </row>
    <row r="1799" spans="1:12" x14ac:dyDescent="0.2">
      <c r="A1799" s="7"/>
      <c r="B1799" s="7"/>
      <c r="C1799" s="7"/>
      <c r="D1799" s="7"/>
      <c r="E1799" s="7">
        <v>613798</v>
      </c>
      <c r="F1799" s="7"/>
      <c r="G1799" s="7" t="s">
        <v>1098</v>
      </c>
      <c r="H1799" s="7"/>
      <c r="I1799" s="27" t="s">
        <v>71</v>
      </c>
      <c r="J1799" s="7"/>
      <c r="K1799" s="27" t="s">
        <v>2208</v>
      </c>
      <c r="L1799" s="7"/>
    </row>
    <row r="1800" spans="1:12" x14ac:dyDescent="0.2">
      <c r="A1800" s="7"/>
      <c r="B1800" s="7"/>
      <c r="C1800" s="7"/>
      <c r="D1800" s="7"/>
      <c r="E1800" s="7">
        <v>613799</v>
      </c>
      <c r="F1800" s="7"/>
      <c r="G1800" s="7" t="s">
        <v>1099</v>
      </c>
      <c r="H1800" s="7"/>
      <c r="I1800" s="27" t="s">
        <v>71</v>
      </c>
      <c r="J1800" s="7"/>
      <c r="K1800" s="27" t="s">
        <v>2208</v>
      </c>
      <c r="L1800" s="7"/>
    </row>
    <row r="1801" spans="1:12" x14ac:dyDescent="0.2">
      <c r="A1801" s="7"/>
      <c r="B1801" s="7"/>
      <c r="C1801" s="7"/>
      <c r="D1801" s="7"/>
      <c r="E1801" s="7">
        <v>613800</v>
      </c>
      <c r="F1801" s="7"/>
      <c r="G1801" s="7" t="s">
        <v>1593</v>
      </c>
      <c r="H1801" s="7"/>
      <c r="I1801" s="27" t="s">
        <v>47</v>
      </c>
      <c r="J1801" s="7"/>
      <c r="K1801" s="27" t="s">
        <v>2208</v>
      </c>
      <c r="L1801" s="7"/>
    </row>
    <row r="1802" spans="1:12" x14ac:dyDescent="0.2">
      <c r="A1802" s="7"/>
      <c r="B1802" s="7"/>
      <c r="C1802" s="7"/>
      <c r="D1802" s="7"/>
      <c r="E1802" s="7">
        <v>613801</v>
      </c>
      <c r="F1802" s="7"/>
      <c r="G1802" s="7" t="s">
        <v>656</v>
      </c>
      <c r="H1802" s="7"/>
      <c r="I1802" s="27" t="s">
        <v>47</v>
      </c>
      <c r="J1802" s="7"/>
      <c r="K1802" s="27" t="s">
        <v>2208</v>
      </c>
      <c r="L1802" s="7"/>
    </row>
    <row r="1803" spans="1:12" x14ac:dyDescent="0.2">
      <c r="A1803" s="7"/>
      <c r="B1803" s="7"/>
      <c r="C1803" s="7"/>
      <c r="D1803" s="7"/>
      <c r="E1803" s="7">
        <v>613802</v>
      </c>
      <c r="F1803" s="7"/>
      <c r="G1803" s="7" t="s">
        <v>657</v>
      </c>
      <c r="H1803" s="7"/>
      <c r="I1803" s="27" t="s">
        <v>47</v>
      </c>
      <c r="J1803" s="7"/>
      <c r="K1803" s="27" t="s">
        <v>2208</v>
      </c>
      <c r="L1803" s="7"/>
    </row>
    <row r="1804" spans="1:12" x14ac:dyDescent="0.2">
      <c r="A1804" s="7"/>
      <c r="B1804" s="7"/>
      <c r="C1804" s="7"/>
      <c r="D1804" s="7"/>
      <c r="E1804" s="7">
        <v>613803</v>
      </c>
      <c r="F1804" s="7"/>
      <c r="G1804" s="7" t="s">
        <v>658</v>
      </c>
      <c r="H1804" s="7"/>
      <c r="I1804" s="27" t="s">
        <v>47</v>
      </c>
      <c r="J1804" s="7"/>
      <c r="K1804" s="27" t="s">
        <v>2208</v>
      </c>
      <c r="L1804" s="7"/>
    </row>
    <row r="1805" spans="1:12" x14ac:dyDescent="0.2">
      <c r="A1805" s="7"/>
      <c r="B1805" s="7"/>
      <c r="C1805" s="7"/>
      <c r="D1805" s="7"/>
      <c r="E1805" s="7">
        <v>613804</v>
      </c>
      <c r="F1805" s="7"/>
      <c r="G1805" s="7" t="s">
        <v>659</v>
      </c>
      <c r="H1805" s="7"/>
      <c r="I1805" s="27" t="s">
        <v>47</v>
      </c>
      <c r="J1805" s="7"/>
      <c r="K1805" s="27" t="s">
        <v>2208</v>
      </c>
      <c r="L1805" s="7"/>
    </row>
    <row r="1806" spans="1:12" x14ac:dyDescent="0.2">
      <c r="A1806" s="7"/>
      <c r="B1806" s="7"/>
      <c r="C1806" s="7"/>
      <c r="D1806" s="7"/>
      <c r="E1806" s="7">
        <v>613805</v>
      </c>
      <c r="F1806" s="7"/>
      <c r="G1806" s="7" t="s">
        <v>1594</v>
      </c>
      <c r="H1806" s="7"/>
      <c r="I1806" s="27" t="s">
        <v>71</v>
      </c>
      <c r="J1806" s="7"/>
      <c r="K1806" s="27" t="s">
        <v>2208</v>
      </c>
      <c r="L1806" s="7"/>
    </row>
    <row r="1807" spans="1:12" x14ac:dyDescent="0.2">
      <c r="A1807" s="7"/>
      <c r="B1807" s="7"/>
      <c r="C1807" s="7"/>
      <c r="D1807" s="7"/>
      <c r="E1807" s="7">
        <v>613806</v>
      </c>
      <c r="F1807" s="7"/>
      <c r="G1807" s="7" t="s">
        <v>661</v>
      </c>
      <c r="H1807" s="7"/>
      <c r="I1807" s="27" t="s">
        <v>71</v>
      </c>
      <c r="J1807" s="7"/>
      <c r="K1807" s="27" t="s">
        <v>2208</v>
      </c>
      <c r="L1807" s="7"/>
    </row>
    <row r="1808" spans="1:12" x14ac:dyDescent="0.2">
      <c r="A1808" s="7"/>
      <c r="B1808" s="7"/>
      <c r="C1808" s="7"/>
      <c r="D1808" s="7"/>
      <c r="E1808" s="7">
        <v>613807</v>
      </c>
      <c r="F1808" s="7"/>
      <c r="G1808" s="7" t="s">
        <v>662</v>
      </c>
      <c r="H1808" s="7"/>
      <c r="I1808" s="27" t="s">
        <v>71</v>
      </c>
      <c r="J1808" s="7"/>
      <c r="K1808" s="27" t="s">
        <v>2208</v>
      </c>
      <c r="L1808" s="7"/>
    </row>
    <row r="1809" spans="1:12" x14ac:dyDescent="0.2">
      <c r="A1809" s="7"/>
      <c r="B1809" s="7"/>
      <c r="C1809" s="7"/>
      <c r="D1809" s="7"/>
      <c r="E1809" s="7">
        <v>613808</v>
      </c>
      <c r="F1809" s="7"/>
      <c r="G1809" s="7" t="s">
        <v>663</v>
      </c>
      <c r="H1809" s="7"/>
      <c r="I1809" s="27" t="s">
        <v>133</v>
      </c>
      <c r="J1809" s="7"/>
      <c r="K1809" s="27" t="s">
        <v>2208</v>
      </c>
      <c r="L1809" s="7"/>
    </row>
    <row r="1810" spans="1:12" x14ac:dyDescent="0.2">
      <c r="A1810" s="7"/>
      <c r="B1810" s="7"/>
      <c r="C1810" s="7"/>
      <c r="D1810" s="7"/>
      <c r="E1810" s="7">
        <v>613809</v>
      </c>
      <c r="F1810" s="7"/>
      <c r="G1810" s="7" t="s">
        <v>664</v>
      </c>
      <c r="H1810" s="7"/>
      <c r="I1810" s="27" t="s">
        <v>47</v>
      </c>
      <c r="J1810" s="7"/>
      <c r="K1810" s="27" t="s">
        <v>2208</v>
      </c>
      <c r="L1810" s="7"/>
    </row>
    <row r="1811" spans="1:12" x14ac:dyDescent="0.2">
      <c r="A1811" s="7"/>
      <c r="B1811" s="7"/>
      <c r="C1811" s="7"/>
      <c r="D1811" s="7"/>
      <c r="E1811" s="7">
        <v>613810</v>
      </c>
      <c r="F1811" s="7"/>
      <c r="G1811" s="7" t="s">
        <v>1073</v>
      </c>
      <c r="H1811" s="7"/>
      <c r="I1811" s="27" t="s">
        <v>47</v>
      </c>
      <c r="J1811" s="7"/>
      <c r="K1811" s="27" t="s">
        <v>2208</v>
      </c>
      <c r="L1811" s="7"/>
    </row>
    <row r="1812" spans="1:12" x14ac:dyDescent="0.2">
      <c r="A1812" s="7"/>
      <c r="B1812" s="7"/>
      <c r="C1812" s="7"/>
      <c r="D1812" s="7"/>
      <c r="E1812" s="7">
        <v>613811</v>
      </c>
      <c r="F1812" s="7"/>
      <c r="G1812" s="7" t="s">
        <v>666</v>
      </c>
      <c r="H1812" s="7"/>
      <c r="I1812" s="27" t="s">
        <v>47</v>
      </c>
      <c r="J1812" s="7"/>
      <c r="K1812" s="27" t="s">
        <v>2208</v>
      </c>
      <c r="L1812" s="7"/>
    </row>
    <row r="1813" spans="1:12" x14ac:dyDescent="0.2">
      <c r="A1813" s="7"/>
      <c r="B1813" s="7"/>
      <c r="C1813" s="7"/>
      <c r="D1813" s="7"/>
      <c r="E1813" s="7">
        <v>613812</v>
      </c>
      <c r="F1813" s="7"/>
      <c r="G1813" s="7" t="s">
        <v>667</v>
      </c>
      <c r="H1813" s="7"/>
      <c r="I1813" s="27" t="s">
        <v>47</v>
      </c>
      <c r="J1813" s="7"/>
      <c r="K1813" s="27" t="s">
        <v>2208</v>
      </c>
      <c r="L1813" s="7"/>
    </row>
    <row r="1814" spans="1:12" x14ac:dyDescent="0.2">
      <c r="A1814" s="7"/>
      <c r="B1814" s="7"/>
      <c r="C1814" s="7"/>
      <c r="D1814" s="7"/>
      <c r="E1814" s="7">
        <v>613813</v>
      </c>
      <c r="F1814" s="7"/>
      <c r="G1814" s="7" t="s">
        <v>668</v>
      </c>
      <c r="H1814" s="7"/>
      <c r="I1814" s="27" t="s">
        <v>47</v>
      </c>
      <c r="J1814" s="7"/>
      <c r="K1814" s="27" t="s">
        <v>2208</v>
      </c>
      <c r="L1814" s="7"/>
    </row>
    <row r="1815" spans="1:12" x14ac:dyDescent="0.2">
      <c r="A1815" s="7"/>
      <c r="B1815" s="7"/>
      <c r="C1815" s="7"/>
      <c r="D1815" s="7"/>
      <c r="E1815" s="7">
        <v>613814</v>
      </c>
      <c r="F1815" s="7"/>
      <c r="G1815" s="7" t="s">
        <v>669</v>
      </c>
      <c r="H1815" s="7"/>
      <c r="I1815" s="27" t="s">
        <v>47</v>
      </c>
      <c r="J1815" s="7"/>
      <c r="K1815" s="27" t="s">
        <v>2208</v>
      </c>
      <c r="L1815" s="7"/>
    </row>
    <row r="1816" spans="1:12" x14ac:dyDescent="0.2">
      <c r="A1816" s="7"/>
      <c r="B1816" s="7"/>
      <c r="C1816" s="7"/>
      <c r="D1816" s="7"/>
      <c r="E1816" s="7">
        <v>613815</v>
      </c>
      <c r="F1816" s="7"/>
      <c r="G1816" s="7" t="s">
        <v>1595</v>
      </c>
      <c r="H1816" s="7"/>
      <c r="I1816" s="27" t="s">
        <v>47</v>
      </c>
      <c r="J1816" s="7"/>
      <c r="K1816" s="27" t="s">
        <v>2208</v>
      </c>
      <c r="L1816" s="7"/>
    </row>
    <row r="1817" spans="1:12" x14ac:dyDescent="0.2">
      <c r="A1817" s="7"/>
      <c r="B1817" s="7"/>
      <c r="C1817" s="7"/>
      <c r="D1817" s="7"/>
      <c r="E1817" s="7">
        <v>613816</v>
      </c>
      <c r="F1817" s="7"/>
      <c r="G1817" s="7" t="s">
        <v>671</v>
      </c>
      <c r="H1817" s="7"/>
      <c r="I1817" s="27" t="s">
        <v>47</v>
      </c>
      <c r="J1817" s="7"/>
      <c r="K1817" s="27" t="s">
        <v>2208</v>
      </c>
      <c r="L1817" s="7"/>
    </row>
    <row r="1818" spans="1:12" x14ac:dyDescent="0.2">
      <c r="A1818" s="7"/>
      <c r="B1818" s="7"/>
      <c r="C1818" s="7"/>
      <c r="D1818" s="7"/>
      <c r="E1818" s="7">
        <v>613817</v>
      </c>
      <c r="F1818" s="7"/>
      <c r="G1818" s="7" t="s">
        <v>1596</v>
      </c>
      <c r="H1818" s="7"/>
      <c r="I1818" s="27" t="s">
        <v>47</v>
      </c>
      <c r="J1818" s="7"/>
      <c r="K1818" s="27" t="s">
        <v>2208</v>
      </c>
      <c r="L1818" s="7"/>
    </row>
    <row r="1819" spans="1:12" x14ac:dyDescent="0.2">
      <c r="A1819" s="7"/>
      <c r="B1819" s="7"/>
      <c r="C1819" s="7"/>
      <c r="D1819" s="7"/>
      <c r="E1819" s="7">
        <v>613818</v>
      </c>
      <c r="F1819" s="7"/>
      <c r="G1819" s="7" t="s">
        <v>673</v>
      </c>
      <c r="H1819" s="7"/>
      <c r="I1819" s="27" t="s">
        <v>47</v>
      </c>
      <c r="J1819" s="7"/>
      <c r="K1819" s="27" t="s">
        <v>2208</v>
      </c>
      <c r="L1819" s="7"/>
    </row>
    <row r="1820" spans="1:12" x14ac:dyDescent="0.2">
      <c r="A1820" s="7"/>
      <c r="B1820" s="7"/>
      <c r="C1820" s="7"/>
      <c r="D1820" s="7"/>
      <c r="E1820" s="7">
        <v>613819</v>
      </c>
      <c r="F1820" s="7"/>
      <c r="G1820" s="7" t="s">
        <v>674</v>
      </c>
      <c r="H1820" s="7"/>
      <c r="I1820" s="27" t="s">
        <v>71</v>
      </c>
      <c r="J1820" s="7"/>
      <c r="K1820" s="27" t="s">
        <v>2208</v>
      </c>
      <c r="L1820" s="7"/>
    </row>
    <row r="1821" spans="1:12" x14ac:dyDescent="0.2">
      <c r="A1821" s="7"/>
      <c r="B1821" s="7"/>
      <c r="C1821" s="7"/>
      <c r="D1821" s="7"/>
      <c r="E1821" s="7">
        <v>613820</v>
      </c>
      <c r="F1821" s="7"/>
      <c r="G1821" s="7" t="s">
        <v>675</v>
      </c>
      <c r="H1821" s="7"/>
      <c r="I1821" s="27" t="s">
        <v>71</v>
      </c>
      <c r="J1821" s="7"/>
      <c r="K1821" s="27" t="s">
        <v>2208</v>
      </c>
      <c r="L1821" s="7"/>
    </row>
    <row r="1822" spans="1:12" x14ac:dyDescent="0.2">
      <c r="A1822" s="7"/>
      <c r="B1822" s="7"/>
      <c r="C1822" s="7"/>
      <c r="D1822" s="7"/>
      <c r="E1822" s="7">
        <v>613821</v>
      </c>
      <c r="F1822" s="7"/>
      <c r="G1822" s="7" t="s">
        <v>676</v>
      </c>
      <c r="H1822" s="7"/>
      <c r="I1822" s="27" t="s">
        <v>71</v>
      </c>
      <c r="J1822" s="7"/>
      <c r="K1822" s="27" t="s">
        <v>2208</v>
      </c>
      <c r="L1822" s="7"/>
    </row>
    <row r="1823" spans="1:12" x14ac:dyDescent="0.2">
      <c r="A1823" s="7"/>
      <c r="B1823" s="7"/>
      <c r="C1823" s="7"/>
      <c r="D1823" s="7"/>
      <c r="E1823" s="7">
        <v>613822</v>
      </c>
      <c r="F1823" s="7"/>
      <c r="G1823" s="7" t="s">
        <v>677</v>
      </c>
      <c r="H1823" s="7"/>
      <c r="I1823" s="27" t="s">
        <v>71</v>
      </c>
      <c r="J1823" s="7"/>
      <c r="K1823" s="27" t="s">
        <v>2208</v>
      </c>
      <c r="L1823" s="7"/>
    </row>
    <row r="1824" spans="1:12" x14ac:dyDescent="0.2">
      <c r="A1824" s="7"/>
      <c r="B1824" s="7"/>
      <c r="C1824" s="7"/>
      <c r="D1824" s="7"/>
      <c r="E1824" s="7">
        <v>613823</v>
      </c>
      <c r="F1824" s="7"/>
      <c r="G1824" s="7" t="s">
        <v>678</v>
      </c>
      <c r="H1824" s="7"/>
      <c r="I1824" s="27" t="s">
        <v>71</v>
      </c>
      <c r="J1824" s="7"/>
      <c r="K1824" s="27" t="s">
        <v>2208</v>
      </c>
      <c r="L1824" s="7"/>
    </row>
    <row r="1825" spans="1:12" x14ac:dyDescent="0.2">
      <c r="A1825" s="7"/>
      <c r="B1825" s="7"/>
      <c r="C1825" s="7"/>
      <c r="D1825" s="7"/>
      <c r="E1825" s="7">
        <v>613824</v>
      </c>
      <c r="F1825" s="7"/>
      <c r="G1825" s="7" t="s">
        <v>681</v>
      </c>
      <c r="H1825" s="7"/>
      <c r="I1825" s="27" t="s">
        <v>71</v>
      </c>
      <c r="J1825" s="7"/>
      <c r="K1825" s="27" t="s">
        <v>2208</v>
      </c>
      <c r="L1825" s="7"/>
    </row>
    <row r="1826" spans="1:12" x14ac:dyDescent="0.2">
      <c r="A1826" s="7"/>
      <c r="B1826" s="7"/>
      <c r="C1826" s="7"/>
      <c r="D1826" s="7"/>
      <c r="E1826" s="7">
        <v>613825</v>
      </c>
      <c r="F1826" s="7"/>
      <c r="G1826" s="7" t="s">
        <v>682</v>
      </c>
      <c r="H1826" s="7"/>
      <c r="I1826" s="27" t="s">
        <v>71</v>
      </c>
      <c r="J1826" s="7"/>
      <c r="K1826" s="27" t="s">
        <v>2208</v>
      </c>
      <c r="L1826" s="7"/>
    </row>
    <row r="1827" spans="1:12" x14ac:dyDescent="0.2">
      <c r="A1827" s="7"/>
      <c r="B1827" s="7"/>
      <c r="C1827" s="7"/>
      <c r="D1827" s="7"/>
      <c r="E1827" s="7">
        <v>613826</v>
      </c>
      <c r="F1827" s="7"/>
      <c r="G1827" s="7" t="s">
        <v>683</v>
      </c>
      <c r="H1827" s="7"/>
      <c r="I1827" s="27" t="s">
        <v>71</v>
      </c>
      <c r="J1827" s="7"/>
      <c r="K1827" s="27" t="s">
        <v>2208</v>
      </c>
      <c r="L1827" s="7"/>
    </row>
    <row r="1828" spans="1:12" x14ac:dyDescent="0.2">
      <c r="A1828" s="7"/>
      <c r="B1828" s="7"/>
      <c r="C1828" s="7"/>
      <c r="D1828" s="7"/>
      <c r="E1828" s="7">
        <v>613827</v>
      </c>
      <c r="F1828" s="7"/>
      <c r="G1828" s="7" t="s">
        <v>1597</v>
      </c>
      <c r="H1828" s="7"/>
      <c r="I1828" s="27" t="s">
        <v>71</v>
      </c>
      <c r="J1828" s="7"/>
      <c r="K1828" s="27" t="s">
        <v>2208</v>
      </c>
      <c r="L1828" s="7"/>
    </row>
    <row r="1829" spans="1:12" x14ac:dyDescent="0.2">
      <c r="A1829" s="7"/>
      <c r="B1829" s="7"/>
      <c r="C1829" s="7"/>
      <c r="D1829" s="7"/>
      <c r="E1829" s="7">
        <v>613828</v>
      </c>
      <c r="F1829" s="7"/>
      <c r="G1829" s="7" t="s">
        <v>1598</v>
      </c>
      <c r="H1829" s="7"/>
      <c r="I1829" s="27" t="s">
        <v>71</v>
      </c>
      <c r="J1829" s="7"/>
      <c r="K1829" s="27" t="s">
        <v>2208</v>
      </c>
      <c r="L1829" s="7"/>
    </row>
    <row r="1830" spans="1:12" x14ac:dyDescent="0.2">
      <c r="A1830" s="7"/>
      <c r="B1830" s="7"/>
      <c r="C1830" s="7"/>
      <c r="D1830" s="7"/>
      <c r="E1830" s="7">
        <v>613829</v>
      </c>
      <c r="F1830" s="7"/>
      <c r="G1830" s="7" t="s">
        <v>1599</v>
      </c>
      <c r="H1830" s="7"/>
      <c r="I1830" s="27" t="s">
        <v>71</v>
      </c>
      <c r="J1830" s="7"/>
      <c r="K1830" s="27" t="s">
        <v>2208</v>
      </c>
      <c r="L1830" s="7"/>
    </row>
    <row r="1831" spans="1:12" x14ac:dyDescent="0.2">
      <c r="A1831" s="7"/>
      <c r="B1831" s="7"/>
      <c r="C1831" s="7"/>
      <c r="D1831" s="7"/>
      <c r="E1831" s="7">
        <v>613830</v>
      </c>
      <c r="F1831" s="7"/>
      <c r="G1831" s="7" t="s">
        <v>1600</v>
      </c>
      <c r="H1831" s="7"/>
      <c r="I1831" s="27" t="s">
        <v>47</v>
      </c>
      <c r="J1831" s="7"/>
      <c r="K1831" s="27" t="s">
        <v>2208</v>
      </c>
      <c r="L1831" s="7"/>
    </row>
    <row r="1832" spans="1:12" x14ac:dyDescent="0.2">
      <c r="A1832" s="7"/>
      <c r="B1832" s="7"/>
      <c r="C1832" s="7"/>
      <c r="D1832" s="7"/>
      <c r="E1832" s="7">
        <v>613831</v>
      </c>
      <c r="F1832" s="7"/>
      <c r="G1832" s="7" t="s">
        <v>688</v>
      </c>
      <c r="H1832" s="7"/>
      <c r="I1832" s="27" t="s">
        <v>47</v>
      </c>
      <c r="J1832" s="7"/>
      <c r="K1832" s="27" t="s">
        <v>2208</v>
      </c>
      <c r="L1832" s="7"/>
    </row>
    <row r="1833" spans="1:12" x14ac:dyDescent="0.2">
      <c r="A1833" s="7"/>
      <c r="B1833" s="7"/>
      <c r="C1833" s="7"/>
      <c r="D1833" s="7"/>
      <c r="E1833" s="7">
        <v>613832</v>
      </c>
      <c r="F1833" s="7"/>
      <c r="G1833" s="7" t="s">
        <v>689</v>
      </c>
      <c r="H1833" s="7"/>
      <c r="I1833" s="27" t="s">
        <v>47</v>
      </c>
      <c r="J1833" s="7"/>
      <c r="K1833" s="27" t="s">
        <v>2208</v>
      </c>
      <c r="L1833" s="7"/>
    </row>
    <row r="1834" spans="1:12" x14ac:dyDescent="0.2">
      <c r="A1834" s="7"/>
      <c r="B1834" s="7"/>
      <c r="C1834" s="7"/>
      <c r="D1834" s="7"/>
      <c r="E1834" s="7">
        <v>613833</v>
      </c>
      <c r="F1834" s="7"/>
      <c r="G1834" s="7" t="s">
        <v>690</v>
      </c>
      <c r="H1834" s="7"/>
      <c r="I1834" s="27" t="s">
        <v>47</v>
      </c>
      <c r="J1834" s="7"/>
      <c r="K1834" s="27" t="s">
        <v>2208</v>
      </c>
      <c r="L1834" s="7"/>
    </row>
    <row r="1835" spans="1:12" x14ac:dyDescent="0.2">
      <c r="A1835" s="7"/>
      <c r="B1835" s="7"/>
      <c r="C1835" s="7"/>
      <c r="D1835" s="7"/>
      <c r="E1835" s="7">
        <v>613834</v>
      </c>
      <c r="F1835" s="7"/>
      <c r="G1835" s="7" t="s">
        <v>691</v>
      </c>
      <c r="H1835" s="7"/>
      <c r="I1835" s="27" t="s">
        <v>47</v>
      </c>
      <c r="J1835" s="7"/>
      <c r="K1835" s="27" t="s">
        <v>2208</v>
      </c>
      <c r="L1835" s="7"/>
    </row>
    <row r="1836" spans="1:12" x14ac:dyDescent="0.2">
      <c r="A1836" s="7"/>
      <c r="B1836" s="7"/>
      <c r="C1836" s="7"/>
      <c r="D1836" s="7"/>
      <c r="E1836" s="7">
        <v>613835</v>
      </c>
      <c r="F1836" s="7"/>
      <c r="G1836" s="7" t="s">
        <v>1601</v>
      </c>
      <c r="H1836" s="7"/>
      <c r="I1836" s="27" t="s">
        <v>133</v>
      </c>
      <c r="J1836" s="7"/>
      <c r="K1836" s="27" t="s">
        <v>2208</v>
      </c>
      <c r="L1836" s="7"/>
    </row>
    <row r="1837" spans="1:12" x14ac:dyDescent="0.2">
      <c r="A1837" s="7"/>
      <c r="B1837" s="7"/>
      <c r="C1837" s="7"/>
      <c r="D1837" s="7"/>
      <c r="E1837" s="7">
        <v>613836</v>
      </c>
      <c r="F1837" s="7"/>
      <c r="G1837" s="7" t="s">
        <v>1602</v>
      </c>
      <c r="H1837" s="7"/>
      <c r="I1837" s="27" t="s">
        <v>133</v>
      </c>
      <c r="J1837" s="7"/>
      <c r="K1837" s="27" t="s">
        <v>2208</v>
      </c>
      <c r="L1837" s="7"/>
    </row>
    <row r="1838" spans="1:12" x14ac:dyDescent="0.2">
      <c r="A1838" s="7"/>
      <c r="B1838" s="7"/>
      <c r="C1838" s="7"/>
      <c r="D1838" s="7"/>
      <c r="E1838" s="7">
        <v>613837</v>
      </c>
      <c r="F1838" s="7"/>
      <c r="G1838" s="7" t="s">
        <v>1603</v>
      </c>
      <c r="H1838" s="7"/>
      <c r="I1838" s="27" t="s">
        <v>133</v>
      </c>
      <c r="J1838" s="7"/>
      <c r="K1838" s="27" t="s">
        <v>2208</v>
      </c>
      <c r="L1838" s="7"/>
    </row>
    <row r="1839" spans="1:12" x14ac:dyDescent="0.2">
      <c r="A1839" s="7"/>
      <c r="B1839" s="7"/>
      <c r="C1839" s="7"/>
      <c r="D1839" s="7"/>
      <c r="E1839" s="7">
        <v>613838</v>
      </c>
      <c r="F1839" s="7"/>
      <c r="G1839" s="7" t="s">
        <v>842</v>
      </c>
      <c r="H1839" s="7"/>
      <c r="I1839" s="27" t="s">
        <v>133</v>
      </c>
      <c r="J1839" s="7"/>
      <c r="K1839" s="27" t="s">
        <v>2208</v>
      </c>
      <c r="L1839" s="7"/>
    </row>
    <row r="1840" spans="1:12" x14ac:dyDescent="0.2">
      <c r="A1840" s="7"/>
      <c r="B1840" s="7"/>
      <c r="C1840" s="7"/>
      <c r="D1840" s="7"/>
      <c r="E1840" s="7">
        <v>613839</v>
      </c>
      <c r="F1840" s="7"/>
      <c r="G1840" s="7" t="s">
        <v>841</v>
      </c>
      <c r="H1840" s="7"/>
      <c r="I1840" s="27" t="s">
        <v>133</v>
      </c>
      <c r="J1840" s="7"/>
      <c r="K1840" s="27" t="s">
        <v>2208</v>
      </c>
      <c r="L1840" s="7"/>
    </row>
    <row r="1841" spans="1:12" x14ac:dyDescent="0.2">
      <c r="A1841" s="7"/>
      <c r="B1841" s="7"/>
      <c r="C1841" s="7"/>
      <c r="D1841" s="7"/>
      <c r="E1841" s="7">
        <v>613840</v>
      </c>
      <c r="F1841" s="7"/>
      <c r="G1841" s="7" t="s">
        <v>840</v>
      </c>
      <c r="H1841" s="7"/>
      <c r="I1841" s="27" t="s">
        <v>133</v>
      </c>
      <c r="J1841" s="7"/>
      <c r="K1841" s="27" t="s">
        <v>2208</v>
      </c>
      <c r="L1841" s="7"/>
    </row>
    <row r="1842" spans="1:12" x14ac:dyDescent="0.2">
      <c r="A1842" s="7"/>
      <c r="B1842" s="7"/>
      <c r="C1842" s="7"/>
      <c r="D1842" s="7"/>
      <c r="E1842" s="7">
        <v>613841</v>
      </c>
      <c r="F1842" s="7"/>
      <c r="G1842" s="7" t="s">
        <v>839</v>
      </c>
      <c r="H1842" s="7"/>
      <c r="I1842" s="27" t="s">
        <v>133</v>
      </c>
      <c r="J1842" s="7"/>
      <c r="K1842" s="27" t="s">
        <v>2208</v>
      </c>
      <c r="L1842" s="7"/>
    </row>
    <row r="1843" spans="1:12" x14ac:dyDescent="0.2">
      <c r="A1843" s="7"/>
      <c r="B1843" s="7"/>
      <c r="C1843" s="7"/>
      <c r="D1843" s="7"/>
      <c r="E1843" s="7">
        <v>613842</v>
      </c>
      <c r="F1843" s="7"/>
      <c r="G1843" s="7" t="s">
        <v>846</v>
      </c>
      <c r="H1843" s="7"/>
      <c r="I1843" s="27" t="s">
        <v>133</v>
      </c>
      <c r="J1843" s="7"/>
      <c r="K1843" s="27" t="s">
        <v>2208</v>
      </c>
      <c r="L1843" s="7"/>
    </row>
    <row r="1844" spans="1:12" x14ac:dyDescent="0.2">
      <c r="A1844" s="7"/>
      <c r="B1844" s="7"/>
      <c r="C1844" s="7"/>
      <c r="D1844" s="7"/>
      <c r="E1844" s="7">
        <v>613843</v>
      </c>
      <c r="F1844" s="7"/>
      <c r="G1844" s="7" t="s">
        <v>845</v>
      </c>
      <c r="H1844" s="7"/>
      <c r="I1844" s="27" t="s">
        <v>133</v>
      </c>
      <c r="J1844" s="7"/>
      <c r="K1844" s="27" t="s">
        <v>2208</v>
      </c>
      <c r="L1844" s="7"/>
    </row>
    <row r="1845" spans="1:12" x14ac:dyDescent="0.2">
      <c r="A1845" s="7"/>
      <c r="B1845" s="7"/>
      <c r="C1845" s="7"/>
      <c r="D1845" s="7"/>
      <c r="E1845" s="7">
        <v>613844</v>
      </c>
      <c r="F1845" s="7"/>
      <c r="G1845" s="7" t="s">
        <v>844</v>
      </c>
      <c r="H1845" s="7"/>
      <c r="I1845" s="27" t="s">
        <v>133</v>
      </c>
      <c r="J1845" s="7"/>
      <c r="K1845" s="27" t="s">
        <v>2208</v>
      </c>
      <c r="L1845" s="7"/>
    </row>
    <row r="1846" spans="1:12" x14ac:dyDescent="0.2">
      <c r="A1846" s="7"/>
      <c r="B1846" s="7"/>
      <c r="C1846" s="7"/>
      <c r="D1846" s="7"/>
      <c r="E1846" s="7">
        <v>613845</v>
      </c>
      <c r="F1846" s="7"/>
      <c r="G1846" s="7" t="s">
        <v>1604</v>
      </c>
      <c r="H1846" s="7"/>
      <c r="I1846" s="27" t="s">
        <v>133</v>
      </c>
      <c r="J1846" s="7"/>
      <c r="K1846" s="27" t="s">
        <v>2208</v>
      </c>
      <c r="L1846" s="7"/>
    </row>
    <row r="1847" spans="1:12" x14ac:dyDescent="0.2">
      <c r="A1847" s="7"/>
      <c r="B1847" s="7"/>
      <c r="C1847" s="7"/>
      <c r="D1847" s="7"/>
      <c r="E1847" s="7">
        <v>613846</v>
      </c>
      <c r="F1847" s="7"/>
      <c r="G1847" s="7" t="s">
        <v>847</v>
      </c>
      <c r="H1847" s="7"/>
      <c r="I1847" s="27" t="s">
        <v>133</v>
      </c>
      <c r="J1847" s="7"/>
      <c r="K1847" s="27" t="s">
        <v>2208</v>
      </c>
      <c r="L1847" s="7"/>
    </row>
    <row r="1848" spans="1:12" x14ac:dyDescent="0.2">
      <c r="A1848" s="7"/>
      <c r="B1848" s="7"/>
      <c r="C1848" s="7"/>
      <c r="D1848" s="7"/>
      <c r="E1848" s="7">
        <v>613847</v>
      </c>
      <c r="F1848" s="7"/>
      <c r="G1848" s="7" t="s">
        <v>1605</v>
      </c>
      <c r="H1848" s="7"/>
      <c r="I1848" s="27" t="s">
        <v>133</v>
      </c>
      <c r="J1848" s="7"/>
      <c r="K1848" s="27" t="s">
        <v>2208</v>
      </c>
      <c r="L1848" s="7"/>
    </row>
    <row r="1849" spans="1:12" x14ac:dyDescent="0.2">
      <c r="A1849" s="7"/>
      <c r="B1849" s="7"/>
      <c r="C1849" s="7"/>
      <c r="D1849" s="7"/>
      <c r="E1849" s="7">
        <v>613848</v>
      </c>
      <c r="F1849" s="7"/>
      <c r="G1849" s="7" t="s">
        <v>849</v>
      </c>
      <c r="H1849" s="7"/>
      <c r="I1849" s="27" t="s">
        <v>133</v>
      </c>
      <c r="J1849" s="7"/>
      <c r="K1849" s="27" t="s">
        <v>2208</v>
      </c>
      <c r="L1849" s="7"/>
    </row>
    <row r="1850" spans="1:12" x14ac:dyDescent="0.2">
      <c r="A1850" s="7"/>
      <c r="B1850" s="7"/>
      <c r="C1850" s="7"/>
      <c r="D1850" s="7"/>
      <c r="E1850" s="7">
        <v>613849</v>
      </c>
      <c r="F1850" s="7"/>
      <c r="G1850" s="7" t="s">
        <v>853</v>
      </c>
      <c r="H1850" s="7"/>
      <c r="I1850" s="27" t="s">
        <v>133</v>
      </c>
      <c r="J1850" s="7"/>
      <c r="K1850" s="27" t="s">
        <v>2208</v>
      </c>
      <c r="L1850" s="7"/>
    </row>
    <row r="1851" spans="1:12" x14ac:dyDescent="0.2">
      <c r="A1851" s="7"/>
      <c r="B1851" s="7"/>
      <c r="C1851" s="7"/>
      <c r="D1851" s="7"/>
      <c r="E1851" s="7">
        <v>613850</v>
      </c>
      <c r="F1851" s="7"/>
      <c r="G1851" s="7" t="s">
        <v>1606</v>
      </c>
      <c r="H1851" s="7"/>
      <c r="I1851" s="27" t="s">
        <v>47</v>
      </c>
      <c r="J1851" s="7"/>
      <c r="K1851" s="27" t="s">
        <v>2208</v>
      </c>
      <c r="L1851" s="7"/>
    </row>
    <row r="1852" spans="1:12" x14ac:dyDescent="0.2">
      <c r="A1852" s="7"/>
      <c r="B1852" s="7"/>
      <c r="C1852" s="7"/>
      <c r="D1852" s="7"/>
      <c r="E1852" s="7">
        <v>613851</v>
      </c>
      <c r="F1852" s="7"/>
      <c r="G1852" s="7" t="s">
        <v>852</v>
      </c>
      <c r="H1852" s="7"/>
      <c r="I1852" s="27" t="s">
        <v>133</v>
      </c>
      <c r="J1852" s="7"/>
      <c r="K1852" s="27" t="s">
        <v>2208</v>
      </c>
      <c r="L1852" s="7"/>
    </row>
    <row r="1853" spans="1:12" x14ac:dyDescent="0.2">
      <c r="A1853" s="7"/>
      <c r="B1853" s="7"/>
      <c r="C1853" s="7"/>
      <c r="D1853" s="7"/>
      <c r="E1853" s="7">
        <v>613852</v>
      </c>
      <c r="F1853" s="7"/>
      <c r="G1853" s="7" t="s">
        <v>1607</v>
      </c>
      <c r="H1853" s="7"/>
      <c r="I1853" s="27" t="s">
        <v>133</v>
      </c>
      <c r="J1853" s="7"/>
      <c r="K1853" s="27" t="s">
        <v>2208</v>
      </c>
      <c r="L1853" s="7"/>
    </row>
    <row r="1854" spans="1:12" x14ac:dyDescent="0.2">
      <c r="A1854" s="7"/>
      <c r="B1854" s="7"/>
      <c r="C1854" s="7"/>
      <c r="D1854" s="7"/>
      <c r="E1854" s="7">
        <v>613853</v>
      </c>
      <c r="F1854" s="7"/>
      <c r="G1854" s="7" t="s">
        <v>1608</v>
      </c>
      <c r="H1854" s="7"/>
      <c r="I1854" s="27" t="s">
        <v>133</v>
      </c>
      <c r="J1854" s="7"/>
      <c r="K1854" s="27" t="s">
        <v>2208</v>
      </c>
      <c r="L1854" s="7"/>
    </row>
    <row r="1855" spans="1:12" x14ac:dyDescent="0.2">
      <c r="A1855" s="7"/>
      <c r="B1855" s="7"/>
      <c r="C1855" s="7"/>
      <c r="D1855" s="7"/>
      <c r="E1855" s="7">
        <v>613854</v>
      </c>
      <c r="F1855" s="7"/>
      <c r="G1855" s="7" t="s">
        <v>857</v>
      </c>
      <c r="H1855" s="7"/>
      <c r="I1855" s="27" t="s">
        <v>133</v>
      </c>
      <c r="J1855" s="7"/>
      <c r="K1855" s="27" t="s">
        <v>2208</v>
      </c>
      <c r="L1855" s="7"/>
    </row>
    <row r="1856" spans="1:12" x14ac:dyDescent="0.2">
      <c r="A1856" s="7"/>
      <c r="B1856" s="7"/>
      <c r="C1856" s="7"/>
      <c r="D1856" s="7"/>
      <c r="E1856" s="7">
        <v>613855</v>
      </c>
      <c r="F1856" s="7"/>
      <c r="G1856" s="7" t="s">
        <v>856</v>
      </c>
      <c r="H1856" s="7"/>
      <c r="I1856" s="27" t="s">
        <v>133</v>
      </c>
      <c r="J1856" s="7"/>
      <c r="K1856" s="27" t="s">
        <v>2208</v>
      </c>
      <c r="L1856" s="7"/>
    </row>
    <row r="1857" spans="1:12" x14ac:dyDescent="0.2">
      <c r="A1857" s="7"/>
      <c r="B1857" s="7"/>
      <c r="C1857" s="7"/>
      <c r="D1857" s="7"/>
      <c r="E1857" s="7">
        <v>613856</v>
      </c>
      <c r="F1857" s="7"/>
      <c r="G1857" s="7" t="s">
        <v>855</v>
      </c>
      <c r="H1857" s="7"/>
      <c r="I1857" s="27" t="s">
        <v>133</v>
      </c>
      <c r="J1857" s="7"/>
      <c r="K1857" s="27" t="s">
        <v>2208</v>
      </c>
      <c r="L1857" s="7"/>
    </row>
    <row r="1858" spans="1:12" x14ac:dyDescent="0.2">
      <c r="A1858" s="7"/>
      <c r="B1858" s="7"/>
      <c r="C1858" s="7"/>
      <c r="D1858" s="7"/>
      <c r="E1858" s="7">
        <v>613857</v>
      </c>
      <c r="F1858" s="7"/>
      <c r="G1858" s="7" t="s">
        <v>854</v>
      </c>
      <c r="H1858" s="7"/>
      <c r="I1858" s="27" t="s">
        <v>133</v>
      </c>
      <c r="J1858" s="7"/>
      <c r="K1858" s="27" t="s">
        <v>2208</v>
      </c>
      <c r="L1858" s="7"/>
    </row>
    <row r="1859" spans="1:12" x14ac:dyDescent="0.2">
      <c r="A1859" s="7"/>
      <c r="B1859" s="7"/>
      <c r="C1859" s="7"/>
      <c r="D1859" s="7"/>
      <c r="E1859" s="7">
        <v>613858</v>
      </c>
      <c r="F1859" s="7"/>
      <c r="G1859" s="7" t="s">
        <v>858</v>
      </c>
      <c r="H1859" s="7"/>
      <c r="I1859" s="27" t="s">
        <v>133</v>
      </c>
      <c r="J1859" s="7"/>
      <c r="K1859" s="27" t="s">
        <v>2208</v>
      </c>
      <c r="L1859" s="7"/>
    </row>
    <row r="1860" spans="1:12" x14ac:dyDescent="0.2">
      <c r="A1860" s="7"/>
      <c r="B1860" s="7"/>
      <c r="C1860" s="7"/>
      <c r="D1860" s="7"/>
      <c r="E1860" s="7">
        <v>613859</v>
      </c>
      <c r="F1860" s="7"/>
      <c r="G1860" s="7" t="s">
        <v>1609</v>
      </c>
      <c r="H1860" s="7"/>
      <c r="I1860" s="27" t="s">
        <v>133</v>
      </c>
      <c r="J1860" s="7"/>
      <c r="K1860" s="27" t="s">
        <v>2208</v>
      </c>
      <c r="L1860" s="7"/>
    </row>
    <row r="1861" spans="1:12" x14ac:dyDescent="0.2">
      <c r="A1861" s="7"/>
      <c r="B1861" s="7"/>
      <c r="C1861" s="7"/>
      <c r="D1861" s="7"/>
      <c r="E1861" s="7">
        <v>613860</v>
      </c>
      <c r="F1861" s="7"/>
      <c r="G1861" s="7" t="s">
        <v>860</v>
      </c>
      <c r="H1861" s="7"/>
      <c r="I1861" s="27" t="s">
        <v>133</v>
      </c>
      <c r="J1861" s="7"/>
      <c r="K1861" s="27" t="s">
        <v>2208</v>
      </c>
      <c r="L1861" s="7"/>
    </row>
    <row r="1862" spans="1:12" x14ac:dyDescent="0.2">
      <c r="A1862" s="7"/>
      <c r="B1862" s="7"/>
      <c r="C1862" s="7"/>
      <c r="D1862" s="7"/>
      <c r="E1862" s="7">
        <v>613861</v>
      </c>
      <c r="F1862" s="7"/>
      <c r="G1862" s="7" t="s">
        <v>1610</v>
      </c>
      <c r="H1862" s="7"/>
      <c r="I1862" s="27" t="s">
        <v>133</v>
      </c>
      <c r="J1862" s="7"/>
      <c r="K1862" s="27" t="s">
        <v>2208</v>
      </c>
      <c r="L1862" s="7"/>
    </row>
    <row r="1863" spans="1:12" x14ac:dyDescent="0.2">
      <c r="A1863" s="7"/>
      <c r="B1863" s="7"/>
      <c r="C1863" s="7"/>
      <c r="D1863" s="7"/>
      <c r="E1863" s="7">
        <v>613862</v>
      </c>
      <c r="F1863" s="7"/>
      <c r="G1863" s="7" t="s">
        <v>1611</v>
      </c>
      <c r="H1863" s="7"/>
      <c r="I1863" s="27" t="s">
        <v>47</v>
      </c>
      <c r="J1863" s="7"/>
      <c r="K1863" s="27" t="s">
        <v>2208</v>
      </c>
      <c r="L1863" s="7"/>
    </row>
    <row r="1864" spans="1:12" x14ac:dyDescent="0.2">
      <c r="A1864" s="7"/>
      <c r="B1864" s="7"/>
      <c r="C1864" s="7"/>
      <c r="D1864" s="7"/>
      <c r="E1864" s="7">
        <v>613863</v>
      </c>
      <c r="F1864" s="7"/>
      <c r="G1864" s="7" t="s">
        <v>1100</v>
      </c>
      <c r="H1864" s="7"/>
      <c r="I1864" s="27" t="s">
        <v>71</v>
      </c>
      <c r="J1864" s="7"/>
      <c r="K1864" s="27" t="s">
        <v>2208</v>
      </c>
      <c r="L1864" s="7"/>
    </row>
    <row r="1865" spans="1:12" x14ac:dyDescent="0.2">
      <c r="A1865" s="7"/>
      <c r="B1865" s="7"/>
      <c r="C1865" s="7"/>
      <c r="D1865" s="7"/>
      <c r="E1865" s="7">
        <v>613864</v>
      </c>
      <c r="F1865" s="7"/>
      <c r="G1865" s="7" t="s">
        <v>1101</v>
      </c>
      <c r="H1865" s="7"/>
      <c r="I1865" s="27" t="s">
        <v>133</v>
      </c>
      <c r="J1865" s="7"/>
      <c r="K1865" s="27" t="s">
        <v>2208</v>
      </c>
      <c r="L1865" s="7"/>
    </row>
    <row r="1866" spans="1:12" x14ac:dyDescent="0.2">
      <c r="A1866" s="7"/>
      <c r="B1866" s="7"/>
      <c r="C1866" s="7"/>
      <c r="D1866" s="7"/>
      <c r="E1866" s="7">
        <v>613865</v>
      </c>
      <c r="F1866" s="7"/>
      <c r="G1866" s="7" t="s">
        <v>1102</v>
      </c>
      <c r="H1866" s="7"/>
      <c r="I1866" s="27" t="s">
        <v>71</v>
      </c>
      <c r="J1866" s="7"/>
      <c r="K1866" s="27" t="s">
        <v>2208</v>
      </c>
      <c r="L1866" s="7"/>
    </row>
    <row r="1867" spans="1:12" x14ac:dyDescent="0.2">
      <c r="A1867" s="7"/>
      <c r="B1867" s="7"/>
      <c r="C1867" s="7"/>
      <c r="D1867" s="7"/>
      <c r="E1867" s="7">
        <v>613866</v>
      </c>
      <c r="F1867" s="7"/>
      <c r="G1867" s="7" t="s">
        <v>1103</v>
      </c>
      <c r="H1867" s="7"/>
      <c r="I1867" s="27" t="s">
        <v>133</v>
      </c>
      <c r="J1867" s="7"/>
      <c r="K1867" s="27" t="s">
        <v>2208</v>
      </c>
      <c r="L1867" s="7"/>
    </row>
    <row r="1868" spans="1:12" x14ac:dyDescent="0.2">
      <c r="A1868" s="7"/>
      <c r="B1868" s="7"/>
      <c r="C1868" s="7"/>
      <c r="D1868" s="7"/>
      <c r="E1868" s="7">
        <v>613867</v>
      </c>
      <c r="F1868" s="7"/>
      <c r="G1868" s="7" t="s">
        <v>1104</v>
      </c>
      <c r="H1868" s="7"/>
      <c r="I1868" s="27" t="s">
        <v>133</v>
      </c>
      <c r="J1868" s="7"/>
      <c r="K1868" s="27" t="s">
        <v>2208</v>
      </c>
      <c r="L1868" s="7"/>
    </row>
    <row r="1869" spans="1:12" x14ac:dyDescent="0.2">
      <c r="A1869" s="7"/>
      <c r="B1869" s="7"/>
      <c r="C1869" s="7"/>
      <c r="D1869" s="7"/>
      <c r="E1869" s="7">
        <v>613868</v>
      </c>
      <c r="F1869" s="7"/>
      <c r="G1869" s="7" t="s">
        <v>1125</v>
      </c>
      <c r="H1869" s="7"/>
      <c r="I1869" s="27" t="s">
        <v>71</v>
      </c>
      <c r="J1869" s="7"/>
      <c r="K1869" s="27" t="s">
        <v>2208</v>
      </c>
      <c r="L1869" s="7"/>
    </row>
    <row r="1870" spans="1:12" x14ac:dyDescent="0.2">
      <c r="A1870" s="7"/>
      <c r="B1870" s="7"/>
      <c r="C1870" s="7"/>
      <c r="D1870" s="7"/>
      <c r="E1870" s="7">
        <v>613869</v>
      </c>
      <c r="F1870" s="7"/>
      <c r="G1870" s="7" t="s">
        <v>1126</v>
      </c>
      <c r="H1870" s="7"/>
      <c r="I1870" s="27" t="s">
        <v>71</v>
      </c>
      <c r="J1870" s="7"/>
      <c r="K1870" s="27" t="s">
        <v>2208</v>
      </c>
      <c r="L1870" s="7"/>
    </row>
    <row r="1871" spans="1:12" x14ac:dyDescent="0.2">
      <c r="A1871" s="7"/>
      <c r="B1871" s="7"/>
      <c r="C1871" s="7"/>
      <c r="D1871" s="7"/>
      <c r="E1871" s="7">
        <v>613870</v>
      </c>
      <c r="F1871" s="7"/>
      <c r="G1871" s="7" t="s">
        <v>1612</v>
      </c>
      <c r="H1871" s="7"/>
      <c r="I1871" s="27" t="s">
        <v>47</v>
      </c>
      <c r="J1871" s="7"/>
      <c r="K1871" s="27" t="s">
        <v>2208</v>
      </c>
      <c r="L1871" s="7"/>
    </row>
    <row r="1872" spans="1:12" x14ac:dyDescent="0.2">
      <c r="A1872" s="7"/>
      <c r="B1872" s="7"/>
      <c r="C1872" s="7"/>
      <c r="D1872" s="7"/>
      <c r="E1872" s="7">
        <v>613871</v>
      </c>
      <c r="F1872" s="7"/>
      <c r="G1872" s="7" t="s">
        <v>1128</v>
      </c>
      <c r="H1872" s="7"/>
      <c r="I1872" s="27" t="s">
        <v>47</v>
      </c>
      <c r="J1872" s="7"/>
      <c r="K1872" s="27" t="s">
        <v>2208</v>
      </c>
      <c r="L1872" s="7"/>
    </row>
    <row r="1873" spans="1:12" x14ac:dyDescent="0.2">
      <c r="A1873" s="7"/>
      <c r="B1873" s="7"/>
      <c r="C1873" s="7"/>
      <c r="D1873" s="7"/>
      <c r="E1873" s="7">
        <v>613872</v>
      </c>
      <c r="F1873" s="7"/>
      <c r="G1873" s="7" t="s">
        <v>1129</v>
      </c>
      <c r="H1873" s="7"/>
      <c r="I1873" s="27" t="s">
        <v>47</v>
      </c>
      <c r="J1873" s="7"/>
      <c r="K1873" s="27" t="s">
        <v>2208</v>
      </c>
      <c r="L1873" s="7"/>
    </row>
    <row r="1874" spans="1:12" x14ac:dyDescent="0.2">
      <c r="A1874" s="7"/>
      <c r="B1874" s="7"/>
      <c r="C1874" s="7"/>
      <c r="D1874" s="7"/>
      <c r="E1874" s="7">
        <v>613873</v>
      </c>
      <c r="F1874" s="7"/>
      <c r="G1874" s="7" t="s">
        <v>1130</v>
      </c>
      <c r="H1874" s="7"/>
      <c r="I1874" s="27" t="s">
        <v>133</v>
      </c>
      <c r="J1874" s="7"/>
      <c r="K1874" s="27" t="s">
        <v>2208</v>
      </c>
      <c r="L1874" s="7"/>
    </row>
    <row r="1875" spans="1:12" x14ac:dyDescent="0.2">
      <c r="A1875" s="7"/>
      <c r="B1875" s="7"/>
      <c r="C1875" s="7"/>
      <c r="D1875" s="7"/>
      <c r="E1875" s="7">
        <v>613874</v>
      </c>
      <c r="F1875" s="7"/>
      <c r="G1875" s="7" t="s">
        <v>1131</v>
      </c>
      <c r="H1875" s="7"/>
      <c r="I1875" s="27" t="s">
        <v>133</v>
      </c>
      <c r="J1875" s="7"/>
      <c r="K1875" s="27" t="s">
        <v>2208</v>
      </c>
      <c r="L1875" s="7"/>
    </row>
    <row r="1876" spans="1:12" x14ac:dyDescent="0.2">
      <c r="A1876" s="7"/>
      <c r="B1876" s="7"/>
      <c r="C1876" s="7"/>
      <c r="D1876" s="7"/>
      <c r="E1876" s="7">
        <v>613875</v>
      </c>
      <c r="F1876" s="7"/>
      <c r="G1876" s="7" t="s">
        <v>1132</v>
      </c>
      <c r="H1876" s="7"/>
      <c r="I1876" s="27" t="s">
        <v>133</v>
      </c>
      <c r="J1876" s="7"/>
      <c r="K1876" s="27" t="s">
        <v>2208</v>
      </c>
      <c r="L1876" s="7"/>
    </row>
    <row r="1877" spans="1:12" x14ac:dyDescent="0.2">
      <c r="A1877" s="7"/>
      <c r="B1877" s="7"/>
      <c r="C1877" s="7"/>
      <c r="D1877" s="7"/>
      <c r="E1877" s="7">
        <v>613876</v>
      </c>
      <c r="F1877" s="7"/>
      <c r="G1877" s="7" t="s">
        <v>1133</v>
      </c>
      <c r="H1877" s="7"/>
      <c r="I1877" s="27" t="s">
        <v>133</v>
      </c>
      <c r="J1877" s="7"/>
      <c r="K1877" s="27" t="s">
        <v>2208</v>
      </c>
      <c r="L1877" s="7"/>
    </row>
    <row r="1878" spans="1:12" x14ac:dyDescent="0.2">
      <c r="A1878" s="7"/>
      <c r="B1878" s="7"/>
      <c r="C1878" s="7"/>
      <c r="D1878" s="7"/>
      <c r="E1878" s="7">
        <v>613877</v>
      </c>
      <c r="F1878" s="7"/>
      <c r="G1878" s="7" t="s">
        <v>1137</v>
      </c>
      <c r="H1878" s="7"/>
      <c r="I1878" s="27" t="s">
        <v>133</v>
      </c>
      <c r="J1878" s="7"/>
      <c r="K1878" s="27" t="s">
        <v>2208</v>
      </c>
      <c r="L1878" s="7"/>
    </row>
    <row r="1879" spans="1:12" x14ac:dyDescent="0.2">
      <c r="A1879" s="7"/>
      <c r="B1879" s="7"/>
      <c r="C1879" s="7"/>
      <c r="D1879" s="7"/>
      <c r="E1879" s="7">
        <v>613878</v>
      </c>
      <c r="F1879" s="7"/>
      <c r="G1879" s="7" t="s">
        <v>1613</v>
      </c>
      <c r="H1879" s="7"/>
      <c r="I1879" s="27" t="s">
        <v>133</v>
      </c>
      <c r="J1879" s="7"/>
      <c r="K1879" s="27" t="s">
        <v>2208</v>
      </c>
      <c r="L1879" s="7"/>
    </row>
    <row r="1880" spans="1:12" x14ac:dyDescent="0.2">
      <c r="A1880" s="7"/>
      <c r="B1880" s="7"/>
      <c r="C1880" s="7"/>
      <c r="D1880" s="7"/>
      <c r="E1880" s="7">
        <v>613879</v>
      </c>
      <c r="F1880" s="7"/>
      <c r="G1880" s="7" t="s">
        <v>1614</v>
      </c>
      <c r="H1880" s="7"/>
      <c r="I1880" s="27" t="s">
        <v>133</v>
      </c>
      <c r="J1880" s="7"/>
      <c r="K1880" s="27" t="s">
        <v>2208</v>
      </c>
      <c r="L1880" s="7"/>
    </row>
    <row r="1881" spans="1:12" x14ac:dyDescent="0.2">
      <c r="A1881" s="7"/>
      <c r="B1881" s="7"/>
      <c r="C1881" s="7"/>
      <c r="D1881" s="7"/>
      <c r="E1881" s="7">
        <v>613880</v>
      </c>
      <c r="F1881" s="7"/>
      <c r="G1881" s="7" t="s">
        <v>1615</v>
      </c>
      <c r="H1881" s="7"/>
      <c r="I1881" s="27" t="s">
        <v>47</v>
      </c>
      <c r="J1881" s="7"/>
      <c r="K1881" s="27" t="s">
        <v>2208</v>
      </c>
      <c r="L1881" s="7"/>
    </row>
    <row r="1882" spans="1:12" x14ac:dyDescent="0.2">
      <c r="A1882" s="7"/>
      <c r="B1882" s="7"/>
      <c r="C1882" s="7"/>
      <c r="D1882" s="7"/>
      <c r="E1882" s="7">
        <v>613881</v>
      </c>
      <c r="F1882" s="7"/>
      <c r="G1882" s="7" t="s">
        <v>1139</v>
      </c>
      <c r="H1882" s="7"/>
      <c r="I1882" s="27" t="s">
        <v>133</v>
      </c>
      <c r="J1882" s="7"/>
      <c r="K1882" s="27" t="s">
        <v>2208</v>
      </c>
      <c r="L1882" s="7"/>
    </row>
    <row r="1883" spans="1:12" x14ac:dyDescent="0.2">
      <c r="A1883" s="7"/>
      <c r="B1883" s="7"/>
      <c r="C1883" s="7"/>
      <c r="D1883" s="7"/>
      <c r="E1883" s="7">
        <v>613882</v>
      </c>
      <c r="F1883" s="7"/>
      <c r="G1883" s="7" t="s">
        <v>1616</v>
      </c>
      <c r="H1883" s="7"/>
      <c r="I1883" s="27" t="s">
        <v>133</v>
      </c>
      <c r="J1883" s="7"/>
      <c r="K1883" s="27" t="s">
        <v>2208</v>
      </c>
      <c r="L1883" s="7"/>
    </row>
    <row r="1884" spans="1:12" x14ac:dyDescent="0.2">
      <c r="A1884" s="7"/>
      <c r="B1884" s="7"/>
      <c r="C1884" s="7"/>
      <c r="D1884" s="7"/>
      <c r="E1884" s="7">
        <v>613883</v>
      </c>
      <c r="F1884" s="7"/>
      <c r="G1884" s="7" t="s">
        <v>1617</v>
      </c>
      <c r="H1884" s="7"/>
      <c r="I1884" s="27" t="s">
        <v>133</v>
      </c>
      <c r="J1884" s="7"/>
      <c r="K1884" s="27" t="s">
        <v>2208</v>
      </c>
      <c r="L1884" s="7"/>
    </row>
    <row r="1885" spans="1:12" x14ac:dyDescent="0.2">
      <c r="A1885" s="7"/>
      <c r="B1885" s="7"/>
      <c r="C1885" s="7"/>
      <c r="D1885" s="7"/>
      <c r="E1885" s="7">
        <v>613884</v>
      </c>
      <c r="F1885" s="7"/>
      <c r="G1885" s="7" t="s">
        <v>1618</v>
      </c>
      <c r="H1885" s="7"/>
      <c r="I1885" s="27" t="s">
        <v>133</v>
      </c>
      <c r="J1885" s="7"/>
      <c r="K1885" s="27" t="s">
        <v>2208</v>
      </c>
      <c r="L1885" s="7"/>
    </row>
    <row r="1886" spans="1:12" x14ac:dyDescent="0.2">
      <c r="A1886" s="7"/>
      <c r="B1886" s="7"/>
      <c r="C1886" s="7"/>
      <c r="D1886" s="7"/>
      <c r="E1886" s="7">
        <v>613885</v>
      </c>
      <c r="F1886" s="7"/>
      <c r="G1886" s="7" t="s">
        <v>1619</v>
      </c>
      <c r="H1886" s="7"/>
      <c r="I1886" s="27" t="s">
        <v>133</v>
      </c>
      <c r="J1886" s="7"/>
      <c r="K1886" s="27" t="s">
        <v>2208</v>
      </c>
      <c r="L1886" s="7"/>
    </row>
    <row r="1887" spans="1:12" x14ac:dyDescent="0.2">
      <c r="A1887" s="7"/>
      <c r="B1887" s="7"/>
      <c r="C1887" s="7"/>
      <c r="D1887" s="7"/>
      <c r="E1887" s="7">
        <v>613886</v>
      </c>
      <c r="F1887" s="7"/>
      <c r="G1887" s="7" t="s">
        <v>1620</v>
      </c>
      <c r="H1887" s="7"/>
      <c r="I1887" s="27" t="s">
        <v>133</v>
      </c>
      <c r="J1887" s="7"/>
      <c r="K1887" s="27" t="s">
        <v>2208</v>
      </c>
      <c r="L1887" s="7"/>
    </row>
    <row r="1888" spans="1:12" x14ac:dyDescent="0.2">
      <c r="A1888" s="7"/>
      <c r="B1888" s="7"/>
      <c r="C1888" s="7"/>
      <c r="D1888" s="7"/>
      <c r="E1888" s="7">
        <v>613887</v>
      </c>
      <c r="F1888" s="7"/>
      <c r="G1888" s="7" t="s">
        <v>1621</v>
      </c>
      <c r="H1888" s="7"/>
      <c r="I1888" s="27" t="s">
        <v>133</v>
      </c>
      <c r="J1888" s="7"/>
      <c r="K1888" s="27" t="s">
        <v>2208</v>
      </c>
      <c r="L1888" s="7"/>
    </row>
    <row r="1889" spans="1:12" x14ac:dyDescent="0.2">
      <c r="A1889" s="7"/>
      <c r="B1889" s="7"/>
      <c r="C1889" s="7"/>
      <c r="D1889" s="7"/>
      <c r="E1889" s="7">
        <v>613888</v>
      </c>
      <c r="F1889" s="7"/>
      <c r="G1889" s="7" t="s">
        <v>1622</v>
      </c>
      <c r="H1889" s="7"/>
      <c r="I1889" s="27" t="s">
        <v>133</v>
      </c>
      <c r="J1889" s="7"/>
      <c r="K1889" s="27" t="s">
        <v>2208</v>
      </c>
      <c r="L1889" s="7"/>
    </row>
    <row r="1890" spans="1:12" x14ac:dyDescent="0.2">
      <c r="A1890" s="7"/>
      <c r="B1890" s="7"/>
      <c r="C1890" s="7"/>
      <c r="D1890" s="7"/>
      <c r="E1890" s="7">
        <v>613889</v>
      </c>
      <c r="F1890" s="7"/>
      <c r="G1890" s="7" t="s">
        <v>1623</v>
      </c>
      <c r="H1890" s="7"/>
      <c r="I1890" s="27" t="s">
        <v>133</v>
      </c>
      <c r="J1890" s="7"/>
      <c r="K1890" s="27" t="s">
        <v>2208</v>
      </c>
      <c r="L1890" s="7"/>
    </row>
    <row r="1891" spans="1:12" x14ac:dyDescent="0.2">
      <c r="A1891" s="7"/>
      <c r="B1891" s="7"/>
      <c r="C1891" s="7"/>
      <c r="D1891" s="7"/>
      <c r="E1891" s="7">
        <v>613890</v>
      </c>
      <c r="F1891" s="7"/>
      <c r="G1891" s="7" t="s">
        <v>1270</v>
      </c>
      <c r="H1891" s="7"/>
      <c r="I1891" s="27" t="s">
        <v>133</v>
      </c>
      <c r="J1891" s="7"/>
      <c r="K1891" s="27" t="s">
        <v>2208</v>
      </c>
      <c r="L1891" s="7"/>
    </row>
    <row r="1892" spans="1:12" x14ac:dyDescent="0.2">
      <c r="A1892" s="7"/>
      <c r="B1892" s="7"/>
      <c r="C1892" s="7"/>
      <c r="D1892" s="7"/>
      <c r="E1892" s="7">
        <v>613891</v>
      </c>
      <c r="F1892" s="7"/>
      <c r="G1892" s="7" t="s">
        <v>1271</v>
      </c>
      <c r="H1892" s="7"/>
      <c r="I1892" s="27" t="s">
        <v>133</v>
      </c>
      <c r="J1892" s="7"/>
      <c r="K1892" s="27" t="s">
        <v>2208</v>
      </c>
      <c r="L1892" s="7"/>
    </row>
    <row r="1893" spans="1:12" x14ac:dyDescent="0.2">
      <c r="A1893" s="7"/>
      <c r="B1893" s="7"/>
      <c r="C1893" s="7"/>
      <c r="D1893" s="7"/>
      <c r="E1893" s="7">
        <v>613892</v>
      </c>
      <c r="F1893" s="7"/>
      <c r="G1893" s="7" t="s">
        <v>1624</v>
      </c>
      <c r="H1893" s="7"/>
      <c r="I1893" s="27" t="s">
        <v>133</v>
      </c>
      <c r="J1893" s="7"/>
      <c r="K1893" s="27" t="s">
        <v>2208</v>
      </c>
      <c r="L1893" s="7"/>
    </row>
    <row r="1894" spans="1:12" x14ac:dyDescent="0.2">
      <c r="A1894" s="7"/>
      <c r="B1894" s="7"/>
      <c r="C1894" s="7"/>
      <c r="D1894" s="7"/>
      <c r="E1894" s="7">
        <v>613893</v>
      </c>
      <c r="F1894" s="7"/>
      <c r="G1894" s="7" t="s">
        <v>1625</v>
      </c>
      <c r="H1894" s="7"/>
      <c r="I1894" s="27" t="s">
        <v>133</v>
      </c>
      <c r="J1894" s="7"/>
      <c r="K1894" s="27" t="s">
        <v>2208</v>
      </c>
      <c r="L1894" s="7"/>
    </row>
    <row r="1895" spans="1:12" x14ac:dyDescent="0.2">
      <c r="A1895" s="7"/>
      <c r="B1895" s="7"/>
      <c r="C1895" s="7"/>
      <c r="D1895" s="7"/>
      <c r="E1895" s="7">
        <v>613894</v>
      </c>
      <c r="F1895" s="7"/>
      <c r="G1895" s="7" t="s">
        <v>1626</v>
      </c>
      <c r="H1895" s="7"/>
      <c r="I1895" s="27" t="s">
        <v>133</v>
      </c>
      <c r="J1895" s="7"/>
      <c r="K1895" s="27" t="s">
        <v>2208</v>
      </c>
      <c r="L1895" s="7"/>
    </row>
    <row r="1896" spans="1:12" x14ac:dyDescent="0.2">
      <c r="A1896" s="7"/>
      <c r="B1896" s="7"/>
      <c r="C1896" s="7"/>
      <c r="D1896" s="7"/>
      <c r="E1896" s="7">
        <v>613895</v>
      </c>
      <c r="F1896" s="7"/>
      <c r="G1896" s="7" t="s">
        <v>1627</v>
      </c>
      <c r="H1896" s="7"/>
      <c r="I1896" s="27" t="s">
        <v>133</v>
      </c>
      <c r="J1896" s="7"/>
      <c r="K1896" s="27" t="s">
        <v>2208</v>
      </c>
      <c r="L1896" s="7"/>
    </row>
    <row r="1897" spans="1:12" x14ac:dyDescent="0.2">
      <c r="A1897" s="7"/>
      <c r="B1897" s="7"/>
      <c r="C1897" s="7"/>
      <c r="D1897" s="7"/>
      <c r="E1897" s="7">
        <v>613896</v>
      </c>
      <c r="F1897" s="7"/>
      <c r="G1897" s="7" t="s">
        <v>1279</v>
      </c>
      <c r="H1897" s="7"/>
      <c r="I1897" s="27" t="s">
        <v>133</v>
      </c>
      <c r="J1897" s="7"/>
      <c r="K1897" s="27" t="s">
        <v>2208</v>
      </c>
      <c r="L1897" s="7"/>
    </row>
    <row r="1898" spans="1:12" x14ac:dyDescent="0.2">
      <c r="A1898" s="7"/>
      <c r="B1898" s="7"/>
      <c r="C1898" s="7"/>
      <c r="D1898" s="7"/>
      <c r="E1898" s="7">
        <v>613897</v>
      </c>
      <c r="F1898" s="7"/>
      <c r="G1898" s="7" t="s">
        <v>1628</v>
      </c>
      <c r="H1898" s="7"/>
      <c r="I1898" s="27" t="s">
        <v>133</v>
      </c>
      <c r="J1898" s="7"/>
      <c r="K1898" s="27" t="s">
        <v>2208</v>
      </c>
      <c r="L1898" s="7"/>
    </row>
    <row r="1899" spans="1:12" x14ac:dyDescent="0.2">
      <c r="A1899" s="7"/>
      <c r="B1899" s="7"/>
      <c r="C1899" s="7"/>
      <c r="D1899" s="7"/>
      <c r="E1899" s="7">
        <v>613898</v>
      </c>
      <c r="F1899" s="7"/>
      <c r="G1899" s="7" t="s">
        <v>1629</v>
      </c>
      <c r="H1899" s="7"/>
      <c r="I1899" s="27" t="s">
        <v>133</v>
      </c>
      <c r="J1899" s="7"/>
      <c r="K1899" s="27" t="s">
        <v>2208</v>
      </c>
      <c r="L1899" s="7"/>
    </row>
    <row r="1900" spans="1:12" x14ac:dyDescent="0.2">
      <c r="A1900" s="7"/>
      <c r="B1900" s="7"/>
      <c r="C1900" s="7"/>
      <c r="D1900" s="7"/>
      <c r="E1900" s="7">
        <v>613899</v>
      </c>
      <c r="F1900" s="7"/>
      <c r="G1900" s="7" t="s">
        <v>1287</v>
      </c>
      <c r="H1900" s="7"/>
      <c r="I1900" s="27" t="s">
        <v>133</v>
      </c>
      <c r="J1900" s="7"/>
      <c r="K1900" s="27" t="s">
        <v>2208</v>
      </c>
      <c r="L1900" s="7"/>
    </row>
    <row r="1901" spans="1:12" x14ac:dyDescent="0.2">
      <c r="A1901" s="7"/>
      <c r="B1901" s="7"/>
      <c r="C1901" s="7"/>
      <c r="D1901" s="7"/>
      <c r="E1901" s="7">
        <v>613900</v>
      </c>
      <c r="F1901" s="7"/>
      <c r="G1901" s="7" t="s">
        <v>1630</v>
      </c>
      <c r="H1901" s="7"/>
      <c r="I1901" s="27" t="s">
        <v>133</v>
      </c>
      <c r="J1901" s="7"/>
      <c r="K1901" s="27" t="s">
        <v>2208</v>
      </c>
      <c r="L1901" s="7"/>
    </row>
    <row r="1902" spans="1:12" x14ac:dyDescent="0.2">
      <c r="A1902" s="7"/>
      <c r="B1902" s="7"/>
      <c r="C1902" s="7"/>
      <c r="D1902" s="7"/>
      <c r="E1902" s="7">
        <v>613901</v>
      </c>
      <c r="F1902" s="7"/>
      <c r="G1902" s="7" t="s">
        <v>1631</v>
      </c>
      <c r="H1902" s="7"/>
      <c r="I1902" s="27" t="s">
        <v>133</v>
      </c>
      <c r="J1902" s="7"/>
      <c r="K1902" s="27" t="s">
        <v>2208</v>
      </c>
      <c r="L1902" s="7"/>
    </row>
    <row r="1903" spans="1:12" x14ac:dyDescent="0.2">
      <c r="A1903" s="7"/>
      <c r="B1903" s="7"/>
      <c r="C1903" s="7"/>
      <c r="D1903" s="7"/>
      <c r="E1903" s="7">
        <v>613902</v>
      </c>
      <c r="F1903" s="7"/>
      <c r="G1903" s="7" t="s">
        <v>1302</v>
      </c>
      <c r="H1903" s="7"/>
      <c r="I1903" s="27" t="s">
        <v>133</v>
      </c>
      <c r="J1903" s="7"/>
      <c r="K1903" s="27" t="s">
        <v>2208</v>
      </c>
      <c r="L1903" s="7"/>
    </row>
    <row r="1904" spans="1:12" x14ac:dyDescent="0.2">
      <c r="A1904" s="7"/>
      <c r="B1904" s="7"/>
      <c r="C1904" s="7"/>
      <c r="D1904" s="7"/>
      <c r="E1904" s="7">
        <v>613903</v>
      </c>
      <c r="F1904" s="7"/>
      <c r="G1904" s="7" t="s">
        <v>1632</v>
      </c>
      <c r="H1904" s="7"/>
      <c r="I1904" s="27" t="s">
        <v>133</v>
      </c>
      <c r="J1904" s="7"/>
      <c r="K1904" s="27" t="s">
        <v>2208</v>
      </c>
      <c r="L1904" s="7"/>
    </row>
    <row r="1905" spans="1:12" x14ac:dyDescent="0.2">
      <c r="A1905" s="7"/>
      <c r="B1905" s="7"/>
      <c r="C1905" s="7"/>
      <c r="D1905" s="7"/>
      <c r="E1905" s="7">
        <v>613904</v>
      </c>
      <c r="F1905" s="7"/>
      <c r="G1905" s="7" t="s">
        <v>1633</v>
      </c>
      <c r="H1905" s="7"/>
      <c r="I1905" s="27" t="s">
        <v>133</v>
      </c>
      <c r="J1905" s="7"/>
      <c r="K1905" s="27" t="s">
        <v>2208</v>
      </c>
      <c r="L1905" s="7"/>
    </row>
    <row r="1906" spans="1:12" x14ac:dyDescent="0.2">
      <c r="A1906" s="7"/>
      <c r="B1906" s="7"/>
      <c r="C1906" s="7"/>
      <c r="D1906" s="7"/>
      <c r="E1906" s="7">
        <v>613905</v>
      </c>
      <c r="F1906" s="7"/>
      <c r="G1906" s="7" t="s">
        <v>1289</v>
      </c>
      <c r="H1906" s="7"/>
      <c r="I1906" s="27" t="s">
        <v>133</v>
      </c>
      <c r="J1906" s="7"/>
      <c r="K1906" s="27" t="s">
        <v>2208</v>
      </c>
      <c r="L1906" s="7"/>
    </row>
    <row r="1907" spans="1:12" x14ac:dyDescent="0.2">
      <c r="A1907" s="7"/>
      <c r="B1907" s="7"/>
      <c r="C1907" s="7"/>
      <c r="D1907" s="7"/>
      <c r="E1907" s="7">
        <v>613906</v>
      </c>
      <c r="F1907" s="7"/>
      <c r="G1907" s="7" t="s">
        <v>1634</v>
      </c>
      <c r="H1907" s="7"/>
      <c r="I1907" s="27" t="s">
        <v>133</v>
      </c>
      <c r="J1907" s="7"/>
      <c r="K1907" s="27" t="s">
        <v>2208</v>
      </c>
      <c r="L1907" s="7"/>
    </row>
    <row r="1908" spans="1:12" x14ac:dyDescent="0.2">
      <c r="A1908" s="7"/>
      <c r="B1908" s="7"/>
      <c r="C1908" s="7"/>
      <c r="D1908" s="7"/>
      <c r="E1908" s="7">
        <v>613907</v>
      </c>
      <c r="F1908" s="7"/>
      <c r="G1908" s="7" t="s">
        <v>1635</v>
      </c>
      <c r="H1908" s="7"/>
      <c r="I1908" s="27" t="s">
        <v>133</v>
      </c>
      <c r="J1908" s="7"/>
      <c r="K1908" s="27" t="s">
        <v>2208</v>
      </c>
      <c r="L1908" s="7"/>
    </row>
    <row r="1909" spans="1:12" x14ac:dyDescent="0.2">
      <c r="A1909" s="7"/>
      <c r="B1909" s="7"/>
      <c r="C1909" s="7"/>
      <c r="D1909" s="7"/>
      <c r="E1909" s="7">
        <v>613908</v>
      </c>
      <c r="F1909" s="7"/>
      <c r="G1909" s="7" t="s">
        <v>1123</v>
      </c>
      <c r="H1909" s="7"/>
      <c r="I1909" s="27" t="s">
        <v>133</v>
      </c>
      <c r="J1909" s="7"/>
      <c r="K1909" s="27" t="s">
        <v>2208</v>
      </c>
      <c r="L1909" s="7"/>
    </row>
    <row r="1910" spans="1:12" x14ac:dyDescent="0.2">
      <c r="A1910" s="7"/>
      <c r="B1910" s="7"/>
      <c r="C1910" s="7"/>
      <c r="D1910" s="7"/>
      <c r="E1910" s="7">
        <v>613909</v>
      </c>
      <c r="F1910" s="7"/>
      <c r="G1910" s="7" t="s">
        <v>1021</v>
      </c>
      <c r="H1910" s="7"/>
      <c r="I1910" s="27" t="s">
        <v>133</v>
      </c>
      <c r="J1910" s="7"/>
      <c r="K1910" s="27" t="s">
        <v>2208</v>
      </c>
      <c r="L1910" s="7"/>
    </row>
    <row r="1911" spans="1:12" x14ac:dyDescent="0.2">
      <c r="A1911" s="7"/>
      <c r="B1911" s="7"/>
      <c r="C1911" s="7"/>
      <c r="D1911" s="7"/>
      <c r="E1911" s="7">
        <v>613910</v>
      </c>
      <c r="F1911" s="7"/>
      <c r="G1911" s="7" t="s">
        <v>1022</v>
      </c>
      <c r="H1911" s="7"/>
      <c r="I1911" s="27" t="s">
        <v>133</v>
      </c>
      <c r="J1911" s="7"/>
      <c r="K1911" s="27" t="s">
        <v>2208</v>
      </c>
      <c r="L1911" s="7"/>
    </row>
    <row r="1912" spans="1:12" x14ac:dyDescent="0.2">
      <c r="A1912" s="7"/>
      <c r="B1912" s="7"/>
      <c r="C1912" s="7"/>
      <c r="D1912" s="7"/>
      <c r="E1912" s="7">
        <v>613911</v>
      </c>
      <c r="F1912" s="7"/>
      <c r="G1912" s="7" t="s">
        <v>1023</v>
      </c>
      <c r="H1912" s="7"/>
      <c r="I1912" s="27" t="s">
        <v>133</v>
      </c>
      <c r="J1912" s="7"/>
      <c r="K1912" s="27" t="s">
        <v>2208</v>
      </c>
      <c r="L1912" s="7"/>
    </row>
    <row r="1913" spans="1:12" x14ac:dyDescent="0.2">
      <c r="A1913" s="7"/>
      <c r="B1913" s="7"/>
      <c r="C1913" s="7"/>
      <c r="D1913" s="7"/>
      <c r="E1913" s="7">
        <v>613912</v>
      </c>
      <c r="F1913" s="7"/>
      <c r="G1913" s="7" t="s">
        <v>1024</v>
      </c>
      <c r="H1913" s="7"/>
      <c r="I1913" s="27" t="s">
        <v>133</v>
      </c>
      <c r="J1913" s="7"/>
      <c r="K1913" s="27" t="s">
        <v>2208</v>
      </c>
      <c r="L1913" s="7"/>
    </row>
    <row r="1914" spans="1:12" x14ac:dyDescent="0.2">
      <c r="A1914" s="7"/>
      <c r="B1914" s="7"/>
      <c r="C1914" s="7"/>
      <c r="D1914" s="7"/>
      <c r="E1914" s="7">
        <v>613913</v>
      </c>
      <c r="F1914" s="7"/>
      <c r="G1914" s="7" t="s">
        <v>1025</v>
      </c>
      <c r="H1914" s="7"/>
      <c r="I1914" s="27" t="s">
        <v>133</v>
      </c>
      <c r="J1914" s="7"/>
      <c r="K1914" s="27" t="s">
        <v>2208</v>
      </c>
      <c r="L1914" s="7"/>
    </row>
    <row r="1915" spans="1:12" x14ac:dyDescent="0.2">
      <c r="A1915" s="7"/>
      <c r="B1915" s="7"/>
      <c r="C1915" s="7"/>
      <c r="D1915" s="7"/>
      <c r="E1915" s="7">
        <v>613914</v>
      </c>
      <c r="F1915" s="7"/>
      <c r="G1915" s="7" t="s">
        <v>1636</v>
      </c>
      <c r="H1915" s="7"/>
      <c r="I1915" s="27" t="s">
        <v>133</v>
      </c>
      <c r="J1915" s="7"/>
      <c r="K1915" s="27" t="s">
        <v>2208</v>
      </c>
      <c r="L1915" s="7"/>
    </row>
    <row r="1916" spans="1:12" x14ac:dyDescent="0.2">
      <c r="A1916" s="7"/>
      <c r="B1916" s="7"/>
      <c r="C1916" s="7"/>
      <c r="D1916" s="7"/>
      <c r="E1916" s="7">
        <v>613915</v>
      </c>
      <c r="F1916" s="7"/>
      <c r="G1916" s="7" t="s">
        <v>1637</v>
      </c>
      <c r="H1916" s="7"/>
      <c r="I1916" s="27" t="s">
        <v>133</v>
      </c>
      <c r="J1916" s="7"/>
      <c r="K1916" s="27" t="s">
        <v>2208</v>
      </c>
      <c r="L1916" s="7"/>
    </row>
    <row r="1917" spans="1:12" x14ac:dyDescent="0.2">
      <c r="A1917" s="7"/>
      <c r="B1917" s="7"/>
      <c r="C1917" s="7"/>
      <c r="D1917" s="7"/>
      <c r="E1917" s="7">
        <v>613916</v>
      </c>
      <c r="F1917" s="7"/>
      <c r="G1917" s="7" t="s">
        <v>1638</v>
      </c>
      <c r="H1917" s="7"/>
      <c r="I1917" s="27" t="s">
        <v>133</v>
      </c>
      <c r="J1917" s="7"/>
      <c r="K1917" s="27" t="s">
        <v>2208</v>
      </c>
      <c r="L1917" s="7"/>
    </row>
    <row r="1918" spans="1:12" x14ac:dyDescent="0.2">
      <c r="A1918" s="7"/>
      <c r="B1918" s="7"/>
      <c r="C1918" s="7"/>
      <c r="D1918" s="7"/>
      <c r="E1918" s="7">
        <v>613917</v>
      </c>
      <c r="F1918" s="7"/>
      <c r="G1918" s="7" t="s">
        <v>1298</v>
      </c>
      <c r="H1918" s="7"/>
      <c r="I1918" s="27" t="s">
        <v>133</v>
      </c>
      <c r="J1918" s="7"/>
      <c r="K1918" s="27" t="s">
        <v>2208</v>
      </c>
      <c r="L1918" s="7"/>
    </row>
    <row r="1919" spans="1:12" x14ac:dyDescent="0.2">
      <c r="A1919" s="7"/>
      <c r="B1919" s="7"/>
      <c r="C1919" s="7"/>
      <c r="D1919" s="7"/>
      <c r="E1919" s="7">
        <v>613918</v>
      </c>
      <c r="F1919" s="7"/>
      <c r="G1919" s="7" t="s">
        <v>1151</v>
      </c>
      <c r="H1919" s="7"/>
      <c r="I1919" s="27" t="s">
        <v>71</v>
      </c>
      <c r="J1919" s="7"/>
      <c r="K1919" s="27" t="s">
        <v>2208</v>
      </c>
      <c r="L1919" s="7"/>
    </row>
    <row r="1920" spans="1:12" x14ac:dyDescent="0.2">
      <c r="A1920" s="7"/>
      <c r="B1920" s="7"/>
      <c r="C1920" s="7"/>
      <c r="D1920" s="7"/>
      <c r="E1920" s="7">
        <v>613919</v>
      </c>
      <c r="F1920" s="7"/>
      <c r="G1920" s="7" t="s">
        <v>1152</v>
      </c>
      <c r="H1920" s="7"/>
      <c r="I1920" s="27" t="s">
        <v>71</v>
      </c>
      <c r="J1920" s="7"/>
      <c r="K1920" s="27" t="s">
        <v>2208</v>
      </c>
      <c r="L1920" s="7"/>
    </row>
    <row r="1921" spans="1:12" x14ac:dyDescent="0.2">
      <c r="A1921" s="7"/>
      <c r="B1921" s="7"/>
      <c r="C1921" s="7"/>
      <c r="D1921" s="7"/>
      <c r="E1921" s="7">
        <v>613920</v>
      </c>
      <c r="F1921" s="7"/>
      <c r="G1921" s="7" t="s">
        <v>1153</v>
      </c>
      <c r="H1921" s="7"/>
      <c r="I1921" s="27" t="s">
        <v>71</v>
      </c>
      <c r="J1921" s="7"/>
      <c r="K1921" s="27" t="s">
        <v>2208</v>
      </c>
      <c r="L1921" s="7"/>
    </row>
    <row r="1922" spans="1:12" x14ac:dyDescent="0.2">
      <c r="A1922" s="7"/>
      <c r="B1922" s="7"/>
      <c r="C1922" s="7"/>
      <c r="D1922" s="7"/>
      <c r="E1922" s="7">
        <v>613921</v>
      </c>
      <c r="F1922" s="7"/>
      <c r="G1922" s="7" t="s">
        <v>1154</v>
      </c>
      <c r="H1922" s="7"/>
      <c r="I1922" s="27" t="s">
        <v>71</v>
      </c>
      <c r="J1922" s="7"/>
      <c r="K1922" s="27" t="s">
        <v>2208</v>
      </c>
      <c r="L1922" s="7"/>
    </row>
    <row r="1923" spans="1:12" x14ac:dyDescent="0.2">
      <c r="A1923" s="7"/>
      <c r="B1923" s="7"/>
      <c r="C1923" s="7"/>
      <c r="D1923" s="7"/>
      <c r="E1923" s="7">
        <v>613922</v>
      </c>
      <c r="F1923" s="7"/>
      <c r="G1923" s="7" t="s">
        <v>705</v>
      </c>
      <c r="H1923" s="7"/>
      <c r="I1923" s="27" t="s">
        <v>71</v>
      </c>
      <c r="J1923" s="7"/>
      <c r="K1923" s="27" t="s">
        <v>2208</v>
      </c>
      <c r="L1923" s="7"/>
    </row>
    <row r="1924" spans="1:12" x14ac:dyDescent="0.2">
      <c r="A1924" s="7"/>
      <c r="B1924" s="7"/>
      <c r="C1924" s="7"/>
      <c r="D1924" s="7"/>
      <c r="E1924" s="7">
        <v>613923</v>
      </c>
      <c r="F1924" s="7"/>
      <c r="G1924" s="7" t="s">
        <v>706</v>
      </c>
      <c r="H1924" s="7"/>
      <c r="I1924" s="27" t="s">
        <v>71</v>
      </c>
      <c r="J1924" s="7"/>
      <c r="K1924" s="27" t="s">
        <v>2208</v>
      </c>
      <c r="L1924" s="7"/>
    </row>
    <row r="1925" spans="1:12" x14ac:dyDescent="0.2">
      <c r="A1925" s="7"/>
      <c r="B1925" s="7"/>
      <c r="C1925" s="7"/>
      <c r="D1925" s="7"/>
      <c r="E1925" s="7">
        <v>613924</v>
      </c>
      <c r="F1925" s="7"/>
      <c r="G1925" s="7" t="s">
        <v>707</v>
      </c>
      <c r="H1925" s="7"/>
      <c r="I1925" s="27" t="s">
        <v>71</v>
      </c>
      <c r="J1925" s="7"/>
      <c r="K1925" s="27" t="s">
        <v>2208</v>
      </c>
      <c r="L1925" s="7"/>
    </row>
    <row r="1926" spans="1:12" x14ac:dyDescent="0.2">
      <c r="A1926" s="7"/>
      <c r="B1926" s="7"/>
      <c r="C1926" s="7"/>
      <c r="D1926" s="7"/>
      <c r="E1926" s="7">
        <v>613925</v>
      </c>
      <c r="F1926" s="7"/>
      <c r="G1926" s="7" t="s">
        <v>708</v>
      </c>
      <c r="H1926" s="7"/>
      <c r="I1926" s="27" t="s">
        <v>71</v>
      </c>
      <c r="J1926" s="7"/>
      <c r="K1926" s="27" t="s">
        <v>2208</v>
      </c>
      <c r="L1926" s="7"/>
    </row>
    <row r="1927" spans="1:12" x14ac:dyDescent="0.2">
      <c r="A1927" s="7"/>
      <c r="B1927" s="7"/>
      <c r="C1927" s="7"/>
      <c r="D1927" s="7"/>
      <c r="E1927" s="7">
        <v>613926</v>
      </c>
      <c r="F1927" s="7"/>
      <c r="G1927" s="7" t="s">
        <v>1157</v>
      </c>
      <c r="H1927" s="7"/>
      <c r="I1927" s="27" t="s">
        <v>47</v>
      </c>
      <c r="J1927" s="7"/>
      <c r="K1927" s="27" t="s">
        <v>2208</v>
      </c>
      <c r="L1927" s="7"/>
    </row>
    <row r="1928" spans="1:12" x14ac:dyDescent="0.2">
      <c r="A1928" s="7"/>
      <c r="B1928" s="7"/>
      <c r="C1928" s="7"/>
      <c r="D1928" s="7"/>
      <c r="E1928" s="7">
        <v>613927</v>
      </c>
      <c r="F1928" s="7"/>
      <c r="G1928" s="7" t="s">
        <v>1158</v>
      </c>
      <c r="H1928" s="7"/>
      <c r="I1928" s="27" t="s">
        <v>47</v>
      </c>
      <c r="J1928" s="7"/>
      <c r="K1928" s="27" t="s">
        <v>2208</v>
      </c>
      <c r="L1928" s="7"/>
    </row>
    <row r="1929" spans="1:12" x14ac:dyDescent="0.2">
      <c r="A1929" s="7"/>
      <c r="B1929" s="7"/>
      <c r="C1929" s="7"/>
      <c r="D1929" s="7"/>
      <c r="E1929" s="7">
        <v>613928</v>
      </c>
      <c r="F1929" s="7"/>
      <c r="G1929" s="7" t="s">
        <v>1159</v>
      </c>
      <c r="H1929" s="7"/>
      <c r="I1929" s="27" t="s">
        <v>133</v>
      </c>
      <c r="J1929" s="7"/>
      <c r="K1929" s="27" t="s">
        <v>2208</v>
      </c>
      <c r="L1929" s="7"/>
    </row>
    <row r="1930" spans="1:12" x14ac:dyDescent="0.2">
      <c r="A1930" s="7"/>
      <c r="B1930" s="7"/>
      <c r="C1930" s="7"/>
      <c r="D1930" s="7"/>
      <c r="E1930" s="7">
        <v>613929</v>
      </c>
      <c r="F1930" s="7"/>
      <c r="G1930" s="7" t="s">
        <v>1160</v>
      </c>
      <c r="H1930" s="7"/>
      <c r="I1930" s="27" t="s">
        <v>133</v>
      </c>
      <c r="J1930" s="7"/>
      <c r="K1930" s="27" t="s">
        <v>2208</v>
      </c>
      <c r="L1930" s="7"/>
    </row>
    <row r="1931" spans="1:12" x14ac:dyDescent="0.2">
      <c r="A1931" s="7"/>
      <c r="B1931" s="7"/>
      <c r="C1931" s="7"/>
      <c r="D1931" s="7"/>
      <c r="E1931" s="7">
        <v>613930</v>
      </c>
      <c r="F1931" s="7"/>
      <c r="G1931" s="7" t="s">
        <v>728</v>
      </c>
      <c r="H1931" s="7"/>
      <c r="I1931" s="27" t="s">
        <v>47</v>
      </c>
      <c r="J1931" s="7"/>
      <c r="K1931" s="27" t="s">
        <v>2208</v>
      </c>
      <c r="L1931" s="7"/>
    </row>
    <row r="1932" spans="1:12" x14ac:dyDescent="0.2">
      <c r="A1932" s="7"/>
      <c r="B1932" s="7"/>
      <c r="C1932" s="7"/>
      <c r="D1932" s="7"/>
      <c r="E1932" s="7">
        <v>613931</v>
      </c>
      <c r="F1932" s="7"/>
      <c r="G1932" s="7" t="s">
        <v>729</v>
      </c>
      <c r="H1932" s="7"/>
      <c r="I1932" s="27" t="s">
        <v>71</v>
      </c>
      <c r="J1932" s="7"/>
      <c r="K1932" s="27" t="s">
        <v>2208</v>
      </c>
      <c r="L1932" s="7"/>
    </row>
    <row r="1933" spans="1:12" x14ac:dyDescent="0.2">
      <c r="A1933" s="7"/>
      <c r="B1933" s="7"/>
      <c r="C1933" s="7"/>
      <c r="D1933" s="7"/>
      <c r="E1933" s="7">
        <v>613932</v>
      </c>
      <c r="F1933" s="7"/>
      <c r="G1933" s="7" t="s">
        <v>718</v>
      </c>
      <c r="H1933" s="7"/>
      <c r="I1933" s="27" t="s">
        <v>47</v>
      </c>
      <c r="J1933" s="7"/>
      <c r="K1933" s="27" t="s">
        <v>2208</v>
      </c>
      <c r="L1933" s="7"/>
    </row>
    <row r="1934" spans="1:12" x14ac:dyDescent="0.2">
      <c r="A1934" s="7"/>
      <c r="B1934" s="7"/>
      <c r="C1934" s="7"/>
      <c r="D1934" s="7"/>
      <c r="E1934" s="7">
        <v>613933</v>
      </c>
      <c r="F1934" s="7"/>
      <c r="G1934" s="7" t="s">
        <v>719</v>
      </c>
      <c r="H1934" s="7"/>
      <c r="I1934" s="27" t="s">
        <v>47</v>
      </c>
      <c r="J1934" s="7"/>
      <c r="K1934" s="27" t="s">
        <v>2208</v>
      </c>
      <c r="L1934" s="7"/>
    </row>
    <row r="1935" spans="1:12" x14ac:dyDescent="0.2">
      <c r="A1935" s="7"/>
      <c r="B1935" s="7"/>
      <c r="C1935" s="7"/>
      <c r="D1935" s="7"/>
      <c r="E1935" s="7">
        <v>613934</v>
      </c>
      <c r="F1935" s="7"/>
      <c r="G1935" s="7" t="s">
        <v>720</v>
      </c>
      <c r="H1935" s="7"/>
      <c r="I1935" s="27" t="s">
        <v>47</v>
      </c>
      <c r="J1935" s="7"/>
      <c r="K1935" s="27" t="s">
        <v>2208</v>
      </c>
      <c r="L1935" s="7"/>
    </row>
    <row r="1936" spans="1:12" x14ac:dyDescent="0.2">
      <c r="A1936" s="7"/>
      <c r="B1936" s="7"/>
      <c r="C1936" s="7"/>
      <c r="D1936" s="7"/>
      <c r="E1936" s="7">
        <v>613935</v>
      </c>
      <c r="F1936" s="7"/>
      <c r="G1936" s="7" t="s">
        <v>721</v>
      </c>
      <c r="H1936" s="7"/>
      <c r="I1936" s="27" t="s">
        <v>133</v>
      </c>
      <c r="J1936" s="7"/>
      <c r="K1936" s="27" t="s">
        <v>2208</v>
      </c>
      <c r="L1936" s="7"/>
    </row>
    <row r="1937" spans="1:12" x14ac:dyDescent="0.2">
      <c r="A1937" s="7"/>
      <c r="B1937" s="7"/>
      <c r="C1937" s="7"/>
      <c r="D1937" s="7"/>
      <c r="E1937" s="7">
        <v>613936</v>
      </c>
      <c r="F1937" s="7"/>
      <c r="G1937" s="7" t="s">
        <v>722</v>
      </c>
      <c r="H1937" s="7"/>
      <c r="I1937" s="27" t="s">
        <v>133</v>
      </c>
      <c r="J1937" s="7"/>
      <c r="K1937" s="27" t="s">
        <v>2208</v>
      </c>
      <c r="L1937" s="7"/>
    </row>
    <row r="1938" spans="1:12" x14ac:dyDescent="0.2">
      <c r="A1938" s="7"/>
      <c r="B1938" s="7"/>
      <c r="C1938" s="7"/>
      <c r="D1938" s="7"/>
      <c r="E1938" s="7">
        <v>613937</v>
      </c>
      <c r="F1938" s="7"/>
      <c r="G1938" s="7" t="s">
        <v>723</v>
      </c>
      <c r="H1938" s="7"/>
      <c r="I1938" s="27" t="s">
        <v>133</v>
      </c>
      <c r="J1938" s="7"/>
      <c r="K1938" s="27" t="s">
        <v>2208</v>
      </c>
      <c r="L1938" s="7"/>
    </row>
    <row r="1939" spans="1:12" x14ac:dyDescent="0.2">
      <c r="A1939" s="7"/>
      <c r="B1939" s="7"/>
      <c r="C1939" s="7"/>
      <c r="D1939" s="7"/>
      <c r="E1939" s="7">
        <v>613940</v>
      </c>
      <c r="F1939" s="7"/>
      <c r="G1939" s="7" t="s">
        <v>1162</v>
      </c>
      <c r="H1939" s="7"/>
      <c r="I1939" s="27" t="s">
        <v>47</v>
      </c>
      <c r="J1939" s="7"/>
      <c r="K1939" s="27" t="s">
        <v>2208</v>
      </c>
      <c r="L1939" s="7"/>
    </row>
    <row r="1940" spans="1:12" x14ac:dyDescent="0.2">
      <c r="A1940" s="7"/>
      <c r="B1940" s="7"/>
      <c r="C1940" s="7"/>
      <c r="D1940" s="7"/>
      <c r="E1940" s="7">
        <v>613941</v>
      </c>
      <c r="F1940" s="7"/>
      <c r="G1940" s="7" t="s">
        <v>1163</v>
      </c>
      <c r="H1940" s="7"/>
      <c r="I1940" s="27" t="s">
        <v>47</v>
      </c>
      <c r="J1940" s="7"/>
      <c r="K1940" s="27" t="s">
        <v>2208</v>
      </c>
      <c r="L1940" s="7"/>
    </row>
    <row r="1941" spans="1:12" x14ac:dyDescent="0.2">
      <c r="A1941" s="7"/>
      <c r="B1941" s="7"/>
      <c r="C1941" s="7"/>
      <c r="D1941" s="7"/>
      <c r="E1941" s="7">
        <v>613942</v>
      </c>
      <c r="F1941" s="7"/>
      <c r="G1941" s="7" t="s">
        <v>1164</v>
      </c>
      <c r="H1941" s="7"/>
      <c r="I1941" s="27" t="s">
        <v>47</v>
      </c>
      <c r="J1941" s="7"/>
      <c r="K1941" s="27" t="s">
        <v>2208</v>
      </c>
      <c r="L1941" s="7"/>
    </row>
    <row r="1942" spans="1:12" x14ac:dyDescent="0.2">
      <c r="A1942" s="7"/>
      <c r="B1942" s="7"/>
      <c r="C1942" s="7"/>
      <c r="D1942" s="7"/>
      <c r="E1942" s="7">
        <v>613943</v>
      </c>
      <c r="F1942" s="7"/>
      <c r="G1942" s="7" t="s">
        <v>1165</v>
      </c>
      <c r="H1942" s="7"/>
      <c r="I1942" s="27" t="s">
        <v>47</v>
      </c>
      <c r="J1942" s="7"/>
      <c r="K1942" s="27" t="s">
        <v>2208</v>
      </c>
      <c r="L1942" s="7"/>
    </row>
    <row r="1943" spans="1:12" x14ac:dyDescent="0.2">
      <c r="A1943" s="7"/>
      <c r="B1943" s="7"/>
      <c r="C1943" s="7"/>
      <c r="D1943" s="7"/>
      <c r="E1943" s="7">
        <v>613944</v>
      </c>
      <c r="F1943" s="7"/>
      <c r="G1943" s="7" t="s">
        <v>1166</v>
      </c>
      <c r="H1943" s="7"/>
      <c r="I1943" s="27" t="s">
        <v>133</v>
      </c>
      <c r="J1943" s="7"/>
      <c r="K1943" s="27" t="s">
        <v>2208</v>
      </c>
      <c r="L1943" s="7"/>
    </row>
    <row r="1944" spans="1:12" x14ac:dyDescent="0.2">
      <c r="A1944" s="7"/>
      <c r="B1944" s="7"/>
      <c r="C1944" s="7"/>
      <c r="D1944" s="7"/>
      <c r="E1944" s="7">
        <v>613945</v>
      </c>
      <c r="F1944" s="7"/>
      <c r="G1944" s="7" t="s">
        <v>1167</v>
      </c>
      <c r="H1944" s="7"/>
      <c r="I1944" s="27" t="s">
        <v>133</v>
      </c>
      <c r="J1944" s="7"/>
      <c r="K1944" s="27" t="s">
        <v>2208</v>
      </c>
      <c r="L1944" s="7"/>
    </row>
    <row r="1945" spans="1:12" x14ac:dyDescent="0.2">
      <c r="A1945" s="7"/>
      <c r="B1945" s="7"/>
      <c r="C1945" s="7"/>
      <c r="D1945" s="7"/>
      <c r="E1945" s="7">
        <v>613947</v>
      </c>
      <c r="F1945" s="7"/>
      <c r="G1945" s="7" t="s">
        <v>1639</v>
      </c>
      <c r="H1945" s="7"/>
      <c r="I1945" s="27" t="s">
        <v>47</v>
      </c>
      <c r="J1945" s="7"/>
      <c r="K1945" s="27" t="s">
        <v>2208</v>
      </c>
      <c r="L1945" s="7"/>
    </row>
    <row r="1946" spans="1:12" x14ac:dyDescent="0.2">
      <c r="A1946" s="7"/>
      <c r="B1946" s="7"/>
      <c r="C1946" s="7"/>
      <c r="D1946" s="7"/>
      <c r="E1946" s="7">
        <v>613948</v>
      </c>
      <c r="F1946" s="7"/>
      <c r="G1946" s="7" t="s">
        <v>1640</v>
      </c>
      <c r="H1946" s="7"/>
      <c r="I1946" s="27" t="s">
        <v>47</v>
      </c>
      <c r="J1946" s="7"/>
      <c r="K1946" s="27" t="s">
        <v>2208</v>
      </c>
      <c r="L1946" s="7"/>
    </row>
    <row r="1947" spans="1:12" x14ac:dyDescent="0.2">
      <c r="A1947" s="7"/>
      <c r="B1947" s="7"/>
      <c r="C1947" s="7"/>
      <c r="D1947" s="7"/>
      <c r="E1947" s="7">
        <v>613949</v>
      </c>
      <c r="F1947" s="7"/>
      <c r="G1947" s="7" t="s">
        <v>1641</v>
      </c>
      <c r="H1947" s="7"/>
      <c r="I1947" s="27" t="s">
        <v>47</v>
      </c>
      <c r="J1947" s="7"/>
      <c r="K1947" s="27" t="s">
        <v>2208</v>
      </c>
      <c r="L1947" s="7"/>
    </row>
    <row r="1948" spans="1:12" x14ac:dyDescent="0.2">
      <c r="A1948" s="7"/>
      <c r="B1948" s="7"/>
      <c r="C1948" s="7"/>
      <c r="D1948" s="7"/>
      <c r="E1948" s="7">
        <v>613950</v>
      </c>
      <c r="F1948" s="7"/>
      <c r="G1948" s="7" t="s">
        <v>1642</v>
      </c>
      <c r="H1948" s="7"/>
      <c r="I1948" s="27" t="s">
        <v>47</v>
      </c>
      <c r="J1948" s="7"/>
      <c r="K1948" s="27" t="s">
        <v>2208</v>
      </c>
      <c r="L1948" s="7"/>
    </row>
    <row r="1949" spans="1:12" x14ac:dyDescent="0.2">
      <c r="A1949" s="7"/>
      <c r="B1949" s="7"/>
      <c r="C1949" s="7"/>
      <c r="D1949" s="7"/>
      <c r="E1949" s="7">
        <v>613951</v>
      </c>
      <c r="F1949" s="7"/>
      <c r="G1949" s="7" t="s">
        <v>1168</v>
      </c>
      <c r="H1949" s="7"/>
      <c r="I1949" s="27" t="s">
        <v>47</v>
      </c>
      <c r="J1949" s="7"/>
      <c r="K1949" s="27" t="s">
        <v>2208</v>
      </c>
      <c r="L1949" s="7"/>
    </row>
    <row r="1950" spans="1:12" x14ac:dyDescent="0.2">
      <c r="A1950" s="7"/>
      <c r="B1950" s="7"/>
      <c r="C1950" s="7"/>
      <c r="D1950" s="7"/>
      <c r="E1950" s="7">
        <v>613952</v>
      </c>
      <c r="F1950" s="7"/>
      <c r="G1950" s="7" t="s">
        <v>1169</v>
      </c>
      <c r="H1950" s="7"/>
      <c r="I1950" s="27" t="s">
        <v>47</v>
      </c>
      <c r="J1950" s="7"/>
      <c r="K1950" s="27" t="s">
        <v>2208</v>
      </c>
      <c r="L1950" s="7"/>
    </row>
    <row r="1951" spans="1:12" x14ac:dyDescent="0.2">
      <c r="A1951" s="7"/>
      <c r="B1951" s="7"/>
      <c r="C1951" s="7"/>
      <c r="D1951" s="7"/>
      <c r="E1951" s="7">
        <v>613953</v>
      </c>
      <c r="F1951" s="7"/>
      <c r="G1951" s="7" t="s">
        <v>1170</v>
      </c>
      <c r="H1951" s="7"/>
      <c r="I1951" s="27" t="s">
        <v>47</v>
      </c>
      <c r="J1951" s="7"/>
      <c r="K1951" s="27" t="s">
        <v>2208</v>
      </c>
      <c r="L1951" s="7"/>
    </row>
    <row r="1952" spans="1:12" x14ac:dyDescent="0.2">
      <c r="A1952" s="7"/>
      <c r="B1952" s="7"/>
      <c r="C1952" s="7"/>
      <c r="D1952" s="7"/>
      <c r="E1952" s="7">
        <v>613954</v>
      </c>
      <c r="F1952" s="7"/>
      <c r="G1952" s="7" t="s">
        <v>1171</v>
      </c>
      <c r="H1952" s="7"/>
      <c r="I1952" s="27" t="s">
        <v>133</v>
      </c>
      <c r="J1952" s="7"/>
      <c r="K1952" s="27" t="s">
        <v>2208</v>
      </c>
      <c r="L1952" s="7"/>
    </row>
    <row r="1953" spans="1:12" x14ac:dyDescent="0.2">
      <c r="A1953" s="7"/>
      <c r="B1953" s="7"/>
      <c r="C1953" s="7"/>
      <c r="D1953" s="7"/>
      <c r="E1953" s="7">
        <v>613955</v>
      </c>
      <c r="F1953" s="7"/>
      <c r="G1953" s="7" t="s">
        <v>1172</v>
      </c>
      <c r="H1953" s="7"/>
      <c r="I1953" s="27" t="s">
        <v>133</v>
      </c>
      <c r="J1953" s="7"/>
      <c r="K1953" s="27" t="s">
        <v>2208</v>
      </c>
      <c r="L1953" s="7"/>
    </row>
    <row r="1954" spans="1:12" x14ac:dyDescent="0.2">
      <c r="A1954" s="7"/>
      <c r="B1954" s="7"/>
      <c r="C1954" s="7"/>
      <c r="D1954" s="7"/>
      <c r="E1954" s="7">
        <v>613956</v>
      </c>
      <c r="F1954" s="7"/>
      <c r="G1954" s="7" t="s">
        <v>1173</v>
      </c>
      <c r="H1954" s="7"/>
      <c r="I1954" s="27" t="s">
        <v>133</v>
      </c>
      <c r="J1954" s="7"/>
      <c r="K1954" s="27" t="s">
        <v>2208</v>
      </c>
      <c r="L1954" s="7"/>
    </row>
    <row r="1955" spans="1:12" x14ac:dyDescent="0.2">
      <c r="A1955" s="7"/>
      <c r="B1955" s="7"/>
      <c r="C1955" s="7"/>
      <c r="D1955" s="7"/>
      <c r="E1955" s="7">
        <v>613957</v>
      </c>
      <c r="F1955" s="7"/>
      <c r="G1955" s="7" t="s">
        <v>1643</v>
      </c>
      <c r="H1955" s="7"/>
      <c r="I1955" s="27" t="s">
        <v>47</v>
      </c>
      <c r="J1955" s="7"/>
      <c r="K1955" s="27" t="s">
        <v>2208</v>
      </c>
      <c r="L1955" s="7"/>
    </row>
    <row r="1956" spans="1:12" x14ac:dyDescent="0.2">
      <c r="A1956" s="7"/>
      <c r="B1956" s="7"/>
      <c r="C1956" s="7"/>
      <c r="D1956" s="7"/>
      <c r="E1956" s="7">
        <v>613958</v>
      </c>
      <c r="F1956" s="7"/>
      <c r="G1956" s="7" t="s">
        <v>1644</v>
      </c>
      <c r="H1956" s="7"/>
      <c r="I1956" s="27" t="s">
        <v>133</v>
      </c>
      <c r="J1956" s="7"/>
      <c r="K1956" s="27" t="s">
        <v>2208</v>
      </c>
      <c r="L1956" s="7"/>
    </row>
    <row r="1957" spans="1:12" x14ac:dyDescent="0.2">
      <c r="A1957" s="7"/>
      <c r="B1957" s="7"/>
      <c r="C1957" s="7"/>
      <c r="D1957" s="7"/>
      <c r="E1957" s="7">
        <v>613959</v>
      </c>
      <c r="F1957" s="7"/>
      <c r="G1957" s="7" t="s">
        <v>1645</v>
      </c>
      <c r="H1957" s="7"/>
      <c r="I1957" s="27" t="s">
        <v>47</v>
      </c>
      <c r="J1957" s="7"/>
      <c r="K1957" s="27" t="s">
        <v>2208</v>
      </c>
      <c r="L1957" s="7"/>
    </row>
    <row r="1958" spans="1:12" x14ac:dyDescent="0.2">
      <c r="A1958" s="7"/>
      <c r="B1958" s="7"/>
      <c r="C1958" s="7"/>
      <c r="D1958" s="7"/>
      <c r="E1958" s="7">
        <v>613960</v>
      </c>
      <c r="F1958" s="7"/>
      <c r="G1958" s="7" t="s">
        <v>1646</v>
      </c>
      <c r="H1958" s="7"/>
      <c r="I1958" s="27" t="s">
        <v>47</v>
      </c>
      <c r="J1958" s="7"/>
      <c r="K1958" s="27" t="s">
        <v>2208</v>
      </c>
      <c r="L1958" s="7"/>
    </row>
    <row r="1959" spans="1:12" x14ac:dyDescent="0.2">
      <c r="A1959" s="7"/>
      <c r="B1959" s="7"/>
      <c r="C1959" s="7"/>
      <c r="D1959" s="7"/>
      <c r="E1959" s="7">
        <v>613961</v>
      </c>
      <c r="F1959" s="7"/>
      <c r="G1959" s="7" t="s">
        <v>1647</v>
      </c>
      <c r="H1959" s="7"/>
      <c r="I1959" s="27" t="s">
        <v>47</v>
      </c>
      <c r="J1959" s="7"/>
      <c r="K1959" s="27" t="s">
        <v>2208</v>
      </c>
      <c r="L1959" s="7"/>
    </row>
    <row r="1960" spans="1:12" x14ac:dyDescent="0.2">
      <c r="A1960" s="7"/>
      <c r="B1960" s="7"/>
      <c r="C1960" s="7"/>
      <c r="D1960" s="7"/>
      <c r="E1960" s="7">
        <v>613962</v>
      </c>
      <c r="F1960" s="7"/>
      <c r="G1960" s="7" t="s">
        <v>1648</v>
      </c>
      <c r="H1960" s="7"/>
      <c r="I1960" s="27" t="s">
        <v>71</v>
      </c>
      <c r="J1960" s="7"/>
      <c r="K1960" s="27" t="s">
        <v>2208</v>
      </c>
      <c r="L1960" s="7"/>
    </row>
    <row r="1961" spans="1:12" x14ac:dyDescent="0.2">
      <c r="A1961" s="7"/>
      <c r="B1961" s="7"/>
      <c r="C1961" s="7"/>
      <c r="D1961" s="7"/>
      <c r="E1961" s="7">
        <v>613963</v>
      </c>
      <c r="F1961" s="7"/>
      <c r="G1961" s="7" t="s">
        <v>1649</v>
      </c>
      <c r="H1961" s="7"/>
      <c r="I1961" s="27" t="s">
        <v>71</v>
      </c>
      <c r="J1961" s="7"/>
      <c r="K1961" s="27" t="s">
        <v>2208</v>
      </c>
      <c r="L1961" s="7"/>
    </row>
    <row r="1962" spans="1:12" x14ac:dyDescent="0.2">
      <c r="A1962" s="7"/>
      <c r="B1962" s="7"/>
      <c r="C1962" s="7"/>
      <c r="D1962" s="7"/>
      <c r="E1962" s="7">
        <v>613964</v>
      </c>
      <c r="F1962" s="7"/>
      <c r="G1962" s="7" t="s">
        <v>1650</v>
      </c>
      <c r="H1962" s="7"/>
      <c r="I1962" s="27" t="s">
        <v>71</v>
      </c>
      <c r="J1962" s="7"/>
      <c r="K1962" s="27" t="s">
        <v>2208</v>
      </c>
      <c r="L1962" s="7"/>
    </row>
    <row r="1963" spans="1:12" x14ac:dyDescent="0.2">
      <c r="A1963" s="7"/>
      <c r="B1963" s="7"/>
      <c r="C1963" s="7"/>
      <c r="D1963" s="7"/>
      <c r="E1963" s="7">
        <v>613965</v>
      </c>
      <c r="F1963" s="7"/>
      <c r="G1963" s="7" t="s">
        <v>1651</v>
      </c>
      <c r="H1963" s="7"/>
      <c r="I1963" s="27" t="s">
        <v>71</v>
      </c>
      <c r="J1963" s="7"/>
      <c r="K1963" s="27" t="s">
        <v>2208</v>
      </c>
      <c r="L1963" s="7"/>
    </row>
    <row r="1964" spans="1:12" x14ac:dyDescent="0.2">
      <c r="A1964" s="7"/>
      <c r="B1964" s="7"/>
      <c r="C1964" s="7"/>
      <c r="D1964" s="7"/>
      <c r="E1964" s="7">
        <v>613966</v>
      </c>
      <c r="F1964" s="7"/>
      <c r="G1964" s="7" t="s">
        <v>1652</v>
      </c>
      <c r="H1964" s="7"/>
      <c r="I1964" s="27" t="s">
        <v>133</v>
      </c>
      <c r="J1964" s="7"/>
      <c r="K1964" s="27" t="s">
        <v>2208</v>
      </c>
      <c r="L1964" s="7"/>
    </row>
    <row r="1965" spans="1:12" x14ac:dyDescent="0.2">
      <c r="A1965" s="7"/>
      <c r="B1965" s="7"/>
      <c r="C1965" s="7"/>
      <c r="D1965" s="7"/>
      <c r="E1965" s="7">
        <v>613967</v>
      </c>
      <c r="F1965" s="7"/>
      <c r="G1965" s="7" t="s">
        <v>1653</v>
      </c>
      <c r="H1965" s="7"/>
      <c r="I1965" s="27" t="s">
        <v>133</v>
      </c>
      <c r="J1965" s="7"/>
      <c r="K1965" s="27" t="s">
        <v>2208</v>
      </c>
      <c r="L1965" s="7"/>
    </row>
    <row r="1966" spans="1:12" x14ac:dyDescent="0.2">
      <c r="A1966" s="7"/>
      <c r="B1966" s="7"/>
      <c r="C1966" s="7"/>
      <c r="D1966" s="7"/>
      <c r="E1966" s="7">
        <v>613968</v>
      </c>
      <c r="F1966" s="7"/>
      <c r="G1966" s="7" t="s">
        <v>1654</v>
      </c>
      <c r="H1966" s="7"/>
      <c r="I1966" s="27" t="s">
        <v>71</v>
      </c>
      <c r="J1966" s="7"/>
      <c r="K1966" s="27" t="s">
        <v>2208</v>
      </c>
      <c r="L1966" s="7"/>
    </row>
    <row r="1967" spans="1:12" x14ac:dyDescent="0.2">
      <c r="A1967" s="7"/>
      <c r="B1967" s="7"/>
      <c r="C1967" s="7"/>
      <c r="D1967" s="7"/>
      <c r="E1967" s="7">
        <v>613969</v>
      </c>
      <c r="F1967" s="7"/>
      <c r="G1967" s="7" t="s">
        <v>1655</v>
      </c>
      <c r="H1967" s="7"/>
      <c r="I1967" s="27" t="s">
        <v>133</v>
      </c>
      <c r="J1967" s="7"/>
      <c r="K1967" s="27" t="s">
        <v>2208</v>
      </c>
      <c r="L1967" s="7"/>
    </row>
    <row r="1968" spans="1:12" x14ac:dyDescent="0.2">
      <c r="A1968" s="7"/>
      <c r="B1968" s="7"/>
      <c r="C1968" s="7"/>
      <c r="D1968" s="7"/>
      <c r="E1968" s="7">
        <v>613970</v>
      </c>
      <c r="F1968" s="7"/>
      <c r="G1968" s="7" t="s">
        <v>1656</v>
      </c>
      <c r="H1968" s="7"/>
      <c r="I1968" s="27" t="s">
        <v>71</v>
      </c>
      <c r="J1968" s="7"/>
      <c r="K1968" s="27" t="s">
        <v>2208</v>
      </c>
      <c r="L1968" s="7"/>
    </row>
    <row r="1969" spans="1:12" x14ac:dyDescent="0.2">
      <c r="A1969" s="7"/>
      <c r="B1969" s="7"/>
      <c r="C1969" s="7"/>
      <c r="D1969" s="7"/>
      <c r="E1969" s="7">
        <v>613998</v>
      </c>
      <c r="F1969" s="7"/>
      <c r="G1969" s="7" t="s">
        <v>1657</v>
      </c>
      <c r="H1969" s="7"/>
      <c r="I1969" s="27" t="s">
        <v>133</v>
      </c>
      <c r="J1969" s="7"/>
      <c r="K1969" s="27" t="s">
        <v>2208</v>
      </c>
      <c r="L1969" s="7"/>
    </row>
    <row r="1970" spans="1:12" x14ac:dyDescent="0.2">
      <c r="A1970" s="7"/>
      <c r="B1970" s="7"/>
      <c r="C1970" s="7"/>
      <c r="D1970" s="7"/>
      <c r="E1970" s="7">
        <v>613999</v>
      </c>
      <c r="F1970" s="7"/>
      <c r="G1970" s="7" t="s">
        <v>1658</v>
      </c>
      <c r="H1970" s="7"/>
      <c r="I1970" s="27" t="s">
        <v>71</v>
      </c>
      <c r="J1970" s="7"/>
      <c r="K1970" s="27" t="s">
        <v>2208</v>
      </c>
      <c r="L1970" s="7"/>
    </row>
    <row r="1971" spans="1:12" x14ac:dyDescent="0.2">
      <c r="A1971" s="7"/>
      <c r="B1971" s="7"/>
      <c r="C1971" s="7"/>
      <c r="D1971" s="7"/>
      <c r="E1971" s="7">
        <v>614003</v>
      </c>
      <c r="F1971" s="7"/>
      <c r="G1971" s="7" t="s">
        <v>1659</v>
      </c>
      <c r="H1971" s="7"/>
      <c r="I1971" s="27" t="s">
        <v>133</v>
      </c>
      <c r="J1971" s="7"/>
      <c r="K1971" s="27" t="s">
        <v>2208</v>
      </c>
      <c r="L1971" s="7"/>
    </row>
    <row r="1972" spans="1:12" x14ac:dyDescent="0.2">
      <c r="A1972" s="7"/>
      <c r="B1972" s="7"/>
      <c r="C1972" s="7"/>
      <c r="D1972" s="7"/>
      <c r="E1972" s="7">
        <v>614055</v>
      </c>
      <c r="F1972" s="7"/>
      <c r="G1972" s="7" t="s">
        <v>1660</v>
      </c>
      <c r="H1972" s="7"/>
      <c r="I1972" s="27" t="s">
        <v>133</v>
      </c>
      <c r="J1972" s="7"/>
      <c r="K1972" s="27" t="s">
        <v>2208</v>
      </c>
      <c r="L1972" s="7"/>
    </row>
    <row r="1973" spans="1:12" x14ac:dyDescent="0.2">
      <c r="A1973" s="7"/>
      <c r="B1973" s="7"/>
      <c r="C1973" s="7"/>
      <c r="D1973" s="7"/>
      <c r="E1973" s="7">
        <v>614075</v>
      </c>
      <c r="F1973" s="7"/>
      <c r="G1973" s="7" t="s">
        <v>1661</v>
      </c>
      <c r="H1973" s="7"/>
      <c r="I1973" s="27" t="s">
        <v>133</v>
      </c>
      <c r="J1973" s="7"/>
      <c r="K1973" s="27" t="s">
        <v>2208</v>
      </c>
      <c r="L1973" s="7"/>
    </row>
    <row r="1974" spans="1:12" x14ac:dyDescent="0.2">
      <c r="A1974" s="7"/>
      <c r="B1974" s="7"/>
      <c r="C1974" s="7"/>
      <c r="D1974" s="7"/>
      <c r="E1974" s="7">
        <v>614085</v>
      </c>
      <c r="F1974" s="7"/>
      <c r="G1974" s="7" t="s">
        <v>1662</v>
      </c>
      <c r="H1974" s="7"/>
      <c r="I1974" s="27" t="s">
        <v>133</v>
      </c>
      <c r="J1974" s="7"/>
      <c r="K1974" s="27" t="s">
        <v>2208</v>
      </c>
      <c r="L1974" s="7"/>
    </row>
    <row r="1975" spans="1:12" x14ac:dyDescent="0.2">
      <c r="A1975" s="7"/>
      <c r="B1975" s="7"/>
      <c r="C1975" s="7"/>
      <c r="D1975" s="7"/>
      <c r="E1975" s="7">
        <v>614105</v>
      </c>
      <c r="F1975" s="7"/>
      <c r="G1975" s="7" t="s">
        <v>1663</v>
      </c>
      <c r="H1975" s="7"/>
      <c r="I1975" s="27" t="s">
        <v>133</v>
      </c>
      <c r="J1975" s="7"/>
      <c r="K1975" s="27" t="s">
        <v>2208</v>
      </c>
      <c r="L1975" s="7"/>
    </row>
    <row r="1976" spans="1:12" x14ac:dyDescent="0.2">
      <c r="A1976" s="7"/>
      <c r="B1976" s="7"/>
      <c r="C1976" s="7"/>
      <c r="D1976" s="7"/>
      <c r="E1976" s="7">
        <v>614115</v>
      </c>
      <c r="F1976" s="7"/>
      <c r="G1976" s="7" t="s">
        <v>1664</v>
      </c>
      <c r="H1976" s="7"/>
      <c r="I1976" s="27" t="s">
        <v>133</v>
      </c>
      <c r="J1976" s="7"/>
      <c r="K1976" s="27" t="s">
        <v>2208</v>
      </c>
      <c r="L1976" s="7"/>
    </row>
    <row r="1977" spans="1:12" x14ac:dyDescent="0.2">
      <c r="A1977" s="7"/>
      <c r="B1977" s="7"/>
      <c r="C1977" s="7"/>
      <c r="D1977" s="7"/>
      <c r="E1977" s="7">
        <v>614125</v>
      </c>
      <c r="F1977" s="7"/>
      <c r="G1977" s="7" t="s">
        <v>1665</v>
      </c>
      <c r="H1977" s="7"/>
      <c r="I1977" s="27" t="s">
        <v>133</v>
      </c>
      <c r="J1977" s="7"/>
      <c r="K1977" s="27" t="s">
        <v>2208</v>
      </c>
      <c r="L1977" s="7"/>
    </row>
    <row r="1978" spans="1:12" x14ac:dyDescent="0.2">
      <c r="A1978" s="7"/>
      <c r="B1978" s="7"/>
      <c r="C1978" s="7"/>
      <c r="D1978" s="7"/>
      <c r="E1978" s="7">
        <v>614130</v>
      </c>
      <c r="F1978" s="7"/>
      <c r="G1978" s="7" t="s">
        <v>1666</v>
      </c>
      <c r="H1978" s="7"/>
      <c r="I1978" s="27" t="s">
        <v>133</v>
      </c>
      <c r="J1978" s="7"/>
      <c r="K1978" s="27" t="s">
        <v>2208</v>
      </c>
      <c r="L1978" s="7"/>
    </row>
    <row r="1979" spans="1:12" x14ac:dyDescent="0.2">
      <c r="A1979" s="7"/>
      <c r="B1979" s="7"/>
      <c r="C1979" s="7"/>
      <c r="D1979" s="7"/>
      <c r="E1979" s="7">
        <v>614131</v>
      </c>
      <c r="F1979" s="7"/>
      <c r="G1979" s="7" t="s">
        <v>482</v>
      </c>
      <c r="H1979" s="7"/>
      <c r="I1979" s="27" t="s">
        <v>133</v>
      </c>
      <c r="J1979" s="7"/>
      <c r="K1979" s="27" t="s">
        <v>2208</v>
      </c>
      <c r="L1979" s="7"/>
    </row>
    <row r="1980" spans="1:12" x14ac:dyDescent="0.2">
      <c r="A1980" s="7"/>
      <c r="B1980" s="7"/>
      <c r="C1980" s="7"/>
      <c r="D1980" s="7"/>
      <c r="E1980" s="7">
        <v>614132</v>
      </c>
      <c r="F1980" s="7"/>
      <c r="G1980" s="7" t="s">
        <v>482</v>
      </c>
      <c r="H1980" s="7"/>
      <c r="I1980" s="27" t="s">
        <v>133</v>
      </c>
      <c r="J1980" s="7"/>
      <c r="K1980" s="27" t="s">
        <v>2208</v>
      </c>
      <c r="L1980" s="7"/>
    </row>
    <row r="1981" spans="1:12" x14ac:dyDescent="0.2">
      <c r="A1981" s="7"/>
      <c r="B1981" s="7"/>
      <c r="C1981" s="7"/>
      <c r="D1981" s="7"/>
      <c r="E1981" s="7">
        <v>614133</v>
      </c>
      <c r="F1981" s="7"/>
      <c r="G1981" s="7" t="s">
        <v>483</v>
      </c>
      <c r="H1981" s="7"/>
      <c r="I1981" s="27" t="s">
        <v>133</v>
      </c>
      <c r="J1981" s="7"/>
      <c r="K1981" s="27" t="s">
        <v>2208</v>
      </c>
      <c r="L1981" s="7"/>
    </row>
    <row r="1982" spans="1:12" x14ac:dyDescent="0.2">
      <c r="A1982" s="7"/>
      <c r="B1982" s="7"/>
      <c r="C1982" s="7"/>
      <c r="D1982" s="7"/>
      <c r="E1982" s="7">
        <v>614134</v>
      </c>
      <c r="F1982" s="7"/>
      <c r="G1982" s="7" t="s">
        <v>1667</v>
      </c>
      <c r="H1982" s="7"/>
      <c r="I1982" s="27" t="s">
        <v>133</v>
      </c>
      <c r="J1982" s="7"/>
      <c r="K1982" s="27" t="s">
        <v>2208</v>
      </c>
      <c r="L1982" s="7"/>
    </row>
    <row r="1983" spans="1:12" x14ac:dyDescent="0.2">
      <c r="A1983" s="7"/>
      <c r="B1983" s="7"/>
      <c r="C1983" s="7"/>
      <c r="D1983" s="7"/>
      <c r="E1983" s="7">
        <v>614135</v>
      </c>
      <c r="F1983" s="7"/>
      <c r="G1983" s="7" t="s">
        <v>1668</v>
      </c>
      <c r="H1983" s="7"/>
      <c r="I1983" s="27" t="s">
        <v>133</v>
      </c>
      <c r="J1983" s="7"/>
      <c r="K1983" s="27" t="s">
        <v>2208</v>
      </c>
      <c r="L1983" s="7"/>
    </row>
    <row r="1984" spans="1:12" x14ac:dyDescent="0.2">
      <c r="A1984" s="7"/>
      <c r="B1984" s="7"/>
      <c r="C1984" s="7"/>
      <c r="D1984" s="7"/>
      <c r="E1984" s="7">
        <v>614136</v>
      </c>
      <c r="F1984" s="7"/>
      <c r="G1984" s="7" t="s">
        <v>484</v>
      </c>
      <c r="H1984" s="7"/>
      <c r="I1984" s="27" t="s">
        <v>133</v>
      </c>
      <c r="J1984" s="7"/>
      <c r="K1984" s="27" t="s">
        <v>2208</v>
      </c>
      <c r="L1984" s="7"/>
    </row>
    <row r="1985" spans="1:12" x14ac:dyDescent="0.2">
      <c r="A1985" s="7"/>
      <c r="B1985" s="7"/>
      <c r="C1985" s="7"/>
      <c r="D1985" s="7"/>
      <c r="E1985" s="7">
        <v>614147</v>
      </c>
      <c r="F1985" s="7"/>
      <c r="G1985" s="7" t="s">
        <v>1669</v>
      </c>
      <c r="H1985" s="7"/>
      <c r="I1985" s="27" t="s">
        <v>133</v>
      </c>
      <c r="J1985" s="7"/>
      <c r="K1985" s="27" t="s">
        <v>2208</v>
      </c>
      <c r="L1985" s="7"/>
    </row>
    <row r="1986" spans="1:12" x14ac:dyDescent="0.2">
      <c r="A1986" s="7"/>
      <c r="B1986" s="7"/>
      <c r="C1986" s="7"/>
      <c r="D1986" s="7"/>
      <c r="E1986" s="7">
        <v>614148</v>
      </c>
      <c r="F1986" s="7"/>
      <c r="G1986" s="7" t="s">
        <v>1670</v>
      </c>
      <c r="H1986" s="7"/>
      <c r="I1986" s="27" t="s">
        <v>133</v>
      </c>
      <c r="J1986" s="7"/>
      <c r="K1986" s="27" t="s">
        <v>2208</v>
      </c>
      <c r="L1986" s="7"/>
    </row>
    <row r="1987" spans="1:12" x14ac:dyDescent="0.2">
      <c r="A1987" s="7"/>
      <c r="B1987" s="7"/>
      <c r="C1987" s="7"/>
      <c r="D1987" s="7"/>
      <c r="E1987" s="7">
        <v>614155</v>
      </c>
      <c r="F1987" s="7"/>
      <c r="G1987" s="7" t="s">
        <v>1671</v>
      </c>
      <c r="H1987" s="7"/>
      <c r="I1987" s="27" t="s">
        <v>133</v>
      </c>
      <c r="J1987" s="7"/>
      <c r="K1987" s="27" t="s">
        <v>2208</v>
      </c>
      <c r="L1987" s="7"/>
    </row>
    <row r="1988" spans="1:12" x14ac:dyDescent="0.2">
      <c r="A1988" s="7"/>
      <c r="B1988" s="7"/>
      <c r="C1988" s="7"/>
      <c r="D1988" s="7"/>
      <c r="E1988" s="7">
        <v>614156</v>
      </c>
      <c r="F1988" s="7"/>
      <c r="G1988" s="7" t="s">
        <v>1672</v>
      </c>
      <c r="H1988" s="7"/>
      <c r="I1988" s="27" t="s">
        <v>133</v>
      </c>
      <c r="J1988" s="7"/>
      <c r="K1988" s="27" t="s">
        <v>2208</v>
      </c>
      <c r="L1988" s="7"/>
    </row>
    <row r="1989" spans="1:12" x14ac:dyDescent="0.2">
      <c r="A1989" s="7"/>
      <c r="B1989" s="7"/>
      <c r="C1989" s="7"/>
      <c r="D1989" s="7"/>
      <c r="E1989" s="7">
        <v>614157</v>
      </c>
      <c r="F1989" s="7"/>
      <c r="G1989" s="7" t="s">
        <v>1673</v>
      </c>
      <c r="H1989" s="7"/>
      <c r="I1989" s="27" t="s">
        <v>133</v>
      </c>
      <c r="J1989" s="7"/>
      <c r="K1989" s="27" t="s">
        <v>2208</v>
      </c>
      <c r="L1989" s="7"/>
    </row>
    <row r="1990" spans="1:12" x14ac:dyDescent="0.2">
      <c r="A1990" s="7"/>
      <c r="B1990" s="7"/>
      <c r="C1990" s="7"/>
      <c r="D1990" s="7"/>
      <c r="E1990" s="7">
        <v>614158</v>
      </c>
      <c r="F1990" s="7"/>
      <c r="G1990" s="7" t="s">
        <v>1674</v>
      </c>
      <c r="H1990" s="7"/>
      <c r="I1990" s="27" t="s">
        <v>133</v>
      </c>
      <c r="J1990" s="7"/>
      <c r="K1990" s="27" t="s">
        <v>2208</v>
      </c>
      <c r="L1990" s="7"/>
    </row>
    <row r="1991" spans="1:12" x14ac:dyDescent="0.2">
      <c r="A1991" s="7"/>
      <c r="B1991" s="7"/>
      <c r="C1991" s="7"/>
      <c r="D1991" s="7"/>
      <c r="E1991" s="7">
        <v>614159</v>
      </c>
      <c r="F1991" s="7"/>
      <c r="G1991" s="7" t="s">
        <v>1675</v>
      </c>
      <c r="H1991" s="7"/>
      <c r="I1991" s="27" t="s">
        <v>133</v>
      </c>
      <c r="J1991" s="7"/>
      <c r="K1991" s="27" t="s">
        <v>2208</v>
      </c>
      <c r="L1991" s="7"/>
    </row>
    <row r="1992" spans="1:12" x14ac:dyDescent="0.2">
      <c r="A1992" s="7"/>
      <c r="B1992" s="7"/>
      <c r="C1992" s="7"/>
      <c r="D1992" s="7"/>
      <c r="E1992" s="7">
        <v>614161</v>
      </c>
      <c r="F1992" s="7"/>
      <c r="G1992" s="7" t="s">
        <v>1676</v>
      </c>
      <c r="H1992" s="7"/>
      <c r="I1992" s="27" t="s">
        <v>133</v>
      </c>
      <c r="J1992" s="7"/>
      <c r="K1992" s="27" t="s">
        <v>2208</v>
      </c>
      <c r="L1992" s="7"/>
    </row>
    <row r="1993" spans="1:12" x14ac:dyDescent="0.2">
      <c r="A1993" s="7"/>
      <c r="B1993" s="7"/>
      <c r="C1993" s="7"/>
      <c r="D1993" s="7"/>
      <c r="E1993" s="7">
        <v>614162</v>
      </c>
      <c r="F1993" s="7"/>
      <c r="G1993" s="7" t="s">
        <v>1677</v>
      </c>
      <c r="H1993" s="7"/>
      <c r="I1993" s="27" t="s">
        <v>133</v>
      </c>
      <c r="J1993" s="7"/>
      <c r="K1993" s="27" t="s">
        <v>2208</v>
      </c>
      <c r="L1993" s="7"/>
    </row>
    <row r="1994" spans="1:12" x14ac:dyDescent="0.2">
      <c r="A1994" s="7"/>
      <c r="B1994" s="7"/>
      <c r="C1994" s="7"/>
      <c r="D1994" s="7"/>
      <c r="E1994" s="7">
        <v>614163</v>
      </c>
      <c r="F1994" s="7"/>
      <c r="G1994" s="7" t="s">
        <v>1678</v>
      </c>
      <c r="H1994" s="7"/>
      <c r="I1994" s="27" t="s">
        <v>133</v>
      </c>
      <c r="J1994" s="7"/>
      <c r="K1994" s="27" t="s">
        <v>2208</v>
      </c>
      <c r="L1994" s="7"/>
    </row>
    <row r="1995" spans="1:12" x14ac:dyDescent="0.2">
      <c r="A1995" s="7"/>
      <c r="B1995" s="7"/>
      <c r="C1995" s="7"/>
      <c r="D1995" s="7"/>
      <c r="E1995" s="7">
        <v>614164</v>
      </c>
      <c r="F1995" s="7"/>
      <c r="G1995" s="7" t="s">
        <v>1679</v>
      </c>
      <c r="H1995" s="7"/>
      <c r="I1995" s="27" t="s">
        <v>133</v>
      </c>
      <c r="J1995" s="7"/>
      <c r="K1995" s="27" t="s">
        <v>2208</v>
      </c>
      <c r="L1995" s="7"/>
    </row>
    <row r="1996" spans="1:12" x14ac:dyDescent="0.2">
      <c r="A1996" s="7"/>
      <c r="B1996" s="7"/>
      <c r="C1996" s="7"/>
      <c r="D1996" s="7"/>
      <c r="E1996" s="7">
        <v>614165</v>
      </c>
      <c r="F1996" s="7"/>
      <c r="G1996" s="7" t="s">
        <v>1680</v>
      </c>
      <c r="H1996" s="7"/>
      <c r="I1996" s="27" t="s">
        <v>133</v>
      </c>
      <c r="J1996" s="7"/>
      <c r="K1996" s="27" t="s">
        <v>2208</v>
      </c>
      <c r="L1996" s="7"/>
    </row>
    <row r="1997" spans="1:12" x14ac:dyDescent="0.2">
      <c r="A1997" s="7"/>
      <c r="B1997" s="7"/>
      <c r="C1997" s="7"/>
      <c r="D1997" s="7"/>
      <c r="E1997" s="7">
        <v>614166</v>
      </c>
      <c r="F1997" s="7"/>
      <c r="G1997" s="7" t="s">
        <v>1681</v>
      </c>
      <c r="H1997" s="7"/>
      <c r="I1997" s="27" t="s">
        <v>133</v>
      </c>
      <c r="J1997" s="7"/>
      <c r="K1997" s="27" t="s">
        <v>2208</v>
      </c>
      <c r="L1997" s="7"/>
    </row>
    <row r="1998" spans="1:12" x14ac:dyDescent="0.2">
      <c r="A1998" s="7"/>
      <c r="B1998" s="7"/>
      <c r="C1998" s="7"/>
      <c r="D1998" s="7"/>
      <c r="E1998" s="7">
        <v>614167</v>
      </c>
      <c r="F1998" s="7"/>
      <c r="G1998" s="7" t="s">
        <v>1682</v>
      </c>
      <c r="H1998" s="7"/>
      <c r="I1998" s="27" t="s">
        <v>133</v>
      </c>
      <c r="J1998" s="7"/>
      <c r="K1998" s="27" t="s">
        <v>2208</v>
      </c>
      <c r="L1998" s="7"/>
    </row>
    <row r="1999" spans="1:12" x14ac:dyDescent="0.2">
      <c r="A1999" s="7"/>
      <c r="B1999" s="7"/>
      <c r="C1999" s="7"/>
      <c r="D1999" s="7"/>
      <c r="E1999" s="7">
        <v>614168</v>
      </c>
      <c r="F1999" s="7"/>
      <c r="G1999" s="7" t="s">
        <v>1683</v>
      </c>
      <c r="H1999" s="7"/>
      <c r="I1999" s="27" t="s">
        <v>133</v>
      </c>
      <c r="J1999" s="7"/>
      <c r="K1999" s="27" t="s">
        <v>2208</v>
      </c>
      <c r="L1999" s="7"/>
    </row>
    <row r="2000" spans="1:12" x14ac:dyDescent="0.2">
      <c r="A2000" s="7"/>
      <c r="B2000" s="7"/>
      <c r="C2000" s="7"/>
      <c r="D2000" s="7"/>
      <c r="E2000" s="7">
        <v>614169</v>
      </c>
      <c r="F2000" s="7"/>
      <c r="G2000" s="7" t="s">
        <v>1684</v>
      </c>
      <c r="H2000" s="7"/>
      <c r="I2000" s="27" t="s">
        <v>133</v>
      </c>
      <c r="J2000" s="7"/>
      <c r="K2000" s="27" t="s">
        <v>2208</v>
      </c>
      <c r="L2000" s="7"/>
    </row>
    <row r="2001" spans="1:12" x14ac:dyDescent="0.2">
      <c r="A2001" s="7"/>
      <c r="B2001" s="7"/>
      <c r="C2001" s="7"/>
      <c r="D2001" s="7"/>
      <c r="E2001" s="7">
        <v>614171</v>
      </c>
      <c r="F2001" s="7"/>
      <c r="G2001" s="7" t="s">
        <v>1685</v>
      </c>
      <c r="H2001" s="7"/>
      <c r="I2001" s="27" t="s">
        <v>133</v>
      </c>
      <c r="J2001" s="7"/>
      <c r="K2001" s="27" t="s">
        <v>2208</v>
      </c>
      <c r="L2001" s="7"/>
    </row>
    <row r="2002" spans="1:12" x14ac:dyDescent="0.2">
      <c r="A2002" s="7"/>
      <c r="B2002" s="7"/>
      <c r="C2002" s="7"/>
      <c r="D2002" s="7"/>
      <c r="E2002" s="7">
        <v>614175</v>
      </c>
      <c r="F2002" s="7"/>
      <c r="G2002" s="7" t="s">
        <v>1686</v>
      </c>
      <c r="H2002" s="7"/>
      <c r="I2002" s="27" t="s">
        <v>133</v>
      </c>
      <c r="J2002" s="7"/>
      <c r="K2002" s="27" t="s">
        <v>2208</v>
      </c>
      <c r="L2002" s="7"/>
    </row>
    <row r="2003" spans="1:12" x14ac:dyDescent="0.2">
      <c r="A2003" s="7"/>
      <c r="B2003" s="7"/>
      <c r="C2003" s="7"/>
      <c r="D2003" s="7"/>
      <c r="E2003" s="7">
        <v>614208</v>
      </c>
      <c r="F2003" s="7"/>
      <c r="G2003" s="7" t="s">
        <v>1687</v>
      </c>
      <c r="H2003" s="7"/>
      <c r="I2003" s="27" t="s">
        <v>133</v>
      </c>
      <c r="J2003" s="7"/>
      <c r="K2003" s="27" t="s">
        <v>2208</v>
      </c>
      <c r="L2003" s="7"/>
    </row>
    <row r="2004" spans="1:12" x14ac:dyDescent="0.2">
      <c r="A2004" s="7"/>
      <c r="B2004" s="7"/>
      <c r="C2004" s="7"/>
      <c r="D2004" s="7"/>
      <c r="E2004" s="7">
        <v>614210</v>
      </c>
      <c r="F2004" s="7"/>
      <c r="G2004" s="7" t="s">
        <v>1688</v>
      </c>
      <c r="H2004" s="7"/>
      <c r="I2004" s="27" t="s">
        <v>133</v>
      </c>
      <c r="J2004" s="7"/>
      <c r="K2004" s="27" t="s">
        <v>2208</v>
      </c>
      <c r="L2004" s="7"/>
    </row>
    <row r="2005" spans="1:12" x14ac:dyDescent="0.2">
      <c r="A2005" s="7"/>
      <c r="B2005" s="7"/>
      <c r="C2005" s="7"/>
      <c r="D2005" s="7"/>
      <c r="E2005" s="7">
        <v>614211</v>
      </c>
      <c r="F2005" s="7"/>
      <c r="G2005" s="7" t="s">
        <v>1689</v>
      </c>
      <c r="H2005" s="7"/>
      <c r="I2005" s="27" t="s">
        <v>133</v>
      </c>
      <c r="J2005" s="7"/>
      <c r="K2005" s="27" t="s">
        <v>2208</v>
      </c>
      <c r="L2005" s="7"/>
    </row>
    <row r="2006" spans="1:12" x14ac:dyDescent="0.2">
      <c r="A2006" s="7"/>
      <c r="B2006" s="7"/>
      <c r="C2006" s="7"/>
      <c r="D2006" s="7"/>
      <c r="E2006" s="7">
        <v>614212</v>
      </c>
      <c r="F2006" s="7"/>
      <c r="G2006" s="7" t="s">
        <v>1690</v>
      </c>
      <c r="H2006" s="7"/>
      <c r="I2006" s="27" t="s">
        <v>133</v>
      </c>
      <c r="J2006" s="7"/>
      <c r="K2006" s="27" t="s">
        <v>2208</v>
      </c>
      <c r="L2006" s="7"/>
    </row>
    <row r="2007" spans="1:12" x14ac:dyDescent="0.2">
      <c r="A2007" s="7"/>
      <c r="B2007" s="7"/>
      <c r="C2007" s="7"/>
      <c r="D2007" s="7"/>
      <c r="E2007" s="7">
        <v>614213</v>
      </c>
      <c r="F2007" s="7"/>
      <c r="G2007" s="7" t="s">
        <v>1691</v>
      </c>
      <c r="H2007" s="7"/>
      <c r="I2007" s="27" t="s">
        <v>133</v>
      </c>
      <c r="J2007" s="7"/>
      <c r="K2007" s="27" t="s">
        <v>2208</v>
      </c>
      <c r="L2007" s="7"/>
    </row>
    <row r="2008" spans="1:12" x14ac:dyDescent="0.2">
      <c r="A2008" s="7"/>
      <c r="B2008" s="7"/>
      <c r="C2008" s="7"/>
      <c r="D2008" s="7"/>
      <c r="E2008" s="7">
        <v>614214</v>
      </c>
      <c r="F2008" s="7"/>
      <c r="G2008" s="7" t="s">
        <v>1692</v>
      </c>
      <c r="H2008" s="7"/>
      <c r="I2008" s="27" t="s">
        <v>133</v>
      </c>
      <c r="J2008" s="7"/>
      <c r="K2008" s="27" t="s">
        <v>2208</v>
      </c>
      <c r="L2008" s="7"/>
    </row>
    <row r="2009" spans="1:12" x14ac:dyDescent="0.2">
      <c r="A2009" s="7"/>
      <c r="B2009" s="7"/>
      <c r="C2009" s="7"/>
      <c r="D2009" s="7"/>
      <c r="E2009" s="7">
        <v>614215</v>
      </c>
      <c r="F2009" s="7"/>
      <c r="G2009" s="7" t="s">
        <v>1693</v>
      </c>
      <c r="H2009" s="7"/>
      <c r="I2009" s="27" t="s">
        <v>133</v>
      </c>
      <c r="J2009" s="7"/>
      <c r="K2009" s="27" t="s">
        <v>2208</v>
      </c>
      <c r="L2009" s="7"/>
    </row>
    <row r="2010" spans="1:12" x14ac:dyDescent="0.2">
      <c r="A2010" s="7"/>
      <c r="B2010" s="7"/>
      <c r="C2010" s="7"/>
      <c r="D2010" s="7"/>
      <c r="E2010" s="7">
        <v>614216</v>
      </c>
      <c r="F2010" s="7"/>
      <c r="G2010" s="7" t="s">
        <v>1694</v>
      </c>
      <c r="H2010" s="7"/>
      <c r="I2010" s="27" t="s">
        <v>133</v>
      </c>
      <c r="J2010" s="7"/>
      <c r="K2010" s="27" t="s">
        <v>2208</v>
      </c>
      <c r="L2010" s="7"/>
    </row>
    <row r="2011" spans="1:12" x14ac:dyDescent="0.2">
      <c r="A2011" s="7"/>
      <c r="B2011" s="7"/>
      <c r="C2011" s="7"/>
      <c r="D2011" s="7"/>
      <c r="E2011" s="7">
        <v>614217</v>
      </c>
      <c r="F2011" s="7"/>
      <c r="G2011" s="7" t="s">
        <v>1695</v>
      </c>
      <c r="H2011" s="7"/>
      <c r="I2011" s="27" t="s">
        <v>133</v>
      </c>
      <c r="J2011" s="7"/>
      <c r="K2011" s="27" t="s">
        <v>2208</v>
      </c>
      <c r="L2011" s="7"/>
    </row>
    <row r="2012" spans="1:12" x14ac:dyDescent="0.2">
      <c r="A2012" s="7"/>
      <c r="B2012" s="7"/>
      <c r="C2012" s="7"/>
      <c r="D2012" s="7"/>
      <c r="E2012" s="7">
        <v>614220</v>
      </c>
      <c r="F2012" s="7"/>
      <c r="G2012" s="7" t="s">
        <v>1696</v>
      </c>
      <c r="H2012" s="7"/>
      <c r="I2012" s="27" t="s">
        <v>133</v>
      </c>
      <c r="J2012" s="7"/>
      <c r="K2012" s="27" t="s">
        <v>2208</v>
      </c>
      <c r="L2012" s="7"/>
    </row>
    <row r="2013" spans="1:12" x14ac:dyDescent="0.2">
      <c r="A2013" s="7"/>
      <c r="B2013" s="7"/>
      <c r="C2013" s="7"/>
      <c r="D2013" s="7"/>
      <c r="E2013" s="7">
        <v>614221</v>
      </c>
      <c r="F2013" s="7"/>
      <c r="G2013" s="7" t="s">
        <v>1697</v>
      </c>
      <c r="H2013" s="7"/>
      <c r="I2013" s="27" t="s">
        <v>133</v>
      </c>
      <c r="J2013" s="7"/>
      <c r="K2013" s="27" t="s">
        <v>2208</v>
      </c>
      <c r="L2013" s="7"/>
    </row>
    <row r="2014" spans="1:12" x14ac:dyDescent="0.2">
      <c r="A2014" s="7"/>
      <c r="B2014" s="7"/>
      <c r="C2014" s="7"/>
      <c r="D2014" s="7"/>
      <c r="E2014" s="7">
        <v>614222</v>
      </c>
      <c r="F2014" s="7"/>
      <c r="G2014" s="7" t="s">
        <v>1698</v>
      </c>
      <c r="H2014" s="7"/>
      <c r="I2014" s="27" t="s">
        <v>133</v>
      </c>
      <c r="J2014" s="7"/>
      <c r="K2014" s="27" t="s">
        <v>2208</v>
      </c>
      <c r="L2014" s="7"/>
    </row>
    <row r="2015" spans="1:12" x14ac:dyDescent="0.2">
      <c r="A2015" s="7"/>
      <c r="B2015" s="7"/>
      <c r="C2015" s="7"/>
      <c r="D2015" s="7"/>
      <c r="E2015" s="7">
        <v>614223</v>
      </c>
      <c r="F2015" s="7"/>
      <c r="G2015" s="7" t="s">
        <v>1699</v>
      </c>
      <c r="H2015" s="7"/>
      <c r="I2015" s="27" t="s">
        <v>133</v>
      </c>
      <c r="J2015" s="7"/>
      <c r="K2015" s="27" t="s">
        <v>2208</v>
      </c>
      <c r="L2015" s="7"/>
    </row>
    <row r="2016" spans="1:12" x14ac:dyDescent="0.2">
      <c r="A2016" s="7"/>
      <c r="B2016" s="7"/>
      <c r="C2016" s="7"/>
      <c r="D2016" s="7"/>
      <c r="E2016" s="7">
        <v>614540</v>
      </c>
      <c r="F2016" s="7"/>
      <c r="G2016" s="7" t="s">
        <v>1700</v>
      </c>
      <c r="H2016" s="7"/>
      <c r="I2016" s="27" t="s">
        <v>47</v>
      </c>
      <c r="J2016" s="7"/>
      <c r="K2016" s="27" t="s">
        <v>2208</v>
      </c>
      <c r="L2016" s="7"/>
    </row>
    <row r="2017" spans="1:12" x14ac:dyDescent="0.2">
      <c r="A2017" s="7"/>
      <c r="B2017" s="7"/>
      <c r="C2017" s="7"/>
      <c r="D2017" s="7"/>
      <c r="E2017" s="7">
        <v>614615</v>
      </c>
      <c r="F2017" s="7"/>
      <c r="G2017" s="7" t="s">
        <v>488</v>
      </c>
      <c r="H2017" s="7"/>
      <c r="I2017" s="27" t="s">
        <v>133</v>
      </c>
      <c r="J2017" s="7"/>
      <c r="K2017" s="27" t="s">
        <v>2208</v>
      </c>
      <c r="L2017" s="7"/>
    </row>
    <row r="2018" spans="1:12" x14ac:dyDescent="0.2">
      <c r="A2018" s="7"/>
      <c r="B2018" s="7"/>
      <c r="C2018" s="7"/>
      <c r="D2018" s="7"/>
      <c r="E2018" s="7">
        <v>615002</v>
      </c>
      <c r="F2018" s="7"/>
      <c r="G2018" s="7" t="s">
        <v>1701</v>
      </c>
      <c r="H2018" s="7"/>
      <c r="I2018" s="27" t="s">
        <v>133</v>
      </c>
      <c r="J2018" s="7"/>
      <c r="K2018" s="27" t="s">
        <v>2208</v>
      </c>
      <c r="L2018" s="7"/>
    </row>
    <row r="2019" spans="1:12" x14ac:dyDescent="0.2">
      <c r="A2019" s="7"/>
      <c r="B2019" s="7"/>
      <c r="C2019" s="7"/>
      <c r="D2019" s="7"/>
      <c r="E2019" s="7">
        <v>615003</v>
      </c>
      <c r="F2019" s="7"/>
      <c r="G2019" s="7" t="s">
        <v>1702</v>
      </c>
      <c r="H2019" s="7"/>
      <c r="I2019" s="27" t="s">
        <v>133</v>
      </c>
      <c r="J2019" s="7"/>
      <c r="K2019" s="27" t="s">
        <v>2208</v>
      </c>
      <c r="L2019" s="7"/>
    </row>
    <row r="2020" spans="1:12" x14ac:dyDescent="0.2">
      <c r="A2020" s="7"/>
      <c r="B2020" s="7"/>
      <c r="C2020" s="7"/>
      <c r="D2020" s="7"/>
      <c r="E2020" s="7">
        <v>615004</v>
      </c>
      <c r="F2020" s="7"/>
      <c r="G2020" s="7" t="s">
        <v>1703</v>
      </c>
      <c r="H2020" s="7"/>
      <c r="I2020" s="27" t="s">
        <v>133</v>
      </c>
      <c r="J2020" s="7"/>
      <c r="K2020" s="27" t="s">
        <v>2208</v>
      </c>
      <c r="L2020" s="7"/>
    </row>
    <row r="2021" spans="1:12" x14ac:dyDescent="0.2">
      <c r="A2021" s="7"/>
      <c r="B2021" s="7"/>
      <c r="C2021" s="7"/>
      <c r="D2021" s="7"/>
      <c r="E2021" s="7">
        <v>615005</v>
      </c>
      <c r="F2021" s="7"/>
      <c r="G2021" s="7" t="s">
        <v>1704</v>
      </c>
      <c r="H2021" s="7"/>
      <c r="I2021" s="27" t="s">
        <v>133</v>
      </c>
      <c r="J2021" s="7"/>
      <c r="K2021" s="27" t="s">
        <v>2208</v>
      </c>
      <c r="L2021" s="7"/>
    </row>
    <row r="2022" spans="1:12" x14ac:dyDescent="0.2">
      <c r="A2022" s="7"/>
      <c r="B2022" s="7"/>
      <c r="C2022" s="7"/>
      <c r="D2022" s="7"/>
      <c r="E2022" s="7">
        <v>615006</v>
      </c>
      <c r="F2022" s="7"/>
      <c r="G2022" s="7" t="s">
        <v>1705</v>
      </c>
      <c r="H2022" s="7"/>
      <c r="I2022" s="27" t="s">
        <v>133</v>
      </c>
      <c r="J2022" s="7"/>
      <c r="K2022" s="27" t="s">
        <v>2208</v>
      </c>
      <c r="L2022" s="7"/>
    </row>
    <row r="2023" spans="1:12" x14ac:dyDescent="0.2">
      <c r="A2023" s="7"/>
      <c r="B2023" s="7"/>
      <c r="C2023" s="7"/>
      <c r="D2023" s="7"/>
      <c r="E2023" s="7">
        <v>615007</v>
      </c>
      <c r="F2023" s="7"/>
      <c r="G2023" s="7" t="s">
        <v>1706</v>
      </c>
      <c r="H2023" s="7"/>
      <c r="I2023" s="27" t="s">
        <v>133</v>
      </c>
      <c r="J2023" s="7"/>
      <c r="K2023" s="27" t="s">
        <v>2208</v>
      </c>
      <c r="L2023" s="7"/>
    </row>
    <row r="2024" spans="1:12" x14ac:dyDescent="0.2">
      <c r="A2024" s="7"/>
      <c r="B2024" s="7"/>
      <c r="C2024" s="7"/>
      <c r="D2024" s="7"/>
      <c r="E2024" s="7">
        <v>615008</v>
      </c>
      <c r="F2024" s="7"/>
      <c r="G2024" s="7" t="s">
        <v>1707</v>
      </c>
      <c r="H2024" s="7"/>
      <c r="I2024" s="27" t="s">
        <v>133</v>
      </c>
      <c r="J2024" s="7"/>
      <c r="K2024" s="27" t="s">
        <v>2208</v>
      </c>
      <c r="L2024" s="7"/>
    </row>
    <row r="2025" spans="1:12" x14ac:dyDescent="0.2">
      <c r="A2025" s="7"/>
      <c r="B2025" s="7"/>
      <c r="C2025" s="7"/>
      <c r="D2025" s="7"/>
      <c r="E2025" s="7">
        <v>615009</v>
      </c>
      <c r="F2025" s="7"/>
      <c r="G2025" s="7" t="s">
        <v>1708</v>
      </c>
      <c r="H2025" s="7"/>
      <c r="I2025" s="27" t="s">
        <v>133</v>
      </c>
      <c r="J2025" s="7"/>
      <c r="K2025" s="27" t="s">
        <v>2208</v>
      </c>
      <c r="L2025" s="7"/>
    </row>
    <row r="2026" spans="1:12" x14ac:dyDescent="0.2">
      <c r="A2026" s="7"/>
      <c r="B2026" s="7"/>
      <c r="C2026" s="7"/>
      <c r="D2026" s="7"/>
      <c r="E2026" s="7">
        <v>615015</v>
      </c>
      <c r="F2026" s="7"/>
      <c r="G2026" s="7" t="s">
        <v>1709</v>
      </c>
      <c r="H2026" s="7"/>
      <c r="I2026" s="27" t="s">
        <v>133</v>
      </c>
      <c r="J2026" s="7"/>
      <c r="K2026" s="27" t="s">
        <v>2208</v>
      </c>
      <c r="L2026" s="7"/>
    </row>
    <row r="2027" spans="1:12" x14ac:dyDescent="0.2">
      <c r="A2027" s="7"/>
      <c r="B2027" s="7"/>
      <c r="C2027" s="7"/>
      <c r="D2027" s="7"/>
      <c r="E2027" s="7">
        <v>615062</v>
      </c>
      <c r="F2027" s="7"/>
      <c r="G2027" s="7" t="s">
        <v>1710</v>
      </c>
      <c r="H2027" s="7"/>
      <c r="I2027" s="27" t="s">
        <v>133</v>
      </c>
      <c r="J2027" s="7"/>
      <c r="K2027" s="27" t="s">
        <v>2208</v>
      </c>
      <c r="L2027" s="7"/>
    </row>
    <row r="2028" spans="1:12" x14ac:dyDescent="0.2">
      <c r="A2028" s="7"/>
      <c r="B2028" s="7"/>
      <c r="C2028" s="7"/>
      <c r="D2028" s="7"/>
      <c r="E2028" s="7">
        <v>615150</v>
      </c>
      <c r="F2028" s="7"/>
      <c r="G2028" s="7" t="s">
        <v>1711</v>
      </c>
      <c r="H2028" s="7"/>
      <c r="I2028" s="27" t="s">
        <v>71</v>
      </c>
      <c r="J2028" s="7"/>
      <c r="K2028" s="27" t="s">
        <v>2208</v>
      </c>
      <c r="L2028" s="7"/>
    </row>
    <row r="2029" spans="1:12" x14ac:dyDescent="0.2">
      <c r="A2029" s="7"/>
      <c r="B2029" s="7"/>
      <c r="C2029" s="7"/>
      <c r="D2029" s="7"/>
      <c r="E2029" s="7">
        <v>615234</v>
      </c>
      <c r="F2029" s="7"/>
      <c r="G2029" s="7" t="s">
        <v>1712</v>
      </c>
      <c r="H2029" s="7"/>
      <c r="I2029" s="27" t="s">
        <v>71</v>
      </c>
      <c r="J2029" s="7"/>
      <c r="K2029" s="27" t="s">
        <v>2208</v>
      </c>
      <c r="L2029" s="7"/>
    </row>
    <row r="2030" spans="1:12" x14ac:dyDescent="0.2">
      <c r="A2030" s="7"/>
      <c r="B2030" s="7"/>
      <c r="C2030" s="7"/>
      <c r="D2030" s="7"/>
      <c r="E2030" s="7">
        <v>615235</v>
      </c>
      <c r="F2030" s="7"/>
      <c r="G2030" s="7" t="s">
        <v>1713</v>
      </c>
      <c r="H2030" s="7"/>
      <c r="I2030" s="27" t="s">
        <v>133</v>
      </c>
      <c r="J2030" s="7"/>
      <c r="K2030" s="27" t="s">
        <v>2208</v>
      </c>
      <c r="L2030" s="7"/>
    </row>
    <row r="2031" spans="1:12" x14ac:dyDescent="0.2">
      <c r="A2031" s="7"/>
      <c r="B2031" s="7"/>
      <c r="C2031" s="7"/>
      <c r="D2031" s="7"/>
      <c r="E2031" s="7">
        <v>615236</v>
      </c>
      <c r="F2031" s="7"/>
      <c r="G2031" s="7" t="s">
        <v>1714</v>
      </c>
      <c r="H2031" s="7"/>
      <c r="I2031" s="27" t="s">
        <v>71</v>
      </c>
      <c r="J2031" s="7"/>
      <c r="K2031" s="27" t="s">
        <v>2208</v>
      </c>
      <c r="L2031" s="7"/>
    </row>
    <row r="2032" spans="1:12" x14ac:dyDescent="0.2">
      <c r="A2032" s="7"/>
      <c r="B2032" s="7"/>
      <c r="C2032" s="7"/>
      <c r="D2032" s="7"/>
      <c r="E2032" s="7">
        <v>615370</v>
      </c>
      <c r="F2032" s="7"/>
      <c r="G2032" s="7" t="s">
        <v>1715</v>
      </c>
      <c r="H2032" s="7"/>
      <c r="I2032" s="27" t="s">
        <v>71</v>
      </c>
      <c r="J2032" s="7"/>
      <c r="K2032" s="27" t="s">
        <v>2208</v>
      </c>
      <c r="L2032" s="7"/>
    </row>
    <row r="2033" spans="1:12" x14ac:dyDescent="0.2">
      <c r="A2033" s="7"/>
      <c r="B2033" s="7"/>
      <c r="C2033" s="7"/>
      <c r="D2033" s="7"/>
      <c r="E2033" s="7">
        <v>615372</v>
      </c>
      <c r="F2033" s="7"/>
      <c r="G2033" s="7" t="s">
        <v>1716</v>
      </c>
      <c r="H2033" s="7"/>
      <c r="I2033" s="27" t="s">
        <v>133</v>
      </c>
      <c r="J2033" s="7"/>
      <c r="K2033" s="27" t="s">
        <v>2208</v>
      </c>
      <c r="L2033" s="7"/>
    </row>
    <row r="2034" spans="1:12" x14ac:dyDescent="0.2">
      <c r="A2034" s="7"/>
      <c r="B2034" s="7"/>
      <c r="C2034" s="7"/>
      <c r="D2034" s="7"/>
      <c r="E2034" s="7">
        <v>615375</v>
      </c>
      <c r="F2034" s="7"/>
      <c r="G2034" s="7" t="s">
        <v>1717</v>
      </c>
      <c r="H2034" s="7"/>
      <c r="I2034" s="27" t="s">
        <v>133</v>
      </c>
      <c r="J2034" s="7"/>
      <c r="K2034" s="27" t="s">
        <v>2208</v>
      </c>
      <c r="L2034" s="7"/>
    </row>
    <row r="2035" spans="1:12" x14ac:dyDescent="0.2">
      <c r="A2035" s="7"/>
      <c r="B2035" s="7"/>
      <c r="C2035" s="7"/>
      <c r="D2035" s="7"/>
      <c r="E2035" s="7">
        <v>615395</v>
      </c>
      <c r="F2035" s="7"/>
      <c r="G2035" s="7" t="s">
        <v>1718</v>
      </c>
      <c r="H2035" s="7"/>
      <c r="I2035" s="27" t="s">
        <v>133</v>
      </c>
      <c r="J2035" s="7"/>
      <c r="K2035" s="27" t="s">
        <v>2208</v>
      </c>
      <c r="L2035" s="7"/>
    </row>
    <row r="2036" spans="1:12" x14ac:dyDescent="0.2">
      <c r="A2036" s="7"/>
      <c r="B2036" s="7"/>
      <c r="C2036" s="7"/>
      <c r="D2036" s="7"/>
      <c r="E2036" s="7">
        <v>615510</v>
      </c>
      <c r="F2036" s="7"/>
      <c r="G2036" s="7" t="s">
        <v>1719</v>
      </c>
      <c r="H2036" s="7"/>
      <c r="I2036" s="27" t="s">
        <v>71</v>
      </c>
      <c r="J2036" s="7"/>
      <c r="K2036" s="27" t="s">
        <v>2208</v>
      </c>
      <c r="L2036" s="7"/>
    </row>
    <row r="2037" spans="1:12" x14ac:dyDescent="0.2">
      <c r="A2037" s="7"/>
      <c r="B2037" s="7"/>
      <c r="C2037" s="7"/>
      <c r="D2037" s="7"/>
      <c r="E2037" s="7">
        <v>615603</v>
      </c>
      <c r="F2037" s="7"/>
      <c r="G2037" s="7" t="s">
        <v>1720</v>
      </c>
      <c r="H2037" s="7"/>
      <c r="I2037" s="27" t="s">
        <v>133</v>
      </c>
      <c r="J2037" s="7"/>
      <c r="K2037" s="27" t="s">
        <v>2208</v>
      </c>
      <c r="L2037" s="7"/>
    </row>
    <row r="2038" spans="1:12" x14ac:dyDescent="0.2">
      <c r="A2038" s="7"/>
      <c r="B2038" s="7"/>
      <c r="C2038" s="7"/>
      <c r="D2038" s="7"/>
      <c r="E2038" s="7">
        <v>615605</v>
      </c>
      <c r="F2038" s="7"/>
      <c r="G2038" s="7" t="s">
        <v>1721</v>
      </c>
      <c r="H2038" s="7"/>
      <c r="I2038" s="27" t="s">
        <v>71</v>
      </c>
      <c r="J2038" s="7"/>
      <c r="K2038" s="27" t="s">
        <v>2208</v>
      </c>
      <c r="L2038" s="7"/>
    </row>
    <row r="2039" spans="1:12" x14ac:dyDescent="0.2">
      <c r="A2039" s="7"/>
      <c r="B2039" s="7"/>
      <c r="C2039" s="7"/>
      <c r="D2039" s="7"/>
      <c r="E2039" s="7">
        <v>616456</v>
      </c>
      <c r="F2039" s="7"/>
      <c r="G2039" s="7" t="s">
        <v>1722</v>
      </c>
      <c r="H2039" s="7"/>
      <c r="I2039" s="27" t="s">
        <v>71</v>
      </c>
      <c r="J2039" s="7"/>
      <c r="K2039" s="27" t="s">
        <v>2208</v>
      </c>
      <c r="L2039" s="7"/>
    </row>
    <row r="2040" spans="1:12" x14ac:dyDescent="0.2">
      <c r="A2040" s="7"/>
      <c r="B2040" s="7"/>
      <c r="C2040" s="7"/>
      <c r="D2040" s="7"/>
      <c r="E2040" s="7">
        <v>624000</v>
      </c>
      <c r="F2040" s="7"/>
      <c r="G2040" s="7" t="s">
        <v>1723</v>
      </c>
      <c r="H2040" s="7"/>
      <c r="I2040" s="27" t="s">
        <v>47</v>
      </c>
      <c r="J2040" s="7"/>
      <c r="K2040" s="27" t="s">
        <v>2208</v>
      </c>
      <c r="L2040" s="7"/>
    </row>
    <row r="2041" spans="1:12" x14ac:dyDescent="0.2">
      <c r="A2041" s="7"/>
      <c r="B2041" s="7"/>
      <c r="C2041" s="7"/>
      <c r="D2041" s="7"/>
      <c r="E2041" s="7">
        <v>624001</v>
      </c>
      <c r="F2041" s="7"/>
      <c r="G2041" s="7" t="s">
        <v>1724</v>
      </c>
      <c r="H2041" s="7"/>
      <c r="I2041" s="27" t="s">
        <v>47</v>
      </c>
      <c r="J2041" s="7"/>
      <c r="K2041" s="27" t="s">
        <v>2208</v>
      </c>
      <c r="L2041" s="7"/>
    </row>
    <row r="2042" spans="1:12" x14ac:dyDescent="0.2">
      <c r="A2042" s="7"/>
      <c r="B2042" s="7"/>
      <c r="C2042" s="7"/>
      <c r="D2042" s="7"/>
      <c r="E2042" s="7">
        <v>624002</v>
      </c>
      <c r="F2042" s="7"/>
      <c r="G2042" s="7" t="s">
        <v>1725</v>
      </c>
      <c r="H2042" s="7"/>
      <c r="I2042" s="27" t="s">
        <v>47</v>
      </c>
      <c r="J2042" s="7"/>
      <c r="K2042" s="27" t="s">
        <v>2208</v>
      </c>
      <c r="L2042" s="7"/>
    </row>
    <row r="2043" spans="1:12" x14ac:dyDescent="0.2">
      <c r="A2043" s="7"/>
      <c r="B2043" s="7"/>
      <c r="C2043" s="7"/>
      <c r="D2043" s="7"/>
      <c r="E2043" s="7">
        <v>624003</v>
      </c>
      <c r="F2043" s="7"/>
      <c r="G2043" s="7" t="s">
        <v>1726</v>
      </c>
      <c r="H2043" s="7"/>
      <c r="I2043" s="27" t="s">
        <v>47</v>
      </c>
      <c r="J2043" s="7"/>
      <c r="K2043" s="27" t="s">
        <v>2208</v>
      </c>
      <c r="L2043" s="7"/>
    </row>
    <row r="2044" spans="1:12" x14ac:dyDescent="0.2">
      <c r="A2044" s="7"/>
      <c r="B2044" s="7"/>
      <c r="C2044" s="7"/>
      <c r="D2044" s="7"/>
      <c r="E2044" s="7">
        <v>624004</v>
      </c>
      <c r="F2044" s="7"/>
      <c r="G2044" s="7" t="s">
        <v>1727</v>
      </c>
      <c r="H2044" s="7"/>
      <c r="I2044" s="27" t="s">
        <v>47</v>
      </c>
      <c r="J2044" s="7"/>
      <c r="K2044" s="27" t="s">
        <v>2208</v>
      </c>
      <c r="L2044" s="7"/>
    </row>
    <row r="2045" spans="1:12" x14ac:dyDescent="0.2">
      <c r="A2045" s="7"/>
      <c r="B2045" s="7"/>
      <c r="C2045" s="7"/>
      <c r="D2045" s="7"/>
      <c r="E2045" s="7">
        <v>624005</v>
      </c>
      <c r="F2045" s="7"/>
      <c r="G2045" s="7" t="s">
        <v>1728</v>
      </c>
      <c r="H2045" s="7"/>
      <c r="I2045" s="27" t="s">
        <v>47</v>
      </c>
      <c r="J2045" s="7"/>
      <c r="K2045" s="27" t="s">
        <v>2208</v>
      </c>
      <c r="L2045" s="7"/>
    </row>
    <row r="2046" spans="1:12" x14ac:dyDescent="0.2">
      <c r="A2046" s="7"/>
      <c r="B2046" s="7"/>
      <c r="C2046" s="7"/>
      <c r="D2046" s="7"/>
      <c r="E2046" s="7">
        <v>624006</v>
      </c>
      <c r="F2046" s="7"/>
      <c r="G2046" s="7" t="s">
        <v>1729</v>
      </c>
      <c r="H2046" s="7"/>
      <c r="I2046" s="27" t="s">
        <v>47</v>
      </c>
      <c r="J2046" s="7"/>
      <c r="K2046" s="27" t="s">
        <v>2208</v>
      </c>
      <c r="L2046" s="7"/>
    </row>
    <row r="2047" spans="1:12" x14ac:dyDescent="0.2">
      <c r="A2047" s="7"/>
      <c r="B2047" s="7"/>
      <c r="C2047" s="7"/>
      <c r="D2047" s="7"/>
      <c r="E2047" s="7">
        <v>624007</v>
      </c>
      <c r="F2047" s="7"/>
      <c r="G2047" s="7" t="s">
        <v>1730</v>
      </c>
      <c r="H2047" s="7"/>
      <c r="I2047" s="27" t="s">
        <v>47</v>
      </c>
      <c r="J2047" s="7"/>
      <c r="K2047" s="27" t="s">
        <v>2208</v>
      </c>
      <c r="L2047" s="7"/>
    </row>
    <row r="2048" spans="1:12" x14ac:dyDescent="0.2">
      <c r="A2048" s="7"/>
      <c r="B2048" s="7"/>
      <c r="C2048" s="7"/>
      <c r="D2048" s="7"/>
      <c r="E2048" s="7">
        <v>624008</v>
      </c>
      <c r="F2048" s="7"/>
      <c r="G2048" s="7" t="s">
        <v>1731</v>
      </c>
      <c r="H2048" s="7"/>
      <c r="I2048" s="27" t="s">
        <v>133</v>
      </c>
      <c r="J2048" s="7"/>
      <c r="K2048" s="27" t="s">
        <v>2208</v>
      </c>
      <c r="L2048" s="7"/>
    </row>
    <row r="2049" spans="1:12" x14ac:dyDescent="0.2">
      <c r="A2049" s="7"/>
      <c r="B2049" s="7"/>
      <c r="C2049" s="7"/>
      <c r="D2049" s="7"/>
      <c r="E2049" s="7">
        <v>624009</v>
      </c>
      <c r="F2049" s="7"/>
      <c r="G2049" s="7" t="s">
        <v>1732</v>
      </c>
      <c r="H2049" s="7"/>
      <c r="I2049" s="27" t="s">
        <v>133</v>
      </c>
      <c r="J2049" s="7"/>
      <c r="K2049" s="27" t="s">
        <v>2208</v>
      </c>
      <c r="L2049" s="7"/>
    </row>
    <row r="2050" spans="1:12" x14ac:dyDescent="0.2">
      <c r="A2050" s="7"/>
      <c r="B2050" s="7"/>
      <c r="C2050" s="7"/>
      <c r="D2050" s="7"/>
      <c r="E2050" s="7">
        <v>624010</v>
      </c>
      <c r="F2050" s="7"/>
      <c r="G2050" s="7" t="s">
        <v>1733</v>
      </c>
      <c r="H2050" s="7"/>
      <c r="I2050" s="27" t="s">
        <v>133</v>
      </c>
      <c r="J2050" s="7"/>
      <c r="K2050" s="27" t="s">
        <v>2208</v>
      </c>
      <c r="L2050" s="7"/>
    </row>
    <row r="2051" spans="1:12" x14ac:dyDescent="0.2">
      <c r="A2051" s="7"/>
      <c r="B2051" s="7"/>
      <c r="C2051" s="7"/>
      <c r="D2051" s="7"/>
      <c r="E2051" s="7">
        <v>624011</v>
      </c>
      <c r="F2051" s="7"/>
      <c r="G2051" s="7" t="s">
        <v>1734</v>
      </c>
      <c r="H2051" s="7"/>
      <c r="I2051" s="27" t="s">
        <v>133</v>
      </c>
      <c r="J2051" s="7"/>
      <c r="K2051" s="27" t="s">
        <v>2208</v>
      </c>
      <c r="L2051" s="7"/>
    </row>
    <row r="2052" spans="1:12" x14ac:dyDescent="0.2">
      <c r="A2052" s="7"/>
      <c r="B2052" s="7"/>
      <c r="C2052" s="7"/>
      <c r="D2052" s="7"/>
      <c r="E2052" s="7">
        <v>624012</v>
      </c>
      <c r="F2052" s="7"/>
      <c r="G2052" s="7" t="s">
        <v>1735</v>
      </c>
      <c r="H2052" s="7"/>
      <c r="I2052" s="27" t="s">
        <v>133</v>
      </c>
      <c r="J2052" s="7"/>
      <c r="K2052" s="27" t="s">
        <v>2208</v>
      </c>
      <c r="L2052" s="7"/>
    </row>
    <row r="2053" spans="1:12" x14ac:dyDescent="0.2">
      <c r="A2053" s="7"/>
      <c r="B2053" s="7"/>
      <c r="C2053" s="7"/>
      <c r="D2053" s="7"/>
      <c r="E2053" s="7">
        <v>624013</v>
      </c>
      <c r="F2053" s="7"/>
      <c r="G2053" s="7" t="s">
        <v>1736</v>
      </c>
      <c r="H2053" s="7"/>
      <c r="I2053" s="27" t="s">
        <v>133</v>
      </c>
      <c r="J2053" s="7"/>
      <c r="K2053" s="27" t="s">
        <v>2208</v>
      </c>
      <c r="L2053" s="7"/>
    </row>
    <row r="2054" spans="1:12" x14ac:dyDescent="0.2">
      <c r="A2054" s="7"/>
      <c r="B2054" s="7"/>
      <c r="C2054" s="7"/>
      <c r="D2054" s="7"/>
      <c r="E2054" s="7">
        <v>624014</v>
      </c>
      <c r="F2054" s="7"/>
      <c r="G2054" s="7" t="s">
        <v>1737</v>
      </c>
      <c r="H2054" s="7"/>
      <c r="I2054" s="27" t="s">
        <v>133</v>
      </c>
      <c r="J2054" s="7"/>
      <c r="K2054" s="27" t="s">
        <v>2208</v>
      </c>
      <c r="L2054" s="7"/>
    </row>
    <row r="2055" spans="1:12" x14ac:dyDescent="0.2">
      <c r="A2055" s="7"/>
      <c r="B2055" s="7"/>
      <c r="C2055" s="7"/>
      <c r="D2055" s="7"/>
      <c r="E2055" s="7">
        <v>624015</v>
      </c>
      <c r="F2055" s="7"/>
      <c r="G2055" s="7" t="s">
        <v>1738</v>
      </c>
      <c r="H2055" s="7"/>
      <c r="I2055" s="27" t="s">
        <v>133</v>
      </c>
      <c r="J2055" s="7"/>
      <c r="K2055" s="27" t="s">
        <v>2208</v>
      </c>
      <c r="L2055" s="7"/>
    </row>
    <row r="2056" spans="1:12" x14ac:dyDescent="0.2">
      <c r="A2056" s="7"/>
      <c r="B2056" s="7"/>
      <c r="C2056" s="7"/>
      <c r="D2056" s="7"/>
      <c r="E2056" s="7">
        <v>624016</v>
      </c>
      <c r="F2056" s="7"/>
      <c r="G2056" s="7" t="s">
        <v>1739</v>
      </c>
      <c r="H2056" s="7"/>
      <c r="I2056" s="27" t="s">
        <v>47</v>
      </c>
      <c r="J2056" s="7"/>
      <c r="K2056" s="27" t="s">
        <v>2208</v>
      </c>
      <c r="L2056" s="7"/>
    </row>
    <row r="2057" spans="1:12" x14ac:dyDescent="0.2">
      <c r="A2057" s="7"/>
      <c r="B2057" s="7"/>
      <c r="C2057" s="7"/>
      <c r="D2057" s="7"/>
      <c r="E2057" s="7">
        <v>624017</v>
      </c>
      <c r="F2057" s="7"/>
      <c r="G2057" s="7" t="s">
        <v>1740</v>
      </c>
      <c r="H2057" s="7"/>
      <c r="I2057" s="27" t="s">
        <v>47</v>
      </c>
      <c r="J2057" s="7"/>
      <c r="K2057" s="27" t="s">
        <v>2208</v>
      </c>
      <c r="L2057" s="7"/>
    </row>
    <row r="2058" spans="1:12" x14ac:dyDescent="0.2">
      <c r="A2058" s="7"/>
      <c r="B2058" s="7"/>
      <c r="C2058" s="7"/>
      <c r="D2058" s="7"/>
      <c r="E2058" s="7">
        <v>624018</v>
      </c>
      <c r="F2058" s="7"/>
      <c r="G2058" s="7" t="s">
        <v>1741</v>
      </c>
      <c r="H2058" s="7"/>
      <c r="I2058" s="27" t="s">
        <v>47</v>
      </c>
      <c r="J2058" s="7"/>
      <c r="K2058" s="27" t="s">
        <v>2208</v>
      </c>
      <c r="L2058" s="7"/>
    </row>
    <row r="2059" spans="1:12" x14ac:dyDescent="0.2">
      <c r="A2059" s="7"/>
      <c r="B2059" s="7"/>
      <c r="C2059" s="7"/>
      <c r="D2059" s="7"/>
      <c r="E2059" s="7">
        <v>624019</v>
      </c>
      <c r="F2059" s="7"/>
      <c r="G2059" s="7" t="s">
        <v>1742</v>
      </c>
      <c r="H2059" s="7"/>
      <c r="I2059" s="27" t="s">
        <v>47</v>
      </c>
      <c r="J2059" s="7"/>
      <c r="K2059" s="27" t="s">
        <v>2208</v>
      </c>
      <c r="L2059" s="7"/>
    </row>
    <row r="2060" spans="1:12" x14ac:dyDescent="0.2">
      <c r="A2060" s="7"/>
      <c r="B2060" s="7"/>
      <c r="C2060" s="7"/>
      <c r="D2060" s="7"/>
      <c r="E2060" s="7">
        <v>624020</v>
      </c>
      <c r="F2060" s="7"/>
      <c r="G2060" s="7" t="s">
        <v>1743</v>
      </c>
      <c r="H2060" s="7"/>
      <c r="I2060" s="27" t="s">
        <v>47</v>
      </c>
      <c r="J2060" s="7"/>
      <c r="K2060" s="27" t="s">
        <v>2208</v>
      </c>
      <c r="L2060" s="7"/>
    </row>
    <row r="2061" spans="1:12" x14ac:dyDescent="0.2">
      <c r="A2061" s="7"/>
      <c r="B2061" s="7"/>
      <c r="C2061" s="7"/>
      <c r="D2061" s="7"/>
      <c r="E2061" s="7">
        <v>624021</v>
      </c>
      <c r="F2061" s="7"/>
      <c r="G2061" s="7" t="s">
        <v>1744</v>
      </c>
      <c r="H2061" s="7"/>
      <c r="I2061" s="27" t="s">
        <v>47</v>
      </c>
      <c r="J2061" s="7"/>
      <c r="K2061" s="27" t="s">
        <v>2208</v>
      </c>
      <c r="L2061" s="7"/>
    </row>
    <row r="2062" spans="1:12" x14ac:dyDescent="0.2">
      <c r="A2062" s="7"/>
      <c r="B2062" s="7"/>
      <c r="C2062" s="7"/>
      <c r="D2062" s="7"/>
      <c r="E2062" s="7">
        <v>624022</v>
      </c>
      <c r="F2062" s="7"/>
      <c r="G2062" s="7" t="s">
        <v>1745</v>
      </c>
      <c r="H2062" s="7"/>
      <c r="I2062" s="27" t="s">
        <v>47</v>
      </c>
      <c r="J2062" s="7"/>
      <c r="K2062" s="27" t="s">
        <v>2208</v>
      </c>
      <c r="L2062" s="7"/>
    </row>
    <row r="2063" spans="1:12" x14ac:dyDescent="0.2">
      <c r="A2063" s="7"/>
      <c r="B2063" s="7"/>
      <c r="C2063" s="7"/>
      <c r="D2063" s="7"/>
      <c r="E2063" s="7">
        <v>624023</v>
      </c>
      <c r="F2063" s="7"/>
      <c r="G2063" s="7" t="s">
        <v>1746</v>
      </c>
      <c r="H2063" s="7"/>
      <c r="I2063" s="27" t="s">
        <v>47</v>
      </c>
      <c r="J2063" s="7"/>
      <c r="K2063" s="27" t="s">
        <v>2208</v>
      </c>
      <c r="L2063" s="7"/>
    </row>
    <row r="2064" spans="1:12" x14ac:dyDescent="0.2">
      <c r="A2064" s="7"/>
      <c r="B2064" s="7"/>
      <c r="C2064" s="7"/>
      <c r="D2064" s="7"/>
      <c r="E2064" s="7">
        <v>624024</v>
      </c>
      <c r="F2064" s="7"/>
      <c r="G2064" s="7" t="s">
        <v>1747</v>
      </c>
      <c r="H2064" s="7"/>
      <c r="I2064" s="27" t="s">
        <v>616</v>
      </c>
      <c r="J2064" s="7"/>
      <c r="K2064" s="27" t="s">
        <v>2208</v>
      </c>
      <c r="L2064" s="7"/>
    </row>
    <row r="2065" spans="1:12" x14ac:dyDescent="0.2">
      <c r="A2065" s="7"/>
      <c r="B2065" s="7"/>
      <c r="C2065" s="7"/>
      <c r="D2065" s="7"/>
      <c r="E2065" s="7">
        <v>624025</v>
      </c>
      <c r="F2065" s="7"/>
      <c r="G2065" s="7" t="s">
        <v>1748</v>
      </c>
      <c r="H2065" s="7"/>
      <c r="I2065" s="27" t="s">
        <v>616</v>
      </c>
      <c r="J2065" s="7"/>
      <c r="K2065" s="27" t="s">
        <v>2208</v>
      </c>
      <c r="L2065" s="7"/>
    </row>
    <row r="2066" spans="1:12" x14ac:dyDescent="0.2">
      <c r="A2066" s="7"/>
      <c r="B2066" s="7"/>
      <c r="C2066" s="7"/>
      <c r="D2066" s="7"/>
      <c r="E2066" s="7">
        <v>624026</v>
      </c>
      <c r="F2066" s="7"/>
      <c r="G2066" s="7" t="s">
        <v>1749</v>
      </c>
      <c r="H2066" s="7"/>
      <c r="I2066" s="27" t="s">
        <v>616</v>
      </c>
      <c r="J2066" s="7"/>
      <c r="K2066" s="27" t="s">
        <v>2208</v>
      </c>
      <c r="L2066" s="7"/>
    </row>
    <row r="2067" spans="1:12" x14ac:dyDescent="0.2">
      <c r="A2067" s="7"/>
      <c r="B2067" s="7"/>
      <c r="C2067" s="7"/>
      <c r="D2067" s="7"/>
      <c r="E2067" s="7">
        <v>624027</v>
      </c>
      <c r="F2067" s="7"/>
      <c r="G2067" s="7" t="s">
        <v>1750</v>
      </c>
      <c r="H2067" s="7"/>
      <c r="I2067" s="27" t="s">
        <v>616</v>
      </c>
      <c r="J2067" s="7"/>
      <c r="K2067" s="27" t="s">
        <v>2208</v>
      </c>
      <c r="L2067" s="7"/>
    </row>
    <row r="2068" spans="1:12" x14ac:dyDescent="0.2">
      <c r="A2068" s="7"/>
      <c r="B2068" s="7"/>
      <c r="C2068" s="7"/>
      <c r="D2068" s="7"/>
      <c r="E2068" s="7">
        <v>624028</v>
      </c>
      <c r="F2068" s="7"/>
      <c r="G2068" s="7" t="s">
        <v>1751</v>
      </c>
      <c r="H2068" s="7"/>
      <c r="I2068" s="27" t="s">
        <v>616</v>
      </c>
      <c r="J2068" s="7"/>
      <c r="K2068" s="27" t="s">
        <v>2208</v>
      </c>
      <c r="L2068" s="7"/>
    </row>
    <row r="2069" spans="1:12" x14ac:dyDescent="0.2">
      <c r="A2069" s="7"/>
      <c r="B2069" s="7"/>
      <c r="C2069" s="7"/>
      <c r="D2069" s="7"/>
      <c r="E2069" s="7">
        <v>624029</v>
      </c>
      <c r="F2069" s="7"/>
      <c r="G2069" s="7" t="s">
        <v>586</v>
      </c>
      <c r="H2069" s="7"/>
      <c r="I2069" s="27" t="s">
        <v>616</v>
      </c>
      <c r="J2069" s="7"/>
      <c r="K2069" s="27" t="s">
        <v>2208</v>
      </c>
      <c r="L2069" s="7"/>
    </row>
    <row r="2070" spans="1:12" x14ac:dyDescent="0.2">
      <c r="A2070" s="7"/>
      <c r="B2070" s="7"/>
      <c r="C2070" s="7"/>
      <c r="D2070" s="7"/>
      <c r="E2070" s="7">
        <v>624030</v>
      </c>
      <c r="F2070" s="7"/>
      <c r="G2070" s="7" t="s">
        <v>587</v>
      </c>
      <c r="H2070" s="7"/>
      <c r="I2070" s="27" t="s">
        <v>616</v>
      </c>
      <c r="J2070" s="7"/>
      <c r="K2070" s="27" t="s">
        <v>2208</v>
      </c>
      <c r="L2070" s="7"/>
    </row>
    <row r="2071" spans="1:12" x14ac:dyDescent="0.2">
      <c r="A2071" s="7"/>
      <c r="B2071" s="7"/>
      <c r="C2071" s="7"/>
      <c r="D2071" s="7"/>
      <c r="E2071" s="7">
        <v>624031</v>
      </c>
      <c r="F2071" s="7"/>
      <c r="G2071" s="7" t="s">
        <v>588</v>
      </c>
      <c r="H2071" s="7"/>
      <c r="I2071" s="27" t="s">
        <v>616</v>
      </c>
      <c r="J2071" s="7"/>
      <c r="K2071" s="27" t="s">
        <v>2208</v>
      </c>
      <c r="L2071" s="7"/>
    </row>
    <row r="2072" spans="1:12" x14ac:dyDescent="0.2">
      <c r="A2072" s="7"/>
      <c r="B2072" s="7"/>
      <c r="C2072" s="7"/>
      <c r="D2072" s="7"/>
      <c r="E2072" s="7">
        <v>624032</v>
      </c>
      <c r="F2072" s="7"/>
      <c r="G2072" s="7" t="s">
        <v>1752</v>
      </c>
      <c r="H2072" s="7"/>
      <c r="I2072" s="27" t="s">
        <v>133</v>
      </c>
      <c r="J2072" s="7"/>
      <c r="K2072" s="27" t="s">
        <v>2208</v>
      </c>
      <c r="L2072" s="7"/>
    </row>
    <row r="2073" spans="1:12" x14ac:dyDescent="0.2">
      <c r="A2073" s="7"/>
      <c r="B2073" s="7"/>
      <c r="C2073" s="7"/>
      <c r="D2073" s="7"/>
      <c r="E2073" s="7">
        <v>624033</v>
      </c>
      <c r="F2073" s="7"/>
      <c r="G2073" s="7" t="s">
        <v>1753</v>
      </c>
      <c r="H2073" s="7"/>
      <c r="I2073" s="27" t="s">
        <v>133</v>
      </c>
      <c r="J2073" s="7"/>
      <c r="K2073" s="27" t="s">
        <v>2208</v>
      </c>
      <c r="L2073" s="7"/>
    </row>
    <row r="2074" spans="1:12" x14ac:dyDescent="0.2">
      <c r="A2074" s="7"/>
      <c r="B2074" s="7"/>
      <c r="C2074" s="7"/>
      <c r="D2074" s="7"/>
      <c r="E2074" s="7">
        <v>624034</v>
      </c>
      <c r="F2074" s="7"/>
      <c r="G2074" s="7" t="s">
        <v>1754</v>
      </c>
      <c r="H2074" s="7"/>
      <c r="I2074" s="27" t="s">
        <v>47</v>
      </c>
      <c r="J2074" s="7"/>
      <c r="K2074" s="27" t="s">
        <v>2208</v>
      </c>
      <c r="L2074" s="7"/>
    </row>
    <row r="2075" spans="1:12" x14ac:dyDescent="0.2">
      <c r="A2075" s="7"/>
      <c r="B2075" s="7"/>
      <c r="C2075" s="7"/>
      <c r="D2075" s="7"/>
      <c r="E2075" s="7">
        <v>624035</v>
      </c>
      <c r="F2075" s="7"/>
      <c r="G2075" s="7" t="s">
        <v>1755</v>
      </c>
      <c r="H2075" s="7"/>
      <c r="I2075" s="27" t="s">
        <v>47</v>
      </c>
      <c r="J2075" s="7"/>
      <c r="K2075" s="27" t="s">
        <v>2208</v>
      </c>
      <c r="L2075" s="7"/>
    </row>
    <row r="2076" spans="1:12" x14ac:dyDescent="0.2">
      <c r="A2076" s="7"/>
      <c r="B2076" s="7"/>
      <c r="C2076" s="7"/>
      <c r="D2076" s="7"/>
      <c r="E2076" s="7">
        <v>624036</v>
      </c>
      <c r="F2076" s="7"/>
      <c r="G2076" s="7" t="s">
        <v>1756</v>
      </c>
      <c r="H2076" s="7"/>
      <c r="I2076" s="27" t="s">
        <v>47</v>
      </c>
      <c r="J2076" s="7"/>
      <c r="K2076" s="27" t="s">
        <v>2208</v>
      </c>
      <c r="L2076" s="7"/>
    </row>
    <row r="2077" spans="1:12" x14ac:dyDescent="0.2">
      <c r="A2077" s="7"/>
      <c r="B2077" s="7"/>
      <c r="C2077" s="7"/>
      <c r="D2077" s="7"/>
      <c r="E2077" s="7">
        <v>624037</v>
      </c>
      <c r="F2077" s="7"/>
      <c r="G2077" s="7" t="s">
        <v>1757</v>
      </c>
      <c r="H2077" s="7"/>
      <c r="I2077" s="27" t="s">
        <v>47</v>
      </c>
      <c r="J2077" s="7"/>
      <c r="K2077" s="27" t="s">
        <v>2208</v>
      </c>
      <c r="L2077" s="7"/>
    </row>
    <row r="2078" spans="1:12" x14ac:dyDescent="0.2">
      <c r="A2078" s="7"/>
      <c r="B2078" s="7"/>
      <c r="C2078" s="7"/>
      <c r="D2078" s="7"/>
      <c r="E2078" s="7">
        <v>624038</v>
      </c>
      <c r="F2078" s="7"/>
      <c r="G2078" s="7" t="s">
        <v>1758</v>
      </c>
      <c r="H2078" s="7"/>
      <c r="I2078" s="27" t="s">
        <v>47</v>
      </c>
      <c r="J2078" s="7"/>
      <c r="K2078" s="27" t="s">
        <v>2208</v>
      </c>
      <c r="L2078" s="7"/>
    </row>
    <row r="2079" spans="1:12" x14ac:dyDescent="0.2">
      <c r="A2079" s="7"/>
      <c r="B2079" s="7"/>
      <c r="C2079" s="7"/>
      <c r="D2079" s="7"/>
      <c r="E2079" s="7">
        <v>624039</v>
      </c>
      <c r="F2079" s="7"/>
      <c r="G2079" s="7" t="s">
        <v>1759</v>
      </c>
      <c r="H2079" s="7"/>
      <c r="I2079" s="27" t="s">
        <v>47</v>
      </c>
      <c r="J2079" s="7"/>
      <c r="K2079" s="27" t="s">
        <v>2208</v>
      </c>
      <c r="L2079" s="7"/>
    </row>
    <row r="2080" spans="1:12" x14ac:dyDescent="0.2">
      <c r="A2080" s="7"/>
      <c r="B2080" s="7"/>
      <c r="C2080" s="7"/>
      <c r="D2080" s="7"/>
      <c r="E2080" s="7">
        <v>624040</v>
      </c>
      <c r="F2080" s="7"/>
      <c r="G2080" s="7" t="s">
        <v>1760</v>
      </c>
      <c r="H2080" s="7"/>
      <c r="I2080" s="27" t="s">
        <v>133</v>
      </c>
      <c r="J2080" s="7"/>
      <c r="K2080" s="27" t="s">
        <v>2208</v>
      </c>
      <c r="L2080" s="7"/>
    </row>
    <row r="2081" spans="1:12" x14ac:dyDescent="0.2">
      <c r="A2081" s="7"/>
      <c r="B2081" s="7"/>
      <c r="C2081" s="7"/>
      <c r="D2081" s="7"/>
      <c r="E2081" s="7">
        <v>624041</v>
      </c>
      <c r="F2081" s="7"/>
      <c r="G2081" s="7" t="s">
        <v>1761</v>
      </c>
      <c r="H2081" s="7"/>
      <c r="I2081" s="27" t="s">
        <v>133</v>
      </c>
      <c r="J2081" s="7"/>
      <c r="K2081" s="27" t="s">
        <v>2208</v>
      </c>
      <c r="L2081" s="7"/>
    </row>
    <row r="2082" spans="1:12" x14ac:dyDescent="0.2">
      <c r="A2082" s="7"/>
      <c r="B2082" s="7"/>
      <c r="C2082" s="7"/>
      <c r="D2082" s="7"/>
      <c r="E2082" s="7">
        <v>624042</v>
      </c>
      <c r="F2082" s="7"/>
      <c r="G2082" s="7" t="s">
        <v>1762</v>
      </c>
      <c r="H2082" s="7"/>
      <c r="I2082" s="27" t="s">
        <v>133</v>
      </c>
      <c r="J2082" s="7"/>
      <c r="K2082" s="27" t="s">
        <v>2208</v>
      </c>
      <c r="L2082" s="7"/>
    </row>
    <row r="2083" spans="1:12" x14ac:dyDescent="0.2">
      <c r="A2083" s="7"/>
      <c r="B2083" s="7"/>
      <c r="C2083" s="7"/>
      <c r="D2083" s="7"/>
      <c r="E2083" s="7">
        <v>624043</v>
      </c>
      <c r="F2083" s="7"/>
      <c r="G2083" s="7" t="s">
        <v>1763</v>
      </c>
      <c r="H2083" s="7"/>
      <c r="I2083" s="27" t="s">
        <v>133</v>
      </c>
      <c r="J2083" s="7"/>
      <c r="K2083" s="27" t="s">
        <v>2208</v>
      </c>
      <c r="L2083" s="7"/>
    </row>
    <row r="2084" spans="1:12" x14ac:dyDescent="0.2">
      <c r="A2084" s="7"/>
      <c r="B2084" s="7"/>
      <c r="C2084" s="7"/>
      <c r="D2084" s="7"/>
      <c r="E2084" s="7">
        <v>624044</v>
      </c>
      <c r="F2084" s="7"/>
      <c r="G2084" s="7" t="s">
        <v>1764</v>
      </c>
      <c r="H2084" s="7"/>
      <c r="I2084" s="27" t="s">
        <v>133</v>
      </c>
      <c r="J2084" s="7"/>
      <c r="K2084" s="27" t="s">
        <v>2208</v>
      </c>
      <c r="L2084" s="7"/>
    </row>
    <row r="2085" spans="1:12" x14ac:dyDescent="0.2">
      <c r="A2085" s="7"/>
      <c r="B2085" s="7"/>
      <c r="C2085" s="7"/>
      <c r="D2085" s="7"/>
      <c r="E2085" s="7">
        <v>624045</v>
      </c>
      <c r="F2085" s="7"/>
      <c r="G2085" s="7" t="s">
        <v>1765</v>
      </c>
      <c r="H2085" s="7"/>
      <c r="I2085" s="27" t="s">
        <v>133</v>
      </c>
      <c r="J2085" s="7"/>
      <c r="K2085" s="27" t="s">
        <v>2208</v>
      </c>
      <c r="L2085" s="7"/>
    </row>
    <row r="2086" spans="1:12" x14ac:dyDescent="0.2">
      <c r="A2086" s="7"/>
      <c r="B2086" s="7"/>
      <c r="C2086" s="7"/>
      <c r="D2086" s="7"/>
      <c r="E2086" s="7">
        <v>624046</v>
      </c>
      <c r="F2086" s="7"/>
      <c r="G2086" s="7" t="s">
        <v>1766</v>
      </c>
      <c r="H2086" s="7"/>
      <c r="I2086" s="27" t="s">
        <v>133</v>
      </c>
      <c r="J2086" s="7"/>
      <c r="K2086" s="27" t="s">
        <v>2208</v>
      </c>
      <c r="L2086" s="7"/>
    </row>
    <row r="2087" spans="1:12" x14ac:dyDescent="0.2">
      <c r="A2087" s="7"/>
      <c r="B2087" s="7"/>
      <c r="C2087" s="7"/>
      <c r="D2087" s="7"/>
      <c r="E2087" s="7">
        <v>624047</v>
      </c>
      <c r="F2087" s="7"/>
      <c r="G2087" s="7" t="s">
        <v>1767</v>
      </c>
      <c r="H2087" s="7"/>
      <c r="I2087" s="27" t="s">
        <v>133</v>
      </c>
      <c r="J2087" s="7"/>
      <c r="K2087" s="27" t="s">
        <v>2208</v>
      </c>
      <c r="L2087" s="7"/>
    </row>
    <row r="2088" spans="1:12" x14ac:dyDescent="0.2">
      <c r="A2088" s="7"/>
      <c r="B2088" s="7"/>
      <c r="C2088" s="7"/>
      <c r="D2088" s="7"/>
      <c r="E2088" s="7">
        <v>624048</v>
      </c>
      <c r="F2088" s="7"/>
      <c r="G2088" s="7" t="s">
        <v>1768</v>
      </c>
      <c r="H2088" s="7"/>
      <c r="I2088" s="27" t="s">
        <v>133</v>
      </c>
      <c r="J2088" s="7"/>
      <c r="K2088" s="27" t="s">
        <v>2208</v>
      </c>
      <c r="L2088" s="7"/>
    </row>
    <row r="2089" spans="1:12" x14ac:dyDescent="0.2">
      <c r="A2089" s="7"/>
      <c r="B2089" s="7"/>
      <c r="C2089" s="7"/>
      <c r="D2089" s="7"/>
      <c r="E2089" s="7">
        <v>624049</v>
      </c>
      <c r="F2089" s="7"/>
      <c r="G2089" s="7" t="s">
        <v>1769</v>
      </c>
      <c r="H2089" s="7"/>
      <c r="I2089" s="27" t="s">
        <v>133</v>
      </c>
      <c r="J2089" s="7"/>
      <c r="K2089" s="27" t="s">
        <v>2208</v>
      </c>
      <c r="L2089" s="7"/>
    </row>
    <row r="2090" spans="1:12" x14ac:dyDescent="0.2">
      <c r="A2090" s="7"/>
      <c r="B2090" s="7"/>
      <c r="C2090" s="7"/>
      <c r="D2090" s="7"/>
      <c r="E2090" s="7">
        <v>624050</v>
      </c>
      <c r="F2090" s="7"/>
      <c r="G2090" s="7" t="s">
        <v>1555</v>
      </c>
      <c r="H2090" s="7"/>
      <c r="I2090" s="27" t="s">
        <v>133</v>
      </c>
      <c r="J2090" s="7"/>
      <c r="K2090" s="27" t="s">
        <v>2208</v>
      </c>
      <c r="L2090" s="7"/>
    </row>
    <row r="2091" spans="1:12" x14ac:dyDescent="0.2">
      <c r="A2091" s="7"/>
      <c r="B2091" s="7"/>
      <c r="C2091" s="7"/>
      <c r="D2091" s="7"/>
      <c r="E2091" s="7">
        <v>624051</v>
      </c>
      <c r="F2091" s="7"/>
      <c r="G2091" s="7" t="s">
        <v>1770</v>
      </c>
      <c r="H2091" s="7"/>
      <c r="I2091" s="27" t="s">
        <v>133</v>
      </c>
      <c r="J2091" s="7"/>
      <c r="K2091" s="27" t="s">
        <v>2208</v>
      </c>
      <c r="L2091" s="7"/>
    </row>
    <row r="2092" spans="1:12" x14ac:dyDescent="0.2">
      <c r="A2092" s="7"/>
      <c r="B2092" s="7"/>
      <c r="C2092" s="7"/>
      <c r="D2092" s="7"/>
      <c r="E2092" s="7">
        <v>624052</v>
      </c>
      <c r="F2092" s="7"/>
      <c r="G2092" s="7" t="s">
        <v>619</v>
      </c>
      <c r="H2092" s="7"/>
      <c r="I2092" s="27" t="s">
        <v>133</v>
      </c>
      <c r="J2092" s="7"/>
      <c r="K2092" s="27" t="s">
        <v>2208</v>
      </c>
      <c r="L2092" s="7"/>
    </row>
    <row r="2093" spans="1:12" x14ac:dyDescent="0.2">
      <c r="A2093" s="7"/>
      <c r="B2093" s="7"/>
      <c r="C2093" s="7"/>
      <c r="D2093" s="7"/>
      <c r="E2093" s="7">
        <v>624053</v>
      </c>
      <c r="F2093" s="7"/>
      <c r="G2093" s="7" t="s">
        <v>620</v>
      </c>
      <c r="H2093" s="7"/>
      <c r="I2093" s="27" t="s">
        <v>133</v>
      </c>
      <c r="J2093" s="7"/>
      <c r="K2093" s="27" t="s">
        <v>2208</v>
      </c>
      <c r="L2093" s="7"/>
    </row>
    <row r="2094" spans="1:12" x14ac:dyDescent="0.2">
      <c r="A2094" s="7"/>
      <c r="B2094" s="7"/>
      <c r="C2094" s="7"/>
      <c r="D2094" s="7"/>
      <c r="E2094" s="7">
        <v>624054</v>
      </c>
      <c r="F2094" s="7"/>
      <c r="G2094" s="7" t="s">
        <v>880</v>
      </c>
      <c r="H2094" s="7"/>
      <c r="I2094" s="27" t="s">
        <v>133</v>
      </c>
      <c r="J2094" s="7"/>
      <c r="K2094" s="27" t="s">
        <v>2208</v>
      </c>
      <c r="L2094" s="7"/>
    </row>
    <row r="2095" spans="1:12" x14ac:dyDescent="0.2">
      <c r="A2095" s="7"/>
      <c r="B2095" s="7"/>
      <c r="C2095" s="7"/>
      <c r="D2095" s="7"/>
      <c r="E2095" s="7">
        <v>624055</v>
      </c>
      <c r="F2095" s="7"/>
      <c r="G2095" s="7" t="s">
        <v>1771</v>
      </c>
      <c r="H2095" s="7"/>
      <c r="I2095" s="27" t="s">
        <v>133</v>
      </c>
      <c r="J2095" s="7"/>
      <c r="K2095" s="27" t="s">
        <v>2208</v>
      </c>
      <c r="L2095" s="7"/>
    </row>
    <row r="2096" spans="1:12" x14ac:dyDescent="0.2">
      <c r="A2096" s="7"/>
      <c r="B2096" s="7"/>
      <c r="C2096" s="7"/>
      <c r="D2096" s="7"/>
      <c r="E2096" s="7">
        <v>624056</v>
      </c>
      <c r="F2096" s="7"/>
      <c r="G2096" s="7" t="s">
        <v>1622</v>
      </c>
      <c r="H2096" s="7"/>
      <c r="I2096" s="27" t="s">
        <v>133</v>
      </c>
      <c r="J2096" s="7"/>
      <c r="K2096" s="27" t="s">
        <v>2208</v>
      </c>
      <c r="L2096" s="7"/>
    </row>
    <row r="2097" spans="1:12" x14ac:dyDescent="0.2">
      <c r="A2097" s="7"/>
      <c r="B2097" s="7"/>
      <c r="C2097" s="7"/>
      <c r="D2097" s="7"/>
      <c r="E2097" s="7">
        <v>624057</v>
      </c>
      <c r="F2097" s="7"/>
      <c r="G2097" s="7" t="s">
        <v>1772</v>
      </c>
      <c r="H2097" s="7"/>
      <c r="I2097" s="27" t="s">
        <v>133</v>
      </c>
      <c r="J2097" s="7"/>
      <c r="K2097" s="27" t="s">
        <v>2208</v>
      </c>
      <c r="L2097" s="7"/>
    </row>
    <row r="2098" spans="1:12" x14ac:dyDescent="0.2">
      <c r="A2098" s="7"/>
      <c r="B2098" s="7"/>
      <c r="C2098" s="7"/>
      <c r="D2098" s="7"/>
      <c r="E2098" s="7">
        <v>624058</v>
      </c>
      <c r="F2098" s="7"/>
      <c r="G2098" s="7" t="s">
        <v>1773</v>
      </c>
      <c r="H2098" s="7"/>
      <c r="I2098" s="27" t="s">
        <v>133</v>
      </c>
      <c r="J2098" s="7"/>
      <c r="K2098" s="27" t="s">
        <v>2208</v>
      </c>
      <c r="L2098" s="7"/>
    </row>
    <row r="2099" spans="1:12" x14ac:dyDescent="0.2">
      <c r="A2099" s="7"/>
      <c r="B2099" s="7"/>
      <c r="C2099" s="7"/>
      <c r="D2099" s="7"/>
      <c r="E2099" s="7">
        <v>624059</v>
      </c>
      <c r="F2099" s="7"/>
      <c r="G2099" s="7" t="s">
        <v>1774</v>
      </c>
      <c r="H2099" s="7"/>
      <c r="I2099" s="27" t="s">
        <v>616</v>
      </c>
      <c r="J2099" s="7"/>
      <c r="K2099" s="27" t="s">
        <v>2208</v>
      </c>
      <c r="L2099" s="7"/>
    </row>
    <row r="2100" spans="1:12" x14ac:dyDescent="0.2">
      <c r="A2100" s="7"/>
      <c r="B2100" s="7"/>
      <c r="C2100" s="7"/>
      <c r="D2100" s="7"/>
      <c r="E2100" s="7">
        <v>624060</v>
      </c>
      <c r="F2100" s="7"/>
      <c r="G2100" s="7" t="s">
        <v>1775</v>
      </c>
      <c r="H2100" s="7"/>
      <c r="I2100" s="27" t="s">
        <v>133</v>
      </c>
      <c r="J2100" s="7"/>
      <c r="K2100" s="27" t="s">
        <v>2208</v>
      </c>
      <c r="L2100" s="7"/>
    </row>
    <row r="2101" spans="1:12" x14ac:dyDescent="0.2">
      <c r="A2101" s="7"/>
      <c r="B2101" s="7"/>
      <c r="C2101" s="7"/>
      <c r="D2101" s="7"/>
      <c r="E2101" s="7">
        <v>624061</v>
      </c>
      <c r="F2101" s="7"/>
      <c r="G2101" s="7" t="s">
        <v>546</v>
      </c>
      <c r="H2101" s="7"/>
      <c r="I2101" s="27" t="s">
        <v>133</v>
      </c>
      <c r="J2101" s="7"/>
      <c r="K2101" s="27" t="s">
        <v>2208</v>
      </c>
      <c r="L2101" s="7"/>
    </row>
    <row r="2102" spans="1:12" x14ac:dyDescent="0.2">
      <c r="A2102" s="7"/>
      <c r="B2102" s="7"/>
      <c r="C2102" s="7"/>
      <c r="D2102" s="7"/>
      <c r="E2102" s="7">
        <v>624062</v>
      </c>
      <c r="F2102" s="7"/>
      <c r="G2102" s="7" t="s">
        <v>1776</v>
      </c>
      <c r="H2102" s="7"/>
      <c r="I2102" s="27" t="s">
        <v>133</v>
      </c>
      <c r="J2102" s="7"/>
      <c r="K2102" s="27" t="s">
        <v>2208</v>
      </c>
      <c r="L2102" s="7"/>
    </row>
    <row r="2103" spans="1:12" x14ac:dyDescent="0.2">
      <c r="A2103" s="7"/>
      <c r="B2103" s="7"/>
      <c r="C2103" s="7"/>
      <c r="D2103" s="7"/>
      <c r="E2103" s="7">
        <v>624063</v>
      </c>
      <c r="F2103" s="7"/>
      <c r="G2103" s="7" t="s">
        <v>1777</v>
      </c>
      <c r="H2103" s="7"/>
      <c r="I2103" s="27" t="s">
        <v>133</v>
      </c>
      <c r="J2103" s="7"/>
      <c r="K2103" s="27" t="s">
        <v>2208</v>
      </c>
      <c r="L2103" s="7"/>
    </row>
    <row r="2104" spans="1:12" x14ac:dyDescent="0.2">
      <c r="A2104" s="7"/>
      <c r="B2104" s="7"/>
      <c r="C2104" s="7"/>
      <c r="D2104" s="7"/>
      <c r="E2104" s="7">
        <v>624064</v>
      </c>
      <c r="F2104" s="7"/>
      <c r="G2104" s="7" t="s">
        <v>1778</v>
      </c>
      <c r="H2104" s="7"/>
      <c r="I2104" s="27" t="s">
        <v>133</v>
      </c>
      <c r="J2104" s="7"/>
      <c r="K2104" s="27" t="s">
        <v>2208</v>
      </c>
      <c r="L2104" s="7"/>
    </row>
    <row r="2105" spans="1:12" x14ac:dyDescent="0.2">
      <c r="A2105" s="7"/>
      <c r="B2105" s="7"/>
      <c r="C2105" s="7"/>
      <c r="D2105" s="7"/>
      <c r="E2105" s="7">
        <v>624065</v>
      </c>
      <c r="F2105" s="7"/>
      <c r="G2105" s="7" t="s">
        <v>1779</v>
      </c>
      <c r="H2105" s="7"/>
      <c r="I2105" s="27" t="s">
        <v>133</v>
      </c>
      <c r="J2105" s="7"/>
      <c r="K2105" s="27" t="s">
        <v>2208</v>
      </c>
      <c r="L2105" s="7"/>
    </row>
    <row r="2106" spans="1:12" x14ac:dyDescent="0.2">
      <c r="A2106" s="7"/>
      <c r="B2106" s="7"/>
      <c r="C2106" s="7"/>
      <c r="D2106" s="7"/>
      <c r="E2106" s="7">
        <v>624066</v>
      </c>
      <c r="F2106" s="7"/>
      <c r="G2106" s="7" t="s">
        <v>1780</v>
      </c>
      <c r="H2106" s="7"/>
      <c r="I2106" s="27" t="s">
        <v>133</v>
      </c>
      <c r="J2106" s="7"/>
      <c r="K2106" s="27" t="s">
        <v>2208</v>
      </c>
      <c r="L2106" s="7"/>
    </row>
    <row r="2107" spans="1:12" x14ac:dyDescent="0.2">
      <c r="A2107" s="7"/>
      <c r="B2107" s="7"/>
      <c r="C2107" s="7"/>
      <c r="D2107" s="7"/>
      <c r="E2107" s="7">
        <v>624067</v>
      </c>
      <c r="F2107" s="7"/>
      <c r="G2107" s="7" t="s">
        <v>1781</v>
      </c>
      <c r="H2107" s="7"/>
      <c r="I2107" s="27" t="s">
        <v>133</v>
      </c>
      <c r="J2107" s="7"/>
      <c r="K2107" s="27" t="s">
        <v>2208</v>
      </c>
      <c r="L2107" s="7"/>
    </row>
    <row r="2108" spans="1:12" x14ac:dyDescent="0.2">
      <c r="A2108" s="7"/>
      <c r="B2108" s="7"/>
      <c r="C2108" s="7"/>
      <c r="D2108" s="7"/>
      <c r="E2108" s="7">
        <v>624068</v>
      </c>
      <c r="F2108" s="7"/>
      <c r="G2108" s="7" t="s">
        <v>1782</v>
      </c>
      <c r="H2108" s="7"/>
      <c r="I2108" s="27" t="s">
        <v>47</v>
      </c>
      <c r="J2108" s="7"/>
      <c r="K2108" s="27" t="s">
        <v>2208</v>
      </c>
      <c r="L2108" s="7"/>
    </row>
    <row r="2109" spans="1:12" x14ac:dyDescent="0.2">
      <c r="A2109" s="7"/>
      <c r="B2109" s="7"/>
      <c r="C2109" s="7"/>
      <c r="D2109" s="7"/>
      <c r="E2109" s="7">
        <v>624069</v>
      </c>
      <c r="F2109" s="7"/>
      <c r="G2109" s="7" t="s">
        <v>1783</v>
      </c>
      <c r="H2109" s="7"/>
      <c r="I2109" s="27" t="s">
        <v>47</v>
      </c>
      <c r="J2109" s="7"/>
      <c r="K2109" s="27" t="s">
        <v>2208</v>
      </c>
      <c r="L2109" s="7"/>
    </row>
    <row r="2110" spans="1:12" x14ac:dyDescent="0.2">
      <c r="A2110" s="7"/>
      <c r="B2110" s="7"/>
      <c r="C2110" s="7"/>
      <c r="D2110" s="7"/>
      <c r="E2110" s="7">
        <v>624070</v>
      </c>
      <c r="F2110" s="7"/>
      <c r="G2110" s="7" t="s">
        <v>1784</v>
      </c>
      <c r="H2110" s="7"/>
      <c r="I2110" s="27" t="s">
        <v>47</v>
      </c>
      <c r="J2110" s="7"/>
      <c r="K2110" s="27" t="s">
        <v>2208</v>
      </c>
      <c r="L2110" s="7"/>
    </row>
    <row r="2111" spans="1:12" x14ac:dyDescent="0.2">
      <c r="A2111" s="7"/>
      <c r="B2111" s="7"/>
      <c r="C2111" s="7"/>
      <c r="D2111" s="7"/>
      <c r="E2111" s="7">
        <v>624071</v>
      </c>
      <c r="F2111" s="7"/>
      <c r="G2111" s="7" t="s">
        <v>1785</v>
      </c>
      <c r="H2111" s="7"/>
      <c r="I2111" s="27" t="s">
        <v>47</v>
      </c>
      <c r="J2111" s="7"/>
      <c r="K2111" s="27" t="s">
        <v>2208</v>
      </c>
      <c r="L2111" s="7"/>
    </row>
    <row r="2112" spans="1:12" x14ac:dyDescent="0.2">
      <c r="A2112" s="7"/>
      <c r="B2112" s="7"/>
      <c r="C2112" s="7"/>
      <c r="D2112" s="7"/>
      <c r="E2112" s="7">
        <v>624072</v>
      </c>
      <c r="F2112" s="7"/>
      <c r="G2112" s="7" t="s">
        <v>1786</v>
      </c>
      <c r="H2112" s="7"/>
      <c r="I2112" s="27" t="s">
        <v>133</v>
      </c>
      <c r="J2112" s="7"/>
      <c r="K2112" s="27" t="s">
        <v>2208</v>
      </c>
      <c r="L2112" s="7"/>
    </row>
    <row r="2113" spans="1:12" x14ac:dyDescent="0.2">
      <c r="A2113" s="7"/>
      <c r="B2113" s="7"/>
      <c r="C2113" s="7"/>
      <c r="D2113" s="7"/>
      <c r="E2113" s="7">
        <v>624073</v>
      </c>
      <c r="F2113" s="7"/>
      <c r="G2113" s="7" t="s">
        <v>1787</v>
      </c>
      <c r="H2113" s="7"/>
      <c r="I2113" s="27" t="s">
        <v>133</v>
      </c>
      <c r="J2113" s="7"/>
      <c r="K2113" s="27" t="s">
        <v>2208</v>
      </c>
      <c r="L2113" s="7"/>
    </row>
    <row r="2114" spans="1:12" x14ac:dyDescent="0.2">
      <c r="A2114" s="7"/>
      <c r="B2114" s="7"/>
      <c r="C2114" s="7"/>
      <c r="D2114" s="7"/>
      <c r="E2114" s="7">
        <v>624074</v>
      </c>
      <c r="F2114" s="7"/>
      <c r="G2114" s="7" t="s">
        <v>1788</v>
      </c>
      <c r="H2114" s="7"/>
      <c r="I2114" s="27" t="s">
        <v>133</v>
      </c>
      <c r="J2114" s="7"/>
      <c r="K2114" s="27" t="s">
        <v>2208</v>
      </c>
      <c r="L2114" s="7"/>
    </row>
    <row r="2115" spans="1:12" x14ac:dyDescent="0.2">
      <c r="A2115" s="7"/>
      <c r="B2115" s="7"/>
      <c r="C2115" s="7"/>
      <c r="D2115" s="7"/>
      <c r="E2115" s="7">
        <v>624075</v>
      </c>
      <c r="F2115" s="7"/>
      <c r="G2115" s="7" t="s">
        <v>1789</v>
      </c>
      <c r="H2115" s="7"/>
      <c r="I2115" s="27" t="s">
        <v>133</v>
      </c>
      <c r="J2115" s="7"/>
      <c r="K2115" s="27" t="s">
        <v>2208</v>
      </c>
      <c r="L2115" s="7"/>
    </row>
    <row r="2116" spans="1:12" x14ac:dyDescent="0.2">
      <c r="A2116" s="7"/>
      <c r="B2116" s="7"/>
      <c r="C2116" s="7"/>
      <c r="D2116" s="7"/>
      <c r="E2116" s="7">
        <v>624076</v>
      </c>
      <c r="F2116" s="7"/>
      <c r="G2116" s="7" t="s">
        <v>1060</v>
      </c>
      <c r="H2116" s="7"/>
      <c r="I2116" s="27" t="s">
        <v>47</v>
      </c>
      <c r="J2116" s="7"/>
      <c r="K2116" s="27" t="s">
        <v>2208</v>
      </c>
      <c r="L2116" s="7"/>
    </row>
    <row r="2117" spans="1:12" x14ac:dyDescent="0.2">
      <c r="A2117" s="7"/>
      <c r="B2117" s="7"/>
      <c r="C2117" s="7"/>
      <c r="D2117" s="7"/>
      <c r="E2117" s="7">
        <v>624077</v>
      </c>
      <c r="F2117" s="7"/>
      <c r="G2117" s="7" t="s">
        <v>1790</v>
      </c>
      <c r="H2117" s="7"/>
      <c r="I2117" s="27" t="s">
        <v>47</v>
      </c>
      <c r="J2117" s="7"/>
      <c r="K2117" s="27" t="s">
        <v>2208</v>
      </c>
      <c r="L2117" s="7"/>
    </row>
    <row r="2118" spans="1:12" x14ac:dyDescent="0.2">
      <c r="A2118" s="7"/>
      <c r="B2118" s="7"/>
      <c r="C2118" s="7"/>
      <c r="D2118" s="7"/>
      <c r="E2118" s="7">
        <v>624078</v>
      </c>
      <c r="F2118" s="7"/>
      <c r="G2118" s="7" t="s">
        <v>1063</v>
      </c>
      <c r="H2118" s="7"/>
      <c r="I2118" s="27" t="s">
        <v>47</v>
      </c>
      <c r="J2118" s="7"/>
      <c r="K2118" s="27" t="s">
        <v>2208</v>
      </c>
      <c r="L2118" s="7"/>
    </row>
    <row r="2119" spans="1:12" x14ac:dyDescent="0.2">
      <c r="A2119" s="7"/>
      <c r="B2119" s="7"/>
      <c r="C2119" s="7"/>
      <c r="D2119" s="7"/>
      <c r="E2119" s="7">
        <v>624079</v>
      </c>
      <c r="F2119" s="7"/>
      <c r="G2119" s="7" t="s">
        <v>1791</v>
      </c>
      <c r="H2119" s="7"/>
      <c r="I2119" s="27" t="s">
        <v>47</v>
      </c>
      <c r="J2119" s="7"/>
      <c r="K2119" s="27" t="s">
        <v>2208</v>
      </c>
      <c r="L2119" s="7"/>
    </row>
    <row r="2120" spans="1:12" x14ac:dyDescent="0.2">
      <c r="A2120" s="7"/>
      <c r="B2120" s="7"/>
      <c r="C2120" s="7"/>
      <c r="D2120" s="7"/>
      <c r="E2120" s="7">
        <v>624080</v>
      </c>
      <c r="F2120" s="7"/>
      <c r="G2120" s="7" t="s">
        <v>1792</v>
      </c>
      <c r="H2120" s="7"/>
      <c r="I2120" s="27" t="s">
        <v>47</v>
      </c>
      <c r="J2120" s="7"/>
      <c r="K2120" s="27" t="s">
        <v>2208</v>
      </c>
      <c r="L2120" s="7"/>
    </row>
    <row r="2121" spans="1:12" x14ac:dyDescent="0.2">
      <c r="A2121" s="7"/>
      <c r="B2121" s="7"/>
      <c r="C2121" s="7"/>
      <c r="D2121" s="7"/>
      <c r="E2121" s="7">
        <v>624081</v>
      </c>
      <c r="F2121" s="7"/>
      <c r="G2121" s="7" t="s">
        <v>1793</v>
      </c>
      <c r="H2121" s="7"/>
      <c r="I2121" s="27" t="s">
        <v>47</v>
      </c>
      <c r="J2121" s="7"/>
      <c r="K2121" s="27" t="s">
        <v>2208</v>
      </c>
      <c r="L2121" s="7"/>
    </row>
    <row r="2122" spans="1:12" x14ac:dyDescent="0.2">
      <c r="A2122" s="7"/>
      <c r="B2122" s="7"/>
      <c r="C2122" s="7"/>
      <c r="D2122" s="7"/>
      <c r="E2122" s="7">
        <v>624082</v>
      </c>
      <c r="F2122" s="7"/>
      <c r="G2122" s="7" t="s">
        <v>1794</v>
      </c>
      <c r="H2122" s="7"/>
      <c r="I2122" s="27" t="s">
        <v>47</v>
      </c>
      <c r="J2122" s="7"/>
      <c r="K2122" s="27" t="s">
        <v>2208</v>
      </c>
      <c r="L2122" s="7"/>
    </row>
    <row r="2123" spans="1:12" x14ac:dyDescent="0.2">
      <c r="A2123" s="7"/>
      <c r="B2123" s="7"/>
      <c r="C2123" s="7"/>
      <c r="D2123" s="7"/>
      <c r="E2123" s="7">
        <v>624083</v>
      </c>
      <c r="F2123" s="7"/>
      <c r="G2123" s="7" t="s">
        <v>1795</v>
      </c>
      <c r="H2123" s="7"/>
      <c r="I2123" s="27" t="s">
        <v>47</v>
      </c>
      <c r="J2123" s="7"/>
      <c r="K2123" s="27" t="s">
        <v>2208</v>
      </c>
      <c r="L2123" s="7"/>
    </row>
    <row r="2124" spans="1:12" x14ac:dyDescent="0.2">
      <c r="A2124" s="7"/>
      <c r="B2124" s="7"/>
      <c r="C2124" s="7"/>
      <c r="D2124" s="7"/>
      <c r="E2124" s="7">
        <v>624084</v>
      </c>
      <c r="F2124" s="7"/>
      <c r="G2124" s="7" t="s">
        <v>666</v>
      </c>
      <c r="H2124" s="7"/>
      <c r="I2124" s="27" t="s">
        <v>47</v>
      </c>
      <c r="J2124" s="7"/>
      <c r="K2124" s="27" t="s">
        <v>2208</v>
      </c>
      <c r="L2124" s="7"/>
    </row>
    <row r="2125" spans="1:12" x14ac:dyDescent="0.2">
      <c r="A2125" s="7"/>
      <c r="B2125" s="7"/>
      <c r="C2125" s="7"/>
      <c r="D2125" s="7"/>
      <c r="E2125" s="7">
        <v>624085</v>
      </c>
      <c r="F2125" s="7"/>
      <c r="G2125" s="7" t="s">
        <v>1796</v>
      </c>
      <c r="H2125" s="7"/>
      <c r="I2125" s="27" t="s">
        <v>47</v>
      </c>
      <c r="J2125" s="7"/>
      <c r="K2125" s="27" t="s">
        <v>2208</v>
      </c>
      <c r="L2125" s="7"/>
    </row>
    <row r="2126" spans="1:12" x14ac:dyDescent="0.2">
      <c r="A2126" s="7"/>
      <c r="B2126" s="7"/>
      <c r="C2126" s="7"/>
      <c r="D2126" s="7"/>
      <c r="E2126" s="7">
        <v>624086</v>
      </c>
      <c r="F2126" s="7"/>
      <c r="G2126" s="7" t="s">
        <v>1797</v>
      </c>
      <c r="H2126" s="7"/>
      <c r="I2126" s="27" t="s">
        <v>47</v>
      </c>
      <c r="J2126" s="7"/>
      <c r="K2126" s="27" t="s">
        <v>2208</v>
      </c>
      <c r="L2126" s="7"/>
    </row>
    <row r="2127" spans="1:12" x14ac:dyDescent="0.2">
      <c r="A2127" s="7"/>
      <c r="B2127" s="7"/>
      <c r="C2127" s="7"/>
      <c r="D2127" s="7"/>
      <c r="E2127" s="7">
        <v>624087</v>
      </c>
      <c r="F2127" s="7"/>
      <c r="G2127" s="7" t="s">
        <v>1798</v>
      </c>
      <c r="H2127" s="7"/>
      <c r="I2127" s="27" t="s">
        <v>47</v>
      </c>
      <c r="J2127" s="7"/>
      <c r="K2127" s="27" t="s">
        <v>2208</v>
      </c>
      <c r="L2127" s="7"/>
    </row>
    <row r="2128" spans="1:12" x14ac:dyDescent="0.2">
      <c r="A2128" s="7"/>
      <c r="B2128" s="7"/>
      <c r="C2128" s="7"/>
      <c r="D2128" s="7"/>
      <c r="E2128" s="7">
        <v>624088</v>
      </c>
      <c r="F2128" s="7"/>
      <c r="G2128" s="7" t="s">
        <v>1799</v>
      </c>
      <c r="H2128" s="7"/>
      <c r="I2128" s="27" t="s">
        <v>47</v>
      </c>
      <c r="J2128" s="7"/>
      <c r="K2128" s="27" t="s">
        <v>2208</v>
      </c>
      <c r="L2128" s="7"/>
    </row>
    <row r="2129" spans="1:12" x14ac:dyDescent="0.2">
      <c r="A2129" s="7"/>
      <c r="B2129" s="7"/>
      <c r="C2129" s="7"/>
      <c r="D2129" s="7"/>
      <c r="E2129" s="7">
        <v>624089</v>
      </c>
      <c r="F2129" s="7"/>
      <c r="G2129" s="7" t="s">
        <v>1800</v>
      </c>
      <c r="H2129" s="7"/>
      <c r="I2129" s="27" t="s">
        <v>47</v>
      </c>
      <c r="J2129" s="7"/>
      <c r="K2129" s="27" t="s">
        <v>2208</v>
      </c>
      <c r="L2129" s="7"/>
    </row>
    <row r="2130" spans="1:12" x14ac:dyDescent="0.2">
      <c r="A2130" s="7"/>
      <c r="B2130" s="7"/>
      <c r="C2130" s="7"/>
      <c r="D2130" s="7"/>
      <c r="E2130" s="7">
        <v>624090</v>
      </c>
      <c r="F2130" s="7"/>
      <c r="G2130" s="7" t="s">
        <v>1801</v>
      </c>
      <c r="H2130" s="7"/>
      <c r="I2130" s="27" t="s">
        <v>47</v>
      </c>
      <c r="J2130" s="7"/>
      <c r="K2130" s="27" t="s">
        <v>2208</v>
      </c>
      <c r="L2130" s="7"/>
    </row>
    <row r="2131" spans="1:12" x14ac:dyDescent="0.2">
      <c r="A2131" s="7"/>
      <c r="B2131" s="7"/>
      <c r="C2131" s="7"/>
      <c r="D2131" s="7"/>
      <c r="E2131" s="7">
        <v>624091</v>
      </c>
      <c r="F2131" s="7"/>
      <c r="G2131" s="7" t="s">
        <v>1802</v>
      </c>
      <c r="H2131" s="7"/>
      <c r="I2131" s="27" t="s">
        <v>47</v>
      </c>
      <c r="J2131" s="7"/>
      <c r="K2131" s="27" t="s">
        <v>2208</v>
      </c>
      <c r="L2131" s="7"/>
    </row>
    <row r="2132" spans="1:12" x14ac:dyDescent="0.2">
      <c r="A2132" s="7"/>
      <c r="B2132" s="7"/>
      <c r="C2132" s="7"/>
      <c r="D2132" s="7"/>
      <c r="E2132" s="7">
        <v>624092</v>
      </c>
      <c r="F2132" s="7"/>
      <c r="G2132" s="7" t="s">
        <v>1803</v>
      </c>
      <c r="H2132" s="7"/>
      <c r="I2132" s="27" t="s">
        <v>71</v>
      </c>
      <c r="J2132" s="7"/>
      <c r="K2132" s="27" t="s">
        <v>2208</v>
      </c>
      <c r="L2132" s="7"/>
    </row>
    <row r="2133" spans="1:12" x14ac:dyDescent="0.2">
      <c r="A2133" s="7"/>
      <c r="B2133" s="7"/>
      <c r="C2133" s="7"/>
      <c r="D2133" s="7"/>
      <c r="E2133" s="7">
        <v>624093</v>
      </c>
      <c r="F2133" s="7"/>
      <c r="G2133" s="7" t="s">
        <v>1804</v>
      </c>
      <c r="H2133" s="7"/>
      <c r="I2133" s="27" t="s">
        <v>71</v>
      </c>
      <c r="J2133" s="7"/>
      <c r="K2133" s="27" t="s">
        <v>2208</v>
      </c>
      <c r="L2133" s="7"/>
    </row>
    <row r="2134" spans="1:12" x14ac:dyDescent="0.2">
      <c r="A2134" s="7"/>
      <c r="B2134" s="7"/>
      <c r="C2134" s="7"/>
      <c r="D2134" s="7"/>
      <c r="E2134" s="7">
        <v>624094</v>
      </c>
      <c r="F2134" s="7"/>
      <c r="G2134" s="7" t="s">
        <v>1805</v>
      </c>
      <c r="H2134" s="7"/>
      <c r="I2134" s="27" t="s">
        <v>71</v>
      </c>
      <c r="J2134" s="7"/>
      <c r="K2134" s="27" t="s">
        <v>2208</v>
      </c>
      <c r="L2134" s="7"/>
    </row>
    <row r="2135" spans="1:12" x14ac:dyDescent="0.2">
      <c r="A2135" s="7"/>
      <c r="B2135" s="7"/>
      <c r="C2135" s="7"/>
      <c r="D2135" s="7"/>
      <c r="E2135" s="7">
        <v>624095</v>
      </c>
      <c r="F2135" s="7"/>
      <c r="G2135" s="7" t="s">
        <v>1806</v>
      </c>
      <c r="H2135" s="7"/>
      <c r="I2135" s="27" t="s">
        <v>71</v>
      </c>
      <c r="J2135" s="7"/>
      <c r="K2135" s="27" t="s">
        <v>2208</v>
      </c>
      <c r="L2135" s="7"/>
    </row>
    <row r="2136" spans="1:12" x14ac:dyDescent="0.2">
      <c r="A2136" s="7"/>
      <c r="B2136" s="7"/>
      <c r="C2136" s="7"/>
      <c r="D2136" s="7"/>
      <c r="E2136" s="7">
        <v>624096</v>
      </c>
      <c r="F2136" s="7"/>
      <c r="G2136" s="7" t="s">
        <v>1807</v>
      </c>
      <c r="H2136" s="7"/>
      <c r="I2136" s="27" t="s">
        <v>71</v>
      </c>
      <c r="J2136" s="7"/>
      <c r="K2136" s="27" t="s">
        <v>2208</v>
      </c>
      <c r="L2136" s="7"/>
    </row>
    <row r="2137" spans="1:12" x14ac:dyDescent="0.2">
      <c r="A2137" s="7"/>
      <c r="B2137" s="7"/>
      <c r="C2137" s="7"/>
      <c r="D2137" s="7"/>
      <c r="E2137" s="7">
        <v>624097</v>
      </c>
      <c r="F2137" s="7"/>
      <c r="G2137" s="7" t="s">
        <v>1808</v>
      </c>
      <c r="H2137" s="7"/>
      <c r="I2137" s="27" t="s">
        <v>71</v>
      </c>
      <c r="J2137" s="7"/>
      <c r="K2137" s="27" t="s">
        <v>2208</v>
      </c>
      <c r="L2137" s="7"/>
    </row>
    <row r="2138" spans="1:12" x14ac:dyDescent="0.2">
      <c r="A2138" s="7"/>
      <c r="B2138" s="7"/>
      <c r="C2138" s="7"/>
      <c r="D2138" s="7"/>
      <c r="E2138" s="7">
        <v>624098</v>
      </c>
      <c r="F2138" s="7"/>
      <c r="G2138" s="7" t="s">
        <v>1809</v>
      </c>
      <c r="H2138" s="7"/>
      <c r="I2138" s="27" t="s">
        <v>71</v>
      </c>
      <c r="J2138" s="7"/>
      <c r="K2138" s="27" t="s">
        <v>2208</v>
      </c>
      <c r="L2138" s="7"/>
    </row>
    <row r="2139" spans="1:12" x14ac:dyDescent="0.2">
      <c r="A2139" s="7"/>
      <c r="B2139" s="7"/>
      <c r="C2139" s="7"/>
      <c r="D2139" s="7"/>
      <c r="E2139" s="7">
        <v>624099</v>
      </c>
      <c r="F2139" s="7"/>
      <c r="G2139" s="7" t="s">
        <v>1810</v>
      </c>
      <c r="H2139" s="7"/>
      <c r="I2139" s="27" t="s">
        <v>71</v>
      </c>
      <c r="J2139" s="7"/>
      <c r="K2139" s="27" t="s">
        <v>2208</v>
      </c>
      <c r="L2139" s="7"/>
    </row>
    <row r="2140" spans="1:12" x14ac:dyDescent="0.2">
      <c r="A2140" s="7"/>
      <c r="B2140" s="7"/>
      <c r="C2140" s="7"/>
      <c r="D2140" s="7"/>
      <c r="E2140" s="7">
        <v>624100</v>
      </c>
      <c r="F2140" s="7"/>
      <c r="G2140" s="7" t="s">
        <v>1811</v>
      </c>
      <c r="H2140" s="7"/>
      <c r="I2140" s="27" t="s">
        <v>71</v>
      </c>
      <c r="J2140" s="7"/>
      <c r="K2140" s="27" t="s">
        <v>2208</v>
      </c>
      <c r="L2140" s="7"/>
    </row>
    <row r="2141" spans="1:12" x14ac:dyDescent="0.2">
      <c r="A2141" s="7"/>
      <c r="B2141" s="7"/>
      <c r="C2141" s="7"/>
      <c r="D2141" s="7"/>
      <c r="E2141" s="7">
        <v>624101</v>
      </c>
      <c r="F2141" s="7"/>
      <c r="G2141" s="7" t="s">
        <v>1812</v>
      </c>
      <c r="H2141" s="7"/>
      <c r="I2141" s="27" t="s">
        <v>71</v>
      </c>
      <c r="J2141" s="7"/>
      <c r="K2141" s="27" t="s">
        <v>2208</v>
      </c>
      <c r="L2141" s="7"/>
    </row>
    <row r="2142" spans="1:12" x14ac:dyDescent="0.2">
      <c r="A2142" s="7"/>
      <c r="B2142" s="7"/>
      <c r="C2142" s="7"/>
      <c r="D2142" s="7"/>
      <c r="E2142" s="7">
        <v>624102</v>
      </c>
      <c r="F2142" s="7"/>
      <c r="G2142" s="7" t="s">
        <v>1813</v>
      </c>
      <c r="H2142" s="7"/>
      <c r="I2142" s="27" t="s">
        <v>71</v>
      </c>
      <c r="J2142" s="7"/>
      <c r="K2142" s="27" t="s">
        <v>2208</v>
      </c>
      <c r="L2142" s="7"/>
    </row>
    <row r="2143" spans="1:12" x14ac:dyDescent="0.2">
      <c r="A2143" s="7"/>
      <c r="B2143" s="7"/>
      <c r="C2143" s="7"/>
      <c r="D2143" s="7"/>
      <c r="E2143" s="7">
        <v>624103</v>
      </c>
      <c r="F2143" s="7"/>
      <c r="G2143" s="7" t="s">
        <v>1814</v>
      </c>
      <c r="H2143" s="7"/>
      <c r="I2143" s="27" t="s">
        <v>71</v>
      </c>
      <c r="J2143" s="7"/>
      <c r="K2143" s="27" t="s">
        <v>2208</v>
      </c>
      <c r="L2143" s="7"/>
    </row>
    <row r="2144" spans="1:12" x14ac:dyDescent="0.2">
      <c r="A2144" s="7"/>
      <c r="B2144" s="7"/>
      <c r="C2144" s="7"/>
      <c r="D2144" s="7"/>
      <c r="E2144" s="7">
        <v>624104</v>
      </c>
      <c r="F2144" s="7"/>
      <c r="G2144" s="7" t="s">
        <v>1815</v>
      </c>
      <c r="H2144" s="7"/>
      <c r="I2144" s="27" t="s">
        <v>71</v>
      </c>
      <c r="J2144" s="7"/>
      <c r="K2144" s="27" t="s">
        <v>2208</v>
      </c>
      <c r="L2144" s="7"/>
    </row>
    <row r="2145" spans="1:12" x14ac:dyDescent="0.2">
      <c r="A2145" s="7"/>
      <c r="B2145" s="7"/>
      <c r="C2145" s="7"/>
      <c r="D2145" s="7"/>
      <c r="E2145" s="7">
        <v>624105</v>
      </c>
      <c r="F2145" s="7"/>
      <c r="G2145" s="7" t="s">
        <v>1816</v>
      </c>
      <c r="H2145" s="7"/>
      <c r="I2145" s="27" t="s">
        <v>71</v>
      </c>
      <c r="J2145" s="7"/>
      <c r="K2145" s="27" t="s">
        <v>2208</v>
      </c>
      <c r="L2145" s="7"/>
    </row>
    <row r="2146" spans="1:12" x14ac:dyDescent="0.2">
      <c r="A2146" s="7"/>
      <c r="B2146" s="7"/>
      <c r="C2146" s="7"/>
      <c r="D2146" s="7"/>
      <c r="E2146" s="7">
        <v>624106</v>
      </c>
      <c r="F2146" s="7"/>
      <c r="G2146" s="7" t="s">
        <v>1817</v>
      </c>
      <c r="H2146" s="7"/>
      <c r="I2146" s="27" t="s">
        <v>47</v>
      </c>
      <c r="J2146" s="7"/>
      <c r="K2146" s="27" t="s">
        <v>2208</v>
      </c>
      <c r="L2146" s="7"/>
    </row>
    <row r="2147" spans="1:12" x14ac:dyDescent="0.2">
      <c r="A2147" s="7"/>
      <c r="B2147" s="7"/>
      <c r="C2147" s="7"/>
      <c r="D2147" s="7"/>
      <c r="E2147" s="7">
        <v>624107</v>
      </c>
      <c r="F2147" s="7"/>
      <c r="G2147" s="7" t="s">
        <v>1818</v>
      </c>
      <c r="H2147" s="7"/>
      <c r="I2147" s="27" t="s">
        <v>47</v>
      </c>
      <c r="J2147" s="7"/>
      <c r="K2147" s="27" t="s">
        <v>2208</v>
      </c>
      <c r="L2147" s="7"/>
    </row>
    <row r="2148" spans="1:12" x14ac:dyDescent="0.2">
      <c r="A2148" s="7"/>
      <c r="B2148" s="7"/>
      <c r="C2148" s="7"/>
      <c r="D2148" s="7"/>
      <c r="E2148" s="7">
        <v>624108</v>
      </c>
      <c r="F2148" s="7"/>
      <c r="G2148" s="7" t="s">
        <v>1819</v>
      </c>
      <c r="H2148" s="7"/>
      <c r="I2148" s="27" t="s">
        <v>47</v>
      </c>
      <c r="J2148" s="7"/>
      <c r="K2148" s="27" t="s">
        <v>2208</v>
      </c>
      <c r="L2148" s="7"/>
    </row>
    <row r="2149" spans="1:12" x14ac:dyDescent="0.2">
      <c r="A2149" s="7"/>
      <c r="B2149" s="7"/>
      <c r="C2149" s="7"/>
      <c r="D2149" s="7"/>
      <c r="E2149" s="7">
        <v>624109</v>
      </c>
      <c r="F2149" s="7"/>
      <c r="G2149" s="7" t="s">
        <v>1820</v>
      </c>
      <c r="H2149" s="7"/>
      <c r="I2149" s="27" t="s">
        <v>47</v>
      </c>
      <c r="J2149" s="7"/>
      <c r="K2149" s="27" t="s">
        <v>2208</v>
      </c>
      <c r="L2149" s="7"/>
    </row>
    <row r="2150" spans="1:12" x14ac:dyDescent="0.2">
      <c r="A2150" s="7"/>
      <c r="B2150" s="7"/>
      <c r="C2150" s="7"/>
      <c r="D2150" s="7"/>
      <c r="E2150" s="7">
        <v>624110</v>
      </c>
      <c r="F2150" s="7"/>
      <c r="G2150" s="7" t="s">
        <v>1821</v>
      </c>
      <c r="H2150" s="7"/>
      <c r="I2150" s="27" t="s">
        <v>133</v>
      </c>
      <c r="J2150" s="7"/>
      <c r="K2150" s="27" t="s">
        <v>2208</v>
      </c>
      <c r="L2150" s="7"/>
    </row>
    <row r="2151" spans="1:12" x14ac:dyDescent="0.2">
      <c r="A2151" s="7"/>
      <c r="B2151" s="7"/>
      <c r="C2151" s="7"/>
      <c r="D2151" s="7"/>
      <c r="E2151" s="7">
        <v>624111</v>
      </c>
      <c r="F2151" s="7"/>
      <c r="G2151" s="7" t="s">
        <v>1822</v>
      </c>
      <c r="H2151" s="7"/>
      <c r="I2151" s="27" t="s">
        <v>133</v>
      </c>
      <c r="J2151" s="7"/>
      <c r="K2151" s="27" t="s">
        <v>2208</v>
      </c>
      <c r="L2151" s="7"/>
    </row>
    <row r="2152" spans="1:12" x14ac:dyDescent="0.2">
      <c r="A2152" s="7"/>
      <c r="B2152" s="7"/>
      <c r="C2152" s="7"/>
      <c r="D2152" s="7"/>
      <c r="E2152" s="7">
        <v>624112</v>
      </c>
      <c r="F2152" s="7"/>
      <c r="G2152" s="7" t="s">
        <v>1823</v>
      </c>
      <c r="H2152" s="7"/>
      <c r="I2152" s="27" t="s">
        <v>133</v>
      </c>
      <c r="J2152" s="7"/>
      <c r="K2152" s="27" t="s">
        <v>2208</v>
      </c>
      <c r="L2152" s="7"/>
    </row>
    <row r="2153" spans="1:12" x14ac:dyDescent="0.2">
      <c r="A2153" s="7"/>
      <c r="B2153" s="7"/>
      <c r="C2153" s="7"/>
      <c r="D2153" s="7"/>
      <c r="E2153" s="7">
        <v>624113</v>
      </c>
      <c r="F2153" s="7"/>
      <c r="G2153" s="7" t="s">
        <v>1824</v>
      </c>
      <c r="H2153" s="7"/>
      <c r="I2153" s="27" t="s">
        <v>133</v>
      </c>
      <c r="J2153" s="7"/>
      <c r="K2153" s="27" t="s">
        <v>2208</v>
      </c>
      <c r="L2153" s="7"/>
    </row>
    <row r="2154" spans="1:12" x14ac:dyDescent="0.2">
      <c r="A2154" s="7"/>
      <c r="B2154" s="7"/>
      <c r="C2154" s="7"/>
      <c r="D2154" s="7"/>
      <c r="E2154" s="7">
        <v>624114</v>
      </c>
      <c r="F2154" s="7"/>
      <c r="G2154" s="7" t="s">
        <v>1825</v>
      </c>
      <c r="H2154" s="7"/>
      <c r="I2154" s="27" t="s">
        <v>133</v>
      </c>
      <c r="J2154" s="7"/>
      <c r="K2154" s="27" t="s">
        <v>2208</v>
      </c>
      <c r="L2154" s="7"/>
    </row>
    <row r="2155" spans="1:12" x14ac:dyDescent="0.2">
      <c r="A2155" s="7"/>
      <c r="B2155" s="7"/>
      <c r="C2155" s="7"/>
      <c r="D2155" s="7"/>
      <c r="E2155" s="7">
        <v>624115</v>
      </c>
      <c r="F2155" s="7"/>
      <c r="G2155" s="7" t="s">
        <v>1826</v>
      </c>
      <c r="H2155" s="7"/>
      <c r="I2155" s="27" t="s">
        <v>71</v>
      </c>
      <c r="J2155" s="7"/>
      <c r="K2155" s="27" t="s">
        <v>2208</v>
      </c>
      <c r="L2155" s="7"/>
    </row>
    <row r="2156" spans="1:12" x14ac:dyDescent="0.2">
      <c r="A2156" s="7"/>
      <c r="B2156" s="7"/>
      <c r="C2156" s="7"/>
      <c r="D2156" s="7"/>
      <c r="E2156" s="7">
        <v>624116</v>
      </c>
      <c r="F2156" s="7"/>
      <c r="G2156" s="7" t="s">
        <v>1827</v>
      </c>
      <c r="H2156" s="7"/>
      <c r="I2156" s="27" t="s">
        <v>133</v>
      </c>
      <c r="J2156" s="7"/>
      <c r="K2156" s="27" t="s">
        <v>2208</v>
      </c>
      <c r="L2156" s="7"/>
    </row>
    <row r="2157" spans="1:12" x14ac:dyDescent="0.2">
      <c r="A2157" s="7"/>
      <c r="B2157" s="7"/>
      <c r="C2157" s="7"/>
      <c r="D2157" s="7"/>
      <c r="E2157" s="7">
        <v>624117</v>
      </c>
      <c r="F2157" s="7"/>
      <c r="G2157" s="7" t="s">
        <v>1828</v>
      </c>
      <c r="H2157" s="7"/>
      <c r="I2157" s="27" t="s">
        <v>133</v>
      </c>
      <c r="J2157" s="7"/>
      <c r="K2157" s="27" t="s">
        <v>2208</v>
      </c>
      <c r="L2157" s="7"/>
    </row>
    <row r="2158" spans="1:12" x14ac:dyDescent="0.2">
      <c r="A2158" s="7"/>
      <c r="B2158" s="7"/>
      <c r="C2158" s="7"/>
      <c r="D2158" s="7"/>
      <c r="E2158" s="7">
        <v>624118</v>
      </c>
      <c r="F2158" s="7"/>
      <c r="G2158" s="7" t="s">
        <v>1829</v>
      </c>
      <c r="H2158" s="7"/>
      <c r="I2158" s="27" t="s">
        <v>133</v>
      </c>
      <c r="J2158" s="7"/>
      <c r="K2158" s="27" t="s">
        <v>2208</v>
      </c>
      <c r="L2158" s="7"/>
    </row>
    <row r="2159" spans="1:12" x14ac:dyDescent="0.2">
      <c r="A2159" s="7"/>
      <c r="B2159" s="7"/>
      <c r="C2159" s="7"/>
      <c r="D2159" s="7"/>
      <c r="E2159" s="7">
        <v>624119</v>
      </c>
      <c r="F2159" s="7"/>
      <c r="G2159" s="7" t="s">
        <v>1830</v>
      </c>
      <c r="H2159" s="7"/>
      <c r="I2159" s="27" t="s">
        <v>133</v>
      </c>
      <c r="J2159" s="7"/>
      <c r="K2159" s="27" t="s">
        <v>2208</v>
      </c>
      <c r="L2159" s="7"/>
    </row>
    <row r="2160" spans="1:12" x14ac:dyDescent="0.2">
      <c r="A2160" s="7"/>
      <c r="B2160" s="7"/>
      <c r="C2160" s="7"/>
      <c r="D2160" s="7"/>
      <c r="E2160" s="7">
        <v>624120</v>
      </c>
      <c r="F2160" s="7"/>
      <c r="G2160" s="7" t="s">
        <v>1831</v>
      </c>
      <c r="H2160" s="7"/>
      <c r="I2160" s="27" t="s">
        <v>133</v>
      </c>
      <c r="J2160" s="7"/>
      <c r="K2160" s="27" t="s">
        <v>2208</v>
      </c>
      <c r="L2160" s="7"/>
    </row>
    <row r="2161" spans="1:12" x14ac:dyDescent="0.2">
      <c r="A2161" s="7"/>
      <c r="B2161" s="7"/>
      <c r="C2161" s="7"/>
      <c r="D2161" s="7"/>
      <c r="E2161" s="7">
        <v>624121</v>
      </c>
      <c r="F2161" s="7"/>
      <c r="G2161" s="7" t="s">
        <v>839</v>
      </c>
      <c r="H2161" s="7"/>
      <c r="I2161" s="27" t="s">
        <v>133</v>
      </c>
      <c r="J2161" s="7"/>
      <c r="K2161" s="27" t="s">
        <v>2208</v>
      </c>
      <c r="L2161" s="7"/>
    </row>
    <row r="2162" spans="1:12" x14ac:dyDescent="0.2">
      <c r="A2162" s="7"/>
      <c r="B2162" s="7"/>
      <c r="C2162" s="7"/>
      <c r="D2162" s="7"/>
      <c r="E2162" s="7">
        <v>624122</v>
      </c>
      <c r="F2162" s="7"/>
      <c r="G2162" s="7" t="s">
        <v>840</v>
      </c>
      <c r="H2162" s="7"/>
      <c r="I2162" s="27" t="s">
        <v>133</v>
      </c>
      <c r="J2162" s="7"/>
      <c r="K2162" s="27" t="s">
        <v>2208</v>
      </c>
      <c r="L2162" s="7"/>
    </row>
    <row r="2163" spans="1:12" x14ac:dyDescent="0.2">
      <c r="A2163" s="7"/>
      <c r="B2163" s="7"/>
      <c r="C2163" s="7"/>
      <c r="D2163" s="7"/>
      <c r="E2163" s="7">
        <v>624123</v>
      </c>
      <c r="F2163" s="7"/>
      <c r="G2163" s="7" t="s">
        <v>841</v>
      </c>
      <c r="H2163" s="7"/>
      <c r="I2163" s="27" t="s">
        <v>133</v>
      </c>
      <c r="J2163" s="7"/>
      <c r="K2163" s="27" t="s">
        <v>2208</v>
      </c>
      <c r="L2163" s="7"/>
    </row>
    <row r="2164" spans="1:12" x14ac:dyDescent="0.2">
      <c r="A2164" s="7"/>
      <c r="B2164" s="7"/>
      <c r="C2164" s="7"/>
      <c r="D2164" s="7"/>
      <c r="E2164" s="7">
        <v>624124</v>
      </c>
      <c r="F2164" s="7"/>
      <c r="G2164" s="7" t="s">
        <v>842</v>
      </c>
      <c r="H2164" s="7"/>
      <c r="I2164" s="27" t="s">
        <v>133</v>
      </c>
      <c r="J2164" s="7"/>
      <c r="K2164" s="27" t="s">
        <v>2208</v>
      </c>
      <c r="L2164" s="7"/>
    </row>
    <row r="2165" spans="1:12" x14ac:dyDescent="0.2">
      <c r="A2165" s="7"/>
      <c r="B2165" s="7"/>
      <c r="C2165" s="7"/>
      <c r="D2165" s="7"/>
      <c r="E2165" s="7">
        <v>624125</v>
      </c>
      <c r="F2165" s="7"/>
      <c r="G2165" s="7" t="s">
        <v>843</v>
      </c>
      <c r="H2165" s="7"/>
      <c r="I2165" s="27" t="s">
        <v>133</v>
      </c>
      <c r="J2165" s="7"/>
      <c r="K2165" s="27" t="s">
        <v>2208</v>
      </c>
      <c r="L2165" s="7"/>
    </row>
    <row r="2166" spans="1:12" x14ac:dyDescent="0.2">
      <c r="A2166" s="7"/>
      <c r="B2166" s="7"/>
      <c r="C2166" s="7"/>
      <c r="D2166" s="7"/>
      <c r="E2166" s="7">
        <v>624126</v>
      </c>
      <c r="F2166" s="7"/>
      <c r="G2166" s="7" t="s">
        <v>844</v>
      </c>
      <c r="H2166" s="7"/>
      <c r="I2166" s="27" t="s">
        <v>133</v>
      </c>
      <c r="J2166" s="7"/>
      <c r="K2166" s="27" t="s">
        <v>2208</v>
      </c>
      <c r="L2166" s="7"/>
    </row>
    <row r="2167" spans="1:12" x14ac:dyDescent="0.2">
      <c r="A2167" s="7"/>
      <c r="B2167" s="7"/>
      <c r="C2167" s="7"/>
      <c r="D2167" s="7"/>
      <c r="E2167" s="7">
        <v>624127</v>
      </c>
      <c r="F2167" s="7"/>
      <c r="G2167" s="7" t="s">
        <v>845</v>
      </c>
      <c r="H2167" s="7"/>
      <c r="I2167" s="27" t="s">
        <v>133</v>
      </c>
      <c r="J2167" s="7"/>
      <c r="K2167" s="27" t="s">
        <v>2208</v>
      </c>
      <c r="L2167" s="7"/>
    </row>
    <row r="2168" spans="1:12" x14ac:dyDescent="0.2">
      <c r="A2168" s="7"/>
      <c r="B2168" s="7"/>
      <c r="C2168" s="7"/>
      <c r="D2168" s="7"/>
      <c r="E2168" s="7">
        <v>624128</v>
      </c>
      <c r="F2168" s="7"/>
      <c r="G2168" s="7" t="s">
        <v>846</v>
      </c>
      <c r="H2168" s="7"/>
      <c r="I2168" s="27" t="s">
        <v>133</v>
      </c>
      <c r="J2168" s="7"/>
      <c r="K2168" s="27" t="s">
        <v>2208</v>
      </c>
      <c r="L2168" s="7"/>
    </row>
    <row r="2169" spans="1:12" x14ac:dyDescent="0.2">
      <c r="A2169" s="7"/>
      <c r="B2169" s="7"/>
      <c r="C2169" s="7"/>
      <c r="D2169" s="7"/>
      <c r="E2169" s="7">
        <v>624129</v>
      </c>
      <c r="F2169" s="7"/>
      <c r="G2169" s="7" t="s">
        <v>847</v>
      </c>
      <c r="H2169" s="7"/>
      <c r="I2169" s="27" t="s">
        <v>133</v>
      </c>
      <c r="J2169" s="7"/>
      <c r="K2169" s="27" t="s">
        <v>2208</v>
      </c>
      <c r="L2169" s="7"/>
    </row>
    <row r="2170" spans="1:12" x14ac:dyDescent="0.2">
      <c r="A2170" s="7"/>
      <c r="B2170" s="7"/>
      <c r="C2170" s="7"/>
      <c r="D2170" s="7"/>
      <c r="E2170" s="7">
        <v>624130</v>
      </c>
      <c r="F2170" s="7"/>
      <c r="G2170" s="7" t="s">
        <v>848</v>
      </c>
      <c r="H2170" s="7"/>
      <c r="I2170" s="27" t="s">
        <v>133</v>
      </c>
      <c r="J2170" s="7"/>
      <c r="K2170" s="27" t="s">
        <v>2208</v>
      </c>
      <c r="L2170" s="7"/>
    </row>
    <row r="2171" spans="1:12" x14ac:dyDescent="0.2">
      <c r="A2171" s="7"/>
      <c r="B2171" s="7"/>
      <c r="C2171" s="7"/>
      <c r="D2171" s="7"/>
      <c r="E2171" s="7">
        <v>624131</v>
      </c>
      <c r="F2171" s="7"/>
      <c r="G2171" s="7" t="s">
        <v>849</v>
      </c>
      <c r="H2171" s="7"/>
      <c r="I2171" s="27" t="s">
        <v>133</v>
      </c>
      <c r="J2171" s="7"/>
      <c r="K2171" s="27" t="s">
        <v>2208</v>
      </c>
      <c r="L2171" s="7"/>
    </row>
    <row r="2172" spans="1:12" x14ac:dyDescent="0.2">
      <c r="A2172" s="7"/>
      <c r="B2172" s="7"/>
      <c r="C2172" s="7"/>
      <c r="D2172" s="7"/>
      <c r="E2172" s="7">
        <v>624132</v>
      </c>
      <c r="F2172" s="7"/>
      <c r="G2172" s="7" t="s">
        <v>850</v>
      </c>
      <c r="H2172" s="7"/>
      <c r="I2172" s="27" t="s">
        <v>133</v>
      </c>
      <c r="J2172" s="7"/>
      <c r="K2172" s="27" t="s">
        <v>2208</v>
      </c>
      <c r="L2172" s="7"/>
    </row>
    <row r="2173" spans="1:12" x14ac:dyDescent="0.2">
      <c r="A2173" s="7"/>
      <c r="B2173" s="7"/>
      <c r="C2173" s="7"/>
      <c r="D2173" s="7"/>
      <c r="E2173" s="7">
        <v>624133</v>
      </c>
      <c r="F2173" s="7"/>
      <c r="G2173" s="7" t="s">
        <v>851</v>
      </c>
      <c r="H2173" s="7"/>
      <c r="I2173" s="27" t="s">
        <v>133</v>
      </c>
      <c r="J2173" s="7"/>
      <c r="K2173" s="27" t="s">
        <v>2208</v>
      </c>
      <c r="L2173" s="7"/>
    </row>
    <row r="2174" spans="1:12" x14ac:dyDescent="0.2">
      <c r="A2174" s="7"/>
      <c r="B2174" s="7"/>
      <c r="C2174" s="7"/>
      <c r="D2174" s="7"/>
      <c r="E2174" s="7">
        <v>624134</v>
      </c>
      <c r="F2174" s="7"/>
      <c r="G2174" s="7" t="s">
        <v>852</v>
      </c>
      <c r="H2174" s="7"/>
      <c r="I2174" s="27" t="s">
        <v>133</v>
      </c>
      <c r="J2174" s="7"/>
      <c r="K2174" s="27" t="s">
        <v>2208</v>
      </c>
      <c r="L2174" s="7"/>
    </row>
    <row r="2175" spans="1:12" x14ac:dyDescent="0.2">
      <c r="A2175" s="7"/>
      <c r="B2175" s="7"/>
      <c r="C2175" s="7"/>
      <c r="D2175" s="7"/>
      <c r="E2175" s="7">
        <v>624135</v>
      </c>
      <c r="F2175" s="7"/>
      <c r="G2175" s="7" t="s">
        <v>853</v>
      </c>
      <c r="H2175" s="7"/>
      <c r="I2175" s="27" t="s">
        <v>133</v>
      </c>
      <c r="J2175" s="7"/>
      <c r="K2175" s="27" t="s">
        <v>2208</v>
      </c>
      <c r="L2175" s="7"/>
    </row>
    <row r="2176" spans="1:12" x14ac:dyDescent="0.2">
      <c r="A2176" s="7"/>
      <c r="B2176" s="7"/>
      <c r="C2176" s="7"/>
      <c r="D2176" s="7"/>
      <c r="E2176" s="7">
        <v>624136</v>
      </c>
      <c r="F2176" s="7"/>
      <c r="G2176" s="7" t="s">
        <v>854</v>
      </c>
      <c r="H2176" s="7"/>
      <c r="I2176" s="27" t="s">
        <v>133</v>
      </c>
      <c r="J2176" s="7"/>
      <c r="K2176" s="27" t="s">
        <v>2208</v>
      </c>
      <c r="L2176" s="7"/>
    </row>
    <row r="2177" spans="1:12" x14ac:dyDescent="0.2">
      <c r="A2177" s="7"/>
      <c r="B2177" s="7"/>
      <c r="C2177" s="7"/>
      <c r="D2177" s="7"/>
      <c r="E2177" s="7">
        <v>624137</v>
      </c>
      <c r="F2177" s="7"/>
      <c r="G2177" s="7" t="s">
        <v>855</v>
      </c>
      <c r="H2177" s="7"/>
      <c r="I2177" s="27" t="s">
        <v>133</v>
      </c>
      <c r="J2177" s="7"/>
      <c r="K2177" s="27" t="s">
        <v>2208</v>
      </c>
      <c r="L2177" s="7"/>
    </row>
    <row r="2178" spans="1:12" x14ac:dyDescent="0.2">
      <c r="A2178" s="7"/>
      <c r="B2178" s="7"/>
      <c r="C2178" s="7"/>
      <c r="D2178" s="7"/>
      <c r="E2178" s="7">
        <v>624138</v>
      </c>
      <c r="F2178" s="7"/>
      <c r="G2178" s="7" t="s">
        <v>856</v>
      </c>
      <c r="H2178" s="7"/>
      <c r="I2178" s="27" t="s">
        <v>133</v>
      </c>
      <c r="J2178" s="7"/>
      <c r="K2178" s="27" t="s">
        <v>2208</v>
      </c>
      <c r="L2178" s="7"/>
    </row>
    <row r="2179" spans="1:12" x14ac:dyDescent="0.2">
      <c r="A2179" s="7"/>
      <c r="B2179" s="7"/>
      <c r="C2179" s="7"/>
      <c r="D2179" s="7"/>
      <c r="E2179" s="7">
        <v>624139</v>
      </c>
      <c r="F2179" s="7"/>
      <c r="G2179" s="7" t="s">
        <v>857</v>
      </c>
      <c r="H2179" s="7"/>
      <c r="I2179" s="27" t="s">
        <v>133</v>
      </c>
      <c r="J2179" s="7"/>
      <c r="K2179" s="27" t="s">
        <v>2208</v>
      </c>
      <c r="L2179" s="7"/>
    </row>
    <row r="2180" spans="1:12" x14ac:dyDescent="0.2">
      <c r="A2180" s="7"/>
      <c r="B2180" s="7"/>
      <c r="C2180" s="7"/>
      <c r="D2180" s="7"/>
      <c r="E2180" s="7">
        <v>624140</v>
      </c>
      <c r="F2180" s="7"/>
      <c r="G2180" s="7" t="s">
        <v>858</v>
      </c>
      <c r="H2180" s="7"/>
      <c r="I2180" s="27" t="s">
        <v>133</v>
      </c>
      <c r="J2180" s="7"/>
      <c r="K2180" s="27" t="s">
        <v>2208</v>
      </c>
      <c r="L2180" s="7"/>
    </row>
    <row r="2181" spans="1:12" x14ac:dyDescent="0.2">
      <c r="A2181" s="7"/>
      <c r="B2181" s="7"/>
      <c r="C2181" s="7"/>
      <c r="D2181" s="7"/>
      <c r="E2181" s="7">
        <v>624141</v>
      </c>
      <c r="F2181" s="7"/>
      <c r="G2181" s="7" t="s">
        <v>859</v>
      </c>
      <c r="H2181" s="7"/>
      <c r="I2181" s="27" t="s">
        <v>133</v>
      </c>
      <c r="J2181" s="7"/>
      <c r="K2181" s="27" t="s">
        <v>2208</v>
      </c>
      <c r="L2181" s="7"/>
    </row>
    <row r="2182" spans="1:12" x14ac:dyDescent="0.2">
      <c r="A2182" s="7"/>
      <c r="B2182" s="7"/>
      <c r="C2182" s="7"/>
      <c r="D2182" s="7"/>
      <c r="E2182" s="7">
        <v>624142</v>
      </c>
      <c r="F2182" s="7"/>
      <c r="G2182" s="7" t="s">
        <v>860</v>
      </c>
      <c r="H2182" s="7"/>
      <c r="I2182" s="27" t="s">
        <v>133</v>
      </c>
      <c r="J2182" s="7"/>
      <c r="K2182" s="27" t="s">
        <v>2208</v>
      </c>
      <c r="L2182" s="7"/>
    </row>
    <row r="2183" spans="1:12" x14ac:dyDescent="0.2">
      <c r="A2183" s="7"/>
      <c r="B2183" s="7"/>
      <c r="C2183" s="7"/>
      <c r="D2183" s="7"/>
      <c r="E2183" s="7">
        <v>624143</v>
      </c>
      <c r="F2183" s="7"/>
      <c r="G2183" s="7" t="s">
        <v>861</v>
      </c>
      <c r="H2183" s="7"/>
      <c r="I2183" s="27" t="s">
        <v>133</v>
      </c>
      <c r="J2183" s="7"/>
      <c r="K2183" s="27" t="s">
        <v>2208</v>
      </c>
      <c r="L2183" s="7"/>
    </row>
    <row r="2184" spans="1:12" x14ac:dyDescent="0.2">
      <c r="A2184" s="7"/>
      <c r="B2184" s="7"/>
      <c r="C2184" s="7"/>
      <c r="D2184" s="7"/>
      <c r="E2184" s="7">
        <v>624144</v>
      </c>
      <c r="F2184" s="7"/>
      <c r="G2184" s="7" t="s">
        <v>862</v>
      </c>
      <c r="H2184" s="7"/>
      <c r="I2184" s="27" t="s">
        <v>133</v>
      </c>
      <c r="J2184" s="7"/>
      <c r="K2184" s="27" t="s">
        <v>2208</v>
      </c>
      <c r="L2184" s="7"/>
    </row>
    <row r="2185" spans="1:12" x14ac:dyDescent="0.2">
      <c r="A2185" s="7"/>
      <c r="B2185" s="7"/>
      <c r="C2185" s="7"/>
      <c r="D2185" s="7"/>
      <c r="E2185" s="7">
        <v>624145</v>
      </c>
      <c r="F2185" s="7"/>
      <c r="G2185" s="7" t="s">
        <v>1068</v>
      </c>
      <c r="H2185" s="7"/>
      <c r="I2185" s="27" t="s">
        <v>47</v>
      </c>
      <c r="J2185" s="7"/>
      <c r="K2185" s="27" t="s">
        <v>2208</v>
      </c>
      <c r="L2185" s="7"/>
    </row>
    <row r="2186" spans="1:12" x14ac:dyDescent="0.2">
      <c r="A2186" s="7"/>
      <c r="B2186" s="7"/>
      <c r="C2186" s="7"/>
      <c r="D2186" s="7"/>
      <c r="E2186" s="7">
        <v>624146</v>
      </c>
      <c r="F2186" s="7"/>
      <c r="G2186" s="7" t="s">
        <v>1061</v>
      </c>
      <c r="H2186" s="7"/>
      <c r="I2186" s="27" t="s">
        <v>47</v>
      </c>
      <c r="J2186" s="7"/>
      <c r="K2186" s="27" t="s">
        <v>2208</v>
      </c>
      <c r="L2186" s="7"/>
    </row>
    <row r="2187" spans="1:12" x14ac:dyDescent="0.2">
      <c r="A2187" s="7"/>
      <c r="B2187" s="7"/>
      <c r="C2187" s="7"/>
      <c r="D2187" s="7"/>
      <c r="E2187" s="7">
        <v>624147</v>
      </c>
      <c r="F2187" s="7"/>
      <c r="G2187" s="7" t="s">
        <v>1064</v>
      </c>
      <c r="H2187" s="7"/>
      <c r="I2187" s="27" t="s">
        <v>47</v>
      </c>
      <c r="J2187" s="7"/>
      <c r="K2187" s="27" t="s">
        <v>2208</v>
      </c>
      <c r="L2187" s="7"/>
    </row>
    <row r="2188" spans="1:12" x14ac:dyDescent="0.2">
      <c r="A2188" s="7"/>
      <c r="B2188" s="7"/>
      <c r="C2188" s="7"/>
      <c r="D2188" s="7"/>
      <c r="E2188" s="7">
        <v>624148</v>
      </c>
      <c r="F2188" s="7"/>
      <c r="G2188" s="7" t="s">
        <v>1065</v>
      </c>
      <c r="H2188" s="7"/>
      <c r="I2188" s="27" t="s">
        <v>47</v>
      </c>
      <c r="J2188" s="7"/>
      <c r="K2188" s="27" t="s">
        <v>2208</v>
      </c>
      <c r="L2188" s="7"/>
    </row>
    <row r="2189" spans="1:12" x14ac:dyDescent="0.2">
      <c r="A2189" s="7"/>
      <c r="B2189" s="7"/>
      <c r="C2189" s="7"/>
      <c r="D2189" s="7"/>
      <c r="E2189" s="7">
        <v>624149</v>
      </c>
      <c r="F2189" s="7"/>
      <c r="G2189" s="7" t="s">
        <v>1069</v>
      </c>
      <c r="H2189" s="7"/>
      <c r="I2189" s="27" t="s">
        <v>133</v>
      </c>
      <c r="J2189" s="7"/>
      <c r="K2189" s="27" t="s">
        <v>2208</v>
      </c>
      <c r="L2189" s="7"/>
    </row>
    <row r="2190" spans="1:12" x14ac:dyDescent="0.2">
      <c r="A2190" s="7"/>
      <c r="B2190" s="7"/>
      <c r="C2190" s="7"/>
      <c r="D2190" s="7"/>
      <c r="E2190" s="7">
        <v>624150</v>
      </c>
      <c r="F2190" s="7"/>
      <c r="G2190" s="7" t="s">
        <v>1070</v>
      </c>
      <c r="H2190" s="7"/>
      <c r="I2190" s="27" t="s">
        <v>133</v>
      </c>
      <c r="J2190" s="7"/>
      <c r="K2190" s="27" t="s">
        <v>2208</v>
      </c>
      <c r="L2190" s="7"/>
    </row>
    <row r="2191" spans="1:12" x14ac:dyDescent="0.2">
      <c r="A2191" s="7"/>
      <c r="B2191" s="7"/>
      <c r="C2191" s="7"/>
      <c r="D2191" s="7"/>
      <c r="E2191" s="7">
        <v>624151</v>
      </c>
      <c r="F2191" s="7"/>
      <c r="G2191" s="7" t="s">
        <v>1071</v>
      </c>
      <c r="H2191" s="7"/>
      <c r="I2191" s="27" t="s">
        <v>133</v>
      </c>
      <c r="J2191" s="7"/>
      <c r="K2191" s="27" t="s">
        <v>2208</v>
      </c>
      <c r="L2191" s="7"/>
    </row>
    <row r="2192" spans="1:12" x14ac:dyDescent="0.2">
      <c r="A2192" s="7"/>
      <c r="B2192" s="7"/>
      <c r="C2192" s="7"/>
      <c r="D2192" s="7"/>
      <c r="E2192" s="7">
        <v>624152</v>
      </c>
      <c r="F2192" s="7"/>
      <c r="G2192" s="7" t="s">
        <v>1072</v>
      </c>
      <c r="H2192" s="7"/>
      <c r="I2192" s="27" t="s">
        <v>133</v>
      </c>
      <c r="J2192" s="7"/>
      <c r="K2192" s="27" t="s">
        <v>2208</v>
      </c>
      <c r="L2192" s="7"/>
    </row>
    <row r="2193" spans="1:12" x14ac:dyDescent="0.2">
      <c r="A2193" s="7"/>
      <c r="B2193" s="7"/>
      <c r="C2193" s="7"/>
      <c r="D2193" s="7"/>
      <c r="E2193" s="7">
        <v>624153</v>
      </c>
      <c r="F2193" s="7"/>
      <c r="G2193" s="7" t="s">
        <v>1073</v>
      </c>
      <c r="H2193" s="7"/>
      <c r="I2193" s="27" t="s">
        <v>47</v>
      </c>
      <c r="J2193" s="7"/>
      <c r="K2193" s="27" t="s">
        <v>2208</v>
      </c>
      <c r="L2193" s="7"/>
    </row>
    <row r="2194" spans="1:12" x14ac:dyDescent="0.2">
      <c r="A2194" s="7"/>
      <c r="B2194" s="7"/>
      <c r="C2194" s="7"/>
      <c r="D2194" s="7"/>
      <c r="E2194" s="7">
        <v>624154</v>
      </c>
      <c r="F2194" s="7"/>
      <c r="G2194" s="7" t="s">
        <v>1074</v>
      </c>
      <c r="H2194" s="7"/>
      <c r="I2194" s="27" t="s">
        <v>47</v>
      </c>
      <c r="J2194" s="7"/>
      <c r="K2194" s="27" t="s">
        <v>2208</v>
      </c>
      <c r="L2194" s="7"/>
    </row>
    <row r="2195" spans="1:12" x14ac:dyDescent="0.2">
      <c r="A2195" s="7"/>
      <c r="B2195" s="7"/>
      <c r="C2195" s="7"/>
      <c r="D2195" s="7"/>
      <c r="E2195" s="7">
        <v>624155</v>
      </c>
      <c r="F2195" s="7"/>
      <c r="G2195" s="7" t="s">
        <v>1075</v>
      </c>
      <c r="H2195" s="7"/>
      <c r="I2195" s="27" t="s">
        <v>47</v>
      </c>
      <c r="J2195" s="7"/>
      <c r="K2195" s="27" t="s">
        <v>2208</v>
      </c>
      <c r="L2195" s="7"/>
    </row>
    <row r="2196" spans="1:12" x14ac:dyDescent="0.2">
      <c r="A2196" s="7"/>
      <c r="B2196" s="7"/>
      <c r="C2196" s="7"/>
      <c r="D2196" s="7"/>
      <c r="E2196" s="7">
        <v>624156</v>
      </c>
      <c r="F2196" s="7"/>
      <c r="G2196" s="7" t="s">
        <v>1077</v>
      </c>
      <c r="H2196" s="7"/>
      <c r="I2196" s="27" t="s">
        <v>133</v>
      </c>
      <c r="J2196" s="7"/>
      <c r="K2196" s="27" t="s">
        <v>2208</v>
      </c>
      <c r="L2196" s="7"/>
    </row>
    <row r="2197" spans="1:12" x14ac:dyDescent="0.2">
      <c r="A2197" s="7"/>
      <c r="B2197" s="7"/>
      <c r="C2197" s="7"/>
      <c r="D2197" s="7"/>
      <c r="E2197" s="7">
        <v>624157</v>
      </c>
      <c r="F2197" s="7"/>
      <c r="G2197" s="7" t="s">
        <v>1078</v>
      </c>
      <c r="H2197" s="7"/>
      <c r="I2197" s="27" t="s">
        <v>133</v>
      </c>
      <c r="J2197" s="7"/>
      <c r="K2197" s="27" t="s">
        <v>2208</v>
      </c>
      <c r="L2197" s="7"/>
    </row>
    <row r="2198" spans="1:12" x14ac:dyDescent="0.2">
      <c r="A2198" s="7"/>
      <c r="B2198" s="7"/>
      <c r="C2198" s="7"/>
      <c r="D2198" s="7"/>
      <c r="E2198" s="7">
        <v>624158</v>
      </c>
      <c r="F2198" s="7"/>
      <c r="G2198" s="7" t="s">
        <v>1079</v>
      </c>
      <c r="H2198" s="7"/>
      <c r="I2198" s="27" t="s">
        <v>71</v>
      </c>
      <c r="J2198" s="7"/>
      <c r="K2198" s="27" t="s">
        <v>2208</v>
      </c>
      <c r="L2198" s="7"/>
    </row>
    <row r="2199" spans="1:12" x14ac:dyDescent="0.2">
      <c r="A2199" s="7"/>
      <c r="B2199" s="7"/>
      <c r="C2199" s="7"/>
      <c r="D2199" s="7"/>
      <c r="E2199" s="7">
        <v>624159</v>
      </c>
      <c r="F2199" s="7"/>
      <c r="G2199" s="7" t="s">
        <v>1080</v>
      </c>
      <c r="H2199" s="7"/>
      <c r="I2199" s="27" t="s">
        <v>71</v>
      </c>
      <c r="J2199" s="7"/>
      <c r="K2199" s="27" t="s">
        <v>2208</v>
      </c>
      <c r="L2199" s="7"/>
    </row>
    <row r="2200" spans="1:12" x14ac:dyDescent="0.2">
      <c r="A2200" s="7"/>
      <c r="B2200" s="7"/>
      <c r="C2200" s="7"/>
      <c r="D2200" s="7"/>
      <c r="E2200" s="7">
        <v>624160</v>
      </c>
      <c r="F2200" s="7"/>
      <c r="G2200" s="7" t="s">
        <v>1081</v>
      </c>
      <c r="H2200" s="7"/>
      <c r="I2200" s="27" t="s">
        <v>71</v>
      </c>
      <c r="J2200" s="7"/>
      <c r="K2200" s="27" t="s">
        <v>2208</v>
      </c>
      <c r="L2200" s="7"/>
    </row>
    <row r="2201" spans="1:12" x14ac:dyDescent="0.2">
      <c r="A2201" s="7"/>
      <c r="B2201" s="7"/>
      <c r="C2201" s="7"/>
      <c r="D2201" s="7"/>
      <c r="E2201" s="7">
        <v>624161</v>
      </c>
      <c r="F2201" s="7"/>
      <c r="G2201" s="7" t="s">
        <v>1082</v>
      </c>
      <c r="H2201" s="7"/>
      <c r="I2201" s="27" t="s">
        <v>71</v>
      </c>
      <c r="J2201" s="7"/>
      <c r="K2201" s="27" t="s">
        <v>2208</v>
      </c>
      <c r="L2201" s="7"/>
    </row>
    <row r="2202" spans="1:12" x14ac:dyDescent="0.2">
      <c r="A2202" s="7"/>
      <c r="B2202" s="7"/>
      <c r="C2202" s="7"/>
      <c r="D2202" s="7"/>
      <c r="E2202" s="7">
        <v>624162</v>
      </c>
      <c r="F2202" s="7"/>
      <c r="G2202" s="7" t="s">
        <v>1096</v>
      </c>
      <c r="H2202" s="7"/>
      <c r="I2202" s="27" t="s">
        <v>71</v>
      </c>
      <c r="J2202" s="7"/>
      <c r="K2202" s="27" t="s">
        <v>2208</v>
      </c>
      <c r="L2202" s="7"/>
    </row>
    <row r="2203" spans="1:12" x14ac:dyDescent="0.2">
      <c r="A2203" s="7"/>
      <c r="B2203" s="7"/>
      <c r="C2203" s="7"/>
      <c r="D2203" s="7"/>
      <c r="E2203" s="7">
        <v>624163</v>
      </c>
      <c r="F2203" s="7"/>
      <c r="G2203" s="7" t="s">
        <v>1097</v>
      </c>
      <c r="H2203" s="7"/>
      <c r="I2203" s="27" t="s">
        <v>71</v>
      </c>
      <c r="J2203" s="7"/>
      <c r="K2203" s="27" t="s">
        <v>2208</v>
      </c>
      <c r="L2203" s="7"/>
    </row>
    <row r="2204" spans="1:12" x14ac:dyDescent="0.2">
      <c r="A2204" s="7"/>
      <c r="B2204" s="7"/>
      <c r="C2204" s="7"/>
      <c r="D2204" s="7"/>
      <c r="E2204" s="7">
        <v>624164</v>
      </c>
      <c r="F2204" s="7"/>
      <c r="G2204" s="7" t="s">
        <v>1098</v>
      </c>
      <c r="H2204" s="7"/>
      <c r="I2204" s="27" t="s">
        <v>71</v>
      </c>
      <c r="J2204" s="7"/>
      <c r="K2204" s="27" t="s">
        <v>2208</v>
      </c>
      <c r="L2204" s="7"/>
    </row>
    <row r="2205" spans="1:12" x14ac:dyDescent="0.2">
      <c r="A2205" s="7"/>
      <c r="B2205" s="7"/>
      <c r="C2205" s="7"/>
      <c r="D2205" s="7"/>
      <c r="E2205" s="7">
        <v>624165</v>
      </c>
      <c r="F2205" s="7"/>
      <c r="G2205" s="7" t="s">
        <v>1099</v>
      </c>
      <c r="H2205" s="7"/>
      <c r="I2205" s="27" t="s">
        <v>133</v>
      </c>
      <c r="J2205" s="7"/>
      <c r="K2205" s="27" t="s">
        <v>2208</v>
      </c>
      <c r="L2205" s="7"/>
    </row>
    <row r="2206" spans="1:12" x14ac:dyDescent="0.2">
      <c r="A2206" s="7"/>
      <c r="B2206" s="7"/>
      <c r="C2206" s="7"/>
      <c r="D2206" s="7"/>
      <c r="E2206" s="7">
        <v>624166</v>
      </c>
      <c r="F2206" s="7"/>
      <c r="G2206" s="7" t="s">
        <v>1100</v>
      </c>
      <c r="H2206" s="7"/>
      <c r="I2206" s="27" t="s">
        <v>71</v>
      </c>
      <c r="J2206" s="7"/>
      <c r="K2206" s="27" t="s">
        <v>2208</v>
      </c>
      <c r="L2206" s="7"/>
    </row>
    <row r="2207" spans="1:12" x14ac:dyDescent="0.2">
      <c r="A2207" s="7"/>
      <c r="B2207" s="7"/>
      <c r="C2207" s="7"/>
      <c r="D2207" s="7"/>
      <c r="E2207" s="7">
        <v>624167</v>
      </c>
      <c r="F2207" s="7"/>
      <c r="G2207" s="7" t="s">
        <v>1101</v>
      </c>
      <c r="H2207" s="7"/>
      <c r="I2207" s="27" t="s">
        <v>133</v>
      </c>
      <c r="J2207" s="7"/>
      <c r="K2207" s="27" t="s">
        <v>2208</v>
      </c>
      <c r="L2207" s="7"/>
    </row>
    <row r="2208" spans="1:12" x14ac:dyDescent="0.2">
      <c r="A2208" s="7"/>
      <c r="B2208" s="7"/>
      <c r="C2208" s="7"/>
      <c r="D2208" s="7"/>
      <c r="E2208" s="7">
        <v>624168</v>
      </c>
      <c r="F2208" s="7"/>
      <c r="G2208" s="7" t="s">
        <v>1102</v>
      </c>
      <c r="H2208" s="7"/>
      <c r="I2208" s="27" t="s">
        <v>71</v>
      </c>
      <c r="J2208" s="7"/>
      <c r="K2208" s="27" t="s">
        <v>2208</v>
      </c>
      <c r="L2208" s="7"/>
    </row>
    <row r="2209" spans="1:12" x14ac:dyDescent="0.2">
      <c r="A2209" s="7"/>
      <c r="B2209" s="7"/>
      <c r="C2209" s="7"/>
      <c r="D2209" s="7"/>
      <c r="E2209" s="7">
        <v>624169</v>
      </c>
      <c r="F2209" s="7"/>
      <c r="G2209" s="7" t="s">
        <v>1103</v>
      </c>
      <c r="H2209" s="7"/>
      <c r="I2209" s="27" t="s">
        <v>71</v>
      </c>
      <c r="J2209" s="7"/>
      <c r="K2209" s="27" t="s">
        <v>2208</v>
      </c>
      <c r="L2209" s="7"/>
    </row>
    <row r="2210" spans="1:12" x14ac:dyDescent="0.2">
      <c r="A2210" s="7"/>
      <c r="B2210" s="7"/>
      <c r="C2210" s="7"/>
      <c r="D2210" s="7"/>
      <c r="E2210" s="7">
        <v>624170</v>
      </c>
      <c r="F2210" s="7"/>
      <c r="G2210" s="7" t="s">
        <v>1104</v>
      </c>
      <c r="H2210" s="7"/>
      <c r="I2210" s="27" t="s">
        <v>71</v>
      </c>
      <c r="J2210" s="7"/>
      <c r="K2210" s="27" t="s">
        <v>2208</v>
      </c>
      <c r="L2210" s="7"/>
    </row>
    <row r="2211" spans="1:12" x14ac:dyDescent="0.2">
      <c r="A2211" s="7"/>
      <c r="B2211" s="7"/>
      <c r="C2211" s="7"/>
      <c r="D2211" s="7"/>
      <c r="E2211" s="7">
        <v>624171</v>
      </c>
      <c r="F2211" s="7"/>
      <c r="G2211" s="7" t="s">
        <v>1125</v>
      </c>
      <c r="H2211" s="7"/>
      <c r="I2211" s="27" t="s">
        <v>71</v>
      </c>
      <c r="J2211" s="7"/>
      <c r="K2211" s="27" t="s">
        <v>2208</v>
      </c>
      <c r="L2211" s="7"/>
    </row>
    <row r="2212" spans="1:12" x14ac:dyDescent="0.2">
      <c r="A2212" s="7"/>
      <c r="B2212" s="7"/>
      <c r="C2212" s="7"/>
      <c r="D2212" s="7"/>
      <c r="E2212" s="7">
        <v>624172</v>
      </c>
      <c r="F2212" s="7"/>
      <c r="G2212" s="7" t="s">
        <v>1126</v>
      </c>
      <c r="H2212" s="7"/>
      <c r="I2212" s="27" t="s">
        <v>71</v>
      </c>
      <c r="J2212" s="7"/>
      <c r="K2212" s="27" t="s">
        <v>2208</v>
      </c>
      <c r="L2212" s="7"/>
    </row>
    <row r="2213" spans="1:12" x14ac:dyDescent="0.2">
      <c r="A2213" s="7"/>
      <c r="B2213" s="7"/>
      <c r="C2213" s="7"/>
      <c r="D2213" s="7"/>
      <c r="E2213" s="7">
        <v>624173</v>
      </c>
      <c r="F2213" s="7"/>
      <c r="G2213" s="7" t="s">
        <v>1127</v>
      </c>
      <c r="H2213" s="7"/>
      <c r="I2213" s="27" t="s">
        <v>47</v>
      </c>
      <c r="J2213" s="7"/>
      <c r="K2213" s="27" t="s">
        <v>2208</v>
      </c>
      <c r="L2213" s="7"/>
    </row>
    <row r="2214" spans="1:12" x14ac:dyDescent="0.2">
      <c r="A2214" s="7"/>
      <c r="B2214" s="7"/>
      <c r="C2214" s="7"/>
      <c r="D2214" s="7"/>
      <c r="E2214" s="7">
        <v>624174</v>
      </c>
      <c r="F2214" s="7"/>
      <c r="G2214" s="7" t="s">
        <v>1128</v>
      </c>
      <c r="H2214" s="7"/>
      <c r="I2214" s="27" t="s">
        <v>47</v>
      </c>
      <c r="J2214" s="7"/>
      <c r="K2214" s="27" t="s">
        <v>2208</v>
      </c>
      <c r="L2214" s="7"/>
    </row>
    <row r="2215" spans="1:12" x14ac:dyDescent="0.2">
      <c r="A2215" s="7"/>
      <c r="B2215" s="7"/>
      <c r="C2215" s="7"/>
      <c r="D2215" s="7"/>
      <c r="E2215" s="7">
        <v>624175</v>
      </c>
      <c r="F2215" s="7"/>
      <c r="G2215" s="7" t="s">
        <v>1129</v>
      </c>
      <c r="H2215" s="7"/>
      <c r="I2215" s="27" t="s">
        <v>47</v>
      </c>
      <c r="J2215" s="7"/>
      <c r="K2215" s="27" t="s">
        <v>2208</v>
      </c>
      <c r="L2215" s="7"/>
    </row>
    <row r="2216" spans="1:12" x14ac:dyDescent="0.2">
      <c r="A2216" s="7"/>
      <c r="B2216" s="7"/>
      <c r="C2216" s="7"/>
      <c r="D2216" s="7"/>
      <c r="E2216" s="7">
        <v>624176</v>
      </c>
      <c r="F2216" s="7"/>
      <c r="G2216" s="7" t="s">
        <v>1130</v>
      </c>
      <c r="H2216" s="7"/>
      <c r="I2216" s="27" t="s">
        <v>133</v>
      </c>
      <c r="J2216" s="7"/>
      <c r="K2216" s="27" t="s">
        <v>2208</v>
      </c>
      <c r="L2216" s="7"/>
    </row>
    <row r="2217" spans="1:12" x14ac:dyDescent="0.2">
      <c r="A2217" s="7"/>
      <c r="B2217" s="7"/>
      <c r="C2217" s="7"/>
      <c r="D2217" s="7"/>
      <c r="E2217" s="7">
        <v>624177</v>
      </c>
      <c r="F2217" s="7"/>
      <c r="G2217" s="7" t="s">
        <v>1131</v>
      </c>
      <c r="H2217" s="7"/>
      <c r="I2217" s="27" t="s">
        <v>133</v>
      </c>
      <c r="J2217" s="7"/>
      <c r="K2217" s="27" t="s">
        <v>2208</v>
      </c>
      <c r="L2217" s="7"/>
    </row>
    <row r="2218" spans="1:12" x14ac:dyDescent="0.2">
      <c r="A2218" s="7"/>
      <c r="B2218" s="7"/>
      <c r="C2218" s="7"/>
      <c r="D2218" s="7"/>
      <c r="E2218" s="7">
        <v>624178</v>
      </c>
      <c r="F2218" s="7"/>
      <c r="G2218" s="7" t="s">
        <v>1132</v>
      </c>
      <c r="H2218" s="7"/>
      <c r="I2218" s="27" t="s">
        <v>133</v>
      </c>
      <c r="J2218" s="7"/>
      <c r="K2218" s="27" t="s">
        <v>2208</v>
      </c>
      <c r="L2218" s="7"/>
    </row>
    <row r="2219" spans="1:12" x14ac:dyDescent="0.2">
      <c r="A2219" s="7"/>
      <c r="B2219" s="7"/>
      <c r="C2219" s="7"/>
      <c r="D2219" s="7"/>
      <c r="E2219" s="7">
        <v>624179</v>
      </c>
      <c r="F2219" s="7"/>
      <c r="G2219" s="7" t="s">
        <v>1138</v>
      </c>
      <c r="H2219" s="7"/>
      <c r="I2219" s="27" t="s">
        <v>47</v>
      </c>
      <c r="J2219" s="7"/>
      <c r="K2219" s="27" t="s">
        <v>2208</v>
      </c>
      <c r="L2219" s="7"/>
    </row>
    <row r="2220" spans="1:12" x14ac:dyDescent="0.2">
      <c r="A2220" s="7"/>
      <c r="B2220" s="7"/>
      <c r="C2220" s="7"/>
      <c r="D2220" s="7"/>
      <c r="E2220" s="7">
        <v>624180</v>
      </c>
      <c r="F2220" s="7"/>
      <c r="G2220" s="7" t="s">
        <v>1139</v>
      </c>
      <c r="H2220" s="7"/>
      <c r="I2220" s="27" t="s">
        <v>47</v>
      </c>
      <c r="J2220" s="7"/>
      <c r="K2220" s="27" t="s">
        <v>2208</v>
      </c>
      <c r="L2220" s="7"/>
    </row>
    <row r="2221" spans="1:12" x14ac:dyDescent="0.2">
      <c r="A2221" s="7"/>
      <c r="B2221" s="7"/>
      <c r="C2221" s="7"/>
      <c r="D2221" s="7"/>
      <c r="E2221" s="7">
        <v>624181</v>
      </c>
      <c r="F2221" s="7"/>
      <c r="G2221" s="7" t="s">
        <v>1133</v>
      </c>
      <c r="H2221" s="7"/>
      <c r="I2221" s="27" t="s">
        <v>133</v>
      </c>
      <c r="J2221" s="7"/>
      <c r="K2221" s="27" t="s">
        <v>2208</v>
      </c>
      <c r="L2221" s="7"/>
    </row>
    <row r="2222" spans="1:12" x14ac:dyDescent="0.2">
      <c r="A2222" s="7"/>
      <c r="B2222" s="7"/>
      <c r="C2222" s="7"/>
      <c r="D2222" s="7"/>
      <c r="E2222" s="7">
        <v>624182</v>
      </c>
      <c r="F2222" s="7"/>
      <c r="G2222" s="7" t="s">
        <v>1137</v>
      </c>
      <c r="H2222" s="7"/>
      <c r="I2222" s="27" t="s">
        <v>133</v>
      </c>
      <c r="J2222" s="7"/>
      <c r="K2222" s="27" t="s">
        <v>2208</v>
      </c>
      <c r="L2222" s="7"/>
    </row>
    <row r="2223" spans="1:12" x14ac:dyDescent="0.2">
      <c r="A2223" s="7"/>
      <c r="B2223" s="7"/>
      <c r="C2223" s="7"/>
      <c r="D2223" s="7"/>
      <c r="E2223" s="7">
        <v>624183</v>
      </c>
      <c r="F2223" s="7"/>
      <c r="G2223" s="7" t="s">
        <v>1066</v>
      </c>
      <c r="H2223" s="7"/>
      <c r="I2223" s="27" t="s">
        <v>47</v>
      </c>
      <c r="J2223" s="7"/>
      <c r="K2223" s="27" t="s">
        <v>2208</v>
      </c>
      <c r="L2223" s="7"/>
    </row>
    <row r="2224" spans="1:12" x14ac:dyDescent="0.2">
      <c r="A2224" s="7"/>
      <c r="B2224" s="7"/>
      <c r="C2224" s="7"/>
      <c r="D2224" s="7"/>
      <c r="E2224" s="7">
        <v>624184</v>
      </c>
      <c r="F2224" s="7"/>
      <c r="G2224" s="7" t="s">
        <v>833</v>
      </c>
      <c r="H2224" s="7"/>
      <c r="I2224" s="27" t="s">
        <v>47</v>
      </c>
      <c r="J2224" s="7"/>
      <c r="K2224" s="27" t="s">
        <v>2208</v>
      </c>
      <c r="L2224" s="7"/>
    </row>
    <row r="2225" spans="1:12" x14ac:dyDescent="0.2">
      <c r="A2225" s="7"/>
      <c r="B2225" s="7"/>
      <c r="C2225" s="7"/>
      <c r="D2225" s="7"/>
      <c r="E2225" s="7">
        <v>624185</v>
      </c>
      <c r="F2225" s="7"/>
      <c r="G2225" s="7" t="s">
        <v>1123</v>
      </c>
      <c r="H2225" s="7"/>
      <c r="I2225" s="27" t="s">
        <v>71</v>
      </c>
      <c r="J2225" s="7"/>
      <c r="K2225" s="27" t="s">
        <v>2208</v>
      </c>
      <c r="L2225" s="7"/>
    </row>
    <row r="2226" spans="1:12" x14ac:dyDescent="0.2">
      <c r="A2226" s="7"/>
      <c r="B2226" s="7"/>
      <c r="C2226" s="7"/>
      <c r="D2226" s="7"/>
      <c r="E2226" s="7">
        <v>624186</v>
      </c>
      <c r="F2226" s="7"/>
      <c r="G2226" s="7" t="s">
        <v>1021</v>
      </c>
      <c r="H2226" s="7"/>
      <c r="I2226" s="27" t="s">
        <v>133</v>
      </c>
      <c r="J2226" s="7"/>
      <c r="K2226" s="27" t="s">
        <v>2208</v>
      </c>
      <c r="L2226" s="7"/>
    </row>
    <row r="2227" spans="1:12" x14ac:dyDescent="0.2">
      <c r="A2227" s="7"/>
      <c r="B2227" s="7"/>
      <c r="C2227" s="7"/>
      <c r="D2227" s="7"/>
      <c r="E2227" s="7">
        <v>624187</v>
      </c>
      <c r="F2227" s="7"/>
      <c r="G2227" s="7" t="s">
        <v>1022</v>
      </c>
      <c r="H2227" s="7"/>
      <c r="I2227" s="27" t="s">
        <v>133</v>
      </c>
      <c r="J2227" s="7"/>
      <c r="K2227" s="27" t="s">
        <v>2208</v>
      </c>
      <c r="L2227" s="7"/>
    </row>
    <row r="2228" spans="1:12" x14ac:dyDescent="0.2">
      <c r="A2228" s="7"/>
      <c r="B2228" s="7"/>
      <c r="C2228" s="7"/>
      <c r="D2228" s="7"/>
      <c r="E2228" s="7">
        <v>624188</v>
      </c>
      <c r="F2228" s="7"/>
      <c r="G2228" s="7" t="s">
        <v>1023</v>
      </c>
      <c r="H2228" s="7"/>
      <c r="I2228" s="27" t="s">
        <v>133</v>
      </c>
      <c r="J2228" s="7"/>
      <c r="K2228" s="27" t="s">
        <v>2208</v>
      </c>
      <c r="L2228" s="7"/>
    </row>
    <row r="2229" spans="1:12" x14ac:dyDescent="0.2">
      <c r="A2229" s="7"/>
      <c r="B2229" s="7"/>
      <c r="C2229" s="7"/>
      <c r="D2229" s="7"/>
      <c r="E2229" s="7">
        <v>624189</v>
      </c>
      <c r="F2229" s="7"/>
      <c r="G2229" s="7" t="s">
        <v>1024</v>
      </c>
      <c r="H2229" s="7"/>
      <c r="I2229" s="27" t="s">
        <v>133</v>
      </c>
      <c r="J2229" s="7"/>
      <c r="K2229" s="27" t="s">
        <v>2208</v>
      </c>
      <c r="L2229" s="7"/>
    </row>
    <row r="2230" spans="1:12" x14ac:dyDescent="0.2">
      <c r="A2230" s="7"/>
      <c r="B2230" s="7"/>
      <c r="C2230" s="7"/>
      <c r="D2230" s="7"/>
      <c r="E2230" s="7">
        <v>624190</v>
      </c>
      <c r="F2230" s="7"/>
      <c r="G2230" s="7" t="s">
        <v>1025</v>
      </c>
      <c r="H2230" s="7"/>
      <c r="I2230" s="27" t="s">
        <v>133</v>
      </c>
      <c r="J2230" s="7"/>
      <c r="K2230" s="27" t="s">
        <v>2208</v>
      </c>
      <c r="L2230" s="7"/>
    </row>
    <row r="2231" spans="1:12" x14ac:dyDescent="0.2">
      <c r="A2231" s="7"/>
      <c r="B2231" s="7"/>
      <c r="C2231" s="7"/>
      <c r="D2231" s="7"/>
      <c r="E2231" s="7">
        <v>624191</v>
      </c>
      <c r="F2231" s="7"/>
      <c r="G2231" s="7" t="s">
        <v>1026</v>
      </c>
      <c r="H2231" s="7"/>
      <c r="I2231" s="27" t="s">
        <v>133</v>
      </c>
      <c r="J2231" s="7"/>
      <c r="K2231" s="27" t="s">
        <v>2208</v>
      </c>
      <c r="L2231" s="7"/>
    </row>
    <row r="2232" spans="1:12" x14ac:dyDescent="0.2">
      <c r="A2232" s="7"/>
      <c r="B2232" s="7"/>
      <c r="C2232" s="7"/>
      <c r="D2232" s="7"/>
      <c r="E2232" s="7">
        <v>624192</v>
      </c>
      <c r="F2232" s="7"/>
      <c r="G2232" s="7" t="s">
        <v>1298</v>
      </c>
      <c r="H2232" s="7"/>
      <c r="I2232" s="27" t="s">
        <v>133</v>
      </c>
      <c r="J2232" s="7"/>
      <c r="K2232" s="27" t="s">
        <v>2208</v>
      </c>
      <c r="L2232" s="7"/>
    </row>
    <row r="2233" spans="1:12" x14ac:dyDescent="0.2">
      <c r="A2233" s="7"/>
      <c r="B2233" s="7"/>
      <c r="C2233" s="7"/>
      <c r="D2233" s="7"/>
      <c r="E2233" s="7">
        <v>624193</v>
      </c>
      <c r="F2233" s="7"/>
      <c r="G2233" s="7" t="s">
        <v>630</v>
      </c>
      <c r="H2233" s="7"/>
      <c r="I2233" s="27" t="s">
        <v>47</v>
      </c>
      <c r="J2233" s="7"/>
      <c r="K2233" s="27" t="s">
        <v>2208</v>
      </c>
      <c r="L2233" s="7"/>
    </row>
    <row r="2234" spans="1:12" x14ac:dyDescent="0.2">
      <c r="A2234" s="7"/>
      <c r="B2234" s="7"/>
      <c r="C2234" s="7"/>
      <c r="D2234" s="7"/>
      <c r="E2234" s="7">
        <v>624194</v>
      </c>
      <c r="F2234" s="7"/>
      <c r="G2234" s="7" t="s">
        <v>631</v>
      </c>
      <c r="H2234" s="7"/>
      <c r="I2234" s="27" t="s">
        <v>133</v>
      </c>
      <c r="J2234" s="7"/>
      <c r="K2234" s="27" t="s">
        <v>2208</v>
      </c>
      <c r="L2234" s="7"/>
    </row>
    <row r="2235" spans="1:12" x14ac:dyDescent="0.2">
      <c r="A2235" s="7"/>
      <c r="B2235" s="7"/>
      <c r="C2235" s="7"/>
      <c r="D2235" s="7"/>
      <c r="E2235" s="7">
        <v>624195</v>
      </c>
      <c r="F2235" s="7"/>
      <c r="G2235" s="7" t="s">
        <v>1151</v>
      </c>
      <c r="H2235" s="7"/>
      <c r="I2235" s="27" t="s">
        <v>71</v>
      </c>
      <c r="J2235" s="7"/>
      <c r="K2235" s="27" t="s">
        <v>2208</v>
      </c>
      <c r="L2235" s="7"/>
    </row>
    <row r="2236" spans="1:12" x14ac:dyDescent="0.2">
      <c r="A2236" s="7"/>
      <c r="B2236" s="7"/>
      <c r="C2236" s="7"/>
      <c r="D2236" s="7"/>
      <c r="E2236" s="7">
        <v>624196</v>
      </c>
      <c r="F2236" s="7"/>
      <c r="G2236" s="7" t="s">
        <v>1152</v>
      </c>
      <c r="H2236" s="7"/>
      <c r="I2236" s="27" t="s">
        <v>71</v>
      </c>
      <c r="J2236" s="7"/>
      <c r="K2236" s="27" t="s">
        <v>2208</v>
      </c>
      <c r="L2236" s="7"/>
    </row>
    <row r="2237" spans="1:12" x14ac:dyDescent="0.2">
      <c r="A2237" s="7"/>
      <c r="B2237" s="7"/>
      <c r="C2237" s="7"/>
      <c r="D2237" s="7"/>
      <c r="E2237" s="7">
        <v>624197</v>
      </c>
      <c r="F2237" s="7"/>
      <c r="G2237" s="7" t="s">
        <v>1832</v>
      </c>
      <c r="H2237" s="7"/>
      <c r="I2237" s="27" t="s">
        <v>71</v>
      </c>
      <c r="J2237" s="7"/>
      <c r="K2237" s="27" t="s">
        <v>2208</v>
      </c>
      <c r="L2237" s="7"/>
    </row>
    <row r="2238" spans="1:12" x14ac:dyDescent="0.2">
      <c r="A2238" s="7"/>
      <c r="B2238" s="7"/>
      <c r="C2238" s="7"/>
      <c r="D2238" s="7"/>
      <c r="E2238" s="7">
        <v>624198</v>
      </c>
      <c r="F2238" s="7"/>
      <c r="G2238" s="7" t="s">
        <v>1154</v>
      </c>
      <c r="H2238" s="7"/>
      <c r="I2238" s="27" t="s">
        <v>71</v>
      </c>
      <c r="J2238" s="7"/>
      <c r="K2238" s="27" t="s">
        <v>2208</v>
      </c>
      <c r="L2238" s="7"/>
    </row>
    <row r="2239" spans="1:12" x14ac:dyDescent="0.2">
      <c r="A2239" s="7"/>
      <c r="B2239" s="7"/>
      <c r="C2239" s="7"/>
      <c r="D2239" s="7"/>
      <c r="E2239" s="7">
        <v>624199</v>
      </c>
      <c r="F2239" s="7"/>
      <c r="G2239" s="7" t="s">
        <v>1155</v>
      </c>
      <c r="H2239" s="7"/>
      <c r="I2239" s="27" t="s">
        <v>133</v>
      </c>
      <c r="J2239" s="7"/>
      <c r="K2239" s="27" t="s">
        <v>2208</v>
      </c>
      <c r="L2239" s="7"/>
    </row>
    <row r="2240" spans="1:12" x14ac:dyDescent="0.2">
      <c r="A2240" s="7"/>
      <c r="B2240" s="7"/>
      <c r="C2240" s="7"/>
      <c r="D2240" s="7"/>
      <c r="E2240" s="7">
        <v>624200</v>
      </c>
      <c r="F2240" s="7"/>
      <c r="G2240" s="7" t="s">
        <v>705</v>
      </c>
      <c r="H2240" s="7"/>
      <c r="I2240" s="27" t="s">
        <v>71</v>
      </c>
      <c r="J2240" s="7"/>
      <c r="K2240" s="27" t="s">
        <v>2208</v>
      </c>
      <c r="L2240" s="7"/>
    </row>
    <row r="2241" spans="1:12" x14ac:dyDescent="0.2">
      <c r="A2241" s="7"/>
      <c r="B2241" s="7"/>
      <c r="C2241" s="7"/>
      <c r="D2241" s="7"/>
      <c r="E2241" s="7">
        <v>624201</v>
      </c>
      <c r="F2241" s="7"/>
      <c r="G2241" s="7" t="s">
        <v>706</v>
      </c>
      <c r="H2241" s="7"/>
      <c r="I2241" s="27" t="s">
        <v>71</v>
      </c>
      <c r="J2241" s="7"/>
      <c r="K2241" s="27" t="s">
        <v>2208</v>
      </c>
      <c r="L2241" s="7"/>
    </row>
    <row r="2242" spans="1:12" x14ac:dyDescent="0.2">
      <c r="A2242" s="7"/>
      <c r="B2242" s="7"/>
      <c r="C2242" s="7"/>
      <c r="D2242" s="7"/>
      <c r="E2242" s="7">
        <v>624202</v>
      </c>
      <c r="F2242" s="7"/>
      <c r="G2242" s="7" t="s">
        <v>707</v>
      </c>
      <c r="H2242" s="7"/>
      <c r="I2242" s="27" t="s">
        <v>71</v>
      </c>
      <c r="J2242" s="7"/>
      <c r="K2242" s="27" t="s">
        <v>2208</v>
      </c>
      <c r="L2242" s="7"/>
    </row>
    <row r="2243" spans="1:12" x14ac:dyDescent="0.2">
      <c r="A2243" s="7"/>
      <c r="B2243" s="7"/>
      <c r="C2243" s="7"/>
      <c r="D2243" s="7"/>
      <c r="E2243" s="7">
        <v>624203</v>
      </c>
      <c r="F2243" s="7"/>
      <c r="G2243" s="7" t="s">
        <v>708</v>
      </c>
      <c r="H2243" s="7"/>
      <c r="I2243" s="27" t="s">
        <v>71</v>
      </c>
      <c r="J2243" s="7"/>
      <c r="K2243" s="27" t="s">
        <v>2208</v>
      </c>
      <c r="L2243" s="7"/>
    </row>
    <row r="2244" spans="1:12" x14ac:dyDescent="0.2">
      <c r="A2244" s="7"/>
      <c r="B2244" s="7"/>
      <c r="C2244" s="7"/>
      <c r="D2244" s="7"/>
      <c r="E2244" s="7">
        <v>624204</v>
      </c>
      <c r="F2244" s="7"/>
      <c r="G2244" s="7" t="s">
        <v>1157</v>
      </c>
      <c r="H2244" s="7"/>
      <c r="I2244" s="27" t="s">
        <v>47</v>
      </c>
      <c r="J2244" s="7"/>
      <c r="K2244" s="27" t="s">
        <v>2208</v>
      </c>
      <c r="L2244" s="7"/>
    </row>
    <row r="2245" spans="1:12" x14ac:dyDescent="0.2">
      <c r="A2245" s="7"/>
      <c r="B2245" s="7"/>
      <c r="C2245" s="7"/>
      <c r="D2245" s="7"/>
      <c r="E2245" s="7">
        <v>624205</v>
      </c>
      <c r="F2245" s="7"/>
      <c r="G2245" s="7" t="s">
        <v>1158</v>
      </c>
      <c r="H2245" s="7"/>
      <c r="I2245" s="27" t="s">
        <v>47</v>
      </c>
      <c r="J2245" s="7"/>
      <c r="K2245" s="27" t="s">
        <v>2208</v>
      </c>
      <c r="L2245" s="7"/>
    </row>
    <row r="2246" spans="1:12" x14ac:dyDescent="0.2">
      <c r="A2246" s="7"/>
      <c r="B2246" s="7"/>
      <c r="C2246" s="7"/>
      <c r="D2246" s="7"/>
      <c r="E2246" s="7">
        <v>624206</v>
      </c>
      <c r="F2246" s="7"/>
      <c r="G2246" s="7" t="s">
        <v>1159</v>
      </c>
      <c r="H2246" s="7"/>
      <c r="I2246" s="27" t="s">
        <v>133</v>
      </c>
      <c r="J2246" s="7"/>
      <c r="K2246" s="27" t="s">
        <v>2208</v>
      </c>
      <c r="L2246" s="7"/>
    </row>
    <row r="2247" spans="1:12" x14ac:dyDescent="0.2">
      <c r="A2247" s="7"/>
      <c r="B2247" s="7"/>
      <c r="C2247" s="7"/>
      <c r="D2247" s="7"/>
      <c r="E2247" s="7">
        <v>624207</v>
      </c>
      <c r="F2247" s="7"/>
      <c r="G2247" s="7" t="s">
        <v>1160</v>
      </c>
      <c r="H2247" s="7"/>
      <c r="I2247" s="27" t="s">
        <v>133</v>
      </c>
      <c r="J2247" s="7"/>
      <c r="K2247" s="27" t="s">
        <v>2208</v>
      </c>
      <c r="L2247" s="7"/>
    </row>
    <row r="2248" spans="1:12" x14ac:dyDescent="0.2">
      <c r="A2248" s="7"/>
      <c r="B2248" s="7"/>
      <c r="C2248" s="7"/>
      <c r="D2248" s="7"/>
      <c r="E2248" s="7">
        <v>624208</v>
      </c>
      <c r="F2248" s="7"/>
      <c r="G2248" s="7" t="s">
        <v>728</v>
      </c>
      <c r="H2248" s="7"/>
      <c r="I2248" s="27" t="s">
        <v>47</v>
      </c>
      <c r="J2248" s="7"/>
      <c r="K2248" s="27" t="s">
        <v>2208</v>
      </c>
      <c r="L2248" s="7"/>
    </row>
    <row r="2249" spans="1:12" x14ac:dyDescent="0.2">
      <c r="A2249" s="7"/>
      <c r="B2249" s="7"/>
      <c r="C2249" s="7"/>
      <c r="D2249" s="7"/>
      <c r="E2249" s="7">
        <v>624209</v>
      </c>
      <c r="F2249" s="7"/>
      <c r="G2249" s="7" t="s">
        <v>729</v>
      </c>
      <c r="H2249" s="7"/>
      <c r="I2249" s="27" t="s">
        <v>133</v>
      </c>
      <c r="J2249" s="7"/>
      <c r="K2249" s="27" t="s">
        <v>2208</v>
      </c>
      <c r="L2249" s="7"/>
    </row>
    <row r="2250" spans="1:12" x14ac:dyDescent="0.2">
      <c r="A2250" s="7"/>
      <c r="B2250" s="7"/>
      <c r="C2250" s="7"/>
      <c r="D2250" s="7"/>
      <c r="E2250" s="7">
        <v>624210</v>
      </c>
      <c r="F2250" s="7"/>
      <c r="G2250" s="7" t="s">
        <v>718</v>
      </c>
      <c r="H2250" s="7"/>
      <c r="I2250" s="27" t="s">
        <v>47</v>
      </c>
      <c r="J2250" s="7"/>
      <c r="K2250" s="27" t="s">
        <v>2208</v>
      </c>
      <c r="L2250" s="7"/>
    </row>
    <row r="2251" spans="1:12" x14ac:dyDescent="0.2">
      <c r="A2251" s="7"/>
      <c r="B2251" s="7"/>
      <c r="C2251" s="7"/>
      <c r="D2251" s="7"/>
      <c r="E2251" s="7">
        <v>624211</v>
      </c>
      <c r="F2251" s="7"/>
      <c r="G2251" s="7" t="s">
        <v>719</v>
      </c>
      <c r="H2251" s="7"/>
      <c r="I2251" s="27" t="s">
        <v>47</v>
      </c>
      <c r="J2251" s="7"/>
      <c r="K2251" s="27" t="s">
        <v>2208</v>
      </c>
      <c r="L2251" s="7"/>
    </row>
    <row r="2252" spans="1:12" x14ac:dyDescent="0.2">
      <c r="A2252" s="7"/>
      <c r="B2252" s="7"/>
      <c r="C2252" s="7"/>
      <c r="D2252" s="7"/>
      <c r="E2252" s="7">
        <v>624212</v>
      </c>
      <c r="F2252" s="7"/>
      <c r="G2252" s="7" t="s">
        <v>720</v>
      </c>
      <c r="H2252" s="7"/>
      <c r="I2252" s="27" t="s">
        <v>47</v>
      </c>
      <c r="J2252" s="7"/>
      <c r="K2252" s="27" t="s">
        <v>2208</v>
      </c>
      <c r="L2252" s="7"/>
    </row>
    <row r="2253" spans="1:12" x14ac:dyDescent="0.2">
      <c r="A2253" s="7"/>
      <c r="B2253" s="7"/>
      <c r="C2253" s="7"/>
      <c r="D2253" s="7"/>
      <c r="E2253" s="7">
        <v>624213</v>
      </c>
      <c r="F2253" s="7"/>
      <c r="G2253" s="7" t="s">
        <v>721</v>
      </c>
      <c r="H2253" s="7"/>
      <c r="I2253" s="27" t="s">
        <v>133</v>
      </c>
      <c r="J2253" s="7"/>
      <c r="K2253" s="27" t="s">
        <v>2208</v>
      </c>
      <c r="L2253" s="7"/>
    </row>
    <row r="2254" spans="1:12" x14ac:dyDescent="0.2">
      <c r="A2254" s="7"/>
      <c r="B2254" s="7"/>
      <c r="C2254" s="7"/>
      <c r="D2254" s="7"/>
      <c r="E2254" s="7">
        <v>624214</v>
      </c>
      <c r="F2254" s="7"/>
      <c r="G2254" s="7" t="s">
        <v>722</v>
      </c>
      <c r="H2254" s="7"/>
      <c r="I2254" s="27" t="s">
        <v>133</v>
      </c>
      <c r="J2254" s="7"/>
      <c r="K2254" s="27" t="s">
        <v>2208</v>
      </c>
      <c r="L2254" s="7"/>
    </row>
    <row r="2255" spans="1:12" x14ac:dyDescent="0.2">
      <c r="A2255" s="7"/>
      <c r="B2255" s="7"/>
      <c r="C2255" s="7"/>
      <c r="D2255" s="7"/>
      <c r="E2255" s="7">
        <v>624215</v>
      </c>
      <c r="F2255" s="7"/>
      <c r="G2255" s="7" t="s">
        <v>723</v>
      </c>
      <c r="H2255" s="7"/>
      <c r="I2255" s="27" t="s">
        <v>133</v>
      </c>
      <c r="J2255" s="7"/>
      <c r="K2255" s="27" t="s">
        <v>2208</v>
      </c>
      <c r="L2255" s="7"/>
    </row>
    <row r="2256" spans="1:12" x14ac:dyDescent="0.2">
      <c r="A2256" s="7"/>
      <c r="B2256" s="7"/>
      <c r="C2256" s="7"/>
      <c r="D2256" s="7"/>
      <c r="E2256" s="7">
        <v>624216</v>
      </c>
      <c r="F2256" s="7"/>
      <c r="G2256" s="7" t="s">
        <v>1833</v>
      </c>
      <c r="H2256" s="7"/>
      <c r="I2256" s="27" t="s">
        <v>133</v>
      </c>
      <c r="J2256" s="7"/>
      <c r="K2256" s="27" t="s">
        <v>2208</v>
      </c>
      <c r="L2256" s="7"/>
    </row>
    <row r="2257" spans="1:12" x14ac:dyDescent="0.2">
      <c r="A2257" s="7"/>
      <c r="B2257" s="7"/>
      <c r="C2257" s="7"/>
      <c r="D2257" s="7"/>
      <c r="E2257" s="7">
        <v>624220</v>
      </c>
      <c r="F2257" s="7"/>
      <c r="G2257" s="7" t="s">
        <v>815</v>
      </c>
      <c r="H2257" s="7"/>
      <c r="I2257" s="27" t="s">
        <v>47</v>
      </c>
      <c r="J2257" s="7"/>
      <c r="K2257" s="27" t="s">
        <v>2208</v>
      </c>
      <c r="L2257" s="7"/>
    </row>
    <row r="2258" spans="1:12" x14ac:dyDescent="0.2">
      <c r="A2258" s="7"/>
      <c r="B2258" s="7"/>
      <c r="C2258" s="7"/>
      <c r="D2258" s="7"/>
      <c r="E2258" s="7">
        <v>624221</v>
      </c>
      <c r="F2258" s="7"/>
      <c r="G2258" s="7" t="s">
        <v>816</v>
      </c>
      <c r="H2258" s="7"/>
      <c r="I2258" s="27" t="s">
        <v>47</v>
      </c>
      <c r="J2258" s="7"/>
      <c r="K2258" s="27" t="s">
        <v>2208</v>
      </c>
      <c r="L2258" s="7"/>
    </row>
    <row r="2259" spans="1:12" x14ac:dyDescent="0.2">
      <c r="A2259" s="7"/>
      <c r="B2259" s="7"/>
      <c r="C2259" s="7"/>
      <c r="D2259" s="7"/>
      <c r="E2259" s="7">
        <v>624222</v>
      </c>
      <c r="F2259" s="7"/>
      <c r="G2259" s="7" t="s">
        <v>817</v>
      </c>
      <c r="H2259" s="7"/>
      <c r="I2259" s="27" t="s">
        <v>47</v>
      </c>
      <c r="J2259" s="7"/>
      <c r="K2259" s="27" t="s">
        <v>2208</v>
      </c>
      <c r="L2259" s="7"/>
    </row>
    <row r="2260" spans="1:12" x14ac:dyDescent="0.2">
      <c r="A2260" s="7"/>
      <c r="B2260" s="7"/>
      <c r="C2260" s="7"/>
      <c r="D2260" s="7"/>
      <c r="E2260" s="7">
        <v>624223</v>
      </c>
      <c r="F2260" s="7"/>
      <c r="G2260" s="7" t="s">
        <v>818</v>
      </c>
      <c r="H2260" s="7"/>
      <c r="I2260" s="27" t="s">
        <v>47</v>
      </c>
      <c r="J2260" s="7"/>
      <c r="K2260" s="27" t="s">
        <v>2208</v>
      </c>
      <c r="L2260" s="7"/>
    </row>
    <row r="2261" spans="1:12" x14ac:dyDescent="0.2">
      <c r="A2261" s="7"/>
      <c r="B2261" s="7"/>
      <c r="C2261" s="7"/>
      <c r="D2261" s="7"/>
      <c r="E2261" s="7">
        <v>624224</v>
      </c>
      <c r="F2261" s="7"/>
      <c r="G2261" s="7" t="s">
        <v>819</v>
      </c>
      <c r="H2261" s="7"/>
      <c r="I2261" s="27" t="s">
        <v>47</v>
      </c>
      <c r="J2261" s="7"/>
      <c r="K2261" s="27" t="s">
        <v>2208</v>
      </c>
      <c r="L2261" s="7"/>
    </row>
    <row r="2262" spans="1:12" x14ac:dyDescent="0.2">
      <c r="A2262" s="7"/>
      <c r="B2262" s="7"/>
      <c r="C2262" s="7"/>
      <c r="D2262" s="7"/>
      <c r="E2262" s="7">
        <v>624225</v>
      </c>
      <c r="F2262" s="7"/>
      <c r="G2262" s="7" t="s">
        <v>820</v>
      </c>
      <c r="H2262" s="7"/>
      <c r="I2262" s="27" t="s">
        <v>133</v>
      </c>
      <c r="J2262" s="7"/>
      <c r="K2262" s="27" t="s">
        <v>2208</v>
      </c>
      <c r="L2262" s="7"/>
    </row>
    <row r="2263" spans="1:12" x14ac:dyDescent="0.2">
      <c r="A2263" s="7"/>
      <c r="B2263" s="7"/>
      <c r="C2263" s="7"/>
      <c r="D2263" s="7"/>
      <c r="E2263" s="7">
        <v>624226</v>
      </c>
      <c r="F2263" s="7"/>
      <c r="G2263" s="7" t="s">
        <v>821</v>
      </c>
      <c r="H2263" s="7"/>
      <c r="I2263" s="27" t="s">
        <v>133</v>
      </c>
      <c r="J2263" s="7"/>
      <c r="K2263" s="27" t="s">
        <v>2208</v>
      </c>
      <c r="L2263" s="7"/>
    </row>
    <row r="2264" spans="1:12" x14ac:dyDescent="0.2">
      <c r="A2264" s="7"/>
      <c r="B2264" s="7"/>
      <c r="C2264" s="7"/>
      <c r="D2264" s="7"/>
      <c r="E2264" s="7">
        <v>624227</v>
      </c>
      <c r="F2264" s="7"/>
      <c r="G2264" s="7" t="s">
        <v>822</v>
      </c>
      <c r="H2264" s="7"/>
      <c r="I2264" s="27" t="s">
        <v>133</v>
      </c>
      <c r="J2264" s="7"/>
      <c r="K2264" s="27" t="s">
        <v>2208</v>
      </c>
      <c r="L2264" s="7"/>
    </row>
    <row r="2265" spans="1:12" x14ac:dyDescent="0.2">
      <c r="A2265" s="7"/>
      <c r="B2265" s="7"/>
      <c r="C2265" s="7"/>
      <c r="D2265" s="7"/>
      <c r="E2265" s="7">
        <v>624228</v>
      </c>
      <c r="F2265" s="7"/>
      <c r="G2265" s="7" t="s">
        <v>823</v>
      </c>
      <c r="H2265" s="7"/>
      <c r="I2265" s="27" t="s">
        <v>133</v>
      </c>
      <c r="J2265" s="7"/>
      <c r="K2265" s="27" t="s">
        <v>2208</v>
      </c>
      <c r="L2265" s="7"/>
    </row>
    <row r="2266" spans="1:12" x14ac:dyDescent="0.2">
      <c r="A2266" s="7"/>
      <c r="B2266" s="7"/>
      <c r="C2266" s="7"/>
      <c r="D2266" s="7"/>
      <c r="E2266" s="7">
        <v>624229</v>
      </c>
      <c r="F2266" s="7"/>
      <c r="G2266" s="7" t="s">
        <v>824</v>
      </c>
      <c r="H2266" s="7"/>
      <c r="I2266" s="27" t="s">
        <v>133</v>
      </c>
      <c r="J2266" s="7"/>
      <c r="K2266" s="27" t="s">
        <v>2208</v>
      </c>
      <c r="L2266" s="7"/>
    </row>
    <row r="2267" spans="1:12" x14ac:dyDescent="0.2">
      <c r="A2267" s="7"/>
      <c r="B2267" s="7"/>
      <c r="C2267" s="7"/>
      <c r="D2267" s="7"/>
      <c r="E2267" s="7">
        <v>624230</v>
      </c>
      <c r="F2267" s="7"/>
      <c r="G2267" s="7" t="s">
        <v>1162</v>
      </c>
      <c r="H2267" s="7"/>
      <c r="I2267" s="27" t="s">
        <v>47</v>
      </c>
      <c r="J2267" s="7"/>
      <c r="K2267" s="27" t="s">
        <v>2208</v>
      </c>
      <c r="L2267" s="7"/>
    </row>
    <row r="2268" spans="1:12" x14ac:dyDescent="0.2">
      <c r="A2268" s="7"/>
      <c r="B2268" s="7"/>
      <c r="C2268" s="7"/>
      <c r="D2268" s="7"/>
      <c r="E2268" s="7">
        <v>624231</v>
      </c>
      <c r="F2268" s="7"/>
      <c r="G2268" s="7" t="s">
        <v>1163</v>
      </c>
      <c r="H2268" s="7"/>
      <c r="I2268" s="27" t="s">
        <v>47</v>
      </c>
      <c r="J2268" s="7"/>
      <c r="K2268" s="27" t="s">
        <v>2208</v>
      </c>
      <c r="L2268" s="7"/>
    </row>
    <row r="2269" spans="1:12" x14ac:dyDescent="0.2">
      <c r="A2269" s="7"/>
      <c r="B2269" s="7"/>
      <c r="C2269" s="7"/>
      <c r="D2269" s="7"/>
      <c r="E2269" s="7">
        <v>624232</v>
      </c>
      <c r="F2269" s="7"/>
      <c r="G2269" s="7" t="s">
        <v>1164</v>
      </c>
      <c r="H2269" s="7"/>
      <c r="I2269" s="27" t="s">
        <v>47</v>
      </c>
      <c r="J2269" s="7"/>
      <c r="K2269" s="27" t="s">
        <v>2208</v>
      </c>
      <c r="L2269" s="7"/>
    </row>
    <row r="2270" spans="1:12" x14ac:dyDescent="0.2">
      <c r="A2270" s="7"/>
      <c r="B2270" s="7"/>
      <c r="C2270" s="7"/>
      <c r="D2270" s="7"/>
      <c r="E2270" s="7">
        <v>624233</v>
      </c>
      <c r="F2270" s="7"/>
      <c r="G2270" s="7" t="s">
        <v>1165</v>
      </c>
      <c r="H2270" s="7"/>
      <c r="I2270" s="27" t="s">
        <v>133</v>
      </c>
      <c r="J2270" s="7"/>
      <c r="K2270" s="27" t="s">
        <v>2208</v>
      </c>
      <c r="L2270" s="7"/>
    </row>
    <row r="2271" spans="1:12" x14ac:dyDescent="0.2">
      <c r="A2271" s="7"/>
      <c r="B2271" s="7"/>
      <c r="C2271" s="7"/>
      <c r="D2271" s="7"/>
      <c r="E2271" s="7">
        <v>624234</v>
      </c>
      <c r="F2271" s="7"/>
      <c r="G2271" s="7" t="s">
        <v>1166</v>
      </c>
      <c r="H2271" s="7"/>
      <c r="I2271" s="27" t="s">
        <v>133</v>
      </c>
      <c r="J2271" s="7"/>
      <c r="K2271" s="27" t="s">
        <v>2208</v>
      </c>
      <c r="L2271" s="7"/>
    </row>
    <row r="2272" spans="1:12" x14ac:dyDescent="0.2">
      <c r="A2272" s="7"/>
      <c r="B2272" s="7"/>
      <c r="C2272" s="7"/>
      <c r="D2272" s="7"/>
      <c r="E2272" s="7">
        <v>624235</v>
      </c>
      <c r="F2272" s="7"/>
      <c r="G2272" s="7" t="s">
        <v>1167</v>
      </c>
      <c r="H2272" s="7"/>
      <c r="I2272" s="27" t="s">
        <v>133</v>
      </c>
      <c r="J2272" s="7"/>
      <c r="K2272" s="27" t="s">
        <v>2208</v>
      </c>
      <c r="L2272" s="7"/>
    </row>
    <row r="2273" spans="1:12" x14ac:dyDescent="0.2">
      <c r="A2273" s="7"/>
      <c r="B2273" s="7"/>
      <c r="C2273" s="7"/>
      <c r="D2273" s="7"/>
      <c r="E2273" s="7">
        <v>624236</v>
      </c>
      <c r="F2273" s="7"/>
      <c r="G2273" s="7" t="s">
        <v>1834</v>
      </c>
      <c r="H2273" s="7"/>
      <c r="I2273" s="27" t="s">
        <v>616</v>
      </c>
      <c r="J2273" s="7"/>
      <c r="K2273" s="27" t="s">
        <v>2208</v>
      </c>
      <c r="L2273" s="7"/>
    </row>
    <row r="2274" spans="1:12" x14ac:dyDescent="0.2">
      <c r="A2274" s="7"/>
      <c r="B2274" s="7"/>
      <c r="C2274" s="7"/>
      <c r="D2274" s="7"/>
      <c r="E2274" s="7">
        <v>624237</v>
      </c>
      <c r="F2274" s="7"/>
      <c r="G2274" s="7" t="s">
        <v>1835</v>
      </c>
      <c r="H2274" s="7"/>
      <c r="I2274" s="27" t="s">
        <v>616</v>
      </c>
      <c r="J2274" s="7"/>
      <c r="K2274" s="27" t="s">
        <v>2208</v>
      </c>
      <c r="L2274" s="7"/>
    </row>
    <row r="2275" spans="1:12" x14ac:dyDescent="0.2">
      <c r="A2275" s="7"/>
      <c r="B2275" s="7"/>
      <c r="C2275" s="7"/>
      <c r="D2275" s="7"/>
      <c r="E2275" s="7">
        <v>624238</v>
      </c>
      <c r="F2275" s="7"/>
      <c r="G2275" s="7" t="s">
        <v>538</v>
      </c>
      <c r="H2275" s="7"/>
      <c r="I2275" s="27" t="s">
        <v>71</v>
      </c>
      <c r="J2275" s="7"/>
      <c r="K2275" s="27" t="s">
        <v>2208</v>
      </c>
      <c r="L2275" s="7"/>
    </row>
    <row r="2276" spans="1:12" x14ac:dyDescent="0.2">
      <c r="A2276" s="7"/>
      <c r="B2276" s="7"/>
      <c r="C2276" s="7"/>
      <c r="D2276" s="7"/>
      <c r="E2276" s="7">
        <v>624239</v>
      </c>
      <c r="F2276" s="7"/>
      <c r="G2276" s="7" t="s">
        <v>539</v>
      </c>
      <c r="H2276" s="7"/>
      <c r="I2276" s="27" t="s">
        <v>133</v>
      </c>
      <c r="J2276" s="7"/>
      <c r="K2276" s="27" t="s">
        <v>2208</v>
      </c>
      <c r="L2276" s="7"/>
    </row>
    <row r="2277" spans="1:12" x14ac:dyDescent="0.2">
      <c r="A2277" s="7"/>
      <c r="B2277" s="7"/>
      <c r="C2277" s="7"/>
      <c r="D2277" s="7"/>
      <c r="E2277" s="7">
        <v>624240</v>
      </c>
      <c r="F2277" s="7"/>
      <c r="G2277" s="7" t="s">
        <v>538</v>
      </c>
      <c r="H2277" s="7"/>
      <c r="I2277" s="27" t="s">
        <v>71</v>
      </c>
      <c r="J2277" s="7"/>
      <c r="K2277" s="27" t="s">
        <v>2208</v>
      </c>
      <c r="L2277" s="7"/>
    </row>
    <row r="2278" spans="1:12" x14ac:dyDescent="0.2">
      <c r="A2278" s="7"/>
      <c r="B2278" s="7"/>
      <c r="C2278" s="7"/>
      <c r="D2278" s="7"/>
      <c r="E2278" s="7">
        <v>624241</v>
      </c>
      <c r="F2278" s="7"/>
      <c r="G2278" s="7" t="s">
        <v>539</v>
      </c>
      <c r="H2278" s="7"/>
      <c r="I2278" s="27" t="s">
        <v>133</v>
      </c>
      <c r="J2278" s="7"/>
      <c r="K2278" s="27" t="s">
        <v>2208</v>
      </c>
      <c r="L2278" s="7"/>
    </row>
    <row r="2279" spans="1:12" x14ac:dyDescent="0.2">
      <c r="A2279" s="7"/>
      <c r="B2279" s="7"/>
      <c r="C2279" s="7"/>
      <c r="D2279" s="7"/>
      <c r="E2279" s="7">
        <v>624251</v>
      </c>
      <c r="F2279" s="7"/>
      <c r="G2279" s="7" t="s">
        <v>1168</v>
      </c>
      <c r="H2279" s="7"/>
      <c r="I2279" s="27" t="s">
        <v>47</v>
      </c>
      <c r="J2279" s="7"/>
      <c r="K2279" s="27" t="s">
        <v>2208</v>
      </c>
      <c r="L2279" s="7"/>
    </row>
    <row r="2280" spans="1:12" x14ac:dyDescent="0.2">
      <c r="A2280" s="7"/>
      <c r="B2280" s="7"/>
      <c r="C2280" s="7"/>
      <c r="D2280" s="7"/>
      <c r="E2280" s="7">
        <v>624252</v>
      </c>
      <c r="F2280" s="7"/>
      <c r="G2280" s="7" t="s">
        <v>1169</v>
      </c>
      <c r="H2280" s="7"/>
      <c r="I2280" s="27" t="s">
        <v>47</v>
      </c>
      <c r="J2280" s="7"/>
      <c r="K2280" s="27" t="s">
        <v>2208</v>
      </c>
      <c r="L2280" s="7"/>
    </row>
    <row r="2281" spans="1:12" x14ac:dyDescent="0.2">
      <c r="A2281" s="7"/>
      <c r="B2281" s="7"/>
      <c r="C2281" s="7"/>
      <c r="D2281" s="7"/>
      <c r="E2281" s="7">
        <v>624253</v>
      </c>
      <c r="F2281" s="7"/>
      <c r="G2281" s="7" t="s">
        <v>1170</v>
      </c>
      <c r="H2281" s="7"/>
      <c r="I2281" s="27" t="s">
        <v>47</v>
      </c>
      <c r="J2281" s="7"/>
      <c r="K2281" s="27" t="s">
        <v>2208</v>
      </c>
      <c r="L2281" s="7"/>
    </row>
    <row r="2282" spans="1:12" x14ac:dyDescent="0.2">
      <c r="A2282" s="7"/>
      <c r="B2282" s="7"/>
      <c r="C2282" s="7"/>
      <c r="D2282" s="7"/>
      <c r="E2282" s="7">
        <v>624254</v>
      </c>
      <c r="F2282" s="7"/>
      <c r="G2282" s="7" t="s">
        <v>1171</v>
      </c>
      <c r="H2282" s="7"/>
      <c r="I2282" s="27" t="s">
        <v>133</v>
      </c>
      <c r="J2282" s="7"/>
      <c r="K2282" s="27" t="s">
        <v>2208</v>
      </c>
      <c r="L2282" s="7"/>
    </row>
    <row r="2283" spans="1:12" x14ac:dyDescent="0.2">
      <c r="A2283" s="7"/>
      <c r="B2283" s="7"/>
      <c r="C2283" s="7"/>
      <c r="D2283" s="7"/>
      <c r="E2283" s="7">
        <v>624255</v>
      </c>
      <c r="F2283" s="7"/>
      <c r="G2283" s="7" t="s">
        <v>1172</v>
      </c>
      <c r="H2283" s="7"/>
      <c r="I2283" s="27" t="s">
        <v>133</v>
      </c>
      <c r="J2283" s="7"/>
      <c r="K2283" s="27" t="s">
        <v>2208</v>
      </c>
      <c r="L2283" s="7"/>
    </row>
    <row r="2284" spans="1:12" x14ac:dyDescent="0.2">
      <c r="A2284" s="7"/>
      <c r="B2284" s="7"/>
      <c r="C2284" s="7"/>
      <c r="D2284" s="7"/>
      <c r="E2284" s="7">
        <v>624256</v>
      </c>
      <c r="F2284" s="7"/>
      <c r="G2284" s="7" t="s">
        <v>1173</v>
      </c>
      <c r="H2284" s="7"/>
      <c r="I2284" s="27" t="s">
        <v>133</v>
      </c>
      <c r="J2284" s="7"/>
      <c r="K2284" s="27" t="s">
        <v>2208</v>
      </c>
      <c r="L2284" s="7"/>
    </row>
    <row r="2285" spans="1:12" x14ac:dyDescent="0.2">
      <c r="A2285" s="7"/>
      <c r="B2285" s="7"/>
      <c r="C2285" s="7"/>
      <c r="D2285" s="7"/>
      <c r="E2285" s="7">
        <v>624346</v>
      </c>
      <c r="F2285" s="7"/>
      <c r="G2285" s="7" t="s">
        <v>1836</v>
      </c>
      <c r="H2285" s="7"/>
      <c r="I2285" s="27" t="s">
        <v>133</v>
      </c>
      <c r="J2285" s="7"/>
      <c r="K2285" s="27" t="s">
        <v>2208</v>
      </c>
      <c r="L2285" s="7"/>
    </row>
    <row r="2286" spans="1:12" x14ac:dyDescent="0.2">
      <c r="A2286" s="7"/>
      <c r="B2286" s="7"/>
      <c r="C2286" s="7"/>
      <c r="D2286" s="7"/>
      <c r="E2286" s="7">
        <v>624347</v>
      </c>
      <c r="F2286" s="7"/>
      <c r="G2286" s="7" t="s">
        <v>1837</v>
      </c>
      <c r="H2286" s="7"/>
      <c r="I2286" s="27" t="s">
        <v>133</v>
      </c>
      <c r="J2286" s="7"/>
      <c r="K2286" s="27" t="s">
        <v>2208</v>
      </c>
      <c r="L2286" s="7"/>
    </row>
    <row r="2287" spans="1:12" x14ac:dyDescent="0.2">
      <c r="A2287" s="7"/>
      <c r="B2287" s="7"/>
      <c r="C2287" s="7"/>
      <c r="D2287" s="7"/>
      <c r="E2287" s="7">
        <v>624348</v>
      </c>
      <c r="F2287" s="7"/>
      <c r="G2287" s="7" t="s">
        <v>1838</v>
      </c>
      <c r="H2287" s="7"/>
      <c r="I2287" s="27" t="s">
        <v>133</v>
      </c>
      <c r="J2287" s="7"/>
      <c r="K2287" s="27" t="s">
        <v>2208</v>
      </c>
      <c r="L2287" s="7"/>
    </row>
    <row r="2288" spans="1:12" x14ac:dyDescent="0.2">
      <c r="A2288" s="7"/>
      <c r="B2288" s="7"/>
      <c r="C2288" s="7"/>
      <c r="D2288" s="7"/>
      <c r="E2288" s="7">
        <v>624349</v>
      </c>
      <c r="F2288" s="7"/>
      <c r="G2288" s="7" t="s">
        <v>1839</v>
      </c>
      <c r="H2288" s="7"/>
      <c r="I2288" s="27" t="s">
        <v>133</v>
      </c>
      <c r="J2288" s="7"/>
      <c r="K2288" s="27" t="s">
        <v>2208</v>
      </c>
      <c r="L2288" s="7"/>
    </row>
    <row r="2289" spans="1:12" x14ac:dyDescent="0.2">
      <c r="A2289" s="7"/>
      <c r="B2289" s="7"/>
      <c r="C2289" s="7"/>
      <c r="D2289" s="7"/>
      <c r="E2289" s="7">
        <v>624350</v>
      </c>
      <c r="F2289" s="7"/>
      <c r="G2289" s="7" t="s">
        <v>1840</v>
      </c>
      <c r="H2289" s="7"/>
      <c r="I2289" s="27" t="s">
        <v>133</v>
      </c>
      <c r="J2289" s="7"/>
      <c r="K2289" s="27" t="s">
        <v>2208</v>
      </c>
      <c r="L2289" s="7"/>
    </row>
    <row r="2290" spans="1:12" x14ac:dyDescent="0.2">
      <c r="A2290" s="7"/>
      <c r="B2290" s="7"/>
      <c r="C2290" s="7"/>
      <c r="D2290" s="7"/>
      <c r="E2290" s="7">
        <v>624351</v>
      </c>
      <c r="F2290" s="7"/>
      <c r="G2290" s="7" t="s">
        <v>1841</v>
      </c>
      <c r="H2290" s="7"/>
      <c r="I2290" s="27" t="s">
        <v>133</v>
      </c>
      <c r="J2290" s="7"/>
      <c r="K2290" s="27" t="s">
        <v>2208</v>
      </c>
      <c r="L2290" s="7"/>
    </row>
    <row r="2291" spans="1:12" x14ac:dyDescent="0.2">
      <c r="A2291" s="7"/>
      <c r="B2291" s="7"/>
      <c r="C2291" s="7"/>
      <c r="D2291" s="7"/>
      <c r="E2291" s="7">
        <v>624354</v>
      </c>
      <c r="F2291" s="7"/>
      <c r="G2291" s="7" t="s">
        <v>779</v>
      </c>
      <c r="H2291" s="7"/>
      <c r="I2291" s="27" t="s">
        <v>47</v>
      </c>
      <c r="J2291" s="7"/>
      <c r="K2291" s="27" t="s">
        <v>2208</v>
      </c>
      <c r="L2291" s="7"/>
    </row>
    <row r="2292" spans="1:12" x14ac:dyDescent="0.2">
      <c r="A2292" s="7"/>
      <c r="B2292" s="7"/>
      <c r="C2292" s="7"/>
      <c r="D2292" s="7"/>
      <c r="E2292" s="7">
        <v>624355</v>
      </c>
      <c r="F2292" s="7"/>
      <c r="G2292" s="7" t="s">
        <v>780</v>
      </c>
      <c r="H2292" s="7"/>
      <c r="I2292" s="27" t="s">
        <v>71</v>
      </c>
      <c r="J2292" s="7"/>
      <c r="K2292" s="27" t="s">
        <v>2208</v>
      </c>
      <c r="L2292" s="7"/>
    </row>
    <row r="2293" spans="1:12" x14ac:dyDescent="0.2">
      <c r="A2293" s="7"/>
      <c r="B2293" s="7"/>
      <c r="C2293" s="7"/>
      <c r="D2293" s="7"/>
      <c r="E2293" s="7">
        <v>624356</v>
      </c>
      <c r="F2293" s="7"/>
      <c r="G2293" s="7" t="s">
        <v>781</v>
      </c>
      <c r="H2293" s="7"/>
      <c r="I2293" s="27" t="s">
        <v>71</v>
      </c>
      <c r="J2293" s="7"/>
      <c r="K2293" s="27" t="s">
        <v>2208</v>
      </c>
      <c r="L2293" s="7"/>
    </row>
    <row r="2294" spans="1:12" x14ac:dyDescent="0.2">
      <c r="A2294" s="7"/>
      <c r="B2294" s="7"/>
      <c r="C2294" s="7"/>
      <c r="D2294" s="7"/>
      <c r="E2294" s="7">
        <v>624357</v>
      </c>
      <c r="F2294" s="7"/>
      <c r="G2294" s="7" t="s">
        <v>782</v>
      </c>
      <c r="H2294" s="7"/>
      <c r="I2294" s="27" t="s">
        <v>71</v>
      </c>
      <c r="J2294" s="7"/>
      <c r="K2294" s="27" t="s">
        <v>2208</v>
      </c>
      <c r="L2294" s="7"/>
    </row>
    <row r="2295" spans="1:12" x14ac:dyDescent="0.2">
      <c r="A2295" s="7"/>
      <c r="B2295" s="7"/>
      <c r="C2295" s="7"/>
      <c r="D2295" s="7"/>
      <c r="E2295" s="7">
        <v>624358</v>
      </c>
      <c r="F2295" s="7"/>
      <c r="G2295" s="7" t="s">
        <v>784</v>
      </c>
      <c r="H2295" s="7"/>
      <c r="I2295" s="27" t="s">
        <v>47</v>
      </c>
      <c r="J2295" s="7"/>
      <c r="K2295" s="27" t="s">
        <v>2208</v>
      </c>
      <c r="L2295" s="7"/>
    </row>
    <row r="2296" spans="1:12" x14ac:dyDescent="0.2">
      <c r="A2296" s="7"/>
      <c r="B2296" s="7"/>
      <c r="C2296" s="7"/>
      <c r="D2296" s="7"/>
      <c r="E2296" s="7">
        <v>624404</v>
      </c>
      <c r="F2296" s="7"/>
      <c r="G2296" s="7" t="s">
        <v>1840</v>
      </c>
      <c r="H2296" s="7"/>
      <c r="I2296" s="27" t="s">
        <v>47</v>
      </c>
      <c r="J2296" s="7"/>
      <c r="K2296" s="27" t="s">
        <v>2208</v>
      </c>
      <c r="L2296" s="7"/>
    </row>
    <row r="2297" spans="1:12" x14ac:dyDescent="0.2">
      <c r="A2297" s="7"/>
      <c r="B2297" s="7"/>
      <c r="C2297" s="7"/>
      <c r="D2297" s="7"/>
      <c r="E2297" s="7">
        <v>624405</v>
      </c>
      <c r="F2297" s="7"/>
      <c r="G2297" s="7" t="s">
        <v>1841</v>
      </c>
      <c r="H2297" s="7"/>
      <c r="I2297" s="27" t="s">
        <v>47</v>
      </c>
      <c r="J2297" s="7"/>
      <c r="K2297" s="27" t="s">
        <v>2208</v>
      </c>
      <c r="L2297" s="7"/>
    </row>
    <row r="2298" spans="1:12" x14ac:dyDescent="0.2">
      <c r="A2298" s="7"/>
      <c r="B2298" s="7"/>
      <c r="C2298" s="7"/>
      <c r="D2298" s="7"/>
      <c r="E2298" s="7">
        <v>624523</v>
      </c>
      <c r="F2298" s="7"/>
      <c r="G2298" s="7" t="s">
        <v>898</v>
      </c>
      <c r="H2298" s="7"/>
      <c r="I2298" s="27" t="s">
        <v>133</v>
      </c>
      <c r="J2298" s="7"/>
      <c r="K2298" s="27" t="s">
        <v>2208</v>
      </c>
      <c r="L2298" s="7"/>
    </row>
    <row r="2299" spans="1:12" x14ac:dyDescent="0.2">
      <c r="A2299" s="7"/>
      <c r="B2299" s="7"/>
      <c r="C2299" s="7"/>
      <c r="D2299" s="7"/>
      <c r="E2299" s="7">
        <v>624540</v>
      </c>
      <c r="F2299" s="7"/>
      <c r="G2299" s="7" t="s">
        <v>630</v>
      </c>
      <c r="H2299" s="7"/>
      <c r="I2299" s="27" t="s">
        <v>47</v>
      </c>
      <c r="J2299" s="7"/>
      <c r="K2299" s="27" t="s">
        <v>2208</v>
      </c>
      <c r="L2299" s="7"/>
    </row>
    <row r="2300" spans="1:12" x14ac:dyDescent="0.2">
      <c r="A2300" s="7"/>
      <c r="B2300" s="7"/>
      <c r="C2300" s="7"/>
      <c r="D2300" s="7"/>
      <c r="E2300" s="7">
        <v>624541</v>
      </c>
      <c r="F2300" s="7"/>
      <c r="G2300" s="7" t="s">
        <v>631</v>
      </c>
      <c r="H2300" s="7"/>
      <c r="I2300" s="27" t="s">
        <v>71</v>
      </c>
      <c r="J2300" s="7"/>
      <c r="K2300" s="27" t="s">
        <v>2208</v>
      </c>
      <c r="L2300" s="7"/>
    </row>
    <row r="2301" spans="1:12" x14ac:dyDescent="0.2">
      <c r="A2301" s="7"/>
      <c r="B2301" s="7"/>
      <c r="C2301" s="7"/>
      <c r="D2301" s="7"/>
      <c r="E2301" s="7">
        <v>624542</v>
      </c>
      <c r="F2301" s="7"/>
      <c r="G2301" s="7" t="s">
        <v>1842</v>
      </c>
      <c r="H2301" s="7"/>
      <c r="I2301" s="27" t="s">
        <v>47</v>
      </c>
      <c r="J2301" s="7"/>
      <c r="K2301" s="27" t="s">
        <v>2208</v>
      </c>
      <c r="L2301" s="7"/>
    </row>
    <row r="2302" spans="1:12" x14ac:dyDescent="0.2">
      <c r="A2302" s="7"/>
      <c r="B2302" s="7"/>
      <c r="C2302" s="7"/>
      <c r="D2302" s="7"/>
      <c r="E2302" s="7">
        <v>624543</v>
      </c>
      <c r="F2302" s="7"/>
      <c r="G2302" s="7" t="s">
        <v>1842</v>
      </c>
      <c r="H2302" s="7"/>
      <c r="I2302" s="27" t="s">
        <v>47</v>
      </c>
      <c r="J2302" s="7"/>
      <c r="K2302" s="27" t="s">
        <v>2208</v>
      </c>
      <c r="L2302" s="7"/>
    </row>
    <row r="2303" spans="1:12" x14ac:dyDescent="0.2">
      <c r="A2303" s="7"/>
      <c r="B2303" s="7"/>
      <c r="C2303" s="7"/>
      <c r="D2303" s="7"/>
      <c r="E2303" s="7">
        <v>624544</v>
      </c>
      <c r="F2303" s="7"/>
      <c r="G2303" s="7" t="s">
        <v>1843</v>
      </c>
      <c r="H2303" s="7"/>
      <c r="I2303" s="27" t="s">
        <v>47</v>
      </c>
      <c r="J2303" s="7"/>
      <c r="K2303" s="27" t="s">
        <v>2208</v>
      </c>
      <c r="L2303" s="7"/>
    </row>
    <row r="2304" spans="1:12" x14ac:dyDescent="0.2">
      <c r="A2304" s="7"/>
      <c r="B2304" s="7"/>
      <c r="C2304" s="7"/>
      <c r="D2304" s="7"/>
      <c r="E2304" s="7">
        <v>624545</v>
      </c>
      <c r="F2304" s="7"/>
      <c r="G2304" s="7" t="s">
        <v>1843</v>
      </c>
      <c r="H2304" s="7"/>
      <c r="I2304" s="27" t="s">
        <v>47</v>
      </c>
      <c r="J2304" s="7"/>
      <c r="K2304" s="27" t="s">
        <v>2208</v>
      </c>
      <c r="L2304" s="7"/>
    </row>
    <row r="2305" spans="1:12" x14ac:dyDescent="0.2">
      <c r="A2305" s="7"/>
      <c r="B2305" s="7"/>
      <c r="C2305" s="7"/>
      <c r="D2305" s="7"/>
      <c r="E2305" s="7">
        <v>624546</v>
      </c>
      <c r="F2305" s="7"/>
      <c r="G2305" s="7" t="s">
        <v>548</v>
      </c>
      <c r="H2305" s="7"/>
      <c r="I2305" s="27" t="s">
        <v>47</v>
      </c>
      <c r="J2305" s="7"/>
      <c r="K2305" s="27" t="s">
        <v>2208</v>
      </c>
      <c r="L2305" s="7"/>
    </row>
    <row r="2306" spans="1:12" x14ac:dyDescent="0.2">
      <c r="A2306" s="7"/>
      <c r="B2306" s="7"/>
      <c r="C2306" s="7"/>
      <c r="D2306" s="7"/>
      <c r="E2306" s="7">
        <v>624547</v>
      </c>
      <c r="F2306" s="7"/>
      <c r="G2306" s="7" t="s">
        <v>548</v>
      </c>
      <c r="H2306" s="7"/>
      <c r="I2306" s="27" t="s">
        <v>47</v>
      </c>
      <c r="J2306" s="7"/>
      <c r="K2306" s="27" t="s">
        <v>2208</v>
      </c>
      <c r="L2306" s="7"/>
    </row>
    <row r="2307" spans="1:12" x14ac:dyDescent="0.2">
      <c r="A2307" s="7"/>
      <c r="B2307" s="7"/>
      <c r="C2307" s="7"/>
      <c r="D2307" s="7"/>
      <c r="E2307" s="7">
        <v>624548</v>
      </c>
      <c r="F2307" s="7"/>
      <c r="G2307" s="7" t="s">
        <v>549</v>
      </c>
      <c r="H2307" s="7"/>
      <c r="I2307" s="27" t="s">
        <v>47</v>
      </c>
      <c r="J2307" s="7"/>
      <c r="K2307" s="27" t="s">
        <v>2208</v>
      </c>
      <c r="L2307" s="7"/>
    </row>
    <row r="2308" spans="1:12" x14ac:dyDescent="0.2">
      <c r="A2308" s="7"/>
      <c r="B2308" s="7"/>
      <c r="C2308" s="7"/>
      <c r="D2308" s="7"/>
      <c r="E2308" s="7">
        <v>624549</v>
      </c>
      <c r="F2308" s="7"/>
      <c r="G2308" s="7" t="s">
        <v>549</v>
      </c>
      <c r="H2308" s="7"/>
      <c r="I2308" s="27" t="s">
        <v>47</v>
      </c>
      <c r="J2308" s="7"/>
      <c r="K2308" s="27" t="s">
        <v>2208</v>
      </c>
      <c r="L2308" s="7"/>
    </row>
    <row r="2309" spans="1:12" x14ac:dyDescent="0.2">
      <c r="A2309" s="7"/>
      <c r="B2309" s="7"/>
      <c r="C2309" s="7"/>
      <c r="D2309" s="7"/>
      <c r="E2309" s="7">
        <v>624550</v>
      </c>
      <c r="F2309" s="7"/>
      <c r="G2309" s="7" t="s">
        <v>1844</v>
      </c>
      <c r="H2309" s="7"/>
      <c r="I2309" s="27" t="s">
        <v>133</v>
      </c>
      <c r="J2309" s="7"/>
      <c r="K2309" s="27" t="s">
        <v>2208</v>
      </c>
      <c r="L2309" s="7"/>
    </row>
    <row r="2310" spans="1:12" x14ac:dyDescent="0.2">
      <c r="A2310" s="7"/>
      <c r="B2310" s="7"/>
      <c r="C2310" s="7"/>
      <c r="D2310" s="7"/>
      <c r="E2310" s="7">
        <v>624551</v>
      </c>
      <c r="F2310" s="7"/>
      <c r="G2310" s="7" t="s">
        <v>1844</v>
      </c>
      <c r="H2310" s="7"/>
      <c r="I2310" s="27" t="s">
        <v>133</v>
      </c>
      <c r="J2310" s="7"/>
      <c r="K2310" s="27" t="s">
        <v>2208</v>
      </c>
      <c r="L2310" s="7"/>
    </row>
    <row r="2311" spans="1:12" x14ac:dyDescent="0.2">
      <c r="A2311" s="7"/>
      <c r="B2311" s="7"/>
      <c r="C2311" s="7"/>
      <c r="D2311" s="7"/>
      <c r="E2311" s="7">
        <v>624552</v>
      </c>
      <c r="F2311" s="7"/>
      <c r="G2311" s="7" t="s">
        <v>1844</v>
      </c>
      <c r="H2311" s="7"/>
      <c r="I2311" s="27" t="s">
        <v>133</v>
      </c>
      <c r="J2311" s="7"/>
      <c r="K2311" s="27" t="s">
        <v>2208</v>
      </c>
      <c r="L2311" s="7"/>
    </row>
    <row r="2312" spans="1:12" x14ac:dyDescent="0.2">
      <c r="A2312" s="7"/>
      <c r="B2312" s="7"/>
      <c r="C2312" s="7"/>
      <c r="D2312" s="7"/>
      <c r="E2312" s="7">
        <v>624553</v>
      </c>
      <c r="F2312" s="7"/>
      <c r="G2312" s="7" t="s">
        <v>1844</v>
      </c>
      <c r="H2312" s="7"/>
      <c r="I2312" s="27" t="s">
        <v>133</v>
      </c>
      <c r="J2312" s="7"/>
      <c r="K2312" s="27" t="s">
        <v>2208</v>
      </c>
      <c r="L2312" s="7"/>
    </row>
    <row r="2313" spans="1:12" x14ac:dyDescent="0.2">
      <c r="A2313" s="7"/>
      <c r="B2313" s="7"/>
      <c r="C2313" s="7"/>
      <c r="D2313" s="7"/>
      <c r="E2313" s="7">
        <v>624554</v>
      </c>
      <c r="F2313" s="7"/>
      <c r="G2313" s="7" t="s">
        <v>1845</v>
      </c>
      <c r="H2313" s="7"/>
      <c r="I2313" s="27" t="s">
        <v>133</v>
      </c>
      <c r="J2313" s="7"/>
      <c r="K2313" s="27" t="s">
        <v>2208</v>
      </c>
      <c r="L2313" s="7"/>
    </row>
    <row r="2314" spans="1:12" x14ac:dyDescent="0.2">
      <c r="A2314" s="7"/>
      <c r="B2314" s="7"/>
      <c r="C2314" s="7"/>
      <c r="D2314" s="7"/>
      <c r="E2314" s="7">
        <v>624555</v>
      </c>
      <c r="F2314" s="7"/>
      <c r="G2314" s="7" t="s">
        <v>1845</v>
      </c>
      <c r="H2314" s="7"/>
      <c r="I2314" s="27" t="s">
        <v>133</v>
      </c>
      <c r="J2314" s="7"/>
      <c r="K2314" s="27" t="s">
        <v>2208</v>
      </c>
      <c r="L2314" s="7"/>
    </row>
    <row r="2315" spans="1:12" x14ac:dyDescent="0.2">
      <c r="A2315" s="7"/>
      <c r="B2315" s="7"/>
      <c r="C2315" s="7"/>
      <c r="D2315" s="7"/>
      <c r="E2315" s="7">
        <v>624556</v>
      </c>
      <c r="F2315" s="7"/>
      <c r="G2315" s="7" t="s">
        <v>1845</v>
      </c>
      <c r="H2315" s="7"/>
      <c r="I2315" s="27" t="s">
        <v>133</v>
      </c>
      <c r="J2315" s="7"/>
      <c r="K2315" s="27" t="s">
        <v>2208</v>
      </c>
      <c r="L2315" s="7"/>
    </row>
    <row r="2316" spans="1:12" x14ac:dyDescent="0.2">
      <c r="A2316" s="7"/>
      <c r="B2316" s="7"/>
      <c r="C2316" s="7"/>
      <c r="D2316" s="7"/>
      <c r="E2316" s="7">
        <v>624557</v>
      </c>
      <c r="F2316" s="7"/>
      <c r="G2316" s="7" t="s">
        <v>1845</v>
      </c>
      <c r="H2316" s="7"/>
      <c r="I2316" s="27" t="s">
        <v>133</v>
      </c>
      <c r="J2316" s="7"/>
      <c r="K2316" s="27" t="s">
        <v>2208</v>
      </c>
      <c r="L2316" s="7"/>
    </row>
    <row r="2317" spans="1:12" x14ac:dyDescent="0.2">
      <c r="A2317" s="7"/>
      <c r="B2317" s="7"/>
      <c r="C2317" s="7"/>
      <c r="D2317" s="7"/>
      <c r="E2317" s="7">
        <v>624558</v>
      </c>
      <c r="F2317" s="7"/>
      <c r="G2317" s="7" t="s">
        <v>1846</v>
      </c>
      <c r="H2317" s="7"/>
      <c r="I2317" s="27" t="s">
        <v>47</v>
      </c>
      <c r="J2317" s="7"/>
      <c r="K2317" s="27" t="s">
        <v>2208</v>
      </c>
      <c r="L2317" s="7"/>
    </row>
    <row r="2318" spans="1:12" x14ac:dyDescent="0.2">
      <c r="A2318" s="7"/>
      <c r="B2318" s="7"/>
      <c r="C2318" s="7"/>
      <c r="D2318" s="7"/>
      <c r="E2318" s="7">
        <v>624559</v>
      </c>
      <c r="F2318" s="7"/>
      <c r="G2318" s="7" t="s">
        <v>1846</v>
      </c>
      <c r="H2318" s="7"/>
      <c r="I2318" s="27" t="s">
        <v>47</v>
      </c>
      <c r="J2318" s="7"/>
      <c r="K2318" s="27" t="s">
        <v>2208</v>
      </c>
      <c r="L2318" s="7"/>
    </row>
    <row r="2319" spans="1:12" x14ac:dyDescent="0.2">
      <c r="A2319" s="7"/>
      <c r="B2319" s="7"/>
      <c r="C2319" s="7"/>
      <c r="D2319" s="7"/>
      <c r="E2319" s="7">
        <v>624560</v>
      </c>
      <c r="F2319" s="7"/>
      <c r="G2319" s="7" t="s">
        <v>1847</v>
      </c>
      <c r="H2319" s="7"/>
      <c r="I2319" s="27" t="s">
        <v>47</v>
      </c>
      <c r="J2319" s="7"/>
      <c r="K2319" s="27" t="s">
        <v>2208</v>
      </c>
      <c r="L2319" s="7"/>
    </row>
    <row r="2320" spans="1:12" x14ac:dyDescent="0.2">
      <c r="A2320" s="7"/>
      <c r="B2320" s="7"/>
      <c r="C2320" s="7"/>
      <c r="D2320" s="7"/>
      <c r="E2320" s="7">
        <v>624561</v>
      </c>
      <c r="F2320" s="7"/>
      <c r="G2320" s="7" t="s">
        <v>1847</v>
      </c>
      <c r="H2320" s="7"/>
      <c r="I2320" s="27" t="s">
        <v>47</v>
      </c>
      <c r="J2320" s="7"/>
      <c r="K2320" s="27" t="s">
        <v>2208</v>
      </c>
      <c r="L2320" s="7"/>
    </row>
    <row r="2321" spans="1:12" x14ac:dyDescent="0.2">
      <c r="A2321" s="7"/>
      <c r="B2321" s="7"/>
      <c r="C2321" s="7"/>
      <c r="D2321" s="7"/>
      <c r="E2321" s="7">
        <v>624562</v>
      </c>
      <c r="F2321" s="7"/>
      <c r="G2321" s="7" t="s">
        <v>1848</v>
      </c>
      <c r="H2321" s="7"/>
      <c r="I2321" s="27" t="s">
        <v>553</v>
      </c>
      <c r="J2321" s="7"/>
      <c r="K2321" s="27" t="s">
        <v>2208</v>
      </c>
      <c r="L2321" s="7"/>
    </row>
    <row r="2322" spans="1:12" x14ac:dyDescent="0.2">
      <c r="A2322" s="7"/>
      <c r="B2322" s="7"/>
      <c r="C2322" s="7"/>
      <c r="D2322" s="7"/>
      <c r="E2322" s="7">
        <v>624563</v>
      </c>
      <c r="F2322" s="7"/>
      <c r="G2322" s="7" t="s">
        <v>1848</v>
      </c>
      <c r="H2322" s="7"/>
      <c r="I2322" s="27" t="s">
        <v>553</v>
      </c>
      <c r="J2322" s="7"/>
      <c r="K2322" s="27" t="s">
        <v>2208</v>
      </c>
      <c r="L2322" s="7"/>
    </row>
    <row r="2323" spans="1:12" x14ac:dyDescent="0.2">
      <c r="A2323" s="7"/>
      <c r="B2323" s="7"/>
      <c r="C2323" s="7"/>
      <c r="D2323" s="7"/>
      <c r="E2323" s="7">
        <v>624564</v>
      </c>
      <c r="F2323" s="7"/>
      <c r="G2323" s="7" t="s">
        <v>1849</v>
      </c>
      <c r="H2323" s="7"/>
      <c r="I2323" s="27" t="s">
        <v>553</v>
      </c>
      <c r="J2323" s="7"/>
      <c r="K2323" s="27" t="s">
        <v>2208</v>
      </c>
      <c r="L2323" s="7"/>
    </row>
    <row r="2324" spans="1:12" x14ac:dyDescent="0.2">
      <c r="A2324" s="7"/>
      <c r="B2324" s="7"/>
      <c r="C2324" s="7"/>
      <c r="D2324" s="7"/>
      <c r="E2324" s="7">
        <v>624565</v>
      </c>
      <c r="F2324" s="7"/>
      <c r="G2324" s="7" t="s">
        <v>1849</v>
      </c>
      <c r="H2324" s="7"/>
      <c r="I2324" s="27" t="s">
        <v>47</v>
      </c>
      <c r="J2324" s="7"/>
      <c r="K2324" s="27" t="s">
        <v>2208</v>
      </c>
      <c r="L2324" s="7"/>
    </row>
    <row r="2325" spans="1:12" x14ac:dyDescent="0.2">
      <c r="A2325" s="7"/>
      <c r="B2325" s="7"/>
      <c r="C2325" s="7"/>
      <c r="D2325" s="7"/>
      <c r="E2325" s="7">
        <v>624566</v>
      </c>
      <c r="F2325" s="7"/>
      <c r="G2325" s="7" t="s">
        <v>1850</v>
      </c>
      <c r="H2325" s="7"/>
      <c r="I2325" s="27" t="s">
        <v>47</v>
      </c>
      <c r="J2325" s="7"/>
      <c r="K2325" s="27" t="s">
        <v>2208</v>
      </c>
      <c r="L2325" s="7"/>
    </row>
    <row r="2326" spans="1:12" x14ac:dyDescent="0.2">
      <c r="A2326" s="7"/>
      <c r="B2326" s="7"/>
      <c r="C2326" s="7"/>
      <c r="D2326" s="7"/>
      <c r="E2326" s="7">
        <v>624567</v>
      </c>
      <c r="F2326" s="7"/>
      <c r="G2326" s="7" t="s">
        <v>1851</v>
      </c>
      <c r="H2326" s="7"/>
      <c r="I2326" s="27" t="s">
        <v>47</v>
      </c>
      <c r="J2326" s="7"/>
      <c r="K2326" s="27" t="s">
        <v>2208</v>
      </c>
      <c r="L2326" s="7"/>
    </row>
    <row r="2327" spans="1:12" x14ac:dyDescent="0.2">
      <c r="A2327" s="7"/>
      <c r="B2327" s="7"/>
      <c r="C2327" s="7"/>
      <c r="D2327" s="7"/>
      <c r="E2327" s="7">
        <v>624568</v>
      </c>
      <c r="F2327" s="7"/>
      <c r="G2327" s="7" t="s">
        <v>1852</v>
      </c>
      <c r="H2327" s="7"/>
      <c r="I2327" s="27" t="s">
        <v>47</v>
      </c>
      <c r="J2327" s="7"/>
      <c r="K2327" s="27" t="s">
        <v>2208</v>
      </c>
      <c r="L2327" s="7"/>
    </row>
    <row r="2328" spans="1:12" x14ac:dyDescent="0.2">
      <c r="A2328" s="7"/>
      <c r="B2328" s="7"/>
      <c r="C2328" s="7"/>
      <c r="D2328" s="7"/>
      <c r="E2328" s="7">
        <v>624569</v>
      </c>
      <c r="F2328" s="7"/>
      <c r="G2328" s="7" t="s">
        <v>1853</v>
      </c>
      <c r="H2328" s="7"/>
      <c r="I2328" s="27" t="s">
        <v>47</v>
      </c>
      <c r="J2328" s="7"/>
      <c r="K2328" s="27" t="s">
        <v>2208</v>
      </c>
      <c r="L2328" s="7"/>
    </row>
    <row r="2329" spans="1:12" x14ac:dyDescent="0.2">
      <c r="A2329" s="7"/>
      <c r="B2329" s="7"/>
      <c r="C2329" s="7"/>
      <c r="D2329" s="7"/>
      <c r="E2329" s="7">
        <v>624570</v>
      </c>
      <c r="F2329" s="7"/>
      <c r="G2329" s="7" t="s">
        <v>588</v>
      </c>
      <c r="H2329" s="7"/>
      <c r="I2329" s="27" t="s">
        <v>616</v>
      </c>
      <c r="J2329" s="7"/>
      <c r="K2329" s="27" t="s">
        <v>2208</v>
      </c>
      <c r="L2329" s="7"/>
    </row>
    <row r="2330" spans="1:12" x14ac:dyDescent="0.2">
      <c r="A2330" s="7"/>
      <c r="B2330" s="7"/>
      <c r="C2330" s="7"/>
      <c r="D2330" s="7"/>
      <c r="E2330" s="7">
        <v>624571</v>
      </c>
      <c r="F2330" s="7"/>
      <c r="G2330" s="7" t="s">
        <v>587</v>
      </c>
      <c r="H2330" s="7"/>
      <c r="I2330" s="27" t="s">
        <v>616</v>
      </c>
      <c r="J2330" s="7"/>
      <c r="K2330" s="27" t="s">
        <v>2208</v>
      </c>
      <c r="L2330" s="7"/>
    </row>
    <row r="2331" spans="1:12" x14ac:dyDescent="0.2">
      <c r="A2331" s="7"/>
      <c r="B2331" s="7"/>
      <c r="C2331" s="7"/>
      <c r="D2331" s="7"/>
      <c r="E2331" s="7">
        <v>624572</v>
      </c>
      <c r="F2331" s="7"/>
      <c r="G2331" s="7" t="s">
        <v>586</v>
      </c>
      <c r="H2331" s="7"/>
      <c r="I2331" s="27" t="s">
        <v>616</v>
      </c>
      <c r="J2331" s="7"/>
      <c r="K2331" s="27" t="s">
        <v>2208</v>
      </c>
      <c r="L2331" s="7"/>
    </row>
    <row r="2332" spans="1:12" x14ac:dyDescent="0.2">
      <c r="A2332" s="7"/>
      <c r="B2332" s="7"/>
      <c r="C2332" s="7"/>
      <c r="D2332" s="7"/>
      <c r="E2332" s="7">
        <v>624573</v>
      </c>
      <c r="F2332" s="7"/>
      <c r="G2332" s="7" t="s">
        <v>1854</v>
      </c>
      <c r="H2332" s="7"/>
      <c r="I2332" s="27" t="s">
        <v>47</v>
      </c>
      <c r="J2332" s="7"/>
      <c r="K2332" s="27" t="s">
        <v>2208</v>
      </c>
      <c r="L2332" s="7"/>
    </row>
    <row r="2333" spans="1:12" x14ac:dyDescent="0.2">
      <c r="A2333" s="7"/>
      <c r="B2333" s="7"/>
      <c r="C2333" s="7"/>
      <c r="D2333" s="7"/>
      <c r="E2333" s="7">
        <v>624574</v>
      </c>
      <c r="F2333" s="7"/>
      <c r="G2333" s="7" t="s">
        <v>1855</v>
      </c>
      <c r="H2333" s="7"/>
      <c r="I2333" s="27" t="s">
        <v>47</v>
      </c>
      <c r="J2333" s="7"/>
      <c r="K2333" s="27" t="s">
        <v>2208</v>
      </c>
      <c r="L2333" s="7"/>
    </row>
    <row r="2334" spans="1:12" x14ac:dyDescent="0.2">
      <c r="A2334" s="7"/>
      <c r="B2334" s="7"/>
      <c r="C2334" s="7"/>
      <c r="D2334" s="7"/>
      <c r="E2334" s="7">
        <v>624575</v>
      </c>
      <c r="F2334" s="7"/>
      <c r="G2334" s="7" t="s">
        <v>1856</v>
      </c>
      <c r="H2334" s="7"/>
      <c r="I2334" s="27" t="s">
        <v>133</v>
      </c>
      <c r="J2334" s="7"/>
      <c r="K2334" s="27" t="s">
        <v>2208</v>
      </c>
      <c r="L2334" s="7"/>
    </row>
    <row r="2335" spans="1:12" x14ac:dyDescent="0.2">
      <c r="A2335" s="7"/>
      <c r="B2335" s="7"/>
      <c r="C2335" s="7"/>
      <c r="D2335" s="7"/>
      <c r="E2335" s="7">
        <v>624576</v>
      </c>
      <c r="F2335" s="7"/>
      <c r="G2335" s="7" t="s">
        <v>1857</v>
      </c>
      <c r="H2335" s="7"/>
      <c r="I2335" s="27" t="s">
        <v>133</v>
      </c>
      <c r="J2335" s="7"/>
      <c r="K2335" s="27" t="s">
        <v>2208</v>
      </c>
      <c r="L2335" s="7"/>
    </row>
    <row r="2336" spans="1:12" x14ac:dyDescent="0.2">
      <c r="A2336" s="7"/>
      <c r="B2336" s="7"/>
      <c r="C2336" s="7"/>
      <c r="D2336" s="7"/>
      <c r="E2336" s="7">
        <v>624577</v>
      </c>
      <c r="F2336" s="7"/>
      <c r="G2336" s="7" t="s">
        <v>1858</v>
      </c>
      <c r="H2336" s="7"/>
      <c r="I2336" s="27" t="s">
        <v>47</v>
      </c>
      <c r="J2336" s="7"/>
      <c r="K2336" s="27" t="s">
        <v>2208</v>
      </c>
      <c r="L2336" s="7"/>
    </row>
    <row r="2337" spans="1:12" x14ac:dyDescent="0.2">
      <c r="A2337" s="7"/>
      <c r="B2337" s="7"/>
      <c r="C2337" s="7"/>
      <c r="D2337" s="7"/>
      <c r="E2337" s="7">
        <v>624578</v>
      </c>
      <c r="F2337" s="7"/>
      <c r="G2337" s="7" t="s">
        <v>1859</v>
      </c>
      <c r="H2337" s="7"/>
      <c r="I2337" s="27" t="s">
        <v>47</v>
      </c>
      <c r="J2337" s="7"/>
      <c r="K2337" s="27" t="s">
        <v>2208</v>
      </c>
      <c r="L2337" s="7"/>
    </row>
    <row r="2338" spans="1:12" x14ac:dyDescent="0.2">
      <c r="A2338" s="7"/>
      <c r="B2338" s="7"/>
      <c r="C2338" s="7"/>
      <c r="D2338" s="7"/>
      <c r="E2338" s="7">
        <v>624579</v>
      </c>
      <c r="F2338" s="7"/>
      <c r="G2338" s="7" t="s">
        <v>1860</v>
      </c>
      <c r="H2338" s="7"/>
      <c r="I2338" s="27" t="s">
        <v>47</v>
      </c>
      <c r="J2338" s="7"/>
      <c r="K2338" s="27" t="s">
        <v>2208</v>
      </c>
      <c r="L2338" s="7"/>
    </row>
    <row r="2339" spans="1:12" x14ac:dyDescent="0.2">
      <c r="A2339" s="7"/>
      <c r="B2339" s="7"/>
      <c r="C2339" s="7"/>
      <c r="D2339" s="7"/>
      <c r="E2339" s="7">
        <v>624580</v>
      </c>
      <c r="F2339" s="7"/>
      <c r="G2339" s="7" t="s">
        <v>1861</v>
      </c>
      <c r="H2339" s="7"/>
      <c r="I2339" s="27" t="s">
        <v>47</v>
      </c>
      <c r="J2339" s="7"/>
      <c r="K2339" s="27" t="s">
        <v>2208</v>
      </c>
      <c r="L2339" s="7"/>
    </row>
    <row r="2340" spans="1:12" x14ac:dyDescent="0.2">
      <c r="A2340" s="7"/>
      <c r="B2340" s="7"/>
      <c r="C2340" s="7"/>
      <c r="D2340" s="7"/>
      <c r="E2340" s="7">
        <v>624581</v>
      </c>
      <c r="F2340" s="7"/>
      <c r="G2340" s="7" t="s">
        <v>1862</v>
      </c>
      <c r="H2340" s="7"/>
      <c r="I2340" s="27" t="s">
        <v>47</v>
      </c>
      <c r="J2340" s="7"/>
      <c r="K2340" s="27" t="s">
        <v>2208</v>
      </c>
      <c r="L2340" s="7"/>
    </row>
    <row r="2341" spans="1:12" x14ac:dyDescent="0.2">
      <c r="A2341" s="7"/>
      <c r="B2341" s="7"/>
      <c r="C2341" s="7"/>
      <c r="D2341" s="7"/>
      <c r="E2341" s="7">
        <v>624582</v>
      </c>
      <c r="F2341" s="7"/>
      <c r="G2341" s="7" t="s">
        <v>1863</v>
      </c>
      <c r="H2341" s="7"/>
      <c r="I2341" s="27" t="s">
        <v>47</v>
      </c>
      <c r="J2341" s="7"/>
      <c r="K2341" s="27" t="s">
        <v>2208</v>
      </c>
      <c r="L2341" s="7"/>
    </row>
    <row r="2342" spans="1:12" x14ac:dyDescent="0.2">
      <c r="A2342" s="7"/>
      <c r="B2342" s="7"/>
      <c r="C2342" s="7"/>
      <c r="D2342" s="7"/>
      <c r="E2342" s="7">
        <v>624583</v>
      </c>
      <c r="F2342" s="7"/>
      <c r="G2342" s="7" t="s">
        <v>1864</v>
      </c>
      <c r="H2342" s="7"/>
      <c r="I2342" s="27" t="s">
        <v>133</v>
      </c>
      <c r="J2342" s="7"/>
      <c r="K2342" s="27" t="s">
        <v>2208</v>
      </c>
      <c r="L2342" s="7"/>
    </row>
    <row r="2343" spans="1:12" x14ac:dyDescent="0.2">
      <c r="A2343" s="7"/>
      <c r="B2343" s="7"/>
      <c r="C2343" s="7"/>
      <c r="D2343" s="7"/>
      <c r="E2343" s="7">
        <v>624584</v>
      </c>
      <c r="F2343" s="7"/>
      <c r="G2343" s="7" t="s">
        <v>1859</v>
      </c>
      <c r="H2343" s="7"/>
      <c r="I2343" s="27" t="s">
        <v>133</v>
      </c>
      <c r="J2343" s="7"/>
      <c r="K2343" s="27" t="s">
        <v>2208</v>
      </c>
      <c r="L2343" s="7"/>
    </row>
    <row r="2344" spans="1:12" x14ac:dyDescent="0.2">
      <c r="A2344" s="7"/>
      <c r="B2344" s="7"/>
      <c r="C2344" s="7"/>
      <c r="D2344" s="7"/>
      <c r="E2344" s="7">
        <v>624585</v>
      </c>
      <c r="F2344" s="7"/>
      <c r="G2344" s="7" t="s">
        <v>1865</v>
      </c>
      <c r="H2344" s="7"/>
      <c r="I2344" s="27" t="s">
        <v>133</v>
      </c>
      <c r="J2344" s="7"/>
      <c r="K2344" s="27" t="s">
        <v>2208</v>
      </c>
      <c r="L2344" s="7"/>
    </row>
    <row r="2345" spans="1:12" x14ac:dyDescent="0.2">
      <c r="A2345" s="7"/>
      <c r="B2345" s="7"/>
      <c r="C2345" s="7"/>
      <c r="D2345" s="7"/>
      <c r="E2345" s="7">
        <v>624586</v>
      </c>
      <c r="F2345" s="7"/>
      <c r="G2345" s="7" t="s">
        <v>1866</v>
      </c>
      <c r="H2345" s="7"/>
      <c r="I2345" s="27" t="s">
        <v>133</v>
      </c>
      <c r="J2345" s="7"/>
      <c r="K2345" s="27" t="s">
        <v>2208</v>
      </c>
      <c r="L2345" s="7"/>
    </row>
    <row r="2346" spans="1:12" x14ac:dyDescent="0.2">
      <c r="A2346" s="7"/>
      <c r="B2346" s="7"/>
      <c r="C2346" s="7"/>
      <c r="D2346" s="7"/>
      <c r="E2346" s="7">
        <v>624587</v>
      </c>
      <c r="F2346" s="7"/>
      <c r="G2346" s="7" t="s">
        <v>1862</v>
      </c>
      <c r="H2346" s="7"/>
      <c r="I2346" s="27" t="s">
        <v>133</v>
      </c>
      <c r="J2346" s="7"/>
      <c r="K2346" s="27" t="s">
        <v>2208</v>
      </c>
      <c r="L2346" s="7"/>
    </row>
    <row r="2347" spans="1:12" x14ac:dyDescent="0.2">
      <c r="A2347" s="7"/>
      <c r="B2347" s="7"/>
      <c r="C2347" s="7"/>
      <c r="D2347" s="7"/>
      <c r="E2347" s="7">
        <v>624588</v>
      </c>
      <c r="F2347" s="7"/>
      <c r="G2347" s="7" t="s">
        <v>1867</v>
      </c>
      <c r="H2347" s="7"/>
      <c r="I2347" s="27" t="s">
        <v>133</v>
      </c>
      <c r="J2347" s="7"/>
      <c r="K2347" s="27" t="s">
        <v>2208</v>
      </c>
      <c r="L2347" s="7"/>
    </row>
    <row r="2348" spans="1:12" x14ac:dyDescent="0.2">
      <c r="A2348" s="7"/>
      <c r="B2348" s="7"/>
      <c r="C2348" s="7"/>
      <c r="D2348" s="7"/>
      <c r="E2348" s="7">
        <v>624589</v>
      </c>
      <c r="F2348" s="7"/>
      <c r="G2348" s="7" t="s">
        <v>1868</v>
      </c>
      <c r="H2348" s="7"/>
      <c r="I2348" s="27" t="s">
        <v>616</v>
      </c>
      <c r="J2348" s="7"/>
      <c r="K2348" s="27" t="s">
        <v>2208</v>
      </c>
      <c r="L2348" s="7"/>
    </row>
    <row r="2349" spans="1:12" x14ac:dyDescent="0.2">
      <c r="A2349" s="7"/>
      <c r="B2349" s="7"/>
      <c r="C2349" s="7"/>
      <c r="D2349" s="7"/>
      <c r="E2349" s="7">
        <v>624590</v>
      </c>
      <c r="F2349" s="7"/>
      <c r="G2349" s="7" t="s">
        <v>1868</v>
      </c>
      <c r="H2349" s="7"/>
      <c r="I2349" s="27" t="s">
        <v>47</v>
      </c>
      <c r="J2349" s="7"/>
      <c r="K2349" s="27" t="s">
        <v>2208</v>
      </c>
      <c r="L2349" s="7"/>
    </row>
    <row r="2350" spans="1:12" x14ac:dyDescent="0.2">
      <c r="A2350" s="7"/>
      <c r="B2350" s="7"/>
      <c r="C2350" s="7"/>
      <c r="D2350" s="7"/>
      <c r="E2350" s="7">
        <v>624591</v>
      </c>
      <c r="F2350" s="7"/>
      <c r="G2350" s="7" t="s">
        <v>1868</v>
      </c>
      <c r="H2350" s="7"/>
      <c r="I2350" s="27" t="s">
        <v>71</v>
      </c>
      <c r="J2350" s="7"/>
      <c r="K2350" s="27" t="s">
        <v>2208</v>
      </c>
      <c r="L2350" s="7"/>
    </row>
    <row r="2351" spans="1:12" x14ac:dyDescent="0.2">
      <c r="A2351" s="7"/>
      <c r="B2351" s="7"/>
      <c r="C2351" s="7"/>
      <c r="D2351" s="7"/>
      <c r="E2351" s="7">
        <v>624592</v>
      </c>
      <c r="F2351" s="7"/>
      <c r="G2351" s="7" t="s">
        <v>1869</v>
      </c>
      <c r="H2351" s="7"/>
      <c r="I2351" s="27" t="s">
        <v>616</v>
      </c>
      <c r="J2351" s="7"/>
      <c r="K2351" s="27" t="s">
        <v>2208</v>
      </c>
      <c r="L2351" s="7"/>
    </row>
    <row r="2352" spans="1:12" x14ac:dyDescent="0.2">
      <c r="A2352" s="7"/>
      <c r="B2352" s="7"/>
      <c r="C2352" s="7"/>
      <c r="D2352" s="7"/>
      <c r="E2352" s="7">
        <v>624593</v>
      </c>
      <c r="F2352" s="7"/>
      <c r="G2352" s="7" t="s">
        <v>1869</v>
      </c>
      <c r="H2352" s="7"/>
      <c r="I2352" s="27" t="s">
        <v>71</v>
      </c>
      <c r="J2352" s="7"/>
      <c r="K2352" s="27" t="s">
        <v>2208</v>
      </c>
      <c r="L2352" s="7"/>
    </row>
    <row r="2353" spans="1:12" x14ac:dyDescent="0.2">
      <c r="A2353" s="7"/>
      <c r="B2353" s="7"/>
      <c r="C2353" s="7"/>
      <c r="D2353" s="7"/>
      <c r="E2353" s="7">
        <v>624594</v>
      </c>
      <c r="F2353" s="7"/>
      <c r="G2353" s="7" t="s">
        <v>1869</v>
      </c>
      <c r="H2353" s="7"/>
      <c r="I2353" s="27" t="s">
        <v>71</v>
      </c>
      <c r="J2353" s="7"/>
      <c r="K2353" s="27" t="s">
        <v>2208</v>
      </c>
      <c r="L2353" s="7"/>
    </row>
    <row r="2354" spans="1:12" x14ac:dyDescent="0.2">
      <c r="A2354" s="7"/>
      <c r="B2354" s="7"/>
      <c r="C2354" s="7"/>
      <c r="D2354" s="7"/>
      <c r="E2354" s="7">
        <v>624595</v>
      </c>
      <c r="F2354" s="7"/>
      <c r="G2354" s="7" t="s">
        <v>1870</v>
      </c>
      <c r="H2354" s="7"/>
      <c r="I2354" s="27" t="s">
        <v>133</v>
      </c>
      <c r="J2354" s="7"/>
      <c r="K2354" s="27" t="s">
        <v>2208</v>
      </c>
      <c r="L2354" s="7"/>
    </row>
    <row r="2355" spans="1:12" x14ac:dyDescent="0.2">
      <c r="A2355" s="7"/>
      <c r="B2355" s="7"/>
      <c r="C2355" s="7"/>
      <c r="D2355" s="7"/>
      <c r="E2355" s="7">
        <v>624596</v>
      </c>
      <c r="F2355" s="7"/>
      <c r="G2355" s="7" t="s">
        <v>1871</v>
      </c>
      <c r="H2355" s="7"/>
      <c r="I2355" s="27" t="s">
        <v>133</v>
      </c>
      <c r="J2355" s="7"/>
      <c r="K2355" s="27" t="s">
        <v>2208</v>
      </c>
      <c r="L2355" s="7"/>
    </row>
    <row r="2356" spans="1:12" x14ac:dyDescent="0.2">
      <c r="A2356" s="7"/>
      <c r="B2356" s="7"/>
      <c r="C2356" s="7"/>
      <c r="D2356" s="7"/>
      <c r="E2356" s="7">
        <v>624597</v>
      </c>
      <c r="F2356" s="7"/>
      <c r="G2356" s="7" t="s">
        <v>880</v>
      </c>
      <c r="H2356" s="7"/>
      <c r="I2356" s="27" t="s">
        <v>71</v>
      </c>
      <c r="J2356" s="7"/>
      <c r="K2356" s="27" t="s">
        <v>2208</v>
      </c>
      <c r="L2356" s="7"/>
    </row>
    <row r="2357" spans="1:12" x14ac:dyDescent="0.2">
      <c r="A2357" s="7"/>
      <c r="B2357" s="7"/>
      <c r="C2357" s="7"/>
      <c r="D2357" s="7"/>
      <c r="E2357" s="7">
        <v>624598</v>
      </c>
      <c r="F2357" s="7"/>
      <c r="G2357" s="7" t="s">
        <v>1872</v>
      </c>
      <c r="H2357" s="7"/>
      <c r="I2357" s="27" t="s">
        <v>133</v>
      </c>
      <c r="J2357" s="7"/>
      <c r="K2357" s="27" t="s">
        <v>2208</v>
      </c>
      <c r="L2357" s="7"/>
    </row>
    <row r="2358" spans="1:12" x14ac:dyDescent="0.2">
      <c r="A2358" s="7"/>
      <c r="B2358" s="7"/>
      <c r="C2358" s="7"/>
      <c r="D2358" s="7"/>
      <c r="E2358" s="7">
        <v>624599</v>
      </c>
      <c r="F2358" s="7"/>
      <c r="G2358" s="7" t="s">
        <v>620</v>
      </c>
      <c r="H2358" s="7"/>
      <c r="I2358" s="27" t="s">
        <v>71</v>
      </c>
      <c r="J2358" s="7"/>
      <c r="K2358" s="27" t="s">
        <v>2208</v>
      </c>
      <c r="L2358" s="7"/>
    </row>
    <row r="2359" spans="1:12" x14ac:dyDescent="0.2">
      <c r="A2359" s="7"/>
      <c r="B2359" s="7"/>
      <c r="C2359" s="7"/>
      <c r="D2359" s="7"/>
      <c r="E2359" s="7">
        <v>624600</v>
      </c>
      <c r="F2359" s="7"/>
      <c r="G2359" s="7" t="s">
        <v>1307</v>
      </c>
      <c r="H2359" s="7"/>
      <c r="I2359" s="27" t="s">
        <v>47</v>
      </c>
      <c r="J2359" s="7"/>
      <c r="K2359" s="27" t="s">
        <v>2208</v>
      </c>
      <c r="L2359" s="7"/>
    </row>
    <row r="2360" spans="1:12" x14ac:dyDescent="0.2">
      <c r="A2360" s="7"/>
      <c r="B2360" s="7"/>
      <c r="C2360" s="7"/>
      <c r="D2360" s="7"/>
      <c r="E2360" s="7">
        <v>624601</v>
      </c>
      <c r="F2360" s="7"/>
      <c r="G2360" s="7" t="s">
        <v>1306</v>
      </c>
      <c r="H2360" s="7"/>
      <c r="I2360" s="27" t="s">
        <v>47</v>
      </c>
      <c r="J2360" s="7"/>
      <c r="K2360" s="27" t="s">
        <v>2208</v>
      </c>
      <c r="L2360" s="7"/>
    </row>
    <row r="2361" spans="1:12" x14ac:dyDescent="0.2">
      <c r="A2361" s="7"/>
      <c r="B2361" s="7"/>
      <c r="C2361" s="7"/>
      <c r="D2361" s="7"/>
      <c r="E2361" s="7">
        <v>624602</v>
      </c>
      <c r="F2361" s="7"/>
      <c r="G2361" s="7" t="s">
        <v>619</v>
      </c>
      <c r="H2361" s="7"/>
      <c r="I2361" s="27" t="s">
        <v>133</v>
      </c>
      <c r="J2361" s="7"/>
      <c r="K2361" s="27" t="s">
        <v>2208</v>
      </c>
      <c r="L2361" s="7"/>
    </row>
    <row r="2362" spans="1:12" x14ac:dyDescent="0.2">
      <c r="A2362" s="7"/>
      <c r="B2362" s="7"/>
      <c r="C2362" s="7"/>
      <c r="D2362" s="7"/>
      <c r="E2362" s="7">
        <v>624603</v>
      </c>
      <c r="F2362" s="7"/>
      <c r="G2362" s="7" t="s">
        <v>1555</v>
      </c>
      <c r="H2362" s="7"/>
      <c r="I2362" s="27" t="s">
        <v>133</v>
      </c>
      <c r="J2362" s="7"/>
      <c r="K2362" s="27" t="s">
        <v>2208</v>
      </c>
      <c r="L2362" s="7"/>
    </row>
    <row r="2363" spans="1:12" x14ac:dyDescent="0.2">
      <c r="A2363" s="7"/>
      <c r="B2363" s="7"/>
      <c r="C2363" s="7"/>
      <c r="D2363" s="7"/>
      <c r="E2363" s="7">
        <v>624604</v>
      </c>
      <c r="F2363" s="7"/>
      <c r="G2363" s="7" t="s">
        <v>1873</v>
      </c>
      <c r="H2363" s="7"/>
      <c r="I2363" s="27" t="s">
        <v>133</v>
      </c>
      <c r="J2363" s="7"/>
      <c r="K2363" s="27" t="s">
        <v>2208</v>
      </c>
      <c r="L2363" s="7"/>
    </row>
    <row r="2364" spans="1:12" x14ac:dyDescent="0.2">
      <c r="A2364" s="7"/>
      <c r="B2364" s="7"/>
      <c r="C2364" s="7"/>
      <c r="D2364" s="7"/>
      <c r="E2364" s="7">
        <v>624605</v>
      </c>
      <c r="F2364" s="7"/>
      <c r="G2364" s="7" t="s">
        <v>1874</v>
      </c>
      <c r="H2364" s="7"/>
      <c r="I2364" s="27" t="s">
        <v>133</v>
      </c>
      <c r="J2364" s="7"/>
      <c r="K2364" s="27" t="s">
        <v>2208</v>
      </c>
      <c r="L2364" s="7"/>
    </row>
    <row r="2365" spans="1:12" x14ac:dyDescent="0.2">
      <c r="A2365" s="7"/>
      <c r="B2365" s="7"/>
      <c r="C2365" s="7"/>
      <c r="D2365" s="7"/>
      <c r="E2365" s="7">
        <v>624606</v>
      </c>
      <c r="F2365" s="7"/>
      <c r="G2365" s="7" t="s">
        <v>1875</v>
      </c>
      <c r="H2365" s="7"/>
      <c r="I2365" s="27" t="s">
        <v>133</v>
      </c>
      <c r="J2365" s="7"/>
      <c r="K2365" s="27" t="s">
        <v>2208</v>
      </c>
      <c r="L2365" s="7"/>
    </row>
    <row r="2366" spans="1:12" x14ac:dyDescent="0.2">
      <c r="A2366" s="7"/>
      <c r="B2366" s="7"/>
      <c r="C2366" s="7"/>
      <c r="D2366" s="7"/>
      <c r="E2366" s="7">
        <v>624607</v>
      </c>
      <c r="F2366" s="7"/>
      <c r="G2366" s="7" t="s">
        <v>1876</v>
      </c>
      <c r="H2366" s="7"/>
      <c r="I2366" s="27" t="s">
        <v>133</v>
      </c>
      <c r="J2366" s="7"/>
      <c r="K2366" s="27" t="s">
        <v>2208</v>
      </c>
      <c r="L2366" s="7"/>
    </row>
    <row r="2367" spans="1:12" x14ac:dyDescent="0.2">
      <c r="A2367" s="7"/>
      <c r="B2367" s="7"/>
      <c r="C2367" s="7"/>
      <c r="D2367" s="7"/>
      <c r="E2367" s="7">
        <v>624608</v>
      </c>
      <c r="F2367" s="7"/>
      <c r="G2367" s="7" t="s">
        <v>1279</v>
      </c>
      <c r="H2367" s="7"/>
      <c r="I2367" s="27" t="s">
        <v>133</v>
      </c>
      <c r="J2367" s="7"/>
      <c r="K2367" s="27" t="s">
        <v>2208</v>
      </c>
      <c r="L2367" s="7"/>
    </row>
    <row r="2368" spans="1:12" x14ac:dyDescent="0.2">
      <c r="A2368" s="7"/>
      <c r="B2368" s="7"/>
      <c r="C2368" s="7"/>
      <c r="D2368" s="7"/>
      <c r="E2368" s="7">
        <v>624609</v>
      </c>
      <c r="F2368" s="7"/>
      <c r="G2368" s="7" t="s">
        <v>1877</v>
      </c>
      <c r="H2368" s="7"/>
      <c r="I2368" s="27" t="s">
        <v>133</v>
      </c>
      <c r="J2368" s="7"/>
      <c r="K2368" s="27" t="s">
        <v>2208</v>
      </c>
      <c r="L2368" s="7"/>
    </row>
    <row r="2369" spans="1:12" x14ac:dyDescent="0.2">
      <c r="A2369" s="7"/>
      <c r="B2369" s="7"/>
      <c r="C2369" s="7"/>
      <c r="D2369" s="7"/>
      <c r="E2369" s="7">
        <v>624610</v>
      </c>
      <c r="F2369" s="7"/>
      <c r="G2369" s="7" t="s">
        <v>1878</v>
      </c>
      <c r="H2369" s="7"/>
      <c r="I2369" s="27" t="s">
        <v>133</v>
      </c>
      <c r="J2369" s="7"/>
      <c r="K2369" s="27" t="s">
        <v>2208</v>
      </c>
      <c r="L2369" s="7"/>
    </row>
    <row r="2370" spans="1:12" x14ac:dyDescent="0.2">
      <c r="A2370" s="7"/>
      <c r="B2370" s="7"/>
      <c r="C2370" s="7"/>
      <c r="D2370" s="7"/>
      <c r="E2370" s="7">
        <v>624611</v>
      </c>
      <c r="F2370" s="7"/>
      <c r="G2370" s="7" t="s">
        <v>1879</v>
      </c>
      <c r="H2370" s="7"/>
      <c r="I2370" s="27" t="s">
        <v>133</v>
      </c>
      <c r="J2370" s="7"/>
      <c r="K2370" s="27" t="s">
        <v>2208</v>
      </c>
      <c r="L2370" s="7"/>
    </row>
    <row r="2371" spans="1:12" x14ac:dyDescent="0.2">
      <c r="A2371" s="7"/>
      <c r="B2371" s="7"/>
      <c r="C2371" s="7"/>
      <c r="D2371" s="7"/>
      <c r="E2371" s="7">
        <v>624612</v>
      </c>
      <c r="F2371" s="7"/>
      <c r="G2371" s="7" t="s">
        <v>1302</v>
      </c>
      <c r="H2371" s="7"/>
      <c r="I2371" s="27" t="s">
        <v>133</v>
      </c>
      <c r="J2371" s="7"/>
      <c r="K2371" s="27" t="s">
        <v>2208</v>
      </c>
      <c r="L2371" s="7"/>
    </row>
    <row r="2372" spans="1:12" x14ac:dyDescent="0.2">
      <c r="A2372" s="7"/>
      <c r="B2372" s="7"/>
      <c r="C2372" s="7"/>
      <c r="D2372" s="7"/>
      <c r="E2372" s="7">
        <v>624613</v>
      </c>
      <c r="F2372" s="7"/>
      <c r="G2372" s="7" t="s">
        <v>1287</v>
      </c>
      <c r="H2372" s="7"/>
      <c r="I2372" s="27" t="s">
        <v>133</v>
      </c>
      <c r="J2372" s="7"/>
      <c r="K2372" s="27" t="s">
        <v>2208</v>
      </c>
      <c r="L2372" s="7"/>
    </row>
    <row r="2373" spans="1:12" x14ac:dyDescent="0.2">
      <c r="A2373" s="7"/>
      <c r="B2373" s="7"/>
      <c r="C2373" s="7"/>
      <c r="D2373" s="7"/>
      <c r="E2373" s="7">
        <v>624614</v>
      </c>
      <c r="F2373" s="7"/>
      <c r="G2373" s="7" t="s">
        <v>1880</v>
      </c>
      <c r="H2373" s="7"/>
      <c r="I2373" s="27" t="s">
        <v>133</v>
      </c>
      <c r="J2373" s="7"/>
      <c r="K2373" s="27" t="s">
        <v>2208</v>
      </c>
      <c r="L2373" s="7"/>
    </row>
    <row r="2374" spans="1:12" x14ac:dyDescent="0.2">
      <c r="A2374" s="7"/>
      <c r="B2374" s="7"/>
      <c r="C2374" s="7"/>
      <c r="D2374" s="7"/>
      <c r="E2374" s="7">
        <v>624615</v>
      </c>
      <c r="F2374" s="7"/>
      <c r="G2374" s="7" t="s">
        <v>1271</v>
      </c>
      <c r="H2374" s="7"/>
      <c r="I2374" s="27" t="s">
        <v>133</v>
      </c>
      <c r="J2374" s="7"/>
      <c r="K2374" s="27" t="s">
        <v>2208</v>
      </c>
      <c r="L2374" s="7"/>
    </row>
    <row r="2375" spans="1:12" x14ac:dyDescent="0.2">
      <c r="A2375" s="7"/>
      <c r="B2375" s="7"/>
      <c r="C2375" s="7"/>
      <c r="D2375" s="7"/>
      <c r="E2375" s="7">
        <v>624616</v>
      </c>
      <c r="F2375" s="7"/>
      <c r="G2375" s="7" t="s">
        <v>1624</v>
      </c>
      <c r="H2375" s="7"/>
      <c r="I2375" s="27" t="s">
        <v>133</v>
      </c>
      <c r="J2375" s="7"/>
      <c r="K2375" s="27" t="s">
        <v>2208</v>
      </c>
      <c r="L2375" s="7"/>
    </row>
    <row r="2376" spans="1:12" x14ac:dyDescent="0.2">
      <c r="A2376" s="7"/>
      <c r="B2376" s="7"/>
      <c r="C2376" s="7"/>
      <c r="D2376" s="7"/>
      <c r="E2376" s="7">
        <v>624617</v>
      </c>
      <c r="F2376" s="7"/>
      <c r="G2376" s="7" t="s">
        <v>1881</v>
      </c>
      <c r="H2376" s="7"/>
      <c r="I2376" s="27" t="s">
        <v>133</v>
      </c>
      <c r="J2376" s="7"/>
      <c r="K2376" s="27" t="s">
        <v>2208</v>
      </c>
      <c r="L2376" s="7"/>
    </row>
    <row r="2377" spans="1:12" x14ac:dyDescent="0.2">
      <c r="A2377" s="7"/>
      <c r="B2377" s="7"/>
      <c r="C2377" s="7"/>
      <c r="D2377" s="7"/>
      <c r="E2377" s="7">
        <v>624618</v>
      </c>
      <c r="F2377" s="7"/>
      <c r="G2377" s="7" t="s">
        <v>1270</v>
      </c>
      <c r="H2377" s="7"/>
      <c r="I2377" s="27" t="s">
        <v>133</v>
      </c>
      <c r="J2377" s="7"/>
      <c r="K2377" s="27" t="s">
        <v>2208</v>
      </c>
      <c r="L2377" s="7"/>
    </row>
    <row r="2378" spans="1:12" x14ac:dyDescent="0.2">
      <c r="A2378" s="7"/>
      <c r="B2378" s="7"/>
      <c r="C2378" s="7"/>
      <c r="D2378" s="7"/>
      <c r="E2378" s="7">
        <v>624619</v>
      </c>
      <c r="F2378" s="7"/>
      <c r="G2378" s="7" t="s">
        <v>1774</v>
      </c>
      <c r="H2378" s="7"/>
      <c r="I2378" s="27" t="s">
        <v>616</v>
      </c>
      <c r="J2378" s="7"/>
      <c r="K2378" s="27" t="s">
        <v>2208</v>
      </c>
      <c r="L2378" s="7"/>
    </row>
    <row r="2379" spans="1:12" x14ac:dyDescent="0.2">
      <c r="A2379" s="7"/>
      <c r="B2379" s="7"/>
      <c r="C2379" s="7"/>
      <c r="D2379" s="7"/>
      <c r="E2379" s="7">
        <v>624620</v>
      </c>
      <c r="F2379" s="7"/>
      <c r="G2379" s="7" t="s">
        <v>1289</v>
      </c>
      <c r="H2379" s="7"/>
      <c r="I2379" s="27" t="s">
        <v>133</v>
      </c>
      <c r="J2379" s="7"/>
      <c r="K2379" s="27" t="s">
        <v>2208</v>
      </c>
      <c r="L2379" s="7"/>
    </row>
    <row r="2380" spans="1:12" x14ac:dyDescent="0.2">
      <c r="A2380" s="7"/>
      <c r="B2380" s="7"/>
      <c r="C2380" s="7"/>
      <c r="D2380" s="7"/>
      <c r="E2380" s="7">
        <v>624621</v>
      </c>
      <c r="F2380" s="7"/>
      <c r="G2380" s="7" t="s">
        <v>1882</v>
      </c>
      <c r="H2380" s="7"/>
      <c r="I2380" s="27" t="s">
        <v>133</v>
      </c>
      <c r="J2380" s="7"/>
      <c r="K2380" s="27" t="s">
        <v>2208</v>
      </c>
      <c r="L2380" s="7"/>
    </row>
    <row r="2381" spans="1:12" x14ac:dyDescent="0.2">
      <c r="A2381" s="7"/>
      <c r="B2381" s="7"/>
      <c r="C2381" s="7"/>
      <c r="D2381" s="7"/>
      <c r="E2381" s="7">
        <v>624622</v>
      </c>
      <c r="F2381" s="7"/>
      <c r="G2381" s="7" t="s">
        <v>1883</v>
      </c>
      <c r="H2381" s="7"/>
      <c r="I2381" s="27" t="s">
        <v>133</v>
      </c>
      <c r="J2381" s="7"/>
      <c r="K2381" s="27" t="s">
        <v>2208</v>
      </c>
      <c r="L2381" s="7"/>
    </row>
    <row r="2382" spans="1:12" x14ac:dyDescent="0.2">
      <c r="A2382" s="7"/>
      <c r="B2382" s="7"/>
      <c r="C2382" s="7"/>
      <c r="D2382" s="7"/>
      <c r="E2382" s="7">
        <v>624623</v>
      </c>
      <c r="F2382" s="7"/>
      <c r="G2382" s="7" t="s">
        <v>1782</v>
      </c>
      <c r="H2382" s="7"/>
      <c r="I2382" s="27" t="s">
        <v>47</v>
      </c>
      <c r="J2382" s="7"/>
      <c r="K2382" s="27" t="s">
        <v>2208</v>
      </c>
      <c r="L2382" s="7"/>
    </row>
    <row r="2383" spans="1:12" x14ac:dyDescent="0.2">
      <c r="A2383" s="7"/>
      <c r="B2383" s="7"/>
      <c r="C2383" s="7"/>
      <c r="D2383" s="7"/>
      <c r="E2383" s="7">
        <v>624624</v>
      </c>
      <c r="F2383" s="7"/>
      <c r="G2383" s="7" t="s">
        <v>1884</v>
      </c>
      <c r="H2383" s="7"/>
      <c r="I2383" s="27" t="s">
        <v>47</v>
      </c>
      <c r="J2383" s="7"/>
      <c r="K2383" s="27" t="s">
        <v>2208</v>
      </c>
      <c r="L2383" s="7"/>
    </row>
    <row r="2384" spans="1:12" x14ac:dyDescent="0.2">
      <c r="A2384" s="7"/>
      <c r="B2384" s="7"/>
      <c r="C2384" s="7"/>
      <c r="D2384" s="7"/>
      <c r="E2384" s="7">
        <v>624625</v>
      </c>
      <c r="F2384" s="7"/>
      <c r="G2384" s="7" t="s">
        <v>1784</v>
      </c>
      <c r="H2384" s="7"/>
      <c r="I2384" s="27" t="s">
        <v>47</v>
      </c>
      <c r="J2384" s="7"/>
      <c r="K2384" s="27" t="s">
        <v>2208</v>
      </c>
      <c r="L2384" s="7"/>
    </row>
    <row r="2385" spans="1:12" x14ac:dyDescent="0.2">
      <c r="A2385" s="7"/>
      <c r="B2385" s="7"/>
      <c r="C2385" s="7"/>
      <c r="D2385" s="7"/>
      <c r="E2385" s="7">
        <v>624626</v>
      </c>
      <c r="F2385" s="7"/>
      <c r="G2385" s="7" t="s">
        <v>1785</v>
      </c>
      <c r="H2385" s="7"/>
      <c r="I2385" s="27" t="s">
        <v>47</v>
      </c>
      <c r="J2385" s="7"/>
      <c r="K2385" s="27" t="s">
        <v>2208</v>
      </c>
      <c r="L2385" s="7"/>
    </row>
    <row r="2386" spans="1:12" x14ac:dyDescent="0.2">
      <c r="A2386" s="7"/>
      <c r="B2386" s="7"/>
      <c r="C2386" s="7"/>
      <c r="D2386" s="7"/>
      <c r="E2386" s="7">
        <v>624627</v>
      </c>
      <c r="F2386" s="7"/>
      <c r="G2386" s="7" t="s">
        <v>1885</v>
      </c>
      <c r="H2386" s="7"/>
      <c r="I2386" s="27" t="s">
        <v>71</v>
      </c>
      <c r="J2386" s="7"/>
      <c r="K2386" s="27" t="s">
        <v>2208</v>
      </c>
      <c r="L2386" s="7"/>
    </row>
    <row r="2387" spans="1:12" x14ac:dyDescent="0.2">
      <c r="A2387" s="7"/>
      <c r="B2387" s="7"/>
      <c r="C2387" s="7"/>
      <c r="D2387" s="7"/>
      <c r="E2387" s="7">
        <v>624628</v>
      </c>
      <c r="F2387" s="7"/>
      <c r="G2387" s="7" t="s">
        <v>1886</v>
      </c>
      <c r="H2387" s="7"/>
      <c r="I2387" s="27" t="s">
        <v>71</v>
      </c>
      <c r="J2387" s="7"/>
      <c r="K2387" s="27" t="s">
        <v>2208</v>
      </c>
      <c r="L2387" s="7"/>
    </row>
    <row r="2388" spans="1:12" x14ac:dyDescent="0.2">
      <c r="A2388" s="7"/>
      <c r="B2388" s="7"/>
      <c r="C2388" s="7"/>
      <c r="D2388" s="7"/>
      <c r="E2388" s="7">
        <v>624629</v>
      </c>
      <c r="F2388" s="7"/>
      <c r="G2388" s="7" t="s">
        <v>1887</v>
      </c>
      <c r="H2388" s="7"/>
      <c r="I2388" s="27" t="s">
        <v>71</v>
      </c>
      <c r="J2388" s="7"/>
      <c r="K2388" s="27" t="s">
        <v>2208</v>
      </c>
      <c r="L2388" s="7"/>
    </row>
    <row r="2389" spans="1:12" x14ac:dyDescent="0.2">
      <c r="A2389" s="7"/>
      <c r="B2389" s="7"/>
      <c r="C2389" s="7"/>
      <c r="D2389" s="7"/>
      <c r="E2389" s="7">
        <v>624630</v>
      </c>
      <c r="F2389" s="7"/>
      <c r="G2389" s="7" t="s">
        <v>1888</v>
      </c>
      <c r="H2389" s="7"/>
      <c r="I2389" s="27" t="s">
        <v>133</v>
      </c>
      <c r="J2389" s="7"/>
      <c r="K2389" s="27" t="s">
        <v>2208</v>
      </c>
      <c r="L2389" s="7"/>
    </row>
    <row r="2390" spans="1:12" x14ac:dyDescent="0.2">
      <c r="A2390" s="7"/>
      <c r="B2390" s="7"/>
      <c r="C2390" s="7"/>
      <c r="D2390" s="7"/>
      <c r="E2390" s="7">
        <v>624631</v>
      </c>
      <c r="F2390" s="7"/>
      <c r="G2390" s="7" t="s">
        <v>1060</v>
      </c>
      <c r="H2390" s="7"/>
      <c r="I2390" s="27" t="s">
        <v>47</v>
      </c>
      <c r="J2390" s="7"/>
      <c r="K2390" s="27" t="s">
        <v>2208</v>
      </c>
      <c r="L2390" s="7"/>
    </row>
    <row r="2391" spans="1:12" x14ac:dyDescent="0.2">
      <c r="A2391" s="7"/>
      <c r="B2391" s="7"/>
      <c r="C2391" s="7"/>
      <c r="D2391" s="7"/>
      <c r="E2391" s="7">
        <v>624632</v>
      </c>
      <c r="F2391" s="7"/>
      <c r="G2391" s="7" t="s">
        <v>1889</v>
      </c>
      <c r="H2391" s="7"/>
      <c r="I2391" s="27" t="s">
        <v>47</v>
      </c>
      <c r="J2391" s="7"/>
      <c r="K2391" s="27" t="s">
        <v>2208</v>
      </c>
      <c r="L2391" s="7"/>
    </row>
    <row r="2392" spans="1:12" x14ac:dyDescent="0.2">
      <c r="A2392" s="7"/>
      <c r="B2392" s="7"/>
      <c r="C2392" s="7"/>
      <c r="D2392" s="7"/>
      <c r="E2392" s="7">
        <v>624633</v>
      </c>
      <c r="F2392" s="7"/>
      <c r="G2392" s="7" t="s">
        <v>1063</v>
      </c>
      <c r="H2392" s="7"/>
      <c r="I2392" s="27" t="s">
        <v>47</v>
      </c>
      <c r="J2392" s="7"/>
      <c r="K2392" s="27" t="s">
        <v>2208</v>
      </c>
      <c r="L2392" s="7"/>
    </row>
    <row r="2393" spans="1:12" x14ac:dyDescent="0.2">
      <c r="A2393" s="7"/>
      <c r="B2393" s="7"/>
      <c r="C2393" s="7"/>
      <c r="D2393" s="7"/>
      <c r="E2393" s="7">
        <v>624634</v>
      </c>
      <c r="F2393" s="7"/>
      <c r="G2393" s="7" t="s">
        <v>1791</v>
      </c>
      <c r="H2393" s="7"/>
      <c r="I2393" s="27" t="s">
        <v>47</v>
      </c>
      <c r="J2393" s="7"/>
      <c r="K2393" s="27" t="s">
        <v>2208</v>
      </c>
      <c r="L2393" s="7"/>
    </row>
    <row r="2394" spans="1:12" x14ac:dyDescent="0.2">
      <c r="A2394" s="7"/>
      <c r="B2394" s="7"/>
      <c r="C2394" s="7"/>
      <c r="D2394" s="7"/>
      <c r="E2394" s="7">
        <v>624635</v>
      </c>
      <c r="F2394" s="7"/>
      <c r="G2394" s="7" t="s">
        <v>1792</v>
      </c>
      <c r="H2394" s="7"/>
      <c r="I2394" s="27" t="s">
        <v>47</v>
      </c>
      <c r="J2394" s="7"/>
      <c r="K2394" s="27" t="s">
        <v>2208</v>
      </c>
      <c r="L2394" s="7"/>
    </row>
    <row r="2395" spans="1:12" x14ac:dyDescent="0.2">
      <c r="A2395" s="7"/>
      <c r="B2395" s="7"/>
      <c r="C2395" s="7"/>
      <c r="D2395" s="7"/>
      <c r="E2395" s="7">
        <v>624636</v>
      </c>
      <c r="F2395" s="7"/>
      <c r="G2395" s="7" t="s">
        <v>1793</v>
      </c>
      <c r="H2395" s="7"/>
      <c r="I2395" s="27" t="s">
        <v>47</v>
      </c>
      <c r="J2395" s="7"/>
      <c r="K2395" s="27" t="s">
        <v>2208</v>
      </c>
      <c r="L2395" s="7"/>
    </row>
    <row r="2396" spans="1:12" x14ac:dyDescent="0.2">
      <c r="A2396" s="7"/>
      <c r="B2396" s="7"/>
      <c r="C2396" s="7"/>
      <c r="D2396" s="7"/>
      <c r="E2396" s="7">
        <v>624637</v>
      </c>
      <c r="F2396" s="7"/>
      <c r="G2396" s="7" t="s">
        <v>1794</v>
      </c>
      <c r="H2396" s="7"/>
      <c r="I2396" s="27" t="s">
        <v>47</v>
      </c>
      <c r="J2396" s="7"/>
      <c r="K2396" s="27" t="s">
        <v>2208</v>
      </c>
      <c r="L2396" s="7"/>
    </row>
    <row r="2397" spans="1:12" x14ac:dyDescent="0.2">
      <c r="A2397" s="7"/>
      <c r="B2397" s="7"/>
      <c r="C2397" s="7"/>
      <c r="D2397" s="7"/>
      <c r="E2397" s="7">
        <v>624638</v>
      </c>
      <c r="F2397" s="7"/>
      <c r="G2397" s="7" t="s">
        <v>1890</v>
      </c>
      <c r="H2397" s="7"/>
      <c r="I2397" s="27" t="s">
        <v>47</v>
      </c>
      <c r="J2397" s="7"/>
      <c r="K2397" s="27" t="s">
        <v>2208</v>
      </c>
      <c r="L2397" s="7"/>
    </row>
    <row r="2398" spans="1:12" x14ac:dyDescent="0.2">
      <c r="A2398" s="7"/>
      <c r="B2398" s="7"/>
      <c r="C2398" s="7"/>
      <c r="D2398" s="7"/>
      <c r="E2398" s="7">
        <v>624639</v>
      </c>
      <c r="F2398" s="7"/>
      <c r="G2398" s="7" t="s">
        <v>666</v>
      </c>
      <c r="H2398" s="7"/>
      <c r="I2398" s="27" t="s">
        <v>47</v>
      </c>
      <c r="J2398" s="7"/>
      <c r="K2398" s="27" t="s">
        <v>2208</v>
      </c>
      <c r="L2398" s="7"/>
    </row>
    <row r="2399" spans="1:12" x14ac:dyDescent="0.2">
      <c r="A2399" s="7"/>
      <c r="B2399" s="7"/>
      <c r="C2399" s="7"/>
      <c r="D2399" s="7"/>
      <c r="E2399" s="7">
        <v>624640</v>
      </c>
      <c r="F2399" s="7"/>
      <c r="G2399" s="7" t="s">
        <v>1891</v>
      </c>
      <c r="H2399" s="7"/>
      <c r="I2399" s="27" t="s">
        <v>47</v>
      </c>
      <c r="J2399" s="7"/>
      <c r="K2399" s="27" t="s">
        <v>2208</v>
      </c>
      <c r="L2399" s="7"/>
    </row>
    <row r="2400" spans="1:12" x14ac:dyDescent="0.2">
      <c r="A2400" s="7"/>
      <c r="B2400" s="7"/>
      <c r="C2400" s="7"/>
      <c r="D2400" s="7"/>
      <c r="E2400" s="7">
        <v>624641</v>
      </c>
      <c r="F2400" s="7"/>
      <c r="G2400" s="7" t="s">
        <v>1798</v>
      </c>
      <c r="H2400" s="7"/>
      <c r="I2400" s="27" t="s">
        <v>47</v>
      </c>
      <c r="J2400" s="7"/>
      <c r="K2400" s="27" t="s">
        <v>2208</v>
      </c>
      <c r="L2400" s="7"/>
    </row>
    <row r="2401" spans="1:12" x14ac:dyDescent="0.2">
      <c r="A2401" s="7"/>
      <c r="B2401" s="7"/>
      <c r="C2401" s="7"/>
      <c r="D2401" s="7"/>
      <c r="E2401" s="7">
        <v>624642</v>
      </c>
      <c r="F2401" s="7"/>
      <c r="G2401" s="7" t="s">
        <v>1892</v>
      </c>
      <c r="H2401" s="7"/>
      <c r="I2401" s="27" t="s">
        <v>47</v>
      </c>
      <c r="J2401" s="7"/>
      <c r="K2401" s="27" t="s">
        <v>2208</v>
      </c>
      <c r="L2401" s="7"/>
    </row>
    <row r="2402" spans="1:12" x14ac:dyDescent="0.2">
      <c r="A2402" s="7"/>
      <c r="B2402" s="7"/>
      <c r="C2402" s="7"/>
      <c r="D2402" s="7"/>
      <c r="E2402" s="7">
        <v>624643</v>
      </c>
      <c r="F2402" s="7"/>
      <c r="G2402" s="7" t="s">
        <v>1800</v>
      </c>
      <c r="H2402" s="7"/>
      <c r="I2402" s="27" t="s">
        <v>47</v>
      </c>
      <c r="J2402" s="7"/>
      <c r="K2402" s="27" t="s">
        <v>2208</v>
      </c>
      <c r="L2402" s="7"/>
    </row>
    <row r="2403" spans="1:12" x14ac:dyDescent="0.2">
      <c r="A2403" s="7"/>
      <c r="B2403" s="7"/>
      <c r="C2403" s="7"/>
      <c r="D2403" s="7"/>
      <c r="E2403" s="7">
        <v>624644</v>
      </c>
      <c r="F2403" s="7"/>
      <c r="G2403" s="7" t="s">
        <v>1893</v>
      </c>
      <c r="H2403" s="7"/>
      <c r="I2403" s="27" t="s">
        <v>47</v>
      </c>
      <c r="J2403" s="7"/>
      <c r="K2403" s="27" t="s">
        <v>2208</v>
      </c>
      <c r="L2403" s="7"/>
    </row>
    <row r="2404" spans="1:12" x14ac:dyDescent="0.2">
      <c r="A2404" s="7"/>
      <c r="B2404" s="7"/>
      <c r="C2404" s="7"/>
      <c r="D2404" s="7"/>
      <c r="E2404" s="7">
        <v>624645</v>
      </c>
      <c r="F2404" s="7"/>
      <c r="G2404" s="7" t="s">
        <v>1802</v>
      </c>
      <c r="H2404" s="7"/>
      <c r="I2404" s="27" t="s">
        <v>47</v>
      </c>
      <c r="J2404" s="7"/>
      <c r="K2404" s="27" t="s">
        <v>2208</v>
      </c>
      <c r="L2404" s="7"/>
    </row>
    <row r="2405" spans="1:12" x14ac:dyDescent="0.2">
      <c r="A2405" s="7"/>
      <c r="B2405" s="7"/>
      <c r="C2405" s="7"/>
      <c r="D2405" s="7"/>
      <c r="E2405" s="7">
        <v>624646</v>
      </c>
      <c r="F2405" s="7"/>
      <c r="G2405" s="7" t="s">
        <v>1894</v>
      </c>
      <c r="H2405" s="7"/>
      <c r="I2405" s="27" t="s">
        <v>71</v>
      </c>
      <c r="J2405" s="7"/>
      <c r="K2405" s="27" t="s">
        <v>2208</v>
      </c>
      <c r="L2405" s="7"/>
    </row>
    <row r="2406" spans="1:12" x14ac:dyDescent="0.2">
      <c r="A2406" s="7"/>
      <c r="B2406" s="7"/>
      <c r="C2406" s="7"/>
      <c r="D2406" s="7"/>
      <c r="E2406" s="7">
        <v>624647</v>
      </c>
      <c r="F2406" s="7"/>
      <c r="G2406" s="7" t="s">
        <v>1895</v>
      </c>
      <c r="H2406" s="7"/>
      <c r="I2406" s="27" t="s">
        <v>71</v>
      </c>
      <c r="J2406" s="7"/>
      <c r="K2406" s="27" t="s">
        <v>2208</v>
      </c>
      <c r="L2406" s="7"/>
    </row>
    <row r="2407" spans="1:12" x14ac:dyDescent="0.2">
      <c r="A2407" s="7"/>
      <c r="B2407" s="7"/>
      <c r="C2407" s="7"/>
      <c r="D2407" s="7"/>
      <c r="E2407" s="7">
        <v>624648</v>
      </c>
      <c r="F2407" s="7"/>
      <c r="G2407" s="7" t="s">
        <v>1896</v>
      </c>
      <c r="H2407" s="7"/>
      <c r="I2407" s="27" t="s">
        <v>71</v>
      </c>
      <c r="J2407" s="7"/>
      <c r="K2407" s="27" t="s">
        <v>2208</v>
      </c>
      <c r="L2407" s="7"/>
    </row>
    <row r="2408" spans="1:12" x14ac:dyDescent="0.2">
      <c r="A2408" s="7"/>
      <c r="B2408" s="7"/>
      <c r="C2408" s="7"/>
      <c r="D2408" s="7"/>
      <c r="E2408" s="7">
        <v>624649</v>
      </c>
      <c r="F2408" s="7"/>
      <c r="G2408" s="7" t="s">
        <v>1897</v>
      </c>
      <c r="H2408" s="7"/>
      <c r="I2408" s="27" t="s">
        <v>71</v>
      </c>
      <c r="J2408" s="7"/>
      <c r="K2408" s="27" t="s">
        <v>2208</v>
      </c>
      <c r="L2408" s="7"/>
    </row>
    <row r="2409" spans="1:12" x14ac:dyDescent="0.2">
      <c r="A2409" s="7"/>
      <c r="B2409" s="7"/>
      <c r="C2409" s="7"/>
      <c r="D2409" s="7"/>
      <c r="E2409" s="7">
        <v>624650</v>
      </c>
      <c r="F2409" s="7"/>
      <c r="G2409" s="7" t="s">
        <v>1898</v>
      </c>
      <c r="H2409" s="7"/>
      <c r="I2409" s="27" t="s">
        <v>71</v>
      </c>
      <c r="J2409" s="7"/>
      <c r="K2409" s="27" t="s">
        <v>2208</v>
      </c>
      <c r="L2409" s="7"/>
    </row>
    <row r="2410" spans="1:12" x14ac:dyDescent="0.2">
      <c r="A2410" s="7"/>
      <c r="B2410" s="7"/>
      <c r="C2410" s="7"/>
      <c r="D2410" s="7"/>
      <c r="E2410" s="7">
        <v>624651</v>
      </c>
      <c r="F2410" s="7"/>
      <c r="G2410" s="7" t="s">
        <v>1809</v>
      </c>
      <c r="H2410" s="7"/>
      <c r="I2410" s="27" t="s">
        <v>71</v>
      </c>
      <c r="J2410" s="7"/>
      <c r="K2410" s="27" t="s">
        <v>2208</v>
      </c>
      <c r="L2410" s="7"/>
    </row>
    <row r="2411" spans="1:12" x14ac:dyDescent="0.2">
      <c r="A2411" s="7"/>
      <c r="B2411" s="7"/>
      <c r="C2411" s="7"/>
      <c r="D2411" s="7"/>
      <c r="E2411" s="7">
        <v>624652</v>
      </c>
      <c r="F2411" s="7"/>
      <c r="G2411" s="7" t="s">
        <v>1899</v>
      </c>
      <c r="H2411" s="7"/>
      <c r="I2411" s="27" t="s">
        <v>71</v>
      </c>
      <c r="J2411" s="7"/>
      <c r="K2411" s="27" t="s">
        <v>2208</v>
      </c>
      <c r="L2411" s="7"/>
    </row>
    <row r="2412" spans="1:12" x14ac:dyDescent="0.2">
      <c r="A2412" s="7"/>
      <c r="B2412" s="7"/>
      <c r="C2412" s="7"/>
      <c r="D2412" s="7"/>
      <c r="E2412" s="7">
        <v>624653</v>
      </c>
      <c r="F2412" s="7"/>
      <c r="G2412" s="7" t="s">
        <v>1900</v>
      </c>
      <c r="H2412" s="7"/>
      <c r="I2412" s="27" t="s">
        <v>71</v>
      </c>
      <c r="J2412" s="7"/>
      <c r="K2412" s="27" t="s">
        <v>2208</v>
      </c>
      <c r="L2412" s="7"/>
    </row>
    <row r="2413" spans="1:12" x14ac:dyDescent="0.2">
      <c r="A2413" s="7"/>
      <c r="B2413" s="7"/>
      <c r="C2413" s="7"/>
      <c r="D2413" s="7"/>
      <c r="E2413" s="7">
        <v>624654</v>
      </c>
      <c r="F2413" s="7"/>
      <c r="G2413" s="7" t="s">
        <v>1901</v>
      </c>
      <c r="H2413" s="7"/>
      <c r="I2413" s="27" t="s">
        <v>71</v>
      </c>
      <c r="J2413" s="7"/>
      <c r="K2413" s="27" t="s">
        <v>2208</v>
      </c>
      <c r="L2413" s="7"/>
    </row>
    <row r="2414" spans="1:12" x14ac:dyDescent="0.2">
      <c r="A2414" s="7"/>
      <c r="B2414" s="7"/>
      <c r="C2414" s="7"/>
      <c r="D2414" s="7"/>
      <c r="E2414" s="7">
        <v>624655</v>
      </c>
      <c r="F2414" s="7"/>
      <c r="G2414" s="7" t="s">
        <v>1902</v>
      </c>
      <c r="H2414" s="7"/>
      <c r="I2414" s="27" t="s">
        <v>71</v>
      </c>
      <c r="J2414" s="7"/>
      <c r="K2414" s="27" t="s">
        <v>2208</v>
      </c>
      <c r="L2414" s="7"/>
    </row>
    <row r="2415" spans="1:12" x14ac:dyDescent="0.2">
      <c r="A2415" s="7"/>
      <c r="B2415" s="7"/>
      <c r="C2415" s="7"/>
      <c r="D2415" s="7"/>
      <c r="E2415" s="7">
        <v>624656</v>
      </c>
      <c r="F2415" s="7"/>
      <c r="G2415" s="7" t="s">
        <v>1903</v>
      </c>
      <c r="H2415" s="7"/>
      <c r="I2415" s="27" t="s">
        <v>71</v>
      </c>
      <c r="J2415" s="7"/>
      <c r="K2415" s="27" t="s">
        <v>2208</v>
      </c>
      <c r="L2415" s="7"/>
    </row>
    <row r="2416" spans="1:12" x14ac:dyDescent="0.2">
      <c r="A2416" s="7"/>
      <c r="B2416" s="7"/>
      <c r="C2416" s="7"/>
      <c r="D2416" s="7"/>
      <c r="E2416" s="7">
        <v>624657</v>
      </c>
      <c r="F2416" s="7"/>
      <c r="G2416" s="7" t="s">
        <v>1904</v>
      </c>
      <c r="H2416" s="7"/>
      <c r="I2416" s="27" t="s">
        <v>47</v>
      </c>
      <c r="J2416" s="7"/>
      <c r="K2416" s="27" t="s">
        <v>2208</v>
      </c>
      <c r="L2416" s="7"/>
    </row>
    <row r="2417" spans="1:12" x14ac:dyDescent="0.2">
      <c r="A2417" s="7"/>
      <c r="B2417" s="7"/>
      <c r="C2417" s="7"/>
      <c r="D2417" s="7"/>
      <c r="E2417" s="7">
        <v>624658</v>
      </c>
      <c r="F2417" s="7"/>
      <c r="G2417" s="7" t="s">
        <v>1905</v>
      </c>
      <c r="H2417" s="7"/>
      <c r="I2417" s="27" t="s">
        <v>47</v>
      </c>
      <c r="J2417" s="7"/>
      <c r="K2417" s="27" t="s">
        <v>2208</v>
      </c>
      <c r="L2417" s="7"/>
    </row>
    <row r="2418" spans="1:12" x14ac:dyDescent="0.2">
      <c r="A2418" s="7"/>
      <c r="B2418" s="7"/>
      <c r="C2418" s="7"/>
      <c r="D2418" s="7"/>
      <c r="E2418" s="7">
        <v>624659</v>
      </c>
      <c r="F2418" s="7"/>
      <c r="G2418" s="7" t="s">
        <v>1906</v>
      </c>
      <c r="H2418" s="7"/>
      <c r="I2418" s="27" t="s">
        <v>47</v>
      </c>
      <c r="J2418" s="7"/>
      <c r="K2418" s="27" t="s">
        <v>2208</v>
      </c>
      <c r="L2418" s="7"/>
    </row>
    <row r="2419" spans="1:12" x14ac:dyDescent="0.2">
      <c r="A2419" s="7"/>
      <c r="B2419" s="7"/>
      <c r="C2419" s="7"/>
      <c r="D2419" s="7"/>
      <c r="E2419" s="7">
        <v>624660</v>
      </c>
      <c r="F2419" s="7"/>
      <c r="G2419" s="7" t="s">
        <v>1907</v>
      </c>
      <c r="H2419" s="7"/>
      <c r="I2419" s="27" t="s">
        <v>47</v>
      </c>
      <c r="J2419" s="7"/>
      <c r="K2419" s="27" t="s">
        <v>2208</v>
      </c>
      <c r="L2419" s="7"/>
    </row>
    <row r="2420" spans="1:12" x14ac:dyDescent="0.2">
      <c r="A2420" s="7"/>
      <c r="B2420" s="7"/>
      <c r="C2420" s="7"/>
      <c r="D2420" s="7"/>
      <c r="E2420" s="7">
        <v>624661</v>
      </c>
      <c r="F2420" s="7"/>
      <c r="G2420" s="7" t="s">
        <v>1818</v>
      </c>
      <c r="H2420" s="7"/>
      <c r="I2420" s="27" t="s">
        <v>47</v>
      </c>
      <c r="J2420" s="7"/>
      <c r="K2420" s="27" t="s">
        <v>2208</v>
      </c>
      <c r="L2420" s="7"/>
    </row>
    <row r="2421" spans="1:12" x14ac:dyDescent="0.2">
      <c r="A2421" s="7"/>
      <c r="B2421" s="7"/>
      <c r="C2421" s="7"/>
      <c r="D2421" s="7"/>
      <c r="E2421" s="7">
        <v>624662</v>
      </c>
      <c r="F2421" s="7"/>
      <c r="G2421" s="7" t="s">
        <v>1908</v>
      </c>
      <c r="H2421" s="7"/>
      <c r="I2421" s="27" t="s">
        <v>133</v>
      </c>
      <c r="J2421" s="7"/>
      <c r="K2421" s="27" t="s">
        <v>2208</v>
      </c>
      <c r="L2421" s="7"/>
    </row>
    <row r="2422" spans="1:12" x14ac:dyDescent="0.2">
      <c r="A2422" s="7"/>
      <c r="B2422" s="7"/>
      <c r="C2422" s="7"/>
      <c r="D2422" s="7"/>
      <c r="E2422" s="7">
        <v>624663</v>
      </c>
      <c r="F2422" s="7"/>
      <c r="G2422" s="7" t="s">
        <v>1909</v>
      </c>
      <c r="H2422" s="7"/>
      <c r="I2422" s="27" t="s">
        <v>133</v>
      </c>
      <c r="J2422" s="7"/>
      <c r="K2422" s="27" t="s">
        <v>2208</v>
      </c>
      <c r="L2422" s="7"/>
    </row>
    <row r="2423" spans="1:12" x14ac:dyDescent="0.2">
      <c r="A2423" s="7"/>
      <c r="B2423" s="7"/>
      <c r="C2423" s="7"/>
      <c r="D2423" s="7"/>
      <c r="E2423" s="7">
        <v>624664</v>
      </c>
      <c r="F2423" s="7"/>
      <c r="G2423" s="7" t="s">
        <v>1910</v>
      </c>
      <c r="H2423" s="7"/>
      <c r="I2423" s="27" t="s">
        <v>133</v>
      </c>
      <c r="J2423" s="7"/>
      <c r="K2423" s="27" t="s">
        <v>2208</v>
      </c>
      <c r="L2423" s="7"/>
    </row>
    <row r="2424" spans="1:12" x14ac:dyDescent="0.2">
      <c r="A2424" s="7"/>
      <c r="B2424" s="7"/>
      <c r="C2424" s="7"/>
      <c r="D2424" s="7"/>
      <c r="E2424" s="7">
        <v>624665</v>
      </c>
      <c r="F2424" s="7"/>
      <c r="G2424" s="7" t="s">
        <v>1911</v>
      </c>
      <c r="H2424" s="7"/>
      <c r="I2424" s="27" t="s">
        <v>133</v>
      </c>
      <c r="J2424" s="7"/>
      <c r="K2424" s="27" t="s">
        <v>2208</v>
      </c>
      <c r="L2424" s="7"/>
    </row>
    <row r="2425" spans="1:12" x14ac:dyDescent="0.2">
      <c r="A2425" s="7"/>
      <c r="B2425" s="7"/>
      <c r="C2425" s="7"/>
      <c r="D2425" s="7"/>
      <c r="E2425" s="7">
        <v>624666</v>
      </c>
      <c r="F2425" s="7"/>
      <c r="G2425" s="7" t="s">
        <v>1912</v>
      </c>
      <c r="H2425" s="7"/>
      <c r="I2425" s="27" t="s">
        <v>616</v>
      </c>
      <c r="J2425" s="7"/>
      <c r="K2425" s="27" t="s">
        <v>2208</v>
      </c>
      <c r="L2425" s="7"/>
    </row>
    <row r="2426" spans="1:12" x14ac:dyDescent="0.2">
      <c r="A2426" s="7"/>
      <c r="B2426" s="7"/>
      <c r="C2426" s="7"/>
      <c r="D2426" s="7"/>
      <c r="E2426" s="7">
        <v>624667</v>
      </c>
      <c r="F2426" s="7"/>
      <c r="G2426" s="7" t="s">
        <v>1634</v>
      </c>
      <c r="H2426" s="7"/>
      <c r="I2426" s="27" t="s">
        <v>133</v>
      </c>
      <c r="J2426" s="7"/>
      <c r="K2426" s="27" t="s">
        <v>2208</v>
      </c>
      <c r="L2426" s="7"/>
    </row>
    <row r="2427" spans="1:12" x14ac:dyDescent="0.2">
      <c r="A2427" s="7"/>
      <c r="B2427" s="7"/>
      <c r="C2427" s="7"/>
      <c r="D2427" s="7"/>
      <c r="E2427" s="7">
        <v>624668</v>
      </c>
      <c r="F2427" s="7"/>
      <c r="G2427" s="7" t="s">
        <v>1913</v>
      </c>
      <c r="H2427" s="7"/>
      <c r="I2427" s="27" t="s">
        <v>133</v>
      </c>
      <c r="J2427" s="7"/>
      <c r="K2427" s="27" t="s">
        <v>2208</v>
      </c>
      <c r="L2427" s="7"/>
    </row>
    <row r="2428" spans="1:12" x14ac:dyDescent="0.2">
      <c r="A2428" s="7"/>
      <c r="B2428" s="7"/>
      <c r="C2428" s="7"/>
      <c r="D2428" s="7"/>
      <c r="E2428" s="7">
        <v>624669</v>
      </c>
      <c r="F2428" s="7"/>
      <c r="G2428" s="7" t="s">
        <v>1914</v>
      </c>
      <c r="H2428" s="7"/>
      <c r="I2428" s="27" t="s">
        <v>133</v>
      </c>
      <c r="J2428" s="7"/>
      <c r="K2428" s="27" t="s">
        <v>2208</v>
      </c>
      <c r="L2428" s="7"/>
    </row>
    <row r="2429" spans="1:12" x14ac:dyDescent="0.2">
      <c r="A2429" s="7"/>
      <c r="B2429" s="7"/>
      <c r="C2429" s="7"/>
      <c r="D2429" s="7"/>
      <c r="E2429" s="7">
        <v>624670</v>
      </c>
      <c r="F2429" s="7"/>
      <c r="G2429" s="7" t="s">
        <v>842</v>
      </c>
      <c r="H2429" s="7"/>
      <c r="I2429" s="27" t="s">
        <v>133</v>
      </c>
      <c r="J2429" s="7"/>
      <c r="K2429" s="27" t="s">
        <v>2208</v>
      </c>
      <c r="L2429" s="7"/>
    </row>
    <row r="2430" spans="1:12" x14ac:dyDescent="0.2">
      <c r="A2430" s="7"/>
      <c r="B2430" s="7"/>
      <c r="C2430" s="7"/>
      <c r="D2430" s="7"/>
      <c r="E2430" s="7">
        <v>624671</v>
      </c>
      <c r="F2430" s="7"/>
      <c r="G2430" s="7" t="s">
        <v>841</v>
      </c>
      <c r="H2430" s="7"/>
      <c r="I2430" s="27" t="s">
        <v>133</v>
      </c>
      <c r="J2430" s="7"/>
      <c r="K2430" s="27" t="s">
        <v>2208</v>
      </c>
      <c r="L2430" s="7"/>
    </row>
    <row r="2431" spans="1:12" x14ac:dyDescent="0.2">
      <c r="A2431" s="7"/>
      <c r="B2431" s="7"/>
      <c r="C2431" s="7"/>
      <c r="D2431" s="7"/>
      <c r="E2431" s="7">
        <v>624672</v>
      </c>
      <c r="F2431" s="7"/>
      <c r="G2431" s="7" t="s">
        <v>840</v>
      </c>
      <c r="H2431" s="7"/>
      <c r="I2431" s="27" t="s">
        <v>133</v>
      </c>
      <c r="J2431" s="7"/>
      <c r="K2431" s="27" t="s">
        <v>2208</v>
      </c>
      <c r="L2431" s="7"/>
    </row>
    <row r="2432" spans="1:12" x14ac:dyDescent="0.2">
      <c r="A2432" s="7"/>
      <c r="B2432" s="7"/>
      <c r="C2432" s="7"/>
      <c r="D2432" s="7"/>
      <c r="E2432" s="7">
        <v>624673</v>
      </c>
      <c r="F2432" s="7"/>
      <c r="G2432" s="7" t="s">
        <v>839</v>
      </c>
      <c r="H2432" s="7"/>
      <c r="I2432" s="27" t="s">
        <v>133</v>
      </c>
      <c r="J2432" s="7"/>
      <c r="K2432" s="27" t="s">
        <v>2208</v>
      </c>
      <c r="L2432" s="7"/>
    </row>
    <row r="2433" spans="1:12" x14ac:dyDescent="0.2">
      <c r="A2433" s="7"/>
      <c r="B2433" s="7"/>
      <c r="C2433" s="7"/>
      <c r="D2433" s="7"/>
      <c r="E2433" s="7">
        <v>624674</v>
      </c>
      <c r="F2433" s="7"/>
      <c r="G2433" s="7" t="s">
        <v>846</v>
      </c>
      <c r="H2433" s="7"/>
      <c r="I2433" s="27" t="s">
        <v>133</v>
      </c>
      <c r="J2433" s="7"/>
      <c r="K2433" s="27" t="s">
        <v>2208</v>
      </c>
      <c r="L2433" s="7"/>
    </row>
    <row r="2434" spans="1:12" x14ac:dyDescent="0.2">
      <c r="A2434" s="7"/>
      <c r="B2434" s="7"/>
      <c r="C2434" s="7"/>
      <c r="D2434" s="7"/>
      <c r="E2434" s="7">
        <v>624675</v>
      </c>
      <c r="F2434" s="7"/>
      <c r="G2434" s="7" t="s">
        <v>845</v>
      </c>
      <c r="H2434" s="7"/>
      <c r="I2434" s="27" t="s">
        <v>133</v>
      </c>
      <c r="J2434" s="7"/>
      <c r="K2434" s="27" t="s">
        <v>2208</v>
      </c>
      <c r="L2434" s="7"/>
    </row>
    <row r="2435" spans="1:12" x14ac:dyDescent="0.2">
      <c r="A2435" s="7"/>
      <c r="B2435" s="7"/>
      <c r="C2435" s="7"/>
      <c r="D2435" s="7"/>
      <c r="E2435" s="7">
        <v>624676</v>
      </c>
      <c r="F2435" s="7"/>
      <c r="G2435" s="7" t="s">
        <v>844</v>
      </c>
      <c r="H2435" s="7"/>
      <c r="I2435" s="27" t="s">
        <v>133</v>
      </c>
      <c r="J2435" s="7"/>
      <c r="K2435" s="27" t="s">
        <v>2208</v>
      </c>
      <c r="L2435" s="7"/>
    </row>
    <row r="2436" spans="1:12" x14ac:dyDescent="0.2">
      <c r="A2436" s="7"/>
      <c r="B2436" s="7"/>
      <c r="C2436" s="7"/>
      <c r="D2436" s="7"/>
      <c r="E2436" s="7">
        <v>624677</v>
      </c>
      <c r="F2436" s="7"/>
      <c r="G2436" s="7" t="s">
        <v>1604</v>
      </c>
      <c r="H2436" s="7"/>
      <c r="I2436" s="27" t="s">
        <v>133</v>
      </c>
      <c r="J2436" s="7"/>
      <c r="K2436" s="27" t="s">
        <v>2208</v>
      </c>
      <c r="L2436" s="7"/>
    </row>
    <row r="2437" spans="1:12" x14ac:dyDescent="0.2">
      <c r="A2437" s="7"/>
      <c r="B2437" s="7"/>
      <c r="C2437" s="7"/>
      <c r="D2437" s="7"/>
      <c r="E2437" s="7">
        <v>624678</v>
      </c>
      <c r="F2437" s="7"/>
      <c r="G2437" s="7" t="s">
        <v>847</v>
      </c>
      <c r="H2437" s="7"/>
      <c r="I2437" s="27" t="s">
        <v>133</v>
      </c>
      <c r="J2437" s="7"/>
      <c r="K2437" s="27" t="s">
        <v>2208</v>
      </c>
      <c r="L2437" s="7"/>
    </row>
    <row r="2438" spans="1:12" x14ac:dyDescent="0.2">
      <c r="A2438" s="7"/>
      <c r="B2438" s="7"/>
      <c r="C2438" s="7"/>
      <c r="D2438" s="7"/>
      <c r="E2438" s="7">
        <v>624679</v>
      </c>
      <c r="F2438" s="7"/>
      <c r="G2438" s="7" t="s">
        <v>1605</v>
      </c>
      <c r="H2438" s="7"/>
      <c r="I2438" s="27" t="s">
        <v>133</v>
      </c>
      <c r="J2438" s="7"/>
      <c r="K2438" s="27" t="s">
        <v>2208</v>
      </c>
      <c r="L2438" s="7"/>
    </row>
    <row r="2439" spans="1:12" x14ac:dyDescent="0.2">
      <c r="A2439" s="7"/>
      <c r="B2439" s="7"/>
      <c r="C2439" s="7"/>
      <c r="D2439" s="7"/>
      <c r="E2439" s="7">
        <v>624680</v>
      </c>
      <c r="F2439" s="7"/>
      <c r="G2439" s="7" t="s">
        <v>849</v>
      </c>
      <c r="H2439" s="7"/>
      <c r="I2439" s="27" t="s">
        <v>133</v>
      </c>
      <c r="J2439" s="7"/>
      <c r="K2439" s="27" t="s">
        <v>2208</v>
      </c>
      <c r="L2439" s="7"/>
    </row>
    <row r="2440" spans="1:12" x14ac:dyDescent="0.2">
      <c r="A2440" s="7"/>
      <c r="B2440" s="7"/>
      <c r="C2440" s="7"/>
      <c r="D2440" s="7"/>
      <c r="E2440" s="7">
        <v>624681</v>
      </c>
      <c r="F2440" s="7"/>
      <c r="G2440" s="7" t="s">
        <v>853</v>
      </c>
      <c r="H2440" s="7"/>
      <c r="I2440" s="27" t="s">
        <v>133</v>
      </c>
      <c r="J2440" s="7"/>
      <c r="K2440" s="27" t="s">
        <v>2208</v>
      </c>
      <c r="L2440" s="7"/>
    </row>
    <row r="2441" spans="1:12" x14ac:dyDescent="0.2">
      <c r="A2441" s="7"/>
      <c r="B2441" s="7"/>
      <c r="C2441" s="7"/>
      <c r="D2441" s="7"/>
      <c r="E2441" s="7">
        <v>624682</v>
      </c>
      <c r="F2441" s="7"/>
      <c r="G2441" s="7" t="s">
        <v>852</v>
      </c>
      <c r="H2441" s="7"/>
      <c r="I2441" s="27" t="s">
        <v>133</v>
      </c>
      <c r="J2441" s="7"/>
      <c r="K2441" s="27" t="s">
        <v>2208</v>
      </c>
      <c r="L2441" s="7"/>
    </row>
    <row r="2442" spans="1:12" x14ac:dyDescent="0.2">
      <c r="A2442" s="7"/>
      <c r="B2442" s="7"/>
      <c r="C2442" s="7"/>
      <c r="D2442" s="7"/>
      <c r="E2442" s="7">
        <v>624683</v>
      </c>
      <c r="F2442" s="7"/>
      <c r="G2442" s="7" t="s">
        <v>1607</v>
      </c>
      <c r="H2442" s="7"/>
      <c r="I2442" s="27" t="s">
        <v>133</v>
      </c>
      <c r="J2442" s="7"/>
      <c r="K2442" s="27" t="s">
        <v>2208</v>
      </c>
      <c r="L2442" s="7"/>
    </row>
    <row r="2443" spans="1:12" x14ac:dyDescent="0.2">
      <c r="A2443" s="7"/>
      <c r="B2443" s="7"/>
      <c r="C2443" s="7"/>
      <c r="D2443" s="7"/>
      <c r="E2443" s="7">
        <v>624684</v>
      </c>
      <c r="F2443" s="7"/>
      <c r="G2443" s="7" t="s">
        <v>1608</v>
      </c>
      <c r="H2443" s="7"/>
      <c r="I2443" s="27" t="s">
        <v>133</v>
      </c>
      <c r="J2443" s="7"/>
      <c r="K2443" s="27" t="s">
        <v>2208</v>
      </c>
      <c r="L2443" s="7"/>
    </row>
    <row r="2444" spans="1:12" x14ac:dyDescent="0.2">
      <c r="A2444" s="7"/>
      <c r="B2444" s="7"/>
      <c r="C2444" s="7"/>
      <c r="D2444" s="7"/>
      <c r="E2444" s="7">
        <v>624685</v>
      </c>
      <c r="F2444" s="7"/>
      <c r="G2444" s="7" t="s">
        <v>857</v>
      </c>
      <c r="H2444" s="7"/>
      <c r="I2444" s="27" t="s">
        <v>133</v>
      </c>
      <c r="J2444" s="7"/>
      <c r="K2444" s="27" t="s">
        <v>2208</v>
      </c>
      <c r="L2444" s="7"/>
    </row>
    <row r="2445" spans="1:12" x14ac:dyDescent="0.2">
      <c r="A2445" s="7"/>
      <c r="B2445" s="7"/>
      <c r="C2445" s="7"/>
      <c r="D2445" s="7"/>
      <c r="E2445" s="7">
        <v>624686</v>
      </c>
      <c r="F2445" s="7"/>
      <c r="G2445" s="7" t="s">
        <v>856</v>
      </c>
      <c r="H2445" s="7"/>
      <c r="I2445" s="27" t="s">
        <v>133</v>
      </c>
      <c r="J2445" s="7"/>
      <c r="K2445" s="27" t="s">
        <v>2208</v>
      </c>
      <c r="L2445" s="7"/>
    </row>
    <row r="2446" spans="1:12" x14ac:dyDescent="0.2">
      <c r="A2446" s="7"/>
      <c r="B2446" s="7"/>
      <c r="C2446" s="7"/>
      <c r="D2446" s="7"/>
      <c r="E2446" s="7">
        <v>624687</v>
      </c>
      <c r="F2446" s="7"/>
      <c r="G2446" s="7" t="s">
        <v>855</v>
      </c>
      <c r="H2446" s="7"/>
      <c r="I2446" s="27" t="s">
        <v>133</v>
      </c>
      <c r="J2446" s="7"/>
      <c r="K2446" s="27" t="s">
        <v>2208</v>
      </c>
      <c r="L2446" s="7"/>
    </row>
    <row r="2447" spans="1:12" x14ac:dyDescent="0.2">
      <c r="A2447" s="7"/>
      <c r="B2447" s="7"/>
      <c r="C2447" s="7"/>
      <c r="D2447" s="7"/>
      <c r="E2447" s="7">
        <v>624688</v>
      </c>
      <c r="F2447" s="7"/>
      <c r="G2447" s="7" t="s">
        <v>854</v>
      </c>
      <c r="H2447" s="7"/>
      <c r="I2447" s="27" t="s">
        <v>133</v>
      </c>
      <c r="J2447" s="7"/>
      <c r="K2447" s="27" t="s">
        <v>2208</v>
      </c>
      <c r="L2447" s="7"/>
    </row>
    <row r="2448" spans="1:12" x14ac:dyDescent="0.2">
      <c r="A2448" s="7"/>
      <c r="B2448" s="7"/>
      <c r="C2448" s="7"/>
      <c r="D2448" s="7"/>
      <c r="E2448" s="7">
        <v>624689</v>
      </c>
      <c r="F2448" s="7"/>
      <c r="G2448" s="7" t="s">
        <v>858</v>
      </c>
      <c r="H2448" s="7"/>
      <c r="I2448" s="27" t="s">
        <v>133</v>
      </c>
      <c r="J2448" s="7"/>
      <c r="K2448" s="27" t="s">
        <v>2208</v>
      </c>
      <c r="L2448" s="7"/>
    </row>
    <row r="2449" spans="1:12" x14ac:dyDescent="0.2">
      <c r="A2449" s="7"/>
      <c r="B2449" s="7"/>
      <c r="C2449" s="7"/>
      <c r="D2449" s="7"/>
      <c r="E2449" s="7">
        <v>624690</v>
      </c>
      <c r="F2449" s="7"/>
      <c r="G2449" s="7" t="s">
        <v>1609</v>
      </c>
      <c r="H2449" s="7"/>
      <c r="I2449" s="27" t="s">
        <v>133</v>
      </c>
      <c r="J2449" s="7"/>
      <c r="K2449" s="27" t="s">
        <v>2208</v>
      </c>
      <c r="L2449" s="7"/>
    </row>
    <row r="2450" spans="1:12" x14ac:dyDescent="0.2">
      <c r="A2450" s="7"/>
      <c r="B2450" s="7"/>
      <c r="C2450" s="7"/>
      <c r="D2450" s="7"/>
      <c r="E2450" s="7">
        <v>624691</v>
      </c>
      <c r="F2450" s="7"/>
      <c r="G2450" s="7" t="s">
        <v>860</v>
      </c>
      <c r="H2450" s="7"/>
      <c r="I2450" s="27" t="s">
        <v>133</v>
      </c>
      <c r="J2450" s="7"/>
      <c r="K2450" s="27" t="s">
        <v>2208</v>
      </c>
      <c r="L2450" s="7"/>
    </row>
    <row r="2451" spans="1:12" x14ac:dyDescent="0.2">
      <c r="A2451" s="7"/>
      <c r="B2451" s="7"/>
      <c r="C2451" s="7"/>
      <c r="D2451" s="7"/>
      <c r="E2451" s="7">
        <v>624692</v>
      </c>
      <c r="F2451" s="7"/>
      <c r="G2451" s="7" t="s">
        <v>1610</v>
      </c>
      <c r="H2451" s="7"/>
      <c r="I2451" s="27" t="s">
        <v>133</v>
      </c>
      <c r="J2451" s="7"/>
      <c r="K2451" s="27" t="s">
        <v>2208</v>
      </c>
      <c r="L2451" s="7"/>
    </row>
    <row r="2452" spans="1:12" x14ac:dyDescent="0.2">
      <c r="A2452" s="7"/>
      <c r="B2452" s="7"/>
      <c r="C2452" s="7"/>
      <c r="D2452" s="7"/>
      <c r="E2452" s="7">
        <v>624693</v>
      </c>
      <c r="F2452" s="7"/>
      <c r="G2452" s="7" t="s">
        <v>1611</v>
      </c>
      <c r="H2452" s="7"/>
      <c r="I2452" s="27" t="s">
        <v>47</v>
      </c>
      <c r="J2452" s="7"/>
      <c r="K2452" s="27" t="s">
        <v>2208</v>
      </c>
      <c r="L2452" s="7"/>
    </row>
    <row r="2453" spans="1:12" x14ac:dyDescent="0.2">
      <c r="A2453" s="7"/>
      <c r="B2453" s="7"/>
      <c r="C2453" s="7"/>
      <c r="D2453" s="7"/>
      <c r="E2453" s="7">
        <v>624694</v>
      </c>
      <c r="F2453" s="7"/>
      <c r="G2453" s="7" t="s">
        <v>1578</v>
      </c>
      <c r="H2453" s="7"/>
      <c r="I2453" s="27" t="s">
        <v>47</v>
      </c>
      <c r="J2453" s="7"/>
      <c r="K2453" s="27" t="s">
        <v>2208</v>
      </c>
      <c r="L2453" s="7"/>
    </row>
    <row r="2454" spans="1:12" x14ac:dyDescent="0.2">
      <c r="A2454" s="7"/>
      <c r="B2454" s="7"/>
      <c r="C2454" s="7"/>
      <c r="D2454" s="7"/>
      <c r="E2454" s="7">
        <v>624695</v>
      </c>
      <c r="F2454" s="7"/>
      <c r="G2454" s="7" t="s">
        <v>1580</v>
      </c>
      <c r="H2454" s="7"/>
      <c r="I2454" s="27" t="s">
        <v>47</v>
      </c>
      <c r="J2454" s="7"/>
      <c r="K2454" s="27" t="s">
        <v>2208</v>
      </c>
      <c r="L2454" s="7"/>
    </row>
    <row r="2455" spans="1:12" x14ac:dyDescent="0.2">
      <c r="A2455" s="7"/>
      <c r="B2455" s="7"/>
      <c r="C2455" s="7"/>
      <c r="D2455" s="7"/>
      <c r="E2455" s="7">
        <v>624696</v>
      </c>
      <c r="F2455" s="7"/>
      <c r="G2455" s="7" t="s">
        <v>1065</v>
      </c>
      <c r="H2455" s="7"/>
      <c r="I2455" s="27" t="s">
        <v>47</v>
      </c>
      <c r="J2455" s="7"/>
      <c r="K2455" s="27" t="s">
        <v>2208</v>
      </c>
      <c r="L2455" s="7"/>
    </row>
    <row r="2456" spans="1:12" x14ac:dyDescent="0.2">
      <c r="A2456" s="7"/>
      <c r="B2456" s="7"/>
      <c r="C2456" s="7"/>
      <c r="D2456" s="7"/>
      <c r="E2456" s="7">
        <v>624697</v>
      </c>
      <c r="F2456" s="7"/>
      <c r="G2456" s="7" t="s">
        <v>1581</v>
      </c>
      <c r="H2456" s="7"/>
      <c r="I2456" s="27" t="s">
        <v>47</v>
      </c>
      <c r="J2456" s="7"/>
      <c r="K2456" s="27" t="s">
        <v>2208</v>
      </c>
      <c r="L2456" s="7"/>
    </row>
    <row r="2457" spans="1:12" x14ac:dyDescent="0.2">
      <c r="A2457" s="7"/>
      <c r="B2457" s="7"/>
      <c r="C2457" s="7"/>
      <c r="D2457" s="7"/>
      <c r="E2457" s="7">
        <v>624698</v>
      </c>
      <c r="F2457" s="7"/>
      <c r="G2457" s="7" t="s">
        <v>1582</v>
      </c>
      <c r="H2457" s="7"/>
      <c r="I2457" s="27" t="s">
        <v>133</v>
      </c>
      <c r="J2457" s="7"/>
      <c r="K2457" s="27" t="s">
        <v>2208</v>
      </c>
      <c r="L2457" s="7"/>
    </row>
    <row r="2458" spans="1:12" x14ac:dyDescent="0.2">
      <c r="A2458" s="7"/>
      <c r="B2458" s="7"/>
      <c r="C2458" s="7"/>
      <c r="D2458" s="7"/>
      <c r="E2458" s="7">
        <v>624699</v>
      </c>
      <c r="F2458" s="7"/>
      <c r="G2458" s="7" t="s">
        <v>1070</v>
      </c>
      <c r="H2458" s="7"/>
      <c r="I2458" s="27" t="s">
        <v>133</v>
      </c>
      <c r="J2458" s="7"/>
      <c r="K2458" s="27" t="s">
        <v>2208</v>
      </c>
      <c r="L2458" s="7"/>
    </row>
    <row r="2459" spans="1:12" x14ac:dyDescent="0.2">
      <c r="A2459" s="7"/>
      <c r="B2459" s="7"/>
      <c r="C2459" s="7"/>
      <c r="D2459" s="7"/>
      <c r="E2459" s="7">
        <v>624700</v>
      </c>
      <c r="F2459" s="7"/>
      <c r="G2459" s="7" t="s">
        <v>1583</v>
      </c>
      <c r="H2459" s="7"/>
      <c r="I2459" s="27" t="s">
        <v>133</v>
      </c>
      <c r="J2459" s="7"/>
      <c r="K2459" s="27" t="s">
        <v>2208</v>
      </c>
      <c r="L2459" s="7"/>
    </row>
    <row r="2460" spans="1:12" x14ac:dyDescent="0.2">
      <c r="A2460" s="7"/>
      <c r="B2460" s="7"/>
      <c r="C2460" s="7"/>
      <c r="D2460" s="7"/>
      <c r="E2460" s="7">
        <v>624701</v>
      </c>
      <c r="F2460" s="7"/>
      <c r="G2460" s="7" t="s">
        <v>1584</v>
      </c>
      <c r="H2460" s="7"/>
      <c r="I2460" s="27" t="s">
        <v>133</v>
      </c>
      <c r="J2460" s="7"/>
      <c r="K2460" s="27" t="s">
        <v>2208</v>
      </c>
      <c r="L2460" s="7"/>
    </row>
    <row r="2461" spans="1:12" x14ac:dyDescent="0.2">
      <c r="A2461" s="7"/>
      <c r="B2461" s="7"/>
      <c r="C2461" s="7"/>
      <c r="D2461" s="7"/>
      <c r="E2461" s="7">
        <v>624702</v>
      </c>
      <c r="F2461" s="7"/>
      <c r="G2461" s="7" t="s">
        <v>1585</v>
      </c>
      <c r="H2461" s="7"/>
      <c r="I2461" s="27" t="s">
        <v>47</v>
      </c>
      <c r="J2461" s="7"/>
      <c r="K2461" s="27" t="s">
        <v>2208</v>
      </c>
      <c r="L2461" s="7"/>
    </row>
    <row r="2462" spans="1:12" x14ac:dyDescent="0.2">
      <c r="A2462" s="7"/>
      <c r="B2462" s="7"/>
      <c r="C2462" s="7"/>
      <c r="D2462" s="7"/>
      <c r="E2462" s="7">
        <v>624703</v>
      </c>
      <c r="F2462" s="7"/>
      <c r="G2462" s="7" t="s">
        <v>1586</v>
      </c>
      <c r="H2462" s="7"/>
      <c r="I2462" s="27" t="s">
        <v>47</v>
      </c>
      <c r="J2462" s="7"/>
      <c r="K2462" s="27" t="s">
        <v>2208</v>
      </c>
      <c r="L2462" s="7"/>
    </row>
    <row r="2463" spans="1:12" x14ac:dyDescent="0.2">
      <c r="A2463" s="7"/>
      <c r="B2463" s="7"/>
      <c r="C2463" s="7"/>
      <c r="D2463" s="7"/>
      <c r="E2463" s="7">
        <v>624704</v>
      </c>
      <c r="F2463" s="7"/>
      <c r="G2463" s="7" t="s">
        <v>668</v>
      </c>
      <c r="H2463" s="7"/>
      <c r="I2463" s="27" t="s">
        <v>47</v>
      </c>
      <c r="J2463" s="7"/>
      <c r="K2463" s="27" t="s">
        <v>2208</v>
      </c>
      <c r="L2463" s="7"/>
    </row>
    <row r="2464" spans="1:12" x14ac:dyDescent="0.2">
      <c r="A2464" s="7"/>
      <c r="B2464" s="7"/>
      <c r="C2464" s="7"/>
      <c r="D2464" s="7"/>
      <c r="E2464" s="7">
        <v>624705</v>
      </c>
      <c r="F2464" s="7"/>
      <c r="G2464" s="7" t="s">
        <v>1587</v>
      </c>
      <c r="H2464" s="7"/>
      <c r="I2464" s="27" t="s">
        <v>133</v>
      </c>
      <c r="J2464" s="7"/>
      <c r="K2464" s="27" t="s">
        <v>2208</v>
      </c>
      <c r="L2464" s="7"/>
    </row>
    <row r="2465" spans="1:12" x14ac:dyDescent="0.2">
      <c r="A2465" s="7"/>
      <c r="B2465" s="7"/>
      <c r="C2465" s="7"/>
      <c r="D2465" s="7"/>
      <c r="E2465" s="7">
        <v>624706</v>
      </c>
      <c r="F2465" s="7"/>
      <c r="G2465" s="7" t="s">
        <v>1588</v>
      </c>
      <c r="H2465" s="7"/>
      <c r="I2465" s="27" t="s">
        <v>133</v>
      </c>
      <c r="J2465" s="7"/>
      <c r="K2465" s="27" t="s">
        <v>2208</v>
      </c>
      <c r="L2465" s="7"/>
    </row>
    <row r="2466" spans="1:12" x14ac:dyDescent="0.2">
      <c r="A2466" s="7"/>
      <c r="B2466" s="7"/>
      <c r="C2466" s="7"/>
      <c r="D2466" s="7"/>
      <c r="E2466" s="7">
        <v>624707</v>
      </c>
      <c r="F2466" s="7"/>
      <c r="G2466" s="7" t="s">
        <v>1589</v>
      </c>
      <c r="H2466" s="7"/>
      <c r="I2466" s="27" t="s">
        <v>133</v>
      </c>
      <c r="J2466" s="7"/>
      <c r="K2466" s="27" t="s">
        <v>2208</v>
      </c>
      <c r="L2466" s="7"/>
    </row>
    <row r="2467" spans="1:12" x14ac:dyDescent="0.2">
      <c r="A2467" s="7"/>
      <c r="B2467" s="7"/>
      <c r="C2467" s="7"/>
      <c r="D2467" s="7"/>
      <c r="E2467" s="7">
        <v>624708</v>
      </c>
      <c r="F2467" s="7"/>
      <c r="G2467" s="7" t="s">
        <v>1079</v>
      </c>
      <c r="H2467" s="7"/>
      <c r="I2467" s="27" t="s">
        <v>71</v>
      </c>
      <c r="J2467" s="7"/>
      <c r="K2467" s="27" t="s">
        <v>2208</v>
      </c>
      <c r="L2467" s="7"/>
    </row>
    <row r="2468" spans="1:12" x14ac:dyDescent="0.2">
      <c r="A2468" s="7"/>
      <c r="B2468" s="7"/>
      <c r="C2468" s="7"/>
      <c r="D2468" s="7"/>
      <c r="E2468" s="7">
        <v>624709</v>
      </c>
      <c r="F2468" s="7"/>
      <c r="G2468" s="7" t="s">
        <v>1080</v>
      </c>
      <c r="H2468" s="7"/>
      <c r="I2468" s="27" t="s">
        <v>71</v>
      </c>
      <c r="J2468" s="7"/>
      <c r="K2468" s="27" t="s">
        <v>2208</v>
      </c>
      <c r="L2468" s="7"/>
    </row>
    <row r="2469" spans="1:12" x14ac:dyDescent="0.2">
      <c r="A2469" s="7"/>
      <c r="B2469" s="7"/>
      <c r="C2469" s="7"/>
      <c r="D2469" s="7"/>
      <c r="E2469" s="7">
        <v>624710</v>
      </c>
      <c r="F2469" s="7"/>
      <c r="G2469" s="7" t="s">
        <v>1081</v>
      </c>
      <c r="H2469" s="7"/>
      <c r="I2469" s="27" t="s">
        <v>71</v>
      </c>
      <c r="J2469" s="7"/>
      <c r="K2469" s="27" t="s">
        <v>2208</v>
      </c>
      <c r="L2469" s="7"/>
    </row>
    <row r="2470" spans="1:12" x14ac:dyDescent="0.2">
      <c r="A2470" s="7"/>
      <c r="B2470" s="7"/>
      <c r="C2470" s="7"/>
      <c r="D2470" s="7"/>
      <c r="E2470" s="7">
        <v>624711</v>
      </c>
      <c r="F2470" s="7"/>
      <c r="G2470" s="7" t="s">
        <v>1082</v>
      </c>
      <c r="H2470" s="7"/>
      <c r="I2470" s="27" t="s">
        <v>133</v>
      </c>
      <c r="J2470" s="7"/>
      <c r="K2470" s="27" t="s">
        <v>2208</v>
      </c>
      <c r="L2470" s="7"/>
    </row>
    <row r="2471" spans="1:12" x14ac:dyDescent="0.2">
      <c r="A2471" s="7"/>
      <c r="B2471" s="7"/>
      <c r="C2471" s="7"/>
      <c r="D2471" s="7"/>
      <c r="E2471" s="7">
        <v>624712</v>
      </c>
      <c r="F2471" s="7"/>
      <c r="G2471" s="7" t="s">
        <v>1096</v>
      </c>
      <c r="H2471" s="7"/>
      <c r="I2471" s="27" t="s">
        <v>71</v>
      </c>
      <c r="J2471" s="7"/>
      <c r="K2471" s="27" t="s">
        <v>2208</v>
      </c>
      <c r="L2471" s="7"/>
    </row>
    <row r="2472" spans="1:12" x14ac:dyDescent="0.2">
      <c r="A2472" s="7"/>
      <c r="B2472" s="7"/>
      <c r="C2472" s="7"/>
      <c r="D2472" s="7"/>
      <c r="E2472" s="7">
        <v>624713</v>
      </c>
      <c r="F2472" s="7"/>
      <c r="G2472" s="7" t="s">
        <v>1097</v>
      </c>
      <c r="H2472" s="7"/>
      <c r="I2472" s="27" t="s">
        <v>71</v>
      </c>
      <c r="J2472" s="7"/>
      <c r="K2472" s="27" t="s">
        <v>2208</v>
      </c>
      <c r="L2472" s="7"/>
    </row>
    <row r="2473" spans="1:12" x14ac:dyDescent="0.2">
      <c r="A2473" s="7"/>
      <c r="B2473" s="7"/>
      <c r="C2473" s="7"/>
      <c r="D2473" s="7"/>
      <c r="E2473" s="7">
        <v>624714</v>
      </c>
      <c r="F2473" s="7"/>
      <c r="G2473" s="7" t="s">
        <v>1098</v>
      </c>
      <c r="H2473" s="7"/>
      <c r="I2473" s="27" t="s">
        <v>71</v>
      </c>
      <c r="J2473" s="7"/>
      <c r="K2473" s="27" t="s">
        <v>2208</v>
      </c>
      <c r="L2473" s="7"/>
    </row>
    <row r="2474" spans="1:12" x14ac:dyDescent="0.2">
      <c r="A2474" s="7"/>
      <c r="B2474" s="7"/>
      <c r="C2474" s="7"/>
      <c r="D2474" s="7"/>
      <c r="E2474" s="7">
        <v>624715</v>
      </c>
      <c r="F2474" s="7"/>
      <c r="G2474" s="7" t="s">
        <v>1099</v>
      </c>
      <c r="H2474" s="7"/>
      <c r="I2474" s="27" t="s">
        <v>71</v>
      </c>
      <c r="J2474" s="7"/>
      <c r="K2474" s="27" t="s">
        <v>2208</v>
      </c>
      <c r="L2474" s="7"/>
    </row>
    <row r="2475" spans="1:12" x14ac:dyDescent="0.2">
      <c r="A2475" s="7"/>
      <c r="B2475" s="7"/>
      <c r="C2475" s="7"/>
      <c r="D2475" s="7"/>
      <c r="E2475" s="7">
        <v>624716</v>
      </c>
      <c r="F2475" s="7"/>
      <c r="G2475" s="7" t="s">
        <v>1100</v>
      </c>
      <c r="H2475" s="7"/>
      <c r="I2475" s="27" t="s">
        <v>71</v>
      </c>
      <c r="J2475" s="7"/>
      <c r="K2475" s="27" t="s">
        <v>2208</v>
      </c>
      <c r="L2475" s="7"/>
    </row>
    <row r="2476" spans="1:12" x14ac:dyDescent="0.2">
      <c r="A2476" s="7"/>
      <c r="B2476" s="7"/>
      <c r="C2476" s="7"/>
      <c r="D2476" s="7"/>
      <c r="E2476" s="7">
        <v>624717</v>
      </c>
      <c r="F2476" s="7"/>
      <c r="G2476" s="7" t="s">
        <v>1101</v>
      </c>
      <c r="H2476" s="7"/>
      <c r="I2476" s="27" t="s">
        <v>133</v>
      </c>
      <c r="J2476" s="7"/>
      <c r="K2476" s="27" t="s">
        <v>2208</v>
      </c>
      <c r="L2476" s="7"/>
    </row>
    <row r="2477" spans="1:12" x14ac:dyDescent="0.2">
      <c r="A2477" s="7"/>
      <c r="B2477" s="7"/>
      <c r="C2477" s="7"/>
      <c r="D2477" s="7"/>
      <c r="E2477" s="7">
        <v>624718</v>
      </c>
      <c r="F2477" s="7"/>
      <c r="G2477" s="7" t="s">
        <v>1102</v>
      </c>
      <c r="H2477" s="7"/>
      <c r="I2477" s="27" t="s">
        <v>71</v>
      </c>
      <c r="J2477" s="7"/>
      <c r="K2477" s="27" t="s">
        <v>2208</v>
      </c>
      <c r="L2477" s="7"/>
    </row>
    <row r="2478" spans="1:12" x14ac:dyDescent="0.2">
      <c r="A2478" s="7"/>
      <c r="B2478" s="7"/>
      <c r="C2478" s="7"/>
      <c r="D2478" s="7"/>
      <c r="E2478" s="7">
        <v>624719</v>
      </c>
      <c r="F2478" s="7"/>
      <c r="G2478" s="7" t="s">
        <v>1103</v>
      </c>
      <c r="H2478" s="7"/>
      <c r="I2478" s="27" t="s">
        <v>71</v>
      </c>
      <c r="J2478" s="7"/>
      <c r="K2478" s="27" t="s">
        <v>2208</v>
      </c>
      <c r="L2478" s="7"/>
    </row>
    <row r="2479" spans="1:12" x14ac:dyDescent="0.2">
      <c r="A2479" s="7"/>
      <c r="B2479" s="7"/>
      <c r="C2479" s="7"/>
      <c r="D2479" s="7"/>
      <c r="E2479" s="7">
        <v>624720</v>
      </c>
      <c r="F2479" s="7"/>
      <c r="G2479" s="7" t="s">
        <v>1104</v>
      </c>
      <c r="H2479" s="7"/>
      <c r="I2479" s="27" t="s">
        <v>71</v>
      </c>
      <c r="J2479" s="7"/>
      <c r="K2479" s="27" t="s">
        <v>2208</v>
      </c>
      <c r="L2479" s="7"/>
    </row>
    <row r="2480" spans="1:12" x14ac:dyDescent="0.2">
      <c r="A2480" s="7"/>
      <c r="B2480" s="7"/>
      <c r="C2480" s="7"/>
      <c r="D2480" s="7"/>
      <c r="E2480" s="7">
        <v>624721</v>
      </c>
      <c r="F2480" s="7"/>
      <c r="G2480" s="7" t="s">
        <v>1125</v>
      </c>
      <c r="H2480" s="7"/>
      <c r="I2480" s="27" t="s">
        <v>71</v>
      </c>
      <c r="J2480" s="7"/>
      <c r="K2480" s="27" t="s">
        <v>2208</v>
      </c>
      <c r="L2480" s="7"/>
    </row>
    <row r="2481" spans="1:12" x14ac:dyDescent="0.2">
      <c r="A2481" s="7"/>
      <c r="B2481" s="7"/>
      <c r="C2481" s="7"/>
      <c r="D2481" s="7"/>
      <c r="E2481" s="7">
        <v>624722</v>
      </c>
      <c r="F2481" s="7"/>
      <c r="G2481" s="7" t="s">
        <v>1126</v>
      </c>
      <c r="H2481" s="7"/>
      <c r="I2481" s="27" t="s">
        <v>71</v>
      </c>
      <c r="J2481" s="7"/>
      <c r="K2481" s="27" t="s">
        <v>2208</v>
      </c>
      <c r="L2481" s="7"/>
    </row>
    <row r="2482" spans="1:12" x14ac:dyDescent="0.2">
      <c r="A2482" s="7"/>
      <c r="B2482" s="7"/>
      <c r="C2482" s="7"/>
      <c r="D2482" s="7"/>
      <c r="E2482" s="7">
        <v>624723</v>
      </c>
      <c r="F2482" s="7"/>
      <c r="G2482" s="7" t="s">
        <v>1612</v>
      </c>
      <c r="H2482" s="7"/>
      <c r="I2482" s="27" t="s">
        <v>47</v>
      </c>
      <c r="J2482" s="7"/>
      <c r="K2482" s="27" t="s">
        <v>2208</v>
      </c>
      <c r="L2482" s="7"/>
    </row>
    <row r="2483" spans="1:12" x14ac:dyDescent="0.2">
      <c r="A2483" s="7"/>
      <c r="B2483" s="7"/>
      <c r="C2483" s="7"/>
      <c r="D2483" s="7"/>
      <c r="E2483" s="7">
        <v>624724</v>
      </c>
      <c r="F2483" s="7"/>
      <c r="G2483" s="7" t="s">
        <v>1128</v>
      </c>
      <c r="H2483" s="7"/>
      <c r="I2483" s="27" t="s">
        <v>47</v>
      </c>
      <c r="J2483" s="7"/>
      <c r="K2483" s="27" t="s">
        <v>2208</v>
      </c>
      <c r="L2483" s="7"/>
    </row>
    <row r="2484" spans="1:12" x14ac:dyDescent="0.2">
      <c r="A2484" s="7"/>
      <c r="B2484" s="7"/>
      <c r="C2484" s="7"/>
      <c r="D2484" s="7"/>
      <c r="E2484" s="7">
        <v>624725</v>
      </c>
      <c r="F2484" s="7"/>
      <c r="G2484" s="7" t="s">
        <v>1129</v>
      </c>
      <c r="H2484" s="7"/>
      <c r="I2484" s="27" t="s">
        <v>47</v>
      </c>
      <c r="J2484" s="7"/>
      <c r="K2484" s="27" t="s">
        <v>2208</v>
      </c>
      <c r="L2484" s="7"/>
    </row>
    <row r="2485" spans="1:12" x14ac:dyDescent="0.2">
      <c r="A2485" s="7"/>
      <c r="B2485" s="7"/>
      <c r="C2485" s="7"/>
      <c r="D2485" s="7"/>
      <c r="E2485" s="7">
        <v>624726</v>
      </c>
      <c r="F2485" s="7"/>
      <c r="G2485" s="7" t="s">
        <v>1130</v>
      </c>
      <c r="H2485" s="7"/>
      <c r="I2485" s="27" t="s">
        <v>133</v>
      </c>
      <c r="J2485" s="7"/>
      <c r="K2485" s="27" t="s">
        <v>2208</v>
      </c>
      <c r="L2485" s="7"/>
    </row>
    <row r="2486" spans="1:12" x14ac:dyDescent="0.2">
      <c r="A2486" s="7"/>
      <c r="B2486" s="7"/>
      <c r="C2486" s="7"/>
      <c r="D2486" s="7"/>
      <c r="E2486" s="7">
        <v>624727</v>
      </c>
      <c r="F2486" s="7"/>
      <c r="G2486" s="7" t="s">
        <v>1131</v>
      </c>
      <c r="H2486" s="7"/>
      <c r="I2486" s="27" t="s">
        <v>133</v>
      </c>
      <c r="J2486" s="7"/>
      <c r="K2486" s="27" t="s">
        <v>2208</v>
      </c>
      <c r="L2486" s="7"/>
    </row>
    <row r="2487" spans="1:12" x14ac:dyDescent="0.2">
      <c r="A2487" s="7"/>
      <c r="B2487" s="7"/>
      <c r="C2487" s="7"/>
      <c r="D2487" s="7"/>
      <c r="E2487" s="7">
        <v>624728</v>
      </c>
      <c r="F2487" s="7"/>
      <c r="G2487" s="7" t="s">
        <v>1132</v>
      </c>
      <c r="H2487" s="7"/>
      <c r="I2487" s="27" t="s">
        <v>133</v>
      </c>
      <c r="J2487" s="7"/>
      <c r="K2487" s="27" t="s">
        <v>2208</v>
      </c>
      <c r="L2487" s="7"/>
    </row>
    <row r="2488" spans="1:12" x14ac:dyDescent="0.2">
      <c r="A2488" s="7"/>
      <c r="B2488" s="7"/>
      <c r="C2488" s="7"/>
      <c r="D2488" s="7"/>
      <c r="E2488" s="7">
        <v>624729</v>
      </c>
      <c r="F2488" s="7"/>
      <c r="G2488" s="7" t="s">
        <v>1615</v>
      </c>
      <c r="H2488" s="7"/>
      <c r="I2488" s="27" t="s">
        <v>47</v>
      </c>
      <c r="J2488" s="7"/>
      <c r="K2488" s="27" t="s">
        <v>2208</v>
      </c>
      <c r="L2488" s="7"/>
    </row>
    <row r="2489" spans="1:12" x14ac:dyDescent="0.2">
      <c r="A2489" s="7"/>
      <c r="B2489" s="7"/>
      <c r="C2489" s="7"/>
      <c r="D2489" s="7"/>
      <c r="E2489" s="7">
        <v>624730</v>
      </c>
      <c r="F2489" s="7"/>
      <c r="G2489" s="7" t="s">
        <v>1139</v>
      </c>
      <c r="H2489" s="7"/>
      <c r="I2489" s="27" t="s">
        <v>133</v>
      </c>
      <c r="J2489" s="7"/>
      <c r="K2489" s="27" t="s">
        <v>2208</v>
      </c>
      <c r="L2489" s="7"/>
    </row>
    <row r="2490" spans="1:12" x14ac:dyDescent="0.2">
      <c r="A2490" s="7"/>
      <c r="B2490" s="7"/>
      <c r="C2490" s="7"/>
      <c r="D2490" s="7"/>
      <c r="E2490" s="7">
        <v>624731</v>
      </c>
      <c r="F2490" s="7"/>
      <c r="G2490" s="7" t="s">
        <v>1616</v>
      </c>
      <c r="H2490" s="7"/>
      <c r="I2490" s="27" t="s">
        <v>133</v>
      </c>
      <c r="J2490" s="7"/>
      <c r="K2490" s="27" t="s">
        <v>2208</v>
      </c>
      <c r="L2490" s="7"/>
    </row>
    <row r="2491" spans="1:12" x14ac:dyDescent="0.2">
      <c r="A2491" s="7"/>
      <c r="B2491" s="7"/>
      <c r="C2491" s="7"/>
      <c r="D2491" s="7"/>
      <c r="E2491" s="7">
        <v>624732</v>
      </c>
      <c r="F2491" s="7"/>
      <c r="G2491" s="7" t="s">
        <v>1617</v>
      </c>
      <c r="H2491" s="7"/>
      <c r="I2491" s="27" t="s">
        <v>133</v>
      </c>
      <c r="J2491" s="7"/>
      <c r="K2491" s="27" t="s">
        <v>2208</v>
      </c>
      <c r="L2491" s="7"/>
    </row>
    <row r="2492" spans="1:12" x14ac:dyDescent="0.2">
      <c r="A2492" s="7"/>
      <c r="B2492" s="7"/>
      <c r="C2492" s="7"/>
      <c r="D2492" s="7"/>
      <c r="E2492" s="7">
        <v>624733</v>
      </c>
      <c r="F2492" s="7"/>
      <c r="G2492" s="7" t="s">
        <v>1618</v>
      </c>
      <c r="H2492" s="7"/>
      <c r="I2492" s="27" t="s">
        <v>133</v>
      </c>
      <c r="J2492" s="7"/>
      <c r="K2492" s="27" t="s">
        <v>2208</v>
      </c>
      <c r="L2492" s="7"/>
    </row>
    <row r="2493" spans="1:12" x14ac:dyDescent="0.2">
      <c r="A2493" s="7"/>
      <c r="B2493" s="7"/>
      <c r="C2493" s="7"/>
      <c r="D2493" s="7"/>
      <c r="E2493" s="7">
        <v>624734</v>
      </c>
      <c r="F2493" s="7"/>
      <c r="G2493" s="7" t="s">
        <v>1133</v>
      </c>
      <c r="H2493" s="7"/>
      <c r="I2493" s="27" t="s">
        <v>133</v>
      </c>
      <c r="J2493" s="7"/>
      <c r="K2493" s="27" t="s">
        <v>2208</v>
      </c>
      <c r="L2493" s="7"/>
    </row>
    <row r="2494" spans="1:12" x14ac:dyDescent="0.2">
      <c r="A2494" s="7"/>
      <c r="B2494" s="7"/>
      <c r="C2494" s="7"/>
      <c r="D2494" s="7"/>
      <c r="E2494" s="7">
        <v>624735</v>
      </c>
      <c r="F2494" s="7"/>
      <c r="G2494" s="7" t="s">
        <v>1137</v>
      </c>
      <c r="H2494" s="7"/>
      <c r="I2494" s="27" t="s">
        <v>133</v>
      </c>
      <c r="J2494" s="7"/>
      <c r="K2494" s="27" t="s">
        <v>2208</v>
      </c>
      <c r="L2494" s="7"/>
    </row>
    <row r="2495" spans="1:12" x14ac:dyDescent="0.2">
      <c r="A2495" s="7"/>
      <c r="B2495" s="7"/>
      <c r="C2495" s="7"/>
      <c r="D2495" s="7"/>
      <c r="E2495" s="7">
        <v>624736</v>
      </c>
      <c r="F2495" s="7"/>
      <c r="G2495" s="7" t="s">
        <v>1613</v>
      </c>
      <c r="H2495" s="7"/>
      <c r="I2495" s="27" t="s">
        <v>133</v>
      </c>
      <c r="J2495" s="7"/>
      <c r="K2495" s="27" t="s">
        <v>2208</v>
      </c>
      <c r="L2495" s="7"/>
    </row>
    <row r="2496" spans="1:12" x14ac:dyDescent="0.2">
      <c r="A2496" s="7"/>
      <c r="B2496" s="7"/>
      <c r="C2496" s="7"/>
      <c r="D2496" s="7"/>
      <c r="E2496" s="7">
        <v>624737</v>
      </c>
      <c r="F2496" s="7"/>
      <c r="G2496" s="7" t="s">
        <v>1614</v>
      </c>
      <c r="H2496" s="7"/>
      <c r="I2496" s="27" t="s">
        <v>133</v>
      </c>
      <c r="J2496" s="7"/>
      <c r="K2496" s="27" t="s">
        <v>2208</v>
      </c>
      <c r="L2496" s="7"/>
    </row>
    <row r="2497" spans="1:12" x14ac:dyDescent="0.2">
      <c r="A2497" s="7"/>
      <c r="B2497" s="7"/>
      <c r="C2497" s="7"/>
      <c r="D2497" s="7"/>
      <c r="E2497" s="7">
        <v>624738</v>
      </c>
      <c r="F2497" s="7"/>
      <c r="G2497" s="7" t="s">
        <v>1619</v>
      </c>
      <c r="H2497" s="7"/>
      <c r="I2497" s="27" t="s">
        <v>133</v>
      </c>
      <c r="J2497" s="7"/>
      <c r="K2497" s="27" t="s">
        <v>2208</v>
      </c>
      <c r="L2497" s="7"/>
    </row>
    <row r="2498" spans="1:12" x14ac:dyDescent="0.2">
      <c r="A2498" s="7"/>
      <c r="B2498" s="7"/>
      <c r="C2498" s="7"/>
      <c r="D2498" s="7"/>
      <c r="E2498" s="7">
        <v>624739</v>
      </c>
      <c r="F2498" s="7"/>
      <c r="G2498" s="7" t="s">
        <v>1620</v>
      </c>
      <c r="H2498" s="7"/>
      <c r="I2498" s="27" t="s">
        <v>133</v>
      </c>
      <c r="J2498" s="7"/>
      <c r="K2498" s="27" t="s">
        <v>2208</v>
      </c>
      <c r="L2498" s="7"/>
    </row>
    <row r="2499" spans="1:12" x14ac:dyDescent="0.2">
      <c r="A2499" s="7"/>
      <c r="B2499" s="7"/>
      <c r="C2499" s="7"/>
      <c r="D2499" s="7"/>
      <c r="E2499" s="7">
        <v>624740</v>
      </c>
      <c r="F2499" s="7"/>
      <c r="G2499" s="7" t="s">
        <v>1621</v>
      </c>
      <c r="H2499" s="7"/>
      <c r="I2499" s="27" t="s">
        <v>133</v>
      </c>
      <c r="J2499" s="7"/>
      <c r="K2499" s="27" t="s">
        <v>2208</v>
      </c>
      <c r="L2499" s="7"/>
    </row>
    <row r="2500" spans="1:12" x14ac:dyDescent="0.2">
      <c r="A2500" s="7"/>
      <c r="B2500" s="7"/>
      <c r="C2500" s="7"/>
      <c r="D2500" s="7"/>
      <c r="E2500" s="7">
        <v>624741</v>
      </c>
      <c r="F2500" s="7"/>
      <c r="G2500" s="7" t="s">
        <v>1622</v>
      </c>
      <c r="H2500" s="7"/>
      <c r="I2500" s="27" t="s">
        <v>133</v>
      </c>
      <c r="J2500" s="7"/>
      <c r="K2500" s="27" t="s">
        <v>2208</v>
      </c>
      <c r="L2500" s="7"/>
    </row>
    <row r="2501" spans="1:12" x14ac:dyDescent="0.2">
      <c r="A2501" s="7"/>
      <c r="B2501" s="7"/>
      <c r="C2501" s="7"/>
      <c r="D2501" s="7"/>
      <c r="E2501" s="7">
        <v>624742</v>
      </c>
      <c r="F2501" s="7"/>
      <c r="G2501" s="7" t="s">
        <v>1623</v>
      </c>
      <c r="H2501" s="7"/>
      <c r="I2501" s="27" t="s">
        <v>133</v>
      </c>
      <c r="J2501" s="7"/>
      <c r="K2501" s="27" t="s">
        <v>2208</v>
      </c>
      <c r="L2501" s="7"/>
    </row>
    <row r="2502" spans="1:12" x14ac:dyDescent="0.2">
      <c r="A2502" s="7"/>
      <c r="B2502" s="7"/>
      <c r="C2502" s="7"/>
      <c r="D2502" s="7"/>
      <c r="E2502" s="7">
        <v>624743</v>
      </c>
      <c r="F2502" s="7"/>
      <c r="G2502" s="7" t="s">
        <v>1270</v>
      </c>
      <c r="H2502" s="7"/>
      <c r="I2502" s="27" t="s">
        <v>133</v>
      </c>
      <c r="J2502" s="7"/>
      <c r="K2502" s="27" t="s">
        <v>2208</v>
      </c>
      <c r="L2502" s="7"/>
    </row>
    <row r="2503" spans="1:12" x14ac:dyDescent="0.2">
      <c r="A2503" s="7"/>
      <c r="B2503" s="7"/>
      <c r="C2503" s="7"/>
      <c r="D2503" s="7"/>
      <c r="E2503" s="7">
        <v>624744</v>
      </c>
      <c r="F2503" s="7"/>
      <c r="G2503" s="7" t="s">
        <v>1271</v>
      </c>
      <c r="H2503" s="7"/>
      <c r="I2503" s="27" t="s">
        <v>133</v>
      </c>
      <c r="J2503" s="7"/>
      <c r="K2503" s="27" t="s">
        <v>2208</v>
      </c>
      <c r="L2503" s="7"/>
    </row>
    <row r="2504" spans="1:12" x14ac:dyDescent="0.2">
      <c r="A2504" s="7"/>
      <c r="B2504" s="7"/>
      <c r="C2504" s="7"/>
      <c r="D2504" s="7"/>
      <c r="E2504" s="7">
        <v>624745</v>
      </c>
      <c r="F2504" s="7"/>
      <c r="G2504" s="7" t="s">
        <v>1624</v>
      </c>
      <c r="H2504" s="7"/>
      <c r="I2504" s="27" t="s">
        <v>133</v>
      </c>
      <c r="J2504" s="7"/>
      <c r="K2504" s="27" t="s">
        <v>2208</v>
      </c>
      <c r="L2504" s="7"/>
    </row>
    <row r="2505" spans="1:12" x14ac:dyDescent="0.2">
      <c r="A2505" s="7"/>
      <c r="B2505" s="7"/>
      <c r="C2505" s="7"/>
      <c r="D2505" s="7"/>
      <c r="E2505" s="7">
        <v>624746</v>
      </c>
      <c r="F2505" s="7"/>
      <c r="G2505" s="7" t="s">
        <v>1625</v>
      </c>
      <c r="H2505" s="7"/>
      <c r="I2505" s="27" t="s">
        <v>133</v>
      </c>
      <c r="J2505" s="7"/>
      <c r="K2505" s="27" t="s">
        <v>2208</v>
      </c>
      <c r="L2505" s="7"/>
    </row>
    <row r="2506" spans="1:12" x14ac:dyDescent="0.2">
      <c r="A2506" s="7"/>
      <c r="B2506" s="7"/>
      <c r="C2506" s="7"/>
      <c r="D2506" s="7"/>
      <c r="E2506" s="7">
        <v>624747</v>
      </c>
      <c r="F2506" s="7"/>
      <c r="G2506" s="7" t="s">
        <v>1626</v>
      </c>
      <c r="H2506" s="7"/>
      <c r="I2506" s="27" t="s">
        <v>133</v>
      </c>
      <c r="J2506" s="7"/>
      <c r="K2506" s="27" t="s">
        <v>2208</v>
      </c>
      <c r="L2506" s="7"/>
    </row>
    <row r="2507" spans="1:12" x14ac:dyDescent="0.2">
      <c r="A2507" s="7"/>
      <c r="B2507" s="7"/>
      <c r="C2507" s="7"/>
      <c r="D2507" s="7"/>
      <c r="E2507" s="7">
        <v>624748</v>
      </c>
      <c r="F2507" s="7"/>
      <c r="G2507" s="7" t="s">
        <v>1627</v>
      </c>
      <c r="H2507" s="7"/>
      <c r="I2507" s="27" t="s">
        <v>133</v>
      </c>
      <c r="J2507" s="7"/>
      <c r="K2507" s="27" t="s">
        <v>2208</v>
      </c>
      <c r="L2507" s="7"/>
    </row>
    <row r="2508" spans="1:12" x14ac:dyDescent="0.2">
      <c r="A2508" s="7"/>
      <c r="B2508" s="7"/>
      <c r="C2508" s="7"/>
      <c r="D2508" s="7"/>
      <c r="E2508" s="7">
        <v>624749</v>
      </c>
      <c r="F2508" s="7"/>
      <c r="G2508" s="7" t="s">
        <v>1279</v>
      </c>
      <c r="H2508" s="7"/>
      <c r="I2508" s="27" t="s">
        <v>133</v>
      </c>
      <c r="J2508" s="7"/>
      <c r="K2508" s="27" t="s">
        <v>2208</v>
      </c>
      <c r="L2508" s="7"/>
    </row>
    <row r="2509" spans="1:12" x14ac:dyDescent="0.2">
      <c r="A2509" s="7"/>
      <c r="B2509" s="7"/>
      <c r="C2509" s="7"/>
      <c r="D2509" s="7"/>
      <c r="E2509" s="7">
        <v>624750</v>
      </c>
      <c r="F2509" s="7"/>
      <c r="G2509" s="7" t="s">
        <v>1628</v>
      </c>
      <c r="H2509" s="7"/>
      <c r="I2509" s="27" t="s">
        <v>133</v>
      </c>
      <c r="J2509" s="7"/>
      <c r="K2509" s="27" t="s">
        <v>2208</v>
      </c>
      <c r="L2509" s="7"/>
    </row>
    <row r="2510" spans="1:12" x14ac:dyDescent="0.2">
      <c r="A2510" s="7"/>
      <c r="B2510" s="7"/>
      <c r="C2510" s="7"/>
      <c r="D2510" s="7"/>
      <c r="E2510" s="7">
        <v>624751</v>
      </c>
      <c r="F2510" s="7"/>
      <c r="G2510" s="7" t="s">
        <v>1629</v>
      </c>
      <c r="H2510" s="7"/>
      <c r="I2510" s="27" t="s">
        <v>133</v>
      </c>
      <c r="J2510" s="7"/>
      <c r="K2510" s="27" t="s">
        <v>2208</v>
      </c>
      <c r="L2510" s="7"/>
    </row>
    <row r="2511" spans="1:12" x14ac:dyDescent="0.2">
      <c r="A2511" s="7"/>
      <c r="B2511" s="7"/>
      <c r="C2511" s="7"/>
      <c r="D2511" s="7"/>
      <c r="E2511" s="7">
        <v>624752</v>
      </c>
      <c r="F2511" s="7"/>
      <c r="G2511" s="7" t="s">
        <v>1287</v>
      </c>
      <c r="H2511" s="7"/>
      <c r="I2511" s="27" t="s">
        <v>133</v>
      </c>
      <c r="J2511" s="7"/>
      <c r="K2511" s="27" t="s">
        <v>2208</v>
      </c>
      <c r="L2511" s="7"/>
    </row>
    <row r="2512" spans="1:12" x14ac:dyDescent="0.2">
      <c r="A2512" s="7"/>
      <c r="B2512" s="7"/>
      <c r="C2512" s="7"/>
      <c r="D2512" s="7"/>
      <c r="E2512" s="7">
        <v>624753</v>
      </c>
      <c r="F2512" s="7"/>
      <c r="G2512" s="7" t="s">
        <v>1630</v>
      </c>
      <c r="H2512" s="7"/>
      <c r="I2512" s="27" t="s">
        <v>133</v>
      </c>
      <c r="J2512" s="7"/>
      <c r="K2512" s="27" t="s">
        <v>2208</v>
      </c>
      <c r="L2512" s="7"/>
    </row>
    <row r="2513" spans="1:12" x14ac:dyDescent="0.2">
      <c r="A2513" s="7"/>
      <c r="B2513" s="7"/>
      <c r="C2513" s="7"/>
      <c r="D2513" s="7"/>
      <c r="E2513" s="7">
        <v>624754</v>
      </c>
      <c r="F2513" s="7"/>
      <c r="G2513" s="7" t="s">
        <v>1631</v>
      </c>
      <c r="H2513" s="7"/>
      <c r="I2513" s="27" t="s">
        <v>133</v>
      </c>
      <c r="J2513" s="7"/>
      <c r="K2513" s="27" t="s">
        <v>2208</v>
      </c>
      <c r="L2513" s="7"/>
    </row>
    <row r="2514" spans="1:12" x14ac:dyDescent="0.2">
      <c r="A2514" s="7"/>
      <c r="B2514" s="7"/>
      <c r="C2514" s="7"/>
      <c r="D2514" s="7"/>
      <c r="E2514" s="7">
        <v>624755</v>
      </c>
      <c r="F2514" s="7"/>
      <c r="G2514" s="7" t="s">
        <v>1302</v>
      </c>
      <c r="H2514" s="7"/>
      <c r="I2514" s="27" t="s">
        <v>133</v>
      </c>
      <c r="J2514" s="7"/>
      <c r="K2514" s="27" t="s">
        <v>2208</v>
      </c>
      <c r="L2514" s="7"/>
    </row>
    <row r="2515" spans="1:12" x14ac:dyDescent="0.2">
      <c r="A2515" s="7"/>
      <c r="B2515" s="7"/>
      <c r="C2515" s="7"/>
      <c r="D2515" s="7"/>
      <c r="E2515" s="7">
        <v>624756</v>
      </c>
      <c r="F2515" s="7"/>
      <c r="G2515" s="7" t="s">
        <v>1632</v>
      </c>
      <c r="H2515" s="7"/>
      <c r="I2515" s="27" t="s">
        <v>133</v>
      </c>
      <c r="J2515" s="7"/>
      <c r="K2515" s="27" t="s">
        <v>2208</v>
      </c>
      <c r="L2515" s="7"/>
    </row>
    <row r="2516" spans="1:12" x14ac:dyDescent="0.2">
      <c r="A2516" s="7"/>
      <c r="B2516" s="7"/>
      <c r="C2516" s="7"/>
      <c r="D2516" s="7"/>
      <c r="E2516" s="7">
        <v>624757</v>
      </c>
      <c r="F2516" s="7"/>
      <c r="G2516" s="7" t="s">
        <v>1633</v>
      </c>
      <c r="H2516" s="7"/>
      <c r="I2516" s="27" t="s">
        <v>133</v>
      </c>
      <c r="J2516" s="7"/>
      <c r="K2516" s="27" t="s">
        <v>2208</v>
      </c>
      <c r="L2516" s="7"/>
    </row>
    <row r="2517" spans="1:12" x14ac:dyDescent="0.2">
      <c r="A2517" s="7"/>
      <c r="B2517" s="7"/>
      <c r="C2517" s="7"/>
      <c r="D2517" s="7"/>
      <c r="E2517" s="7">
        <v>624758</v>
      </c>
      <c r="F2517" s="7"/>
      <c r="G2517" s="7" t="s">
        <v>1289</v>
      </c>
      <c r="H2517" s="7"/>
      <c r="I2517" s="27" t="s">
        <v>133</v>
      </c>
      <c r="J2517" s="7"/>
      <c r="K2517" s="27" t="s">
        <v>2208</v>
      </c>
      <c r="L2517" s="7"/>
    </row>
    <row r="2518" spans="1:12" x14ac:dyDescent="0.2">
      <c r="A2518" s="7"/>
      <c r="B2518" s="7"/>
      <c r="C2518" s="7"/>
      <c r="D2518" s="7"/>
      <c r="E2518" s="7">
        <v>624759</v>
      </c>
      <c r="F2518" s="7"/>
      <c r="G2518" s="7" t="s">
        <v>1634</v>
      </c>
      <c r="H2518" s="7"/>
      <c r="I2518" s="27" t="s">
        <v>133</v>
      </c>
      <c r="J2518" s="7"/>
      <c r="K2518" s="27" t="s">
        <v>2208</v>
      </c>
      <c r="L2518" s="7"/>
    </row>
    <row r="2519" spans="1:12" x14ac:dyDescent="0.2">
      <c r="A2519" s="7"/>
      <c r="B2519" s="7"/>
      <c r="C2519" s="7"/>
      <c r="D2519" s="7"/>
      <c r="E2519" s="7">
        <v>624760</v>
      </c>
      <c r="F2519" s="7"/>
      <c r="G2519" s="7" t="s">
        <v>1915</v>
      </c>
      <c r="H2519" s="7"/>
      <c r="I2519" s="27" t="s">
        <v>133</v>
      </c>
      <c r="J2519" s="7"/>
      <c r="K2519" s="27" t="s">
        <v>2208</v>
      </c>
      <c r="L2519" s="7"/>
    </row>
    <row r="2520" spans="1:12" x14ac:dyDescent="0.2">
      <c r="A2520" s="7"/>
      <c r="B2520" s="7"/>
      <c r="C2520" s="7"/>
      <c r="D2520" s="7"/>
      <c r="E2520" s="7">
        <v>624761</v>
      </c>
      <c r="F2520" s="7"/>
      <c r="G2520" s="7" t="s">
        <v>1123</v>
      </c>
      <c r="H2520" s="7"/>
      <c r="I2520" s="27" t="s">
        <v>71</v>
      </c>
      <c r="J2520" s="7"/>
      <c r="K2520" s="27" t="s">
        <v>2208</v>
      </c>
      <c r="L2520" s="7"/>
    </row>
    <row r="2521" spans="1:12" x14ac:dyDescent="0.2">
      <c r="A2521" s="7"/>
      <c r="B2521" s="7"/>
      <c r="C2521" s="7"/>
      <c r="D2521" s="7"/>
      <c r="E2521" s="7">
        <v>624762</v>
      </c>
      <c r="F2521" s="7"/>
      <c r="G2521" s="7" t="s">
        <v>1021</v>
      </c>
      <c r="H2521" s="7"/>
      <c r="I2521" s="27" t="s">
        <v>133</v>
      </c>
      <c r="J2521" s="7"/>
      <c r="K2521" s="27" t="s">
        <v>2208</v>
      </c>
      <c r="L2521" s="7"/>
    </row>
    <row r="2522" spans="1:12" x14ac:dyDescent="0.2">
      <c r="A2522" s="7"/>
      <c r="B2522" s="7"/>
      <c r="C2522" s="7"/>
      <c r="D2522" s="7"/>
      <c r="E2522" s="7">
        <v>624763</v>
      </c>
      <c r="F2522" s="7"/>
      <c r="G2522" s="7" t="s">
        <v>1022</v>
      </c>
      <c r="H2522" s="7"/>
      <c r="I2522" s="27" t="s">
        <v>133</v>
      </c>
      <c r="J2522" s="7"/>
      <c r="K2522" s="27" t="s">
        <v>2208</v>
      </c>
      <c r="L2522" s="7"/>
    </row>
    <row r="2523" spans="1:12" x14ac:dyDescent="0.2">
      <c r="A2523" s="7"/>
      <c r="B2523" s="7"/>
      <c r="C2523" s="7"/>
      <c r="D2523" s="7"/>
      <c r="E2523" s="7">
        <v>624764</v>
      </c>
      <c r="F2523" s="7"/>
      <c r="G2523" s="7" t="s">
        <v>1023</v>
      </c>
      <c r="H2523" s="7"/>
      <c r="I2523" s="27" t="s">
        <v>133</v>
      </c>
      <c r="J2523" s="7"/>
      <c r="K2523" s="27" t="s">
        <v>2208</v>
      </c>
      <c r="L2523" s="7"/>
    </row>
    <row r="2524" spans="1:12" x14ac:dyDescent="0.2">
      <c r="A2524" s="7"/>
      <c r="B2524" s="7"/>
      <c r="C2524" s="7"/>
      <c r="D2524" s="7"/>
      <c r="E2524" s="7">
        <v>624765</v>
      </c>
      <c r="F2524" s="7"/>
      <c r="G2524" s="7" t="s">
        <v>1024</v>
      </c>
      <c r="H2524" s="7"/>
      <c r="I2524" s="27" t="s">
        <v>133</v>
      </c>
      <c r="J2524" s="7"/>
      <c r="K2524" s="27" t="s">
        <v>2208</v>
      </c>
      <c r="L2524" s="7"/>
    </row>
    <row r="2525" spans="1:12" x14ac:dyDescent="0.2">
      <c r="A2525" s="7"/>
      <c r="B2525" s="7"/>
      <c r="C2525" s="7"/>
      <c r="D2525" s="7"/>
      <c r="E2525" s="7">
        <v>624766</v>
      </c>
      <c r="F2525" s="7"/>
      <c r="G2525" s="7" t="s">
        <v>1025</v>
      </c>
      <c r="H2525" s="7"/>
      <c r="I2525" s="27" t="s">
        <v>133</v>
      </c>
      <c r="J2525" s="7"/>
      <c r="K2525" s="27" t="s">
        <v>2208</v>
      </c>
      <c r="L2525" s="7"/>
    </row>
    <row r="2526" spans="1:12" x14ac:dyDescent="0.2">
      <c r="A2526" s="7"/>
      <c r="B2526" s="7"/>
      <c r="C2526" s="7"/>
      <c r="D2526" s="7"/>
      <c r="E2526" s="7">
        <v>624767</v>
      </c>
      <c r="F2526" s="7"/>
      <c r="G2526" s="7" t="s">
        <v>1636</v>
      </c>
      <c r="H2526" s="7"/>
      <c r="I2526" s="27" t="s">
        <v>133</v>
      </c>
      <c r="J2526" s="7"/>
      <c r="K2526" s="27" t="s">
        <v>2208</v>
      </c>
      <c r="L2526" s="7"/>
    </row>
    <row r="2527" spans="1:12" x14ac:dyDescent="0.2">
      <c r="A2527" s="7"/>
      <c r="B2527" s="7"/>
      <c r="C2527" s="7"/>
      <c r="D2527" s="7"/>
      <c r="E2527" s="7">
        <v>624768</v>
      </c>
      <c r="F2527" s="7"/>
      <c r="G2527" s="7" t="s">
        <v>1637</v>
      </c>
      <c r="H2527" s="7"/>
      <c r="I2527" s="27" t="s">
        <v>133</v>
      </c>
      <c r="J2527" s="7"/>
      <c r="K2527" s="27" t="s">
        <v>2208</v>
      </c>
      <c r="L2527" s="7"/>
    </row>
    <row r="2528" spans="1:12" x14ac:dyDescent="0.2">
      <c r="A2528" s="7"/>
      <c r="B2528" s="7"/>
      <c r="C2528" s="7"/>
      <c r="D2528" s="7"/>
      <c r="E2528" s="7">
        <v>624769</v>
      </c>
      <c r="F2528" s="7"/>
      <c r="G2528" s="7" t="s">
        <v>1638</v>
      </c>
      <c r="H2528" s="7"/>
      <c r="I2528" s="27" t="s">
        <v>133</v>
      </c>
      <c r="J2528" s="7"/>
      <c r="K2528" s="27" t="s">
        <v>2208</v>
      </c>
      <c r="L2528" s="7"/>
    </row>
    <row r="2529" spans="1:12" x14ac:dyDescent="0.2">
      <c r="A2529" s="7"/>
      <c r="B2529" s="7"/>
      <c r="C2529" s="7"/>
      <c r="D2529" s="7"/>
      <c r="E2529" s="7">
        <v>624770</v>
      </c>
      <c r="F2529" s="7"/>
      <c r="G2529" s="7" t="s">
        <v>1298</v>
      </c>
      <c r="H2529" s="7"/>
      <c r="I2529" s="27" t="s">
        <v>133</v>
      </c>
      <c r="J2529" s="7"/>
      <c r="K2529" s="27" t="s">
        <v>2208</v>
      </c>
      <c r="L2529" s="7"/>
    </row>
    <row r="2530" spans="1:12" x14ac:dyDescent="0.2">
      <c r="A2530" s="7"/>
      <c r="B2530" s="7"/>
      <c r="C2530" s="7"/>
      <c r="D2530" s="7"/>
      <c r="E2530" s="7">
        <v>624771</v>
      </c>
      <c r="F2530" s="7"/>
      <c r="G2530" s="7" t="s">
        <v>1151</v>
      </c>
      <c r="H2530" s="7"/>
      <c r="I2530" s="27" t="s">
        <v>71</v>
      </c>
      <c r="J2530" s="7"/>
      <c r="K2530" s="27" t="s">
        <v>2208</v>
      </c>
      <c r="L2530" s="7"/>
    </row>
    <row r="2531" spans="1:12" x14ac:dyDescent="0.2">
      <c r="A2531" s="7"/>
      <c r="B2531" s="7"/>
      <c r="C2531" s="7"/>
      <c r="D2531" s="7"/>
      <c r="E2531" s="7">
        <v>624772</v>
      </c>
      <c r="F2531" s="7"/>
      <c r="G2531" s="7" t="s">
        <v>1152</v>
      </c>
      <c r="H2531" s="7"/>
      <c r="I2531" s="27" t="s">
        <v>71</v>
      </c>
      <c r="J2531" s="7"/>
      <c r="K2531" s="27" t="s">
        <v>2208</v>
      </c>
      <c r="L2531" s="7"/>
    </row>
    <row r="2532" spans="1:12" x14ac:dyDescent="0.2">
      <c r="A2532" s="7"/>
      <c r="B2532" s="7"/>
      <c r="C2532" s="7"/>
      <c r="D2532" s="7"/>
      <c r="E2532" s="7">
        <v>624773</v>
      </c>
      <c r="F2532" s="7"/>
      <c r="G2532" s="7" t="s">
        <v>1153</v>
      </c>
      <c r="H2532" s="7"/>
      <c r="I2532" s="27" t="s">
        <v>71</v>
      </c>
      <c r="J2532" s="7"/>
      <c r="K2532" s="27" t="s">
        <v>2208</v>
      </c>
      <c r="L2532" s="7"/>
    </row>
    <row r="2533" spans="1:12" x14ac:dyDescent="0.2">
      <c r="A2533" s="7"/>
      <c r="B2533" s="7"/>
      <c r="C2533" s="7"/>
      <c r="D2533" s="7"/>
      <c r="E2533" s="7">
        <v>624774</v>
      </c>
      <c r="F2533" s="7"/>
      <c r="G2533" s="7" t="s">
        <v>1154</v>
      </c>
      <c r="H2533" s="7"/>
      <c r="I2533" s="27" t="s">
        <v>71</v>
      </c>
      <c r="J2533" s="7"/>
      <c r="K2533" s="27" t="s">
        <v>2208</v>
      </c>
      <c r="L2533" s="7"/>
    </row>
    <row r="2534" spans="1:12" x14ac:dyDescent="0.2">
      <c r="A2534" s="7"/>
      <c r="B2534" s="7"/>
      <c r="C2534" s="7"/>
      <c r="D2534" s="7"/>
      <c r="E2534" s="7">
        <v>624775</v>
      </c>
      <c r="F2534" s="7"/>
      <c r="G2534" s="7" t="s">
        <v>705</v>
      </c>
      <c r="H2534" s="7"/>
      <c r="I2534" s="27" t="s">
        <v>71</v>
      </c>
      <c r="J2534" s="7"/>
      <c r="K2534" s="27" t="s">
        <v>2208</v>
      </c>
      <c r="L2534" s="7"/>
    </row>
    <row r="2535" spans="1:12" x14ac:dyDescent="0.2">
      <c r="A2535" s="7"/>
      <c r="B2535" s="7"/>
      <c r="C2535" s="7"/>
      <c r="D2535" s="7"/>
      <c r="E2535" s="7">
        <v>624776</v>
      </c>
      <c r="F2535" s="7"/>
      <c r="G2535" s="7" t="s">
        <v>706</v>
      </c>
      <c r="H2535" s="7"/>
      <c r="I2535" s="27" t="s">
        <v>71</v>
      </c>
      <c r="J2535" s="7"/>
      <c r="K2535" s="27" t="s">
        <v>2208</v>
      </c>
      <c r="L2535" s="7"/>
    </row>
    <row r="2536" spans="1:12" x14ac:dyDescent="0.2">
      <c r="A2536" s="7"/>
      <c r="B2536" s="7"/>
      <c r="C2536" s="7"/>
      <c r="D2536" s="7"/>
      <c r="E2536" s="7">
        <v>624777</v>
      </c>
      <c r="F2536" s="7"/>
      <c r="G2536" s="7" t="s">
        <v>707</v>
      </c>
      <c r="H2536" s="7"/>
      <c r="I2536" s="27" t="s">
        <v>71</v>
      </c>
      <c r="J2536" s="7"/>
      <c r="K2536" s="27" t="s">
        <v>2208</v>
      </c>
      <c r="L2536" s="7"/>
    </row>
    <row r="2537" spans="1:12" x14ac:dyDescent="0.2">
      <c r="A2537" s="7"/>
      <c r="B2537" s="7"/>
      <c r="C2537" s="7"/>
      <c r="D2537" s="7"/>
      <c r="E2537" s="7">
        <v>624778</v>
      </c>
      <c r="F2537" s="7"/>
      <c r="G2537" s="7" t="s">
        <v>708</v>
      </c>
      <c r="H2537" s="7"/>
      <c r="I2537" s="27" t="s">
        <v>71</v>
      </c>
      <c r="J2537" s="7"/>
      <c r="K2537" s="27" t="s">
        <v>2208</v>
      </c>
      <c r="L2537" s="7"/>
    </row>
    <row r="2538" spans="1:12" x14ac:dyDescent="0.2">
      <c r="A2538" s="7"/>
      <c r="B2538" s="7"/>
      <c r="C2538" s="7"/>
      <c r="D2538" s="7"/>
      <c r="E2538" s="7">
        <v>624779</v>
      </c>
      <c r="F2538" s="7"/>
      <c r="G2538" s="7" t="s">
        <v>1157</v>
      </c>
      <c r="H2538" s="7"/>
      <c r="I2538" s="27" t="s">
        <v>47</v>
      </c>
      <c r="J2538" s="7"/>
      <c r="K2538" s="27" t="s">
        <v>2208</v>
      </c>
      <c r="L2538" s="7"/>
    </row>
    <row r="2539" spans="1:12" x14ac:dyDescent="0.2">
      <c r="A2539" s="7"/>
      <c r="B2539" s="7"/>
      <c r="C2539" s="7"/>
      <c r="D2539" s="7"/>
      <c r="E2539" s="7">
        <v>624780</v>
      </c>
      <c r="F2539" s="7"/>
      <c r="G2539" s="7" t="s">
        <v>1158</v>
      </c>
      <c r="H2539" s="7"/>
      <c r="I2539" s="27" t="s">
        <v>47</v>
      </c>
      <c r="J2539" s="7"/>
      <c r="K2539" s="27" t="s">
        <v>2208</v>
      </c>
      <c r="L2539" s="7"/>
    </row>
    <row r="2540" spans="1:12" x14ac:dyDescent="0.2">
      <c r="A2540" s="7"/>
      <c r="B2540" s="7"/>
      <c r="C2540" s="7"/>
      <c r="D2540" s="7"/>
      <c r="E2540" s="7">
        <v>624781</v>
      </c>
      <c r="F2540" s="7"/>
      <c r="G2540" s="7" t="s">
        <v>1159</v>
      </c>
      <c r="H2540" s="7"/>
      <c r="I2540" s="27" t="s">
        <v>133</v>
      </c>
      <c r="J2540" s="7"/>
      <c r="K2540" s="27" t="s">
        <v>2208</v>
      </c>
      <c r="L2540" s="7"/>
    </row>
    <row r="2541" spans="1:12" x14ac:dyDescent="0.2">
      <c r="A2541" s="7"/>
      <c r="B2541" s="7"/>
      <c r="C2541" s="7"/>
      <c r="D2541" s="7"/>
      <c r="E2541" s="7">
        <v>624782</v>
      </c>
      <c r="F2541" s="7"/>
      <c r="G2541" s="7" t="s">
        <v>1160</v>
      </c>
      <c r="H2541" s="7"/>
      <c r="I2541" s="27" t="s">
        <v>133</v>
      </c>
      <c r="J2541" s="7"/>
      <c r="K2541" s="27" t="s">
        <v>2208</v>
      </c>
      <c r="L2541" s="7"/>
    </row>
    <row r="2542" spans="1:12" x14ac:dyDescent="0.2">
      <c r="A2542" s="7"/>
      <c r="B2542" s="7"/>
      <c r="C2542" s="7"/>
      <c r="D2542" s="7"/>
      <c r="E2542" s="7">
        <v>624783</v>
      </c>
      <c r="F2542" s="7"/>
      <c r="G2542" s="7" t="s">
        <v>728</v>
      </c>
      <c r="H2542" s="7"/>
      <c r="I2542" s="27" t="s">
        <v>47</v>
      </c>
      <c r="J2542" s="7"/>
      <c r="K2542" s="27" t="s">
        <v>2208</v>
      </c>
      <c r="L2542" s="7"/>
    </row>
    <row r="2543" spans="1:12" x14ac:dyDescent="0.2">
      <c r="A2543" s="7"/>
      <c r="B2543" s="7"/>
      <c r="C2543" s="7"/>
      <c r="D2543" s="7"/>
      <c r="E2543" s="7">
        <v>624784</v>
      </c>
      <c r="F2543" s="7"/>
      <c r="G2543" s="7" t="s">
        <v>729</v>
      </c>
      <c r="H2543" s="7"/>
      <c r="I2543" s="27" t="s">
        <v>71</v>
      </c>
      <c r="J2543" s="7"/>
      <c r="K2543" s="27" t="s">
        <v>2208</v>
      </c>
      <c r="L2543" s="7"/>
    </row>
    <row r="2544" spans="1:12" x14ac:dyDescent="0.2">
      <c r="A2544" s="7"/>
      <c r="B2544" s="7"/>
      <c r="C2544" s="7"/>
      <c r="D2544" s="7"/>
      <c r="E2544" s="7">
        <v>624785</v>
      </c>
      <c r="F2544" s="7"/>
      <c r="G2544" s="7" t="s">
        <v>718</v>
      </c>
      <c r="H2544" s="7"/>
      <c r="I2544" s="27" t="s">
        <v>47</v>
      </c>
      <c r="J2544" s="7"/>
      <c r="K2544" s="27" t="s">
        <v>2208</v>
      </c>
      <c r="L2544" s="7"/>
    </row>
    <row r="2545" spans="1:12" x14ac:dyDescent="0.2">
      <c r="A2545" s="7"/>
      <c r="B2545" s="7"/>
      <c r="C2545" s="7"/>
      <c r="D2545" s="7"/>
      <c r="E2545" s="7">
        <v>624786</v>
      </c>
      <c r="F2545" s="7"/>
      <c r="G2545" s="7" t="s">
        <v>719</v>
      </c>
      <c r="H2545" s="7"/>
      <c r="I2545" s="27" t="s">
        <v>47</v>
      </c>
      <c r="J2545" s="7"/>
      <c r="K2545" s="27" t="s">
        <v>2208</v>
      </c>
      <c r="L2545" s="7"/>
    </row>
    <row r="2546" spans="1:12" x14ac:dyDescent="0.2">
      <c r="A2546" s="7"/>
      <c r="B2546" s="7"/>
      <c r="C2546" s="7"/>
      <c r="D2546" s="7"/>
      <c r="E2546" s="7">
        <v>624787</v>
      </c>
      <c r="F2546" s="7"/>
      <c r="G2546" s="7" t="s">
        <v>720</v>
      </c>
      <c r="H2546" s="7"/>
      <c r="I2546" s="27" t="s">
        <v>47</v>
      </c>
      <c r="J2546" s="7"/>
      <c r="K2546" s="27" t="s">
        <v>2208</v>
      </c>
      <c r="L2546" s="7"/>
    </row>
    <row r="2547" spans="1:12" x14ac:dyDescent="0.2">
      <c r="A2547" s="7"/>
      <c r="B2547" s="7"/>
      <c r="C2547" s="7"/>
      <c r="D2547" s="7"/>
      <c r="E2547" s="7">
        <v>624788</v>
      </c>
      <c r="F2547" s="7"/>
      <c r="G2547" s="7" t="s">
        <v>721</v>
      </c>
      <c r="H2547" s="7"/>
      <c r="I2547" s="27" t="s">
        <v>133</v>
      </c>
      <c r="J2547" s="7"/>
      <c r="K2547" s="27" t="s">
        <v>2208</v>
      </c>
      <c r="L2547" s="7"/>
    </row>
    <row r="2548" spans="1:12" x14ac:dyDescent="0.2">
      <c r="A2548" s="7"/>
      <c r="B2548" s="7"/>
      <c r="C2548" s="7"/>
      <c r="D2548" s="7"/>
      <c r="E2548" s="7">
        <v>624789</v>
      </c>
      <c r="F2548" s="7"/>
      <c r="G2548" s="7" t="s">
        <v>722</v>
      </c>
      <c r="H2548" s="7"/>
      <c r="I2548" s="27" t="s">
        <v>133</v>
      </c>
      <c r="J2548" s="7"/>
      <c r="K2548" s="27" t="s">
        <v>2208</v>
      </c>
      <c r="L2548" s="7"/>
    </row>
    <row r="2549" spans="1:12" x14ac:dyDescent="0.2">
      <c r="A2549" s="7"/>
      <c r="B2549" s="7"/>
      <c r="C2549" s="7"/>
      <c r="D2549" s="7"/>
      <c r="E2549" s="7">
        <v>624790</v>
      </c>
      <c r="F2549" s="7"/>
      <c r="G2549" s="7" t="s">
        <v>723</v>
      </c>
      <c r="H2549" s="7"/>
      <c r="I2549" s="27" t="s">
        <v>133</v>
      </c>
      <c r="J2549" s="7"/>
      <c r="K2549" s="27" t="s">
        <v>2208</v>
      </c>
      <c r="L2549" s="7"/>
    </row>
    <row r="2550" spans="1:12" x14ac:dyDescent="0.2">
      <c r="A2550" s="7"/>
      <c r="B2550" s="7"/>
      <c r="C2550" s="7"/>
      <c r="D2550" s="7"/>
      <c r="E2550" s="7">
        <v>624791</v>
      </c>
      <c r="F2550" s="7"/>
      <c r="G2550" s="7" t="s">
        <v>1162</v>
      </c>
      <c r="H2550" s="7"/>
      <c r="I2550" s="27" t="s">
        <v>47</v>
      </c>
      <c r="J2550" s="7"/>
      <c r="K2550" s="27" t="s">
        <v>2208</v>
      </c>
      <c r="L2550" s="7"/>
    </row>
    <row r="2551" spans="1:12" x14ac:dyDescent="0.2">
      <c r="A2551" s="7"/>
      <c r="B2551" s="7"/>
      <c r="C2551" s="7"/>
      <c r="D2551" s="7"/>
      <c r="E2551" s="7">
        <v>624792</v>
      </c>
      <c r="F2551" s="7"/>
      <c r="G2551" s="7" t="s">
        <v>1163</v>
      </c>
      <c r="H2551" s="7"/>
      <c r="I2551" s="27" t="s">
        <v>47</v>
      </c>
      <c r="J2551" s="7"/>
      <c r="K2551" s="27" t="s">
        <v>2208</v>
      </c>
      <c r="L2551" s="7"/>
    </row>
    <row r="2552" spans="1:12" x14ac:dyDescent="0.2">
      <c r="A2552" s="7"/>
      <c r="B2552" s="7"/>
      <c r="C2552" s="7"/>
      <c r="D2552" s="7"/>
      <c r="E2552" s="7">
        <v>624793</v>
      </c>
      <c r="F2552" s="7"/>
      <c r="G2552" s="7" t="s">
        <v>1164</v>
      </c>
      <c r="H2552" s="7"/>
      <c r="I2552" s="27" t="s">
        <v>47</v>
      </c>
      <c r="J2552" s="7"/>
      <c r="K2552" s="27" t="s">
        <v>2208</v>
      </c>
      <c r="L2552" s="7"/>
    </row>
    <row r="2553" spans="1:12" x14ac:dyDescent="0.2">
      <c r="A2553" s="7"/>
      <c r="B2553" s="7"/>
      <c r="C2553" s="7"/>
      <c r="D2553" s="7"/>
      <c r="E2553" s="7">
        <v>624794</v>
      </c>
      <c r="F2553" s="7"/>
      <c r="G2553" s="7" t="s">
        <v>1165</v>
      </c>
      <c r="H2553" s="7"/>
      <c r="I2553" s="27" t="s">
        <v>47</v>
      </c>
      <c r="J2553" s="7"/>
      <c r="K2553" s="27" t="s">
        <v>2208</v>
      </c>
      <c r="L2553" s="7"/>
    </row>
    <row r="2554" spans="1:12" x14ac:dyDescent="0.2">
      <c r="A2554" s="7"/>
      <c r="B2554" s="7"/>
      <c r="C2554" s="7"/>
      <c r="D2554" s="7"/>
      <c r="E2554" s="7">
        <v>624795</v>
      </c>
      <c r="F2554" s="7"/>
      <c r="G2554" s="7" t="s">
        <v>1166</v>
      </c>
      <c r="H2554" s="7"/>
      <c r="I2554" s="27" t="s">
        <v>133</v>
      </c>
      <c r="J2554" s="7"/>
      <c r="K2554" s="27" t="s">
        <v>2208</v>
      </c>
      <c r="L2554" s="7"/>
    </row>
    <row r="2555" spans="1:12" x14ac:dyDescent="0.2">
      <c r="A2555" s="7"/>
      <c r="B2555" s="7"/>
      <c r="C2555" s="7"/>
      <c r="D2555" s="7"/>
      <c r="E2555" s="7">
        <v>624796</v>
      </c>
      <c r="F2555" s="7"/>
      <c r="G2555" s="7" t="s">
        <v>1167</v>
      </c>
      <c r="H2555" s="7"/>
      <c r="I2555" s="27" t="s">
        <v>133</v>
      </c>
      <c r="J2555" s="7"/>
      <c r="K2555" s="27" t="s">
        <v>2208</v>
      </c>
      <c r="L2555" s="7"/>
    </row>
    <row r="2556" spans="1:12" x14ac:dyDescent="0.2">
      <c r="A2556" s="7"/>
      <c r="B2556" s="7"/>
      <c r="C2556" s="7"/>
      <c r="D2556" s="7"/>
      <c r="E2556" s="7">
        <v>624800</v>
      </c>
      <c r="F2556" s="7"/>
      <c r="G2556" s="7" t="s">
        <v>815</v>
      </c>
      <c r="H2556" s="7"/>
      <c r="I2556" s="27" t="s">
        <v>47</v>
      </c>
      <c r="J2556" s="7"/>
      <c r="K2556" s="27" t="s">
        <v>2208</v>
      </c>
      <c r="L2556" s="7"/>
    </row>
    <row r="2557" spans="1:12" x14ac:dyDescent="0.2">
      <c r="A2557" s="7"/>
      <c r="B2557" s="7"/>
      <c r="C2557" s="7"/>
      <c r="D2557" s="7"/>
      <c r="E2557" s="7">
        <v>624801</v>
      </c>
      <c r="F2557" s="7"/>
      <c r="G2557" s="7" t="s">
        <v>816</v>
      </c>
      <c r="H2557" s="7"/>
      <c r="I2557" s="27" t="s">
        <v>47</v>
      </c>
      <c r="J2557" s="7"/>
      <c r="K2557" s="27" t="s">
        <v>2208</v>
      </c>
      <c r="L2557" s="7"/>
    </row>
    <row r="2558" spans="1:12" x14ac:dyDescent="0.2">
      <c r="A2558" s="7"/>
      <c r="B2558" s="7"/>
      <c r="C2558" s="7"/>
      <c r="D2558" s="7"/>
      <c r="E2558" s="7">
        <v>624802</v>
      </c>
      <c r="F2558" s="7"/>
      <c r="G2558" s="7" t="s">
        <v>817</v>
      </c>
      <c r="H2558" s="7"/>
      <c r="I2558" s="27" t="s">
        <v>47</v>
      </c>
      <c r="J2558" s="7"/>
      <c r="K2558" s="27" t="s">
        <v>2208</v>
      </c>
      <c r="L2558" s="7"/>
    </row>
    <row r="2559" spans="1:12" x14ac:dyDescent="0.2">
      <c r="A2559" s="7"/>
      <c r="B2559" s="7"/>
      <c r="C2559" s="7"/>
      <c r="D2559" s="7"/>
      <c r="E2559" s="7">
        <v>624803</v>
      </c>
      <c r="F2559" s="7"/>
      <c r="G2559" s="7" t="s">
        <v>818</v>
      </c>
      <c r="H2559" s="7"/>
      <c r="I2559" s="27" t="s">
        <v>47</v>
      </c>
      <c r="J2559" s="7"/>
      <c r="K2559" s="27" t="s">
        <v>2208</v>
      </c>
      <c r="L2559" s="7"/>
    </row>
    <row r="2560" spans="1:12" x14ac:dyDescent="0.2">
      <c r="A2560" s="7"/>
      <c r="B2560" s="7"/>
      <c r="C2560" s="7"/>
      <c r="D2560" s="7"/>
      <c r="E2560" s="7">
        <v>624804</v>
      </c>
      <c r="F2560" s="7"/>
      <c r="G2560" s="7" t="s">
        <v>819</v>
      </c>
      <c r="H2560" s="7"/>
      <c r="I2560" s="27" t="s">
        <v>47</v>
      </c>
      <c r="J2560" s="7"/>
      <c r="K2560" s="27" t="s">
        <v>2208</v>
      </c>
      <c r="L2560" s="7"/>
    </row>
    <row r="2561" spans="1:12" x14ac:dyDescent="0.2">
      <c r="A2561" s="7"/>
      <c r="B2561" s="7"/>
      <c r="C2561" s="7"/>
      <c r="D2561" s="7"/>
      <c r="E2561" s="7">
        <v>624805</v>
      </c>
      <c r="F2561" s="7"/>
      <c r="G2561" s="7" t="s">
        <v>820</v>
      </c>
      <c r="H2561" s="7"/>
      <c r="I2561" s="27" t="s">
        <v>133</v>
      </c>
      <c r="J2561" s="7"/>
      <c r="K2561" s="27" t="s">
        <v>2208</v>
      </c>
      <c r="L2561" s="7"/>
    </row>
    <row r="2562" spans="1:12" x14ac:dyDescent="0.2">
      <c r="A2562" s="7"/>
      <c r="B2562" s="7"/>
      <c r="C2562" s="7"/>
      <c r="D2562" s="7"/>
      <c r="E2562" s="7">
        <v>624806</v>
      </c>
      <c r="F2562" s="7"/>
      <c r="G2562" s="7" t="s">
        <v>821</v>
      </c>
      <c r="H2562" s="7"/>
      <c r="I2562" s="27" t="s">
        <v>133</v>
      </c>
      <c r="J2562" s="7"/>
      <c r="K2562" s="27" t="s">
        <v>2208</v>
      </c>
      <c r="L2562" s="7"/>
    </row>
    <row r="2563" spans="1:12" x14ac:dyDescent="0.2">
      <c r="A2563" s="7"/>
      <c r="B2563" s="7"/>
      <c r="C2563" s="7"/>
      <c r="D2563" s="7"/>
      <c r="E2563" s="7">
        <v>624807</v>
      </c>
      <c r="F2563" s="7"/>
      <c r="G2563" s="7" t="s">
        <v>822</v>
      </c>
      <c r="H2563" s="7"/>
      <c r="I2563" s="27" t="s">
        <v>133</v>
      </c>
      <c r="J2563" s="7"/>
      <c r="K2563" s="27" t="s">
        <v>2208</v>
      </c>
      <c r="L2563" s="7"/>
    </row>
    <row r="2564" spans="1:12" x14ac:dyDescent="0.2">
      <c r="A2564" s="7"/>
      <c r="B2564" s="7"/>
      <c r="C2564" s="7"/>
      <c r="D2564" s="7"/>
      <c r="E2564" s="7">
        <v>624808</v>
      </c>
      <c r="F2564" s="7"/>
      <c r="G2564" s="7" t="s">
        <v>823</v>
      </c>
      <c r="H2564" s="7"/>
      <c r="I2564" s="27" t="s">
        <v>133</v>
      </c>
      <c r="J2564" s="7"/>
      <c r="K2564" s="27" t="s">
        <v>2208</v>
      </c>
      <c r="L2564" s="7"/>
    </row>
    <row r="2565" spans="1:12" x14ac:dyDescent="0.2">
      <c r="A2565" s="7"/>
      <c r="B2565" s="7"/>
      <c r="C2565" s="7"/>
      <c r="D2565" s="7"/>
      <c r="E2565" s="7">
        <v>624809</v>
      </c>
      <c r="F2565" s="7"/>
      <c r="G2565" s="7" t="s">
        <v>824</v>
      </c>
      <c r="H2565" s="7"/>
      <c r="I2565" s="27" t="s">
        <v>133</v>
      </c>
      <c r="J2565" s="7"/>
      <c r="K2565" s="27" t="s">
        <v>2208</v>
      </c>
      <c r="L2565" s="7"/>
    </row>
    <row r="2566" spans="1:12" x14ac:dyDescent="0.2">
      <c r="A2566" s="7"/>
      <c r="B2566" s="7"/>
      <c r="C2566" s="7"/>
      <c r="D2566" s="7"/>
      <c r="E2566" s="7">
        <v>624811</v>
      </c>
      <c r="F2566" s="7"/>
      <c r="G2566" s="7" t="s">
        <v>1168</v>
      </c>
      <c r="H2566" s="7"/>
      <c r="I2566" s="27" t="s">
        <v>47</v>
      </c>
      <c r="J2566" s="7"/>
      <c r="K2566" s="27" t="s">
        <v>2208</v>
      </c>
      <c r="L2566" s="7"/>
    </row>
    <row r="2567" spans="1:12" x14ac:dyDescent="0.2">
      <c r="A2567" s="7"/>
      <c r="B2567" s="7"/>
      <c r="C2567" s="7"/>
      <c r="D2567" s="7"/>
      <c r="E2567" s="7">
        <v>624812</v>
      </c>
      <c r="F2567" s="7"/>
      <c r="G2567" s="7" t="s">
        <v>1169</v>
      </c>
      <c r="H2567" s="7"/>
      <c r="I2567" s="27" t="s">
        <v>47</v>
      </c>
      <c r="J2567" s="7"/>
      <c r="K2567" s="27" t="s">
        <v>2208</v>
      </c>
      <c r="L2567" s="7"/>
    </row>
    <row r="2568" spans="1:12" x14ac:dyDescent="0.2">
      <c r="A2568" s="7"/>
      <c r="B2568" s="7"/>
      <c r="C2568" s="7"/>
      <c r="D2568" s="7"/>
      <c r="E2568" s="7">
        <v>624813</v>
      </c>
      <c r="F2568" s="7"/>
      <c r="G2568" s="7" t="s">
        <v>1170</v>
      </c>
      <c r="H2568" s="7"/>
      <c r="I2568" s="27" t="s">
        <v>47</v>
      </c>
      <c r="J2568" s="7"/>
      <c r="K2568" s="27" t="s">
        <v>2208</v>
      </c>
      <c r="L2568" s="7"/>
    </row>
    <row r="2569" spans="1:12" x14ac:dyDescent="0.2">
      <c r="A2569" s="7"/>
      <c r="B2569" s="7"/>
      <c r="C2569" s="7"/>
      <c r="D2569" s="7"/>
      <c r="E2569" s="7">
        <v>624814</v>
      </c>
      <c r="F2569" s="7"/>
      <c r="G2569" s="7" t="s">
        <v>1171</v>
      </c>
      <c r="H2569" s="7"/>
      <c r="I2569" s="27" t="s">
        <v>133</v>
      </c>
      <c r="J2569" s="7"/>
      <c r="K2569" s="27" t="s">
        <v>2208</v>
      </c>
      <c r="L2569" s="7"/>
    </row>
    <row r="2570" spans="1:12" x14ac:dyDescent="0.2">
      <c r="A2570" s="7"/>
      <c r="B2570" s="7"/>
      <c r="C2570" s="7"/>
      <c r="D2570" s="7"/>
      <c r="E2570" s="7">
        <v>624815</v>
      </c>
      <c r="F2570" s="7"/>
      <c r="G2570" s="7" t="s">
        <v>1172</v>
      </c>
      <c r="H2570" s="7"/>
      <c r="I2570" s="27" t="s">
        <v>133</v>
      </c>
      <c r="J2570" s="7"/>
      <c r="K2570" s="27" t="s">
        <v>2208</v>
      </c>
      <c r="L2570" s="7"/>
    </row>
    <row r="2571" spans="1:12" x14ac:dyDescent="0.2">
      <c r="A2571" s="7"/>
      <c r="B2571" s="7"/>
      <c r="C2571" s="7"/>
      <c r="D2571" s="7"/>
      <c r="E2571" s="7">
        <v>624816</v>
      </c>
      <c r="F2571" s="7"/>
      <c r="G2571" s="7" t="s">
        <v>1173</v>
      </c>
      <c r="H2571" s="7"/>
      <c r="I2571" s="27" t="s">
        <v>133</v>
      </c>
      <c r="J2571" s="7"/>
      <c r="K2571" s="27" t="s">
        <v>2208</v>
      </c>
      <c r="L2571" s="7"/>
    </row>
    <row r="2572" spans="1:12" x14ac:dyDescent="0.2">
      <c r="A2572" s="7"/>
      <c r="B2572" s="7"/>
      <c r="C2572" s="7"/>
      <c r="D2572" s="7"/>
      <c r="E2572" s="7">
        <v>624817</v>
      </c>
      <c r="F2572" s="7"/>
      <c r="G2572" s="7" t="s">
        <v>1916</v>
      </c>
      <c r="H2572" s="7"/>
      <c r="I2572" s="27" t="s">
        <v>71</v>
      </c>
      <c r="J2572" s="7"/>
      <c r="K2572" s="27" t="s">
        <v>2208</v>
      </c>
      <c r="L2572" s="7"/>
    </row>
    <row r="2573" spans="1:12" x14ac:dyDescent="0.2">
      <c r="A2573" s="7"/>
      <c r="B2573" s="7"/>
      <c r="C2573" s="7"/>
      <c r="D2573" s="7"/>
      <c r="E2573" s="7">
        <v>624818</v>
      </c>
      <c r="F2573" s="7"/>
      <c r="G2573" s="7" t="s">
        <v>1917</v>
      </c>
      <c r="H2573" s="7"/>
      <c r="I2573" s="27" t="s">
        <v>71</v>
      </c>
      <c r="J2573" s="7"/>
      <c r="K2573" s="27" t="s">
        <v>2208</v>
      </c>
      <c r="L2573" s="7"/>
    </row>
    <row r="2574" spans="1:12" x14ac:dyDescent="0.2">
      <c r="A2574" s="7"/>
      <c r="B2574" s="7"/>
      <c r="C2574" s="7"/>
      <c r="D2574" s="7"/>
      <c r="E2574" s="7">
        <v>624819</v>
      </c>
      <c r="F2574" s="7"/>
      <c r="G2574" s="7" t="s">
        <v>1918</v>
      </c>
      <c r="H2574" s="7"/>
      <c r="I2574" s="27" t="s">
        <v>71</v>
      </c>
      <c r="J2574" s="7"/>
      <c r="K2574" s="27" t="s">
        <v>2208</v>
      </c>
      <c r="L2574" s="7"/>
    </row>
    <row r="2575" spans="1:12" x14ac:dyDescent="0.2">
      <c r="A2575" s="7"/>
      <c r="B2575" s="7"/>
      <c r="C2575" s="7"/>
      <c r="D2575" s="7"/>
      <c r="E2575" s="7">
        <v>624820</v>
      </c>
      <c r="F2575" s="7"/>
      <c r="G2575" s="7" t="s">
        <v>1919</v>
      </c>
      <c r="H2575" s="7"/>
      <c r="I2575" s="27" t="s">
        <v>71</v>
      </c>
      <c r="J2575" s="7"/>
      <c r="K2575" s="27" t="s">
        <v>2208</v>
      </c>
      <c r="L2575" s="7"/>
    </row>
    <row r="2576" spans="1:12" x14ac:dyDescent="0.2">
      <c r="A2576" s="7"/>
      <c r="B2576" s="7"/>
      <c r="C2576" s="7"/>
      <c r="D2576" s="7"/>
      <c r="E2576" s="7">
        <v>624821</v>
      </c>
      <c r="F2576" s="7"/>
      <c r="G2576" s="7" t="s">
        <v>1643</v>
      </c>
      <c r="H2576" s="7"/>
      <c r="I2576" s="27" t="s">
        <v>47</v>
      </c>
      <c r="J2576" s="7"/>
      <c r="K2576" s="27" t="s">
        <v>2208</v>
      </c>
      <c r="L2576" s="7"/>
    </row>
    <row r="2577" spans="1:12" x14ac:dyDescent="0.2">
      <c r="A2577" s="7"/>
      <c r="B2577" s="7"/>
      <c r="C2577" s="7"/>
      <c r="D2577" s="7"/>
      <c r="E2577" s="7">
        <v>624822</v>
      </c>
      <c r="F2577" s="7"/>
      <c r="G2577" s="7" t="s">
        <v>1644</v>
      </c>
      <c r="H2577" s="7"/>
      <c r="I2577" s="27" t="s">
        <v>71</v>
      </c>
      <c r="J2577" s="7"/>
      <c r="K2577" s="27" t="s">
        <v>2208</v>
      </c>
      <c r="L2577" s="7"/>
    </row>
    <row r="2578" spans="1:12" x14ac:dyDescent="0.2">
      <c r="A2578" s="7"/>
      <c r="B2578" s="7"/>
      <c r="C2578" s="7"/>
      <c r="D2578" s="7"/>
      <c r="E2578" s="7">
        <v>624823</v>
      </c>
      <c r="F2578" s="7"/>
      <c r="G2578" s="7" t="s">
        <v>1645</v>
      </c>
      <c r="H2578" s="7"/>
      <c r="I2578" s="27" t="s">
        <v>71</v>
      </c>
      <c r="J2578" s="7"/>
      <c r="K2578" s="27" t="s">
        <v>2208</v>
      </c>
      <c r="L2578" s="7"/>
    </row>
    <row r="2579" spans="1:12" x14ac:dyDescent="0.2">
      <c r="A2579" s="7"/>
      <c r="B2579" s="7"/>
      <c r="C2579" s="7"/>
      <c r="D2579" s="7"/>
      <c r="E2579" s="7">
        <v>624824</v>
      </c>
      <c r="F2579" s="7"/>
      <c r="G2579" s="7" t="s">
        <v>1646</v>
      </c>
      <c r="H2579" s="7"/>
      <c r="I2579" s="27" t="s">
        <v>71</v>
      </c>
      <c r="J2579" s="7"/>
      <c r="K2579" s="27" t="s">
        <v>2208</v>
      </c>
      <c r="L2579" s="7"/>
    </row>
    <row r="2580" spans="1:12" x14ac:dyDescent="0.2">
      <c r="A2580" s="7"/>
      <c r="B2580" s="7"/>
      <c r="C2580" s="7"/>
      <c r="D2580" s="7"/>
      <c r="E2580" s="7">
        <v>624825</v>
      </c>
      <c r="F2580" s="7"/>
      <c r="G2580" s="7" t="s">
        <v>1647</v>
      </c>
      <c r="H2580" s="7"/>
      <c r="I2580" s="27" t="s">
        <v>47</v>
      </c>
      <c r="J2580" s="7"/>
      <c r="K2580" s="27" t="s">
        <v>2208</v>
      </c>
      <c r="L2580" s="7"/>
    </row>
    <row r="2581" spans="1:12" x14ac:dyDescent="0.2">
      <c r="A2581" s="7"/>
      <c r="B2581" s="7"/>
      <c r="C2581" s="7"/>
      <c r="D2581" s="7"/>
      <c r="E2581" s="7">
        <v>624826</v>
      </c>
      <c r="F2581" s="7"/>
      <c r="G2581" s="7" t="s">
        <v>1920</v>
      </c>
      <c r="H2581" s="7"/>
      <c r="I2581" s="27" t="s">
        <v>133</v>
      </c>
      <c r="J2581" s="7"/>
      <c r="K2581" s="27" t="s">
        <v>2208</v>
      </c>
      <c r="L2581" s="7"/>
    </row>
    <row r="2582" spans="1:12" x14ac:dyDescent="0.2">
      <c r="A2582" s="7"/>
      <c r="B2582" s="7"/>
      <c r="C2582" s="7"/>
      <c r="D2582" s="7"/>
      <c r="E2582" s="7">
        <v>624827</v>
      </c>
      <c r="F2582" s="7"/>
      <c r="G2582" s="7" t="s">
        <v>1921</v>
      </c>
      <c r="H2582" s="7"/>
      <c r="I2582" s="27" t="s">
        <v>133</v>
      </c>
      <c r="J2582" s="7"/>
      <c r="K2582" s="27" t="s">
        <v>2208</v>
      </c>
      <c r="L2582" s="7"/>
    </row>
    <row r="2583" spans="1:12" x14ac:dyDescent="0.2">
      <c r="A2583" s="7"/>
      <c r="B2583" s="7"/>
      <c r="C2583" s="7"/>
      <c r="D2583" s="7"/>
      <c r="E2583" s="7">
        <v>625000</v>
      </c>
      <c r="F2583" s="7"/>
      <c r="G2583" s="7" t="s">
        <v>1210</v>
      </c>
      <c r="H2583" s="7"/>
      <c r="I2583" s="27" t="s">
        <v>133</v>
      </c>
      <c r="J2583" s="7"/>
      <c r="K2583" s="27" t="s">
        <v>2208</v>
      </c>
      <c r="L2583" s="7"/>
    </row>
    <row r="2584" spans="1:12" x14ac:dyDescent="0.2">
      <c r="A2584" s="7"/>
      <c r="B2584" s="7"/>
      <c r="C2584" s="7"/>
      <c r="D2584" s="7"/>
      <c r="E2584" s="7">
        <v>625001</v>
      </c>
      <c r="F2584" s="7"/>
      <c r="G2584" s="7" t="s">
        <v>1211</v>
      </c>
      <c r="H2584" s="7"/>
      <c r="I2584" s="27" t="s">
        <v>133</v>
      </c>
      <c r="J2584" s="7"/>
      <c r="K2584" s="27" t="s">
        <v>2208</v>
      </c>
      <c r="L2584" s="7"/>
    </row>
    <row r="2585" spans="1:12" x14ac:dyDescent="0.2">
      <c r="A2585" s="7"/>
      <c r="B2585" s="7"/>
      <c r="C2585" s="7"/>
      <c r="D2585" s="7"/>
      <c r="E2585" s="7">
        <v>625002</v>
      </c>
      <c r="F2585" s="7"/>
      <c r="G2585" s="7" t="s">
        <v>1212</v>
      </c>
      <c r="H2585" s="7"/>
      <c r="I2585" s="27" t="s">
        <v>133</v>
      </c>
      <c r="J2585" s="7"/>
      <c r="K2585" s="27" t="s">
        <v>2208</v>
      </c>
      <c r="L2585" s="7"/>
    </row>
    <row r="2586" spans="1:12" x14ac:dyDescent="0.2">
      <c r="A2586" s="7"/>
      <c r="B2586" s="7"/>
      <c r="C2586" s="7"/>
      <c r="D2586" s="7"/>
      <c r="E2586" s="7">
        <v>625003</v>
      </c>
      <c r="F2586" s="7"/>
      <c r="G2586" s="7" t="s">
        <v>1213</v>
      </c>
      <c r="H2586" s="7"/>
      <c r="I2586" s="27" t="s">
        <v>133</v>
      </c>
      <c r="J2586" s="7"/>
      <c r="K2586" s="27" t="s">
        <v>2208</v>
      </c>
      <c r="L2586" s="7"/>
    </row>
    <row r="2587" spans="1:12" x14ac:dyDescent="0.2">
      <c r="A2587" s="7"/>
      <c r="B2587" s="7"/>
      <c r="C2587" s="7"/>
      <c r="D2587" s="7"/>
      <c r="E2587" s="7">
        <v>625004</v>
      </c>
      <c r="F2587" s="7"/>
      <c r="G2587" s="7" t="s">
        <v>1214</v>
      </c>
      <c r="H2587" s="7"/>
      <c r="I2587" s="27" t="s">
        <v>133</v>
      </c>
      <c r="J2587" s="7"/>
      <c r="K2587" s="27" t="s">
        <v>2208</v>
      </c>
      <c r="L2587" s="7"/>
    </row>
    <row r="2588" spans="1:12" x14ac:dyDescent="0.2">
      <c r="A2588" s="7"/>
      <c r="B2588" s="7"/>
      <c r="C2588" s="7"/>
      <c r="D2588" s="7"/>
      <c r="E2588" s="7">
        <v>625005</v>
      </c>
      <c r="F2588" s="7"/>
      <c r="G2588" s="7" t="s">
        <v>1215</v>
      </c>
      <c r="H2588" s="7"/>
      <c r="I2588" s="27" t="s">
        <v>133</v>
      </c>
      <c r="J2588" s="7"/>
      <c r="K2588" s="27" t="s">
        <v>2208</v>
      </c>
      <c r="L2588" s="7"/>
    </row>
    <row r="2589" spans="1:12" x14ac:dyDescent="0.2">
      <c r="A2589" s="7"/>
      <c r="B2589" s="7"/>
      <c r="C2589" s="7"/>
      <c r="D2589" s="7"/>
      <c r="E2589" s="7">
        <v>625006</v>
      </c>
      <c r="F2589" s="7"/>
      <c r="G2589" s="7" t="s">
        <v>1228</v>
      </c>
      <c r="H2589" s="7"/>
      <c r="I2589" s="27" t="s">
        <v>47</v>
      </c>
      <c r="J2589" s="7"/>
      <c r="K2589" s="27" t="s">
        <v>2208</v>
      </c>
      <c r="L2589" s="7"/>
    </row>
    <row r="2590" spans="1:12" x14ac:dyDescent="0.2">
      <c r="A2590" s="7"/>
      <c r="B2590" s="7"/>
      <c r="C2590" s="7"/>
      <c r="D2590" s="7"/>
      <c r="E2590" s="7">
        <v>625007</v>
      </c>
      <c r="F2590" s="7"/>
      <c r="G2590" s="7" t="s">
        <v>1229</v>
      </c>
      <c r="H2590" s="7"/>
      <c r="I2590" s="27" t="s">
        <v>47</v>
      </c>
      <c r="J2590" s="7"/>
      <c r="K2590" s="27" t="s">
        <v>2208</v>
      </c>
      <c r="L2590" s="7"/>
    </row>
    <row r="2591" spans="1:12" x14ac:dyDescent="0.2">
      <c r="A2591" s="7"/>
      <c r="B2591" s="7"/>
      <c r="C2591" s="7"/>
      <c r="D2591" s="7"/>
      <c r="E2591" s="7">
        <v>625008</v>
      </c>
      <c r="F2591" s="7"/>
      <c r="G2591" s="7" t="s">
        <v>1230</v>
      </c>
      <c r="H2591" s="7"/>
      <c r="I2591" s="27" t="s">
        <v>47</v>
      </c>
      <c r="J2591" s="7"/>
      <c r="K2591" s="27" t="s">
        <v>2208</v>
      </c>
      <c r="L2591" s="7"/>
    </row>
    <row r="2592" spans="1:12" x14ac:dyDescent="0.2">
      <c r="A2592" s="7"/>
      <c r="B2592" s="7"/>
      <c r="C2592" s="7"/>
      <c r="D2592" s="7"/>
      <c r="E2592" s="7">
        <v>625009</v>
      </c>
      <c r="F2592" s="7"/>
      <c r="G2592" s="7" t="s">
        <v>1231</v>
      </c>
      <c r="H2592" s="7"/>
      <c r="I2592" s="27" t="s">
        <v>47</v>
      </c>
      <c r="J2592" s="7"/>
      <c r="K2592" s="27" t="s">
        <v>2208</v>
      </c>
      <c r="L2592" s="7"/>
    </row>
    <row r="2593" spans="1:12" x14ac:dyDescent="0.2">
      <c r="A2593" s="7"/>
      <c r="B2593" s="7"/>
      <c r="C2593" s="7"/>
      <c r="D2593" s="7"/>
      <c r="E2593" s="7">
        <v>625010</v>
      </c>
      <c r="F2593" s="7"/>
      <c r="G2593" s="7" t="s">
        <v>1232</v>
      </c>
      <c r="H2593" s="7"/>
      <c r="I2593" s="27" t="s">
        <v>47</v>
      </c>
      <c r="J2593" s="7"/>
      <c r="K2593" s="27" t="s">
        <v>2208</v>
      </c>
      <c r="L2593" s="7"/>
    </row>
    <row r="2594" spans="1:12" x14ac:dyDescent="0.2">
      <c r="A2594" s="7"/>
      <c r="B2594" s="7"/>
      <c r="C2594" s="7"/>
      <c r="D2594" s="7"/>
      <c r="E2594" s="7">
        <v>625011</v>
      </c>
      <c r="F2594" s="7"/>
      <c r="G2594" s="7" t="s">
        <v>1233</v>
      </c>
      <c r="H2594" s="7"/>
      <c r="I2594" s="27" t="s">
        <v>47</v>
      </c>
      <c r="J2594" s="7"/>
      <c r="K2594" s="27" t="s">
        <v>2208</v>
      </c>
      <c r="L2594" s="7"/>
    </row>
    <row r="2595" spans="1:12" x14ac:dyDescent="0.2">
      <c r="A2595" s="7"/>
      <c r="B2595" s="7"/>
      <c r="C2595" s="7"/>
      <c r="D2595" s="7"/>
      <c r="E2595" s="7">
        <v>625012</v>
      </c>
      <c r="F2595" s="7"/>
      <c r="G2595" s="7" t="s">
        <v>1235</v>
      </c>
      <c r="H2595" s="7"/>
      <c r="I2595" s="27" t="s">
        <v>133</v>
      </c>
      <c r="J2595" s="7"/>
      <c r="K2595" s="27" t="s">
        <v>2208</v>
      </c>
      <c r="L2595" s="7"/>
    </row>
    <row r="2596" spans="1:12" x14ac:dyDescent="0.2">
      <c r="A2596" s="7"/>
      <c r="B2596" s="7"/>
      <c r="C2596" s="7"/>
      <c r="D2596" s="7"/>
      <c r="E2596" s="7">
        <v>625013</v>
      </c>
      <c r="F2596" s="7"/>
      <c r="G2596" s="7" t="s">
        <v>1236</v>
      </c>
      <c r="H2596" s="7"/>
      <c r="I2596" s="27" t="s">
        <v>133</v>
      </c>
      <c r="J2596" s="7"/>
      <c r="K2596" s="27" t="s">
        <v>2208</v>
      </c>
      <c r="L2596" s="7"/>
    </row>
    <row r="2597" spans="1:12" x14ac:dyDescent="0.2">
      <c r="A2597" s="7"/>
      <c r="B2597" s="7"/>
      <c r="C2597" s="7"/>
      <c r="D2597" s="7"/>
      <c r="E2597" s="7">
        <v>625014</v>
      </c>
      <c r="F2597" s="7"/>
      <c r="G2597" s="7" t="s">
        <v>1237</v>
      </c>
      <c r="H2597" s="7"/>
      <c r="I2597" s="27" t="s">
        <v>133</v>
      </c>
      <c r="J2597" s="7"/>
      <c r="K2597" s="27" t="s">
        <v>2208</v>
      </c>
      <c r="L2597" s="7"/>
    </row>
    <row r="2598" spans="1:12" x14ac:dyDescent="0.2">
      <c r="A2598" s="7"/>
      <c r="B2598" s="7"/>
      <c r="C2598" s="7"/>
      <c r="D2598" s="7"/>
      <c r="E2598" s="7">
        <v>625015</v>
      </c>
      <c r="F2598" s="7"/>
      <c r="G2598" s="7" t="s">
        <v>1238</v>
      </c>
      <c r="H2598" s="7"/>
      <c r="I2598" s="27" t="s">
        <v>133</v>
      </c>
      <c r="J2598" s="7"/>
      <c r="K2598" s="27" t="s">
        <v>2208</v>
      </c>
      <c r="L2598" s="7"/>
    </row>
    <row r="2599" spans="1:12" x14ac:dyDescent="0.2">
      <c r="A2599" s="7"/>
      <c r="B2599" s="7"/>
      <c r="C2599" s="7"/>
      <c r="D2599" s="7"/>
      <c r="E2599" s="7">
        <v>625016</v>
      </c>
      <c r="F2599" s="7"/>
      <c r="G2599" s="7" t="s">
        <v>1239</v>
      </c>
      <c r="H2599" s="7"/>
      <c r="I2599" s="27" t="s">
        <v>133</v>
      </c>
      <c r="J2599" s="7"/>
      <c r="K2599" s="27" t="s">
        <v>2208</v>
      </c>
      <c r="L2599" s="7"/>
    </row>
    <row r="2600" spans="1:12" x14ac:dyDescent="0.2">
      <c r="A2600" s="7"/>
      <c r="B2600" s="7"/>
      <c r="C2600" s="7"/>
      <c r="D2600" s="7"/>
      <c r="E2600" s="7">
        <v>625017</v>
      </c>
      <c r="F2600" s="7"/>
      <c r="G2600" s="7" t="s">
        <v>1240</v>
      </c>
      <c r="H2600" s="7"/>
      <c r="I2600" s="27" t="s">
        <v>133</v>
      </c>
      <c r="J2600" s="7"/>
      <c r="K2600" s="27" t="s">
        <v>2208</v>
      </c>
      <c r="L2600" s="7"/>
    </row>
    <row r="2601" spans="1:12" x14ac:dyDescent="0.2">
      <c r="A2601" s="7"/>
      <c r="B2601" s="7"/>
      <c r="C2601" s="7"/>
      <c r="D2601" s="7"/>
      <c r="E2601" s="7">
        <v>625018</v>
      </c>
      <c r="F2601" s="7"/>
      <c r="G2601" s="7" t="s">
        <v>1235</v>
      </c>
      <c r="H2601" s="7"/>
      <c r="I2601" s="27" t="s">
        <v>133</v>
      </c>
      <c r="J2601" s="7"/>
      <c r="K2601" s="27" t="s">
        <v>2208</v>
      </c>
      <c r="L2601" s="7"/>
    </row>
    <row r="2602" spans="1:12" x14ac:dyDescent="0.2">
      <c r="A2602" s="7"/>
      <c r="B2602" s="7"/>
      <c r="C2602" s="7"/>
      <c r="D2602" s="7"/>
      <c r="E2602" s="7">
        <v>625019</v>
      </c>
      <c r="F2602" s="7"/>
      <c r="G2602" s="7" t="s">
        <v>1236</v>
      </c>
      <c r="H2602" s="7"/>
      <c r="I2602" s="27" t="s">
        <v>133</v>
      </c>
      <c r="J2602" s="7"/>
      <c r="K2602" s="27" t="s">
        <v>2208</v>
      </c>
      <c r="L2602" s="7"/>
    </row>
    <row r="2603" spans="1:12" x14ac:dyDescent="0.2">
      <c r="A2603" s="7"/>
      <c r="B2603" s="7"/>
      <c r="C2603" s="7"/>
      <c r="D2603" s="7"/>
      <c r="E2603" s="7">
        <v>625020</v>
      </c>
      <c r="F2603" s="7"/>
      <c r="G2603" s="7" t="s">
        <v>1237</v>
      </c>
      <c r="H2603" s="7"/>
      <c r="I2603" s="27" t="s">
        <v>133</v>
      </c>
      <c r="J2603" s="7"/>
      <c r="K2603" s="27" t="s">
        <v>2208</v>
      </c>
      <c r="L2603" s="7"/>
    </row>
    <row r="2604" spans="1:12" x14ac:dyDescent="0.2">
      <c r="A2604" s="7"/>
      <c r="B2604" s="7"/>
      <c r="C2604" s="7"/>
      <c r="D2604" s="7"/>
      <c r="E2604" s="7">
        <v>625021</v>
      </c>
      <c r="F2604" s="7"/>
      <c r="G2604" s="7" t="s">
        <v>1238</v>
      </c>
      <c r="H2604" s="7"/>
      <c r="I2604" s="27" t="s">
        <v>133</v>
      </c>
      <c r="J2604" s="7"/>
      <c r="K2604" s="27" t="s">
        <v>2208</v>
      </c>
      <c r="L2604" s="7"/>
    </row>
    <row r="2605" spans="1:12" x14ac:dyDescent="0.2">
      <c r="A2605" s="7"/>
      <c r="B2605" s="7"/>
      <c r="C2605" s="7"/>
      <c r="D2605" s="7"/>
      <c r="E2605" s="7">
        <v>625022</v>
      </c>
      <c r="F2605" s="7"/>
      <c r="G2605" s="7" t="s">
        <v>1239</v>
      </c>
      <c r="H2605" s="7"/>
      <c r="I2605" s="27" t="s">
        <v>133</v>
      </c>
      <c r="J2605" s="7"/>
      <c r="K2605" s="27" t="s">
        <v>2208</v>
      </c>
      <c r="L2605" s="7"/>
    </row>
    <row r="2606" spans="1:12" x14ac:dyDescent="0.2">
      <c r="A2606" s="7"/>
      <c r="B2606" s="7"/>
      <c r="C2606" s="7"/>
      <c r="D2606" s="7"/>
      <c r="E2606" s="7">
        <v>625023</v>
      </c>
      <c r="F2606" s="7"/>
      <c r="G2606" s="7" t="s">
        <v>1240</v>
      </c>
      <c r="H2606" s="7"/>
      <c r="I2606" s="27" t="s">
        <v>133</v>
      </c>
      <c r="J2606" s="7"/>
      <c r="K2606" s="27" t="s">
        <v>2208</v>
      </c>
      <c r="L2606" s="7"/>
    </row>
    <row r="2607" spans="1:12" x14ac:dyDescent="0.2">
      <c r="A2607" s="7"/>
      <c r="B2607" s="7"/>
      <c r="C2607" s="7"/>
      <c r="D2607" s="7"/>
      <c r="E2607" s="7">
        <v>630395</v>
      </c>
      <c r="F2607" s="7"/>
      <c r="G2607" s="7" t="s">
        <v>1922</v>
      </c>
      <c r="H2607" s="7"/>
      <c r="I2607" s="27" t="s">
        <v>71</v>
      </c>
      <c r="J2607" s="7"/>
      <c r="K2607" s="27" t="s">
        <v>2208</v>
      </c>
      <c r="L2607" s="7"/>
    </row>
    <row r="2608" spans="1:12" x14ac:dyDescent="0.2">
      <c r="A2608" s="7"/>
      <c r="B2608" s="7"/>
      <c r="C2608" s="7"/>
      <c r="D2608" s="7"/>
      <c r="E2608" s="7">
        <v>631000</v>
      </c>
      <c r="F2608" s="7"/>
      <c r="G2608" s="7" t="s">
        <v>1923</v>
      </c>
      <c r="H2608" s="7"/>
      <c r="I2608" s="27" t="s">
        <v>47</v>
      </c>
      <c r="J2608" s="7"/>
      <c r="K2608" s="27" t="s">
        <v>2208</v>
      </c>
      <c r="L2608" s="7"/>
    </row>
    <row r="2609" spans="1:12" x14ac:dyDescent="0.2">
      <c r="A2609" s="7"/>
      <c r="B2609" s="7"/>
      <c r="C2609" s="7"/>
      <c r="D2609" s="7"/>
      <c r="E2609" s="7">
        <v>632000</v>
      </c>
      <c r="F2609" s="7"/>
      <c r="G2609" s="7" t="s">
        <v>1924</v>
      </c>
      <c r="H2609" s="7"/>
      <c r="I2609" s="27" t="s">
        <v>71</v>
      </c>
      <c r="J2609" s="7"/>
      <c r="K2609" s="27" t="s">
        <v>2208</v>
      </c>
      <c r="L2609" s="7"/>
    </row>
    <row r="2610" spans="1:12" x14ac:dyDescent="0.2">
      <c r="A2610" s="7"/>
      <c r="B2610" s="7"/>
      <c r="C2610" s="7"/>
      <c r="D2610" s="7"/>
      <c r="E2610" s="7">
        <v>632100</v>
      </c>
      <c r="F2610" s="7"/>
      <c r="G2610" s="7" t="s">
        <v>1925</v>
      </c>
      <c r="H2610" s="7"/>
      <c r="I2610" s="27" t="s">
        <v>71</v>
      </c>
      <c r="J2610" s="7"/>
      <c r="K2610" s="27" t="s">
        <v>2208</v>
      </c>
      <c r="L2610" s="7"/>
    </row>
    <row r="2611" spans="1:12" x14ac:dyDescent="0.2">
      <c r="A2611" s="7"/>
      <c r="B2611" s="7"/>
      <c r="C2611" s="7"/>
      <c r="D2611" s="7"/>
      <c r="E2611" s="7">
        <v>633000</v>
      </c>
      <c r="F2611" s="7"/>
      <c r="G2611" s="7" t="s">
        <v>1926</v>
      </c>
      <c r="H2611" s="7"/>
      <c r="I2611" s="27" t="s">
        <v>71</v>
      </c>
      <c r="J2611" s="7"/>
      <c r="K2611" s="27" t="s">
        <v>2210</v>
      </c>
      <c r="L2611" s="7"/>
    </row>
    <row r="2612" spans="1:12" x14ac:dyDescent="0.2">
      <c r="A2612" s="7"/>
      <c r="B2612" s="7"/>
      <c r="C2612" s="7"/>
      <c r="D2612" s="7"/>
      <c r="E2612" s="7">
        <v>634000</v>
      </c>
      <c r="F2612" s="7"/>
      <c r="G2612" s="7" t="s">
        <v>1927</v>
      </c>
      <c r="H2612" s="7"/>
      <c r="I2612" s="27" t="s">
        <v>20</v>
      </c>
      <c r="J2612" s="7"/>
      <c r="K2612" s="27" t="s">
        <v>2210</v>
      </c>
      <c r="L2612" s="7"/>
    </row>
    <row r="2613" spans="1:12" x14ac:dyDescent="0.2">
      <c r="A2613" s="7"/>
      <c r="B2613" s="7"/>
      <c r="C2613" s="7"/>
      <c r="D2613" s="7"/>
      <c r="E2613" s="7">
        <v>634001</v>
      </c>
      <c r="F2613" s="7"/>
      <c r="G2613" s="7" t="s">
        <v>1927</v>
      </c>
      <c r="H2613" s="7"/>
      <c r="I2613" s="27" t="s">
        <v>20</v>
      </c>
      <c r="J2613" s="7"/>
      <c r="K2613" s="27" t="s">
        <v>2210</v>
      </c>
      <c r="L2613" s="7"/>
    </row>
    <row r="2614" spans="1:12" x14ac:dyDescent="0.2">
      <c r="A2614" s="7"/>
      <c r="B2614" s="7"/>
      <c r="C2614" s="7"/>
      <c r="D2614" s="7"/>
      <c r="E2614" s="7">
        <v>635000</v>
      </c>
      <c r="F2614" s="7"/>
      <c r="G2614" s="7" t="s">
        <v>1928</v>
      </c>
      <c r="H2614" s="7"/>
      <c r="I2614" s="27" t="s">
        <v>13</v>
      </c>
      <c r="J2614" s="7"/>
      <c r="K2614" s="27" t="s">
        <v>2208</v>
      </c>
      <c r="L2614" s="7"/>
    </row>
    <row r="2615" spans="1:12" x14ac:dyDescent="0.2">
      <c r="A2615" s="7"/>
      <c r="B2615" s="7"/>
      <c r="C2615" s="7"/>
      <c r="D2615" s="7"/>
      <c r="E2615" s="7">
        <v>635001</v>
      </c>
      <c r="F2615" s="7"/>
      <c r="G2615" s="7" t="s">
        <v>1929</v>
      </c>
      <c r="H2615" s="7"/>
      <c r="I2615" s="27" t="s">
        <v>13</v>
      </c>
      <c r="J2615" s="7"/>
      <c r="K2615" s="27" t="s">
        <v>2208</v>
      </c>
      <c r="L2615" s="7"/>
    </row>
    <row r="2616" spans="1:12" x14ac:dyDescent="0.2">
      <c r="A2616" s="7"/>
      <c r="B2616" s="7"/>
      <c r="C2616" s="7"/>
      <c r="D2616" s="7"/>
      <c r="E2616" s="7">
        <v>635005</v>
      </c>
      <c r="F2616" s="7"/>
      <c r="G2616" s="7" t="s">
        <v>1930</v>
      </c>
      <c r="H2616" s="7"/>
      <c r="I2616" s="27" t="s">
        <v>14</v>
      </c>
      <c r="J2616" s="7"/>
      <c r="K2616" s="27" t="s">
        <v>2208</v>
      </c>
      <c r="L2616" s="7"/>
    </row>
    <row r="2617" spans="1:12" x14ac:dyDescent="0.2">
      <c r="A2617" s="7"/>
      <c r="B2617" s="7"/>
      <c r="C2617" s="7"/>
      <c r="D2617" s="7"/>
      <c r="E2617" s="7">
        <v>635010</v>
      </c>
      <c r="F2617" s="7"/>
      <c r="G2617" s="7" t="s">
        <v>1931</v>
      </c>
      <c r="H2617" s="7"/>
      <c r="I2617" s="27" t="s">
        <v>15</v>
      </c>
      <c r="J2617" s="7"/>
      <c r="K2617" s="27" t="s">
        <v>2208</v>
      </c>
      <c r="L2617" s="7"/>
    </row>
    <row r="2618" spans="1:12" x14ac:dyDescent="0.2">
      <c r="A2618" s="7"/>
      <c r="B2618" s="7"/>
      <c r="C2618" s="7"/>
      <c r="D2618" s="7"/>
      <c r="E2618" s="7">
        <v>635015</v>
      </c>
      <c r="F2618" s="7"/>
      <c r="G2618" s="7" t="s">
        <v>1932</v>
      </c>
      <c r="H2618" s="7"/>
      <c r="I2618" s="27" t="s">
        <v>71</v>
      </c>
      <c r="J2618" s="7"/>
      <c r="K2618" s="27" t="s">
        <v>2208</v>
      </c>
      <c r="L2618" s="7"/>
    </row>
    <row r="2619" spans="1:12" x14ac:dyDescent="0.2">
      <c r="A2619" s="7"/>
      <c r="B2619" s="7"/>
      <c r="C2619" s="7"/>
      <c r="D2619" s="7"/>
      <c r="E2619" s="7">
        <v>635100</v>
      </c>
      <c r="F2619" s="7"/>
      <c r="G2619" s="7" t="s">
        <v>1933</v>
      </c>
      <c r="H2619" s="7"/>
      <c r="I2619" s="27" t="s">
        <v>133</v>
      </c>
      <c r="J2619" s="7"/>
      <c r="K2619" s="27" t="s">
        <v>2208</v>
      </c>
      <c r="L2619" s="7"/>
    </row>
    <row r="2620" spans="1:12" x14ac:dyDescent="0.2">
      <c r="A2620" s="7"/>
      <c r="B2620" s="7"/>
      <c r="C2620" s="7"/>
      <c r="D2620" s="7"/>
      <c r="E2620" s="7">
        <v>635115</v>
      </c>
      <c r="F2620" s="7"/>
      <c r="G2620" s="7" t="s">
        <v>1934</v>
      </c>
      <c r="H2620" s="7"/>
      <c r="I2620" s="27" t="s">
        <v>71</v>
      </c>
      <c r="J2620" s="7"/>
      <c r="K2620" s="27" t="s">
        <v>2208</v>
      </c>
      <c r="L2620" s="7"/>
    </row>
    <row r="2621" spans="1:12" x14ac:dyDescent="0.2">
      <c r="A2621" s="7"/>
      <c r="B2621" s="7"/>
      <c r="C2621" s="7"/>
      <c r="D2621" s="7"/>
      <c r="E2621" s="7">
        <v>636000</v>
      </c>
      <c r="F2621" s="7"/>
      <c r="G2621" s="7" t="s">
        <v>1935</v>
      </c>
      <c r="H2621" s="7"/>
      <c r="I2621" s="27" t="s">
        <v>22</v>
      </c>
      <c r="J2621" s="7"/>
      <c r="K2621" s="27" t="s">
        <v>2210</v>
      </c>
      <c r="L2621" s="7"/>
    </row>
    <row r="2622" spans="1:12" x14ac:dyDescent="0.2">
      <c r="A2622" s="7"/>
      <c r="B2622" s="7"/>
      <c r="C2622" s="7"/>
      <c r="D2622" s="7"/>
      <c r="E2622" s="7">
        <v>636001</v>
      </c>
      <c r="F2622" s="7"/>
      <c r="G2622" s="7" t="s">
        <v>1935</v>
      </c>
      <c r="H2622" s="7"/>
      <c r="I2622" s="27" t="s">
        <v>22</v>
      </c>
      <c r="J2622" s="7"/>
      <c r="K2622" s="27" t="s">
        <v>2210</v>
      </c>
      <c r="L2622" s="7"/>
    </row>
    <row r="2623" spans="1:12" x14ac:dyDescent="0.2">
      <c r="A2623" s="7"/>
      <c r="B2623" s="7"/>
      <c r="C2623" s="7"/>
      <c r="D2623" s="7"/>
      <c r="E2623" s="7">
        <v>636100</v>
      </c>
      <c r="F2623" s="7"/>
      <c r="G2623" s="7" t="s">
        <v>1936</v>
      </c>
      <c r="H2623" s="7"/>
      <c r="I2623" s="27" t="s">
        <v>54</v>
      </c>
      <c r="J2623" s="7"/>
      <c r="K2623" s="27" t="s">
        <v>2208</v>
      </c>
      <c r="L2623" s="7"/>
    </row>
    <row r="2624" spans="1:12" x14ac:dyDescent="0.2">
      <c r="A2624" s="7"/>
      <c r="B2624" s="7"/>
      <c r="C2624" s="7"/>
      <c r="D2624" s="7"/>
      <c r="E2624" s="7">
        <v>636105</v>
      </c>
      <c r="F2624" s="7"/>
      <c r="G2624" s="7" t="s">
        <v>1937</v>
      </c>
      <c r="H2624" s="7"/>
      <c r="I2624" s="27" t="s">
        <v>16</v>
      </c>
      <c r="J2624" s="7"/>
      <c r="K2624" s="27" t="s">
        <v>2208</v>
      </c>
      <c r="L2624" s="7"/>
    </row>
    <row r="2625" spans="1:12" x14ac:dyDescent="0.2">
      <c r="A2625" s="7"/>
      <c r="B2625" s="7"/>
      <c r="C2625" s="7"/>
      <c r="D2625" s="7"/>
      <c r="E2625" s="7">
        <v>637000</v>
      </c>
      <c r="F2625" s="7"/>
      <c r="G2625" s="7" t="s">
        <v>1938</v>
      </c>
      <c r="H2625" s="7"/>
      <c r="I2625" s="27" t="s">
        <v>21</v>
      </c>
      <c r="J2625" s="7"/>
      <c r="K2625" s="27" t="s">
        <v>2208</v>
      </c>
      <c r="L2625" s="7"/>
    </row>
    <row r="2626" spans="1:12" x14ac:dyDescent="0.2">
      <c r="A2626" s="7"/>
      <c r="B2626" s="7"/>
      <c r="C2626" s="7"/>
      <c r="D2626" s="7"/>
      <c r="E2626" s="7">
        <v>638000</v>
      </c>
      <c r="F2626" s="7"/>
      <c r="G2626" s="7" t="s">
        <v>1939</v>
      </c>
      <c r="H2626" s="7"/>
      <c r="I2626" s="27" t="s">
        <v>17</v>
      </c>
      <c r="J2626" s="7"/>
      <c r="K2626" s="27" t="s">
        <v>2208</v>
      </c>
      <c r="L2626" s="7"/>
    </row>
    <row r="2627" spans="1:12" x14ac:dyDescent="0.2">
      <c r="A2627" s="7"/>
      <c r="B2627" s="7"/>
      <c r="C2627" s="7"/>
      <c r="D2627" s="7"/>
      <c r="E2627" s="7">
        <v>638005</v>
      </c>
      <c r="F2627" s="7"/>
      <c r="G2627" s="7" t="s">
        <v>1148</v>
      </c>
      <c r="H2627" s="7"/>
      <c r="I2627" s="27" t="s">
        <v>1146</v>
      </c>
      <c r="J2627" s="7"/>
      <c r="K2627" s="27" t="s">
        <v>2208</v>
      </c>
      <c r="L2627" s="7"/>
    </row>
    <row r="2628" spans="1:12" x14ac:dyDescent="0.2">
      <c r="A2628" s="7"/>
      <c r="B2628" s="7"/>
      <c r="C2628" s="7"/>
      <c r="D2628" s="7"/>
      <c r="E2628" s="7">
        <v>638010</v>
      </c>
      <c r="F2628" s="7"/>
      <c r="G2628" s="7" t="s">
        <v>1940</v>
      </c>
      <c r="H2628" s="7"/>
      <c r="I2628" s="27" t="s">
        <v>133</v>
      </c>
      <c r="J2628" s="7"/>
      <c r="K2628" s="27" t="s">
        <v>2208</v>
      </c>
      <c r="L2628" s="7"/>
    </row>
    <row r="2629" spans="1:12" x14ac:dyDescent="0.2">
      <c r="A2629" s="7"/>
      <c r="B2629" s="7"/>
      <c r="C2629" s="7"/>
      <c r="D2629" s="7"/>
      <c r="E2629" s="7">
        <v>638015</v>
      </c>
      <c r="F2629" s="7"/>
      <c r="G2629" s="7" t="s">
        <v>1941</v>
      </c>
      <c r="H2629" s="7"/>
      <c r="I2629" s="27" t="s">
        <v>18</v>
      </c>
      <c r="J2629" s="7"/>
      <c r="K2629" s="27" t="s">
        <v>2208</v>
      </c>
      <c r="L2629" s="7"/>
    </row>
    <row r="2630" spans="1:12" x14ac:dyDescent="0.2">
      <c r="A2630" s="7"/>
      <c r="B2630" s="7"/>
      <c r="C2630" s="7"/>
      <c r="D2630" s="7"/>
      <c r="E2630" s="7">
        <v>639000</v>
      </c>
      <c r="F2630" s="7"/>
      <c r="G2630" s="7" t="s">
        <v>1942</v>
      </c>
      <c r="H2630" s="7"/>
      <c r="I2630" s="27" t="s">
        <v>23</v>
      </c>
      <c r="J2630" s="7"/>
      <c r="K2630" s="27" t="s">
        <v>2210</v>
      </c>
      <c r="L2630" s="7"/>
    </row>
    <row r="2631" spans="1:12" x14ac:dyDescent="0.2">
      <c r="A2631" s="7"/>
      <c r="B2631" s="7"/>
      <c r="C2631" s="7"/>
      <c r="D2631" s="7"/>
      <c r="E2631" s="7">
        <v>639050</v>
      </c>
      <c r="F2631" s="7"/>
      <c r="G2631" s="7" t="s">
        <v>1943</v>
      </c>
      <c r="H2631" s="7"/>
      <c r="I2631" s="27" t="s">
        <v>24</v>
      </c>
      <c r="J2631" s="7"/>
      <c r="K2631" s="27" t="s">
        <v>2210</v>
      </c>
      <c r="L2631" s="7"/>
    </row>
    <row r="2632" spans="1:12" x14ac:dyDescent="0.2">
      <c r="A2632" s="7"/>
      <c r="B2632" s="7"/>
      <c r="C2632" s="7"/>
      <c r="D2632" s="7"/>
      <c r="E2632" s="7">
        <v>701030</v>
      </c>
      <c r="F2632" s="7"/>
      <c r="G2632" s="7" t="s">
        <v>1944</v>
      </c>
      <c r="H2632" s="7"/>
      <c r="I2632" s="27" t="s">
        <v>47</v>
      </c>
      <c r="J2632" s="7"/>
      <c r="K2632" s="27" t="s">
        <v>2208</v>
      </c>
      <c r="L2632" s="7"/>
    </row>
    <row r="2633" spans="1:12" x14ac:dyDescent="0.2">
      <c r="A2633" s="7"/>
      <c r="B2633" s="7"/>
      <c r="C2633" s="7"/>
      <c r="D2633" s="7"/>
      <c r="E2633" s="7">
        <v>701050</v>
      </c>
      <c r="F2633" s="7"/>
      <c r="G2633" s="7" t="s">
        <v>1945</v>
      </c>
      <c r="H2633" s="7"/>
      <c r="I2633" s="27" t="s">
        <v>47</v>
      </c>
      <c r="J2633" s="7"/>
      <c r="K2633" s="27" t="s">
        <v>2208</v>
      </c>
      <c r="L2633" s="7"/>
    </row>
    <row r="2634" spans="1:12" x14ac:dyDescent="0.2">
      <c r="A2634" s="7"/>
      <c r="B2634" s="7"/>
      <c r="C2634" s="7"/>
      <c r="D2634" s="7"/>
      <c r="E2634" s="7">
        <v>701060</v>
      </c>
      <c r="F2634" s="7"/>
      <c r="G2634" s="7" t="s">
        <v>1946</v>
      </c>
      <c r="H2634" s="7"/>
      <c r="I2634" s="27" t="s">
        <v>47</v>
      </c>
      <c r="J2634" s="7"/>
      <c r="K2634" s="27" t="s">
        <v>2208</v>
      </c>
      <c r="L2634" s="7"/>
    </row>
    <row r="2635" spans="1:12" x14ac:dyDescent="0.2">
      <c r="A2635" s="7"/>
      <c r="B2635" s="7"/>
      <c r="C2635" s="7"/>
      <c r="D2635" s="7"/>
      <c r="E2635" s="7">
        <v>701070</v>
      </c>
      <c r="F2635" s="7"/>
      <c r="G2635" s="7" t="s">
        <v>1947</v>
      </c>
      <c r="H2635" s="7"/>
      <c r="I2635" s="27" t="s">
        <v>47</v>
      </c>
      <c r="J2635" s="7"/>
      <c r="K2635" s="27" t="s">
        <v>2208</v>
      </c>
      <c r="L2635" s="7"/>
    </row>
    <row r="2636" spans="1:12" x14ac:dyDescent="0.2">
      <c r="A2636" s="7"/>
      <c r="B2636" s="7"/>
      <c r="C2636" s="7"/>
      <c r="D2636" s="7"/>
      <c r="E2636" s="7">
        <v>701080</v>
      </c>
      <c r="F2636" s="7"/>
      <c r="G2636" s="7" t="s">
        <v>1948</v>
      </c>
      <c r="H2636" s="7"/>
      <c r="I2636" s="27" t="s">
        <v>47</v>
      </c>
      <c r="J2636" s="7"/>
      <c r="K2636" s="27" t="s">
        <v>2208</v>
      </c>
      <c r="L2636" s="7"/>
    </row>
    <row r="2637" spans="1:12" x14ac:dyDescent="0.2">
      <c r="A2637" s="7"/>
      <c r="B2637" s="7"/>
      <c r="C2637" s="7"/>
      <c r="D2637" s="7"/>
      <c r="E2637" s="7">
        <v>751040</v>
      </c>
      <c r="F2637" s="7"/>
      <c r="G2637" s="7" t="s">
        <v>1949</v>
      </c>
      <c r="H2637" s="7"/>
      <c r="I2637" s="27" t="s">
        <v>133</v>
      </c>
      <c r="J2637" s="7"/>
      <c r="K2637" s="27" t="s">
        <v>2208</v>
      </c>
      <c r="L2637" s="7"/>
    </row>
    <row r="2638" spans="1:12" x14ac:dyDescent="0.2">
      <c r="A2638" s="7"/>
      <c r="B2638" s="7"/>
      <c r="C2638" s="7"/>
      <c r="D2638" s="7"/>
      <c r="E2638" s="7">
        <v>751045</v>
      </c>
      <c r="F2638" s="7"/>
      <c r="G2638" s="7" t="s">
        <v>1950</v>
      </c>
      <c r="H2638" s="7"/>
      <c r="I2638" s="27" t="s">
        <v>47</v>
      </c>
      <c r="J2638" s="7"/>
      <c r="K2638" s="27" t="s">
        <v>2208</v>
      </c>
      <c r="L2638" s="7"/>
    </row>
    <row r="2639" spans="1:12" x14ac:dyDescent="0.2">
      <c r="A2639" s="7"/>
      <c r="B2639" s="7"/>
      <c r="C2639" s="7"/>
      <c r="D2639" s="7"/>
      <c r="E2639" s="7">
        <v>751088</v>
      </c>
      <c r="F2639" s="7"/>
      <c r="G2639" s="7" t="s">
        <v>1951</v>
      </c>
      <c r="H2639" s="7"/>
      <c r="I2639" s="27" t="s">
        <v>133</v>
      </c>
      <c r="J2639" s="7"/>
      <c r="K2639" s="27" t="s">
        <v>2208</v>
      </c>
      <c r="L2639" s="7"/>
    </row>
    <row r="2640" spans="1:12" x14ac:dyDescent="0.2">
      <c r="A2640" s="7"/>
      <c r="B2640" s="7"/>
      <c r="C2640" s="7"/>
      <c r="D2640" s="7"/>
      <c r="E2640" s="7">
        <v>751089</v>
      </c>
      <c r="F2640" s="7"/>
      <c r="G2640" s="7" t="s">
        <v>1952</v>
      </c>
      <c r="H2640" s="7"/>
      <c r="I2640" s="27" t="s">
        <v>133</v>
      </c>
      <c r="J2640" s="7"/>
      <c r="K2640" s="27" t="s">
        <v>2208</v>
      </c>
      <c r="L2640" s="7"/>
    </row>
    <row r="2641" spans="1:12" x14ac:dyDescent="0.2">
      <c r="A2641" s="7"/>
      <c r="B2641" s="7"/>
      <c r="C2641" s="7"/>
      <c r="D2641" s="7"/>
      <c r="E2641" s="7">
        <v>751091</v>
      </c>
      <c r="F2641" s="7"/>
      <c r="G2641" s="7" t="s">
        <v>1953</v>
      </c>
      <c r="H2641" s="7"/>
      <c r="I2641" s="27" t="s">
        <v>133</v>
      </c>
      <c r="J2641" s="7"/>
      <c r="K2641" s="27" t="s">
        <v>2208</v>
      </c>
      <c r="L2641" s="7"/>
    </row>
    <row r="2642" spans="1:12" x14ac:dyDescent="0.2">
      <c r="A2642" s="7"/>
      <c r="B2642" s="7"/>
      <c r="C2642" s="7"/>
      <c r="D2642" s="7"/>
      <c r="E2642" s="7">
        <v>751092</v>
      </c>
      <c r="F2642" s="7"/>
      <c r="G2642" s="7" t="s">
        <v>1954</v>
      </c>
      <c r="H2642" s="7"/>
      <c r="I2642" s="27" t="s">
        <v>133</v>
      </c>
      <c r="J2642" s="7"/>
      <c r="K2642" s="27" t="s">
        <v>2208</v>
      </c>
      <c r="L2642" s="7"/>
    </row>
    <row r="2643" spans="1:12" x14ac:dyDescent="0.2">
      <c r="A2643" s="7"/>
      <c r="B2643" s="7"/>
      <c r="C2643" s="7"/>
      <c r="D2643" s="7"/>
      <c r="E2643" s="7">
        <v>751093</v>
      </c>
      <c r="F2643" s="7"/>
      <c r="G2643" s="7" t="s">
        <v>1953</v>
      </c>
      <c r="H2643" s="7"/>
      <c r="I2643" s="27" t="s">
        <v>133</v>
      </c>
      <c r="J2643" s="7"/>
      <c r="K2643" s="27" t="s">
        <v>2208</v>
      </c>
      <c r="L2643" s="7"/>
    </row>
    <row r="2644" spans="1:12" x14ac:dyDescent="0.2">
      <c r="A2644" s="7"/>
      <c r="B2644" s="7"/>
      <c r="C2644" s="7"/>
      <c r="D2644" s="7"/>
      <c r="E2644" s="7">
        <v>751094</v>
      </c>
      <c r="F2644" s="7"/>
      <c r="G2644" s="7" t="s">
        <v>1954</v>
      </c>
      <c r="H2644" s="7"/>
      <c r="I2644" s="27" t="s">
        <v>133</v>
      </c>
      <c r="J2644" s="7"/>
      <c r="K2644" s="27" t="s">
        <v>2208</v>
      </c>
      <c r="L2644" s="7"/>
    </row>
    <row r="2645" spans="1:12" x14ac:dyDescent="0.2">
      <c r="A2645" s="7"/>
      <c r="B2645" s="7"/>
      <c r="C2645" s="7"/>
      <c r="D2645" s="7"/>
      <c r="E2645" s="7">
        <v>751095</v>
      </c>
      <c r="F2645" s="7"/>
      <c r="G2645" s="7" t="s">
        <v>1955</v>
      </c>
      <c r="H2645" s="7"/>
      <c r="I2645" s="27" t="s">
        <v>133</v>
      </c>
      <c r="J2645" s="7"/>
      <c r="K2645" s="27" t="s">
        <v>2208</v>
      </c>
      <c r="L2645" s="7"/>
    </row>
    <row r="2646" spans="1:12" x14ac:dyDescent="0.2">
      <c r="A2646" s="7"/>
      <c r="B2646" s="7"/>
      <c r="C2646" s="7"/>
      <c r="D2646" s="7"/>
      <c r="E2646" s="7">
        <v>751096</v>
      </c>
      <c r="F2646" s="7"/>
      <c r="G2646" s="7" t="s">
        <v>1956</v>
      </c>
      <c r="H2646" s="7"/>
      <c r="I2646" s="27" t="s">
        <v>133</v>
      </c>
      <c r="J2646" s="7"/>
      <c r="K2646" s="27" t="s">
        <v>2208</v>
      </c>
      <c r="L2646" s="7"/>
    </row>
    <row r="2647" spans="1:12" x14ac:dyDescent="0.2">
      <c r="A2647" s="7"/>
      <c r="B2647" s="7"/>
      <c r="C2647" s="7"/>
      <c r="D2647" s="7"/>
      <c r="E2647" s="7">
        <v>751097</v>
      </c>
      <c r="F2647" s="7"/>
      <c r="G2647" s="7" t="s">
        <v>1957</v>
      </c>
      <c r="H2647" s="7"/>
      <c r="I2647" s="27" t="s">
        <v>133</v>
      </c>
      <c r="J2647" s="7"/>
      <c r="K2647" s="27" t="s">
        <v>2208</v>
      </c>
      <c r="L2647" s="7"/>
    </row>
    <row r="2648" spans="1:12" x14ac:dyDescent="0.2">
      <c r="A2648" s="7"/>
      <c r="B2648" s="7"/>
      <c r="C2648" s="7"/>
      <c r="D2648" s="7"/>
      <c r="E2648" s="7">
        <v>751098</v>
      </c>
      <c r="F2648" s="7"/>
      <c r="G2648" s="7" t="s">
        <v>1958</v>
      </c>
      <c r="H2648" s="7"/>
      <c r="I2648" s="27" t="s">
        <v>133</v>
      </c>
      <c r="J2648" s="7"/>
      <c r="K2648" s="27" t="s">
        <v>2208</v>
      </c>
      <c r="L2648" s="7"/>
    </row>
    <row r="2649" spans="1:12" x14ac:dyDescent="0.2">
      <c r="A2649" s="7"/>
      <c r="B2649" s="7"/>
      <c r="C2649" s="7"/>
      <c r="D2649" s="7"/>
      <c r="E2649" s="7">
        <v>751099</v>
      </c>
      <c r="F2649" s="7"/>
      <c r="G2649" s="7" t="s">
        <v>1959</v>
      </c>
      <c r="H2649" s="7"/>
      <c r="I2649" s="27" t="s">
        <v>133</v>
      </c>
      <c r="J2649" s="7"/>
      <c r="K2649" s="27" t="s">
        <v>2208</v>
      </c>
      <c r="L2649" s="7"/>
    </row>
    <row r="2650" spans="1:12" x14ac:dyDescent="0.2">
      <c r="A2650" s="7"/>
      <c r="B2650" s="7"/>
      <c r="C2650" s="7"/>
      <c r="D2650" s="7"/>
      <c r="E2650" s="7">
        <v>751487</v>
      </c>
      <c r="F2650" s="7"/>
      <c r="G2650" s="7" t="s">
        <v>1960</v>
      </c>
      <c r="H2650" s="7"/>
      <c r="I2650" s="27" t="s">
        <v>133</v>
      </c>
      <c r="J2650" s="7"/>
      <c r="K2650" s="27" t="s">
        <v>2208</v>
      </c>
      <c r="L2650" s="7"/>
    </row>
    <row r="2651" spans="1:12" x14ac:dyDescent="0.2">
      <c r="A2651" s="7"/>
      <c r="B2651" s="7"/>
      <c r="C2651" s="7"/>
      <c r="D2651" s="7"/>
      <c r="E2651" s="7">
        <v>751488</v>
      </c>
      <c r="F2651" s="7"/>
      <c r="G2651" s="7" t="s">
        <v>1961</v>
      </c>
      <c r="H2651" s="7"/>
      <c r="I2651" s="27" t="s">
        <v>133</v>
      </c>
      <c r="J2651" s="7"/>
      <c r="K2651" s="27" t="s">
        <v>2208</v>
      </c>
      <c r="L2651" s="7"/>
    </row>
    <row r="2652" spans="1:12" x14ac:dyDescent="0.2">
      <c r="A2652" s="7"/>
      <c r="B2652" s="7"/>
      <c r="C2652" s="7"/>
      <c r="D2652" s="7"/>
      <c r="E2652" s="7">
        <v>831110</v>
      </c>
      <c r="F2652" s="7"/>
      <c r="G2652" s="7" t="s">
        <v>1962</v>
      </c>
      <c r="H2652" s="7"/>
      <c r="I2652" s="27" t="s">
        <v>133</v>
      </c>
      <c r="J2652" s="7"/>
      <c r="K2652" s="27" t="s">
        <v>2208</v>
      </c>
      <c r="L2652" s="7"/>
    </row>
    <row r="2653" spans="1:12" x14ac:dyDescent="0.2">
      <c r="A2653" s="7"/>
      <c r="B2653" s="7"/>
      <c r="C2653" s="7"/>
      <c r="D2653" s="7"/>
      <c r="E2653" s="7">
        <v>831111</v>
      </c>
      <c r="F2653" s="7"/>
      <c r="G2653" s="7" t="s">
        <v>1963</v>
      </c>
      <c r="H2653" s="7"/>
      <c r="I2653" s="27" t="s">
        <v>133</v>
      </c>
      <c r="J2653" s="7"/>
      <c r="K2653" s="27" t="s">
        <v>2208</v>
      </c>
      <c r="L2653" s="7"/>
    </row>
    <row r="2654" spans="1:12" x14ac:dyDescent="0.2">
      <c r="A2654" s="7"/>
      <c r="B2654" s="7"/>
      <c r="C2654" s="7"/>
      <c r="D2654" s="7"/>
      <c r="E2654" s="7">
        <v>831120</v>
      </c>
      <c r="F2654" s="7"/>
      <c r="G2654" s="7" t="s">
        <v>1964</v>
      </c>
      <c r="H2654" s="7"/>
      <c r="I2654" s="27" t="s">
        <v>133</v>
      </c>
      <c r="J2654" s="7"/>
      <c r="K2654" s="27" t="s">
        <v>2208</v>
      </c>
      <c r="L2654" s="7"/>
    </row>
    <row r="2655" spans="1:12" x14ac:dyDescent="0.2">
      <c r="A2655" s="7"/>
      <c r="B2655" s="7"/>
      <c r="C2655" s="7"/>
      <c r="D2655" s="7"/>
      <c r="E2655" s="7">
        <v>831121</v>
      </c>
      <c r="F2655" s="7"/>
      <c r="G2655" s="7" t="s">
        <v>1965</v>
      </c>
      <c r="H2655" s="7"/>
      <c r="I2655" s="27" t="s">
        <v>133</v>
      </c>
      <c r="J2655" s="7"/>
      <c r="K2655" s="27" t="s">
        <v>2208</v>
      </c>
      <c r="L2655" s="7"/>
    </row>
    <row r="2656" spans="1:12" x14ac:dyDescent="0.2">
      <c r="A2656" s="7"/>
      <c r="B2656" s="7"/>
      <c r="C2656" s="7"/>
      <c r="D2656" s="7"/>
      <c r="E2656" s="7">
        <v>831122</v>
      </c>
      <c r="F2656" s="7"/>
      <c r="G2656" s="7" t="s">
        <v>563</v>
      </c>
      <c r="H2656" s="7"/>
      <c r="I2656" s="27" t="s">
        <v>133</v>
      </c>
      <c r="J2656" s="7"/>
      <c r="K2656" s="27" t="s">
        <v>2208</v>
      </c>
      <c r="L2656" s="7"/>
    </row>
    <row r="2657" spans="1:12" x14ac:dyDescent="0.2">
      <c r="A2657" s="7"/>
      <c r="B2657" s="7"/>
      <c r="C2657" s="7"/>
      <c r="D2657" s="7"/>
      <c r="E2657" s="7">
        <v>831123</v>
      </c>
      <c r="F2657" s="7"/>
      <c r="G2657" s="7" t="s">
        <v>564</v>
      </c>
      <c r="H2657" s="7"/>
      <c r="I2657" s="27" t="s">
        <v>133</v>
      </c>
      <c r="J2657" s="7"/>
      <c r="K2657" s="27" t="s">
        <v>2208</v>
      </c>
      <c r="L2657" s="7"/>
    </row>
    <row r="2658" spans="1:12" x14ac:dyDescent="0.2">
      <c r="A2658" s="7"/>
      <c r="B2658" s="7"/>
      <c r="C2658" s="7"/>
      <c r="D2658" s="7"/>
      <c r="E2658" s="7">
        <v>831130</v>
      </c>
      <c r="F2658" s="7"/>
      <c r="G2658" s="7" t="s">
        <v>1966</v>
      </c>
      <c r="H2658" s="7"/>
      <c r="I2658" s="27" t="s">
        <v>133</v>
      </c>
      <c r="J2658" s="7"/>
      <c r="K2658" s="27" t="s">
        <v>2208</v>
      </c>
      <c r="L2658" s="7"/>
    </row>
    <row r="2659" spans="1:12" x14ac:dyDescent="0.2">
      <c r="A2659" s="7"/>
      <c r="B2659" s="7"/>
      <c r="C2659" s="7"/>
      <c r="D2659" s="7"/>
      <c r="E2659" s="7">
        <v>831140</v>
      </c>
      <c r="F2659" s="7"/>
      <c r="G2659" s="7" t="s">
        <v>1967</v>
      </c>
      <c r="H2659" s="7"/>
      <c r="I2659" s="27" t="s">
        <v>133</v>
      </c>
      <c r="J2659" s="7"/>
      <c r="K2659" s="27" t="s">
        <v>2208</v>
      </c>
      <c r="L2659" s="7"/>
    </row>
    <row r="2660" spans="1:12" x14ac:dyDescent="0.2">
      <c r="A2660" s="7"/>
      <c r="B2660" s="7"/>
      <c r="C2660" s="7"/>
      <c r="D2660" s="7"/>
      <c r="E2660" s="7">
        <v>831150</v>
      </c>
      <c r="F2660" s="7"/>
      <c r="G2660" s="7" t="s">
        <v>1968</v>
      </c>
      <c r="H2660" s="7"/>
      <c r="I2660" s="27" t="s">
        <v>133</v>
      </c>
      <c r="J2660" s="7"/>
      <c r="K2660" s="27" t="s">
        <v>2208</v>
      </c>
      <c r="L2660" s="7"/>
    </row>
    <row r="2661" spans="1:12" x14ac:dyDescent="0.2">
      <c r="A2661" s="7"/>
      <c r="B2661" s="7"/>
      <c r="C2661" s="7"/>
      <c r="D2661" s="7"/>
      <c r="E2661" s="7">
        <v>831151</v>
      </c>
      <c r="F2661" s="7"/>
      <c r="G2661" s="7" t="s">
        <v>1969</v>
      </c>
      <c r="H2661" s="7"/>
      <c r="I2661" s="27" t="s">
        <v>133</v>
      </c>
      <c r="J2661" s="7"/>
      <c r="K2661" s="27" t="s">
        <v>2208</v>
      </c>
      <c r="L2661" s="7"/>
    </row>
    <row r="2662" spans="1:12" x14ac:dyDescent="0.2">
      <c r="A2662" s="7"/>
      <c r="B2662" s="7"/>
      <c r="C2662" s="7"/>
      <c r="D2662" s="7"/>
      <c r="E2662" s="7">
        <v>831152</v>
      </c>
      <c r="F2662" s="7"/>
      <c r="G2662" s="7" t="s">
        <v>1970</v>
      </c>
      <c r="H2662" s="7"/>
      <c r="I2662" s="27" t="s">
        <v>133</v>
      </c>
      <c r="J2662" s="7"/>
      <c r="K2662" s="27" t="s">
        <v>2208</v>
      </c>
      <c r="L2662" s="7"/>
    </row>
    <row r="2663" spans="1:12" x14ac:dyDescent="0.2">
      <c r="A2663" s="7"/>
      <c r="B2663" s="7"/>
      <c r="C2663" s="7"/>
      <c r="D2663" s="7"/>
      <c r="E2663" s="7">
        <v>831153</v>
      </c>
      <c r="F2663" s="7"/>
      <c r="G2663" s="7" t="s">
        <v>1971</v>
      </c>
      <c r="H2663" s="7"/>
      <c r="I2663" s="27" t="s">
        <v>133</v>
      </c>
      <c r="J2663" s="7"/>
      <c r="K2663" s="27" t="s">
        <v>2208</v>
      </c>
      <c r="L2663" s="7"/>
    </row>
    <row r="2664" spans="1:12" x14ac:dyDescent="0.2">
      <c r="A2664" s="7"/>
      <c r="B2664" s="7"/>
      <c r="C2664" s="7"/>
      <c r="D2664" s="7"/>
      <c r="E2664" s="7">
        <v>831160</v>
      </c>
      <c r="F2664" s="7"/>
      <c r="G2664" s="7" t="s">
        <v>1972</v>
      </c>
      <c r="H2664" s="7"/>
      <c r="I2664" s="27" t="s">
        <v>133</v>
      </c>
      <c r="J2664" s="7"/>
      <c r="K2664" s="27" t="s">
        <v>2208</v>
      </c>
      <c r="L2664" s="7"/>
    </row>
    <row r="2665" spans="1:12" x14ac:dyDescent="0.2">
      <c r="A2665" s="7"/>
      <c r="B2665" s="7"/>
      <c r="C2665" s="7"/>
      <c r="D2665" s="7"/>
      <c r="E2665" s="7">
        <v>831161</v>
      </c>
      <c r="F2665" s="7"/>
      <c r="G2665" s="7" t="s">
        <v>1973</v>
      </c>
      <c r="H2665" s="7"/>
      <c r="I2665" s="27" t="s">
        <v>133</v>
      </c>
      <c r="J2665" s="7"/>
      <c r="K2665" s="27" t="s">
        <v>2208</v>
      </c>
      <c r="L2665" s="7"/>
    </row>
    <row r="2666" spans="1:12" x14ac:dyDescent="0.2">
      <c r="A2666" s="7"/>
      <c r="B2666" s="7"/>
      <c r="C2666" s="7"/>
      <c r="D2666" s="7"/>
      <c r="E2666" s="7">
        <v>831210</v>
      </c>
      <c r="F2666" s="7"/>
      <c r="G2666" s="7" t="s">
        <v>1974</v>
      </c>
      <c r="H2666" s="7"/>
      <c r="I2666" s="27" t="s">
        <v>133</v>
      </c>
      <c r="J2666" s="7"/>
      <c r="K2666" s="27" t="s">
        <v>2208</v>
      </c>
      <c r="L2666" s="7"/>
    </row>
    <row r="2667" spans="1:12" x14ac:dyDescent="0.2">
      <c r="A2667" s="7"/>
      <c r="B2667" s="7"/>
      <c r="C2667" s="7"/>
      <c r="D2667" s="7"/>
      <c r="E2667" s="7">
        <v>831211</v>
      </c>
      <c r="F2667" s="7"/>
      <c r="G2667" s="7" t="s">
        <v>1975</v>
      </c>
      <c r="H2667" s="7"/>
      <c r="I2667" s="27" t="s">
        <v>133</v>
      </c>
      <c r="J2667" s="7"/>
      <c r="K2667" s="27" t="s">
        <v>2208</v>
      </c>
      <c r="L2667" s="7"/>
    </row>
    <row r="2668" spans="1:12" x14ac:dyDescent="0.2">
      <c r="A2668" s="7"/>
      <c r="B2668" s="7"/>
      <c r="C2668" s="7"/>
      <c r="D2668" s="7"/>
      <c r="E2668" s="7">
        <v>831212</v>
      </c>
      <c r="F2668" s="7"/>
      <c r="G2668" s="7" t="s">
        <v>1976</v>
      </c>
      <c r="H2668" s="7"/>
      <c r="I2668" s="27" t="s">
        <v>133</v>
      </c>
      <c r="J2668" s="7"/>
      <c r="K2668" s="27" t="s">
        <v>2208</v>
      </c>
      <c r="L2668" s="7"/>
    </row>
    <row r="2669" spans="1:12" x14ac:dyDescent="0.2">
      <c r="A2669" s="7"/>
      <c r="B2669" s="7"/>
      <c r="C2669" s="7"/>
      <c r="D2669" s="7"/>
      <c r="E2669" s="7">
        <v>831220</v>
      </c>
      <c r="F2669" s="7"/>
      <c r="G2669" s="7" t="s">
        <v>629</v>
      </c>
      <c r="H2669" s="7"/>
      <c r="I2669" s="27" t="s">
        <v>133</v>
      </c>
      <c r="J2669" s="7"/>
      <c r="K2669" s="27" t="s">
        <v>2208</v>
      </c>
      <c r="L2669" s="7"/>
    </row>
    <row r="2670" spans="1:12" x14ac:dyDescent="0.2">
      <c r="A2670" s="7"/>
      <c r="B2670" s="7"/>
      <c r="C2670" s="7"/>
      <c r="D2670" s="7"/>
      <c r="E2670" s="7">
        <v>831230</v>
      </c>
      <c r="F2670" s="7"/>
      <c r="G2670" s="7" t="s">
        <v>1977</v>
      </c>
      <c r="H2670" s="7"/>
      <c r="I2670" s="27" t="s">
        <v>133</v>
      </c>
      <c r="J2670" s="7"/>
      <c r="K2670" s="27" t="s">
        <v>2208</v>
      </c>
      <c r="L2670" s="7"/>
    </row>
    <row r="2671" spans="1:12" x14ac:dyDescent="0.2">
      <c r="A2671" s="7"/>
      <c r="B2671" s="7"/>
      <c r="C2671" s="7"/>
      <c r="D2671" s="7"/>
      <c r="E2671" s="7">
        <v>831310</v>
      </c>
      <c r="F2671" s="7"/>
      <c r="G2671" s="7" t="s">
        <v>1978</v>
      </c>
      <c r="H2671" s="7"/>
      <c r="I2671" s="27" t="s">
        <v>133</v>
      </c>
      <c r="J2671" s="7"/>
      <c r="K2671" s="27" t="s">
        <v>2208</v>
      </c>
      <c r="L2671" s="7"/>
    </row>
    <row r="2672" spans="1:12" x14ac:dyDescent="0.2">
      <c r="A2672" s="7"/>
      <c r="B2672" s="7"/>
      <c r="C2672" s="7"/>
      <c r="D2672" s="7"/>
      <c r="E2672" s="7">
        <v>831311</v>
      </c>
      <c r="F2672" s="7"/>
      <c r="G2672" s="7" t="s">
        <v>1979</v>
      </c>
      <c r="H2672" s="7"/>
      <c r="I2672" s="27" t="s">
        <v>133</v>
      </c>
      <c r="J2672" s="7"/>
      <c r="K2672" s="27" t="s">
        <v>2208</v>
      </c>
      <c r="L2672" s="7"/>
    </row>
    <row r="2673" spans="1:12" x14ac:dyDescent="0.2">
      <c r="A2673" s="7"/>
      <c r="B2673" s="7"/>
      <c r="C2673" s="7"/>
      <c r="D2673" s="7"/>
      <c r="E2673" s="7">
        <v>831312</v>
      </c>
      <c r="F2673" s="7"/>
      <c r="G2673" s="7" t="s">
        <v>1980</v>
      </c>
      <c r="H2673" s="7"/>
      <c r="I2673" s="27" t="s">
        <v>133</v>
      </c>
      <c r="J2673" s="7"/>
      <c r="K2673" s="27" t="s">
        <v>2208</v>
      </c>
      <c r="L2673" s="7"/>
    </row>
    <row r="2674" spans="1:12" x14ac:dyDescent="0.2">
      <c r="A2674" s="7"/>
      <c r="B2674" s="7"/>
      <c r="C2674" s="7"/>
      <c r="D2674" s="7"/>
      <c r="E2674" s="7">
        <v>831313</v>
      </c>
      <c r="F2674" s="7"/>
      <c r="G2674" s="7" t="s">
        <v>1981</v>
      </c>
      <c r="H2674" s="7"/>
      <c r="I2674" s="27" t="s">
        <v>133</v>
      </c>
      <c r="J2674" s="7"/>
      <c r="K2674" s="27" t="s">
        <v>2208</v>
      </c>
      <c r="L2674" s="7"/>
    </row>
    <row r="2675" spans="1:12" x14ac:dyDescent="0.2">
      <c r="A2675" s="7"/>
      <c r="B2675" s="7"/>
      <c r="C2675" s="7"/>
      <c r="D2675" s="7"/>
      <c r="E2675" s="7">
        <v>831320</v>
      </c>
      <c r="F2675" s="7"/>
      <c r="G2675" s="7" t="s">
        <v>1982</v>
      </c>
      <c r="H2675" s="7"/>
      <c r="I2675" s="27" t="s">
        <v>133</v>
      </c>
      <c r="J2675" s="7"/>
      <c r="K2675" s="27" t="s">
        <v>2208</v>
      </c>
      <c r="L2675" s="7"/>
    </row>
    <row r="2676" spans="1:12" x14ac:dyDescent="0.2">
      <c r="A2676" s="7"/>
      <c r="B2676" s="7"/>
      <c r="C2676" s="7"/>
      <c r="D2676" s="7"/>
      <c r="E2676" s="7">
        <v>831321</v>
      </c>
      <c r="F2676" s="7"/>
      <c r="G2676" s="7" t="s">
        <v>1983</v>
      </c>
      <c r="H2676" s="7"/>
      <c r="I2676" s="27" t="s">
        <v>133</v>
      </c>
      <c r="J2676" s="7"/>
      <c r="K2676" s="27" t="s">
        <v>2208</v>
      </c>
      <c r="L2676" s="7"/>
    </row>
    <row r="2677" spans="1:12" x14ac:dyDescent="0.2">
      <c r="A2677" s="7"/>
      <c r="B2677" s="7"/>
      <c r="C2677" s="7"/>
      <c r="D2677" s="7"/>
      <c r="E2677" s="7">
        <v>831322</v>
      </c>
      <c r="F2677" s="7"/>
      <c r="G2677" s="7" t="s">
        <v>1984</v>
      </c>
      <c r="H2677" s="7"/>
      <c r="I2677" s="27" t="s">
        <v>133</v>
      </c>
      <c r="J2677" s="7"/>
      <c r="K2677" s="27" t="s">
        <v>2208</v>
      </c>
      <c r="L2677" s="7"/>
    </row>
    <row r="2678" spans="1:12" x14ac:dyDescent="0.2">
      <c r="A2678" s="7"/>
      <c r="B2678" s="7"/>
      <c r="C2678" s="7"/>
      <c r="D2678" s="7"/>
      <c r="E2678" s="7">
        <v>831323</v>
      </c>
      <c r="F2678" s="7"/>
      <c r="G2678" s="7" t="s">
        <v>1985</v>
      </c>
      <c r="H2678" s="7"/>
      <c r="I2678" s="27" t="s">
        <v>133</v>
      </c>
      <c r="J2678" s="7"/>
      <c r="K2678" s="27" t="s">
        <v>2208</v>
      </c>
      <c r="L2678" s="7"/>
    </row>
    <row r="2679" spans="1:12" x14ac:dyDescent="0.2">
      <c r="A2679" s="7"/>
      <c r="B2679" s="7"/>
      <c r="C2679" s="7"/>
      <c r="D2679" s="7"/>
      <c r="E2679" s="7">
        <v>831330</v>
      </c>
      <c r="F2679" s="7"/>
      <c r="G2679" s="7" t="s">
        <v>1986</v>
      </c>
      <c r="H2679" s="7"/>
      <c r="I2679" s="27" t="s">
        <v>133</v>
      </c>
      <c r="J2679" s="7"/>
      <c r="K2679" s="27" t="s">
        <v>2208</v>
      </c>
      <c r="L2679" s="7"/>
    </row>
    <row r="2680" spans="1:12" x14ac:dyDescent="0.2">
      <c r="A2680" s="7"/>
      <c r="B2680" s="7"/>
      <c r="C2680" s="7"/>
      <c r="D2680" s="7"/>
      <c r="E2680" s="7">
        <v>831331</v>
      </c>
      <c r="F2680" s="7"/>
      <c r="G2680" s="7" t="s">
        <v>1987</v>
      </c>
      <c r="H2680" s="7"/>
      <c r="I2680" s="27" t="s">
        <v>133</v>
      </c>
      <c r="J2680" s="7"/>
      <c r="K2680" s="27" t="s">
        <v>2208</v>
      </c>
      <c r="L2680" s="7"/>
    </row>
    <row r="2681" spans="1:12" x14ac:dyDescent="0.2">
      <c r="A2681" s="7"/>
      <c r="B2681" s="7"/>
      <c r="C2681" s="7"/>
      <c r="D2681" s="7"/>
      <c r="E2681" s="7">
        <v>831332</v>
      </c>
      <c r="F2681" s="7"/>
      <c r="G2681" s="7" t="s">
        <v>1988</v>
      </c>
      <c r="H2681" s="7"/>
      <c r="I2681" s="27" t="s">
        <v>133</v>
      </c>
      <c r="J2681" s="7"/>
      <c r="K2681" s="27" t="s">
        <v>2208</v>
      </c>
      <c r="L2681" s="7"/>
    </row>
    <row r="2682" spans="1:12" x14ac:dyDescent="0.2">
      <c r="A2682" s="7"/>
      <c r="B2682" s="7"/>
      <c r="C2682" s="7"/>
      <c r="D2682" s="7"/>
      <c r="E2682" s="7">
        <v>831333</v>
      </c>
      <c r="F2682" s="7"/>
      <c r="G2682" s="7" t="s">
        <v>717</v>
      </c>
      <c r="H2682" s="7"/>
      <c r="I2682" s="27" t="s">
        <v>133</v>
      </c>
      <c r="J2682" s="7"/>
      <c r="K2682" s="27" t="s">
        <v>2208</v>
      </c>
      <c r="L2682" s="7"/>
    </row>
    <row r="2683" spans="1:12" x14ac:dyDescent="0.2">
      <c r="A2683" s="7"/>
      <c r="B2683" s="7"/>
      <c r="C2683" s="7"/>
      <c r="D2683" s="7"/>
      <c r="E2683" s="7">
        <v>831340</v>
      </c>
      <c r="F2683" s="7"/>
      <c r="G2683" s="7" t="s">
        <v>1989</v>
      </c>
      <c r="H2683" s="7"/>
      <c r="I2683" s="27" t="s">
        <v>133</v>
      </c>
      <c r="J2683" s="7"/>
      <c r="K2683" s="27" t="s">
        <v>2208</v>
      </c>
      <c r="L2683" s="7"/>
    </row>
    <row r="2684" spans="1:12" x14ac:dyDescent="0.2">
      <c r="A2684" s="7"/>
      <c r="B2684" s="7"/>
      <c r="C2684" s="7"/>
      <c r="D2684" s="7"/>
      <c r="E2684" s="7">
        <v>831341</v>
      </c>
      <c r="F2684" s="7"/>
      <c r="G2684" s="7" t="s">
        <v>1990</v>
      </c>
      <c r="H2684" s="7"/>
      <c r="I2684" s="27" t="s">
        <v>133</v>
      </c>
      <c r="J2684" s="7"/>
      <c r="K2684" s="27" t="s">
        <v>2208</v>
      </c>
      <c r="L2684" s="7"/>
    </row>
    <row r="2685" spans="1:12" x14ac:dyDescent="0.2">
      <c r="A2685" s="7"/>
      <c r="B2685" s="7"/>
      <c r="C2685" s="7"/>
      <c r="D2685" s="7"/>
      <c r="E2685" s="7">
        <v>831342</v>
      </c>
      <c r="F2685" s="7"/>
      <c r="G2685" s="7" t="s">
        <v>1991</v>
      </c>
      <c r="H2685" s="7"/>
      <c r="I2685" s="27" t="s">
        <v>133</v>
      </c>
      <c r="J2685" s="7"/>
      <c r="K2685" s="27" t="s">
        <v>2208</v>
      </c>
      <c r="L2685" s="7"/>
    </row>
    <row r="2686" spans="1:12" x14ac:dyDescent="0.2">
      <c r="A2686" s="7"/>
      <c r="B2686" s="7"/>
      <c r="C2686" s="7"/>
      <c r="D2686" s="7"/>
      <c r="E2686" s="7">
        <v>831343</v>
      </c>
      <c r="F2686" s="7"/>
      <c r="G2686" s="7" t="s">
        <v>1992</v>
      </c>
      <c r="H2686" s="7"/>
      <c r="I2686" s="27" t="s">
        <v>133</v>
      </c>
      <c r="J2686" s="7"/>
      <c r="K2686" s="27" t="s">
        <v>2208</v>
      </c>
      <c r="L2686" s="7"/>
    </row>
    <row r="2687" spans="1:12" x14ac:dyDescent="0.2">
      <c r="A2687" s="7"/>
      <c r="B2687" s="7"/>
      <c r="C2687" s="7"/>
      <c r="D2687" s="7"/>
      <c r="E2687" s="7">
        <v>831350</v>
      </c>
      <c r="F2687" s="7"/>
      <c r="G2687" s="7" t="s">
        <v>1993</v>
      </c>
      <c r="H2687" s="7"/>
      <c r="I2687" s="27" t="s">
        <v>133</v>
      </c>
      <c r="J2687" s="7"/>
      <c r="K2687" s="27" t="s">
        <v>2208</v>
      </c>
      <c r="L2687" s="7"/>
    </row>
    <row r="2688" spans="1:12" x14ac:dyDescent="0.2">
      <c r="A2688" s="7"/>
      <c r="B2688" s="7"/>
      <c r="C2688" s="7"/>
      <c r="D2688" s="7"/>
      <c r="E2688" s="7">
        <v>831351</v>
      </c>
      <c r="F2688" s="7"/>
      <c r="G2688" s="7" t="s">
        <v>1994</v>
      </c>
      <c r="H2688" s="7"/>
      <c r="I2688" s="27" t="s">
        <v>133</v>
      </c>
      <c r="J2688" s="7"/>
      <c r="K2688" s="27" t="s">
        <v>2208</v>
      </c>
      <c r="L2688" s="7"/>
    </row>
    <row r="2689" spans="1:12" x14ac:dyDescent="0.2">
      <c r="A2689" s="7"/>
      <c r="B2689" s="7"/>
      <c r="C2689" s="7"/>
      <c r="D2689" s="7"/>
      <c r="E2689" s="7">
        <v>831352</v>
      </c>
      <c r="F2689" s="7"/>
      <c r="G2689" s="7" t="s">
        <v>1995</v>
      </c>
      <c r="H2689" s="7"/>
      <c r="I2689" s="27" t="s">
        <v>133</v>
      </c>
      <c r="J2689" s="7"/>
      <c r="K2689" s="27" t="s">
        <v>2208</v>
      </c>
      <c r="L2689" s="7"/>
    </row>
    <row r="2690" spans="1:12" x14ac:dyDescent="0.2">
      <c r="A2690" s="7"/>
      <c r="B2690" s="7"/>
      <c r="C2690" s="7"/>
      <c r="D2690" s="7"/>
      <c r="E2690" s="7">
        <v>831353</v>
      </c>
      <c r="F2690" s="7"/>
      <c r="G2690" s="7" t="s">
        <v>1996</v>
      </c>
      <c r="H2690" s="7"/>
      <c r="I2690" s="27" t="s">
        <v>133</v>
      </c>
      <c r="J2690" s="7"/>
      <c r="K2690" s="27" t="s">
        <v>2208</v>
      </c>
      <c r="L2690" s="7"/>
    </row>
    <row r="2691" spans="1:12" x14ac:dyDescent="0.2">
      <c r="A2691" s="7"/>
      <c r="B2691" s="7"/>
      <c r="C2691" s="7"/>
      <c r="D2691" s="7"/>
      <c r="E2691" s="7">
        <v>831410</v>
      </c>
      <c r="F2691" s="7"/>
      <c r="G2691" s="7" t="s">
        <v>1997</v>
      </c>
      <c r="H2691" s="7"/>
      <c r="I2691" s="27" t="s">
        <v>133</v>
      </c>
      <c r="J2691" s="7"/>
      <c r="K2691" s="27" t="s">
        <v>2208</v>
      </c>
      <c r="L2691" s="7"/>
    </row>
    <row r="2692" spans="1:12" x14ac:dyDescent="0.2">
      <c r="A2692" s="7"/>
      <c r="B2692" s="7"/>
      <c r="C2692" s="7"/>
      <c r="D2692" s="7"/>
      <c r="E2692" s="7">
        <v>831411</v>
      </c>
      <c r="F2692" s="7"/>
      <c r="G2692" s="7" t="s">
        <v>1998</v>
      </c>
      <c r="H2692" s="7"/>
      <c r="I2692" s="27" t="s">
        <v>133</v>
      </c>
      <c r="J2692" s="7"/>
      <c r="K2692" s="27" t="s">
        <v>2208</v>
      </c>
      <c r="L2692" s="7"/>
    </row>
    <row r="2693" spans="1:12" x14ac:dyDescent="0.2">
      <c r="A2693" s="7"/>
      <c r="B2693" s="7"/>
      <c r="C2693" s="7"/>
      <c r="D2693" s="7"/>
      <c r="E2693" s="7">
        <v>831420</v>
      </c>
      <c r="F2693" s="7"/>
      <c r="G2693" s="7" t="s">
        <v>1999</v>
      </c>
      <c r="H2693" s="7"/>
      <c r="I2693" s="27" t="s">
        <v>133</v>
      </c>
      <c r="J2693" s="7"/>
      <c r="K2693" s="27" t="s">
        <v>2208</v>
      </c>
      <c r="L2693" s="7"/>
    </row>
    <row r="2694" spans="1:12" x14ac:dyDescent="0.2">
      <c r="A2694" s="7"/>
      <c r="B2694" s="7"/>
      <c r="C2694" s="7"/>
      <c r="D2694" s="7"/>
      <c r="E2694" s="7">
        <v>831421</v>
      </c>
      <c r="F2694" s="7"/>
      <c r="G2694" s="7" t="s">
        <v>774</v>
      </c>
      <c r="H2694" s="7"/>
      <c r="I2694" s="27" t="s">
        <v>133</v>
      </c>
      <c r="J2694" s="7"/>
      <c r="K2694" s="27" t="s">
        <v>2208</v>
      </c>
      <c r="L2694" s="7"/>
    </row>
    <row r="2695" spans="1:12" x14ac:dyDescent="0.2">
      <c r="A2695" s="7"/>
      <c r="B2695" s="7"/>
      <c r="C2695" s="7"/>
      <c r="D2695" s="7"/>
      <c r="E2695" s="7">
        <v>831430</v>
      </c>
      <c r="F2695" s="7"/>
      <c r="G2695" s="7" t="s">
        <v>2000</v>
      </c>
      <c r="H2695" s="7"/>
      <c r="I2695" s="27" t="s">
        <v>133</v>
      </c>
      <c r="J2695" s="7"/>
      <c r="K2695" s="27" t="s">
        <v>2208</v>
      </c>
      <c r="L2695" s="7"/>
    </row>
    <row r="2696" spans="1:12" x14ac:dyDescent="0.2">
      <c r="A2696" s="7"/>
      <c r="B2696" s="7"/>
      <c r="C2696" s="7"/>
      <c r="D2696" s="7"/>
      <c r="E2696" s="7">
        <v>831440</v>
      </c>
      <c r="F2696" s="7"/>
      <c r="G2696" s="7" t="s">
        <v>2001</v>
      </c>
      <c r="H2696" s="7"/>
      <c r="I2696" s="27" t="s">
        <v>133</v>
      </c>
      <c r="J2696" s="7"/>
      <c r="K2696" s="27" t="s">
        <v>2208</v>
      </c>
      <c r="L2696" s="7"/>
    </row>
    <row r="2697" spans="1:12" x14ac:dyDescent="0.2">
      <c r="A2697" s="7"/>
      <c r="B2697" s="7"/>
      <c r="C2697" s="7"/>
      <c r="D2697" s="7"/>
      <c r="E2697" s="7">
        <v>831441</v>
      </c>
      <c r="F2697" s="7"/>
      <c r="G2697" s="7" t="s">
        <v>2002</v>
      </c>
      <c r="H2697" s="7"/>
      <c r="I2697" s="27" t="s">
        <v>133</v>
      </c>
      <c r="J2697" s="7"/>
      <c r="K2697" s="27" t="s">
        <v>2208</v>
      </c>
      <c r="L2697" s="7"/>
    </row>
    <row r="2698" spans="1:12" x14ac:dyDescent="0.2">
      <c r="A2698" s="7"/>
      <c r="B2698" s="7"/>
      <c r="C2698" s="7"/>
      <c r="D2698" s="7"/>
      <c r="E2698" s="7">
        <v>831445</v>
      </c>
      <c r="F2698" s="7"/>
      <c r="G2698" s="7" t="s">
        <v>2003</v>
      </c>
      <c r="H2698" s="7"/>
      <c r="I2698" s="27" t="s">
        <v>133</v>
      </c>
      <c r="J2698" s="7"/>
      <c r="K2698" s="27" t="s">
        <v>2208</v>
      </c>
      <c r="L2698" s="7"/>
    </row>
    <row r="2699" spans="1:12" x14ac:dyDescent="0.2">
      <c r="A2699" s="7"/>
      <c r="B2699" s="7"/>
      <c r="C2699" s="7"/>
      <c r="D2699" s="7"/>
      <c r="E2699" s="7">
        <v>831446</v>
      </c>
      <c r="F2699" s="7"/>
      <c r="G2699" s="7" t="s">
        <v>2004</v>
      </c>
      <c r="H2699" s="7"/>
      <c r="I2699" s="27" t="s">
        <v>133</v>
      </c>
      <c r="J2699" s="7"/>
      <c r="K2699" s="27" t="s">
        <v>2208</v>
      </c>
      <c r="L2699" s="7"/>
    </row>
    <row r="2700" spans="1:12" x14ac:dyDescent="0.2">
      <c r="A2700" s="7"/>
      <c r="B2700" s="7"/>
      <c r="C2700" s="7"/>
      <c r="D2700" s="7"/>
      <c r="E2700" s="7">
        <v>831447</v>
      </c>
      <c r="F2700" s="7"/>
      <c r="G2700" s="7" t="s">
        <v>2005</v>
      </c>
      <c r="H2700" s="7"/>
      <c r="I2700" s="27" t="s">
        <v>133</v>
      </c>
      <c r="J2700" s="7"/>
      <c r="K2700" s="27" t="s">
        <v>2208</v>
      </c>
      <c r="L2700" s="7"/>
    </row>
    <row r="2701" spans="1:12" x14ac:dyDescent="0.2">
      <c r="A2701" s="7"/>
      <c r="B2701" s="7"/>
      <c r="C2701" s="7"/>
      <c r="D2701" s="7"/>
      <c r="E2701" s="7">
        <v>831448</v>
      </c>
      <c r="F2701" s="7"/>
      <c r="G2701" s="7" t="s">
        <v>2006</v>
      </c>
      <c r="H2701" s="7"/>
      <c r="I2701" s="27" t="s">
        <v>133</v>
      </c>
      <c r="J2701" s="7"/>
      <c r="K2701" s="27" t="s">
        <v>2208</v>
      </c>
      <c r="L2701" s="7"/>
    </row>
    <row r="2702" spans="1:12" x14ac:dyDescent="0.2">
      <c r="A2702" s="7"/>
      <c r="B2702" s="7"/>
      <c r="C2702" s="7"/>
      <c r="D2702" s="7"/>
      <c r="E2702" s="7">
        <v>831450</v>
      </c>
      <c r="F2702" s="7"/>
      <c r="G2702" s="7" t="s">
        <v>2007</v>
      </c>
      <c r="H2702" s="7"/>
      <c r="I2702" s="27" t="s">
        <v>133</v>
      </c>
      <c r="J2702" s="7"/>
      <c r="K2702" s="27" t="s">
        <v>2208</v>
      </c>
      <c r="L2702" s="7"/>
    </row>
    <row r="2703" spans="1:12" x14ac:dyDescent="0.2">
      <c r="A2703" s="7"/>
      <c r="B2703" s="7"/>
      <c r="C2703" s="7"/>
      <c r="D2703" s="7"/>
      <c r="E2703" s="7">
        <v>831451</v>
      </c>
      <c r="F2703" s="7"/>
      <c r="G2703" s="7" t="s">
        <v>2008</v>
      </c>
      <c r="H2703" s="7"/>
      <c r="I2703" s="27" t="s">
        <v>133</v>
      </c>
      <c r="J2703" s="7"/>
      <c r="K2703" s="27" t="s">
        <v>2208</v>
      </c>
      <c r="L2703" s="7"/>
    </row>
    <row r="2704" spans="1:12" x14ac:dyDescent="0.2">
      <c r="A2704" s="7"/>
      <c r="B2704" s="7"/>
      <c r="C2704" s="7"/>
      <c r="D2704" s="7"/>
      <c r="E2704" s="7">
        <v>831455</v>
      </c>
      <c r="F2704" s="7"/>
      <c r="G2704" s="7" t="s">
        <v>2009</v>
      </c>
      <c r="H2704" s="7"/>
      <c r="I2704" s="27" t="s">
        <v>133</v>
      </c>
      <c r="J2704" s="7"/>
      <c r="K2704" s="27" t="s">
        <v>2208</v>
      </c>
      <c r="L2704" s="7"/>
    </row>
    <row r="2705" spans="1:12" x14ac:dyDescent="0.2">
      <c r="A2705" s="7"/>
      <c r="B2705" s="7"/>
      <c r="C2705" s="7"/>
      <c r="D2705" s="7"/>
      <c r="E2705" s="7">
        <v>831456</v>
      </c>
      <c r="F2705" s="7"/>
      <c r="G2705" s="7" t="s">
        <v>2010</v>
      </c>
      <c r="H2705" s="7"/>
      <c r="I2705" s="27" t="s">
        <v>133</v>
      </c>
      <c r="J2705" s="7"/>
      <c r="K2705" s="27" t="s">
        <v>2208</v>
      </c>
      <c r="L2705" s="7"/>
    </row>
    <row r="2706" spans="1:12" x14ac:dyDescent="0.2">
      <c r="A2706" s="7"/>
      <c r="B2706" s="7"/>
      <c r="C2706" s="7"/>
      <c r="D2706" s="7"/>
      <c r="E2706" s="7">
        <v>831457</v>
      </c>
      <c r="F2706" s="7"/>
      <c r="G2706" s="7" t="s">
        <v>2011</v>
      </c>
      <c r="H2706" s="7"/>
      <c r="I2706" s="27" t="s">
        <v>133</v>
      </c>
      <c r="J2706" s="7"/>
      <c r="K2706" s="27" t="s">
        <v>2208</v>
      </c>
      <c r="L2706" s="7"/>
    </row>
    <row r="2707" spans="1:12" x14ac:dyDescent="0.2">
      <c r="A2707" s="7"/>
      <c r="B2707" s="7"/>
      <c r="C2707" s="7"/>
      <c r="D2707" s="7"/>
      <c r="E2707" s="7">
        <v>831458</v>
      </c>
      <c r="F2707" s="7"/>
      <c r="G2707" s="7" t="s">
        <v>2012</v>
      </c>
      <c r="H2707" s="7"/>
      <c r="I2707" s="27" t="s">
        <v>133</v>
      </c>
      <c r="J2707" s="7"/>
      <c r="K2707" s="27" t="s">
        <v>2208</v>
      </c>
      <c r="L2707" s="7"/>
    </row>
    <row r="2708" spans="1:12" x14ac:dyDescent="0.2">
      <c r="A2708" s="7"/>
      <c r="B2708" s="7"/>
      <c r="C2708" s="7"/>
      <c r="D2708" s="7"/>
      <c r="E2708" s="7">
        <v>831460</v>
      </c>
      <c r="F2708" s="7"/>
      <c r="G2708" s="7" t="s">
        <v>2013</v>
      </c>
      <c r="H2708" s="7"/>
      <c r="I2708" s="27" t="s">
        <v>133</v>
      </c>
      <c r="J2708" s="7"/>
      <c r="K2708" s="27" t="s">
        <v>2208</v>
      </c>
      <c r="L2708" s="7"/>
    </row>
    <row r="2709" spans="1:12" x14ac:dyDescent="0.2">
      <c r="A2709" s="7"/>
      <c r="B2709" s="7"/>
      <c r="C2709" s="7"/>
      <c r="D2709" s="7"/>
      <c r="E2709" s="7">
        <v>831461</v>
      </c>
      <c r="F2709" s="7"/>
      <c r="G2709" s="7" t="s">
        <v>2014</v>
      </c>
      <c r="H2709" s="7"/>
      <c r="I2709" s="27" t="s">
        <v>133</v>
      </c>
      <c r="J2709" s="7"/>
      <c r="K2709" s="27" t="s">
        <v>2208</v>
      </c>
      <c r="L2709" s="7"/>
    </row>
    <row r="2710" spans="1:12" x14ac:dyDescent="0.2">
      <c r="A2710" s="7"/>
      <c r="B2710" s="7"/>
      <c r="C2710" s="7"/>
      <c r="D2710" s="7"/>
      <c r="E2710" s="7">
        <v>831462</v>
      </c>
      <c r="F2710" s="7"/>
      <c r="G2710" s="7" t="s">
        <v>2015</v>
      </c>
      <c r="H2710" s="7"/>
      <c r="I2710" s="27" t="s">
        <v>133</v>
      </c>
      <c r="J2710" s="7"/>
      <c r="K2710" s="27" t="s">
        <v>2208</v>
      </c>
      <c r="L2710" s="7"/>
    </row>
    <row r="2711" spans="1:12" x14ac:dyDescent="0.2">
      <c r="A2711" s="7"/>
      <c r="B2711" s="7"/>
      <c r="C2711" s="7"/>
      <c r="D2711" s="7"/>
      <c r="E2711" s="7">
        <v>831463</v>
      </c>
      <c r="F2711" s="7"/>
      <c r="G2711" s="7" t="s">
        <v>799</v>
      </c>
      <c r="H2711" s="7"/>
      <c r="I2711" s="27" t="s">
        <v>133</v>
      </c>
      <c r="J2711" s="7"/>
      <c r="K2711" s="27" t="s">
        <v>2208</v>
      </c>
      <c r="L2711" s="7"/>
    </row>
    <row r="2712" spans="1:12" x14ac:dyDescent="0.2">
      <c r="A2712" s="7"/>
      <c r="B2712" s="7"/>
      <c r="C2712" s="7"/>
      <c r="D2712" s="7"/>
      <c r="E2712" s="7">
        <v>831470</v>
      </c>
      <c r="F2712" s="7"/>
      <c r="G2712" s="7" t="s">
        <v>2016</v>
      </c>
      <c r="H2712" s="7"/>
      <c r="I2712" s="27" t="s">
        <v>133</v>
      </c>
      <c r="J2712" s="7"/>
      <c r="K2712" s="27" t="s">
        <v>2208</v>
      </c>
      <c r="L2712" s="7"/>
    </row>
    <row r="2713" spans="1:12" x14ac:dyDescent="0.2">
      <c r="A2713" s="7"/>
      <c r="B2713" s="7"/>
      <c r="C2713" s="7"/>
      <c r="D2713" s="7"/>
      <c r="E2713" s="7">
        <v>831471</v>
      </c>
      <c r="F2713" s="7"/>
      <c r="G2713" s="7" t="s">
        <v>2017</v>
      </c>
      <c r="H2713" s="7"/>
      <c r="I2713" s="27" t="s">
        <v>133</v>
      </c>
      <c r="J2713" s="7"/>
      <c r="K2713" s="27" t="s">
        <v>2208</v>
      </c>
      <c r="L2713" s="7"/>
    </row>
    <row r="2714" spans="1:12" x14ac:dyDescent="0.2">
      <c r="A2714" s="7"/>
      <c r="B2714" s="7"/>
      <c r="C2714" s="7"/>
      <c r="D2714" s="7"/>
      <c r="E2714" s="7">
        <v>831472</v>
      </c>
      <c r="F2714" s="7"/>
      <c r="G2714" s="7" t="s">
        <v>2018</v>
      </c>
      <c r="H2714" s="7"/>
      <c r="I2714" s="27" t="s">
        <v>133</v>
      </c>
      <c r="J2714" s="7"/>
      <c r="K2714" s="27" t="s">
        <v>2208</v>
      </c>
      <c r="L2714" s="7"/>
    </row>
    <row r="2715" spans="1:12" x14ac:dyDescent="0.2">
      <c r="A2715" s="7"/>
      <c r="B2715" s="7"/>
      <c r="C2715" s="7"/>
      <c r="D2715" s="7"/>
      <c r="E2715" s="7">
        <v>831473</v>
      </c>
      <c r="F2715" s="7"/>
      <c r="G2715" s="7" t="s">
        <v>2019</v>
      </c>
      <c r="H2715" s="7"/>
      <c r="I2715" s="27" t="s">
        <v>133</v>
      </c>
      <c r="J2715" s="7"/>
      <c r="K2715" s="27" t="s">
        <v>2208</v>
      </c>
      <c r="L2715" s="7"/>
    </row>
    <row r="2716" spans="1:12" x14ac:dyDescent="0.2">
      <c r="A2716" s="7"/>
      <c r="B2716" s="7"/>
      <c r="C2716" s="7"/>
      <c r="D2716" s="7"/>
      <c r="E2716" s="7">
        <v>831510</v>
      </c>
      <c r="F2716" s="7"/>
      <c r="G2716" s="7" t="s">
        <v>2020</v>
      </c>
      <c r="H2716" s="7"/>
      <c r="I2716" s="27" t="s">
        <v>133</v>
      </c>
      <c r="J2716" s="7"/>
      <c r="K2716" s="27" t="s">
        <v>2208</v>
      </c>
      <c r="L2716" s="7"/>
    </row>
    <row r="2717" spans="1:12" x14ac:dyDescent="0.2">
      <c r="A2717" s="7"/>
      <c r="B2717" s="7"/>
      <c r="C2717" s="7"/>
      <c r="D2717" s="7"/>
      <c r="E2717" s="7">
        <v>831511</v>
      </c>
      <c r="F2717" s="7"/>
      <c r="G2717" s="7" t="s">
        <v>2021</v>
      </c>
      <c r="H2717" s="7"/>
      <c r="I2717" s="27" t="s">
        <v>133</v>
      </c>
      <c r="J2717" s="7"/>
      <c r="K2717" s="27" t="s">
        <v>2208</v>
      </c>
      <c r="L2717" s="7"/>
    </row>
    <row r="2718" spans="1:12" x14ac:dyDescent="0.2">
      <c r="A2718" s="7"/>
      <c r="B2718" s="7"/>
      <c r="C2718" s="7"/>
      <c r="D2718" s="7"/>
      <c r="E2718" s="7">
        <v>831520</v>
      </c>
      <c r="F2718" s="7"/>
      <c r="G2718" s="7" t="s">
        <v>2022</v>
      </c>
      <c r="H2718" s="7"/>
      <c r="I2718" s="27" t="s">
        <v>133</v>
      </c>
      <c r="J2718" s="7"/>
      <c r="K2718" s="27" t="s">
        <v>2208</v>
      </c>
      <c r="L2718" s="7"/>
    </row>
    <row r="2719" spans="1:12" x14ac:dyDescent="0.2">
      <c r="A2719" s="7"/>
      <c r="B2719" s="7"/>
      <c r="C2719" s="7"/>
      <c r="D2719" s="7"/>
      <c r="E2719" s="7">
        <v>831521</v>
      </c>
      <c r="F2719" s="7"/>
      <c r="G2719" s="7" t="s">
        <v>2023</v>
      </c>
      <c r="H2719" s="7"/>
      <c r="I2719" s="27" t="s">
        <v>133</v>
      </c>
      <c r="J2719" s="7"/>
      <c r="K2719" s="27" t="s">
        <v>2208</v>
      </c>
      <c r="L2719" s="7"/>
    </row>
    <row r="2720" spans="1:12" x14ac:dyDescent="0.2">
      <c r="A2720" s="7"/>
      <c r="B2720" s="7"/>
      <c r="C2720" s="7"/>
      <c r="D2720" s="7"/>
      <c r="E2720" s="7">
        <v>831530</v>
      </c>
      <c r="F2720" s="7"/>
      <c r="G2720" s="7" t="s">
        <v>2024</v>
      </c>
      <c r="H2720" s="7"/>
      <c r="I2720" s="27" t="s">
        <v>133</v>
      </c>
      <c r="J2720" s="7"/>
      <c r="K2720" s="27" t="s">
        <v>2208</v>
      </c>
      <c r="L2720" s="7"/>
    </row>
    <row r="2721" spans="1:12" x14ac:dyDescent="0.2">
      <c r="A2721" s="7"/>
      <c r="B2721" s="7"/>
      <c r="C2721" s="7"/>
      <c r="D2721" s="7"/>
      <c r="E2721" s="7">
        <v>831531</v>
      </c>
      <c r="F2721" s="7"/>
      <c r="G2721" s="7" t="s">
        <v>2025</v>
      </c>
      <c r="H2721" s="7"/>
      <c r="I2721" s="27" t="s">
        <v>133</v>
      </c>
      <c r="J2721" s="7"/>
      <c r="K2721" s="27" t="s">
        <v>2208</v>
      </c>
      <c r="L2721" s="7"/>
    </row>
    <row r="2722" spans="1:12" x14ac:dyDescent="0.2">
      <c r="A2722" s="7"/>
      <c r="B2722" s="7"/>
      <c r="C2722" s="7"/>
      <c r="D2722" s="7"/>
      <c r="E2722" s="7">
        <v>831532</v>
      </c>
      <c r="F2722" s="7"/>
      <c r="G2722" s="7" t="s">
        <v>2026</v>
      </c>
      <c r="H2722" s="7"/>
      <c r="I2722" s="27" t="s">
        <v>133</v>
      </c>
      <c r="J2722" s="7"/>
      <c r="K2722" s="27" t="s">
        <v>2208</v>
      </c>
      <c r="L2722" s="7"/>
    </row>
    <row r="2723" spans="1:12" x14ac:dyDescent="0.2">
      <c r="A2723" s="7"/>
      <c r="B2723" s="7"/>
      <c r="C2723" s="7"/>
      <c r="D2723" s="7"/>
      <c r="E2723" s="7">
        <v>831533</v>
      </c>
      <c r="F2723" s="7"/>
      <c r="G2723" s="7" t="s">
        <v>2027</v>
      </c>
      <c r="H2723" s="7"/>
      <c r="I2723" s="27" t="s">
        <v>133</v>
      </c>
      <c r="J2723" s="7"/>
      <c r="K2723" s="27" t="s">
        <v>2208</v>
      </c>
      <c r="L2723" s="7"/>
    </row>
    <row r="2724" spans="1:12" x14ac:dyDescent="0.2">
      <c r="A2724" s="7"/>
      <c r="B2724" s="7"/>
      <c r="C2724" s="7"/>
      <c r="D2724" s="7"/>
      <c r="E2724" s="7">
        <v>831540</v>
      </c>
      <c r="F2724" s="7"/>
      <c r="G2724" s="7" t="s">
        <v>2028</v>
      </c>
      <c r="H2724" s="7"/>
      <c r="I2724" s="27" t="s">
        <v>133</v>
      </c>
      <c r="J2724" s="7"/>
      <c r="K2724" s="27" t="s">
        <v>2208</v>
      </c>
      <c r="L2724" s="7"/>
    </row>
    <row r="2725" spans="1:12" x14ac:dyDescent="0.2">
      <c r="A2725" s="7"/>
      <c r="B2725" s="7"/>
      <c r="C2725" s="7"/>
      <c r="D2725" s="7"/>
      <c r="E2725" s="7">
        <v>831541</v>
      </c>
      <c r="F2725" s="7"/>
      <c r="G2725" s="7" t="s">
        <v>2029</v>
      </c>
      <c r="H2725" s="7"/>
      <c r="I2725" s="27" t="s">
        <v>133</v>
      </c>
      <c r="J2725" s="7"/>
      <c r="K2725" s="27" t="s">
        <v>2208</v>
      </c>
      <c r="L2725" s="7"/>
    </row>
    <row r="2726" spans="1:12" x14ac:dyDescent="0.2">
      <c r="A2726" s="7"/>
      <c r="B2726" s="7"/>
      <c r="C2726" s="7"/>
      <c r="D2726" s="7"/>
      <c r="E2726" s="7">
        <v>831542</v>
      </c>
      <c r="F2726" s="7"/>
      <c r="G2726" s="7" t="s">
        <v>2030</v>
      </c>
      <c r="H2726" s="7"/>
      <c r="I2726" s="27" t="s">
        <v>133</v>
      </c>
      <c r="J2726" s="7"/>
      <c r="K2726" s="27" t="s">
        <v>2208</v>
      </c>
      <c r="L2726" s="7"/>
    </row>
    <row r="2727" spans="1:12" x14ac:dyDescent="0.2">
      <c r="A2727" s="7"/>
      <c r="B2727" s="7"/>
      <c r="C2727" s="7"/>
      <c r="D2727" s="7"/>
      <c r="E2727" s="7">
        <v>831543</v>
      </c>
      <c r="F2727" s="7"/>
      <c r="G2727" s="7" t="s">
        <v>2031</v>
      </c>
      <c r="H2727" s="7"/>
      <c r="I2727" s="27" t="s">
        <v>133</v>
      </c>
      <c r="J2727" s="7"/>
      <c r="K2727" s="27" t="s">
        <v>2208</v>
      </c>
      <c r="L2727" s="7"/>
    </row>
    <row r="2728" spans="1:12" x14ac:dyDescent="0.2">
      <c r="A2728" s="7"/>
      <c r="B2728" s="7"/>
      <c r="C2728" s="7"/>
      <c r="D2728" s="7"/>
      <c r="E2728" s="7">
        <v>831610</v>
      </c>
      <c r="F2728" s="7"/>
      <c r="G2728" s="7" t="s">
        <v>2032</v>
      </c>
      <c r="H2728" s="7"/>
      <c r="I2728" s="27" t="s">
        <v>133</v>
      </c>
      <c r="J2728" s="7"/>
      <c r="K2728" s="27" t="s">
        <v>2208</v>
      </c>
      <c r="L2728" s="7"/>
    </row>
    <row r="2729" spans="1:12" x14ac:dyDescent="0.2">
      <c r="A2729" s="7"/>
      <c r="B2729" s="7"/>
      <c r="C2729" s="7"/>
      <c r="D2729" s="7"/>
      <c r="E2729" s="7">
        <v>831611</v>
      </c>
      <c r="F2729" s="7"/>
      <c r="G2729" s="7" t="s">
        <v>2033</v>
      </c>
      <c r="H2729" s="7"/>
      <c r="I2729" s="27" t="s">
        <v>133</v>
      </c>
      <c r="J2729" s="7"/>
      <c r="K2729" s="27" t="s">
        <v>2208</v>
      </c>
      <c r="L2729" s="7"/>
    </row>
    <row r="2730" spans="1:12" x14ac:dyDescent="0.2">
      <c r="A2730" s="7"/>
      <c r="B2730" s="7"/>
      <c r="C2730" s="7"/>
      <c r="D2730" s="7"/>
      <c r="E2730" s="7">
        <v>831612</v>
      </c>
      <c r="F2730" s="7"/>
      <c r="G2730" s="7" t="s">
        <v>2034</v>
      </c>
      <c r="H2730" s="7"/>
      <c r="I2730" s="27" t="s">
        <v>133</v>
      </c>
      <c r="J2730" s="7"/>
      <c r="K2730" s="27" t="s">
        <v>2208</v>
      </c>
      <c r="L2730" s="7"/>
    </row>
    <row r="2731" spans="1:12" x14ac:dyDescent="0.2">
      <c r="A2731" s="7"/>
      <c r="B2731" s="7"/>
      <c r="C2731" s="7"/>
      <c r="D2731" s="7"/>
      <c r="E2731" s="7">
        <v>831613</v>
      </c>
      <c r="F2731" s="7"/>
      <c r="G2731" s="7" t="s">
        <v>866</v>
      </c>
      <c r="H2731" s="7"/>
      <c r="I2731" s="27" t="s">
        <v>133</v>
      </c>
      <c r="J2731" s="7"/>
      <c r="K2731" s="27" t="s">
        <v>2208</v>
      </c>
      <c r="L2731" s="7"/>
    </row>
    <row r="2732" spans="1:12" x14ac:dyDescent="0.2">
      <c r="A2732" s="7"/>
      <c r="B2732" s="7"/>
      <c r="C2732" s="7"/>
      <c r="D2732" s="7"/>
      <c r="E2732" s="7">
        <v>831620</v>
      </c>
      <c r="F2732" s="7"/>
      <c r="G2732" s="7" t="s">
        <v>2035</v>
      </c>
      <c r="H2732" s="7"/>
      <c r="I2732" s="27" t="s">
        <v>133</v>
      </c>
      <c r="J2732" s="7"/>
      <c r="K2732" s="27" t="s">
        <v>2208</v>
      </c>
      <c r="L2732" s="7"/>
    </row>
    <row r="2733" spans="1:12" x14ac:dyDescent="0.2">
      <c r="A2733" s="7"/>
      <c r="B2733" s="7"/>
      <c r="C2733" s="7"/>
      <c r="D2733" s="7"/>
      <c r="E2733" s="7">
        <v>831621</v>
      </c>
      <c r="F2733" s="7"/>
      <c r="G2733" s="7" t="s">
        <v>2036</v>
      </c>
      <c r="H2733" s="7"/>
      <c r="I2733" s="27" t="s">
        <v>133</v>
      </c>
      <c r="J2733" s="7"/>
      <c r="K2733" s="27" t="s">
        <v>2208</v>
      </c>
      <c r="L2733" s="7"/>
    </row>
    <row r="2734" spans="1:12" x14ac:dyDescent="0.2">
      <c r="A2734" s="7"/>
      <c r="B2734" s="7"/>
      <c r="C2734" s="7"/>
      <c r="D2734" s="7"/>
      <c r="E2734" s="7">
        <v>831622</v>
      </c>
      <c r="F2734" s="7"/>
      <c r="G2734" s="7" t="s">
        <v>2037</v>
      </c>
      <c r="H2734" s="7"/>
      <c r="I2734" s="27" t="s">
        <v>133</v>
      </c>
      <c r="J2734" s="7"/>
      <c r="K2734" s="27" t="s">
        <v>2208</v>
      </c>
      <c r="L2734" s="7"/>
    </row>
    <row r="2735" spans="1:12" x14ac:dyDescent="0.2">
      <c r="A2735" s="7"/>
      <c r="B2735" s="7"/>
      <c r="C2735" s="7"/>
      <c r="D2735" s="7"/>
      <c r="E2735" s="7">
        <v>831623</v>
      </c>
      <c r="F2735" s="7"/>
      <c r="G2735" s="7" t="s">
        <v>2038</v>
      </c>
      <c r="H2735" s="7"/>
      <c r="I2735" s="27" t="s">
        <v>133</v>
      </c>
      <c r="J2735" s="7"/>
      <c r="K2735" s="27" t="s">
        <v>2208</v>
      </c>
      <c r="L2735" s="7"/>
    </row>
    <row r="2736" spans="1:12" x14ac:dyDescent="0.2">
      <c r="A2736" s="7"/>
      <c r="B2736" s="7"/>
      <c r="C2736" s="7"/>
      <c r="D2736" s="7"/>
      <c r="E2736" s="7">
        <v>831630</v>
      </c>
      <c r="F2736" s="7"/>
      <c r="G2736" s="7" t="s">
        <v>2039</v>
      </c>
      <c r="H2736" s="7"/>
      <c r="I2736" s="27" t="s">
        <v>133</v>
      </c>
      <c r="J2736" s="7"/>
      <c r="K2736" s="27" t="s">
        <v>2208</v>
      </c>
      <c r="L2736" s="7"/>
    </row>
    <row r="2737" spans="1:12" x14ac:dyDescent="0.2">
      <c r="A2737" s="7"/>
      <c r="B2737" s="7"/>
      <c r="C2737" s="7"/>
      <c r="D2737" s="7"/>
      <c r="E2737" s="7">
        <v>831800</v>
      </c>
      <c r="F2737" s="7"/>
      <c r="G2737" s="7" t="s">
        <v>2040</v>
      </c>
      <c r="H2737" s="7"/>
      <c r="I2737" s="27" t="s">
        <v>133</v>
      </c>
      <c r="J2737" s="7"/>
      <c r="K2737" s="27" t="s">
        <v>2208</v>
      </c>
      <c r="L2737" s="7"/>
    </row>
    <row r="2738" spans="1:12" x14ac:dyDescent="0.2">
      <c r="A2738" s="7"/>
      <c r="B2738" s="7"/>
      <c r="C2738" s="7"/>
      <c r="D2738" s="7"/>
      <c r="E2738" s="7">
        <v>831801</v>
      </c>
      <c r="F2738" s="7"/>
      <c r="G2738" s="7" t="s">
        <v>2041</v>
      </c>
      <c r="H2738" s="7"/>
      <c r="I2738" s="27" t="s">
        <v>133</v>
      </c>
      <c r="J2738" s="7"/>
      <c r="K2738" s="27" t="s">
        <v>2208</v>
      </c>
      <c r="L2738" s="7"/>
    </row>
    <row r="2739" spans="1:12" x14ac:dyDescent="0.2">
      <c r="A2739" s="7"/>
      <c r="B2739" s="7"/>
      <c r="C2739" s="7"/>
      <c r="D2739" s="7"/>
      <c r="E2739" s="7">
        <v>831802</v>
      </c>
      <c r="F2739" s="7"/>
      <c r="G2739" s="7" t="s">
        <v>2042</v>
      </c>
      <c r="H2739" s="7"/>
      <c r="I2739" s="27" t="s">
        <v>133</v>
      </c>
      <c r="J2739" s="7"/>
      <c r="K2739" s="27" t="s">
        <v>2208</v>
      </c>
      <c r="L2739" s="7"/>
    </row>
    <row r="2740" spans="1:12" x14ac:dyDescent="0.2">
      <c r="A2740" s="7"/>
      <c r="B2740" s="7"/>
      <c r="C2740" s="7"/>
      <c r="D2740" s="7"/>
      <c r="E2740" s="7">
        <v>831803</v>
      </c>
      <c r="F2740" s="7"/>
      <c r="G2740" s="7" t="s">
        <v>2043</v>
      </c>
      <c r="H2740" s="7"/>
      <c r="I2740" s="27" t="s">
        <v>133</v>
      </c>
      <c r="J2740" s="7"/>
      <c r="K2740" s="27" t="s">
        <v>2208</v>
      </c>
      <c r="L2740" s="7"/>
    </row>
    <row r="2741" spans="1:12" x14ac:dyDescent="0.2">
      <c r="A2741" s="7"/>
      <c r="B2741" s="7"/>
      <c r="C2741" s="7"/>
      <c r="D2741" s="7"/>
      <c r="E2741" s="7">
        <v>831804</v>
      </c>
      <c r="F2741" s="7"/>
      <c r="G2741" s="7" t="s">
        <v>2044</v>
      </c>
      <c r="H2741" s="7"/>
      <c r="I2741" s="27" t="s">
        <v>133</v>
      </c>
      <c r="J2741" s="7"/>
      <c r="K2741" s="27" t="s">
        <v>2208</v>
      </c>
      <c r="L2741" s="7"/>
    </row>
    <row r="2742" spans="1:12" x14ac:dyDescent="0.2">
      <c r="A2742" s="7"/>
      <c r="B2742" s="7"/>
      <c r="C2742" s="7"/>
      <c r="D2742" s="7"/>
      <c r="E2742" s="7">
        <v>831805</v>
      </c>
      <c r="F2742" s="7"/>
      <c r="G2742" s="7" t="s">
        <v>2045</v>
      </c>
      <c r="H2742" s="7"/>
      <c r="I2742" s="27" t="s">
        <v>133</v>
      </c>
      <c r="J2742" s="7"/>
      <c r="K2742" s="27" t="s">
        <v>2208</v>
      </c>
      <c r="L2742" s="7"/>
    </row>
    <row r="2743" spans="1:12" x14ac:dyDescent="0.2">
      <c r="A2743" s="7"/>
      <c r="B2743" s="7"/>
      <c r="C2743" s="7"/>
      <c r="D2743" s="7"/>
      <c r="E2743" s="7">
        <v>831806</v>
      </c>
      <c r="F2743" s="7"/>
      <c r="G2743" s="7" t="s">
        <v>2046</v>
      </c>
      <c r="H2743" s="7"/>
      <c r="I2743" s="27" t="s">
        <v>133</v>
      </c>
      <c r="J2743" s="7"/>
      <c r="K2743" s="27" t="s">
        <v>2208</v>
      </c>
      <c r="L2743" s="7"/>
    </row>
    <row r="2744" spans="1:12" x14ac:dyDescent="0.2">
      <c r="A2744" s="7"/>
      <c r="B2744" s="7"/>
      <c r="C2744" s="7"/>
      <c r="D2744" s="7"/>
      <c r="E2744" s="7">
        <v>831807</v>
      </c>
      <c r="F2744" s="7"/>
      <c r="G2744" s="7" t="s">
        <v>2047</v>
      </c>
      <c r="H2744" s="7"/>
      <c r="I2744" s="27" t="s">
        <v>133</v>
      </c>
      <c r="J2744" s="7"/>
      <c r="K2744" s="27" t="s">
        <v>2208</v>
      </c>
      <c r="L2744" s="7"/>
    </row>
    <row r="2745" spans="1:12" x14ac:dyDescent="0.2">
      <c r="A2745" s="7"/>
      <c r="B2745" s="7"/>
      <c r="C2745" s="7"/>
      <c r="D2745" s="7"/>
      <c r="E2745" s="7">
        <v>831808</v>
      </c>
      <c r="F2745" s="7"/>
      <c r="G2745" s="7" t="s">
        <v>2048</v>
      </c>
      <c r="H2745" s="7"/>
      <c r="I2745" s="27" t="s">
        <v>133</v>
      </c>
      <c r="J2745" s="7"/>
      <c r="K2745" s="27" t="s">
        <v>2208</v>
      </c>
      <c r="L2745" s="7"/>
    </row>
    <row r="2746" spans="1:12" x14ac:dyDescent="0.2">
      <c r="A2746" s="7"/>
      <c r="B2746" s="7"/>
      <c r="C2746" s="7"/>
      <c r="D2746" s="7"/>
      <c r="E2746" s="7">
        <v>831809</v>
      </c>
      <c r="F2746" s="7"/>
      <c r="G2746" s="7" t="s">
        <v>2049</v>
      </c>
      <c r="H2746" s="7"/>
      <c r="I2746" s="27" t="s">
        <v>133</v>
      </c>
      <c r="J2746" s="7"/>
      <c r="K2746" s="27" t="s">
        <v>2208</v>
      </c>
      <c r="L2746" s="7"/>
    </row>
    <row r="2747" spans="1:12" x14ac:dyDescent="0.2">
      <c r="A2747" s="7"/>
      <c r="B2747" s="7"/>
      <c r="C2747" s="7"/>
      <c r="D2747" s="7"/>
      <c r="E2747" s="7">
        <v>831810</v>
      </c>
      <c r="F2747" s="7"/>
      <c r="G2747" s="7" t="s">
        <v>2049</v>
      </c>
      <c r="H2747" s="7"/>
      <c r="I2747" s="27" t="s">
        <v>133</v>
      </c>
      <c r="J2747" s="7"/>
      <c r="K2747" s="27" t="s">
        <v>2208</v>
      </c>
      <c r="L2747" s="7"/>
    </row>
    <row r="2748" spans="1:12" x14ac:dyDescent="0.2">
      <c r="A2748" s="7"/>
      <c r="B2748" s="7"/>
      <c r="C2748" s="7"/>
      <c r="D2748" s="7"/>
      <c r="E2748" s="7">
        <v>831811</v>
      </c>
      <c r="F2748" s="7"/>
      <c r="G2748" s="7" t="s">
        <v>2050</v>
      </c>
      <c r="H2748" s="7"/>
      <c r="I2748" s="27" t="s">
        <v>133</v>
      </c>
      <c r="J2748" s="7"/>
      <c r="K2748" s="27" t="s">
        <v>2208</v>
      </c>
      <c r="L2748" s="7"/>
    </row>
    <row r="2749" spans="1:12" x14ac:dyDescent="0.2">
      <c r="A2749" s="7"/>
      <c r="B2749" s="7"/>
      <c r="C2749" s="7"/>
      <c r="D2749" s="7"/>
      <c r="E2749" s="7">
        <v>831812</v>
      </c>
      <c r="F2749" s="7"/>
      <c r="G2749" s="7" t="s">
        <v>2051</v>
      </c>
      <c r="H2749" s="7"/>
      <c r="I2749" s="27" t="s">
        <v>133</v>
      </c>
      <c r="J2749" s="7"/>
      <c r="K2749" s="27" t="s">
        <v>2208</v>
      </c>
      <c r="L2749" s="7"/>
    </row>
    <row r="2750" spans="1:12" x14ac:dyDescent="0.2">
      <c r="A2750" s="7"/>
      <c r="B2750" s="7"/>
      <c r="C2750" s="7"/>
      <c r="D2750" s="7"/>
      <c r="E2750" s="7">
        <v>831813</v>
      </c>
      <c r="F2750" s="7"/>
      <c r="G2750" s="7" t="s">
        <v>2052</v>
      </c>
      <c r="H2750" s="7"/>
      <c r="I2750" s="27" t="s">
        <v>133</v>
      </c>
      <c r="J2750" s="7"/>
      <c r="K2750" s="27" t="s">
        <v>2208</v>
      </c>
      <c r="L2750" s="7"/>
    </row>
    <row r="2751" spans="1:12" x14ac:dyDescent="0.2">
      <c r="A2751" s="7"/>
      <c r="B2751" s="7"/>
      <c r="C2751" s="7"/>
      <c r="D2751" s="7"/>
      <c r="E2751" s="7">
        <v>831814</v>
      </c>
      <c r="F2751" s="7"/>
      <c r="G2751" s="7" t="s">
        <v>2053</v>
      </c>
      <c r="H2751" s="7"/>
      <c r="I2751" s="27" t="s">
        <v>133</v>
      </c>
      <c r="J2751" s="7"/>
      <c r="K2751" s="27" t="s">
        <v>2208</v>
      </c>
      <c r="L2751" s="7"/>
    </row>
    <row r="2752" spans="1:12" x14ac:dyDescent="0.2">
      <c r="A2752" s="7"/>
      <c r="B2752" s="7"/>
      <c r="C2752" s="7"/>
      <c r="D2752" s="7"/>
      <c r="E2752" s="7">
        <v>831900</v>
      </c>
      <c r="F2752" s="7"/>
      <c r="G2752" s="7" t="s">
        <v>2054</v>
      </c>
      <c r="H2752" s="7"/>
      <c r="I2752" s="27" t="s">
        <v>47</v>
      </c>
      <c r="J2752" s="7"/>
      <c r="K2752" s="27" t="s">
        <v>2208</v>
      </c>
      <c r="L2752" s="7"/>
    </row>
    <row r="2753" spans="1:12" x14ac:dyDescent="0.2">
      <c r="A2753" s="7"/>
      <c r="B2753" s="7"/>
      <c r="C2753" s="7"/>
      <c r="D2753" s="7"/>
      <c r="E2753" s="7">
        <v>831901</v>
      </c>
      <c r="F2753" s="7"/>
      <c r="G2753" s="7" t="s">
        <v>1058</v>
      </c>
      <c r="H2753" s="7"/>
      <c r="I2753" s="27" t="s">
        <v>133</v>
      </c>
      <c r="J2753" s="7"/>
      <c r="K2753" s="27" t="s">
        <v>2208</v>
      </c>
      <c r="L2753" s="7"/>
    </row>
    <row r="2754" spans="1:12" x14ac:dyDescent="0.2">
      <c r="A2754" s="7"/>
      <c r="B2754" s="7"/>
      <c r="C2754" s="7"/>
      <c r="D2754" s="7"/>
      <c r="E2754" s="7">
        <v>831910</v>
      </c>
      <c r="F2754" s="7"/>
      <c r="G2754" s="7" t="s">
        <v>2055</v>
      </c>
      <c r="H2754" s="7"/>
      <c r="I2754" s="27" t="s">
        <v>133</v>
      </c>
      <c r="J2754" s="7"/>
      <c r="K2754" s="27" t="s">
        <v>2208</v>
      </c>
      <c r="L2754" s="7"/>
    </row>
    <row r="2755" spans="1:12" x14ac:dyDescent="0.2">
      <c r="A2755" s="7"/>
      <c r="B2755" s="7"/>
      <c r="C2755" s="7"/>
      <c r="D2755" s="7"/>
      <c r="E2755" s="7">
        <v>831920</v>
      </c>
      <c r="F2755" s="7"/>
      <c r="G2755" s="7" t="s">
        <v>2056</v>
      </c>
      <c r="H2755" s="7"/>
      <c r="I2755" s="27" t="s">
        <v>133</v>
      </c>
      <c r="J2755" s="7"/>
      <c r="K2755" s="27" t="s">
        <v>2208</v>
      </c>
      <c r="L2755" s="7"/>
    </row>
    <row r="2756" spans="1:12" x14ac:dyDescent="0.2">
      <c r="A2756" s="7"/>
      <c r="B2756" s="7"/>
      <c r="C2756" s="7"/>
      <c r="D2756" s="7"/>
      <c r="E2756" s="7">
        <v>831930</v>
      </c>
      <c r="F2756" s="7"/>
      <c r="G2756" s="7" t="s">
        <v>2057</v>
      </c>
      <c r="H2756" s="7"/>
      <c r="I2756" s="27" t="s">
        <v>133</v>
      </c>
      <c r="J2756" s="7"/>
      <c r="K2756" s="27" t="s">
        <v>2208</v>
      </c>
      <c r="L2756" s="7"/>
    </row>
    <row r="2757" spans="1:12" x14ac:dyDescent="0.2">
      <c r="A2757" s="7"/>
      <c r="B2757" s="7"/>
      <c r="C2757" s="7"/>
      <c r="D2757" s="7"/>
      <c r="E2757" s="7">
        <v>831940</v>
      </c>
      <c r="F2757" s="7"/>
      <c r="G2757" s="7" t="s">
        <v>1095</v>
      </c>
      <c r="H2757" s="7"/>
      <c r="I2757" s="27" t="s">
        <v>133</v>
      </c>
      <c r="J2757" s="7"/>
      <c r="K2757" s="27" t="s">
        <v>2208</v>
      </c>
      <c r="L2757" s="7"/>
    </row>
    <row r="2758" spans="1:12" x14ac:dyDescent="0.2">
      <c r="A2758" s="7"/>
      <c r="B2758" s="7"/>
      <c r="C2758" s="7"/>
      <c r="D2758" s="7"/>
      <c r="E2758" s="7">
        <v>831950</v>
      </c>
      <c r="F2758" s="7"/>
      <c r="G2758" s="7" t="s">
        <v>2058</v>
      </c>
      <c r="H2758" s="7"/>
      <c r="I2758" s="27" t="s">
        <v>133</v>
      </c>
      <c r="J2758" s="7"/>
      <c r="K2758" s="27" t="s">
        <v>2208</v>
      </c>
      <c r="L2758" s="7"/>
    </row>
    <row r="2759" spans="1:12" x14ac:dyDescent="0.2">
      <c r="A2759" s="7"/>
      <c r="B2759" s="7"/>
      <c r="C2759" s="7"/>
      <c r="D2759" s="7"/>
      <c r="E2759" s="7">
        <v>833010</v>
      </c>
      <c r="F2759" s="7"/>
      <c r="G2759" s="7" t="s">
        <v>2059</v>
      </c>
      <c r="H2759" s="7"/>
      <c r="I2759" s="27" t="s">
        <v>133</v>
      </c>
      <c r="J2759" s="7"/>
      <c r="K2759" s="27" t="s">
        <v>2208</v>
      </c>
      <c r="L2759" s="7"/>
    </row>
    <row r="2760" spans="1:12" x14ac:dyDescent="0.2">
      <c r="A2760" s="7"/>
      <c r="B2760" s="7"/>
      <c r="C2760" s="7"/>
      <c r="D2760" s="7"/>
      <c r="E2760" s="7">
        <v>833015</v>
      </c>
      <c r="F2760" s="7"/>
      <c r="G2760" s="7" t="s">
        <v>2060</v>
      </c>
      <c r="H2760" s="7"/>
      <c r="I2760" s="27" t="s">
        <v>133</v>
      </c>
      <c r="J2760" s="7"/>
      <c r="K2760" s="27" t="s">
        <v>2208</v>
      </c>
      <c r="L2760" s="7"/>
    </row>
    <row r="2761" spans="1:12" x14ac:dyDescent="0.2">
      <c r="A2761" s="7"/>
      <c r="B2761" s="7"/>
      <c r="C2761" s="7"/>
      <c r="D2761" s="7"/>
      <c r="E2761" s="7">
        <v>833020</v>
      </c>
      <c r="F2761" s="7"/>
      <c r="G2761" s="7" t="s">
        <v>1247</v>
      </c>
      <c r="H2761" s="7"/>
      <c r="I2761" s="27" t="s">
        <v>133</v>
      </c>
      <c r="J2761" s="7"/>
      <c r="K2761" s="27" t="s">
        <v>2208</v>
      </c>
      <c r="L2761" s="7"/>
    </row>
    <row r="2762" spans="1:12" x14ac:dyDescent="0.2">
      <c r="A2762" s="7"/>
      <c r="B2762" s="7"/>
      <c r="C2762" s="7"/>
      <c r="D2762" s="7"/>
      <c r="E2762" s="7">
        <v>833030</v>
      </c>
      <c r="F2762" s="7"/>
      <c r="G2762" s="7" t="s">
        <v>2061</v>
      </c>
      <c r="H2762" s="7"/>
      <c r="I2762" s="27" t="s">
        <v>133</v>
      </c>
      <c r="J2762" s="7"/>
      <c r="K2762" s="27" t="s">
        <v>2208</v>
      </c>
      <c r="L2762" s="7"/>
    </row>
    <row r="2763" spans="1:12" x14ac:dyDescent="0.2">
      <c r="A2763" s="7"/>
      <c r="B2763" s="7"/>
      <c r="C2763" s="7"/>
      <c r="D2763" s="7"/>
      <c r="E2763" s="7">
        <v>833035</v>
      </c>
      <c r="F2763" s="7"/>
      <c r="G2763" s="7" t="s">
        <v>1249</v>
      </c>
      <c r="H2763" s="7"/>
      <c r="I2763" s="27" t="s">
        <v>133</v>
      </c>
      <c r="J2763" s="7"/>
      <c r="K2763" s="27" t="s">
        <v>2208</v>
      </c>
      <c r="L2763" s="7"/>
    </row>
    <row r="2764" spans="1:12" x14ac:dyDescent="0.2">
      <c r="A2764" s="7"/>
      <c r="B2764" s="7"/>
      <c r="C2764" s="7"/>
      <c r="D2764" s="7"/>
      <c r="E2764" s="7">
        <v>833040</v>
      </c>
      <c r="F2764" s="7"/>
      <c r="G2764" s="7" t="s">
        <v>2062</v>
      </c>
      <c r="H2764" s="7"/>
      <c r="I2764" s="27" t="s">
        <v>133</v>
      </c>
      <c r="J2764" s="7"/>
      <c r="K2764" s="27" t="s">
        <v>2208</v>
      </c>
      <c r="L2764" s="7"/>
    </row>
    <row r="2765" spans="1:12" x14ac:dyDescent="0.2">
      <c r="A2765" s="7"/>
      <c r="B2765" s="7"/>
      <c r="C2765" s="7"/>
      <c r="D2765" s="7"/>
      <c r="E2765" s="7">
        <v>833045</v>
      </c>
      <c r="F2765" s="7"/>
      <c r="G2765" s="7" t="s">
        <v>2063</v>
      </c>
      <c r="H2765" s="7"/>
      <c r="I2765" s="27" t="s">
        <v>133</v>
      </c>
      <c r="J2765" s="7"/>
      <c r="K2765" s="27" t="s">
        <v>2208</v>
      </c>
      <c r="L2765" s="7"/>
    </row>
    <row r="2766" spans="1:12" x14ac:dyDescent="0.2">
      <c r="A2766" s="7"/>
      <c r="B2766" s="7"/>
      <c r="C2766" s="7"/>
      <c r="D2766" s="7"/>
      <c r="E2766" s="7">
        <v>833050</v>
      </c>
      <c r="F2766" s="7"/>
      <c r="G2766" s="7" t="s">
        <v>2061</v>
      </c>
      <c r="H2766" s="7"/>
      <c r="I2766" s="27" t="s">
        <v>133</v>
      </c>
      <c r="J2766" s="7"/>
      <c r="K2766" s="27" t="s">
        <v>2208</v>
      </c>
      <c r="L2766" s="7"/>
    </row>
    <row r="2767" spans="1:12" x14ac:dyDescent="0.2">
      <c r="A2767" s="7"/>
      <c r="B2767" s="7"/>
      <c r="C2767" s="7"/>
      <c r="D2767" s="7"/>
      <c r="E2767" s="7">
        <v>833055</v>
      </c>
      <c r="F2767" s="7"/>
      <c r="G2767" s="7" t="s">
        <v>2064</v>
      </c>
      <c r="H2767" s="7"/>
      <c r="I2767" s="27" t="s">
        <v>133</v>
      </c>
      <c r="J2767" s="7"/>
      <c r="K2767" s="27" t="s">
        <v>2208</v>
      </c>
      <c r="L2767" s="7"/>
    </row>
    <row r="2768" spans="1:12" x14ac:dyDescent="0.2">
      <c r="A2768" s="7"/>
      <c r="B2768" s="7"/>
      <c r="C2768" s="7"/>
      <c r="D2768" s="7"/>
      <c r="E2768" s="7">
        <v>833060</v>
      </c>
      <c r="F2768" s="7"/>
      <c r="G2768" s="7" t="s">
        <v>1254</v>
      </c>
      <c r="H2768" s="7"/>
      <c r="I2768" s="27" t="s">
        <v>133</v>
      </c>
      <c r="J2768" s="7"/>
      <c r="K2768" s="27" t="s">
        <v>2208</v>
      </c>
      <c r="L2768" s="7"/>
    </row>
    <row r="2769" spans="1:12" x14ac:dyDescent="0.2">
      <c r="A2769" s="7"/>
      <c r="B2769" s="7"/>
      <c r="C2769" s="7"/>
      <c r="D2769" s="7"/>
      <c r="E2769" s="7">
        <v>833065</v>
      </c>
      <c r="F2769" s="7"/>
      <c r="G2769" s="7" t="s">
        <v>1255</v>
      </c>
      <c r="H2769" s="7"/>
      <c r="I2769" s="27" t="s">
        <v>133</v>
      </c>
      <c r="J2769" s="7"/>
      <c r="K2769" s="27" t="s">
        <v>2208</v>
      </c>
      <c r="L2769" s="7"/>
    </row>
    <row r="2770" spans="1:12" x14ac:dyDescent="0.2">
      <c r="A2770" s="7"/>
      <c r="B2770" s="7"/>
      <c r="C2770" s="7"/>
      <c r="D2770" s="7"/>
      <c r="E2770" s="7">
        <v>880020</v>
      </c>
      <c r="F2770" s="7"/>
      <c r="G2770" s="7" t="s">
        <v>2065</v>
      </c>
      <c r="H2770" s="7"/>
      <c r="I2770" s="27" t="s">
        <v>71</v>
      </c>
      <c r="J2770" s="7"/>
      <c r="K2770" s="27" t="s">
        <v>2208</v>
      </c>
      <c r="L2770" s="7"/>
    </row>
    <row r="2771" spans="1:12" x14ac:dyDescent="0.2">
      <c r="A2771" s="7"/>
      <c r="B2771" s="7"/>
      <c r="C2771" s="7"/>
      <c r="D2771" s="7"/>
      <c r="E2771" s="7">
        <v>880500</v>
      </c>
      <c r="F2771" s="7"/>
      <c r="G2771" s="7" t="s">
        <v>2066</v>
      </c>
      <c r="H2771" s="7"/>
      <c r="I2771" s="27" t="s">
        <v>47</v>
      </c>
      <c r="J2771" s="7"/>
      <c r="K2771" s="27" t="s">
        <v>2208</v>
      </c>
      <c r="L2771" s="7"/>
    </row>
    <row r="2772" spans="1:12" s="7" customFormat="1" x14ac:dyDescent="0.2"/>
    <row r="2773" spans="1:12" s="21" customFormat="1" x14ac:dyDescent="0.2">
      <c r="A2773" s="22" t="s">
        <v>9</v>
      </c>
      <c r="B2773" s="22"/>
      <c r="C2773" s="15"/>
      <c r="D2773" s="24"/>
      <c r="E2773" s="25"/>
      <c r="F2773" s="25"/>
      <c r="G2773" s="25"/>
      <c r="H2773" s="26"/>
      <c r="I2773" s="20"/>
      <c r="J2773" s="20"/>
      <c r="K2773" s="25"/>
      <c r="L2773" s="25"/>
    </row>
    <row r="2774" spans="1:12" s="7" customFormat="1" x14ac:dyDescent="0.2"/>
    <row r="2775" spans="1:12" s="7" customFormat="1" x14ac:dyDescent="0.2"/>
    <row r="2776" spans="1:12" s="7" customFormat="1" x14ac:dyDescent="0.2"/>
    <row r="2777" spans="1:12" s="7" customFormat="1" x14ac:dyDescent="0.2"/>
    <row r="2778" spans="1:12" s="7" customFormat="1" x14ac:dyDescent="0.2"/>
    <row r="2779" spans="1:12" s="7" customFormat="1" x14ac:dyDescent="0.2"/>
    <row r="2780" spans="1:12" hidden="1" x14ac:dyDescent="0.2"/>
    <row r="2781" spans="1:12" hidden="1" x14ac:dyDescent="0.2"/>
    <row r="2782" spans="1:12" hidden="1" x14ac:dyDescent="0.2"/>
    <row r="2783" spans="1:12" hidden="1" x14ac:dyDescent="0.2"/>
    <row r="2784" spans="1:12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CC"/>
  </sheetPr>
  <dimension ref="A1:XFD63"/>
  <sheetViews>
    <sheetView zoomScale="85" zoomScaleNormal="85" workbookViewId="0">
      <selection activeCell="G19" sqref="G19"/>
    </sheetView>
  </sheetViews>
  <sheetFormatPr defaultColWidth="0" defaultRowHeight="12.75" zeroHeight="1" x14ac:dyDescent="0.2"/>
  <cols>
    <col min="1" max="1" width="2.5" style="7" customWidth="1"/>
    <col min="2" max="4" width="2.375" style="7" customWidth="1"/>
    <col min="5" max="5" width="54.25" style="7" bestFit="1" customWidth="1"/>
    <col min="6" max="6" width="9" style="7" customWidth="1"/>
    <col min="7" max="17" width="11.625" style="7" bestFit="1" customWidth="1"/>
    <col min="18" max="19" width="9" style="7" customWidth="1"/>
    <col min="20" max="16384" width="9" hidden="1"/>
  </cols>
  <sheetData>
    <row r="1" spans="1:16384" x14ac:dyDescent="0.2">
      <c r="A1" s="14" t="str">
        <f>Control!A1</f>
        <v>CP Consolidated Capex</v>
      </c>
      <c r="B1" s="14"/>
      <c r="C1" s="15"/>
      <c r="D1" s="16"/>
      <c r="E1" s="17"/>
      <c r="F1" s="17"/>
      <c r="G1" s="18"/>
      <c r="H1" s="18"/>
      <c r="I1" s="19"/>
      <c r="J1" s="20"/>
      <c r="K1" s="20"/>
      <c r="L1" s="17"/>
      <c r="M1" s="17"/>
      <c r="N1" s="17"/>
      <c r="O1" s="17"/>
      <c r="P1" s="17"/>
      <c r="Q1" s="17"/>
      <c r="R1" s="17"/>
      <c r="S1" s="17"/>
    </row>
    <row r="2" spans="1:16384" x14ac:dyDescent="0.2">
      <c r="A2" s="22" t="str">
        <f ca="1" xml:space="preserve"> "Sheet: " &amp; RIGHT(CELL("filename", $A$1), LEN(CELL("filename", $A$1)) - SEARCH("]", CELL("filename", $A$1)))</f>
        <v>Sheet: Input|Allowance</v>
      </c>
      <c r="B2" s="22"/>
      <c r="C2" s="15"/>
      <c r="D2" s="16"/>
      <c r="E2" s="17"/>
      <c r="F2" s="17"/>
      <c r="G2" s="17"/>
      <c r="H2" s="17"/>
      <c r="I2" s="23"/>
      <c r="J2" s="20"/>
      <c r="K2" s="20"/>
      <c r="L2" s="17"/>
      <c r="M2" s="17"/>
      <c r="N2" s="17"/>
      <c r="O2" s="17"/>
      <c r="P2" s="17"/>
      <c r="Q2" s="17"/>
      <c r="R2" s="17"/>
      <c r="S2" s="17"/>
    </row>
    <row r="3" spans="1:16384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6"/>
      <c r="K3" s="20"/>
      <c r="L3" s="17"/>
      <c r="M3" s="17"/>
      <c r="N3" s="17"/>
      <c r="O3" s="17"/>
      <c r="P3" s="17"/>
      <c r="Q3" s="17"/>
      <c r="R3" s="17"/>
      <c r="S3" s="17"/>
    </row>
    <row r="4" spans="1:16384" x14ac:dyDescent="0.2">
      <c r="A4" s="22"/>
      <c r="B4" s="22"/>
      <c r="C4" s="15"/>
      <c r="D4" s="16"/>
      <c r="E4" s="17"/>
      <c r="F4" s="17"/>
      <c r="G4" s="17"/>
      <c r="H4" s="17"/>
      <c r="I4" s="23"/>
      <c r="J4" s="20"/>
      <c r="K4" s="20"/>
      <c r="L4" s="17"/>
      <c r="M4" s="17"/>
      <c r="N4" s="17"/>
      <c r="O4" s="17"/>
      <c r="P4" s="17"/>
      <c r="Q4" s="17"/>
      <c r="R4" s="17"/>
      <c r="S4" s="17"/>
    </row>
    <row r="5" spans="1:16384" x14ac:dyDescent="0.2">
      <c r="A5" s="22"/>
      <c r="B5" s="22"/>
      <c r="C5" s="22"/>
      <c r="D5" s="22"/>
      <c r="E5" s="116" t="s">
        <v>2376</v>
      </c>
      <c r="F5" s="17"/>
      <c r="G5" s="31">
        <v>2015</v>
      </c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  <c r="XFD5" s="17"/>
    </row>
    <row r="6" spans="1:16384" x14ac:dyDescent="0.2">
      <c r="A6" s="1"/>
      <c r="B6" s="1"/>
      <c r="C6" s="2"/>
      <c r="D6" s="3"/>
      <c r="E6" s="4"/>
      <c r="F6" s="4"/>
      <c r="G6" s="4"/>
      <c r="H6" s="4"/>
      <c r="I6" s="5"/>
      <c r="J6" s="6"/>
      <c r="K6" s="6"/>
      <c r="L6" s="4"/>
      <c r="M6" s="4"/>
      <c r="N6" s="4"/>
      <c r="O6" s="4"/>
      <c r="P6" s="4"/>
      <c r="Q6" s="4"/>
      <c r="R6" s="4"/>
      <c r="S6" s="4"/>
    </row>
    <row r="7" spans="1:16384" x14ac:dyDescent="0.2">
      <c r="A7" s="22" t="s">
        <v>2400</v>
      </c>
      <c r="B7" s="22"/>
      <c r="C7" s="15"/>
      <c r="D7" s="24"/>
      <c r="E7" s="25"/>
      <c r="F7" s="25"/>
      <c r="G7" s="35"/>
      <c r="H7" s="35" t="s">
        <v>2429</v>
      </c>
      <c r="I7" s="35" t="s">
        <v>2429</v>
      </c>
      <c r="J7" s="35" t="s">
        <v>2429</v>
      </c>
      <c r="K7" s="35" t="s">
        <v>2429</v>
      </c>
      <c r="L7" s="35" t="s">
        <v>2429</v>
      </c>
      <c r="M7" s="35"/>
      <c r="N7" s="35"/>
      <c r="O7" s="35"/>
      <c r="P7" s="35"/>
      <c r="Q7" s="35"/>
      <c r="R7" s="25"/>
      <c r="S7" s="25"/>
    </row>
    <row r="8" spans="1:16384" x14ac:dyDescent="0.2">
      <c r="G8" s="117"/>
    </row>
    <row r="9" spans="1:16384" x14ac:dyDescent="0.2">
      <c r="E9" s="39" t="s">
        <v>2333</v>
      </c>
      <c r="G9" s="44"/>
      <c r="H9" s="41">
        <v>38063.398134104551</v>
      </c>
      <c r="I9" s="41">
        <v>60935.040427811502</v>
      </c>
      <c r="J9" s="41">
        <v>41179.965696785082</v>
      </c>
      <c r="K9" s="41">
        <v>23166.951963241918</v>
      </c>
      <c r="L9" s="41">
        <v>9797.3424568904302</v>
      </c>
      <c r="M9" s="44"/>
      <c r="N9" s="65"/>
      <c r="O9" s="44"/>
      <c r="P9" s="44"/>
      <c r="Q9" s="44"/>
    </row>
    <row r="10" spans="1:16384" x14ac:dyDescent="0.2">
      <c r="E10" s="39" t="s">
        <v>2299</v>
      </c>
      <c r="G10" s="44"/>
      <c r="H10" s="41">
        <v>65585.479888179398</v>
      </c>
      <c r="I10" s="41">
        <v>72136.273379904349</v>
      </c>
      <c r="J10" s="41">
        <v>62994.535680562643</v>
      </c>
      <c r="K10" s="41">
        <v>60931.29098883945</v>
      </c>
      <c r="L10" s="41">
        <v>60207.843707308886</v>
      </c>
      <c r="M10" s="44"/>
      <c r="N10" s="65"/>
      <c r="O10" s="44"/>
      <c r="P10" s="44"/>
      <c r="Q10" s="44"/>
    </row>
    <row r="11" spans="1:16384" x14ac:dyDescent="0.2">
      <c r="E11" s="39" t="s">
        <v>2300</v>
      </c>
      <c r="G11" s="44"/>
      <c r="H11" s="41">
        <v>47063.039983974973</v>
      </c>
      <c r="I11" s="41">
        <v>47174.143220539503</v>
      </c>
      <c r="J11" s="41">
        <v>58035.867244603352</v>
      </c>
      <c r="K11" s="41">
        <v>53296.319802459642</v>
      </c>
      <c r="L11" s="41">
        <v>39587.801229343095</v>
      </c>
      <c r="M11" s="44"/>
      <c r="N11" s="44"/>
      <c r="O11" s="44"/>
      <c r="P11" s="44"/>
      <c r="Q11" s="44"/>
    </row>
    <row r="12" spans="1:16384" x14ac:dyDescent="0.2">
      <c r="E12" s="39" t="s">
        <v>2309</v>
      </c>
      <c r="G12" s="44"/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4"/>
      <c r="N12" s="44"/>
      <c r="O12" s="44"/>
      <c r="P12" s="44"/>
      <c r="Q12" s="44"/>
    </row>
    <row r="13" spans="1:16384" x14ac:dyDescent="0.2">
      <c r="E13" s="39" t="s">
        <v>2301</v>
      </c>
      <c r="G13" s="44"/>
      <c r="H13" s="41">
        <v>21681.333644444083</v>
      </c>
      <c r="I13" s="41">
        <v>21256.781086967461</v>
      </c>
      <c r="J13" s="41">
        <v>16287.222120907438</v>
      </c>
      <c r="K13" s="41">
        <v>12004.103943157952</v>
      </c>
      <c r="L13" s="41">
        <v>9283.566304531847</v>
      </c>
      <c r="M13" s="44"/>
      <c r="N13" s="44"/>
      <c r="O13" s="44"/>
      <c r="P13" s="44"/>
      <c r="Q13" s="44"/>
    </row>
    <row r="14" spans="1:16384" x14ac:dyDescent="0.2">
      <c r="E14" s="39" t="s">
        <v>2302</v>
      </c>
      <c r="G14" s="44"/>
      <c r="H14" s="41">
        <v>3358.3107774408022</v>
      </c>
      <c r="I14" s="41">
        <v>8916.3593276999527</v>
      </c>
      <c r="J14" s="41">
        <v>4386.484420840552</v>
      </c>
      <c r="K14" s="41">
        <v>3955.2689899161651</v>
      </c>
      <c r="L14" s="41">
        <v>2478.2657447710549</v>
      </c>
      <c r="M14" s="44"/>
      <c r="N14" s="44"/>
      <c r="O14" s="44"/>
      <c r="P14" s="44"/>
      <c r="Q14" s="44"/>
    </row>
    <row r="15" spans="1:16384" x14ac:dyDescent="0.2">
      <c r="E15" s="39" t="s">
        <v>39</v>
      </c>
      <c r="G15" s="44"/>
      <c r="H15" s="41">
        <v>0</v>
      </c>
      <c r="I15" s="41">
        <v>2115.8919145149653</v>
      </c>
      <c r="J15" s="41">
        <v>2157.4028496313231</v>
      </c>
      <c r="K15" s="41">
        <v>2219.3404675836896</v>
      </c>
      <c r="L15" s="41">
        <v>2311.597664285317</v>
      </c>
      <c r="M15" s="44"/>
      <c r="N15" s="44"/>
      <c r="O15" s="44"/>
      <c r="P15" s="44"/>
      <c r="Q15" s="44"/>
    </row>
    <row r="16" spans="1:16384" x14ac:dyDescent="0.2">
      <c r="E16" s="39" t="s">
        <v>2404</v>
      </c>
      <c r="G16" s="44"/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4"/>
      <c r="N16" s="44"/>
      <c r="O16" s="44"/>
      <c r="P16" s="44"/>
      <c r="Q16" s="44"/>
    </row>
    <row r="17" spans="1:19" x14ac:dyDescent="0.2">
      <c r="E17" s="39" t="s">
        <v>2315</v>
      </c>
      <c r="G17" s="44"/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4"/>
      <c r="N17" s="44"/>
      <c r="O17" s="44"/>
      <c r="P17" s="44"/>
      <c r="Q17" s="44"/>
      <c r="R17" s="44"/>
    </row>
    <row r="18" spans="1:19" x14ac:dyDescent="0.2">
      <c r="E18" s="60" t="s">
        <v>2401</v>
      </c>
      <c r="F18" s="90"/>
      <c r="G18" s="61"/>
      <c r="H18" s="61">
        <f>SUM(H9:H17)</f>
        <v>175751.56242814384</v>
      </c>
      <c r="I18" s="61">
        <f t="shared" ref="I18:L18" si="0">SUM(I9:I17)</f>
        <v>212534.48935743773</v>
      </c>
      <c r="J18" s="61">
        <f t="shared" si="0"/>
        <v>185041.4780133304</v>
      </c>
      <c r="K18" s="61">
        <f t="shared" si="0"/>
        <v>155573.27615519881</v>
      </c>
      <c r="L18" s="61">
        <f t="shared" si="0"/>
        <v>123666.41710713063</v>
      </c>
      <c r="M18" s="44"/>
      <c r="N18" s="44"/>
      <c r="O18" s="44"/>
      <c r="P18" s="44"/>
      <c r="Q18" s="44"/>
      <c r="R18" s="44"/>
    </row>
    <row r="19" spans="1:19" x14ac:dyDescent="0.2">
      <c r="M19" s="44"/>
      <c r="N19" s="44"/>
      <c r="O19" s="44"/>
      <c r="P19" s="44"/>
      <c r="Q19" s="44"/>
      <c r="R19" s="44"/>
    </row>
    <row r="20" spans="1:19" x14ac:dyDescent="0.2">
      <c r="E20" s="39" t="s">
        <v>2332</v>
      </c>
      <c r="G20" s="44"/>
      <c r="H20" s="41">
        <v>32600.867101726828</v>
      </c>
      <c r="I20" s="41">
        <v>39919.400997111901</v>
      </c>
      <c r="J20" s="41">
        <v>34639.42875619651</v>
      </c>
      <c r="K20" s="41">
        <v>31850.217255829491</v>
      </c>
      <c r="L20" s="41">
        <v>31420.497229426415</v>
      </c>
      <c r="M20" s="44"/>
      <c r="N20" s="44"/>
      <c r="O20" s="44"/>
      <c r="P20" s="44"/>
      <c r="Q20" s="44"/>
      <c r="R20" s="44"/>
    </row>
    <row r="21" spans="1:19" x14ac:dyDescent="0.2">
      <c r="M21" s="44"/>
      <c r="N21" s="44"/>
      <c r="O21" s="44"/>
      <c r="P21" s="44"/>
      <c r="Q21" s="44"/>
      <c r="R21" s="44"/>
    </row>
    <row r="22" spans="1:19" x14ac:dyDescent="0.2">
      <c r="E22" s="60" t="s">
        <v>2402</v>
      </c>
      <c r="F22" s="90"/>
      <c r="G22" s="61"/>
      <c r="H22" s="61">
        <f>H18-H20</f>
        <v>143150.69532641702</v>
      </c>
      <c r="I22" s="61">
        <f t="shared" ref="I22:L22" si="1">I18-I20</f>
        <v>172615.08836032584</v>
      </c>
      <c r="J22" s="61">
        <f t="shared" si="1"/>
        <v>150402.04925713388</v>
      </c>
      <c r="K22" s="61">
        <f t="shared" si="1"/>
        <v>123723.05889936932</v>
      </c>
      <c r="L22" s="61">
        <f t="shared" si="1"/>
        <v>92245.919877704218</v>
      </c>
      <c r="M22" s="44"/>
      <c r="N22" s="44"/>
      <c r="O22" s="44"/>
      <c r="P22" s="44"/>
      <c r="Q22" s="44"/>
      <c r="R22" s="44"/>
    </row>
    <row r="23" spans="1:19" x14ac:dyDescent="0.2"/>
    <row r="24" spans="1:19" x14ac:dyDescent="0.2">
      <c r="E24" s="39" t="s">
        <v>2403</v>
      </c>
      <c r="H24" s="41">
        <v>17129.869195058098</v>
      </c>
      <c r="I24" s="41">
        <v>18035.947646726454</v>
      </c>
      <c r="J24" s="41">
        <v>18608.923517259289</v>
      </c>
      <c r="K24" s="41">
        <v>19187.935050998029</v>
      </c>
      <c r="L24" s="41">
        <v>19697.521379476144</v>
      </c>
      <c r="N24" s="102"/>
      <c r="O24" s="102"/>
      <c r="P24" s="102"/>
      <c r="Q24" s="102"/>
      <c r="R24" s="102"/>
    </row>
    <row r="25" spans="1:19" x14ac:dyDescent="0.2"/>
    <row r="26" spans="1:19" x14ac:dyDescent="0.2">
      <c r="A26" s="22" t="s">
        <v>2430</v>
      </c>
      <c r="B26" s="22"/>
      <c r="C26" s="15"/>
      <c r="D26" s="24"/>
      <c r="E26" s="25"/>
      <c r="F26" s="25"/>
      <c r="G26" s="35"/>
      <c r="H26" s="35" t="s">
        <v>2428</v>
      </c>
      <c r="I26" s="35" t="s">
        <v>2428</v>
      </c>
      <c r="J26" s="35" t="s">
        <v>2428</v>
      </c>
      <c r="K26" s="35" t="s">
        <v>2428</v>
      </c>
      <c r="L26" s="35" t="s">
        <v>2428</v>
      </c>
      <c r="M26" s="35"/>
      <c r="N26" s="35"/>
      <c r="O26" s="35"/>
      <c r="P26" s="35"/>
      <c r="Q26" s="35"/>
      <c r="R26" s="25"/>
      <c r="S26" s="25"/>
    </row>
    <row r="27" spans="1:19" x14ac:dyDescent="0.2"/>
    <row r="28" spans="1:19" x14ac:dyDescent="0.2">
      <c r="E28" s="39" t="s">
        <v>2333</v>
      </c>
      <c r="G28" s="44"/>
      <c r="H28" s="44">
        <f>(H9*Inflation!$L$23)*Inflation!$L$25*Inflation!$L$26</f>
        <v>41914.682934868302</v>
      </c>
      <c r="I28" s="44">
        <f>(I9*Inflation!$L$23)*Inflation!$L$25*Inflation!$L$26</f>
        <v>67100.496129027131</v>
      </c>
      <c r="J28" s="44">
        <f>(J9*Inflation!$L$23)*Inflation!$L$25*Inflation!$L$26</f>
        <v>45346.587274428741</v>
      </c>
      <c r="K28" s="44">
        <f>(K9*Inflation!$L$23)*Inflation!$L$25*Inflation!$L$26</f>
        <v>25511.002530185779</v>
      </c>
      <c r="L28" s="44">
        <f>(L9*Inflation!$L$23)*Inflation!$L$25*Inflation!$L$26</f>
        <v>10788.645334241563</v>
      </c>
    </row>
    <row r="29" spans="1:19" x14ac:dyDescent="0.2">
      <c r="E29" s="39" t="s">
        <v>2299</v>
      </c>
      <c r="G29" s="44"/>
      <c r="H29" s="44">
        <f>(H10*Inflation!$L$23)*Inflation!$L$25*Inflation!$L$26</f>
        <v>72221.470740972567</v>
      </c>
      <c r="I29" s="44">
        <f>(I10*Inflation!$L$23)*Inflation!$L$25*Inflation!$L$26</f>
        <v>79435.078711813025</v>
      </c>
      <c r="J29" s="44">
        <f>(J10*Inflation!$L$23)*Inflation!$L$25*Inflation!$L$26</f>
        <v>69368.372744267792</v>
      </c>
      <c r="K29" s="44">
        <f>(K10*Inflation!$L$23)*Inflation!$L$25*Inflation!$L$26</f>
        <v>67096.36731884726</v>
      </c>
      <c r="L29" s="44">
        <f>(L10*Inflation!$L$23)*Inflation!$L$25*Inflation!$L$26</f>
        <v>66299.721067805454</v>
      </c>
    </row>
    <row r="30" spans="1:19" x14ac:dyDescent="0.2">
      <c r="E30" s="39" t="s">
        <v>2300</v>
      </c>
      <c r="G30" s="44"/>
      <c r="H30" s="44">
        <f>(H11*Inflation!$L$23)*Inflation!$L$25*Inflation!$L$26</f>
        <v>51824.91568223582</v>
      </c>
      <c r="I30" s="44">
        <f>(I11*Inflation!$L$23)*Inflation!$L$25*Inflation!$L$26</f>
        <v>51947.260432361196</v>
      </c>
      <c r="J30" s="44">
        <f>(J11*Inflation!$L$23)*Inflation!$L$25*Inflation!$L$26</f>
        <v>63907.982304609468</v>
      </c>
      <c r="K30" s="44">
        <f>(K11*Inflation!$L$23)*Inflation!$L$25*Inflation!$L$26</f>
        <v>58688.88369464525</v>
      </c>
      <c r="L30" s="44">
        <f>(L11*Inflation!$L$23)*Inflation!$L$25*Inflation!$L$26</f>
        <v>43593.326343865621</v>
      </c>
    </row>
    <row r="31" spans="1:19" x14ac:dyDescent="0.2">
      <c r="E31" s="39" t="s">
        <v>2309</v>
      </c>
      <c r="G31" s="44"/>
      <c r="H31" s="44">
        <f>(H12*Inflation!$L$23)*Inflation!$L$25*Inflation!$L$26</f>
        <v>0</v>
      </c>
      <c r="I31" s="44">
        <f>(I12*Inflation!$L$23)*Inflation!$L$25*Inflation!$L$26</f>
        <v>0</v>
      </c>
      <c r="J31" s="44">
        <f>(J12*Inflation!$L$23)*Inflation!$L$25*Inflation!$L$26</f>
        <v>0</v>
      </c>
      <c r="K31" s="44">
        <f>(K12*Inflation!$L$23)*Inflation!$L$25*Inflation!$L$26</f>
        <v>0</v>
      </c>
      <c r="L31" s="44">
        <f>(L12*Inflation!$L$23)*Inflation!$L$25*Inflation!$L$26</f>
        <v>0</v>
      </c>
    </row>
    <row r="32" spans="1:19" x14ac:dyDescent="0.2">
      <c r="E32" s="39" t="s">
        <v>2301</v>
      </c>
      <c r="G32" s="44"/>
      <c r="H32" s="44">
        <f>(H13*Inflation!$L$23)*Inflation!$L$25*Inflation!$L$26</f>
        <v>23875.068172058924</v>
      </c>
      <c r="I32" s="44">
        <f>(I13*Inflation!$L$23)*Inflation!$L$25*Inflation!$L$26</f>
        <v>23407.559050221589</v>
      </c>
      <c r="J32" s="44">
        <f>(J13*Inflation!$L$23)*Inflation!$L$25*Inflation!$L$26</f>
        <v>17935.176167992671</v>
      </c>
      <c r="K32" s="44">
        <f>(K13*Inflation!$L$23)*Inflation!$L$25*Inflation!$L$26</f>
        <v>13218.68869726191</v>
      </c>
      <c r="L32" s="44">
        <f>(L13*Inflation!$L$23)*Inflation!$L$25*Inflation!$L$26</f>
        <v>10222.884903453549</v>
      </c>
    </row>
    <row r="33" spans="1:19" x14ac:dyDescent="0.2">
      <c r="E33" s="39" t="s">
        <v>2302</v>
      </c>
      <c r="G33" s="44"/>
      <c r="H33" s="44">
        <f>(H14*Inflation!$L$23)*Inflation!$L$25*Inflation!$L$26</f>
        <v>3698.1073244498371</v>
      </c>
      <c r="I33" s="44">
        <f>(I14*Inflation!$L$23)*Inflation!$L$25*Inflation!$L$26</f>
        <v>9818.523633575498</v>
      </c>
      <c r="J33" s="44">
        <f>(J14*Inflation!$L$23)*Inflation!$L$25*Inflation!$L$26</f>
        <v>4830.3123922489613</v>
      </c>
      <c r="K33" s="44">
        <f>(K14*Inflation!$L$23)*Inflation!$L$25*Inflation!$L$26</f>
        <v>4355.4662421459334</v>
      </c>
      <c r="L33" s="44">
        <f>(L14*Inflation!$L$23)*Inflation!$L$25*Inflation!$L$26</f>
        <v>2729.018637654216</v>
      </c>
    </row>
    <row r="34" spans="1:19" x14ac:dyDescent="0.2">
      <c r="E34" s="39" t="s">
        <v>39</v>
      </c>
      <c r="G34" s="44"/>
      <c r="H34" s="44">
        <f>(H15*Inflation!$L$23)*Inflation!$L$25*Inflation!$L$26</f>
        <v>0</v>
      </c>
      <c r="I34" s="44">
        <f>(I15*Inflation!$L$23)*Inflation!$L$25*Inflation!$L$26</f>
        <v>2329.9795359543409</v>
      </c>
      <c r="J34" s="44">
        <f>(J15*Inflation!$L$23)*Inflation!$L$25*Inflation!$L$26</f>
        <v>2375.6905803966151</v>
      </c>
      <c r="K34" s="44">
        <f>(K15*Inflation!$L$23)*Inflation!$L$25*Inflation!$L$26</f>
        <v>2443.895095638999</v>
      </c>
      <c r="L34" s="44">
        <f>(L15*Inflation!$L$23)*Inflation!$L$25*Inflation!$L$26</f>
        <v>2545.4869486465664</v>
      </c>
    </row>
    <row r="35" spans="1:19" x14ac:dyDescent="0.2">
      <c r="E35" s="39" t="s">
        <v>2404</v>
      </c>
      <c r="G35" s="44"/>
      <c r="H35" s="44">
        <f>(H16*Inflation!$L$23)*Inflation!$L$25*Inflation!$L$26</f>
        <v>0</v>
      </c>
      <c r="I35" s="44">
        <f>(I16*Inflation!$L$23)*Inflation!$L$25*Inflation!$L$26</f>
        <v>0</v>
      </c>
      <c r="J35" s="44">
        <f>(J16*Inflation!$L$23)*Inflation!$L$25*Inflation!$L$26</f>
        <v>0</v>
      </c>
      <c r="K35" s="44">
        <f>(K16*Inflation!$L$23)*Inflation!$L$25*Inflation!$L$26</f>
        <v>0</v>
      </c>
      <c r="L35" s="44">
        <f>(L16*Inflation!$L$23)*Inflation!$L$25*Inflation!$L$26</f>
        <v>0</v>
      </c>
    </row>
    <row r="36" spans="1:19" x14ac:dyDescent="0.2">
      <c r="E36" s="39" t="s">
        <v>2315</v>
      </c>
      <c r="G36" s="44"/>
      <c r="H36" s="44">
        <f>(H17*Inflation!$L$23)*Inflation!$L$25*Inflation!$L$26</f>
        <v>0</v>
      </c>
      <c r="I36" s="44">
        <f>(I17*Inflation!$L$23)*Inflation!$L$25*Inflation!$L$26</f>
        <v>0</v>
      </c>
      <c r="J36" s="44">
        <f>(J17*Inflation!$L$23)*Inflation!$L$25*Inflation!$L$26</f>
        <v>0</v>
      </c>
      <c r="K36" s="44">
        <f>(K17*Inflation!$L$23)*Inflation!$L$25*Inflation!$L$26</f>
        <v>0</v>
      </c>
      <c r="L36" s="44">
        <f>(L17*Inflation!$L$23)*Inflation!$L$25*Inflation!$L$26</f>
        <v>0</v>
      </c>
    </row>
    <row r="37" spans="1:19" x14ac:dyDescent="0.2">
      <c r="E37" s="60" t="s">
        <v>2401</v>
      </c>
      <c r="F37" s="90"/>
      <c r="G37" s="61"/>
      <c r="H37" s="61">
        <f>SUM(H28:H36)</f>
        <v>193534.24485458547</v>
      </c>
      <c r="I37" s="61">
        <f t="shared" ref="I37:L37" si="2">SUM(I28:I36)</f>
        <v>234038.89749295276</v>
      </c>
      <c r="J37" s="61">
        <f t="shared" si="2"/>
        <v>203764.12146394426</v>
      </c>
      <c r="K37" s="61">
        <f t="shared" si="2"/>
        <v>171314.30357872511</v>
      </c>
      <c r="L37" s="61">
        <f t="shared" si="2"/>
        <v>136179.083235667</v>
      </c>
    </row>
    <row r="38" spans="1:19" x14ac:dyDescent="0.2"/>
    <row r="39" spans="1:19" x14ac:dyDescent="0.2">
      <c r="E39" s="39" t="s">
        <v>2332</v>
      </c>
      <c r="G39" s="44"/>
      <c r="H39" s="44">
        <f>(H20*Inflation!$L$23)*Inflation!$L$25*Inflation!$L$26</f>
        <v>35899.448681811846</v>
      </c>
      <c r="I39" s="44">
        <f>(I20*Inflation!$L$23)*Inflation!$L$25*Inflation!$L$26</f>
        <v>43958.477639037352</v>
      </c>
      <c r="J39" s="44">
        <f>(J20*Inflation!$L$23)*Inflation!$L$25*Inflation!$L$26</f>
        <v>38144.273620700282</v>
      </c>
      <c r="K39" s="44">
        <f>(K20*Inflation!$L$23)*Inflation!$L$25*Inflation!$L$26</f>
        <v>35072.847489373809</v>
      </c>
      <c r="L39" s="44">
        <f>(L20*Inflation!$L$23)*Inflation!$L$25*Inflation!$L$26</f>
        <v>34599.648050007148</v>
      </c>
    </row>
    <row r="40" spans="1:19" x14ac:dyDescent="0.2"/>
    <row r="41" spans="1:19" x14ac:dyDescent="0.2">
      <c r="E41" s="60" t="s">
        <v>2402</v>
      </c>
      <c r="F41" s="90"/>
      <c r="G41" s="61"/>
      <c r="H41" s="61">
        <f>H37-H39</f>
        <v>157634.79617277364</v>
      </c>
      <c r="I41" s="61">
        <f t="shared" ref="I41:L41" si="3">I37-I39</f>
        <v>190080.4198539154</v>
      </c>
      <c r="J41" s="61">
        <f t="shared" si="3"/>
        <v>165619.84784324397</v>
      </c>
      <c r="K41" s="61">
        <f t="shared" si="3"/>
        <v>136241.4560893513</v>
      </c>
      <c r="L41" s="61">
        <f t="shared" si="3"/>
        <v>101579.43518565985</v>
      </c>
    </row>
    <row r="42" spans="1:19" x14ac:dyDescent="0.2"/>
    <row r="43" spans="1:19" x14ac:dyDescent="0.2">
      <c r="A43" s="22" t="s">
        <v>2431</v>
      </c>
      <c r="B43" s="22"/>
      <c r="C43" s="15"/>
      <c r="D43" s="24"/>
      <c r="E43" s="25"/>
      <c r="F43" s="25"/>
      <c r="G43" s="35"/>
      <c r="H43" s="35" t="s">
        <v>2428</v>
      </c>
      <c r="I43" s="35" t="s">
        <v>2428</v>
      </c>
      <c r="J43" s="35" t="s">
        <v>2428</v>
      </c>
      <c r="K43" s="35" t="s">
        <v>2428</v>
      </c>
      <c r="L43" s="35" t="s">
        <v>2428</v>
      </c>
      <c r="M43" s="35"/>
      <c r="N43" s="35"/>
      <c r="O43" s="35"/>
      <c r="P43" s="35"/>
      <c r="Q43" s="35"/>
      <c r="R43" s="25"/>
      <c r="S43" s="25"/>
    </row>
    <row r="44" spans="1:19" x14ac:dyDescent="0.2"/>
    <row r="45" spans="1:19" x14ac:dyDescent="0.2">
      <c r="E45" s="39" t="s">
        <v>2333</v>
      </c>
      <c r="G45" s="44"/>
      <c r="H45" s="118">
        <f>H28+((H28/SUM(H$28:H$30)*((H$24*Inflation!$L$23)*Inflation!$L$25*Inflation!$L$26)))</f>
        <v>46678.692613232357</v>
      </c>
      <c r="I45" s="118">
        <f>I28+((I28/SUM(I$28:I$30)*((I$24*Inflation!$L$23)*Inflation!$L$25*Inflation!$L$26)))</f>
        <v>73814.790376469886</v>
      </c>
      <c r="J45" s="118">
        <f>J28+((J28/SUM(J$28:J$30)*((J$24*Inflation!$L$23)*Inflation!$L$25*Inflation!$L$26)))</f>
        <v>50548.78970777167</v>
      </c>
      <c r="K45" s="118">
        <f>K28+((K28/SUM(K$28:K$30)*((K$24*Inflation!$L$23)*Inflation!$L$25*Inflation!$L$26)))</f>
        <v>29073.75967152595</v>
      </c>
      <c r="L45" s="118">
        <f>L28+((L28/SUM(L$28:L$30)*((L$24*Inflation!$L$23)*Inflation!$L$25*Inflation!$L$26)))</f>
        <v>12727.725353692977</v>
      </c>
    </row>
    <row r="46" spans="1:19" x14ac:dyDescent="0.2">
      <c r="E46" s="39" t="s">
        <v>2299</v>
      </c>
      <c r="G46" s="44"/>
      <c r="H46" s="118">
        <f>H29+((H29/SUM(H$28:H$30)*((H$24*Inflation!$L$23)*Inflation!$L$25*Inflation!$L$26)))</f>
        <v>80430.140388559419</v>
      </c>
      <c r="I46" s="118">
        <f>I29+((I29/SUM(I$28:I$30)*((I$24*Inflation!$L$23)*Inflation!$L$25*Inflation!$L$26)))</f>
        <v>87383.611476970415</v>
      </c>
      <c r="J46" s="118">
        <f>J29+((J29/SUM(J$28:J$30)*((J$24*Inflation!$L$23)*Inflation!$L$25*Inflation!$L$26)))</f>
        <v>77326.376624545795</v>
      </c>
      <c r="K46" s="118">
        <f>K29+((K29/SUM(K$28:K$30)*((K$24*Inflation!$L$23)*Inflation!$L$25*Inflation!$L$26)))</f>
        <v>76466.758056739811</v>
      </c>
      <c r="L46" s="118">
        <f>L29+((L29/SUM(L$28:L$30)*((L$24*Inflation!$L$23)*Inflation!$L$25*Inflation!$L$26)))</f>
        <v>78215.996043473773</v>
      </c>
    </row>
    <row r="47" spans="1:19" x14ac:dyDescent="0.2">
      <c r="E47" s="39" t="s">
        <v>2300</v>
      </c>
      <c r="G47" s="44"/>
      <c r="H47" s="118">
        <f>H30+((H30/SUM(H$28:H$30)*((H$24*Inflation!$L$23)*Inflation!$L$25*Inflation!$L$26)))</f>
        <v>57715.319297461174</v>
      </c>
      <c r="I47" s="118">
        <f>I30+((I30/SUM(I$28:I$30)*((I$24*Inflation!$L$23)*Inflation!$L$25*Inflation!$L$26)))</f>
        <v>57145.27254870574</v>
      </c>
      <c r="J47" s="118">
        <f>J30+((J30/SUM(J$28:J$30)*((J$24*Inflation!$L$23)*Inflation!$L$25*Inflation!$L$26)))</f>
        <v>71239.565143315267</v>
      </c>
      <c r="K47" s="118">
        <f>K30+((K30/SUM(K$28:K$30)*((K$24*Inflation!$L$23)*Inflation!$L$25*Inflation!$L$26)))</f>
        <v>66885.121347515626</v>
      </c>
      <c r="L47" s="118">
        <f>L30+((L30/SUM(L$28:L$30)*((L$24*Inflation!$L$23)*Inflation!$L$25*Inflation!$L$26)))</f>
        <v>51428.503558054508</v>
      </c>
    </row>
    <row r="48" spans="1:19" x14ac:dyDescent="0.2">
      <c r="E48" s="39" t="s">
        <v>2309</v>
      </c>
      <c r="G48" s="44"/>
      <c r="H48" s="44">
        <f>H31</f>
        <v>0</v>
      </c>
      <c r="I48" s="44">
        <f t="shared" ref="I48:L48" si="4">I31</f>
        <v>0</v>
      </c>
      <c r="J48" s="44">
        <f t="shared" si="4"/>
        <v>0</v>
      </c>
      <c r="K48" s="44">
        <f t="shared" si="4"/>
        <v>0</v>
      </c>
      <c r="L48" s="44">
        <f t="shared" si="4"/>
        <v>0</v>
      </c>
    </row>
    <row r="49" spans="1:19" x14ac:dyDescent="0.2">
      <c r="E49" s="39" t="s">
        <v>2301</v>
      </c>
      <c r="G49" s="44"/>
      <c r="H49" s="44">
        <f>H32</f>
        <v>23875.068172058924</v>
      </c>
      <c r="I49" s="44">
        <f t="shared" ref="I49:L52" si="5">I32</f>
        <v>23407.559050221589</v>
      </c>
      <c r="J49" s="44">
        <f t="shared" si="5"/>
        <v>17935.176167992671</v>
      </c>
      <c r="K49" s="44">
        <f t="shared" si="5"/>
        <v>13218.68869726191</v>
      </c>
      <c r="L49" s="44">
        <f t="shared" si="5"/>
        <v>10222.884903453549</v>
      </c>
    </row>
    <row r="50" spans="1:19" x14ac:dyDescent="0.2">
      <c r="E50" s="39" t="s">
        <v>2302</v>
      </c>
      <c r="G50" s="44"/>
      <c r="H50" s="44">
        <f>H33</f>
        <v>3698.1073244498371</v>
      </c>
      <c r="I50" s="44">
        <f t="shared" si="5"/>
        <v>9818.523633575498</v>
      </c>
      <c r="J50" s="44">
        <f t="shared" si="5"/>
        <v>4830.3123922489613</v>
      </c>
      <c r="K50" s="44">
        <f t="shared" si="5"/>
        <v>4355.4662421459334</v>
      </c>
      <c r="L50" s="44">
        <f t="shared" si="5"/>
        <v>2729.018637654216</v>
      </c>
    </row>
    <row r="51" spans="1:19" x14ac:dyDescent="0.2">
      <c r="E51" s="39" t="s">
        <v>39</v>
      </c>
      <c r="G51" s="44"/>
      <c r="H51" s="44">
        <f>H34</f>
        <v>0</v>
      </c>
      <c r="I51" s="44">
        <f t="shared" si="5"/>
        <v>2329.9795359543409</v>
      </c>
      <c r="J51" s="44">
        <f t="shared" si="5"/>
        <v>2375.6905803966151</v>
      </c>
      <c r="K51" s="44">
        <f t="shared" si="5"/>
        <v>2443.895095638999</v>
      </c>
      <c r="L51" s="44">
        <f t="shared" si="5"/>
        <v>2545.4869486465664</v>
      </c>
    </row>
    <row r="52" spans="1:19" x14ac:dyDescent="0.2">
      <c r="E52" s="39" t="s">
        <v>2404</v>
      </c>
      <c r="G52" s="44"/>
      <c r="H52" s="44">
        <f>H35</f>
        <v>0</v>
      </c>
      <c r="I52" s="44">
        <f t="shared" si="5"/>
        <v>0</v>
      </c>
      <c r="J52" s="44">
        <f t="shared" si="5"/>
        <v>0</v>
      </c>
      <c r="K52" s="44">
        <f t="shared" si="5"/>
        <v>0</v>
      </c>
      <c r="L52" s="44">
        <f t="shared" si="5"/>
        <v>0</v>
      </c>
    </row>
    <row r="53" spans="1:19" x14ac:dyDescent="0.2">
      <c r="E53" s="39" t="s">
        <v>2315</v>
      </c>
      <c r="G53" s="44"/>
      <c r="H53" s="44">
        <f t="shared" ref="H53:L53" si="6">H36</f>
        <v>0</v>
      </c>
      <c r="I53" s="44">
        <f t="shared" si="6"/>
        <v>0</v>
      </c>
      <c r="J53" s="44">
        <f t="shared" si="6"/>
        <v>0</v>
      </c>
      <c r="K53" s="44">
        <f t="shared" si="6"/>
        <v>0</v>
      </c>
      <c r="L53" s="44">
        <f t="shared" si="6"/>
        <v>0</v>
      </c>
    </row>
    <row r="54" spans="1:19" x14ac:dyDescent="0.2">
      <c r="E54" s="60" t="s">
        <v>2401</v>
      </c>
      <c r="F54" s="90"/>
      <c r="G54" s="61"/>
      <c r="H54" s="61">
        <f>SUM(H45:H53)</f>
        <v>212397.32779576172</v>
      </c>
      <c r="I54" s="61">
        <f t="shared" ref="I54:L54" si="7">SUM(I45:I53)</f>
        <v>253899.73662189746</v>
      </c>
      <c r="J54" s="61">
        <f t="shared" si="7"/>
        <v>224255.91061627096</v>
      </c>
      <c r="K54" s="61">
        <f t="shared" si="7"/>
        <v>192443.68911082821</v>
      </c>
      <c r="L54" s="61">
        <f t="shared" si="7"/>
        <v>157869.61544497561</v>
      </c>
    </row>
    <row r="55" spans="1:19" x14ac:dyDescent="0.2"/>
    <row r="56" spans="1:19" x14ac:dyDescent="0.2">
      <c r="E56" s="39" t="s">
        <v>2332</v>
      </c>
      <c r="G56" s="44"/>
      <c r="H56" s="44">
        <f t="shared" ref="H56:L56" si="8">H39</f>
        <v>35899.448681811846</v>
      </c>
      <c r="I56" s="44">
        <f t="shared" si="8"/>
        <v>43958.477639037352</v>
      </c>
      <c r="J56" s="44">
        <f t="shared" si="8"/>
        <v>38144.273620700282</v>
      </c>
      <c r="K56" s="44">
        <f t="shared" si="8"/>
        <v>35072.847489373809</v>
      </c>
      <c r="L56" s="44">
        <f t="shared" si="8"/>
        <v>34599.648050007148</v>
      </c>
    </row>
    <row r="57" spans="1:19" x14ac:dyDescent="0.2"/>
    <row r="58" spans="1:19" x14ac:dyDescent="0.2">
      <c r="E58" s="60" t="s">
        <v>2402</v>
      </c>
      <c r="F58" s="90"/>
      <c r="G58" s="61"/>
      <c r="H58" s="61">
        <f>H54-H56</f>
        <v>176497.87911394989</v>
      </c>
      <c r="I58" s="61">
        <f t="shared" ref="I58:L58" si="9">I54-I56</f>
        <v>209941.2589828601</v>
      </c>
      <c r="J58" s="61">
        <f t="shared" si="9"/>
        <v>186111.63699557068</v>
      </c>
      <c r="K58" s="61">
        <f t="shared" si="9"/>
        <v>157370.8416214544</v>
      </c>
      <c r="L58" s="61">
        <f t="shared" si="9"/>
        <v>123269.96739496847</v>
      </c>
    </row>
    <row r="59" spans="1:19" x14ac:dyDescent="0.2"/>
    <row r="60" spans="1:19" x14ac:dyDescent="0.2"/>
    <row r="61" spans="1:19" x14ac:dyDescent="0.2">
      <c r="A61" s="22" t="s">
        <v>9</v>
      </c>
      <c r="B61" s="22"/>
      <c r="C61" s="15"/>
      <c r="D61" s="24"/>
      <c r="E61" s="25"/>
      <c r="F61" s="25"/>
      <c r="G61" s="25"/>
      <c r="H61" s="26"/>
      <c r="I61" s="20"/>
      <c r="J61" s="20"/>
      <c r="K61" s="25"/>
      <c r="L61" s="25"/>
      <c r="M61" s="21"/>
      <c r="N61" s="21"/>
      <c r="O61" s="21"/>
      <c r="P61" s="21"/>
      <c r="Q61" s="21"/>
      <c r="R61" s="21"/>
      <c r="S61" s="21"/>
    </row>
    <row r="62" spans="1:19" x14ac:dyDescent="0.2"/>
    <row r="63" spans="1:19" x14ac:dyDescent="0.2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CC"/>
  </sheetPr>
  <dimension ref="A1:BA3315"/>
  <sheetViews>
    <sheetView topLeftCell="U1" zoomScale="70" zoomScaleNormal="70" workbookViewId="0">
      <pane ySplit="7" topLeftCell="A1064" activePane="bottomLeft" state="frozen"/>
      <selection activeCell="E48" sqref="E48"/>
      <selection pane="bottomLeft" activeCell="U1111" sqref="U1111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27.5" bestFit="1" customWidth="1"/>
    <col min="7" max="7" width="6.875" bestFit="1" customWidth="1"/>
    <col min="8" max="8" width="17.75" bestFit="1" customWidth="1"/>
    <col min="9" max="9" width="14.25" bestFit="1" customWidth="1"/>
    <col min="10" max="10" width="10.375" customWidth="1"/>
    <col min="11" max="11" width="18.125" style="7" bestFit="1" customWidth="1"/>
    <col min="12" max="12" width="21.625" style="7" bestFit="1" customWidth="1"/>
    <col min="13" max="15" width="11.375" style="7" bestFit="1" customWidth="1"/>
    <col min="16" max="16" width="10.375" style="7" customWidth="1"/>
    <col min="17" max="17" width="10.75" bestFit="1" customWidth="1"/>
    <col min="18" max="18" width="27.5" bestFit="1" customWidth="1"/>
    <col min="19" max="19" width="6.875" bestFit="1" customWidth="1"/>
    <col min="20" max="20" width="17.75" bestFit="1" customWidth="1"/>
    <col min="21" max="21" width="14.25" bestFit="1" customWidth="1"/>
    <col min="22" max="22" width="10.375" customWidth="1"/>
    <col min="23" max="23" width="18.125" style="7" bestFit="1" customWidth="1"/>
    <col min="24" max="24" width="21.625" style="7" bestFit="1" customWidth="1"/>
    <col min="25" max="27" width="11.375" style="7" bestFit="1" customWidth="1"/>
    <col min="28" max="28" width="10.375" style="7" customWidth="1"/>
    <col min="29" max="29" width="10.75" bestFit="1" customWidth="1"/>
    <col min="30" max="30" width="27.5" bestFit="1" customWidth="1"/>
    <col min="31" max="31" width="6.875" bestFit="1" customWidth="1"/>
    <col min="32" max="32" width="17.75" bestFit="1" customWidth="1"/>
    <col min="33" max="33" width="14.25" bestFit="1" customWidth="1"/>
    <col min="34" max="34" width="10.375" style="7" customWidth="1"/>
    <col min="35" max="35" width="18.125" style="7" bestFit="1" customWidth="1"/>
    <col min="36" max="36" width="21.625" style="7" bestFit="1" customWidth="1"/>
    <col min="37" max="39" width="11.375" style="7" bestFit="1" customWidth="1"/>
    <col min="40" max="40" width="10.375" style="7" customWidth="1"/>
    <col min="41" max="41" width="10.75" bestFit="1" customWidth="1"/>
    <col min="42" max="42" width="27.5" bestFit="1" customWidth="1"/>
    <col min="43" max="43" width="6.875" bestFit="1" customWidth="1"/>
    <col min="44" max="44" width="17.75" bestFit="1" customWidth="1"/>
    <col min="45" max="45" width="14.25" bestFit="1" customWidth="1"/>
    <col min="46" max="46" width="10.375" style="7" customWidth="1"/>
    <col min="47" max="47" width="18.125" style="7" bestFit="1" customWidth="1"/>
    <col min="48" max="48" width="21.625" style="7" bestFit="1" customWidth="1"/>
    <col min="49" max="51" width="11.375" style="7" bestFit="1" customWidth="1"/>
    <col min="52" max="53" width="10.375" style="7" customWidth="1"/>
    <col min="54" max="16384" width="9" hidden="1"/>
  </cols>
  <sheetData>
    <row r="1" spans="1:53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20"/>
      <c r="L1" s="20"/>
      <c r="M1" s="20"/>
      <c r="N1" s="20"/>
      <c r="O1" s="20"/>
      <c r="P1" s="20"/>
      <c r="Q1" s="17"/>
      <c r="R1" s="17"/>
      <c r="S1" s="18"/>
      <c r="T1" s="19"/>
      <c r="U1" s="20"/>
      <c r="V1" s="20"/>
      <c r="W1" s="20"/>
      <c r="X1" s="20"/>
      <c r="Y1" s="20"/>
      <c r="Z1" s="20"/>
      <c r="AA1" s="20"/>
      <c r="AB1" s="20"/>
      <c r="AC1" s="17"/>
      <c r="AD1" s="17"/>
      <c r="AE1" s="18"/>
      <c r="AF1" s="19"/>
      <c r="AG1" s="20"/>
      <c r="AH1" s="20"/>
      <c r="AI1" s="20"/>
      <c r="AJ1" s="20"/>
      <c r="AK1" s="20"/>
      <c r="AL1" s="20"/>
      <c r="AM1" s="20"/>
      <c r="AN1" s="20"/>
      <c r="AO1" s="17"/>
      <c r="AP1" s="17"/>
      <c r="AQ1" s="18"/>
      <c r="AR1" s="19"/>
      <c r="AS1" s="20"/>
      <c r="AT1" s="20"/>
      <c r="AU1" s="20"/>
      <c r="AV1" s="20"/>
      <c r="AW1" s="20"/>
      <c r="AX1" s="20"/>
      <c r="AY1" s="20"/>
      <c r="AZ1" s="20"/>
      <c r="BA1" s="20"/>
    </row>
    <row r="2" spans="1:53" x14ac:dyDescent="0.2">
      <c r="A2" s="22" t="str">
        <f ca="1" xml:space="preserve"> "Sheet: " &amp; RIGHT(CELL("filename", $A$1), LEN(CELL("filename", $A$1)) - SEARCH("]", CELL("filename", $A$1)))</f>
        <v>Sheet: Input|Historical Data</v>
      </c>
      <c r="B2" s="22"/>
      <c r="C2" s="15"/>
      <c r="D2" s="16"/>
      <c r="E2" s="17"/>
      <c r="F2" s="17"/>
      <c r="G2" s="17"/>
      <c r="H2" s="23"/>
      <c r="I2" s="20"/>
      <c r="J2" s="20"/>
      <c r="K2" s="20"/>
      <c r="L2" s="20"/>
      <c r="M2" s="20"/>
      <c r="N2" s="20"/>
      <c r="O2" s="20"/>
      <c r="P2" s="20"/>
      <c r="Q2" s="17"/>
      <c r="R2" s="17"/>
      <c r="S2" s="17"/>
      <c r="T2" s="23"/>
      <c r="U2" s="20"/>
      <c r="V2" s="20"/>
      <c r="W2" s="20"/>
      <c r="X2" s="20"/>
      <c r="Y2" s="20"/>
      <c r="Z2" s="20"/>
      <c r="AA2" s="20"/>
      <c r="AB2" s="20"/>
      <c r="AC2" s="17"/>
      <c r="AD2" s="17"/>
      <c r="AE2" s="17"/>
      <c r="AF2" s="23"/>
      <c r="AG2" s="20"/>
      <c r="AH2" s="20"/>
      <c r="AI2" s="20"/>
      <c r="AJ2" s="20"/>
      <c r="AK2" s="20"/>
      <c r="AL2" s="20"/>
      <c r="AM2" s="20"/>
      <c r="AN2" s="20"/>
      <c r="AO2" s="17"/>
      <c r="AP2" s="17"/>
      <c r="AQ2" s="17"/>
      <c r="AR2" s="23"/>
      <c r="AS2" s="20"/>
      <c r="AT2" s="20"/>
      <c r="AU2" s="20"/>
      <c r="AV2" s="20"/>
      <c r="AW2" s="20"/>
      <c r="AX2" s="20"/>
      <c r="AY2" s="20"/>
      <c r="AZ2" s="20"/>
      <c r="BA2" s="20"/>
    </row>
    <row r="3" spans="1:53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20"/>
      <c r="L3" s="20"/>
      <c r="M3" s="20"/>
      <c r="N3" s="20"/>
      <c r="O3" s="20"/>
      <c r="P3" s="20"/>
      <c r="Q3" s="16"/>
      <c r="R3" s="16"/>
      <c r="S3" s="16"/>
      <c r="T3" s="16"/>
      <c r="U3" s="16"/>
      <c r="V3" s="20"/>
      <c r="W3" s="20"/>
      <c r="X3" s="20"/>
      <c r="Y3" s="20"/>
      <c r="Z3" s="20"/>
      <c r="AA3" s="20"/>
      <c r="AB3" s="20"/>
      <c r="AC3" s="16"/>
      <c r="AD3" s="16"/>
      <c r="AE3" s="16"/>
      <c r="AF3" s="16"/>
      <c r="AG3" s="16"/>
      <c r="AH3" s="20"/>
      <c r="AI3" s="20"/>
      <c r="AJ3" s="20"/>
      <c r="AK3" s="20"/>
      <c r="AL3" s="20"/>
      <c r="AM3" s="20"/>
      <c r="AN3" s="20"/>
      <c r="AO3" s="16"/>
      <c r="AP3" s="16"/>
      <c r="AQ3" s="16"/>
      <c r="AR3" s="16"/>
      <c r="AS3" s="16"/>
      <c r="AT3" s="20"/>
      <c r="AU3" s="20"/>
      <c r="AV3" s="20"/>
      <c r="AW3" s="20"/>
      <c r="AX3" s="20"/>
      <c r="AY3" s="20"/>
      <c r="AZ3" s="20"/>
      <c r="BA3" s="20"/>
    </row>
    <row r="4" spans="1:53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258">
        <v>2015</v>
      </c>
      <c r="L4" s="259"/>
      <c r="M4" s="259"/>
      <c r="N4" s="259"/>
      <c r="O4" s="260"/>
      <c r="P4" s="20"/>
      <c r="Q4" s="17"/>
      <c r="R4" s="17"/>
      <c r="S4" s="17"/>
      <c r="T4" s="23"/>
      <c r="U4" s="20"/>
      <c r="V4" s="20"/>
      <c r="W4" s="258">
        <v>2016</v>
      </c>
      <c r="X4" s="259"/>
      <c r="Y4" s="259"/>
      <c r="Z4" s="259"/>
      <c r="AA4" s="260"/>
      <c r="AB4" s="20"/>
      <c r="AC4" s="17"/>
      <c r="AD4" s="17"/>
      <c r="AE4" s="17"/>
      <c r="AF4" s="23"/>
      <c r="AG4" s="20"/>
      <c r="AH4" s="20"/>
      <c r="AI4" s="258">
        <v>2017</v>
      </c>
      <c r="AJ4" s="259"/>
      <c r="AK4" s="259"/>
      <c r="AL4" s="259"/>
      <c r="AM4" s="260"/>
      <c r="AN4" s="20"/>
      <c r="AO4" s="17"/>
      <c r="AP4" s="17"/>
      <c r="AQ4" s="17"/>
      <c r="AR4" s="23"/>
      <c r="AS4" s="20"/>
      <c r="AT4" s="20"/>
      <c r="AU4" s="258">
        <v>2018</v>
      </c>
      <c r="AV4" s="259"/>
      <c r="AW4" s="259"/>
      <c r="AX4" s="259"/>
      <c r="AY4" s="260"/>
      <c r="AZ4" s="20"/>
      <c r="BA4" s="20"/>
    </row>
    <row r="5" spans="1:53" x14ac:dyDescent="0.2">
      <c r="A5" s="22"/>
      <c r="B5" s="22"/>
      <c r="C5" s="22"/>
      <c r="D5" s="22"/>
      <c r="E5" s="32" t="s">
        <v>2068</v>
      </c>
      <c r="F5" s="29"/>
      <c r="G5" s="30" t="s">
        <v>2069</v>
      </c>
      <c r="H5" s="29"/>
      <c r="I5" s="31">
        <v>2015</v>
      </c>
      <c r="J5" s="22"/>
      <c r="K5" s="38" t="s">
        <v>2211</v>
      </c>
      <c r="L5" s="38" t="s">
        <v>2212</v>
      </c>
      <c r="M5" s="38" t="s">
        <v>2213</v>
      </c>
      <c r="N5" s="43" t="s">
        <v>2297</v>
      </c>
      <c r="O5" s="43" t="s">
        <v>2304</v>
      </c>
      <c r="P5" s="17"/>
      <c r="Q5" s="32" t="s">
        <v>2068</v>
      </c>
      <c r="R5" s="29"/>
      <c r="S5" s="30" t="s">
        <v>2069</v>
      </c>
      <c r="T5" s="29"/>
      <c r="U5" s="31">
        <v>2016</v>
      </c>
      <c r="V5" s="22"/>
      <c r="W5" s="38" t="s">
        <v>2211</v>
      </c>
      <c r="X5" s="38" t="s">
        <v>2212</v>
      </c>
      <c r="Y5" s="38" t="s">
        <v>2213</v>
      </c>
      <c r="Z5" s="43" t="s">
        <v>2297</v>
      </c>
      <c r="AA5" s="43" t="s">
        <v>2304</v>
      </c>
      <c r="AB5" s="17"/>
      <c r="AC5" s="32" t="s">
        <v>2068</v>
      </c>
      <c r="AD5" s="29"/>
      <c r="AE5" s="30" t="s">
        <v>2069</v>
      </c>
      <c r="AF5" s="29"/>
      <c r="AG5" s="31">
        <v>2017</v>
      </c>
      <c r="AH5" s="22"/>
      <c r="AI5" s="38" t="s">
        <v>2211</v>
      </c>
      <c r="AJ5" s="38" t="s">
        <v>2212</v>
      </c>
      <c r="AK5" s="38" t="s">
        <v>2213</v>
      </c>
      <c r="AL5" s="43" t="s">
        <v>2297</v>
      </c>
      <c r="AM5" s="43" t="s">
        <v>2304</v>
      </c>
      <c r="AN5" s="17"/>
      <c r="AO5" s="32" t="s">
        <v>2068</v>
      </c>
      <c r="AP5" s="29"/>
      <c r="AQ5" s="30" t="s">
        <v>2069</v>
      </c>
      <c r="AR5" s="29"/>
      <c r="AS5" s="31">
        <v>2018</v>
      </c>
      <c r="AT5" s="22"/>
      <c r="AU5" s="38" t="s">
        <v>2211</v>
      </c>
      <c r="AV5" s="38" t="s">
        <v>2212</v>
      </c>
      <c r="AW5" s="38" t="s">
        <v>2213</v>
      </c>
      <c r="AX5" s="43" t="s">
        <v>2297</v>
      </c>
      <c r="AY5" s="43" t="s">
        <v>2304</v>
      </c>
      <c r="AZ5" s="17"/>
      <c r="BA5" s="17"/>
    </row>
    <row r="6" spans="1:53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4"/>
      <c r="R6" s="4"/>
      <c r="S6" s="4"/>
      <c r="T6" s="5"/>
      <c r="U6" s="6"/>
      <c r="V6" s="6"/>
      <c r="W6" s="6"/>
      <c r="X6" s="6"/>
      <c r="Y6" s="6"/>
      <c r="Z6" s="6"/>
      <c r="AA6" s="6"/>
      <c r="AB6" s="6"/>
      <c r="AC6" s="4"/>
      <c r="AD6" s="4"/>
      <c r="AE6" s="4"/>
      <c r="AF6" s="5"/>
      <c r="AG6" s="6"/>
      <c r="AH6" s="6"/>
      <c r="AI6" s="6"/>
      <c r="AJ6" s="6"/>
      <c r="AK6" s="6"/>
      <c r="AL6" s="6"/>
      <c r="AM6" s="6"/>
      <c r="AN6" s="6"/>
      <c r="AO6" s="4"/>
      <c r="AP6" s="4"/>
      <c r="AQ6" s="4"/>
      <c r="AR6" s="5"/>
      <c r="AS6" s="6"/>
      <c r="AT6" s="6"/>
      <c r="AU6" s="6"/>
      <c r="AV6" s="6"/>
      <c r="AW6" s="6"/>
      <c r="AX6" s="6"/>
      <c r="AY6" s="6"/>
      <c r="AZ6" s="6"/>
      <c r="BA6" s="6"/>
    </row>
    <row r="7" spans="1:53" x14ac:dyDescent="0.2">
      <c r="A7" s="22" t="s">
        <v>2067</v>
      </c>
      <c r="B7" s="22"/>
      <c r="C7" s="15"/>
      <c r="D7" s="24"/>
      <c r="E7" s="25"/>
      <c r="F7" s="25"/>
      <c r="G7" s="25"/>
      <c r="H7" s="26"/>
      <c r="I7" s="35" t="s">
        <v>2193</v>
      </c>
      <c r="J7" s="20"/>
      <c r="K7" s="20"/>
      <c r="L7" s="20"/>
      <c r="M7" s="20"/>
      <c r="N7" s="20"/>
      <c r="O7" s="20"/>
      <c r="P7" s="20"/>
      <c r="Q7" s="25"/>
      <c r="R7" s="25"/>
      <c r="S7" s="25"/>
      <c r="T7" s="26"/>
      <c r="U7" s="35" t="s">
        <v>2193</v>
      </c>
      <c r="V7" s="20"/>
      <c r="W7" s="20"/>
      <c r="X7" s="20"/>
      <c r="Y7" s="20"/>
      <c r="Z7" s="20"/>
      <c r="AA7" s="20"/>
      <c r="AB7" s="20"/>
      <c r="AC7" s="25"/>
      <c r="AD7" s="25"/>
      <c r="AE7" s="25"/>
      <c r="AF7" s="26"/>
      <c r="AG7" s="20"/>
      <c r="AH7" s="20"/>
      <c r="AI7" s="20"/>
      <c r="AJ7" s="20"/>
      <c r="AK7" s="20"/>
      <c r="AL7" s="20"/>
      <c r="AM7" s="20"/>
      <c r="AN7" s="20"/>
      <c r="AO7" s="25"/>
      <c r="AP7" s="25"/>
      <c r="AQ7" s="25"/>
      <c r="AR7" s="26"/>
      <c r="AS7" s="20"/>
      <c r="AT7" s="20"/>
      <c r="AU7" s="20"/>
      <c r="AV7" s="20"/>
      <c r="AW7" s="20"/>
      <c r="AX7" s="20"/>
      <c r="AY7" s="20"/>
      <c r="AZ7" s="20"/>
      <c r="BA7" s="20"/>
    </row>
    <row r="8" spans="1:53" x14ac:dyDescent="0.2">
      <c r="A8" s="7"/>
      <c r="B8" s="7"/>
      <c r="C8" s="7"/>
      <c r="D8" s="7"/>
      <c r="E8" s="7"/>
      <c r="F8" s="7"/>
      <c r="G8" s="7"/>
      <c r="H8" s="7"/>
      <c r="I8" s="7"/>
      <c r="J8" s="7"/>
      <c r="Q8" s="7"/>
      <c r="R8" s="7"/>
      <c r="S8" s="7"/>
      <c r="T8" s="7"/>
      <c r="U8" s="7"/>
      <c r="V8" s="7"/>
      <c r="AC8" s="7"/>
      <c r="AD8" s="7"/>
      <c r="AE8" s="7"/>
      <c r="AF8" s="7"/>
      <c r="AG8" s="7"/>
      <c r="AO8" s="7"/>
      <c r="AP8" s="7"/>
      <c r="AQ8" s="7"/>
      <c r="AR8" s="7"/>
      <c r="AS8" s="7"/>
    </row>
    <row r="9" spans="1:53" x14ac:dyDescent="0.2">
      <c r="A9" s="7"/>
      <c r="B9" s="7"/>
      <c r="C9" s="7"/>
      <c r="D9" s="7"/>
      <c r="E9" s="36">
        <v>102</v>
      </c>
      <c r="F9" s="36" t="s">
        <v>2070</v>
      </c>
      <c r="G9" s="36">
        <v>514770</v>
      </c>
      <c r="H9" s="36" t="s">
        <v>219</v>
      </c>
      <c r="I9" s="37">
        <v>4.8620000000000001</v>
      </c>
      <c r="J9" s="7"/>
      <c r="K9" s="7" t="str">
        <f>VLOOKUP($E9,Mapping!$E$11:$I$96,3,0)</f>
        <v>Connections</v>
      </c>
      <c r="L9" s="7" t="str">
        <f>VLOOKUP($G9,Mapping!$E$140:$K$2771,5,0)</f>
        <v>Materials</v>
      </c>
      <c r="M9" s="7" t="str">
        <f>VLOOKUP($G9,Mapping!$E$140:$K$2771,7,0)</f>
        <v>ENDirect</v>
      </c>
      <c r="N9" s="7" t="str">
        <f>IFERROR(HLOOKUP(L9,'Calc|Weightings'!$K$5:$M$5,1,0),"Excl")</f>
        <v>Materials</v>
      </c>
      <c r="O9" s="7" t="str">
        <f>VLOOKUP(E9,Mapping!$E$11:$I$96,5,0)</f>
        <v>SCS</v>
      </c>
      <c r="Q9" s="33">
        <v>102</v>
      </c>
      <c r="R9" s="33" t="s">
        <v>2070</v>
      </c>
      <c r="S9" s="33">
        <v>503350</v>
      </c>
      <c r="T9" s="33" t="s">
        <v>182</v>
      </c>
      <c r="U9" s="34">
        <v>0.68981999999999999</v>
      </c>
      <c r="V9" s="7"/>
      <c r="W9" s="7" t="str">
        <f>VLOOKUP($Q9,Mapping!$E$11:$I$96,3,0)</f>
        <v>Connections</v>
      </c>
      <c r="X9" s="7" t="str">
        <f>VLOOKUP($S9,Mapping!$E$140:$K$2771,5,0)</f>
        <v>Contracts</v>
      </c>
      <c r="Y9" s="7" t="str">
        <f>VLOOKUP($S9,Mapping!$E$140:$K$2771,7,0)</f>
        <v>ENDirect</v>
      </c>
      <c r="Z9" s="7" t="str">
        <f>IFERROR(HLOOKUP(X9,'Calc|Weightings'!$K$5:$M$5,1,0),"Excl")</f>
        <v>Contracts</v>
      </c>
      <c r="AA9" s="7" t="str">
        <f>VLOOKUP(Q9,Mapping!$E$11:$I$96,5,0)</f>
        <v>SCS</v>
      </c>
      <c r="AC9" s="111">
        <v>102</v>
      </c>
      <c r="AD9" s="111" t="s">
        <v>2070</v>
      </c>
      <c r="AE9" s="111">
        <v>520100</v>
      </c>
      <c r="AF9" s="111" t="s">
        <v>2072</v>
      </c>
      <c r="AG9" s="112">
        <v>173.07696999999999</v>
      </c>
      <c r="AI9" s="7" t="str">
        <f>VLOOKUP($AC9,Mapping!$E$11:$I$96,3,0)</f>
        <v>Connections</v>
      </c>
      <c r="AJ9" s="7" t="str">
        <f>VLOOKUP($AE9,Mapping!$E$140:$K$2771,5,0)</f>
        <v>Materials</v>
      </c>
      <c r="AK9" s="7" t="str">
        <f>VLOOKUP($AE9,Mapping!$E$140:$K$2771,7,0)</f>
        <v>ENDirect</v>
      </c>
      <c r="AL9" s="7" t="str">
        <f>IFERROR(HLOOKUP(AJ9,'Calc|Weightings'!$K$5:$M$5,1,0),"Excl")</f>
        <v>Materials</v>
      </c>
      <c r="AM9" s="7" t="str">
        <f>VLOOKUP(AC9,Mapping!$E$11:$I$96,5,0)</f>
        <v>SCS</v>
      </c>
      <c r="AO9" s="134">
        <v>102</v>
      </c>
      <c r="AP9" s="135" t="s">
        <v>2070</v>
      </c>
      <c r="AQ9" s="135">
        <v>503281</v>
      </c>
      <c r="AR9" s="135" t="s">
        <v>2198</v>
      </c>
      <c r="AS9" s="136">
        <v>3.8490000000000003E-2</v>
      </c>
      <c r="AU9" s="7" t="str">
        <f>VLOOKUP($AO9,Mapping!$E$11:$I$96,3,0)</f>
        <v>Connections</v>
      </c>
      <c r="AV9" s="7" t="str">
        <f>VLOOKUP($AQ9,Mapping!$E$140:$K$2771,5,0)</f>
        <v>Contracts</v>
      </c>
      <c r="AW9" s="7" t="str">
        <f>VLOOKUP($AQ9,Mapping!$E$140:$K$2771,7,0)</f>
        <v>ENDirect</v>
      </c>
      <c r="AX9" s="7" t="str">
        <f>IFERROR(HLOOKUP(AV9,'Calc|Weightings'!$K$5:$M$5,1,0),"Excl")</f>
        <v>Contracts</v>
      </c>
      <c r="AY9" s="7" t="str">
        <f>VLOOKUP(AO9,Mapping!$E$11:$I$96,5,0)</f>
        <v>SCS</v>
      </c>
    </row>
    <row r="10" spans="1:53" x14ac:dyDescent="0.2">
      <c r="A10" s="7"/>
      <c r="B10" s="7"/>
      <c r="C10" s="7"/>
      <c r="D10" s="7"/>
      <c r="E10" s="36">
        <v>102</v>
      </c>
      <c r="F10" s="36" t="s">
        <v>2070</v>
      </c>
      <c r="G10" s="36">
        <v>520100</v>
      </c>
      <c r="H10" s="36" t="s">
        <v>2072</v>
      </c>
      <c r="I10" s="37">
        <v>191.13876999999999</v>
      </c>
      <c r="J10" s="7"/>
      <c r="K10" s="7" t="str">
        <f>VLOOKUP($E10,Mapping!$E$11:$I$96,3,0)</f>
        <v>Connections</v>
      </c>
      <c r="L10" s="7" t="str">
        <f>VLOOKUP($G10,Mapping!$E$140:$K$2771,5,0)</f>
        <v>Materials</v>
      </c>
      <c r="M10" s="7" t="str">
        <f>VLOOKUP($G10,Mapping!$E$140:$K$2771,7,0)</f>
        <v>ENDirect</v>
      </c>
      <c r="N10" s="7" t="str">
        <f>IFERROR(HLOOKUP(L10,'Calc|Weightings'!$K$5:$M$5,1,0),"Excl")</f>
        <v>Materials</v>
      </c>
      <c r="O10" s="7" t="str">
        <f>VLOOKUP(E10,Mapping!$E$11:$I$96,5,0)</f>
        <v>SCS</v>
      </c>
      <c r="Q10" s="33">
        <v>102</v>
      </c>
      <c r="R10" s="33" t="s">
        <v>2070</v>
      </c>
      <c r="S10" s="33">
        <v>520100</v>
      </c>
      <c r="T10" s="33" t="s">
        <v>2072</v>
      </c>
      <c r="U10" s="34">
        <v>148.46601999999999</v>
      </c>
      <c r="V10" s="7"/>
      <c r="W10" s="7" t="str">
        <f>VLOOKUP($Q10,Mapping!$E$11:$I$96,3,0)</f>
        <v>Connections</v>
      </c>
      <c r="X10" s="7" t="str">
        <f>VLOOKUP($S10,Mapping!$E$140:$K$2771,5,0)</f>
        <v>Materials</v>
      </c>
      <c r="Y10" s="7" t="str">
        <f>VLOOKUP($S10,Mapping!$E$140:$K$2771,7,0)</f>
        <v>ENDirect</v>
      </c>
      <c r="Z10" s="7" t="str">
        <f>IFERROR(HLOOKUP(X10,'Calc|Weightings'!$K$5:$M$5,1,0),"Excl")</f>
        <v>Materials</v>
      </c>
      <c r="AA10" s="7" t="str">
        <f>VLOOKUP(Q10,Mapping!$E$11:$I$96,5,0)</f>
        <v>SCS</v>
      </c>
      <c r="AC10" s="111">
        <v>102</v>
      </c>
      <c r="AD10" s="111" t="s">
        <v>2070</v>
      </c>
      <c r="AE10" s="111">
        <v>523100</v>
      </c>
      <c r="AF10" s="111" t="s">
        <v>2074</v>
      </c>
      <c r="AG10" s="112">
        <v>2.4532099999999999</v>
      </c>
      <c r="AI10" s="7" t="str">
        <f>VLOOKUP($AC10,Mapping!$E$11:$I$96,3,0)</f>
        <v>Connections</v>
      </c>
      <c r="AJ10" s="7" t="str">
        <f>VLOOKUP($AE10,Mapping!$E$140:$K$2771,5,0)</f>
        <v>Materials</v>
      </c>
      <c r="AK10" s="7" t="str">
        <f>VLOOKUP($AE10,Mapping!$E$140:$K$2771,7,0)</f>
        <v>ENDirect</v>
      </c>
      <c r="AL10" s="7" t="str">
        <f>IFERROR(HLOOKUP(AJ10,'Calc|Weightings'!$K$5:$M$5,1,0),"Excl")</f>
        <v>Materials</v>
      </c>
      <c r="AM10" s="7" t="str">
        <f>VLOOKUP(AC10,Mapping!$E$11:$I$96,5,0)</f>
        <v>SCS</v>
      </c>
      <c r="AO10" s="134">
        <v>102</v>
      </c>
      <c r="AP10" s="135" t="s">
        <v>2070</v>
      </c>
      <c r="AQ10" s="135">
        <v>520100</v>
      </c>
      <c r="AR10" s="135" t="s">
        <v>2072</v>
      </c>
      <c r="AS10" s="136">
        <f>265.4232-48</f>
        <v>217.42320000000001</v>
      </c>
      <c r="AU10" s="7" t="str">
        <f>VLOOKUP($AO10,Mapping!$E$11:$I$96,3,0)</f>
        <v>Connections</v>
      </c>
      <c r="AV10" s="7" t="str">
        <f>VLOOKUP($AQ10,Mapping!$E$140:$K$2771,5,0)</f>
        <v>Materials</v>
      </c>
      <c r="AW10" s="7" t="str">
        <f>VLOOKUP($AQ10,Mapping!$E$140:$K$2771,7,0)</f>
        <v>ENDirect</v>
      </c>
      <c r="AX10" s="7" t="str">
        <f>IFERROR(HLOOKUP(AV10,'Calc|Weightings'!$K$5:$M$5,1,0),"Excl")</f>
        <v>Materials</v>
      </c>
      <c r="AY10" s="7" t="str">
        <f>VLOOKUP(AO10,Mapping!$E$11:$I$96,5,0)</f>
        <v>SCS</v>
      </c>
    </row>
    <row r="11" spans="1:53" x14ac:dyDescent="0.2">
      <c r="A11" s="7"/>
      <c r="B11" s="7"/>
      <c r="C11" s="7"/>
      <c r="D11" s="7"/>
      <c r="E11" s="36">
        <v>102</v>
      </c>
      <c r="F11" s="36" t="s">
        <v>2070</v>
      </c>
      <c r="G11" s="36">
        <v>520200</v>
      </c>
      <c r="H11" s="36" t="s">
        <v>2073</v>
      </c>
      <c r="I11" s="37">
        <v>4.0525000000000002</v>
      </c>
      <c r="J11" s="7"/>
      <c r="K11" s="7" t="str">
        <f>VLOOKUP($E11,Mapping!$E$11:$I$96,3,0)</f>
        <v>Connections</v>
      </c>
      <c r="L11" s="7" t="str">
        <f>VLOOKUP($G11,Mapping!$E$140:$K$2771,5,0)</f>
        <v>Materials</v>
      </c>
      <c r="M11" s="7" t="str">
        <f>VLOOKUP($G11,Mapping!$E$140:$K$2771,7,0)</f>
        <v>ENDirect</v>
      </c>
      <c r="N11" s="7" t="str">
        <f>IFERROR(HLOOKUP(L11,'Calc|Weightings'!$K$5:$M$5,1,0),"Excl")</f>
        <v>Materials</v>
      </c>
      <c r="O11" s="7" t="str">
        <f>VLOOKUP(E11,Mapping!$E$11:$I$96,5,0)</f>
        <v>SCS</v>
      </c>
      <c r="Q11" s="33">
        <v>102</v>
      </c>
      <c r="R11" s="33" t="s">
        <v>2070</v>
      </c>
      <c r="S11" s="33">
        <v>523100</v>
      </c>
      <c r="T11" s="33" t="s">
        <v>2074</v>
      </c>
      <c r="U11" s="34">
        <v>1.9139699999999999</v>
      </c>
      <c r="V11" s="7"/>
      <c r="W11" s="7" t="str">
        <f>VLOOKUP($Q11,Mapping!$E$11:$I$96,3,0)</f>
        <v>Connections</v>
      </c>
      <c r="X11" s="7" t="str">
        <f>VLOOKUP($S11,Mapping!$E$140:$K$2771,5,0)</f>
        <v>Materials</v>
      </c>
      <c r="Y11" s="7" t="str">
        <f>VLOOKUP($S11,Mapping!$E$140:$K$2771,7,0)</f>
        <v>ENDirect</v>
      </c>
      <c r="Z11" s="7" t="str">
        <f>IFERROR(HLOOKUP(X11,'Calc|Weightings'!$K$5:$M$5,1,0),"Excl")</f>
        <v>Materials</v>
      </c>
      <c r="AA11" s="7" t="str">
        <f>VLOOKUP(Q11,Mapping!$E$11:$I$96,5,0)</f>
        <v>SCS</v>
      </c>
      <c r="AC11" s="111">
        <v>102</v>
      </c>
      <c r="AD11" s="111" t="s">
        <v>2070</v>
      </c>
      <c r="AE11" s="111">
        <v>531000</v>
      </c>
      <c r="AF11" s="111" t="s">
        <v>242</v>
      </c>
      <c r="AG11" s="112">
        <v>0.27485999999999999</v>
      </c>
      <c r="AI11" s="7" t="str">
        <f>VLOOKUP($AC11,Mapping!$E$11:$I$96,3,0)</f>
        <v>Connections</v>
      </c>
      <c r="AJ11" s="7" t="str">
        <f>VLOOKUP($AE11,Mapping!$E$140:$K$2771,5,0)</f>
        <v>Contracts</v>
      </c>
      <c r="AK11" s="7" t="str">
        <f>VLOOKUP($AE11,Mapping!$E$140:$K$2771,7,0)</f>
        <v>ENDirect</v>
      </c>
      <c r="AL11" s="7" t="str">
        <f>IFERROR(HLOOKUP(AJ11,'Calc|Weightings'!$K$5:$M$5,1,0),"Excl")</f>
        <v>Contracts</v>
      </c>
      <c r="AM11" s="7" t="str">
        <f>VLOOKUP(AC11,Mapping!$E$11:$I$96,5,0)</f>
        <v>SCS</v>
      </c>
      <c r="AO11" s="134">
        <v>102</v>
      </c>
      <c r="AP11" s="135" t="s">
        <v>2070</v>
      </c>
      <c r="AQ11" s="135">
        <v>522100</v>
      </c>
      <c r="AR11" s="135" t="s">
        <v>2115</v>
      </c>
      <c r="AS11" s="136">
        <v>2.5000000000000001E-2</v>
      </c>
      <c r="AU11" s="7" t="str">
        <f>VLOOKUP($AO11,Mapping!$E$11:$I$96,3,0)</f>
        <v>Connections</v>
      </c>
      <c r="AV11" s="7" t="str">
        <f>VLOOKUP($AQ11,Mapping!$E$140:$K$2771,5,0)</f>
        <v>Materials</v>
      </c>
      <c r="AW11" s="7" t="str">
        <f>VLOOKUP($AQ11,Mapping!$E$140:$K$2771,7,0)</f>
        <v>ENDirect</v>
      </c>
      <c r="AX11" s="7" t="str">
        <f>IFERROR(HLOOKUP(AV11,'Calc|Weightings'!$K$5:$M$5,1,0),"Excl")</f>
        <v>Materials</v>
      </c>
      <c r="AY11" s="7" t="str">
        <f>VLOOKUP(AO11,Mapping!$E$11:$I$96,5,0)</f>
        <v>SCS</v>
      </c>
    </row>
    <row r="12" spans="1:53" x14ac:dyDescent="0.2">
      <c r="A12" s="7"/>
      <c r="B12" s="7"/>
      <c r="C12" s="7"/>
      <c r="D12" s="7"/>
      <c r="E12" s="36">
        <v>102</v>
      </c>
      <c r="F12" s="36" t="s">
        <v>2070</v>
      </c>
      <c r="G12" s="36">
        <v>523100</v>
      </c>
      <c r="H12" s="36" t="s">
        <v>2074</v>
      </c>
      <c r="I12" s="37">
        <v>2.4516200000000001</v>
      </c>
      <c r="J12" s="7"/>
      <c r="K12" s="7" t="str">
        <f>VLOOKUP($E12,Mapping!$E$11:$I$96,3,0)</f>
        <v>Connections</v>
      </c>
      <c r="L12" s="7" t="str">
        <f>VLOOKUP($G12,Mapping!$E$140:$K$2771,5,0)</f>
        <v>Materials</v>
      </c>
      <c r="M12" s="7" t="str">
        <f>VLOOKUP($G12,Mapping!$E$140:$K$2771,7,0)</f>
        <v>ENDirect</v>
      </c>
      <c r="N12" s="7" t="str">
        <f>IFERROR(HLOOKUP(L12,'Calc|Weightings'!$K$5:$M$5,1,0),"Excl")</f>
        <v>Materials</v>
      </c>
      <c r="O12" s="7" t="str">
        <f>VLOOKUP(E12,Mapping!$E$11:$I$96,5,0)</f>
        <v>SCS</v>
      </c>
      <c r="Q12" s="33">
        <v>102</v>
      </c>
      <c r="R12" s="33" t="s">
        <v>2070</v>
      </c>
      <c r="S12" s="33">
        <v>531020</v>
      </c>
      <c r="T12" s="33" t="s">
        <v>219</v>
      </c>
      <c r="U12" s="34">
        <v>72.023740000000004</v>
      </c>
      <c r="V12" s="7"/>
      <c r="W12" s="7" t="str">
        <f>VLOOKUP($Q12,Mapping!$E$11:$I$96,3,0)</f>
        <v>Connections</v>
      </c>
      <c r="X12" s="7" t="str">
        <f>VLOOKUP($S12,Mapping!$E$140:$K$2771,5,0)</f>
        <v>Labour</v>
      </c>
      <c r="Y12" s="7" t="str">
        <f>VLOOKUP($S12,Mapping!$E$140:$K$2771,7,0)</f>
        <v>ENDirect</v>
      </c>
      <c r="Z12" s="7" t="str">
        <f>IFERROR(HLOOKUP(X12,'Calc|Weightings'!$K$5:$M$5,1,0),"Excl")</f>
        <v>Labour</v>
      </c>
      <c r="AA12" s="7" t="str">
        <f>VLOOKUP(Q12,Mapping!$E$11:$I$96,5,0)</f>
        <v>SCS</v>
      </c>
      <c r="AC12" s="111">
        <v>102</v>
      </c>
      <c r="AD12" s="111" t="s">
        <v>2070</v>
      </c>
      <c r="AE12" s="111">
        <v>531020</v>
      </c>
      <c r="AF12" s="111" t="s">
        <v>219</v>
      </c>
      <c r="AG12" s="112">
        <v>-0.70877999999999997</v>
      </c>
      <c r="AI12" s="7" t="str">
        <f>VLOOKUP($AC12,Mapping!$E$11:$I$96,3,0)</f>
        <v>Connections</v>
      </c>
      <c r="AJ12" s="7" t="str">
        <f>VLOOKUP($AE12,Mapping!$E$140:$K$2771,5,0)</f>
        <v>Labour</v>
      </c>
      <c r="AK12" s="7" t="str">
        <f>VLOOKUP($AE12,Mapping!$E$140:$K$2771,7,0)</f>
        <v>ENDirect</v>
      </c>
      <c r="AL12" s="7" t="str">
        <f>IFERROR(HLOOKUP(AJ12,'Calc|Weightings'!$K$5:$M$5,1,0),"Excl")</f>
        <v>Labour</v>
      </c>
      <c r="AM12" s="7" t="str">
        <f>VLOOKUP(AC12,Mapping!$E$11:$I$96,5,0)</f>
        <v>SCS</v>
      </c>
      <c r="AO12" s="134">
        <v>102</v>
      </c>
      <c r="AP12" s="135" t="s">
        <v>2070</v>
      </c>
      <c r="AQ12" s="135">
        <v>523100</v>
      </c>
      <c r="AR12" s="135" t="s">
        <v>2074</v>
      </c>
      <c r="AS12" s="136">
        <v>2.90124</v>
      </c>
      <c r="AU12" s="7" t="str">
        <f>VLOOKUP($AO12,Mapping!$E$11:$I$96,3,0)</f>
        <v>Connections</v>
      </c>
      <c r="AV12" s="7" t="str">
        <f>VLOOKUP($AQ12,Mapping!$E$140:$K$2771,5,0)</f>
        <v>Materials</v>
      </c>
      <c r="AW12" s="7" t="str">
        <f>VLOOKUP($AQ12,Mapping!$E$140:$K$2771,7,0)</f>
        <v>ENDirect</v>
      </c>
      <c r="AX12" s="7" t="str">
        <f>IFERROR(HLOOKUP(AV12,'Calc|Weightings'!$K$5:$M$5,1,0),"Excl")</f>
        <v>Materials</v>
      </c>
      <c r="AY12" s="7" t="str">
        <f>VLOOKUP(AO12,Mapping!$E$11:$I$96,5,0)</f>
        <v>SCS</v>
      </c>
    </row>
    <row r="13" spans="1:53" x14ac:dyDescent="0.2">
      <c r="A13" s="7"/>
      <c r="B13" s="7"/>
      <c r="C13" s="7"/>
      <c r="D13" s="7"/>
      <c r="E13" s="36">
        <v>102</v>
      </c>
      <c r="F13" s="36" t="s">
        <v>2070</v>
      </c>
      <c r="G13" s="36">
        <v>523300</v>
      </c>
      <c r="H13" s="36" t="s">
        <v>2075</v>
      </c>
      <c r="I13" s="37">
        <v>0.63390000000000002</v>
      </c>
      <c r="J13" s="7"/>
      <c r="K13" s="7" t="str">
        <f>VLOOKUP($E13,Mapping!$E$11:$I$96,3,0)</f>
        <v>Connections</v>
      </c>
      <c r="L13" s="7" t="str">
        <f>VLOOKUP($G13,Mapping!$E$140:$K$2771,5,0)</f>
        <v>Materials</v>
      </c>
      <c r="M13" s="7" t="str">
        <f>VLOOKUP($G13,Mapping!$E$140:$K$2771,7,0)</f>
        <v>ENDirect</v>
      </c>
      <c r="N13" s="7" t="str">
        <f>IFERROR(HLOOKUP(L13,'Calc|Weightings'!$K$5:$M$5,1,0),"Excl")</f>
        <v>Materials</v>
      </c>
      <c r="O13" s="7" t="str">
        <f>VLOOKUP(E13,Mapping!$E$11:$I$96,5,0)</f>
        <v>SCS</v>
      </c>
      <c r="Q13" s="33">
        <v>102</v>
      </c>
      <c r="R13" s="33" t="s">
        <v>2070</v>
      </c>
      <c r="S13" s="33">
        <v>531035</v>
      </c>
      <c r="T13" s="33" t="s">
        <v>244</v>
      </c>
      <c r="U13" s="34">
        <v>3.1060599999999998</v>
      </c>
      <c r="V13" s="7"/>
      <c r="W13" s="7" t="str">
        <f>VLOOKUP($Q13,Mapping!$E$11:$I$96,3,0)</f>
        <v>Connections</v>
      </c>
      <c r="X13" s="7" t="str">
        <f>VLOOKUP($S13,Mapping!$E$140:$K$2771,5,0)</f>
        <v>Labour</v>
      </c>
      <c r="Y13" s="7" t="str">
        <f>VLOOKUP($S13,Mapping!$E$140:$K$2771,7,0)</f>
        <v>ENDirect</v>
      </c>
      <c r="Z13" s="7" t="str">
        <f>IFERROR(HLOOKUP(X13,'Calc|Weightings'!$K$5:$M$5,1,0),"Excl")</f>
        <v>Labour</v>
      </c>
      <c r="AA13" s="7" t="str">
        <f>VLOOKUP(Q13,Mapping!$E$11:$I$96,5,0)</f>
        <v>SCS</v>
      </c>
      <c r="AC13" s="111">
        <v>102</v>
      </c>
      <c r="AD13" s="111" t="s">
        <v>2070</v>
      </c>
      <c r="AE13" s="111">
        <v>531201</v>
      </c>
      <c r="AF13" s="111" t="s">
        <v>251</v>
      </c>
      <c r="AG13" s="112">
        <v>22.866379999999999</v>
      </c>
      <c r="AI13" s="7" t="str">
        <f>VLOOKUP($AC13,Mapping!$E$11:$I$96,3,0)</f>
        <v>Connections</v>
      </c>
      <c r="AJ13" s="7" t="str">
        <f>VLOOKUP($AE13,Mapping!$E$140:$K$2771,5,0)</f>
        <v>Contracts</v>
      </c>
      <c r="AK13" s="7" t="str">
        <f>VLOOKUP($AE13,Mapping!$E$140:$K$2771,7,0)</f>
        <v>ENDirect</v>
      </c>
      <c r="AL13" s="7" t="str">
        <f>IFERROR(HLOOKUP(AJ13,'Calc|Weightings'!$K$5:$M$5,1,0),"Excl")</f>
        <v>Contracts</v>
      </c>
      <c r="AM13" s="7" t="str">
        <f>VLOOKUP(AC13,Mapping!$E$11:$I$96,5,0)</f>
        <v>SCS</v>
      </c>
      <c r="AO13" s="134">
        <v>102</v>
      </c>
      <c r="AP13" s="135" t="s">
        <v>2070</v>
      </c>
      <c r="AQ13" s="135">
        <v>523300</v>
      </c>
      <c r="AR13" s="135" t="s">
        <v>2075</v>
      </c>
      <c r="AS13" s="136">
        <v>0.46493000000000001</v>
      </c>
      <c r="AU13" s="7" t="str">
        <f>VLOOKUP($AO13,Mapping!$E$11:$I$96,3,0)</f>
        <v>Connections</v>
      </c>
      <c r="AV13" s="7" t="str">
        <f>VLOOKUP($AQ13,Mapping!$E$140:$K$2771,5,0)</f>
        <v>Materials</v>
      </c>
      <c r="AW13" s="7" t="str">
        <f>VLOOKUP($AQ13,Mapping!$E$140:$K$2771,7,0)</f>
        <v>ENDirect</v>
      </c>
      <c r="AX13" s="7" t="str">
        <f>IFERROR(HLOOKUP(AV13,'Calc|Weightings'!$K$5:$M$5,1,0),"Excl")</f>
        <v>Materials</v>
      </c>
      <c r="AY13" s="7" t="str">
        <f>VLOOKUP(AO13,Mapping!$E$11:$I$96,5,0)</f>
        <v>SCS</v>
      </c>
    </row>
    <row r="14" spans="1:53" x14ac:dyDescent="0.2">
      <c r="A14" s="7"/>
      <c r="B14" s="7"/>
      <c r="C14" s="7"/>
      <c r="D14" s="7"/>
      <c r="E14" s="36">
        <v>102</v>
      </c>
      <c r="F14" s="36" t="s">
        <v>2070</v>
      </c>
      <c r="G14" s="36">
        <v>531020</v>
      </c>
      <c r="H14" s="36" t="s">
        <v>219</v>
      </c>
      <c r="I14" s="37">
        <v>-1.2191000000000001</v>
      </c>
      <c r="J14" s="7"/>
      <c r="K14" s="7" t="str">
        <f>VLOOKUP($E14,Mapping!$E$11:$I$96,3,0)</f>
        <v>Connections</v>
      </c>
      <c r="L14" s="7" t="str">
        <f>VLOOKUP($G14,Mapping!$E$140:$K$2771,5,0)</f>
        <v>Labour</v>
      </c>
      <c r="M14" s="7" t="str">
        <f>VLOOKUP($G14,Mapping!$E$140:$K$2771,7,0)</f>
        <v>ENDirect</v>
      </c>
      <c r="N14" s="7" t="str">
        <f>IFERROR(HLOOKUP(L14,'Calc|Weightings'!$K$5:$M$5,1,0),"Excl")</f>
        <v>Labour</v>
      </c>
      <c r="O14" s="7" t="str">
        <f>VLOOKUP(E14,Mapping!$E$11:$I$96,5,0)</f>
        <v>SCS</v>
      </c>
      <c r="Q14" s="33">
        <v>102</v>
      </c>
      <c r="R14" s="33" t="s">
        <v>2070</v>
      </c>
      <c r="S14" s="33">
        <v>531201</v>
      </c>
      <c r="T14" s="33" t="s">
        <v>251</v>
      </c>
      <c r="U14" s="34">
        <v>24.617239999999999</v>
      </c>
      <c r="V14" s="7"/>
      <c r="W14" s="7" t="str">
        <f>VLOOKUP($Q14,Mapping!$E$11:$I$96,3,0)</f>
        <v>Connections</v>
      </c>
      <c r="X14" s="7" t="str">
        <f>VLOOKUP($S14,Mapping!$E$140:$K$2771,5,0)</f>
        <v>Contracts</v>
      </c>
      <c r="Y14" s="7" t="str">
        <f>VLOOKUP($S14,Mapping!$E$140:$K$2771,7,0)</f>
        <v>ENDirect</v>
      </c>
      <c r="Z14" s="7" t="str">
        <f>IFERROR(HLOOKUP(X14,'Calc|Weightings'!$K$5:$M$5,1,0),"Excl")</f>
        <v>Contracts</v>
      </c>
      <c r="AA14" s="7" t="str">
        <f>VLOOKUP(Q14,Mapping!$E$11:$I$96,5,0)</f>
        <v>SCS</v>
      </c>
      <c r="AC14" s="111">
        <v>102</v>
      </c>
      <c r="AD14" s="111" t="s">
        <v>2070</v>
      </c>
      <c r="AE14" s="111">
        <v>531211</v>
      </c>
      <c r="AF14" s="111" t="s">
        <v>253</v>
      </c>
      <c r="AG14" s="112">
        <v>10.509209999999999</v>
      </c>
      <c r="AI14" s="7" t="str">
        <f>VLOOKUP($AC14,Mapping!$E$11:$I$96,3,0)</f>
        <v>Connections</v>
      </c>
      <c r="AJ14" s="7" t="str">
        <f>VLOOKUP($AE14,Mapping!$E$140:$K$2771,5,0)</f>
        <v>Labour</v>
      </c>
      <c r="AK14" s="7" t="str">
        <f>VLOOKUP($AE14,Mapping!$E$140:$K$2771,7,0)</f>
        <v>ENDirect</v>
      </c>
      <c r="AL14" s="7" t="str">
        <f>IFERROR(HLOOKUP(AJ14,'Calc|Weightings'!$K$5:$M$5,1,0),"Excl")</f>
        <v>Labour</v>
      </c>
      <c r="AM14" s="7" t="str">
        <f>VLOOKUP(AC14,Mapping!$E$11:$I$96,5,0)</f>
        <v>SCS</v>
      </c>
      <c r="AO14" s="134">
        <v>102</v>
      </c>
      <c r="AP14" s="135" t="s">
        <v>2070</v>
      </c>
      <c r="AQ14" s="135">
        <v>531020</v>
      </c>
      <c r="AR14" s="135" t="s">
        <v>219</v>
      </c>
      <c r="AS14" s="136">
        <v>6.67659</v>
      </c>
      <c r="AU14" s="7" t="str">
        <f>VLOOKUP($AO14,Mapping!$E$11:$I$96,3,0)</f>
        <v>Connections</v>
      </c>
      <c r="AV14" s="7" t="str">
        <f>VLOOKUP($AQ14,Mapping!$E$140:$K$2771,5,0)</f>
        <v>Labour</v>
      </c>
      <c r="AW14" s="7" t="str">
        <f>VLOOKUP($AQ14,Mapping!$E$140:$K$2771,7,0)</f>
        <v>ENDirect</v>
      </c>
      <c r="AX14" s="7" t="str">
        <f>IFERROR(HLOOKUP(AV14,'Calc|Weightings'!$K$5:$M$5,1,0),"Excl")</f>
        <v>Labour</v>
      </c>
      <c r="AY14" s="7" t="str">
        <f>VLOOKUP(AO14,Mapping!$E$11:$I$96,5,0)</f>
        <v>SCS</v>
      </c>
    </row>
    <row r="15" spans="1:53" x14ac:dyDescent="0.2">
      <c r="A15" s="7"/>
      <c r="B15" s="7"/>
      <c r="C15" s="7"/>
      <c r="D15" s="7"/>
      <c r="E15" s="36">
        <v>102</v>
      </c>
      <c r="F15" s="36" t="s">
        <v>2070</v>
      </c>
      <c r="G15" s="36">
        <v>531035</v>
      </c>
      <c r="H15" s="36" t="s">
        <v>244</v>
      </c>
      <c r="I15" s="37">
        <v>16.70872</v>
      </c>
      <c r="J15" s="7"/>
      <c r="K15" s="7" t="str">
        <f>VLOOKUP($E15,Mapping!$E$11:$I$96,3,0)</f>
        <v>Connections</v>
      </c>
      <c r="L15" s="7" t="str">
        <f>VLOOKUP($G15,Mapping!$E$140:$K$2771,5,0)</f>
        <v>Labour</v>
      </c>
      <c r="M15" s="7" t="str">
        <f>VLOOKUP($G15,Mapping!$E$140:$K$2771,7,0)</f>
        <v>ENDirect</v>
      </c>
      <c r="N15" s="7" t="str">
        <f>IFERROR(HLOOKUP(L15,'Calc|Weightings'!$K$5:$M$5,1,0),"Excl")</f>
        <v>Labour</v>
      </c>
      <c r="O15" s="7" t="str">
        <f>VLOOKUP(E15,Mapping!$E$11:$I$96,5,0)</f>
        <v>SCS</v>
      </c>
      <c r="Q15" s="33">
        <v>102</v>
      </c>
      <c r="R15" s="33" t="s">
        <v>2070</v>
      </c>
      <c r="S15" s="33">
        <v>531464</v>
      </c>
      <c r="T15" s="33" t="s">
        <v>256</v>
      </c>
      <c r="U15" s="34">
        <v>185.92509999999999</v>
      </c>
      <c r="V15" s="7"/>
      <c r="W15" s="7" t="str">
        <f>VLOOKUP($Q15,Mapping!$E$11:$I$96,3,0)</f>
        <v>Connections</v>
      </c>
      <c r="X15" s="7" t="str">
        <f>VLOOKUP($S15,Mapping!$E$140:$K$2771,5,0)</f>
        <v>Contracts</v>
      </c>
      <c r="Y15" s="7" t="str">
        <f>VLOOKUP($S15,Mapping!$E$140:$K$2771,7,0)</f>
        <v>ENDirect</v>
      </c>
      <c r="Z15" s="7" t="str">
        <f>IFERROR(HLOOKUP(X15,'Calc|Weightings'!$K$5:$M$5,1,0),"Excl")</f>
        <v>Contracts</v>
      </c>
      <c r="AA15" s="7" t="str">
        <f>VLOOKUP(Q15,Mapping!$E$11:$I$96,5,0)</f>
        <v>SCS</v>
      </c>
      <c r="AC15" s="111">
        <v>102</v>
      </c>
      <c r="AD15" s="111" t="s">
        <v>2070</v>
      </c>
      <c r="AE15" s="111">
        <v>531464</v>
      </c>
      <c r="AF15" s="111" t="s">
        <v>256</v>
      </c>
      <c r="AG15" s="112">
        <v>466.78158000000002</v>
      </c>
      <c r="AI15" s="7" t="str">
        <f>VLOOKUP($AC15,Mapping!$E$11:$I$96,3,0)</f>
        <v>Connections</v>
      </c>
      <c r="AJ15" s="7" t="str">
        <f>VLOOKUP($AE15,Mapping!$E$140:$K$2771,5,0)</f>
        <v>Contracts</v>
      </c>
      <c r="AK15" s="7" t="str">
        <f>VLOOKUP($AE15,Mapping!$E$140:$K$2771,7,0)</f>
        <v>ENDirect</v>
      </c>
      <c r="AL15" s="7" t="str">
        <f>IFERROR(HLOOKUP(AJ15,'Calc|Weightings'!$K$5:$M$5,1,0),"Excl")</f>
        <v>Contracts</v>
      </c>
      <c r="AM15" s="7" t="str">
        <f>VLOOKUP(AC15,Mapping!$E$11:$I$96,5,0)</f>
        <v>SCS</v>
      </c>
      <c r="AO15" s="134">
        <v>102</v>
      </c>
      <c r="AP15" s="135" t="s">
        <v>2070</v>
      </c>
      <c r="AQ15" s="135">
        <v>531200</v>
      </c>
      <c r="AR15" s="135" t="s">
        <v>250</v>
      </c>
      <c r="AS15" s="136">
        <v>39.356200000000001</v>
      </c>
      <c r="AU15" s="7" t="str">
        <f>VLOOKUP($AO15,Mapping!$E$11:$I$96,3,0)</f>
        <v>Connections</v>
      </c>
      <c r="AV15" s="7" t="str">
        <f>VLOOKUP($AQ15,Mapping!$E$140:$K$2771,5,0)</f>
        <v>Contracts</v>
      </c>
      <c r="AW15" s="7" t="str">
        <f>VLOOKUP($AQ15,Mapping!$E$140:$K$2771,7,0)</f>
        <v>ENDirect</v>
      </c>
      <c r="AX15" s="7" t="str">
        <f>IFERROR(HLOOKUP(AV15,'Calc|Weightings'!$K$5:$M$5,1,0),"Excl")</f>
        <v>Contracts</v>
      </c>
      <c r="AY15" s="7" t="str">
        <f>VLOOKUP(AO15,Mapping!$E$11:$I$96,5,0)</f>
        <v>SCS</v>
      </c>
    </row>
    <row r="16" spans="1:53" x14ac:dyDescent="0.2">
      <c r="A16" s="7"/>
      <c r="B16" s="7"/>
      <c r="C16" s="7"/>
      <c r="D16" s="7"/>
      <c r="E16" s="36">
        <v>102</v>
      </c>
      <c r="F16" s="36" t="s">
        <v>2070</v>
      </c>
      <c r="G16" s="36">
        <v>531200</v>
      </c>
      <c r="H16" s="36" t="s">
        <v>250</v>
      </c>
      <c r="I16" s="37">
        <v>14.56245</v>
      </c>
      <c r="J16" s="7"/>
      <c r="K16" s="7" t="str">
        <f>VLOOKUP($E16,Mapping!$E$11:$I$96,3,0)</f>
        <v>Connections</v>
      </c>
      <c r="L16" s="7" t="str">
        <f>VLOOKUP($G16,Mapping!$E$140:$K$2771,5,0)</f>
        <v>Contracts</v>
      </c>
      <c r="M16" s="7" t="str">
        <f>VLOOKUP($G16,Mapping!$E$140:$K$2771,7,0)</f>
        <v>ENDirect</v>
      </c>
      <c r="N16" s="7" t="str">
        <f>IFERROR(HLOOKUP(L16,'Calc|Weightings'!$K$5:$M$5,1,0),"Excl")</f>
        <v>Contracts</v>
      </c>
      <c r="O16" s="7" t="str">
        <f>VLOOKUP(E16,Mapping!$E$11:$I$96,5,0)</f>
        <v>SCS</v>
      </c>
      <c r="Q16" s="33">
        <v>102</v>
      </c>
      <c r="R16" s="33" t="s">
        <v>2070</v>
      </c>
      <c r="S16" s="33">
        <v>531465</v>
      </c>
      <c r="T16" s="33" t="s">
        <v>257</v>
      </c>
      <c r="U16" s="34">
        <v>21.919519999999999</v>
      </c>
      <c r="V16" s="7"/>
      <c r="W16" s="7" t="str">
        <f>VLOOKUP($Q16,Mapping!$E$11:$I$96,3,0)</f>
        <v>Connections</v>
      </c>
      <c r="X16" s="7" t="str">
        <f>VLOOKUP($S16,Mapping!$E$140:$K$2771,5,0)</f>
        <v>Contracts</v>
      </c>
      <c r="Y16" s="7" t="str">
        <f>VLOOKUP($S16,Mapping!$E$140:$K$2771,7,0)</f>
        <v>ENDirect</v>
      </c>
      <c r="Z16" s="7" t="str">
        <f>IFERROR(HLOOKUP(X16,'Calc|Weightings'!$K$5:$M$5,1,0),"Excl")</f>
        <v>Contracts</v>
      </c>
      <c r="AA16" s="7" t="str">
        <f>VLOOKUP(Q16,Mapping!$E$11:$I$96,5,0)</f>
        <v>SCS</v>
      </c>
      <c r="AC16" s="111">
        <v>102</v>
      </c>
      <c r="AD16" s="111" t="s">
        <v>2070</v>
      </c>
      <c r="AE16" s="111">
        <v>531465</v>
      </c>
      <c r="AF16" s="111" t="s">
        <v>257</v>
      </c>
      <c r="AG16" s="112">
        <v>88.384910000000005</v>
      </c>
      <c r="AI16" s="7" t="str">
        <f>VLOOKUP($AC16,Mapping!$E$11:$I$96,3,0)</f>
        <v>Connections</v>
      </c>
      <c r="AJ16" s="7" t="str">
        <f>VLOOKUP($AE16,Mapping!$E$140:$K$2771,5,0)</f>
        <v>Contracts</v>
      </c>
      <c r="AK16" s="7" t="str">
        <f>VLOOKUP($AE16,Mapping!$E$140:$K$2771,7,0)</f>
        <v>ENDirect</v>
      </c>
      <c r="AL16" s="7" t="str">
        <f>IFERROR(HLOOKUP(AJ16,'Calc|Weightings'!$K$5:$M$5,1,0),"Excl")</f>
        <v>Contracts</v>
      </c>
      <c r="AM16" s="7" t="str">
        <f>VLOOKUP(AC16,Mapping!$E$11:$I$96,5,0)</f>
        <v>SCS</v>
      </c>
      <c r="AO16" s="134">
        <v>102</v>
      </c>
      <c r="AP16" s="135" t="s">
        <v>2070</v>
      </c>
      <c r="AQ16" s="135">
        <v>531201</v>
      </c>
      <c r="AR16" s="135" t="s">
        <v>251</v>
      </c>
      <c r="AS16" s="136">
        <v>90.379930000000002</v>
      </c>
      <c r="AU16" s="7" t="str">
        <f>VLOOKUP($AO16,Mapping!$E$11:$I$96,3,0)</f>
        <v>Connections</v>
      </c>
      <c r="AV16" s="7" t="str">
        <f>VLOOKUP($AQ16,Mapping!$E$140:$K$2771,5,0)</f>
        <v>Contracts</v>
      </c>
      <c r="AW16" s="7" t="str">
        <f>VLOOKUP($AQ16,Mapping!$E$140:$K$2771,7,0)</f>
        <v>ENDirect</v>
      </c>
      <c r="AX16" s="7" t="str">
        <f>IFERROR(HLOOKUP(AV16,'Calc|Weightings'!$K$5:$M$5,1,0),"Excl")</f>
        <v>Contracts</v>
      </c>
      <c r="AY16" s="7" t="str">
        <f>VLOOKUP(AO16,Mapping!$E$11:$I$96,5,0)</f>
        <v>SCS</v>
      </c>
    </row>
    <row r="17" spans="1:51" x14ac:dyDescent="0.2">
      <c r="A17" s="7"/>
      <c r="B17" s="7"/>
      <c r="C17" s="7"/>
      <c r="D17" s="7"/>
      <c r="E17" s="36">
        <v>102</v>
      </c>
      <c r="F17" s="36" t="s">
        <v>2070</v>
      </c>
      <c r="G17" s="36">
        <v>531201</v>
      </c>
      <c r="H17" s="36" t="s">
        <v>251</v>
      </c>
      <c r="I17" s="37">
        <v>11.8285</v>
      </c>
      <c r="J17" s="7"/>
      <c r="K17" s="7" t="str">
        <f>VLOOKUP($E17,Mapping!$E$11:$I$96,3,0)</f>
        <v>Connections</v>
      </c>
      <c r="L17" s="7" t="str">
        <f>VLOOKUP($G17,Mapping!$E$140:$K$2771,5,0)</f>
        <v>Contracts</v>
      </c>
      <c r="M17" s="7" t="str">
        <f>VLOOKUP($G17,Mapping!$E$140:$K$2771,7,0)</f>
        <v>ENDirect</v>
      </c>
      <c r="N17" s="7" t="str">
        <f>IFERROR(HLOOKUP(L17,'Calc|Weightings'!$K$5:$M$5,1,0),"Excl")</f>
        <v>Contracts</v>
      </c>
      <c r="O17" s="7" t="str">
        <f>VLOOKUP(E17,Mapping!$E$11:$I$96,5,0)</f>
        <v>SCS</v>
      </c>
      <c r="Q17" s="33">
        <v>102</v>
      </c>
      <c r="R17" s="33" t="s">
        <v>2070</v>
      </c>
      <c r="S17" s="33">
        <v>531466</v>
      </c>
      <c r="T17" s="33" t="s">
        <v>258</v>
      </c>
      <c r="U17" s="34">
        <v>173.39372</v>
      </c>
      <c r="V17" s="7"/>
      <c r="W17" s="7" t="str">
        <f>VLOOKUP($Q17,Mapping!$E$11:$I$96,3,0)</f>
        <v>Connections</v>
      </c>
      <c r="X17" s="7" t="str">
        <f>VLOOKUP($S17,Mapping!$E$140:$K$2771,5,0)</f>
        <v>Contracts</v>
      </c>
      <c r="Y17" s="7" t="str">
        <f>VLOOKUP($S17,Mapping!$E$140:$K$2771,7,0)</f>
        <v>ENDirect</v>
      </c>
      <c r="Z17" s="7" t="str">
        <f>IFERROR(HLOOKUP(X17,'Calc|Weightings'!$K$5:$M$5,1,0),"Excl")</f>
        <v>Contracts</v>
      </c>
      <c r="AA17" s="7" t="str">
        <f>VLOOKUP(Q17,Mapping!$E$11:$I$96,5,0)</f>
        <v>SCS</v>
      </c>
      <c r="AC17" s="111">
        <v>102</v>
      </c>
      <c r="AD17" s="111" t="s">
        <v>2070</v>
      </c>
      <c r="AE17" s="111">
        <v>531467</v>
      </c>
      <c r="AF17" s="111" t="s">
        <v>259</v>
      </c>
      <c r="AG17" s="112">
        <v>113.07359</v>
      </c>
      <c r="AI17" s="7" t="str">
        <f>VLOOKUP($AC17,Mapping!$E$11:$I$96,3,0)</f>
        <v>Connections</v>
      </c>
      <c r="AJ17" s="7" t="str">
        <f>VLOOKUP($AE17,Mapping!$E$140:$K$2771,5,0)</f>
        <v>Contracts</v>
      </c>
      <c r="AK17" s="7" t="str">
        <f>VLOOKUP($AE17,Mapping!$E$140:$K$2771,7,0)</f>
        <v>ENDirect</v>
      </c>
      <c r="AL17" s="7" t="str">
        <f>IFERROR(HLOOKUP(AJ17,'Calc|Weightings'!$K$5:$M$5,1,0),"Excl")</f>
        <v>Contracts</v>
      </c>
      <c r="AM17" s="7" t="str">
        <f>VLOOKUP(AC17,Mapping!$E$11:$I$96,5,0)</f>
        <v>SCS</v>
      </c>
      <c r="AO17" s="134">
        <v>102</v>
      </c>
      <c r="AP17" s="135" t="s">
        <v>2070</v>
      </c>
      <c r="AQ17" s="135">
        <v>531464</v>
      </c>
      <c r="AR17" s="135" t="s">
        <v>256</v>
      </c>
      <c r="AS17" s="136">
        <v>1249.7610400000001</v>
      </c>
      <c r="AU17" s="7" t="str">
        <f>VLOOKUP($AO17,Mapping!$E$11:$I$96,3,0)</f>
        <v>Connections</v>
      </c>
      <c r="AV17" s="7" t="str">
        <f>VLOOKUP($AQ17,Mapping!$E$140:$K$2771,5,0)</f>
        <v>Contracts</v>
      </c>
      <c r="AW17" s="7" t="str">
        <f>VLOOKUP($AQ17,Mapping!$E$140:$K$2771,7,0)</f>
        <v>ENDirect</v>
      </c>
      <c r="AX17" s="7" t="str">
        <f>IFERROR(HLOOKUP(AV17,'Calc|Weightings'!$K$5:$M$5,1,0),"Excl")</f>
        <v>Contracts</v>
      </c>
      <c r="AY17" s="7" t="str">
        <f>VLOOKUP(AO17,Mapping!$E$11:$I$96,5,0)</f>
        <v>SCS</v>
      </c>
    </row>
    <row r="18" spans="1:51" x14ac:dyDescent="0.2">
      <c r="A18" s="7"/>
      <c r="B18" s="7"/>
      <c r="C18" s="7"/>
      <c r="D18" s="7"/>
      <c r="E18" s="36">
        <v>102</v>
      </c>
      <c r="F18" s="36" t="s">
        <v>2070</v>
      </c>
      <c r="G18" s="36">
        <v>531464</v>
      </c>
      <c r="H18" s="36" t="s">
        <v>256</v>
      </c>
      <c r="I18" s="37">
        <v>171.94626</v>
      </c>
      <c r="J18" s="7"/>
      <c r="K18" s="7" t="str">
        <f>VLOOKUP($E18,Mapping!$E$11:$I$96,3,0)</f>
        <v>Connections</v>
      </c>
      <c r="L18" s="7" t="str">
        <f>VLOOKUP($G18,Mapping!$E$140:$K$2771,5,0)</f>
        <v>Contracts</v>
      </c>
      <c r="M18" s="7" t="str">
        <f>VLOOKUP($G18,Mapping!$E$140:$K$2771,7,0)</f>
        <v>ENDirect</v>
      </c>
      <c r="N18" s="7" t="str">
        <f>IFERROR(HLOOKUP(L18,'Calc|Weightings'!$K$5:$M$5,1,0),"Excl")</f>
        <v>Contracts</v>
      </c>
      <c r="O18" s="7" t="str">
        <f>VLOOKUP(E18,Mapping!$E$11:$I$96,5,0)</f>
        <v>SCS</v>
      </c>
      <c r="Q18" s="33">
        <v>102</v>
      </c>
      <c r="R18" s="33" t="s">
        <v>2070</v>
      </c>
      <c r="S18" s="33">
        <v>531467</v>
      </c>
      <c r="T18" s="33" t="s">
        <v>259</v>
      </c>
      <c r="U18" s="34">
        <v>103.23951</v>
      </c>
      <c r="V18" s="7"/>
      <c r="W18" s="7" t="str">
        <f>VLOOKUP($Q18,Mapping!$E$11:$I$96,3,0)</f>
        <v>Connections</v>
      </c>
      <c r="X18" s="7" t="str">
        <f>VLOOKUP($S18,Mapping!$E$140:$K$2771,5,0)</f>
        <v>Contracts</v>
      </c>
      <c r="Y18" s="7" t="str">
        <f>VLOOKUP($S18,Mapping!$E$140:$K$2771,7,0)</f>
        <v>ENDirect</v>
      </c>
      <c r="Z18" s="7" t="str">
        <f>IFERROR(HLOOKUP(X18,'Calc|Weightings'!$K$5:$M$5,1,0),"Excl")</f>
        <v>Contracts</v>
      </c>
      <c r="AA18" s="7" t="str">
        <f>VLOOKUP(Q18,Mapping!$E$11:$I$96,5,0)</f>
        <v>SCS</v>
      </c>
      <c r="AC18" s="111">
        <v>102</v>
      </c>
      <c r="AD18" s="111" t="s">
        <v>2070</v>
      </c>
      <c r="AE18" s="111">
        <v>531468</v>
      </c>
      <c r="AF18" s="111" t="s">
        <v>260</v>
      </c>
      <c r="AG18" s="112">
        <v>60.12961</v>
      </c>
      <c r="AI18" s="7" t="str">
        <f>VLOOKUP($AC18,Mapping!$E$11:$I$96,3,0)</f>
        <v>Connections</v>
      </c>
      <c r="AJ18" s="7" t="str">
        <f>VLOOKUP($AE18,Mapping!$E$140:$K$2771,5,0)</f>
        <v>Contracts</v>
      </c>
      <c r="AK18" s="7" t="str">
        <f>VLOOKUP($AE18,Mapping!$E$140:$K$2771,7,0)</f>
        <v>ENDirect</v>
      </c>
      <c r="AL18" s="7" t="str">
        <f>IFERROR(HLOOKUP(AJ18,'Calc|Weightings'!$K$5:$M$5,1,0),"Excl")</f>
        <v>Contracts</v>
      </c>
      <c r="AM18" s="7" t="str">
        <f>VLOOKUP(AC18,Mapping!$E$11:$I$96,5,0)</f>
        <v>SCS</v>
      </c>
      <c r="AO18" s="134">
        <v>102</v>
      </c>
      <c r="AP18" s="135" t="s">
        <v>2070</v>
      </c>
      <c r="AQ18" s="135">
        <v>531465</v>
      </c>
      <c r="AR18" s="135" t="s">
        <v>257</v>
      </c>
      <c r="AS18" s="136">
        <v>45.047780000000003</v>
      </c>
      <c r="AU18" s="7" t="str">
        <f>VLOOKUP($AO18,Mapping!$E$11:$I$96,3,0)</f>
        <v>Connections</v>
      </c>
      <c r="AV18" s="7" t="str">
        <f>VLOOKUP($AQ18,Mapping!$E$140:$K$2771,5,0)</f>
        <v>Contracts</v>
      </c>
      <c r="AW18" s="7" t="str">
        <f>VLOOKUP($AQ18,Mapping!$E$140:$K$2771,7,0)</f>
        <v>ENDirect</v>
      </c>
      <c r="AX18" s="7" t="str">
        <f>IFERROR(HLOOKUP(AV18,'Calc|Weightings'!$K$5:$M$5,1,0),"Excl")</f>
        <v>Contracts</v>
      </c>
      <c r="AY18" s="7" t="str">
        <f>VLOOKUP(AO18,Mapping!$E$11:$I$96,5,0)</f>
        <v>SCS</v>
      </c>
    </row>
    <row r="19" spans="1:51" x14ac:dyDescent="0.2">
      <c r="A19" s="7"/>
      <c r="B19" s="7"/>
      <c r="C19" s="7"/>
      <c r="D19" s="7"/>
      <c r="E19" s="36">
        <v>102</v>
      </c>
      <c r="F19" s="36" t="s">
        <v>2070</v>
      </c>
      <c r="G19" s="36">
        <v>531466</v>
      </c>
      <c r="H19" s="36" t="s">
        <v>258</v>
      </c>
      <c r="I19" s="37">
        <v>36.810200000000002</v>
      </c>
      <c r="J19" s="7"/>
      <c r="K19" s="7" t="str">
        <f>VLOOKUP($E19,Mapping!$E$11:$I$96,3,0)</f>
        <v>Connections</v>
      </c>
      <c r="L19" s="7" t="str">
        <f>VLOOKUP($G19,Mapping!$E$140:$K$2771,5,0)</f>
        <v>Contracts</v>
      </c>
      <c r="M19" s="7" t="str">
        <f>VLOOKUP($G19,Mapping!$E$140:$K$2771,7,0)</f>
        <v>ENDirect</v>
      </c>
      <c r="N19" s="7" t="str">
        <f>IFERROR(HLOOKUP(L19,'Calc|Weightings'!$K$5:$M$5,1,0),"Excl")</f>
        <v>Contracts</v>
      </c>
      <c r="O19" s="7" t="str">
        <f>VLOOKUP(E19,Mapping!$E$11:$I$96,5,0)</f>
        <v>SCS</v>
      </c>
      <c r="Q19" s="33">
        <v>102</v>
      </c>
      <c r="R19" s="33" t="s">
        <v>2070</v>
      </c>
      <c r="S19" s="33">
        <v>531468</v>
      </c>
      <c r="T19" s="33" t="s">
        <v>260</v>
      </c>
      <c r="U19" s="34">
        <v>93.447479999999999</v>
      </c>
      <c r="V19" s="7"/>
      <c r="W19" s="7" t="str">
        <f>VLOOKUP($Q19,Mapping!$E$11:$I$96,3,0)</f>
        <v>Connections</v>
      </c>
      <c r="X19" s="7" t="str">
        <f>VLOOKUP($S19,Mapping!$E$140:$K$2771,5,0)</f>
        <v>Contracts</v>
      </c>
      <c r="Y19" s="7" t="str">
        <f>VLOOKUP($S19,Mapping!$E$140:$K$2771,7,0)</f>
        <v>ENDirect</v>
      </c>
      <c r="Z19" s="7" t="str">
        <f>IFERROR(HLOOKUP(X19,'Calc|Weightings'!$K$5:$M$5,1,0),"Excl")</f>
        <v>Contracts</v>
      </c>
      <c r="AA19" s="7" t="str">
        <f>VLOOKUP(Q19,Mapping!$E$11:$I$96,5,0)</f>
        <v>SCS</v>
      </c>
      <c r="AC19" s="111">
        <v>102</v>
      </c>
      <c r="AD19" s="111" t="s">
        <v>2070</v>
      </c>
      <c r="AE19" s="111">
        <v>532200</v>
      </c>
      <c r="AF19" s="111" t="s">
        <v>291</v>
      </c>
      <c r="AG19" s="112">
        <v>0.82499999999999996</v>
      </c>
      <c r="AI19" s="7" t="str">
        <f>VLOOKUP($AC19,Mapping!$E$11:$I$96,3,0)</f>
        <v>Connections</v>
      </c>
      <c r="AJ19" s="7" t="str">
        <f>VLOOKUP($AE19,Mapping!$E$140:$K$2771,5,0)</f>
        <v>Contracts</v>
      </c>
      <c r="AK19" s="7" t="str">
        <f>VLOOKUP($AE19,Mapping!$E$140:$K$2771,7,0)</f>
        <v>ENDirect</v>
      </c>
      <c r="AL19" s="7" t="str">
        <f>IFERROR(HLOOKUP(AJ19,'Calc|Weightings'!$K$5:$M$5,1,0),"Excl")</f>
        <v>Contracts</v>
      </c>
      <c r="AM19" s="7" t="str">
        <f>VLOOKUP(AC19,Mapping!$E$11:$I$96,5,0)</f>
        <v>SCS</v>
      </c>
      <c r="AO19" s="134">
        <v>102</v>
      </c>
      <c r="AP19" s="135" t="s">
        <v>2070</v>
      </c>
      <c r="AQ19" s="135">
        <v>531466</v>
      </c>
      <c r="AR19" s="135" t="s">
        <v>258</v>
      </c>
      <c r="AS19" s="136">
        <v>18.09628</v>
      </c>
      <c r="AU19" s="7" t="str">
        <f>VLOOKUP($AO19,Mapping!$E$11:$I$96,3,0)</f>
        <v>Connections</v>
      </c>
      <c r="AV19" s="7" t="str">
        <f>VLOOKUP($AQ19,Mapping!$E$140:$K$2771,5,0)</f>
        <v>Contracts</v>
      </c>
      <c r="AW19" s="7" t="str">
        <f>VLOOKUP($AQ19,Mapping!$E$140:$K$2771,7,0)</f>
        <v>ENDirect</v>
      </c>
      <c r="AX19" s="7" t="str">
        <f>IFERROR(HLOOKUP(AV19,'Calc|Weightings'!$K$5:$M$5,1,0),"Excl")</f>
        <v>Contracts</v>
      </c>
      <c r="AY19" s="7" t="str">
        <f>VLOOKUP(AO19,Mapping!$E$11:$I$96,5,0)</f>
        <v>SCS</v>
      </c>
    </row>
    <row r="20" spans="1:51" x14ac:dyDescent="0.2">
      <c r="A20" s="7"/>
      <c r="B20" s="7"/>
      <c r="C20" s="7"/>
      <c r="D20" s="7"/>
      <c r="E20" s="36">
        <v>102</v>
      </c>
      <c r="F20" s="36" t="s">
        <v>2070</v>
      </c>
      <c r="G20" s="36">
        <v>531467</v>
      </c>
      <c r="H20" s="36" t="s">
        <v>259</v>
      </c>
      <c r="I20" s="37">
        <v>68.723669999999998</v>
      </c>
      <c r="J20" s="7"/>
      <c r="K20" s="7" t="str">
        <f>VLOOKUP($E20,Mapping!$E$11:$I$96,3,0)</f>
        <v>Connections</v>
      </c>
      <c r="L20" s="7" t="str">
        <f>VLOOKUP($G20,Mapping!$E$140:$K$2771,5,0)</f>
        <v>Contracts</v>
      </c>
      <c r="M20" s="7" t="str">
        <f>VLOOKUP($G20,Mapping!$E$140:$K$2771,7,0)</f>
        <v>ENDirect</v>
      </c>
      <c r="N20" s="7" t="str">
        <f>IFERROR(HLOOKUP(L20,'Calc|Weightings'!$K$5:$M$5,1,0),"Excl")</f>
        <v>Contracts</v>
      </c>
      <c r="O20" s="7" t="str">
        <f>VLOOKUP(E20,Mapping!$E$11:$I$96,5,0)</f>
        <v>SCS</v>
      </c>
      <c r="Q20" s="33">
        <v>102</v>
      </c>
      <c r="R20" s="33" t="s">
        <v>2070</v>
      </c>
      <c r="S20" s="33">
        <v>531469</v>
      </c>
      <c r="T20" s="33" t="s">
        <v>261</v>
      </c>
      <c r="U20" s="34">
        <v>1.597</v>
      </c>
      <c r="V20" s="7"/>
      <c r="W20" s="7" t="str">
        <f>VLOOKUP($Q20,Mapping!$E$11:$I$96,3,0)</f>
        <v>Connections</v>
      </c>
      <c r="X20" s="7" t="str">
        <f>VLOOKUP($S20,Mapping!$E$140:$K$2771,5,0)</f>
        <v>Labour</v>
      </c>
      <c r="Y20" s="7" t="str">
        <f>VLOOKUP($S20,Mapping!$E$140:$K$2771,7,0)</f>
        <v>ENDirect</v>
      </c>
      <c r="Z20" s="7" t="str">
        <f>IFERROR(HLOOKUP(X20,'Calc|Weightings'!$K$5:$M$5,1,0),"Excl")</f>
        <v>Labour</v>
      </c>
      <c r="AA20" s="7" t="str">
        <f>VLOOKUP(Q20,Mapping!$E$11:$I$96,5,0)</f>
        <v>SCS</v>
      </c>
      <c r="AC20" s="111">
        <v>102</v>
      </c>
      <c r="AD20" s="111" t="s">
        <v>2070</v>
      </c>
      <c r="AE20" s="111">
        <v>591200</v>
      </c>
      <c r="AF20" s="111" t="s">
        <v>398</v>
      </c>
      <c r="AG20" s="112">
        <v>0.2</v>
      </c>
      <c r="AI20" s="7" t="str">
        <f>VLOOKUP($AC20,Mapping!$E$11:$I$96,3,0)</f>
        <v>Connections</v>
      </c>
      <c r="AJ20" s="7" t="str">
        <f>VLOOKUP($AE20,Mapping!$E$140:$K$2771,5,0)</f>
        <v>Contracts</v>
      </c>
      <c r="AK20" s="7" t="str">
        <f>VLOOKUP($AE20,Mapping!$E$140:$K$2771,7,0)</f>
        <v>ENDirect</v>
      </c>
      <c r="AL20" s="7" t="str">
        <f>IFERROR(HLOOKUP(AJ20,'Calc|Weightings'!$K$5:$M$5,1,0),"Excl")</f>
        <v>Contracts</v>
      </c>
      <c r="AM20" s="7" t="str">
        <f>VLOOKUP(AC20,Mapping!$E$11:$I$96,5,0)</f>
        <v>SCS</v>
      </c>
      <c r="AO20" s="134">
        <v>102</v>
      </c>
      <c r="AP20" s="135" t="s">
        <v>2070</v>
      </c>
      <c r="AQ20" s="135">
        <v>531467</v>
      </c>
      <c r="AR20" s="135" t="s">
        <v>259</v>
      </c>
      <c r="AS20" s="136">
        <v>287.92088999999999</v>
      </c>
      <c r="AU20" s="7" t="str">
        <f>VLOOKUP($AO20,Mapping!$E$11:$I$96,3,0)</f>
        <v>Connections</v>
      </c>
      <c r="AV20" s="7" t="str">
        <f>VLOOKUP($AQ20,Mapping!$E$140:$K$2771,5,0)</f>
        <v>Contracts</v>
      </c>
      <c r="AW20" s="7" t="str">
        <f>VLOOKUP($AQ20,Mapping!$E$140:$K$2771,7,0)</f>
        <v>ENDirect</v>
      </c>
      <c r="AX20" s="7" t="str">
        <f>IFERROR(HLOOKUP(AV20,'Calc|Weightings'!$K$5:$M$5,1,0),"Excl")</f>
        <v>Contracts</v>
      </c>
      <c r="AY20" s="7" t="str">
        <f>VLOOKUP(AO20,Mapping!$E$11:$I$96,5,0)</f>
        <v>SCS</v>
      </c>
    </row>
    <row r="21" spans="1:51" x14ac:dyDescent="0.2">
      <c r="A21" s="7"/>
      <c r="B21" s="7"/>
      <c r="C21" s="7"/>
      <c r="D21" s="7"/>
      <c r="E21" s="36">
        <v>102</v>
      </c>
      <c r="F21" s="36" t="s">
        <v>2070</v>
      </c>
      <c r="G21" s="36">
        <v>531468</v>
      </c>
      <c r="H21" s="36" t="s">
        <v>260</v>
      </c>
      <c r="I21" s="37">
        <v>36.127569999999999</v>
      </c>
      <c r="J21" s="7"/>
      <c r="K21" s="7" t="str">
        <f>VLOOKUP($E21,Mapping!$E$11:$I$96,3,0)</f>
        <v>Connections</v>
      </c>
      <c r="L21" s="7" t="str">
        <f>VLOOKUP($G21,Mapping!$E$140:$K$2771,5,0)</f>
        <v>Contracts</v>
      </c>
      <c r="M21" s="7" t="str">
        <f>VLOOKUP($G21,Mapping!$E$140:$K$2771,7,0)</f>
        <v>ENDirect</v>
      </c>
      <c r="N21" s="7" t="str">
        <f>IFERROR(HLOOKUP(L21,'Calc|Weightings'!$K$5:$M$5,1,0),"Excl")</f>
        <v>Contracts</v>
      </c>
      <c r="O21" s="7" t="str">
        <f>VLOOKUP(E21,Mapping!$E$11:$I$96,5,0)</f>
        <v>SCS</v>
      </c>
      <c r="Q21" s="33">
        <v>102</v>
      </c>
      <c r="R21" s="33" t="s">
        <v>2070</v>
      </c>
      <c r="S21" s="33">
        <v>591997</v>
      </c>
      <c r="T21" s="33" t="s">
        <v>399</v>
      </c>
      <c r="U21" s="34">
        <v>-78.106780000000001</v>
      </c>
      <c r="V21" s="7"/>
      <c r="W21" s="7" t="str">
        <f>VLOOKUP($Q21,Mapping!$E$11:$I$96,3,0)</f>
        <v>Connections</v>
      </c>
      <c r="X21" s="7" t="str">
        <f>VLOOKUP($S21,Mapping!$E$140:$K$2771,5,0)</f>
        <v>Contracts</v>
      </c>
      <c r="Y21" s="7" t="str">
        <f>VLOOKUP($S21,Mapping!$E$140:$K$2771,7,0)</f>
        <v>ENDirect</v>
      </c>
      <c r="Z21" s="7" t="str">
        <f>IFERROR(HLOOKUP(X21,'Calc|Weightings'!$K$5:$M$5,1,0),"Excl")</f>
        <v>Contracts</v>
      </c>
      <c r="AA21" s="7" t="str">
        <f>VLOOKUP(Q21,Mapping!$E$11:$I$96,5,0)</f>
        <v>SCS</v>
      </c>
      <c r="AC21" s="111">
        <v>102</v>
      </c>
      <c r="AD21" s="111" t="s">
        <v>2070</v>
      </c>
      <c r="AE21" s="111">
        <v>591997</v>
      </c>
      <c r="AF21" s="111" t="s">
        <v>2194</v>
      </c>
      <c r="AG21" s="112">
        <v>-15.882960000000001</v>
      </c>
      <c r="AI21" s="7" t="str">
        <f>VLOOKUP($AC21,Mapping!$E$11:$I$96,3,0)</f>
        <v>Connections</v>
      </c>
      <c r="AJ21" s="7" t="str">
        <f>VLOOKUP($AE21,Mapping!$E$140:$K$2771,5,0)</f>
        <v>Contracts</v>
      </c>
      <c r="AK21" s="7" t="str">
        <f>VLOOKUP($AE21,Mapping!$E$140:$K$2771,7,0)</f>
        <v>ENDirect</v>
      </c>
      <c r="AL21" s="7" t="str">
        <f>IFERROR(HLOOKUP(AJ21,'Calc|Weightings'!$K$5:$M$5,1,0),"Excl")</f>
        <v>Contracts</v>
      </c>
      <c r="AM21" s="7" t="str">
        <f>VLOOKUP(AC21,Mapping!$E$11:$I$96,5,0)</f>
        <v>SCS</v>
      </c>
      <c r="AO21" s="134">
        <v>102</v>
      </c>
      <c r="AP21" s="135" t="s">
        <v>2070</v>
      </c>
      <c r="AQ21" s="135">
        <v>531468</v>
      </c>
      <c r="AR21" s="135" t="s">
        <v>260</v>
      </c>
      <c r="AS21" s="136">
        <v>161.84227999999999</v>
      </c>
      <c r="AU21" s="7" t="str">
        <f>VLOOKUP($AO21,Mapping!$E$11:$I$96,3,0)</f>
        <v>Connections</v>
      </c>
      <c r="AV21" s="7" t="str">
        <f>VLOOKUP($AQ21,Mapping!$E$140:$K$2771,5,0)</f>
        <v>Contracts</v>
      </c>
      <c r="AW21" s="7" t="str">
        <f>VLOOKUP($AQ21,Mapping!$E$140:$K$2771,7,0)</f>
        <v>ENDirect</v>
      </c>
      <c r="AX21" s="7" t="str">
        <f>IFERROR(HLOOKUP(AV21,'Calc|Weightings'!$K$5:$M$5,1,0),"Excl")</f>
        <v>Contracts</v>
      </c>
      <c r="AY21" s="7" t="str">
        <f>VLOOKUP(AO21,Mapping!$E$11:$I$96,5,0)</f>
        <v>SCS</v>
      </c>
    </row>
    <row r="22" spans="1:51" x14ac:dyDescent="0.2">
      <c r="A22" s="7"/>
      <c r="B22" s="7"/>
      <c r="C22" s="7"/>
      <c r="D22" s="7"/>
      <c r="E22" s="36">
        <v>102</v>
      </c>
      <c r="F22" s="36" t="s">
        <v>2070</v>
      </c>
      <c r="G22" s="36">
        <v>531475</v>
      </c>
      <c r="H22" s="36" t="s">
        <v>2355</v>
      </c>
      <c r="I22" s="37">
        <v>35.873280000000001</v>
      </c>
      <c r="J22" s="7"/>
      <c r="K22" s="7" t="str">
        <f>VLOOKUP($E22,Mapping!$E$11:$I$96,3,0)</f>
        <v>Connections</v>
      </c>
      <c r="L22" s="7" t="str">
        <f>VLOOKUP($G22,Mapping!$E$140:$K$2771,5,0)</f>
        <v>Contracts</v>
      </c>
      <c r="M22" s="7" t="str">
        <f>VLOOKUP($G22,Mapping!$E$140:$K$2771,7,0)</f>
        <v>ENDirect</v>
      </c>
      <c r="N22" s="7" t="str">
        <f>IFERROR(HLOOKUP(L22,'Calc|Weightings'!$K$5:$M$5,1,0),"Excl")</f>
        <v>Contracts</v>
      </c>
      <c r="O22" s="7" t="str">
        <f>VLOOKUP(E22,Mapping!$E$11:$I$96,5,0)</f>
        <v>SCS</v>
      </c>
      <c r="Q22" s="33">
        <v>102</v>
      </c>
      <c r="R22" s="33" t="s">
        <v>2070</v>
      </c>
      <c r="S22" s="33">
        <v>591998</v>
      </c>
      <c r="T22" s="33" t="s">
        <v>2077</v>
      </c>
      <c r="U22" s="34">
        <v>-122.95657</v>
      </c>
      <c r="V22" s="7"/>
      <c r="W22" s="7" t="str">
        <f>VLOOKUP($Q22,Mapping!$E$11:$I$96,3,0)</f>
        <v>Connections</v>
      </c>
      <c r="X22" s="7" t="str">
        <f>VLOOKUP($S22,Mapping!$E$140:$K$2771,5,0)</f>
        <v>Contracts</v>
      </c>
      <c r="Y22" s="7" t="str">
        <f>VLOOKUP($S22,Mapping!$E$140:$K$2771,7,0)</f>
        <v>ENDirect</v>
      </c>
      <c r="Z22" s="7" t="str">
        <f>IFERROR(HLOOKUP(X22,'Calc|Weightings'!$K$5:$M$5,1,0),"Excl")</f>
        <v>Contracts</v>
      </c>
      <c r="AA22" s="7" t="str">
        <f>VLOOKUP(Q22,Mapping!$E$11:$I$96,5,0)</f>
        <v>SCS</v>
      </c>
      <c r="AC22" s="111">
        <v>102</v>
      </c>
      <c r="AD22" s="111" t="s">
        <v>2070</v>
      </c>
      <c r="AE22" s="111">
        <v>591998</v>
      </c>
      <c r="AF22" s="111" t="s">
        <v>2077</v>
      </c>
      <c r="AG22" s="112">
        <v>-57.444780000000002</v>
      </c>
      <c r="AI22" s="7" t="str">
        <f>VLOOKUP($AC22,Mapping!$E$11:$I$96,3,0)</f>
        <v>Connections</v>
      </c>
      <c r="AJ22" s="7" t="str">
        <f>VLOOKUP($AE22,Mapping!$E$140:$K$2771,5,0)</f>
        <v>Contracts</v>
      </c>
      <c r="AK22" s="7" t="str">
        <f>VLOOKUP($AE22,Mapping!$E$140:$K$2771,7,0)</f>
        <v>ENDirect</v>
      </c>
      <c r="AL22" s="7" t="str">
        <f>IFERROR(HLOOKUP(AJ22,'Calc|Weightings'!$K$5:$M$5,1,0),"Excl")</f>
        <v>Contracts</v>
      </c>
      <c r="AM22" s="7" t="str">
        <f>VLOOKUP(AC22,Mapping!$E$11:$I$96,5,0)</f>
        <v>SCS</v>
      </c>
      <c r="AO22" s="134">
        <v>102</v>
      </c>
      <c r="AP22" s="135" t="s">
        <v>2070</v>
      </c>
      <c r="AQ22" s="135">
        <v>532200</v>
      </c>
      <c r="AR22" s="135" t="s">
        <v>291</v>
      </c>
      <c r="AS22" s="136">
        <v>1.71</v>
      </c>
      <c r="AU22" s="7" t="str">
        <f>VLOOKUP($AO22,Mapping!$E$11:$I$96,3,0)</f>
        <v>Connections</v>
      </c>
      <c r="AV22" s="7" t="str">
        <f>VLOOKUP($AQ22,Mapping!$E$140:$K$2771,5,0)</f>
        <v>Contracts</v>
      </c>
      <c r="AW22" s="7" t="str">
        <f>VLOOKUP($AQ22,Mapping!$E$140:$K$2771,7,0)</f>
        <v>ENDirect</v>
      </c>
      <c r="AX22" s="7" t="str">
        <f>IFERROR(HLOOKUP(AV22,'Calc|Weightings'!$K$5:$M$5,1,0),"Excl")</f>
        <v>Contracts</v>
      </c>
      <c r="AY22" s="7" t="str">
        <f>VLOOKUP(AO22,Mapping!$E$11:$I$96,5,0)</f>
        <v>SCS</v>
      </c>
    </row>
    <row r="23" spans="1:51" x14ac:dyDescent="0.2">
      <c r="A23" s="7"/>
      <c r="B23" s="7"/>
      <c r="C23" s="7"/>
      <c r="D23" s="7"/>
      <c r="E23" s="36">
        <v>102</v>
      </c>
      <c r="F23" s="36" t="s">
        <v>2070</v>
      </c>
      <c r="G23" s="36">
        <v>531480</v>
      </c>
      <c r="H23" s="36" t="s">
        <v>2076</v>
      </c>
      <c r="I23" s="37">
        <v>3.2830900000000001</v>
      </c>
      <c r="J23" s="7"/>
      <c r="K23" s="7" t="str">
        <f>VLOOKUP($E23,Mapping!$E$11:$I$96,3,0)</f>
        <v>Connections</v>
      </c>
      <c r="L23" s="7" t="str">
        <f>VLOOKUP($G23,Mapping!$E$140:$K$2771,5,0)</f>
        <v>Labour</v>
      </c>
      <c r="M23" s="7" t="str">
        <f>VLOOKUP($G23,Mapping!$E$140:$K$2771,7,0)</f>
        <v>ENDirect</v>
      </c>
      <c r="N23" s="7" t="str">
        <f>IFERROR(HLOOKUP(L23,'Calc|Weightings'!$K$5:$M$5,1,0),"Excl")</f>
        <v>Labour</v>
      </c>
      <c r="O23" s="7" t="str">
        <f>VLOOKUP(E23,Mapping!$E$11:$I$96,5,0)</f>
        <v>SCS</v>
      </c>
      <c r="Q23" s="33">
        <v>102</v>
      </c>
      <c r="R23" s="33" t="s">
        <v>2070</v>
      </c>
      <c r="S23" s="33">
        <v>591999</v>
      </c>
      <c r="T23" s="33" t="s">
        <v>2078</v>
      </c>
      <c r="U23" s="34">
        <v>-507.88362000000001</v>
      </c>
      <c r="V23" s="7"/>
      <c r="W23" s="7" t="str">
        <f>VLOOKUP($Q23,Mapping!$E$11:$I$96,3,0)</f>
        <v>Connections</v>
      </c>
      <c r="X23" s="7" t="str">
        <f>VLOOKUP($S23,Mapping!$E$140:$K$2771,5,0)</f>
        <v>Contracts</v>
      </c>
      <c r="Y23" s="7" t="str">
        <f>VLOOKUP($S23,Mapping!$E$140:$K$2771,7,0)</f>
        <v>ENDirect</v>
      </c>
      <c r="Z23" s="7" t="str">
        <f>IFERROR(HLOOKUP(X23,'Calc|Weightings'!$K$5:$M$5,1,0),"Excl")</f>
        <v>Contracts</v>
      </c>
      <c r="AA23" s="7" t="str">
        <f>VLOOKUP(Q23,Mapping!$E$11:$I$96,5,0)</f>
        <v>SCS</v>
      </c>
      <c r="AC23" s="111">
        <v>102</v>
      </c>
      <c r="AD23" s="111" t="s">
        <v>2070</v>
      </c>
      <c r="AE23" s="111">
        <v>591999</v>
      </c>
      <c r="AF23" s="111" t="s">
        <v>2195</v>
      </c>
      <c r="AG23" s="112">
        <v>-74.343170000000001</v>
      </c>
      <c r="AI23" s="7" t="str">
        <f>VLOOKUP($AC23,Mapping!$E$11:$I$96,3,0)</f>
        <v>Connections</v>
      </c>
      <c r="AJ23" s="7" t="str">
        <f>VLOOKUP($AE23,Mapping!$E$140:$K$2771,5,0)</f>
        <v>Contracts</v>
      </c>
      <c r="AK23" s="7" t="str">
        <f>VLOOKUP($AE23,Mapping!$E$140:$K$2771,7,0)</f>
        <v>ENDirect</v>
      </c>
      <c r="AL23" s="7" t="str">
        <f>IFERROR(HLOOKUP(AJ23,'Calc|Weightings'!$K$5:$M$5,1,0),"Excl")</f>
        <v>Contracts</v>
      </c>
      <c r="AM23" s="7" t="str">
        <f>VLOOKUP(AC23,Mapping!$E$11:$I$96,5,0)</f>
        <v>SCS</v>
      </c>
      <c r="AO23" s="134">
        <v>102</v>
      </c>
      <c r="AP23" s="135" t="s">
        <v>2070</v>
      </c>
      <c r="AQ23" s="135">
        <v>591997</v>
      </c>
      <c r="AR23" s="135" t="s">
        <v>2194</v>
      </c>
      <c r="AS23" s="136">
        <v>-6.1383299999999998</v>
      </c>
      <c r="AU23" s="7" t="str">
        <f>VLOOKUP($AO23,Mapping!$E$11:$I$96,3,0)</f>
        <v>Connections</v>
      </c>
      <c r="AV23" s="7" t="str">
        <f>VLOOKUP($AQ23,Mapping!$E$140:$K$2771,5,0)</f>
        <v>Contracts</v>
      </c>
      <c r="AW23" s="7" t="str">
        <f>VLOOKUP($AQ23,Mapping!$E$140:$K$2771,7,0)</f>
        <v>ENDirect</v>
      </c>
      <c r="AX23" s="7" t="str">
        <f>IFERROR(HLOOKUP(AV23,'Calc|Weightings'!$K$5:$M$5,1,0),"Excl")</f>
        <v>Contracts</v>
      </c>
      <c r="AY23" s="7" t="str">
        <f>VLOOKUP(AO23,Mapping!$E$11:$I$96,5,0)</f>
        <v>SCS</v>
      </c>
    </row>
    <row r="24" spans="1:51" x14ac:dyDescent="0.2">
      <c r="A24" s="7"/>
      <c r="B24" s="7"/>
      <c r="C24" s="7"/>
      <c r="D24" s="7"/>
      <c r="E24" s="36">
        <v>102</v>
      </c>
      <c r="F24" s="36" t="s">
        <v>2070</v>
      </c>
      <c r="G24" s="36">
        <v>531485</v>
      </c>
      <c r="H24" s="36" t="s">
        <v>2350</v>
      </c>
      <c r="I24" s="37">
        <v>-21.858619999999998</v>
      </c>
      <c r="J24" s="7"/>
      <c r="K24" s="7" t="str">
        <f>VLOOKUP($E24,Mapping!$E$11:$I$96,3,0)</f>
        <v>Connections</v>
      </c>
      <c r="L24" s="7" t="str">
        <f>VLOOKUP($G24,Mapping!$E$140:$K$2771,5,0)</f>
        <v>Contracts</v>
      </c>
      <c r="M24" s="7" t="str">
        <f>VLOOKUP($G24,Mapping!$E$140:$K$2771,7,0)</f>
        <v>ENDirect</v>
      </c>
      <c r="N24" s="7" t="str">
        <f>IFERROR(HLOOKUP(L24,'Calc|Weightings'!$K$5:$M$5,1,0),"Excl")</f>
        <v>Contracts</v>
      </c>
      <c r="O24" s="7" t="str">
        <f>VLOOKUP(E24,Mapping!$E$11:$I$96,5,0)</f>
        <v>SCS</v>
      </c>
      <c r="Q24" s="33">
        <v>102</v>
      </c>
      <c r="R24" s="33" t="s">
        <v>2070</v>
      </c>
      <c r="S24" s="33">
        <v>611900</v>
      </c>
      <c r="T24" s="33" t="s">
        <v>2079</v>
      </c>
      <c r="U24" s="34">
        <v>4.5370400000000002</v>
      </c>
      <c r="V24" s="7"/>
      <c r="W24" s="7" t="str">
        <f>VLOOKUP($Q24,Mapping!$E$11:$I$96,3,0)</f>
        <v>Connections</v>
      </c>
      <c r="X24" s="7" t="str">
        <f>VLOOKUP($S24,Mapping!$E$140:$K$2771,5,0)</f>
        <v>Contracts</v>
      </c>
      <c r="Y24" s="7" t="str">
        <f>VLOOKUP($S24,Mapping!$E$140:$K$2771,7,0)</f>
        <v>ENDirect</v>
      </c>
      <c r="Z24" s="7" t="str">
        <f>IFERROR(HLOOKUP(X24,'Calc|Weightings'!$K$5:$M$5,1,0),"Excl")</f>
        <v>Contracts</v>
      </c>
      <c r="AA24" s="7" t="str">
        <f>VLOOKUP(Q24,Mapping!$E$11:$I$96,5,0)</f>
        <v>SCS</v>
      </c>
      <c r="AC24" s="111">
        <v>102</v>
      </c>
      <c r="AD24" s="111" t="s">
        <v>2070</v>
      </c>
      <c r="AE24" s="111">
        <v>611900</v>
      </c>
      <c r="AF24" s="111" t="s">
        <v>2079</v>
      </c>
      <c r="AG24" s="112">
        <v>4.7622299999999997</v>
      </c>
      <c r="AI24" s="7" t="str">
        <f>VLOOKUP($AC24,Mapping!$E$11:$I$96,3,0)</f>
        <v>Connections</v>
      </c>
      <c r="AJ24" s="7" t="str">
        <f>VLOOKUP($AE24,Mapping!$E$140:$K$2771,5,0)</f>
        <v>Contracts</v>
      </c>
      <c r="AK24" s="7" t="str">
        <f>VLOOKUP($AE24,Mapping!$E$140:$K$2771,7,0)</f>
        <v>ENDirect</v>
      </c>
      <c r="AL24" s="7" t="str">
        <f>IFERROR(HLOOKUP(AJ24,'Calc|Weightings'!$K$5:$M$5,1,0),"Excl")</f>
        <v>Contracts</v>
      </c>
      <c r="AM24" s="7" t="str">
        <f>VLOOKUP(AC24,Mapping!$E$11:$I$96,5,0)</f>
        <v>SCS</v>
      </c>
      <c r="AO24" s="134">
        <v>102</v>
      </c>
      <c r="AP24" s="135" t="s">
        <v>2070</v>
      </c>
      <c r="AQ24" s="135">
        <v>591998</v>
      </c>
      <c r="AR24" s="135" t="s">
        <v>2077</v>
      </c>
      <c r="AS24" s="136">
        <v>-31.92117</v>
      </c>
      <c r="AU24" s="7" t="str">
        <f>VLOOKUP($AO24,Mapping!$E$11:$I$96,3,0)</f>
        <v>Connections</v>
      </c>
      <c r="AV24" s="7" t="str">
        <f>VLOOKUP($AQ24,Mapping!$E$140:$K$2771,5,0)</f>
        <v>Contracts</v>
      </c>
      <c r="AW24" s="7" t="str">
        <f>VLOOKUP($AQ24,Mapping!$E$140:$K$2771,7,0)</f>
        <v>ENDirect</v>
      </c>
      <c r="AX24" s="7" t="str">
        <f>IFERROR(HLOOKUP(AV24,'Calc|Weightings'!$K$5:$M$5,1,0),"Excl")</f>
        <v>Contracts</v>
      </c>
      <c r="AY24" s="7" t="str">
        <f>VLOOKUP(AO24,Mapping!$E$11:$I$96,5,0)</f>
        <v>SCS</v>
      </c>
    </row>
    <row r="25" spans="1:51" x14ac:dyDescent="0.2">
      <c r="A25" s="7"/>
      <c r="B25" s="7"/>
      <c r="C25" s="7"/>
      <c r="D25" s="7"/>
      <c r="E25" s="36">
        <v>102</v>
      </c>
      <c r="F25" s="36" t="s">
        <v>2070</v>
      </c>
      <c r="G25" s="36">
        <v>531492</v>
      </c>
      <c r="H25" s="36" t="s">
        <v>2382</v>
      </c>
      <c r="I25" s="37">
        <v>20.30528</v>
      </c>
      <c r="J25" s="7"/>
      <c r="K25" s="7" t="str">
        <f>VLOOKUP($E25,Mapping!$E$11:$I$96,3,0)</f>
        <v>Connections</v>
      </c>
      <c r="L25" s="7" t="str">
        <f>VLOOKUP($G25,Mapping!$E$140:$K$2771,5,0)</f>
        <v>Contracts</v>
      </c>
      <c r="M25" s="7" t="str">
        <f>VLOOKUP($G25,Mapping!$E$140:$K$2771,7,0)</f>
        <v>ENDirect</v>
      </c>
      <c r="N25" s="7" t="str">
        <f>IFERROR(HLOOKUP(L25,'Calc|Weightings'!$K$5:$M$5,1,0),"Excl")</f>
        <v>Contracts</v>
      </c>
      <c r="O25" s="7" t="str">
        <f>VLOOKUP(E25,Mapping!$E$11:$I$96,5,0)</f>
        <v>SCS</v>
      </c>
      <c r="Q25" s="33">
        <v>102</v>
      </c>
      <c r="R25" s="33" t="s">
        <v>2070</v>
      </c>
      <c r="S25" s="33">
        <v>611901</v>
      </c>
      <c r="T25" s="33" t="s">
        <v>2080</v>
      </c>
      <c r="U25" s="34">
        <v>5.2816299999999998</v>
      </c>
      <c r="V25" s="7"/>
      <c r="W25" s="7" t="str">
        <f>VLOOKUP($Q25,Mapping!$E$11:$I$96,3,0)</f>
        <v>Connections</v>
      </c>
      <c r="X25" s="7" t="str">
        <f>VLOOKUP($S25,Mapping!$E$140:$K$2771,5,0)</f>
        <v>Contracts</v>
      </c>
      <c r="Y25" s="7" t="str">
        <f>VLOOKUP($S25,Mapping!$E$140:$K$2771,7,0)</f>
        <v>ENDirect</v>
      </c>
      <c r="Z25" s="7" t="str">
        <f>IFERROR(HLOOKUP(X25,'Calc|Weightings'!$K$5:$M$5,1,0),"Excl")</f>
        <v>Contracts</v>
      </c>
      <c r="AA25" s="7" t="str">
        <f>VLOOKUP(Q25,Mapping!$E$11:$I$96,5,0)</f>
        <v>SCS</v>
      </c>
      <c r="AC25" s="111">
        <v>102</v>
      </c>
      <c r="AD25" s="111" t="s">
        <v>2070</v>
      </c>
      <c r="AE25" s="111">
        <v>611901</v>
      </c>
      <c r="AF25" s="111" t="s">
        <v>2080</v>
      </c>
      <c r="AG25" s="112">
        <v>4.54338</v>
      </c>
      <c r="AI25" s="7" t="str">
        <f>VLOOKUP($AC25,Mapping!$E$11:$I$96,3,0)</f>
        <v>Connections</v>
      </c>
      <c r="AJ25" s="7" t="str">
        <f>VLOOKUP($AE25,Mapping!$E$140:$K$2771,5,0)</f>
        <v>Contracts</v>
      </c>
      <c r="AK25" s="7" t="str">
        <f>VLOOKUP($AE25,Mapping!$E$140:$K$2771,7,0)</f>
        <v>ENDirect</v>
      </c>
      <c r="AL25" s="7" t="str">
        <f>IFERROR(HLOOKUP(AJ25,'Calc|Weightings'!$K$5:$M$5,1,0),"Excl")</f>
        <v>Contracts</v>
      </c>
      <c r="AM25" s="7" t="str">
        <f>VLOOKUP(AC25,Mapping!$E$11:$I$96,5,0)</f>
        <v>SCS</v>
      </c>
      <c r="AO25" s="134">
        <v>102</v>
      </c>
      <c r="AP25" s="135" t="s">
        <v>2070</v>
      </c>
      <c r="AQ25" s="135">
        <v>591999</v>
      </c>
      <c r="AR25" s="135" t="s">
        <v>2195</v>
      </c>
      <c r="AS25" s="136">
        <v>-28.525269999999999</v>
      </c>
      <c r="AU25" s="7" t="str">
        <f>VLOOKUP($AO25,Mapping!$E$11:$I$96,3,0)</f>
        <v>Connections</v>
      </c>
      <c r="AV25" s="7" t="str">
        <f>VLOOKUP($AQ25,Mapping!$E$140:$K$2771,5,0)</f>
        <v>Contracts</v>
      </c>
      <c r="AW25" s="7" t="str">
        <f>VLOOKUP($AQ25,Mapping!$E$140:$K$2771,7,0)</f>
        <v>ENDirect</v>
      </c>
      <c r="AX25" s="7" t="str">
        <f>IFERROR(HLOOKUP(AV25,'Calc|Weightings'!$K$5:$M$5,1,0),"Excl")</f>
        <v>Contracts</v>
      </c>
      <c r="AY25" s="7" t="str">
        <f>VLOOKUP(AO25,Mapping!$E$11:$I$96,5,0)</f>
        <v>SCS</v>
      </c>
    </row>
    <row r="26" spans="1:51" x14ac:dyDescent="0.2">
      <c r="A26" s="7"/>
      <c r="B26" s="7"/>
      <c r="C26" s="7"/>
      <c r="D26" s="7"/>
      <c r="E26" s="36">
        <v>102</v>
      </c>
      <c r="F26" s="36" t="s">
        <v>2070</v>
      </c>
      <c r="G26" s="36">
        <v>531495</v>
      </c>
      <c r="H26" s="36" t="s">
        <v>2353</v>
      </c>
      <c r="I26" s="37">
        <v>4.4860800000000003</v>
      </c>
      <c r="J26" s="7"/>
      <c r="K26" s="7" t="str">
        <f>VLOOKUP($E26,Mapping!$E$11:$I$96,3,0)</f>
        <v>Connections</v>
      </c>
      <c r="L26" s="7" t="str">
        <f>VLOOKUP($G26,Mapping!$E$140:$K$2771,5,0)</f>
        <v>Contracts</v>
      </c>
      <c r="M26" s="7" t="str">
        <f>VLOOKUP($G26,Mapping!$E$140:$K$2771,7,0)</f>
        <v>ENDirect</v>
      </c>
      <c r="N26" s="7" t="str">
        <f>IFERROR(HLOOKUP(L26,'Calc|Weightings'!$K$5:$M$5,1,0),"Excl")</f>
        <v>Contracts</v>
      </c>
      <c r="O26" s="7" t="str">
        <f>VLOOKUP(E26,Mapping!$E$11:$I$96,5,0)</f>
        <v>SCS</v>
      </c>
      <c r="Q26" s="33">
        <v>102</v>
      </c>
      <c r="R26" s="33" t="s">
        <v>2070</v>
      </c>
      <c r="S26" s="33">
        <v>611902</v>
      </c>
      <c r="T26" s="33" t="s">
        <v>2081</v>
      </c>
      <c r="U26" s="34">
        <v>1.54023</v>
      </c>
      <c r="V26" s="7"/>
      <c r="W26" s="7" t="str">
        <f>VLOOKUP($Q26,Mapping!$E$11:$I$96,3,0)</f>
        <v>Connections</v>
      </c>
      <c r="X26" s="7" t="str">
        <f>VLOOKUP($S26,Mapping!$E$140:$K$2771,5,0)</f>
        <v>Contracts</v>
      </c>
      <c r="Y26" s="7" t="str">
        <f>VLOOKUP($S26,Mapping!$E$140:$K$2771,7,0)</f>
        <v>ENDirect</v>
      </c>
      <c r="Z26" s="7" t="str">
        <f>IFERROR(HLOOKUP(X26,'Calc|Weightings'!$K$5:$M$5,1,0),"Excl")</f>
        <v>Contracts</v>
      </c>
      <c r="AA26" s="7" t="str">
        <f>VLOOKUP(Q26,Mapping!$E$11:$I$96,5,0)</f>
        <v>SCS</v>
      </c>
      <c r="AC26" s="111">
        <v>102</v>
      </c>
      <c r="AD26" s="111" t="s">
        <v>2070</v>
      </c>
      <c r="AE26" s="111">
        <v>611902</v>
      </c>
      <c r="AF26" s="111" t="s">
        <v>2081</v>
      </c>
      <c r="AG26" s="112">
        <v>2.4563100000000002</v>
      </c>
      <c r="AI26" s="7" t="str">
        <f>VLOOKUP($AC26,Mapping!$E$11:$I$96,3,0)</f>
        <v>Connections</v>
      </c>
      <c r="AJ26" s="7" t="str">
        <f>VLOOKUP($AE26,Mapping!$E$140:$K$2771,5,0)</f>
        <v>Contracts</v>
      </c>
      <c r="AK26" s="7" t="str">
        <f>VLOOKUP($AE26,Mapping!$E$140:$K$2771,7,0)</f>
        <v>ENDirect</v>
      </c>
      <c r="AL26" s="7" t="str">
        <f>IFERROR(HLOOKUP(AJ26,'Calc|Weightings'!$K$5:$M$5,1,0),"Excl")</f>
        <v>Contracts</v>
      </c>
      <c r="AM26" s="7" t="str">
        <f>VLOOKUP(AC26,Mapping!$E$11:$I$96,5,0)</f>
        <v>SCS</v>
      </c>
      <c r="AO26" s="134">
        <v>102</v>
      </c>
      <c r="AP26" s="135" t="s">
        <v>2070</v>
      </c>
      <c r="AQ26" s="135">
        <v>611900</v>
      </c>
      <c r="AR26" s="135" t="s">
        <v>2079</v>
      </c>
      <c r="AS26" s="136">
        <v>4.6483100000000004</v>
      </c>
      <c r="AU26" s="7" t="str">
        <f>VLOOKUP($AO26,Mapping!$E$11:$I$96,3,0)</f>
        <v>Connections</v>
      </c>
      <c r="AV26" s="7" t="str">
        <f>VLOOKUP($AQ26,Mapping!$E$140:$K$2771,5,0)</f>
        <v>Contracts</v>
      </c>
      <c r="AW26" s="7" t="str">
        <f>VLOOKUP($AQ26,Mapping!$E$140:$K$2771,7,0)</f>
        <v>ENDirect</v>
      </c>
      <c r="AX26" s="7" t="str">
        <f>IFERROR(HLOOKUP(AV26,'Calc|Weightings'!$K$5:$M$5,1,0),"Excl")</f>
        <v>Contracts</v>
      </c>
      <c r="AY26" s="7" t="str">
        <f>VLOOKUP(AO26,Mapping!$E$11:$I$96,5,0)</f>
        <v>SCS</v>
      </c>
    </row>
    <row r="27" spans="1:51" x14ac:dyDescent="0.2">
      <c r="A27" s="7"/>
      <c r="B27" s="7"/>
      <c r="C27" s="7"/>
      <c r="D27" s="7"/>
      <c r="E27" s="36">
        <v>102</v>
      </c>
      <c r="F27" s="36" t="s">
        <v>2070</v>
      </c>
      <c r="G27" s="36">
        <v>532140</v>
      </c>
      <c r="H27" s="36" t="s">
        <v>288</v>
      </c>
      <c r="I27" s="37">
        <v>7.7399999999999997E-2</v>
      </c>
      <c r="J27" s="7"/>
      <c r="K27" s="7" t="str">
        <f>VLOOKUP($E27,Mapping!$E$11:$I$96,3,0)</f>
        <v>Connections</v>
      </c>
      <c r="L27" s="7" t="str">
        <f>VLOOKUP($G27,Mapping!$E$140:$K$2771,5,0)</f>
        <v>Contracts</v>
      </c>
      <c r="M27" s="7" t="str">
        <f>VLOOKUP($G27,Mapping!$E$140:$K$2771,7,0)</f>
        <v>ENDirect</v>
      </c>
      <c r="N27" s="7" t="str">
        <f>IFERROR(HLOOKUP(L27,'Calc|Weightings'!$K$5:$M$5,1,0),"Excl")</f>
        <v>Contracts</v>
      </c>
      <c r="O27" s="7" t="str">
        <f>VLOOKUP(E27,Mapping!$E$11:$I$96,5,0)</f>
        <v>SCS</v>
      </c>
      <c r="Q27" s="33">
        <v>102</v>
      </c>
      <c r="R27" s="33" t="s">
        <v>2070</v>
      </c>
      <c r="S27" s="33">
        <v>612210</v>
      </c>
      <c r="T27" s="33" t="s">
        <v>1184</v>
      </c>
      <c r="U27" s="34">
        <v>2.8748499999999999</v>
      </c>
      <c r="V27" s="7"/>
      <c r="W27" s="7" t="str">
        <f>VLOOKUP($Q27,Mapping!$E$11:$I$96,3,0)</f>
        <v>Connections</v>
      </c>
      <c r="X27" s="7" t="str">
        <f>VLOOKUP($S27,Mapping!$E$140:$K$2771,5,0)</f>
        <v>Labour</v>
      </c>
      <c r="Y27" s="7" t="str">
        <f>VLOOKUP($S27,Mapping!$E$140:$K$2771,7,0)</f>
        <v>ENDirect</v>
      </c>
      <c r="Z27" s="7" t="str">
        <f>IFERROR(HLOOKUP(X27,'Calc|Weightings'!$K$5:$M$5,1,0),"Excl")</f>
        <v>Labour</v>
      </c>
      <c r="AA27" s="7" t="str">
        <f>VLOOKUP(Q27,Mapping!$E$11:$I$96,5,0)</f>
        <v>SCS</v>
      </c>
      <c r="AC27" s="111">
        <v>102</v>
      </c>
      <c r="AD27" s="111" t="s">
        <v>2070</v>
      </c>
      <c r="AE27" s="111">
        <v>612210</v>
      </c>
      <c r="AF27" s="111" t="s">
        <v>1184</v>
      </c>
      <c r="AG27" s="112">
        <v>4.5007400000000004</v>
      </c>
      <c r="AI27" s="7" t="str">
        <f>VLOOKUP($AC27,Mapping!$E$11:$I$96,3,0)</f>
        <v>Connections</v>
      </c>
      <c r="AJ27" s="7" t="str">
        <f>VLOOKUP($AE27,Mapping!$E$140:$K$2771,5,0)</f>
        <v>Labour</v>
      </c>
      <c r="AK27" s="7" t="str">
        <f>VLOOKUP($AE27,Mapping!$E$140:$K$2771,7,0)</f>
        <v>ENDirect</v>
      </c>
      <c r="AL27" s="7" t="str">
        <f>IFERROR(HLOOKUP(AJ27,'Calc|Weightings'!$K$5:$M$5,1,0),"Excl")</f>
        <v>Labour</v>
      </c>
      <c r="AM27" s="7" t="str">
        <f>VLOOKUP(AC27,Mapping!$E$11:$I$96,5,0)</f>
        <v>SCS</v>
      </c>
      <c r="AO27" s="134">
        <v>102</v>
      </c>
      <c r="AP27" s="135" t="s">
        <v>2070</v>
      </c>
      <c r="AQ27" s="135">
        <v>611901</v>
      </c>
      <c r="AR27" s="135" t="s">
        <v>2080</v>
      </c>
      <c r="AS27" s="136">
        <v>5.4073599999999997</v>
      </c>
      <c r="AU27" s="7" t="str">
        <f>VLOOKUP($AO27,Mapping!$E$11:$I$96,3,0)</f>
        <v>Connections</v>
      </c>
      <c r="AV27" s="7" t="str">
        <f>VLOOKUP($AQ27,Mapping!$E$140:$K$2771,5,0)</f>
        <v>Contracts</v>
      </c>
      <c r="AW27" s="7" t="str">
        <f>VLOOKUP($AQ27,Mapping!$E$140:$K$2771,7,0)</f>
        <v>ENDirect</v>
      </c>
      <c r="AX27" s="7" t="str">
        <f>IFERROR(HLOOKUP(AV27,'Calc|Weightings'!$K$5:$M$5,1,0),"Excl")</f>
        <v>Contracts</v>
      </c>
      <c r="AY27" s="7" t="str">
        <f>VLOOKUP(AO27,Mapping!$E$11:$I$96,5,0)</f>
        <v>SCS</v>
      </c>
    </row>
    <row r="28" spans="1:51" x14ac:dyDescent="0.2">
      <c r="A28" s="7"/>
      <c r="B28" s="7"/>
      <c r="C28" s="7"/>
      <c r="D28" s="7"/>
      <c r="E28" s="36">
        <v>102</v>
      </c>
      <c r="F28" s="36" t="s">
        <v>2070</v>
      </c>
      <c r="G28" s="36">
        <v>591997</v>
      </c>
      <c r="H28" s="36" t="s">
        <v>2194</v>
      </c>
      <c r="I28" s="37">
        <v>-158.12639999999999</v>
      </c>
      <c r="J28" s="7"/>
      <c r="K28" s="7" t="str">
        <f>VLOOKUP($E28,Mapping!$E$11:$I$96,3,0)</f>
        <v>Connections</v>
      </c>
      <c r="L28" s="7" t="str">
        <f>VLOOKUP($G28,Mapping!$E$140:$K$2771,5,0)</f>
        <v>Contracts</v>
      </c>
      <c r="M28" s="7" t="str">
        <f>VLOOKUP($G28,Mapping!$E$140:$K$2771,7,0)</f>
        <v>ENDirect</v>
      </c>
      <c r="N28" s="7" t="str">
        <f>IFERROR(HLOOKUP(L28,'Calc|Weightings'!$K$5:$M$5,1,0),"Excl")</f>
        <v>Contracts</v>
      </c>
      <c r="O28" s="7" t="str">
        <f>VLOOKUP(E28,Mapping!$E$11:$I$96,5,0)</f>
        <v>SCS</v>
      </c>
      <c r="Q28" s="33">
        <v>102</v>
      </c>
      <c r="R28" s="33" t="s">
        <v>2070</v>
      </c>
      <c r="S28" s="33">
        <v>613240</v>
      </c>
      <c r="T28" s="33" t="s">
        <v>2082</v>
      </c>
      <c r="U28" s="34">
        <v>11.535130000000001</v>
      </c>
      <c r="V28" s="7"/>
      <c r="W28" s="7" t="str">
        <f>VLOOKUP($Q28,Mapping!$E$11:$I$96,3,0)</f>
        <v>Connections</v>
      </c>
      <c r="X28" s="7" t="str">
        <f>VLOOKUP($S28,Mapping!$E$140:$K$2771,5,0)</f>
        <v>Labour</v>
      </c>
      <c r="Y28" s="7" t="str">
        <f>VLOOKUP($S28,Mapping!$E$140:$K$2771,7,0)</f>
        <v>ENDirect</v>
      </c>
      <c r="Z28" s="7" t="str">
        <f>IFERROR(HLOOKUP(X28,'Calc|Weightings'!$K$5:$M$5,1,0),"Excl")</f>
        <v>Labour</v>
      </c>
      <c r="AA28" s="7" t="str">
        <f>VLOOKUP(Q28,Mapping!$E$11:$I$96,5,0)</f>
        <v>SCS</v>
      </c>
      <c r="AC28" s="111">
        <v>102</v>
      </c>
      <c r="AD28" s="111" t="s">
        <v>2070</v>
      </c>
      <c r="AE28" s="111">
        <v>613240</v>
      </c>
      <c r="AF28" s="111" t="s">
        <v>2082</v>
      </c>
      <c r="AG28" s="112">
        <v>51.085659999999997</v>
      </c>
      <c r="AI28" s="7" t="str">
        <f>VLOOKUP($AC28,Mapping!$E$11:$I$96,3,0)</f>
        <v>Connections</v>
      </c>
      <c r="AJ28" s="7" t="str">
        <f>VLOOKUP($AE28,Mapping!$E$140:$K$2771,5,0)</f>
        <v>Labour</v>
      </c>
      <c r="AK28" s="7" t="str">
        <f>VLOOKUP($AE28,Mapping!$E$140:$K$2771,7,0)</f>
        <v>ENDirect</v>
      </c>
      <c r="AL28" s="7" t="str">
        <f>IFERROR(HLOOKUP(AJ28,'Calc|Weightings'!$K$5:$M$5,1,0),"Excl")</f>
        <v>Labour</v>
      </c>
      <c r="AM28" s="7" t="str">
        <f>VLOOKUP(AC28,Mapping!$E$11:$I$96,5,0)</f>
        <v>SCS</v>
      </c>
      <c r="AO28" s="134">
        <v>102</v>
      </c>
      <c r="AP28" s="135" t="s">
        <v>2070</v>
      </c>
      <c r="AQ28" s="135">
        <v>611902</v>
      </c>
      <c r="AR28" s="135" t="s">
        <v>2081</v>
      </c>
      <c r="AS28" s="136">
        <v>1.1352100000000001</v>
      </c>
      <c r="AU28" s="7" t="str">
        <f>VLOOKUP($AO28,Mapping!$E$11:$I$96,3,0)</f>
        <v>Connections</v>
      </c>
      <c r="AV28" s="7" t="str">
        <f>VLOOKUP($AQ28,Mapping!$E$140:$K$2771,5,0)</f>
        <v>Contracts</v>
      </c>
      <c r="AW28" s="7" t="str">
        <f>VLOOKUP($AQ28,Mapping!$E$140:$K$2771,7,0)</f>
        <v>ENDirect</v>
      </c>
      <c r="AX28" s="7" t="str">
        <f>IFERROR(HLOOKUP(AV28,'Calc|Weightings'!$K$5:$M$5,1,0),"Excl")</f>
        <v>Contracts</v>
      </c>
      <c r="AY28" s="7" t="str">
        <f>VLOOKUP(AO28,Mapping!$E$11:$I$96,5,0)</f>
        <v>SCS</v>
      </c>
    </row>
    <row r="29" spans="1:51" x14ac:dyDescent="0.2">
      <c r="A29" s="7"/>
      <c r="B29" s="7"/>
      <c r="C29" s="7"/>
      <c r="D29" s="7"/>
      <c r="E29" s="36">
        <v>102</v>
      </c>
      <c r="F29" s="36" t="s">
        <v>2070</v>
      </c>
      <c r="G29" s="36">
        <v>591998</v>
      </c>
      <c r="H29" s="36" t="s">
        <v>2077</v>
      </c>
      <c r="I29" s="37">
        <v>-51.600070000000002</v>
      </c>
      <c r="J29" s="7"/>
      <c r="K29" s="7" t="str">
        <f>VLOOKUP($E29,Mapping!$E$11:$I$96,3,0)</f>
        <v>Connections</v>
      </c>
      <c r="L29" s="7" t="str">
        <f>VLOOKUP($G29,Mapping!$E$140:$K$2771,5,0)</f>
        <v>Contracts</v>
      </c>
      <c r="M29" s="7" t="str">
        <f>VLOOKUP($G29,Mapping!$E$140:$K$2771,7,0)</f>
        <v>ENDirect</v>
      </c>
      <c r="N29" s="7" t="str">
        <f>IFERROR(HLOOKUP(L29,'Calc|Weightings'!$K$5:$M$5,1,0),"Excl")</f>
        <v>Contracts</v>
      </c>
      <c r="O29" s="7" t="str">
        <f>VLOOKUP(E29,Mapping!$E$11:$I$96,5,0)</f>
        <v>SCS</v>
      </c>
      <c r="Q29" s="33">
        <v>102</v>
      </c>
      <c r="R29" s="33" t="s">
        <v>2070</v>
      </c>
      <c r="S29" s="33">
        <v>613241</v>
      </c>
      <c r="T29" s="33" t="s">
        <v>2083</v>
      </c>
      <c r="U29" s="34">
        <v>0.30825999999999998</v>
      </c>
      <c r="V29" s="7"/>
      <c r="W29" s="7" t="str">
        <f>VLOOKUP($Q29,Mapping!$E$11:$I$96,3,0)</f>
        <v>Connections</v>
      </c>
      <c r="X29" s="7" t="str">
        <f>VLOOKUP($S29,Mapping!$E$140:$K$2771,5,0)</f>
        <v>Labour</v>
      </c>
      <c r="Y29" s="7" t="str">
        <f>VLOOKUP($S29,Mapping!$E$140:$K$2771,7,0)</f>
        <v>ENDirect</v>
      </c>
      <c r="Z29" s="7" t="str">
        <f>IFERROR(HLOOKUP(X29,'Calc|Weightings'!$K$5:$M$5,1,0),"Excl")</f>
        <v>Labour</v>
      </c>
      <c r="AA29" s="7" t="str">
        <f>VLOOKUP(Q29,Mapping!$E$11:$I$96,5,0)</f>
        <v>SCS</v>
      </c>
      <c r="AC29" s="111">
        <v>102</v>
      </c>
      <c r="AD29" s="111" t="s">
        <v>2070</v>
      </c>
      <c r="AE29" s="111">
        <v>613241</v>
      </c>
      <c r="AF29" s="111" t="s">
        <v>2083</v>
      </c>
      <c r="AG29" s="112">
        <v>7.673</v>
      </c>
      <c r="AI29" s="7" t="str">
        <f>VLOOKUP($AC29,Mapping!$E$11:$I$96,3,0)</f>
        <v>Connections</v>
      </c>
      <c r="AJ29" s="7" t="str">
        <f>VLOOKUP($AE29,Mapping!$E$140:$K$2771,5,0)</f>
        <v>Labour</v>
      </c>
      <c r="AK29" s="7" t="str">
        <f>VLOOKUP($AE29,Mapping!$E$140:$K$2771,7,0)</f>
        <v>ENDirect</v>
      </c>
      <c r="AL29" s="7" t="str">
        <f>IFERROR(HLOOKUP(AJ29,'Calc|Weightings'!$K$5:$M$5,1,0),"Excl")</f>
        <v>Labour</v>
      </c>
      <c r="AM29" s="7" t="str">
        <f>VLOOKUP(AC29,Mapping!$E$11:$I$96,5,0)</f>
        <v>SCS</v>
      </c>
      <c r="AO29" s="134">
        <v>102</v>
      </c>
      <c r="AP29" s="135" t="s">
        <v>2070</v>
      </c>
      <c r="AQ29" s="135">
        <v>612210</v>
      </c>
      <c r="AR29" s="135" t="s">
        <v>1184</v>
      </c>
      <c r="AS29" s="136">
        <v>3.6333500000000001</v>
      </c>
      <c r="AU29" s="7" t="str">
        <f>VLOOKUP($AO29,Mapping!$E$11:$I$96,3,0)</f>
        <v>Connections</v>
      </c>
      <c r="AV29" s="7" t="str">
        <f>VLOOKUP($AQ29,Mapping!$E$140:$K$2771,5,0)</f>
        <v>Labour</v>
      </c>
      <c r="AW29" s="7" t="str">
        <f>VLOOKUP($AQ29,Mapping!$E$140:$K$2771,7,0)</f>
        <v>ENDirect</v>
      </c>
      <c r="AX29" s="7" t="str">
        <f>IFERROR(HLOOKUP(AV29,'Calc|Weightings'!$K$5:$M$5,1,0),"Excl")</f>
        <v>Labour</v>
      </c>
      <c r="AY29" s="7" t="str">
        <f>VLOOKUP(AO29,Mapping!$E$11:$I$96,5,0)</f>
        <v>SCS</v>
      </c>
    </row>
    <row r="30" spans="1:51" x14ac:dyDescent="0.2">
      <c r="A30" s="7"/>
      <c r="B30" s="7"/>
      <c r="C30" s="7"/>
      <c r="D30" s="7"/>
      <c r="E30" s="36">
        <v>102</v>
      </c>
      <c r="F30" s="36" t="s">
        <v>2070</v>
      </c>
      <c r="G30" s="36">
        <v>591999</v>
      </c>
      <c r="H30" s="36" t="s">
        <v>2195</v>
      </c>
      <c r="I30" s="37">
        <v>-668.65986999999996</v>
      </c>
      <c r="J30" s="7"/>
      <c r="K30" s="7" t="str">
        <f>VLOOKUP($E30,Mapping!$E$11:$I$96,3,0)</f>
        <v>Connections</v>
      </c>
      <c r="L30" s="7" t="str">
        <f>VLOOKUP($G30,Mapping!$E$140:$K$2771,5,0)</f>
        <v>Contracts</v>
      </c>
      <c r="M30" s="7" t="str">
        <f>VLOOKUP($G30,Mapping!$E$140:$K$2771,7,0)</f>
        <v>ENDirect</v>
      </c>
      <c r="N30" s="7" t="str">
        <f>IFERROR(HLOOKUP(L30,'Calc|Weightings'!$K$5:$M$5,1,0),"Excl")</f>
        <v>Contracts</v>
      </c>
      <c r="O30" s="7" t="str">
        <f>VLOOKUP(E30,Mapping!$E$11:$I$96,5,0)</f>
        <v>SCS</v>
      </c>
      <c r="Q30" s="33">
        <v>102</v>
      </c>
      <c r="R30" s="33" t="s">
        <v>2070</v>
      </c>
      <c r="S30" s="33">
        <v>613250</v>
      </c>
      <c r="T30" s="33" t="s">
        <v>2086</v>
      </c>
      <c r="U30" s="34">
        <v>48.825699999999998</v>
      </c>
      <c r="V30" s="7"/>
      <c r="W30" s="7" t="str">
        <f>VLOOKUP($Q30,Mapping!$E$11:$I$96,3,0)</f>
        <v>Connections</v>
      </c>
      <c r="X30" s="7" t="str">
        <f>VLOOKUP($S30,Mapping!$E$140:$K$2771,5,0)</f>
        <v>Labour</v>
      </c>
      <c r="Y30" s="7" t="str">
        <f>VLOOKUP($S30,Mapping!$E$140:$K$2771,7,0)</f>
        <v>ENDirect</v>
      </c>
      <c r="Z30" s="7" t="str">
        <f>IFERROR(HLOOKUP(X30,'Calc|Weightings'!$K$5:$M$5,1,0),"Excl")</f>
        <v>Labour</v>
      </c>
      <c r="AA30" s="7" t="str">
        <f>VLOOKUP(Q30,Mapping!$E$11:$I$96,5,0)</f>
        <v>SCS</v>
      </c>
      <c r="AC30" s="111">
        <v>102</v>
      </c>
      <c r="AD30" s="111" t="s">
        <v>2070</v>
      </c>
      <c r="AE30" s="111">
        <v>613250</v>
      </c>
      <c r="AF30" s="111" t="s">
        <v>2086</v>
      </c>
      <c r="AG30" s="112">
        <v>120.37432</v>
      </c>
      <c r="AI30" s="7" t="str">
        <f>VLOOKUP($AC30,Mapping!$E$11:$I$96,3,0)</f>
        <v>Connections</v>
      </c>
      <c r="AJ30" s="7" t="str">
        <f>VLOOKUP($AE30,Mapping!$E$140:$K$2771,5,0)</f>
        <v>Labour</v>
      </c>
      <c r="AK30" s="7" t="str">
        <f>VLOOKUP($AE30,Mapping!$E$140:$K$2771,7,0)</f>
        <v>ENDirect</v>
      </c>
      <c r="AL30" s="7" t="str">
        <f>IFERROR(HLOOKUP(AJ30,'Calc|Weightings'!$K$5:$M$5,1,0),"Excl")</f>
        <v>Labour</v>
      </c>
      <c r="AM30" s="7" t="str">
        <f>VLOOKUP(AC30,Mapping!$E$11:$I$96,5,0)</f>
        <v>SCS</v>
      </c>
      <c r="AO30" s="134">
        <v>102</v>
      </c>
      <c r="AP30" s="135" t="s">
        <v>2070</v>
      </c>
      <c r="AQ30" s="135">
        <v>613240</v>
      </c>
      <c r="AR30" s="135" t="s">
        <v>2082</v>
      </c>
      <c r="AS30" s="136">
        <v>39.44171</v>
      </c>
      <c r="AU30" s="7" t="str">
        <f>VLOOKUP($AO30,Mapping!$E$11:$I$96,3,0)</f>
        <v>Connections</v>
      </c>
      <c r="AV30" s="7" t="str">
        <f>VLOOKUP($AQ30,Mapping!$E$140:$K$2771,5,0)</f>
        <v>Labour</v>
      </c>
      <c r="AW30" s="7" t="str">
        <f>VLOOKUP($AQ30,Mapping!$E$140:$K$2771,7,0)</f>
        <v>ENDirect</v>
      </c>
      <c r="AX30" s="7" t="str">
        <f>IFERROR(HLOOKUP(AV30,'Calc|Weightings'!$K$5:$M$5,1,0),"Excl")</f>
        <v>Labour</v>
      </c>
      <c r="AY30" s="7" t="str">
        <f>VLOOKUP(AO30,Mapping!$E$11:$I$96,5,0)</f>
        <v>SCS</v>
      </c>
    </row>
    <row r="31" spans="1:51" x14ac:dyDescent="0.2">
      <c r="A31" s="7"/>
      <c r="B31" s="7"/>
      <c r="C31" s="7"/>
      <c r="D31" s="7"/>
      <c r="E31" s="36">
        <v>102</v>
      </c>
      <c r="F31" s="36" t="s">
        <v>2070</v>
      </c>
      <c r="G31" s="36">
        <v>611900</v>
      </c>
      <c r="H31" s="36" t="s">
        <v>2079</v>
      </c>
      <c r="I31" s="37">
        <v>6.8785800000000004</v>
      </c>
      <c r="J31" s="7"/>
      <c r="K31" s="7" t="str">
        <f>VLOOKUP($E31,Mapping!$E$11:$I$96,3,0)</f>
        <v>Connections</v>
      </c>
      <c r="L31" s="7" t="str">
        <f>VLOOKUP($G31,Mapping!$E$140:$K$2771,5,0)</f>
        <v>Contracts</v>
      </c>
      <c r="M31" s="7" t="str">
        <f>VLOOKUP($G31,Mapping!$E$140:$K$2771,7,0)</f>
        <v>ENDirect</v>
      </c>
      <c r="N31" s="7" t="str">
        <f>IFERROR(HLOOKUP(L31,'Calc|Weightings'!$K$5:$M$5,1,0),"Excl")</f>
        <v>Contracts</v>
      </c>
      <c r="O31" s="7" t="str">
        <f>VLOOKUP(E31,Mapping!$E$11:$I$96,5,0)</f>
        <v>SCS</v>
      </c>
      <c r="Q31" s="33">
        <v>102</v>
      </c>
      <c r="R31" s="33" t="s">
        <v>2070</v>
      </c>
      <c r="S31" s="33">
        <v>613251</v>
      </c>
      <c r="T31" s="33" t="s">
        <v>2087</v>
      </c>
      <c r="U31" s="34">
        <v>1.6017999999999999</v>
      </c>
      <c r="V31" s="7"/>
      <c r="W31" s="7" t="str">
        <f>VLOOKUP($Q31,Mapping!$E$11:$I$96,3,0)</f>
        <v>Connections</v>
      </c>
      <c r="X31" s="7" t="str">
        <f>VLOOKUP($S31,Mapping!$E$140:$K$2771,5,0)</f>
        <v>Labour</v>
      </c>
      <c r="Y31" s="7" t="str">
        <f>VLOOKUP($S31,Mapping!$E$140:$K$2771,7,0)</f>
        <v>ENDirect</v>
      </c>
      <c r="Z31" s="7" t="str">
        <f>IFERROR(HLOOKUP(X31,'Calc|Weightings'!$K$5:$M$5,1,0),"Excl")</f>
        <v>Labour</v>
      </c>
      <c r="AA31" s="7" t="str">
        <f>VLOOKUP(Q31,Mapping!$E$11:$I$96,5,0)</f>
        <v>SCS</v>
      </c>
      <c r="AC31" s="111">
        <v>102</v>
      </c>
      <c r="AD31" s="111" t="s">
        <v>2070</v>
      </c>
      <c r="AE31" s="111">
        <v>613251</v>
      </c>
      <c r="AF31" s="111" t="s">
        <v>2087</v>
      </c>
      <c r="AG31" s="112">
        <v>11.447369999999999</v>
      </c>
      <c r="AI31" s="7" t="str">
        <f>VLOOKUP($AC31,Mapping!$E$11:$I$96,3,0)</f>
        <v>Connections</v>
      </c>
      <c r="AJ31" s="7" t="str">
        <f>VLOOKUP($AE31,Mapping!$E$140:$K$2771,5,0)</f>
        <v>Labour</v>
      </c>
      <c r="AK31" s="7" t="str">
        <f>VLOOKUP($AE31,Mapping!$E$140:$K$2771,7,0)</f>
        <v>ENDirect</v>
      </c>
      <c r="AL31" s="7" t="str">
        <f>IFERROR(HLOOKUP(AJ31,'Calc|Weightings'!$K$5:$M$5,1,0),"Excl")</f>
        <v>Labour</v>
      </c>
      <c r="AM31" s="7" t="str">
        <f>VLOOKUP(AC31,Mapping!$E$11:$I$96,5,0)</f>
        <v>SCS</v>
      </c>
      <c r="AO31" s="134">
        <v>102</v>
      </c>
      <c r="AP31" s="135" t="s">
        <v>2070</v>
      </c>
      <c r="AQ31" s="135">
        <v>613241</v>
      </c>
      <c r="AR31" s="135" t="s">
        <v>2083</v>
      </c>
      <c r="AS31" s="136">
        <v>3.40673</v>
      </c>
      <c r="AU31" s="7" t="str">
        <f>VLOOKUP($AO31,Mapping!$E$11:$I$96,3,0)</f>
        <v>Connections</v>
      </c>
      <c r="AV31" s="7" t="str">
        <f>VLOOKUP($AQ31,Mapping!$E$140:$K$2771,5,0)</f>
        <v>Labour</v>
      </c>
      <c r="AW31" s="7" t="str">
        <f>VLOOKUP($AQ31,Mapping!$E$140:$K$2771,7,0)</f>
        <v>ENDirect</v>
      </c>
      <c r="AX31" s="7" t="str">
        <f>IFERROR(HLOOKUP(AV31,'Calc|Weightings'!$K$5:$M$5,1,0),"Excl")</f>
        <v>Labour</v>
      </c>
      <c r="AY31" s="7" t="str">
        <f>VLOOKUP(AO31,Mapping!$E$11:$I$96,5,0)</f>
        <v>SCS</v>
      </c>
    </row>
    <row r="32" spans="1:51" x14ac:dyDescent="0.2">
      <c r="A32" s="7"/>
      <c r="B32" s="7"/>
      <c r="C32" s="7"/>
      <c r="D32" s="7"/>
      <c r="E32" s="36">
        <v>102</v>
      </c>
      <c r="F32" s="36" t="s">
        <v>2070</v>
      </c>
      <c r="G32" s="36">
        <v>611901</v>
      </c>
      <c r="H32" s="36" t="s">
        <v>2080</v>
      </c>
      <c r="I32" s="37">
        <v>7.70939</v>
      </c>
      <c r="J32" s="7"/>
      <c r="K32" s="7" t="str">
        <f>VLOOKUP($E32,Mapping!$E$11:$I$96,3,0)</f>
        <v>Connections</v>
      </c>
      <c r="L32" s="7" t="str">
        <f>VLOOKUP($G32,Mapping!$E$140:$K$2771,5,0)</f>
        <v>Contracts</v>
      </c>
      <c r="M32" s="7" t="str">
        <f>VLOOKUP($G32,Mapping!$E$140:$K$2771,7,0)</f>
        <v>ENDirect</v>
      </c>
      <c r="N32" s="7" t="str">
        <f>IFERROR(HLOOKUP(L32,'Calc|Weightings'!$K$5:$M$5,1,0),"Excl")</f>
        <v>Contracts</v>
      </c>
      <c r="O32" s="7" t="str">
        <f>VLOOKUP(E32,Mapping!$E$11:$I$96,5,0)</f>
        <v>SCS</v>
      </c>
      <c r="Q32" s="33">
        <v>102</v>
      </c>
      <c r="R32" s="33" t="s">
        <v>2070</v>
      </c>
      <c r="S32" s="33">
        <v>613260</v>
      </c>
      <c r="T32" s="33" t="s">
        <v>2090</v>
      </c>
      <c r="U32" s="34">
        <v>0.12819</v>
      </c>
      <c r="V32" s="7"/>
      <c r="W32" s="7" t="str">
        <f>VLOOKUP($Q32,Mapping!$E$11:$I$96,3,0)</f>
        <v>Connections</v>
      </c>
      <c r="X32" s="7" t="str">
        <f>VLOOKUP($S32,Mapping!$E$140:$K$2771,5,0)</f>
        <v>Labour</v>
      </c>
      <c r="Y32" s="7" t="str">
        <f>VLOOKUP($S32,Mapping!$E$140:$K$2771,7,0)</f>
        <v>ENDirect</v>
      </c>
      <c r="Z32" s="7" t="str">
        <f>IFERROR(HLOOKUP(X32,'Calc|Weightings'!$K$5:$M$5,1,0),"Excl")</f>
        <v>Labour</v>
      </c>
      <c r="AA32" s="7" t="str">
        <f>VLOOKUP(Q32,Mapping!$E$11:$I$96,5,0)</f>
        <v>SCS</v>
      </c>
      <c r="AC32" s="111">
        <v>102</v>
      </c>
      <c r="AD32" s="111" t="s">
        <v>2070</v>
      </c>
      <c r="AE32" s="111">
        <v>613280</v>
      </c>
      <c r="AF32" s="111" t="s">
        <v>1342</v>
      </c>
      <c r="AG32" s="112">
        <v>72.579480000000004</v>
      </c>
      <c r="AI32" s="7" t="str">
        <f>VLOOKUP($AC32,Mapping!$E$11:$I$96,3,0)</f>
        <v>Connections</v>
      </c>
      <c r="AJ32" s="7" t="str">
        <f>VLOOKUP($AE32,Mapping!$E$140:$K$2771,5,0)</f>
        <v>Labour</v>
      </c>
      <c r="AK32" s="7" t="str">
        <f>VLOOKUP($AE32,Mapping!$E$140:$K$2771,7,0)</f>
        <v>ENDirect</v>
      </c>
      <c r="AL32" s="7" t="str">
        <f>IFERROR(HLOOKUP(AJ32,'Calc|Weightings'!$K$5:$M$5,1,0),"Excl")</f>
        <v>Labour</v>
      </c>
      <c r="AM32" s="7" t="str">
        <f>VLOOKUP(AC32,Mapping!$E$11:$I$96,5,0)</f>
        <v>SCS</v>
      </c>
      <c r="AO32" s="134">
        <v>102</v>
      </c>
      <c r="AP32" s="135" t="s">
        <v>2070</v>
      </c>
      <c r="AQ32" s="135">
        <v>613250</v>
      </c>
      <c r="AR32" s="135" t="s">
        <v>2086</v>
      </c>
      <c r="AS32" s="136">
        <v>74.808890000000005</v>
      </c>
      <c r="AU32" s="7" t="str">
        <f>VLOOKUP($AO32,Mapping!$E$11:$I$96,3,0)</f>
        <v>Connections</v>
      </c>
      <c r="AV32" s="7" t="str">
        <f>VLOOKUP($AQ32,Mapping!$E$140:$K$2771,5,0)</f>
        <v>Labour</v>
      </c>
      <c r="AW32" s="7" t="str">
        <f>VLOOKUP($AQ32,Mapping!$E$140:$K$2771,7,0)</f>
        <v>ENDirect</v>
      </c>
      <c r="AX32" s="7" t="str">
        <f>IFERROR(HLOOKUP(AV32,'Calc|Weightings'!$K$5:$M$5,1,0),"Excl")</f>
        <v>Labour</v>
      </c>
      <c r="AY32" s="7" t="str">
        <f>VLOOKUP(AO32,Mapping!$E$11:$I$96,5,0)</f>
        <v>SCS</v>
      </c>
    </row>
    <row r="33" spans="1:51" x14ac:dyDescent="0.2">
      <c r="A33" s="7"/>
      <c r="B33" s="7"/>
      <c r="C33" s="7"/>
      <c r="D33" s="7"/>
      <c r="E33" s="36">
        <v>102</v>
      </c>
      <c r="F33" s="36" t="s">
        <v>2070</v>
      </c>
      <c r="G33" s="36">
        <v>611902</v>
      </c>
      <c r="H33" s="36" t="s">
        <v>2081</v>
      </c>
      <c r="I33" s="37">
        <v>2.0503399999999998</v>
      </c>
      <c r="J33" s="7"/>
      <c r="K33" s="7" t="str">
        <f>VLOOKUP($E33,Mapping!$E$11:$I$96,3,0)</f>
        <v>Connections</v>
      </c>
      <c r="L33" s="7" t="str">
        <f>VLOOKUP($G33,Mapping!$E$140:$K$2771,5,0)</f>
        <v>Contracts</v>
      </c>
      <c r="M33" s="7" t="str">
        <f>VLOOKUP($G33,Mapping!$E$140:$K$2771,7,0)</f>
        <v>ENDirect</v>
      </c>
      <c r="N33" s="7" t="str">
        <f>IFERROR(HLOOKUP(L33,'Calc|Weightings'!$K$5:$M$5,1,0),"Excl")</f>
        <v>Contracts</v>
      </c>
      <c r="O33" s="7" t="str">
        <f>VLOOKUP(E33,Mapping!$E$11:$I$96,5,0)</f>
        <v>SCS</v>
      </c>
      <c r="Q33" s="33">
        <v>102</v>
      </c>
      <c r="R33" s="33" t="s">
        <v>2070</v>
      </c>
      <c r="S33" s="33">
        <v>613280</v>
      </c>
      <c r="T33" s="33" t="s">
        <v>1342</v>
      </c>
      <c r="U33" s="34">
        <v>49.721499999999999</v>
      </c>
      <c r="V33" s="7"/>
      <c r="W33" s="7" t="str">
        <f>VLOOKUP($Q33,Mapping!$E$11:$I$96,3,0)</f>
        <v>Connections</v>
      </c>
      <c r="X33" s="7" t="str">
        <f>VLOOKUP($S33,Mapping!$E$140:$K$2771,5,0)</f>
        <v>Labour</v>
      </c>
      <c r="Y33" s="7" t="str">
        <f>VLOOKUP($S33,Mapping!$E$140:$K$2771,7,0)</f>
        <v>ENDirect</v>
      </c>
      <c r="Z33" s="7" t="str">
        <f>IFERROR(HLOOKUP(X33,'Calc|Weightings'!$K$5:$M$5,1,0),"Excl")</f>
        <v>Labour</v>
      </c>
      <c r="AA33" s="7" t="str">
        <f>VLOOKUP(Q33,Mapping!$E$11:$I$96,5,0)</f>
        <v>SCS</v>
      </c>
      <c r="AC33" s="111">
        <v>102</v>
      </c>
      <c r="AD33" s="111" t="s">
        <v>2070</v>
      </c>
      <c r="AE33" s="111">
        <v>613281</v>
      </c>
      <c r="AF33" s="111" t="s">
        <v>1343</v>
      </c>
      <c r="AG33" s="112">
        <v>4.0315500000000002</v>
      </c>
      <c r="AI33" s="7" t="str">
        <f>VLOOKUP($AC33,Mapping!$E$11:$I$96,3,0)</f>
        <v>Connections</v>
      </c>
      <c r="AJ33" s="7" t="str">
        <f>VLOOKUP($AE33,Mapping!$E$140:$K$2771,5,0)</f>
        <v>Labour</v>
      </c>
      <c r="AK33" s="7" t="str">
        <f>VLOOKUP($AE33,Mapping!$E$140:$K$2771,7,0)</f>
        <v>ENDirect</v>
      </c>
      <c r="AL33" s="7" t="str">
        <f>IFERROR(HLOOKUP(AJ33,'Calc|Weightings'!$K$5:$M$5,1,0),"Excl")</f>
        <v>Labour</v>
      </c>
      <c r="AM33" s="7" t="str">
        <f>VLOOKUP(AC33,Mapping!$E$11:$I$96,5,0)</f>
        <v>SCS</v>
      </c>
      <c r="AO33" s="134">
        <v>102</v>
      </c>
      <c r="AP33" s="135" t="s">
        <v>2070</v>
      </c>
      <c r="AQ33" s="135">
        <v>613251</v>
      </c>
      <c r="AR33" s="135" t="s">
        <v>2087</v>
      </c>
      <c r="AS33" s="136">
        <v>5.5418599999999998</v>
      </c>
      <c r="AU33" s="7" t="str">
        <f>VLOOKUP($AO33,Mapping!$E$11:$I$96,3,0)</f>
        <v>Connections</v>
      </c>
      <c r="AV33" s="7" t="str">
        <f>VLOOKUP($AQ33,Mapping!$E$140:$K$2771,5,0)</f>
        <v>Labour</v>
      </c>
      <c r="AW33" s="7" t="str">
        <f>VLOOKUP($AQ33,Mapping!$E$140:$K$2771,7,0)</f>
        <v>ENDirect</v>
      </c>
      <c r="AX33" s="7" t="str">
        <f>IFERROR(HLOOKUP(AV33,'Calc|Weightings'!$K$5:$M$5,1,0),"Excl")</f>
        <v>Labour</v>
      </c>
      <c r="AY33" s="7" t="str">
        <f>VLOOKUP(AO33,Mapping!$E$11:$I$96,5,0)</f>
        <v>SCS</v>
      </c>
    </row>
    <row r="34" spans="1:51" x14ac:dyDescent="0.2">
      <c r="A34" s="7"/>
      <c r="B34" s="7"/>
      <c r="C34" s="7"/>
      <c r="D34" s="7"/>
      <c r="E34" s="36">
        <v>102</v>
      </c>
      <c r="F34" s="36" t="s">
        <v>2070</v>
      </c>
      <c r="G34" s="36">
        <v>612210</v>
      </c>
      <c r="H34" s="36" t="s">
        <v>1184</v>
      </c>
      <c r="I34" s="37">
        <v>19.16555</v>
      </c>
      <c r="J34" s="7"/>
      <c r="K34" s="7" t="str">
        <f>VLOOKUP($E34,Mapping!$E$11:$I$96,3,0)</f>
        <v>Connections</v>
      </c>
      <c r="L34" s="7" t="str">
        <f>VLOOKUP($G34,Mapping!$E$140:$K$2771,5,0)</f>
        <v>Labour</v>
      </c>
      <c r="M34" s="7" t="str">
        <f>VLOOKUP($G34,Mapping!$E$140:$K$2771,7,0)</f>
        <v>ENDirect</v>
      </c>
      <c r="N34" s="7" t="str">
        <f>IFERROR(HLOOKUP(L34,'Calc|Weightings'!$K$5:$M$5,1,0),"Excl")</f>
        <v>Labour</v>
      </c>
      <c r="O34" s="7" t="str">
        <f>VLOOKUP(E34,Mapping!$E$11:$I$96,5,0)</f>
        <v>SCS</v>
      </c>
      <c r="Q34" s="33">
        <v>102</v>
      </c>
      <c r="R34" s="33" t="s">
        <v>2070</v>
      </c>
      <c r="S34" s="33">
        <v>613281</v>
      </c>
      <c r="T34" s="33" t="s">
        <v>1343</v>
      </c>
      <c r="U34" s="34">
        <v>3.9858699999999998</v>
      </c>
      <c r="V34" s="7"/>
      <c r="W34" s="7" t="str">
        <f>VLOOKUP($Q34,Mapping!$E$11:$I$96,3,0)</f>
        <v>Connections</v>
      </c>
      <c r="X34" s="7" t="str">
        <f>VLOOKUP($S34,Mapping!$E$140:$K$2771,5,0)</f>
        <v>Labour</v>
      </c>
      <c r="Y34" s="7" t="str">
        <f>VLOOKUP($S34,Mapping!$E$140:$K$2771,7,0)</f>
        <v>ENDirect</v>
      </c>
      <c r="Z34" s="7" t="str">
        <f>IFERROR(HLOOKUP(X34,'Calc|Weightings'!$K$5:$M$5,1,0),"Excl")</f>
        <v>Labour</v>
      </c>
      <c r="AA34" s="7" t="str">
        <f>VLOOKUP(Q34,Mapping!$E$11:$I$96,5,0)</f>
        <v>SCS</v>
      </c>
      <c r="AC34" s="111">
        <v>102</v>
      </c>
      <c r="AD34" s="111" t="s">
        <v>2070</v>
      </c>
      <c r="AE34" s="111">
        <v>613290</v>
      </c>
      <c r="AF34" s="111" t="s">
        <v>2093</v>
      </c>
      <c r="AG34" s="112">
        <v>326.20798000000002</v>
      </c>
      <c r="AI34" s="7" t="str">
        <f>VLOOKUP($AC34,Mapping!$E$11:$I$96,3,0)</f>
        <v>Connections</v>
      </c>
      <c r="AJ34" s="7" t="str">
        <f>VLOOKUP($AE34,Mapping!$E$140:$K$2771,5,0)</f>
        <v>Labour</v>
      </c>
      <c r="AK34" s="7" t="str">
        <f>VLOOKUP($AE34,Mapping!$E$140:$K$2771,7,0)</f>
        <v>ENDirect</v>
      </c>
      <c r="AL34" s="7" t="str">
        <f>IFERROR(HLOOKUP(AJ34,'Calc|Weightings'!$K$5:$M$5,1,0),"Excl")</f>
        <v>Labour</v>
      </c>
      <c r="AM34" s="7" t="str">
        <f>VLOOKUP(AC34,Mapping!$E$11:$I$96,5,0)</f>
        <v>SCS</v>
      </c>
      <c r="AO34" s="134">
        <v>102</v>
      </c>
      <c r="AP34" s="135" t="s">
        <v>2070</v>
      </c>
      <c r="AQ34" s="135">
        <v>613260</v>
      </c>
      <c r="AR34" s="135" t="s">
        <v>2090</v>
      </c>
      <c r="AS34" s="136">
        <v>1.11456</v>
      </c>
      <c r="AU34" s="7" t="str">
        <f>VLOOKUP($AO34,Mapping!$E$11:$I$96,3,0)</f>
        <v>Connections</v>
      </c>
      <c r="AV34" s="7" t="str">
        <f>VLOOKUP($AQ34,Mapping!$E$140:$K$2771,5,0)</f>
        <v>Labour</v>
      </c>
      <c r="AW34" s="7" t="str">
        <f>VLOOKUP($AQ34,Mapping!$E$140:$K$2771,7,0)</f>
        <v>ENDirect</v>
      </c>
      <c r="AX34" s="7" t="str">
        <f>IFERROR(HLOOKUP(AV34,'Calc|Weightings'!$K$5:$M$5,1,0),"Excl")</f>
        <v>Labour</v>
      </c>
      <c r="AY34" s="7" t="str">
        <f>VLOOKUP(AO34,Mapping!$E$11:$I$96,5,0)</f>
        <v>SCS</v>
      </c>
    </row>
    <row r="35" spans="1:51" x14ac:dyDescent="0.2">
      <c r="A35" s="7"/>
      <c r="B35" s="7"/>
      <c r="C35" s="7"/>
      <c r="D35" s="7"/>
      <c r="E35" s="36">
        <v>102</v>
      </c>
      <c r="F35" s="36" t="s">
        <v>2070</v>
      </c>
      <c r="G35" s="36">
        <v>612221</v>
      </c>
      <c r="H35" s="36" t="s">
        <v>2354</v>
      </c>
      <c r="I35" s="37">
        <v>0.51636000000000004</v>
      </c>
      <c r="J35" s="7"/>
      <c r="K35" s="7" t="str">
        <f>VLOOKUP($E35,Mapping!$E$11:$I$96,3,0)</f>
        <v>Connections</v>
      </c>
      <c r="L35" s="7" t="str">
        <f>VLOOKUP($G35,Mapping!$E$140:$K$2771,5,0)</f>
        <v>Labour</v>
      </c>
      <c r="M35" s="7" t="str">
        <f>VLOOKUP($G35,Mapping!$E$140:$K$2771,7,0)</f>
        <v>ENDirect</v>
      </c>
      <c r="N35" s="7" t="str">
        <f>IFERROR(HLOOKUP(L35,'Calc|Weightings'!$K$5:$M$5,1,0),"Excl")</f>
        <v>Labour</v>
      </c>
      <c r="O35" s="7" t="str">
        <f>VLOOKUP(E35,Mapping!$E$11:$I$96,5,0)</f>
        <v>SCS</v>
      </c>
      <c r="Q35" s="33">
        <v>102</v>
      </c>
      <c r="R35" s="33" t="s">
        <v>2070</v>
      </c>
      <c r="S35" s="33">
        <v>613290</v>
      </c>
      <c r="T35" s="33" t="s">
        <v>2093</v>
      </c>
      <c r="U35" s="34">
        <v>424.16793999999999</v>
      </c>
      <c r="V35" s="7"/>
      <c r="W35" s="7" t="str">
        <f>VLOOKUP($Q35,Mapping!$E$11:$I$96,3,0)</f>
        <v>Connections</v>
      </c>
      <c r="X35" s="7" t="str">
        <f>VLOOKUP($S35,Mapping!$E$140:$K$2771,5,0)</f>
        <v>Labour</v>
      </c>
      <c r="Y35" s="7" t="str">
        <f>VLOOKUP($S35,Mapping!$E$140:$K$2771,7,0)</f>
        <v>ENDirect</v>
      </c>
      <c r="Z35" s="7" t="str">
        <f>IFERROR(HLOOKUP(X35,'Calc|Weightings'!$K$5:$M$5,1,0),"Excl")</f>
        <v>Labour</v>
      </c>
      <c r="AA35" s="7" t="str">
        <f>VLOOKUP(Q35,Mapping!$E$11:$I$96,5,0)</f>
        <v>SCS</v>
      </c>
      <c r="AC35" s="111">
        <v>102</v>
      </c>
      <c r="AD35" s="111" t="s">
        <v>2070</v>
      </c>
      <c r="AE35" s="111">
        <v>613291</v>
      </c>
      <c r="AF35" s="111" t="s">
        <v>2094</v>
      </c>
      <c r="AG35" s="112">
        <v>9.7609200000000005</v>
      </c>
      <c r="AI35" s="7" t="str">
        <f>VLOOKUP($AC35,Mapping!$E$11:$I$96,3,0)</f>
        <v>Connections</v>
      </c>
      <c r="AJ35" s="7" t="str">
        <f>VLOOKUP($AE35,Mapping!$E$140:$K$2771,5,0)</f>
        <v>Labour</v>
      </c>
      <c r="AK35" s="7" t="str">
        <f>VLOOKUP($AE35,Mapping!$E$140:$K$2771,7,0)</f>
        <v>ENDirect</v>
      </c>
      <c r="AL35" s="7" t="str">
        <f>IFERROR(HLOOKUP(AJ35,'Calc|Weightings'!$K$5:$M$5,1,0),"Excl")</f>
        <v>Labour</v>
      </c>
      <c r="AM35" s="7" t="str">
        <f>VLOOKUP(AC35,Mapping!$E$11:$I$96,5,0)</f>
        <v>SCS</v>
      </c>
      <c r="AO35" s="134">
        <v>102</v>
      </c>
      <c r="AP35" s="135" t="s">
        <v>2070</v>
      </c>
      <c r="AQ35" s="135">
        <v>613280</v>
      </c>
      <c r="AR35" s="135" t="s">
        <v>1342</v>
      </c>
      <c r="AS35" s="136">
        <v>128.84944999999999</v>
      </c>
      <c r="AU35" s="7" t="str">
        <f>VLOOKUP($AO35,Mapping!$E$11:$I$96,3,0)</f>
        <v>Connections</v>
      </c>
      <c r="AV35" s="7" t="str">
        <f>VLOOKUP($AQ35,Mapping!$E$140:$K$2771,5,0)</f>
        <v>Labour</v>
      </c>
      <c r="AW35" s="7" t="str">
        <f>VLOOKUP($AQ35,Mapping!$E$140:$K$2771,7,0)</f>
        <v>ENDirect</v>
      </c>
      <c r="AX35" s="7" t="str">
        <f>IFERROR(HLOOKUP(AV35,'Calc|Weightings'!$K$5:$M$5,1,0),"Excl")</f>
        <v>Labour</v>
      </c>
      <c r="AY35" s="7" t="str">
        <f>VLOOKUP(AO35,Mapping!$E$11:$I$96,5,0)</f>
        <v>SCS</v>
      </c>
    </row>
    <row r="36" spans="1:51" x14ac:dyDescent="0.2">
      <c r="A36" s="7"/>
      <c r="B36" s="7"/>
      <c r="C36" s="7"/>
      <c r="D36" s="7"/>
      <c r="E36" s="36">
        <v>102</v>
      </c>
      <c r="F36" s="36" t="s">
        <v>2070</v>
      </c>
      <c r="G36" s="36">
        <v>612460</v>
      </c>
      <c r="H36" s="36" t="s">
        <v>1243</v>
      </c>
      <c r="I36" s="37">
        <v>3.1733799999999999</v>
      </c>
      <c r="J36" s="7"/>
      <c r="K36" s="7" t="str">
        <f>VLOOKUP($E36,Mapping!$E$11:$I$96,3,0)</f>
        <v>Connections</v>
      </c>
      <c r="L36" s="7" t="str">
        <f>VLOOKUP($G36,Mapping!$E$140:$K$2771,5,0)</f>
        <v>Labour</v>
      </c>
      <c r="M36" s="7" t="str">
        <f>VLOOKUP($G36,Mapping!$E$140:$K$2771,7,0)</f>
        <v>ENDirect</v>
      </c>
      <c r="N36" s="7" t="str">
        <f>IFERROR(HLOOKUP(L36,'Calc|Weightings'!$K$5:$M$5,1,0),"Excl")</f>
        <v>Labour</v>
      </c>
      <c r="O36" s="7" t="str">
        <f>VLOOKUP(E36,Mapping!$E$11:$I$96,5,0)</f>
        <v>SCS</v>
      </c>
      <c r="Q36" s="33">
        <v>102</v>
      </c>
      <c r="R36" s="33" t="s">
        <v>2070</v>
      </c>
      <c r="S36" s="33">
        <v>613291</v>
      </c>
      <c r="T36" s="33" t="s">
        <v>2094</v>
      </c>
      <c r="U36" s="34">
        <v>10.452360000000001</v>
      </c>
      <c r="V36" s="7"/>
      <c r="W36" s="7" t="str">
        <f>VLOOKUP($Q36,Mapping!$E$11:$I$96,3,0)</f>
        <v>Connections</v>
      </c>
      <c r="X36" s="7" t="str">
        <f>VLOOKUP($S36,Mapping!$E$140:$K$2771,5,0)</f>
        <v>Labour</v>
      </c>
      <c r="Y36" s="7" t="str">
        <f>VLOOKUP($S36,Mapping!$E$140:$K$2771,7,0)</f>
        <v>ENDirect</v>
      </c>
      <c r="Z36" s="7" t="str">
        <f>IFERROR(HLOOKUP(X36,'Calc|Weightings'!$K$5:$M$5,1,0),"Excl")</f>
        <v>Labour</v>
      </c>
      <c r="AA36" s="7" t="str">
        <f>VLOOKUP(Q36,Mapping!$E$11:$I$96,5,0)</f>
        <v>SCS</v>
      </c>
      <c r="AC36" s="111">
        <v>102</v>
      </c>
      <c r="AD36" s="111" t="s">
        <v>2070</v>
      </c>
      <c r="AE36" s="111">
        <v>613298</v>
      </c>
      <c r="AF36" s="111" t="s">
        <v>2122</v>
      </c>
      <c r="AG36" s="112">
        <v>-1.72336</v>
      </c>
      <c r="AI36" s="7" t="str">
        <f>VLOOKUP($AC36,Mapping!$E$11:$I$96,3,0)</f>
        <v>Connections</v>
      </c>
      <c r="AJ36" s="7" t="str">
        <f>VLOOKUP($AE36,Mapping!$E$140:$K$2771,5,0)</f>
        <v>Labour</v>
      </c>
      <c r="AK36" s="7" t="str">
        <f>VLOOKUP($AE36,Mapping!$E$140:$K$2771,7,0)</f>
        <v>ENDirect</v>
      </c>
      <c r="AL36" s="7" t="str">
        <f>IFERROR(HLOOKUP(AJ36,'Calc|Weightings'!$K$5:$M$5,1,0),"Excl")</f>
        <v>Labour</v>
      </c>
      <c r="AM36" s="7" t="str">
        <f>VLOOKUP(AC36,Mapping!$E$11:$I$96,5,0)</f>
        <v>SCS</v>
      </c>
      <c r="AO36" s="134">
        <v>102</v>
      </c>
      <c r="AP36" s="135" t="s">
        <v>2070</v>
      </c>
      <c r="AQ36" s="135">
        <v>613281</v>
      </c>
      <c r="AR36" s="135" t="s">
        <v>1343</v>
      </c>
      <c r="AS36" s="136">
        <v>10.44467</v>
      </c>
      <c r="AU36" s="7" t="str">
        <f>VLOOKUP($AO36,Mapping!$E$11:$I$96,3,0)</f>
        <v>Connections</v>
      </c>
      <c r="AV36" s="7" t="str">
        <f>VLOOKUP($AQ36,Mapping!$E$140:$K$2771,5,0)</f>
        <v>Labour</v>
      </c>
      <c r="AW36" s="7" t="str">
        <f>VLOOKUP($AQ36,Mapping!$E$140:$K$2771,7,0)</f>
        <v>ENDirect</v>
      </c>
      <c r="AX36" s="7" t="str">
        <f>IFERROR(HLOOKUP(AV36,'Calc|Weightings'!$K$5:$M$5,1,0),"Excl")</f>
        <v>Labour</v>
      </c>
      <c r="AY36" s="7" t="str">
        <f>VLOOKUP(AO36,Mapping!$E$11:$I$96,5,0)</f>
        <v>SCS</v>
      </c>
    </row>
    <row r="37" spans="1:51" x14ac:dyDescent="0.2">
      <c r="A37" s="7"/>
      <c r="B37" s="7"/>
      <c r="C37" s="7"/>
      <c r="D37" s="7"/>
      <c r="E37" s="36">
        <v>102</v>
      </c>
      <c r="F37" s="36" t="s">
        <v>2070</v>
      </c>
      <c r="G37" s="36">
        <v>613240</v>
      </c>
      <c r="H37" s="36" t="s">
        <v>2082</v>
      </c>
      <c r="I37" s="37">
        <v>5.3552400000000002</v>
      </c>
      <c r="J37" s="7"/>
      <c r="K37" s="7" t="str">
        <f>VLOOKUP($E37,Mapping!$E$11:$I$96,3,0)</f>
        <v>Connections</v>
      </c>
      <c r="L37" s="7" t="str">
        <f>VLOOKUP($G37,Mapping!$E$140:$K$2771,5,0)</f>
        <v>Labour</v>
      </c>
      <c r="M37" s="7" t="str">
        <f>VLOOKUP($G37,Mapping!$E$140:$K$2771,7,0)</f>
        <v>ENDirect</v>
      </c>
      <c r="N37" s="7" t="str">
        <f>IFERROR(HLOOKUP(L37,'Calc|Weightings'!$K$5:$M$5,1,0),"Excl")</f>
        <v>Labour</v>
      </c>
      <c r="O37" s="7" t="str">
        <f>VLOOKUP(E37,Mapping!$E$11:$I$96,5,0)</f>
        <v>SCS</v>
      </c>
      <c r="Q37" s="33">
        <v>102</v>
      </c>
      <c r="R37" s="33" t="s">
        <v>2070</v>
      </c>
      <c r="S37" s="33">
        <v>613298</v>
      </c>
      <c r="T37" s="33" t="s">
        <v>2122</v>
      </c>
      <c r="U37" s="34">
        <v>180.00631000000001</v>
      </c>
      <c r="V37" s="7"/>
      <c r="W37" s="7" t="str">
        <f>VLOOKUP($Q37,Mapping!$E$11:$I$96,3,0)</f>
        <v>Connections</v>
      </c>
      <c r="X37" s="7" t="str">
        <f>VLOOKUP($S37,Mapping!$E$140:$K$2771,5,0)</f>
        <v>Labour</v>
      </c>
      <c r="Y37" s="7" t="str">
        <f>VLOOKUP($S37,Mapping!$E$140:$K$2771,7,0)</f>
        <v>ENDirect</v>
      </c>
      <c r="Z37" s="7" t="str">
        <f>IFERROR(HLOOKUP(X37,'Calc|Weightings'!$K$5:$M$5,1,0),"Excl")</f>
        <v>Labour</v>
      </c>
      <c r="AA37" s="7" t="str">
        <f>VLOOKUP(Q37,Mapping!$E$11:$I$96,5,0)</f>
        <v>SCS</v>
      </c>
      <c r="AC37" s="111">
        <v>102</v>
      </c>
      <c r="AD37" s="111" t="s">
        <v>2070</v>
      </c>
      <c r="AE37" s="111">
        <v>613310</v>
      </c>
      <c r="AF37" s="111" t="s">
        <v>2095</v>
      </c>
      <c r="AG37" s="112">
        <v>3.7002700000000002</v>
      </c>
      <c r="AI37" s="7" t="str">
        <f>VLOOKUP($AC37,Mapping!$E$11:$I$96,3,0)</f>
        <v>Connections</v>
      </c>
      <c r="AJ37" s="7" t="str">
        <f>VLOOKUP($AE37,Mapping!$E$140:$K$2771,5,0)</f>
        <v>Labour</v>
      </c>
      <c r="AK37" s="7" t="str">
        <f>VLOOKUP($AE37,Mapping!$E$140:$K$2771,7,0)</f>
        <v>ENDirect</v>
      </c>
      <c r="AL37" s="7" t="str">
        <f>IFERROR(HLOOKUP(AJ37,'Calc|Weightings'!$K$5:$M$5,1,0),"Excl")</f>
        <v>Labour</v>
      </c>
      <c r="AM37" s="7" t="str">
        <f>VLOOKUP(AC37,Mapping!$E$11:$I$96,5,0)</f>
        <v>SCS</v>
      </c>
      <c r="AO37" s="134">
        <v>102</v>
      </c>
      <c r="AP37" s="135" t="s">
        <v>2070</v>
      </c>
      <c r="AQ37" s="135">
        <v>613290</v>
      </c>
      <c r="AR37" s="135" t="s">
        <v>2093</v>
      </c>
      <c r="AS37" s="136">
        <v>237.60625999999999</v>
      </c>
      <c r="AU37" s="7" t="str">
        <f>VLOOKUP($AO37,Mapping!$E$11:$I$96,3,0)</f>
        <v>Connections</v>
      </c>
      <c r="AV37" s="7" t="str">
        <f>VLOOKUP($AQ37,Mapping!$E$140:$K$2771,5,0)</f>
        <v>Labour</v>
      </c>
      <c r="AW37" s="7" t="str">
        <f>VLOOKUP($AQ37,Mapping!$E$140:$K$2771,7,0)</f>
        <v>ENDirect</v>
      </c>
      <c r="AX37" s="7" t="str">
        <f>IFERROR(HLOOKUP(AV37,'Calc|Weightings'!$K$5:$M$5,1,0),"Excl")</f>
        <v>Labour</v>
      </c>
      <c r="AY37" s="7" t="str">
        <f>VLOOKUP(AO37,Mapping!$E$11:$I$96,5,0)</f>
        <v>SCS</v>
      </c>
    </row>
    <row r="38" spans="1:51" x14ac:dyDescent="0.2">
      <c r="A38" s="7"/>
      <c r="B38" s="7"/>
      <c r="C38" s="7"/>
      <c r="D38" s="7"/>
      <c r="E38" s="36">
        <v>102</v>
      </c>
      <c r="F38" s="36" t="s">
        <v>2070</v>
      </c>
      <c r="G38" s="36">
        <v>613248</v>
      </c>
      <c r="H38" s="36" t="s">
        <v>2383</v>
      </c>
      <c r="I38" s="37">
        <v>57.264600000000002</v>
      </c>
      <c r="J38" s="7"/>
      <c r="K38" s="7" t="str">
        <f>VLOOKUP($E38,Mapping!$E$11:$I$96,3,0)</f>
        <v>Connections</v>
      </c>
      <c r="L38" s="7" t="str">
        <f>VLOOKUP($G38,Mapping!$E$140:$K$2771,5,0)</f>
        <v>Labour</v>
      </c>
      <c r="M38" s="7" t="str">
        <f>VLOOKUP($G38,Mapping!$E$140:$K$2771,7,0)</f>
        <v>ENDirect</v>
      </c>
      <c r="N38" s="7" t="str">
        <f>IFERROR(HLOOKUP(L38,'Calc|Weightings'!$K$5:$M$5,1,0),"Excl")</f>
        <v>Labour</v>
      </c>
      <c r="O38" s="7" t="str">
        <f>VLOOKUP(E38,Mapping!$E$11:$I$96,5,0)</f>
        <v>SCS</v>
      </c>
      <c r="Q38" s="33">
        <v>102</v>
      </c>
      <c r="R38" s="33" t="s">
        <v>2070</v>
      </c>
      <c r="S38" s="33">
        <v>613350</v>
      </c>
      <c r="T38" s="33" t="s">
        <v>2096</v>
      </c>
      <c r="U38" s="34">
        <v>14.42314</v>
      </c>
      <c r="V38" s="7"/>
      <c r="W38" s="7" t="str">
        <f>VLOOKUP($Q38,Mapping!$E$11:$I$96,3,0)</f>
        <v>Connections</v>
      </c>
      <c r="X38" s="7" t="str">
        <f>VLOOKUP($S38,Mapping!$E$140:$K$2771,5,0)</f>
        <v>Labour</v>
      </c>
      <c r="Y38" s="7" t="str">
        <f>VLOOKUP($S38,Mapping!$E$140:$K$2771,7,0)</f>
        <v>ENDirect</v>
      </c>
      <c r="Z38" s="7" t="str">
        <f>IFERROR(HLOOKUP(X38,'Calc|Weightings'!$K$5:$M$5,1,0),"Excl")</f>
        <v>Labour</v>
      </c>
      <c r="AA38" s="7" t="str">
        <f>VLOOKUP(Q38,Mapping!$E$11:$I$96,5,0)</f>
        <v>SCS</v>
      </c>
      <c r="AC38" s="111">
        <v>102</v>
      </c>
      <c r="AD38" s="111" t="s">
        <v>2070</v>
      </c>
      <c r="AE38" s="111">
        <v>613350</v>
      </c>
      <c r="AF38" s="111" t="s">
        <v>2096</v>
      </c>
      <c r="AG38" s="112">
        <v>1.43957</v>
      </c>
      <c r="AI38" s="7" t="str">
        <f>VLOOKUP($AC38,Mapping!$E$11:$I$96,3,0)</f>
        <v>Connections</v>
      </c>
      <c r="AJ38" s="7" t="str">
        <f>VLOOKUP($AE38,Mapping!$E$140:$K$2771,5,0)</f>
        <v>Labour</v>
      </c>
      <c r="AK38" s="7" t="str">
        <f>VLOOKUP($AE38,Mapping!$E$140:$K$2771,7,0)</f>
        <v>ENDirect</v>
      </c>
      <c r="AL38" s="7" t="str">
        <f>IFERROR(HLOOKUP(AJ38,'Calc|Weightings'!$K$5:$M$5,1,0),"Excl")</f>
        <v>Labour</v>
      </c>
      <c r="AM38" s="7" t="str">
        <f>VLOOKUP(AC38,Mapping!$E$11:$I$96,5,0)</f>
        <v>SCS</v>
      </c>
      <c r="AO38" s="134">
        <v>102</v>
      </c>
      <c r="AP38" s="135" t="s">
        <v>2070</v>
      </c>
      <c r="AQ38" s="135">
        <v>613291</v>
      </c>
      <c r="AR38" s="135" t="s">
        <v>2094</v>
      </c>
      <c r="AS38" s="136">
        <v>12.79904</v>
      </c>
      <c r="AU38" s="7" t="str">
        <f>VLOOKUP($AO38,Mapping!$E$11:$I$96,3,0)</f>
        <v>Connections</v>
      </c>
      <c r="AV38" s="7" t="str">
        <f>VLOOKUP($AQ38,Mapping!$E$140:$K$2771,5,0)</f>
        <v>Labour</v>
      </c>
      <c r="AW38" s="7" t="str">
        <f>VLOOKUP($AQ38,Mapping!$E$140:$K$2771,7,0)</f>
        <v>ENDirect</v>
      </c>
      <c r="AX38" s="7" t="str">
        <f>IFERROR(HLOOKUP(AV38,'Calc|Weightings'!$K$5:$M$5,1,0),"Excl")</f>
        <v>Labour</v>
      </c>
      <c r="AY38" s="7" t="str">
        <f>VLOOKUP(AO38,Mapping!$E$11:$I$96,5,0)</f>
        <v>SCS</v>
      </c>
    </row>
    <row r="39" spans="1:51" x14ac:dyDescent="0.2">
      <c r="A39" s="7"/>
      <c r="B39" s="7"/>
      <c r="C39" s="7"/>
      <c r="D39" s="7"/>
      <c r="E39" s="36">
        <v>102</v>
      </c>
      <c r="F39" s="36" t="s">
        <v>2070</v>
      </c>
      <c r="G39" s="36">
        <v>613249</v>
      </c>
      <c r="H39" s="36" t="s">
        <v>2384</v>
      </c>
      <c r="I39" s="37">
        <v>3.5295899999999998</v>
      </c>
      <c r="J39" s="7"/>
      <c r="K39" s="7" t="str">
        <f>VLOOKUP($E39,Mapping!$E$11:$I$96,3,0)</f>
        <v>Connections</v>
      </c>
      <c r="L39" s="7" t="str">
        <f>VLOOKUP($G39,Mapping!$E$140:$K$2771,5,0)</f>
        <v>Labour</v>
      </c>
      <c r="M39" s="7" t="str">
        <f>VLOOKUP($G39,Mapping!$E$140:$K$2771,7,0)</f>
        <v>ENDirect</v>
      </c>
      <c r="N39" s="7" t="str">
        <f>IFERROR(HLOOKUP(L39,'Calc|Weightings'!$K$5:$M$5,1,0),"Excl")</f>
        <v>Labour</v>
      </c>
      <c r="O39" s="7" t="str">
        <f>VLOOKUP(E39,Mapping!$E$11:$I$96,5,0)</f>
        <v>SCS</v>
      </c>
      <c r="Q39" s="33">
        <v>102</v>
      </c>
      <c r="R39" s="33" t="s">
        <v>2070</v>
      </c>
      <c r="S39" s="33">
        <v>613360</v>
      </c>
      <c r="T39" s="33" t="s">
        <v>2097</v>
      </c>
      <c r="U39" s="34">
        <v>82.305930000000004</v>
      </c>
      <c r="V39" s="7"/>
      <c r="W39" s="7" t="str">
        <f>VLOOKUP($Q39,Mapping!$E$11:$I$96,3,0)</f>
        <v>Connections</v>
      </c>
      <c r="X39" s="7" t="str">
        <f>VLOOKUP($S39,Mapping!$E$140:$K$2771,5,0)</f>
        <v>Labour</v>
      </c>
      <c r="Y39" s="7" t="str">
        <f>VLOOKUP($S39,Mapping!$E$140:$K$2771,7,0)</f>
        <v>ENDirect</v>
      </c>
      <c r="Z39" s="7" t="str">
        <f>IFERROR(HLOOKUP(X39,'Calc|Weightings'!$K$5:$M$5,1,0),"Excl")</f>
        <v>Labour</v>
      </c>
      <c r="AA39" s="7" t="str">
        <f>VLOOKUP(Q39,Mapping!$E$11:$I$96,5,0)</f>
        <v>SCS</v>
      </c>
      <c r="AC39" s="111">
        <v>102</v>
      </c>
      <c r="AD39" s="111" t="s">
        <v>2070</v>
      </c>
      <c r="AE39" s="111">
        <v>613351</v>
      </c>
      <c r="AF39" s="111" t="s">
        <v>2151</v>
      </c>
      <c r="AG39" s="112">
        <v>0.19550000000000001</v>
      </c>
      <c r="AI39" s="7" t="str">
        <f>VLOOKUP($AC39,Mapping!$E$11:$I$96,3,0)</f>
        <v>Connections</v>
      </c>
      <c r="AJ39" s="7" t="str">
        <f>VLOOKUP($AE39,Mapping!$E$140:$K$2771,5,0)</f>
        <v>Labour</v>
      </c>
      <c r="AK39" s="7" t="str">
        <f>VLOOKUP($AE39,Mapping!$E$140:$K$2771,7,0)</f>
        <v>ENDirect</v>
      </c>
      <c r="AL39" s="7" t="str">
        <f>IFERROR(HLOOKUP(AJ39,'Calc|Weightings'!$K$5:$M$5,1,0),"Excl")</f>
        <v>Labour</v>
      </c>
      <c r="AM39" s="7" t="str">
        <f>VLOOKUP(AC39,Mapping!$E$11:$I$96,5,0)</f>
        <v>SCS</v>
      </c>
      <c r="AO39" s="134">
        <v>102</v>
      </c>
      <c r="AP39" s="135" t="s">
        <v>2070</v>
      </c>
      <c r="AQ39" s="135">
        <v>613310</v>
      </c>
      <c r="AR39" s="135" t="s">
        <v>2095</v>
      </c>
      <c r="AS39" s="136">
        <v>0.15371000000000001</v>
      </c>
      <c r="AU39" s="7" t="str">
        <f>VLOOKUP($AO39,Mapping!$E$11:$I$96,3,0)</f>
        <v>Connections</v>
      </c>
      <c r="AV39" s="7" t="str">
        <f>VLOOKUP($AQ39,Mapping!$E$140:$K$2771,5,0)</f>
        <v>Labour</v>
      </c>
      <c r="AW39" s="7" t="str">
        <f>VLOOKUP($AQ39,Mapping!$E$140:$K$2771,7,0)</f>
        <v>ENDirect</v>
      </c>
      <c r="AX39" s="7" t="str">
        <f>IFERROR(HLOOKUP(AV39,'Calc|Weightings'!$K$5:$M$5,1,0),"Excl")</f>
        <v>Labour</v>
      </c>
      <c r="AY39" s="7" t="str">
        <f>VLOOKUP(AO39,Mapping!$E$11:$I$96,5,0)</f>
        <v>SCS</v>
      </c>
    </row>
    <row r="40" spans="1:51" x14ac:dyDescent="0.2">
      <c r="A40" s="7"/>
      <c r="B40" s="7"/>
      <c r="C40" s="7"/>
      <c r="D40" s="7"/>
      <c r="E40" s="36">
        <v>102</v>
      </c>
      <c r="F40" s="36" t="s">
        <v>2070</v>
      </c>
      <c r="G40" s="36">
        <v>613250</v>
      </c>
      <c r="H40" s="36" t="s">
        <v>2086</v>
      </c>
      <c r="I40" s="37">
        <v>3.9942000000000002</v>
      </c>
      <c r="J40" s="7"/>
      <c r="K40" s="7" t="str">
        <f>VLOOKUP($E40,Mapping!$E$11:$I$96,3,0)</f>
        <v>Connections</v>
      </c>
      <c r="L40" s="7" t="str">
        <f>VLOOKUP($G40,Mapping!$E$140:$K$2771,5,0)</f>
        <v>Labour</v>
      </c>
      <c r="M40" s="7" t="str">
        <f>VLOOKUP($G40,Mapping!$E$140:$K$2771,7,0)</f>
        <v>ENDirect</v>
      </c>
      <c r="N40" s="7" t="str">
        <f>IFERROR(HLOOKUP(L40,'Calc|Weightings'!$K$5:$M$5,1,0),"Excl")</f>
        <v>Labour</v>
      </c>
      <c r="O40" s="7" t="str">
        <f>VLOOKUP(E40,Mapping!$E$11:$I$96,5,0)</f>
        <v>SCS</v>
      </c>
      <c r="Q40" s="33">
        <v>102</v>
      </c>
      <c r="R40" s="33" t="s">
        <v>2070</v>
      </c>
      <c r="S40" s="33">
        <v>613361</v>
      </c>
      <c r="T40" s="33" t="s">
        <v>2098</v>
      </c>
      <c r="U40" s="34">
        <v>0.66039000000000003</v>
      </c>
      <c r="V40" s="7"/>
      <c r="W40" s="7" t="str">
        <f>VLOOKUP($Q40,Mapping!$E$11:$I$96,3,0)</f>
        <v>Connections</v>
      </c>
      <c r="X40" s="7" t="str">
        <f>VLOOKUP($S40,Mapping!$E$140:$K$2771,5,0)</f>
        <v>Labour</v>
      </c>
      <c r="Y40" s="7" t="str">
        <f>VLOOKUP($S40,Mapping!$E$140:$K$2771,7,0)</f>
        <v>ENDirect</v>
      </c>
      <c r="Z40" s="7" t="str">
        <f>IFERROR(HLOOKUP(X40,'Calc|Weightings'!$K$5:$M$5,1,0),"Excl")</f>
        <v>Labour</v>
      </c>
      <c r="AA40" s="7" t="str">
        <f>VLOOKUP(Q40,Mapping!$E$11:$I$96,5,0)</f>
        <v>SCS</v>
      </c>
      <c r="AC40" s="111">
        <v>102</v>
      </c>
      <c r="AD40" s="111" t="s">
        <v>2070</v>
      </c>
      <c r="AE40" s="111">
        <v>613360</v>
      </c>
      <c r="AF40" s="111" t="s">
        <v>2097</v>
      </c>
      <c r="AG40" s="112">
        <v>27.843599999999999</v>
      </c>
      <c r="AI40" s="7" t="str">
        <f>VLOOKUP($AC40,Mapping!$E$11:$I$96,3,0)</f>
        <v>Connections</v>
      </c>
      <c r="AJ40" s="7" t="str">
        <f>VLOOKUP($AE40,Mapping!$E$140:$K$2771,5,0)</f>
        <v>Labour</v>
      </c>
      <c r="AK40" s="7" t="str">
        <f>VLOOKUP($AE40,Mapping!$E$140:$K$2771,7,0)</f>
        <v>ENDirect</v>
      </c>
      <c r="AL40" s="7" t="str">
        <f>IFERROR(HLOOKUP(AJ40,'Calc|Weightings'!$K$5:$M$5,1,0),"Excl")</f>
        <v>Labour</v>
      </c>
      <c r="AM40" s="7" t="str">
        <f>VLOOKUP(AC40,Mapping!$E$11:$I$96,5,0)</f>
        <v>SCS</v>
      </c>
      <c r="AO40" s="134">
        <v>102</v>
      </c>
      <c r="AP40" s="135" t="s">
        <v>2070</v>
      </c>
      <c r="AQ40" s="135">
        <v>613350</v>
      </c>
      <c r="AR40" s="135" t="s">
        <v>2096</v>
      </c>
      <c r="AS40" s="136">
        <v>33.887070000000001</v>
      </c>
      <c r="AU40" s="7" t="str">
        <f>VLOOKUP($AO40,Mapping!$E$11:$I$96,3,0)</f>
        <v>Connections</v>
      </c>
      <c r="AV40" s="7" t="str">
        <f>VLOOKUP($AQ40,Mapping!$E$140:$K$2771,5,0)</f>
        <v>Labour</v>
      </c>
      <c r="AW40" s="7" t="str">
        <f>VLOOKUP($AQ40,Mapping!$E$140:$K$2771,7,0)</f>
        <v>ENDirect</v>
      </c>
      <c r="AX40" s="7" t="str">
        <f>IFERROR(HLOOKUP(AV40,'Calc|Weightings'!$K$5:$M$5,1,0),"Excl")</f>
        <v>Labour</v>
      </c>
      <c r="AY40" s="7" t="str">
        <f>VLOOKUP(AO40,Mapping!$E$11:$I$96,5,0)</f>
        <v>SCS</v>
      </c>
    </row>
    <row r="41" spans="1:51" x14ac:dyDescent="0.2">
      <c r="A41" s="7"/>
      <c r="B41" s="7"/>
      <c r="C41" s="7"/>
      <c r="D41" s="7"/>
      <c r="E41" s="36">
        <v>102</v>
      </c>
      <c r="F41" s="36" t="s">
        <v>2070</v>
      </c>
      <c r="G41" s="36">
        <v>613258</v>
      </c>
      <c r="H41" s="36" t="s">
        <v>2356</v>
      </c>
      <c r="I41" s="37">
        <v>36.879779999999997</v>
      </c>
      <c r="J41" s="7"/>
      <c r="K41" s="7" t="str">
        <f>VLOOKUP($E41,Mapping!$E$11:$I$96,3,0)</f>
        <v>Connections</v>
      </c>
      <c r="L41" s="7" t="str">
        <f>VLOOKUP($G41,Mapping!$E$140:$K$2771,5,0)</f>
        <v>Labour</v>
      </c>
      <c r="M41" s="7" t="str">
        <f>VLOOKUP($G41,Mapping!$E$140:$K$2771,7,0)</f>
        <v>ENDirect</v>
      </c>
      <c r="N41" s="7" t="str">
        <f>IFERROR(HLOOKUP(L41,'Calc|Weightings'!$K$5:$M$5,1,0),"Excl")</f>
        <v>Labour</v>
      </c>
      <c r="O41" s="7" t="str">
        <f>VLOOKUP(E41,Mapping!$E$11:$I$96,5,0)</f>
        <v>SCS</v>
      </c>
      <c r="Q41" s="33">
        <v>102</v>
      </c>
      <c r="R41" s="33" t="s">
        <v>2070</v>
      </c>
      <c r="S41" s="33">
        <v>613366</v>
      </c>
      <c r="T41" s="33" t="s">
        <v>1400</v>
      </c>
      <c r="U41" s="34">
        <v>5.7954600000000003</v>
      </c>
      <c r="V41" s="7"/>
      <c r="W41" s="7" t="str">
        <f>VLOOKUP($Q41,Mapping!$E$11:$I$96,3,0)</f>
        <v>Connections</v>
      </c>
      <c r="X41" s="7" t="str">
        <f>VLOOKUP($S41,Mapping!$E$140:$K$2771,5,0)</f>
        <v>Labour</v>
      </c>
      <c r="Y41" s="7" t="str">
        <f>VLOOKUP($S41,Mapping!$E$140:$K$2771,7,0)</f>
        <v>ENDirect</v>
      </c>
      <c r="Z41" s="7" t="str">
        <f>IFERROR(HLOOKUP(X41,'Calc|Weightings'!$K$5:$M$5,1,0),"Excl")</f>
        <v>Labour</v>
      </c>
      <c r="AA41" s="7" t="str">
        <f>VLOOKUP(Q41,Mapping!$E$11:$I$96,5,0)</f>
        <v>SCS</v>
      </c>
      <c r="AC41" s="111">
        <v>102</v>
      </c>
      <c r="AD41" s="111" t="s">
        <v>2070</v>
      </c>
      <c r="AE41" s="111">
        <v>613361</v>
      </c>
      <c r="AF41" s="111" t="s">
        <v>2098</v>
      </c>
      <c r="AG41" s="112">
        <v>0.60492999999999997</v>
      </c>
      <c r="AI41" s="7" t="str">
        <f>VLOOKUP($AC41,Mapping!$E$11:$I$96,3,0)</f>
        <v>Connections</v>
      </c>
      <c r="AJ41" s="7" t="str">
        <f>VLOOKUP($AE41,Mapping!$E$140:$K$2771,5,0)</f>
        <v>Labour</v>
      </c>
      <c r="AK41" s="7" t="str">
        <f>VLOOKUP($AE41,Mapping!$E$140:$K$2771,7,0)</f>
        <v>ENDirect</v>
      </c>
      <c r="AL41" s="7" t="str">
        <f>IFERROR(HLOOKUP(AJ41,'Calc|Weightings'!$K$5:$M$5,1,0),"Excl")</f>
        <v>Labour</v>
      </c>
      <c r="AM41" s="7" t="str">
        <f>VLOOKUP(AC41,Mapping!$E$11:$I$96,5,0)</f>
        <v>SCS</v>
      </c>
      <c r="AO41" s="134">
        <v>102</v>
      </c>
      <c r="AP41" s="135" t="s">
        <v>2070</v>
      </c>
      <c r="AQ41" s="135">
        <v>613360</v>
      </c>
      <c r="AR41" s="135" t="s">
        <v>2097</v>
      </c>
      <c r="AS41" s="136">
        <v>44.95093</v>
      </c>
      <c r="AU41" s="7" t="str">
        <f>VLOOKUP($AO41,Mapping!$E$11:$I$96,3,0)</f>
        <v>Connections</v>
      </c>
      <c r="AV41" s="7" t="str">
        <f>VLOOKUP($AQ41,Mapping!$E$140:$K$2771,5,0)</f>
        <v>Labour</v>
      </c>
      <c r="AW41" s="7" t="str">
        <f>VLOOKUP($AQ41,Mapping!$E$140:$K$2771,7,0)</f>
        <v>ENDirect</v>
      </c>
      <c r="AX41" s="7" t="str">
        <f>IFERROR(HLOOKUP(AV41,'Calc|Weightings'!$K$5:$M$5,1,0),"Excl")</f>
        <v>Labour</v>
      </c>
      <c r="AY41" s="7" t="str">
        <f>VLOOKUP(AO41,Mapping!$E$11:$I$96,5,0)</f>
        <v>SCS</v>
      </c>
    </row>
    <row r="42" spans="1:51" x14ac:dyDescent="0.2">
      <c r="A42" s="7"/>
      <c r="B42" s="7"/>
      <c r="C42" s="7"/>
      <c r="D42" s="7"/>
      <c r="E42" s="36">
        <v>102</v>
      </c>
      <c r="F42" s="36" t="s">
        <v>2070</v>
      </c>
      <c r="G42" s="36">
        <v>613259</v>
      </c>
      <c r="H42" s="36" t="s">
        <v>2359</v>
      </c>
      <c r="I42" s="37">
        <v>1.94384</v>
      </c>
      <c r="J42" s="7"/>
      <c r="K42" s="7" t="str">
        <f>VLOOKUP($E42,Mapping!$E$11:$I$96,3,0)</f>
        <v>Connections</v>
      </c>
      <c r="L42" s="7" t="str">
        <f>VLOOKUP($G42,Mapping!$E$140:$K$2771,5,0)</f>
        <v>Labour</v>
      </c>
      <c r="M42" s="7" t="str">
        <f>VLOOKUP($G42,Mapping!$E$140:$K$2771,7,0)</f>
        <v>ENDirect</v>
      </c>
      <c r="N42" s="7" t="str">
        <f>IFERROR(HLOOKUP(L42,'Calc|Weightings'!$K$5:$M$5,1,0),"Excl")</f>
        <v>Labour</v>
      </c>
      <c r="O42" s="7" t="str">
        <f>VLOOKUP(E42,Mapping!$E$11:$I$96,5,0)</f>
        <v>SCS</v>
      </c>
      <c r="Q42" s="33">
        <v>102</v>
      </c>
      <c r="R42" s="33" t="s">
        <v>2070</v>
      </c>
      <c r="S42" s="33">
        <v>613371</v>
      </c>
      <c r="T42" s="33" t="s">
        <v>1403</v>
      </c>
      <c r="U42" s="34">
        <v>0.77329999999999999</v>
      </c>
      <c r="V42" s="7"/>
      <c r="W42" s="7" t="str">
        <f>VLOOKUP($Q42,Mapping!$E$11:$I$96,3,0)</f>
        <v>Connections</v>
      </c>
      <c r="X42" s="7" t="str">
        <f>VLOOKUP($S42,Mapping!$E$140:$K$2771,5,0)</f>
        <v>Labour</v>
      </c>
      <c r="Y42" s="7" t="str">
        <f>VLOOKUP($S42,Mapping!$E$140:$K$2771,7,0)</f>
        <v>ENDirect</v>
      </c>
      <c r="Z42" s="7" t="str">
        <f>IFERROR(HLOOKUP(X42,'Calc|Weightings'!$K$5:$M$5,1,0),"Excl")</f>
        <v>Labour</v>
      </c>
      <c r="AA42" s="7" t="str">
        <f>VLOOKUP(Q42,Mapping!$E$11:$I$96,5,0)</f>
        <v>SCS</v>
      </c>
      <c r="AC42" s="111">
        <v>102</v>
      </c>
      <c r="AD42" s="111" t="s">
        <v>2070</v>
      </c>
      <c r="AE42" s="111">
        <v>613370</v>
      </c>
      <c r="AF42" s="111" t="s">
        <v>1402</v>
      </c>
      <c r="AG42" s="112">
        <v>5.4781199999999997</v>
      </c>
      <c r="AI42" s="7" t="str">
        <f>VLOOKUP($AC42,Mapping!$E$11:$I$96,3,0)</f>
        <v>Connections</v>
      </c>
      <c r="AJ42" s="7" t="str">
        <f>VLOOKUP($AE42,Mapping!$E$140:$K$2771,5,0)</f>
        <v>Labour</v>
      </c>
      <c r="AK42" s="7" t="str">
        <f>VLOOKUP($AE42,Mapping!$E$140:$K$2771,7,0)</f>
        <v>ENDirect</v>
      </c>
      <c r="AL42" s="7" t="str">
        <f>IFERROR(HLOOKUP(AJ42,'Calc|Weightings'!$K$5:$M$5,1,0),"Excl")</f>
        <v>Labour</v>
      </c>
      <c r="AM42" s="7" t="str">
        <f>VLOOKUP(AC42,Mapping!$E$11:$I$96,5,0)</f>
        <v>SCS</v>
      </c>
      <c r="AO42" s="134">
        <v>102</v>
      </c>
      <c r="AP42" s="135" t="s">
        <v>2070</v>
      </c>
      <c r="AQ42" s="135">
        <v>613370</v>
      </c>
      <c r="AR42" s="135" t="s">
        <v>1402</v>
      </c>
      <c r="AS42" s="136">
        <v>1.1456999999999999</v>
      </c>
      <c r="AU42" s="7" t="str">
        <f>VLOOKUP($AO42,Mapping!$E$11:$I$96,3,0)</f>
        <v>Connections</v>
      </c>
      <c r="AV42" s="7" t="str">
        <f>VLOOKUP($AQ42,Mapping!$E$140:$K$2771,5,0)</f>
        <v>Labour</v>
      </c>
      <c r="AW42" s="7" t="str">
        <f>VLOOKUP($AQ42,Mapping!$E$140:$K$2771,7,0)</f>
        <v>ENDirect</v>
      </c>
      <c r="AX42" s="7" t="str">
        <f>IFERROR(HLOOKUP(AV42,'Calc|Weightings'!$K$5:$M$5,1,0),"Excl")</f>
        <v>Labour</v>
      </c>
      <c r="AY42" s="7" t="str">
        <f>VLOOKUP(AO42,Mapping!$E$11:$I$96,5,0)</f>
        <v>SCS</v>
      </c>
    </row>
    <row r="43" spans="1:51" x14ac:dyDescent="0.2">
      <c r="A43" s="7"/>
      <c r="B43" s="7"/>
      <c r="C43" s="7"/>
      <c r="D43" s="7"/>
      <c r="E43" s="36">
        <v>102</v>
      </c>
      <c r="F43" s="36" t="s">
        <v>2070</v>
      </c>
      <c r="G43" s="36">
        <v>613268</v>
      </c>
      <c r="H43" s="36" t="s">
        <v>1335</v>
      </c>
      <c r="I43" s="37">
        <v>1.5119</v>
      </c>
      <c r="J43" s="7"/>
      <c r="K43" s="7" t="str">
        <f>VLOOKUP($E43,Mapping!$E$11:$I$96,3,0)</f>
        <v>Connections</v>
      </c>
      <c r="L43" s="7" t="str">
        <f>VLOOKUP($G43,Mapping!$E$140:$K$2771,5,0)</f>
        <v>Labour</v>
      </c>
      <c r="M43" s="7" t="str">
        <f>VLOOKUP($G43,Mapping!$E$140:$K$2771,7,0)</f>
        <v>ENDirect</v>
      </c>
      <c r="N43" s="7" t="str">
        <f>IFERROR(HLOOKUP(L43,'Calc|Weightings'!$K$5:$M$5,1,0),"Excl")</f>
        <v>Labour</v>
      </c>
      <c r="O43" s="7" t="str">
        <f>VLOOKUP(E43,Mapping!$E$11:$I$96,5,0)</f>
        <v>SCS</v>
      </c>
      <c r="Q43" s="33">
        <v>102</v>
      </c>
      <c r="R43" s="33" t="s">
        <v>2070</v>
      </c>
      <c r="S43" s="33">
        <v>613400</v>
      </c>
      <c r="T43" s="33" t="s">
        <v>2099</v>
      </c>
      <c r="U43" s="34">
        <v>32.311109999999999</v>
      </c>
      <c r="V43" s="7"/>
      <c r="W43" s="7" t="str">
        <f>VLOOKUP($Q43,Mapping!$E$11:$I$96,3,0)</f>
        <v>Connections</v>
      </c>
      <c r="X43" s="7" t="str">
        <f>VLOOKUP($S43,Mapping!$E$140:$K$2771,5,0)</f>
        <v>Labour</v>
      </c>
      <c r="Y43" s="7" t="str">
        <f>VLOOKUP($S43,Mapping!$E$140:$K$2771,7,0)</f>
        <v>ENDirect</v>
      </c>
      <c r="Z43" s="7" t="str">
        <f>IFERROR(HLOOKUP(X43,'Calc|Weightings'!$K$5:$M$5,1,0),"Excl")</f>
        <v>Labour</v>
      </c>
      <c r="AA43" s="7" t="str">
        <f>VLOOKUP(Q43,Mapping!$E$11:$I$96,5,0)</f>
        <v>SCS</v>
      </c>
      <c r="AC43" s="111">
        <v>102</v>
      </c>
      <c r="AD43" s="111" t="s">
        <v>2070</v>
      </c>
      <c r="AE43" s="111">
        <v>613400</v>
      </c>
      <c r="AF43" s="111" t="s">
        <v>2099</v>
      </c>
      <c r="AG43" s="112">
        <v>31.911950000000001</v>
      </c>
      <c r="AI43" s="7" t="str">
        <f>VLOOKUP($AC43,Mapping!$E$11:$I$96,3,0)</f>
        <v>Connections</v>
      </c>
      <c r="AJ43" s="7" t="str">
        <f>VLOOKUP($AE43,Mapping!$E$140:$K$2771,5,0)</f>
        <v>Labour</v>
      </c>
      <c r="AK43" s="7" t="str">
        <f>VLOOKUP($AE43,Mapping!$E$140:$K$2771,7,0)</f>
        <v>ENDirect</v>
      </c>
      <c r="AL43" s="7" t="str">
        <f>IFERROR(HLOOKUP(AJ43,'Calc|Weightings'!$K$5:$M$5,1,0),"Excl")</f>
        <v>Labour</v>
      </c>
      <c r="AM43" s="7" t="str">
        <f>VLOOKUP(AC43,Mapping!$E$11:$I$96,5,0)</f>
        <v>SCS</v>
      </c>
      <c r="AO43" s="134">
        <v>102</v>
      </c>
      <c r="AP43" s="135" t="s">
        <v>2070</v>
      </c>
      <c r="AQ43" s="135">
        <v>613400</v>
      </c>
      <c r="AR43" s="135" t="s">
        <v>2099</v>
      </c>
      <c r="AS43" s="136">
        <v>6.5503900000000002</v>
      </c>
      <c r="AU43" s="7" t="str">
        <f>VLOOKUP($AO43,Mapping!$E$11:$I$96,3,0)</f>
        <v>Connections</v>
      </c>
      <c r="AV43" s="7" t="str">
        <f>VLOOKUP($AQ43,Mapping!$E$140:$K$2771,5,0)</f>
        <v>Labour</v>
      </c>
      <c r="AW43" s="7" t="str">
        <f>VLOOKUP($AQ43,Mapping!$E$140:$K$2771,7,0)</f>
        <v>ENDirect</v>
      </c>
      <c r="AX43" s="7" t="str">
        <f>IFERROR(HLOOKUP(AV43,'Calc|Weightings'!$K$5:$M$5,1,0),"Excl")</f>
        <v>Labour</v>
      </c>
      <c r="AY43" s="7" t="str">
        <f>VLOOKUP(AO43,Mapping!$E$11:$I$96,5,0)</f>
        <v>SCS</v>
      </c>
    </row>
    <row r="44" spans="1:51" x14ac:dyDescent="0.2">
      <c r="A44" s="7"/>
      <c r="B44" s="7"/>
      <c r="C44" s="7"/>
      <c r="D44" s="7"/>
      <c r="E44" s="36">
        <v>102</v>
      </c>
      <c r="F44" s="36" t="s">
        <v>2070</v>
      </c>
      <c r="G44" s="36">
        <v>613278</v>
      </c>
      <c r="H44" s="36" t="s">
        <v>2357</v>
      </c>
      <c r="I44" s="37">
        <v>34.927509999999998</v>
      </c>
      <c r="J44" s="7"/>
      <c r="K44" s="7" t="str">
        <f>VLOOKUP($E44,Mapping!$E$11:$I$96,3,0)</f>
        <v>Connections</v>
      </c>
      <c r="L44" s="7" t="str">
        <f>VLOOKUP($G44,Mapping!$E$140:$K$2771,5,0)</f>
        <v>Labour</v>
      </c>
      <c r="M44" s="7" t="str">
        <f>VLOOKUP($G44,Mapping!$E$140:$K$2771,7,0)</f>
        <v>ENDirect</v>
      </c>
      <c r="N44" s="7" t="str">
        <f>IFERROR(HLOOKUP(L44,'Calc|Weightings'!$K$5:$M$5,1,0),"Excl")</f>
        <v>Labour</v>
      </c>
      <c r="O44" s="7" t="str">
        <f>VLOOKUP(E44,Mapping!$E$11:$I$96,5,0)</f>
        <v>SCS</v>
      </c>
      <c r="Q44" s="33">
        <v>102</v>
      </c>
      <c r="R44" s="33" t="s">
        <v>2070</v>
      </c>
      <c r="S44" s="33">
        <v>613401</v>
      </c>
      <c r="T44" s="33" t="s">
        <v>2117</v>
      </c>
      <c r="U44" s="34">
        <v>1.23305</v>
      </c>
      <c r="V44" s="7"/>
      <c r="W44" s="7" t="str">
        <f>VLOOKUP($Q44,Mapping!$E$11:$I$96,3,0)</f>
        <v>Connections</v>
      </c>
      <c r="X44" s="7" t="str">
        <f>VLOOKUP($S44,Mapping!$E$140:$K$2771,5,0)</f>
        <v>Labour</v>
      </c>
      <c r="Y44" s="7" t="str">
        <f>VLOOKUP($S44,Mapping!$E$140:$K$2771,7,0)</f>
        <v>ENDirect</v>
      </c>
      <c r="Z44" s="7" t="str">
        <f>IFERROR(HLOOKUP(X44,'Calc|Weightings'!$K$5:$M$5,1,0),"Excl")</f>
        <v>Labour</v>
      </c>
      <c r="AA44" s="7" t="str">
        <f>VLOOKUP(Q44,Mapping!$E$11:$I$96,5,0)</f>
        <v>SCS</v>
      </c>
      <c r="AC44" s="111">
        <v>102</v>
      </c>
      <c r="AD44" s="111" t="s">
        <v>2070</v>
      </c>
      <c r="AE44" s="111">
        <v>613401</v>
      </c>
      <c r="AF44" s="111" t="s">
        <v>2117</v>
      </c>
      <c r="AG44" s="112">
        <v>6.8136299999999999</v>
      </c>
      <c r="AI44" s="7" t="str">
        <f>VLOOKUP($AC44,Mapping!$E$11:$I$96,3,0)</f>
        <v>Connections</v>
      </c>
      <c r="AJ44" s="7" t="str">
        <f>VLOOKUP($AE44,Mapping!$E$140:$K$2771,5,0)</f>
        <v>Labour</v>
      </c>
      <c r="AK44" s="7" t="str">
        <f>VLOOKUP($AE44,Mapping!$E$140:$K$2771,7,0)</f>
        <v>ENDirect</v>
      </c>
      <c r="AL44" s="7" t="str">
        <f>IFERROR(HLOOKUP(AJ44,'Calc|Weightings'!$K$5:$M$5,1,0),"Excl")</f>
        <v>Labour</v>
      </c>
      <c r="AM44" s="7" t="str">
        <f>VLOOKUP(AC44,Mapping!$E$11:$I$96,5,0)</f>
        <v>SCS</v>
      </c>
      <c r="AO44" s="134">
        <v>102</v>
      </c>
      <c r="AP44" s="135" t="s">
        <v>2070</v>
      </c>
      <c r="AQ44" s="135">
        <v>613401</v>
      </c>
      <c r="AR44" s="135" t="s">
        <v>2117</v>
      </c>
      <c r="AS44" s="136">
        <v>6.81996</v>
      </c>
      <c r="AU44" s="7" t="str">
        <f>VLOOKUP($AO44,Mapping!$E$11:$I$96,3,0)</f>
        <v>Connections</v>
      </c>
      <c r="AV44" s="7" t="str">
        <f>VLOOKUP($AQ44,Mapping!$E$140:$K$2771,5,0)</f>
        <v>Labour</v>
      </c>
      <c r="AW44" s="7" t="str">
        <f>VLOOKUP($AQ44,Mapping!$E$140:$K$2771,7,0)</f>
        <v>ENDirect</v>
      </c>
      <c r="AX44" s="7" t="str">
        <f>IFERROR(HLOOKUP(AV44,'Calc|Weightings'!$K$5:$M$5,1,0),"Excl")</f>
        <v>Labour</v>
      </c>
      <c r="AY44" s="7" t="str">
        <f>VLOOKUP(AO44,Mapping!$E$11:$I$96,5,0)</f>
        <v>SCS</v>
      </c>
    </row>
    <row r="45" spans="1:51" x14ac:dyDescent="0.2">
      <c r="A45" s="7"/>
      <c r="B45" s="7"/>
      <c r="C45" s="7"/>
      <c r="D45" s="7"/>
      <c r="E45" s="36">
        <v>102</v>
      </c>
      <c r="F45" s="36" t="s">
        <v>2070</v>
      </c>
      <c r="G45" s="36">
        <v>613279</v>
      </c>
      <c r="H45" s="36" t="s">
        <v>2360</v>
      </c>
      <c r="I45" s="37">
        <v>4.7596600000000002</v>
      </c>
      <c r="J45" s="7"/>
      <c r="K45" s="7" t="str">
        <f>VLOOKUP($E45,Mapping!$E$11:$I$96,3,0)</f>
        <v>Connections</v>
      </c>
      <c r="L45" s="7" t="str">
        <f>VLOOKUP($G45,Mapping!$E$140:$K$2771,5,0)</f>
        <v>Labour</v>
      </c>
      <c r="M45" s="7" t="str">
        <f>VLOOKUP($G45,Mapping!$E$140:$K$2771,7,0)</f>
        <v>ENDirect</v>
      </c>
      <c r="N45" s="7" t="str">
        <f>IFERROR(HLOOKUP(L45,'Calc|Weightings'!$K$5:$M$5,1,0),"Excl")</f>
        <v>Labour</v>
      </c>
      <c r="O45" s="7" t="str">
        <f>VLOOKUP(E45,Mapping!$E$11:$I$96,5,0)</f>
        <v>SCS</v>
      </c>
      <c r="Q45" s="33">
        <v>102</v>
      </c>
      <c r="R45" s="33" t="s">
        <v>2070</v>
      </c>
      <c r="S45" s="33">
        <v>613410</v>
      </c>
      <c r="T45" s="33" t="s">
        <v>2100</v>
      </c>
      <c r="U45" s="34">
        <v>50.447940000000003</v>
      </c>
      <c r="V45" s="7"/>
      <c r="W45" s="7" t="str">
        <f>VLOOKUP($Q45,Mapping!$E$11:$I$96,3,0)</f>
        <v>Connections</v>
      </c>
      <c r="X45" s="7" t="str">
        <f>VLOOKUP($S45,Mapping!$E$140:$K$2771,5,0)</f>
        <v>Labour</v>
      </c>
      <c r="Y45" s="7" t="str">
        <f>VLOOKUP($S45,Mapping!$E$140:$K$2771,7,0)</f>
        <v>ENDirect</v>
      </c>
      <c r="Z45" s="7" t="str">
        <f>IFERROR(HLOOKUP(X45,'Calc|Weightings'!$K$5:$M$5,1,0),"Excl")</f>
        <v>Labour</v>
      </c>
      <c r="AA45" s="7" t="str">
        <f>VLOOKUP(Q45,Mapping!$E$11:$I$96,5,0)</f>
        <v>SCS</v>
      </c>
      <c r="AC45" s="111">
        <v>102</v>
      </c>
      <c r="AD45" s="111" t="s">
        <v>2070</v>
      </c>
      <c r="AE45" s="111">
        <v>613410</v>
      </c>
      <c r="AF45" s="111" t="s">
        <v>2100</v>
      </c>
      <c r="AG45" s="112">
        <v>114.16336</v>
      </c>
      <c r="AI45" s="7" t="str">
        <f>VLOOKUP($AC45,Mapping!$E$11:$I$96,3,0)</f>
        <v>Connections</v>
      </c>
      <c r="AJ45" s="7" t="str">
        <f>VLOOKUP($AE45,Mapping!$E$140:$K$2771,5,0)</f>
        <v>Labour</v>
      </c>
      <c r="AK45" s="7" t="str">
        <f>VLOOKUP($AE45,Mapping!$E$140:$K$2771,7,0)</f>
        <v>ENDirect</v>
      </c>
      <c r="AL45" s="7" t="str">
        <f>IFERROR(HLOOKUP(AJ45,'Calc|Weightings'!$K$5:$M$5,1,0),"Excl")</f>
        <v>Labour</v>
      </c>
      <c r="AM45" s="7" t="str">
        <f>VLOOKUP(AC45,Mapping!$E$11:$I$96,5,0)</f>
        <v>SCS</v>
      </c>
      <c r="AO45" s="134">
        <v>102</v>
      </c>
      <c r="AP45" s="135" t="s">
        <v>2070</v>
      </c>
      <c r="AQ45" s="135">
        <v>613410</v>
      </c>
      <c r="AR45" s="135" t="s">
        <v>2100</v>
      </c>
      <c r="AS45" s="136">
        <v>7.3507199999999999</v>
      </c>
      <c r="AU45" s="7" t="str">
        <f>VLOOKUP($AO45,Mapping!$E$11:$I$96,3,0)</f>
        <v>Connections</v>
      </c>
      <c r="AV45" s="7" t="str">
        <f>VLOOKUP($AQ45,Mapping!$E$140:$K$2771,5,0)</f>
        <v>Labour</v>
      </c>
      <c r="AW45" s="7" t="str">
        <f>VLOOKUP($AQ45,Mapping!$E$140:$K$2771,7,0)</f>
        <v>ENDirect</v>
      </c>
      <c r="AX45" s="7" t="str">
        <f>IFERROR(HLOOKUP(AV45,'Calc|Weightings'!$K$5:$M$5,1,0),"Excl")</f>
        <v>Labour</v>
      </c>
      <c r="AY45" s="7" t="str">
        <f>VLOOKUP(AO45,Mapping!$E$11:$I$96,5,0)</f>
        <v>SCS</v>
      </c>
    </row>
    <row r="46" spans="1:51" x14ac:dyDescent="0.2">
      <c r="A46" s="7"/>
      <c r="B46" s="7"/>
      <c r="C46" s="7"/>
      <c r="D46" s="7"/>
      <c r="E46" s="36">
        <v>102</v>
      </c>
      <c r="F46" s="36" t="s">
        <v>2070</v>
      </c>
      <c r="G46" s="36">
        <v>613280</v>
      </c>
      <c r="H46" s="36" t="s">
        <v>1342</v>
      </c>
      <c r="I46" s="37">
        <v>55.275559999999999</v>
      </c>
      <c r="J46" s="7"/>
      <c r="K46" s="7" t="str">
        <f>VLOOKUP($E46,Mapping!$E$11:$I$96,3,0)</f>
        <v>Connections</v>
      </c>
      <c r="L46" s="7" t="str">
        <f>VLOOKUP($G46,Mapping!$E$140:$K$2771,5,0)</f>
        <v>Labour</v>
      </c>
      <c r="M46" s="7" t="str">
        <f>VLOOKUP($G46,Mapping!$E$140:$K$2771,7,0)</f>
        <v>ENDirect</v>
      </c>
      <c r="N46" s="7" t="str">
        <f>IFERROR(HLOOKUP(L46,'Calc|Weightings'!$K$5:$M$5,1,0),"Excl")</f>
        <v>Labour</v>
      </c>
      <c r="O46" s="7" t="str">
        <f>VLOOKUP(E46,Mapping!$E$11:$I$96,5,0)</f>
        <v>SCS</v>
      </c>
      <c r="Q46" s="33">
        <v>102</v>
      </c>
      <c r="R46" s="33" t="s">
        <v>2070</v>
      </c>
      <c r="S46" s="33">
        <v>613411</v>
      </c>
      <c r="T46" s="33" t="s">
        <v>2101</v>
      </c>
      <c r="U46" s="34">
        <v>4.4049500000000004</v>
      </c>
      <c r="V46" s="7"/>
      <c r="W46" s="7" t="str">
        <f>VLOOKUP($Q46,Mapping!$E$11:$I$96,3,0)</f>
        <v>Connections</v>
      </c>
      <c r="X46" s="7" t="str">
        <f>VLOOKUP($S46,Mapping!$E$140:$K$2771,5,0)</f>
        <v>Labour</v>
      </c>
      <c r="Y46" s="7" t="str">
        <f>VLOOKUP($S46,Mapping!$E$140:$K$2771,7,0)</f>
        <v>ENDirect</v>
      </c>
      <c r="Z46" s="7" t="str">
        <f>IFERROR(HLOOKUP(X46,'Calc|Weightings'!$K$5:$M$5,1,0),"Excl")</f>
        <v>Labour</v>
      </c>
      <c r="AA46" s="7" t="str">
        <f>VLOOKUP(Q46,Mapping!$E$11:$I$96,5,0)</f>
        <v>SCS</v>
      </c>
      <c r="AC46" s="111">
        <v>102</v>
      </c>
      <c r="AD46" s="111" t="s">
        <v>2070</v>
      </c>
      <c r="AE46" s="111">
        <v>613411</v>
      </c>
      <c r="AF46" s="111" t="s">
        <v>2101</v>
      </c>
      <c r="AG46" s="112">
        <v>18.214089999999999</v>
      </c>
      <c r="AI46" s="7" t="str">
        <f>VLOOKUP($AC46,Mapping!$E$11:$I$96,3,0)</f>
        <v>Connections</v>
      </c>
      <c r="AJ46" s="7" t="str">
        <f>VLOOKUP($AE46,Mapping!$E$140:$K$2771,5,0)</f>
        <v>Labour</v>
      </c>
      <c r="AK46" s="7" t="str">
        <f>VLOOKUP($AE46,Mapping!$E$140:$K$2771,7,0)</f>
        <v>ENDirect</v>
      </c>
      <c r="AL46" s="7" t="str">
        <f>IFERROR(HLOOKUP(AJ46,'Calc|Weightings'!$K$5:$M$5,1,0),"Excl")</f>
        <v>Labour</v>
      </c>
      <c r="AM46" s="7" t="str">
        <f>VLOOKUP(AC46,Mapping!$E$11:$I$96,5,0)</f>
        <v>SCS</v>
      </c>
      <c r="AO46" s="134">
        <v>102</v>
      </c>
      <c r="AP46" s="135" t="s">
        <v>2070</v>
      </c>
      <c r="AQ46" s="135">
        <v>613434</v>
      </c>
      <c r="AR46" s="135" t="s">
        <v>2102</v>
      </c>
      <c r="AS46" s="136">
        <v>66.060569999999998</v>
      </c>
      <c r="AU46" s="7" t="str">
        <f>VLOOKUP($AO46,Mapping!$E$11:$I$96,3,0)</f>
        <v>Connections</v>
      </c>
      <c r="AV46" s="7" t="str">
        <f>VLOOKUP($AQ46,Mapping!$E$140:$K$2771,5,0)</f>
        <v>Labour</v>
      </c>
      <c r="AW46" s="7" t="str">
        <f>VLOOKUP($AQ46,Mapping!$E$140:$K$2771,7,0)</f>
        <v>ENDirect</v>
      </c>
      <c r="AX46" s="7" t="str">
        <f>IFERROR(HLOOKUP(AV46,'Calc|Weightings'!$K$5:$M$5,1,0),"Excl")</f>
        <v>Labour</v>
      </c>
      <c r="AY46" s="7" t="str">
        <f>VLOOKUP(AO46,Mapping!$E$11:$I$96,5,0)</f>
        <v>SCS</v>
      </c>
    </row>
    <row r="47" spans="1:51" x14ac:dyDescent="0.2">
      <c r="A47" s="7"/>
      <c r="B47" s="7"/>
      <c r="C47" s="7"/>
      <c r="D47" s="7"/>
      <c r="E47" s="36">
        <v>102</v>
      </c>
      <c r="F47" s="36" t="s">
        <v>2070</v>
      </c>
      <c r="G47" s="36">
        <v>613281</v>
      </c>
      <c r="H47" s="36" t="s">
        <v>1343</v>
      </c>
      <c r="I47" s="37">
        <v>6.8259600000000002</v>
      </c>
      <c r="J47" s="7"/>
      <c r="K47" s="7" t="str">
        <f>VLOOKUP($E47,Mapping!$E$11:$I$96,3,0)</f>
        <v>Connections</v>
      </c>
      <c r="L47" s="7" t="str">
        <f>VLOOKUP($G47,Mapping!$E$140:$K$2771,5,0)</f>
        <v>Labour</v>
      </c>
      <c r="M47" s="7" t="str">
        <f>VLOOKUP($G47,Mapping!$E$140:$K$2771,7,0)</f>
        <v>ENDirect</v>
      </c>
      <c r="N47" s="7" t="str">
        <f>IFERROR(HLOOKUP(L47,'Calc|Weightings'!$K$5:$M$5,1,0),"Excl")</f>
        <v>Labour</v>
      </c>
      <c r="O47" s="7" t="str">
        <f>VLOOKUP(E47,Mapping!$E$11:$I$96,5,0)</f>
        <v>SCS</v>
      </c>
      <c r="Q47" s="33">
        <v>102</v>
      </c>
      <c r="R47" s="33" t="s">
        <v>2070</v>
      </c>
      <c r="S47" s="33">
        <v>613434</v>
      </c>
      <c r="T47" s="33" t="s">
        <v>2102</v>
      </c>
      <c r="U47" s="34">
        <v>18.754850000000001</v>
      </c>
      <c r="V47" s="7"/>
      <c r="W47" s="7" t="str">
        <f>VLOOKUP($Q47,Mapping!$E$11:$I$96,3,0)</f>
        <v>Connections</v>
      </c>
      <c r="X47" s="7" t="str">
        <f>VLOOKUP($S47,Mapping!$E$140:$K$2771,5,0)</f>
        <v>Labour</v>
      </c>
      <c r="Y47" s="7" t="str">
        <f>VLOOKUP($S47,Mapping!$E$140:$K$2771,7,0)</f>
        <v>ENDirect</v>
      </c>
      <c r="Z47" s="7" t="str">
        <f>IFERROR(HLOOKUP(X47,'Calc|Weightings'!$K$5:$M$5,1,0),"Excl")</f>
        <v>Labour</v>
      </c>
      <c r="AA47" s="7" t="str">
        <f>VLOOKUP(Q47,Mapping!$E$11:$I$96,5,0)</f>
        <v>SCS</v>
      </c>
      <c r="AC47" s="111">
        <v>102</v>
      </c>
      <c r="AD47" s="111" t="s">
        <v>2070</v>
      </c>
      <c r="AE47" s="111">
        <v>613434</v>
      </c>
      <c r="AF47" s="111" t="s">
        <v>2102</v>
      </c>
      <c r="AG47" s="112">
        <v>14.982900000000001</v>
      </c>
      <c r="AI47" s="7" t="str">
        <f>VLOOKUP($AC47,Mapping!$E$11:$I$96,3,0)</f>
        <v>Connections</v>
      </c>
      <c r="AJ47" s="7" t="str">
        <f>VLOOKUP($AE47,Mapping!$E$140:$K$2771,5,0)</f>
        <v>Labour</v>
      </c>
      <c r="AK47" s="7" t="str">
        <f>VLOOKUP($AE47,Mapping!$E$140:$K$2771,7,0)</f>
        <v>ENDirect</v>
      </c>
      <c r="AL47" s="7" t="str">
        <f>IFERROR(HLOOKUP(AJ47,'Calc|Weightings'!$K$5:$M$5,1,0),"Excl")</f>
        <v>Labour</v>
      </c>
      <c r="AM47" s="7" t="str">
        <f>VLOOKUP(AC47,Mapping!$E$11:$I$96,5,0)</f>
        <v>SCS</v>
      </c>
      <c r="AO47" s="134">
        <v>102</v>
      </c>
      <c r="AP47" s="135" t="s">
        <v>2070</v>
      </c>
      <c r="AQ47" s="135">
        <v>613440</v>
      </c>
      <c r="AR47" s="135" t="s">
        <v>2103</v>
      </c>
      <c r="AS47" s="136">
        <v>20.388030000000001</v>
      </c>
      <c r="AU47" s="7" t="str">
        <f>VLOOKUP($AO47,Mapping!$E$11:$I$96,3,0)</f>
        <v>Connections</v>
      </c>
      <c r="AV47" s="7" t="str">
        <f>VLOOKUP($AQ47,Mapping!$E$140:$K$2771,5,0)</f>
        <v>Labour</v>
      </c>
      <c r="AW47" s="7" t="str">
        <f>VLOOKUP($AQ47,Mapping!$E$140:$K$2771,7,0)</f>
        <v>ENDirect</v>
      </c>
      <c r="AX47" s="7" t="str">
        <f>IFERROR(HLOOKUP(AV47,'Calc|Weightings'!$K$5:$M$5,1,0),"Excl")</f>
        <v>Labour</v>
      </c>
      <c r="AY47" s="7" t="str">
        <f>VLOOKUP(AO47,Mapping!$E$11:$I$96,5,0)</f>
        <v>SCS</v>
      </c>
    </row>
    <row r="48" spans="1:51" x14ac:dyDescent="0.2">
      <c r="A48" s="7"/>
      <c r="B48" s="7"/>
      <c r="C48" s="7"/>
      <c r="D48" s="7"/>
      <c r="E48" s="36">
        <v>102</v>
      </c>
      <c r="F48" s="36" t="s">
        <v>2070</v>
      </c>
      <c r="G48" s="36">
        <v>613290</v>
      </c>
      <c r="H48" s="36" t="s">
        <v>2093</v>
      </c>
      <c r="I48" s="37">
        <v>27.427520000000001</v>
      </c>
      <c r="J48" s="7"/>
      <c r="K48" s="7" t="str">
        <f>VLOOKUP($E48,Mapping!$E$11:$I$96,3,0)</f>
        <v>Connections</v>
      </c>
      <c r="L48" s="7" t="str">
        <f>VLOOKUP($G48,Mapping!$E$140:$K$2771,5,0)</f>
        <v>Labour</v>
      </c>
      <c r="M48" s="7" t="str">
        <f>VLOOKUP($G48,Mapping!$E$140:$K$2771,7,0)</f>
        <v>ENDirect</v>
      </c>
      <c r="N48" s="7" t="str">
        <f>IFERROR(HLOOKUP(L48,'Calc|Weightings'!$K$5:$M$5,1,0),"Excl")</f>
        <v>Labour</v>
      </c>
      <c r="O48" s="7" t="str">
        <f>VLOOKUP(E48,Mapping!$E$11:$I$96,5,0)</f>
        <v>SCS</v>
      </c>
      <c r="Q48" s="33">
        <v>102</v>
      </c>
      <c r="R48" s="33" t="s">
        <v>2070</v>
      </c>
      <c r="S48" s="33">
        <v>613440</v>
      </c>
      <c r="T48" s="33" t="s">
        <v>2103</v>
      </c>
      <c r="U48" s="34">
        <v>5.8792099999999996</v>
      </c>
      <c r="V48" s="7"/>
      <c r="W48" s="7" t="str">
        <f>VLOOKUP($Q48,Mapping!$E$11:$I$96,3,0)</f>
        <v>Connections</v>
      </c>
      <c r="X48" s="7" t="str">
        <f>VLOOKUP($S48,Mapping!$E$140:$K$2771,5,0)</f>
        <v>Labour</v>
      </c>
      <c r="Y48" s="7" t="str">
        <f>VLOOKUP($S48,Mapping!$E$140:$K$2771,7,0)</f>
        <v>ENDirect</v>
      </c>
      <c r="Z48" s="7" t="str">
        <f>IFERROR(HLOOKUP(X48,'Calc|Weightings'!$K$5:$M$5,1,0),"Excl")</f>
        <v>Labour</v>
      </c>
      <c r="AA48" s="7" t="str">
        <f>VLOOKUP(Q48,Mapping!$E$11:$I$96,5,0)</f>
        <v>SCS</v>
      </c>
      <c r="AC48" s="111">
        <v>102</v>
      </c>
      <c r="AD48" s="111" t="s">
        <v>2070</v>
      </c>
      <c r="AE48" s="111">
        <v>613440</v>
      </c>
      <c r="AF48" s="111" t="s">
        <v>2103</v>
      </c>
      <c r="AG48" s="112">
        <v>5.6375400000000004</v>
      </c>
      <c r="AI48" s="7" t="str">
        <f>VLOOKUP($AC48,Mapping!$E$11:$I$96,3,0)</f>
        <v>Connections</v>
      </c>
      <c r="AJ48" s="7" t="str">
        <f>VLOOKUP($AE48,Mapping!$E$140:$K$2771,5,0)</f>
        <v>Labour</v>
      </c>
      <c r="AK48" s="7" t="str">
        <f>VLOOKUP($AE48,Mapping!$E$140:$K$2771,7,0)</f>
        <v>ENDirect</v>
      </c>
      <c r="AL48" s="7" t="str">
        <f>IFERROR(HLOOKUP(AJ48,'Calc|Weightings'!$K$5:$M$5,1,0),"Excl")</f>
        <v>Labour</v>
      </c>
      <c r="AM48" s="7" t="str">
        <f>VLOOKUP(AC48,Mapping!$E$11:$I$96,5,0)</f>
        <v>SCS</v>
      </c>
      <c r="AO48" s="134">
        <v>102</v>
      </c>
      <c r="AP48" s="135" t="s">
        <v>2070</v>
      </c>
      <c r="AQ48" s="135">
        <v>613441</v>
      </c>
      <c r="AR48" s="135" t="s">
        <v>2104</v>
      </c>
      <c r="AS48" s="136">
        <v>1.89018</v>
      </c>
      <c r="AU48" s="7" t="str">
        <f>VLOOKUP($AO48,Mapping!$E$11:$I$96,3,0)</f>
        <v>Connections</v>
      </c>
      <c r="AV48" s="7" t="str">
        <f>VLOOKUP($AQ48,Mapping!$E$140:$K$2771,5,0)</f>
        <v>Labour</v>
      </c>
      <c r="AW48" s="7" t="str">
        <f>VLOOKUP($AQ48,Mapping!$E$140:$K$2771,7,0)</f>
        <v>ENDirect</v>
      </c>
      <c r="AX48" s="7" t="str">
        <f>IFERROR(HLOOKUP(AV48,'Calc|Weightings'!$K$5:$M$5,1,0),"Excl")</f>
        <v>Labour</v>
      </c>
      <c r="AY48" s="7" t="str">
        <f>VLOOKUP(AO48,Mapping!$E$11:$I$96,5,0)</f>
        <v>SCS</v>
      </c>
    </row>
    <row r="49" spans="1:51" x14ac:dyDescent="0.2">
      <c r="A49" s="7"/>
      <c r="B49" s="7"/>
      <c r="C49" s="7"/>
      <c r="D49" s="7"/>
      <c r="E49" s="36">
        <v>102</v>
      </c>
      <c r="F49" s="36" t="s">
        <v>2070</v>
      </c>
      <c r="G49" s="36">
        <v>613298</v>
      </c>
      <c r="H49" s="36" t="s">
        <v>2122</v>
      </c>
      <c r="I49" s="37">
        <v>570.46723999999995</v>
      </c>
      <c r="J49" s="7"/>
      <c r="K49" s="7" t="str">
        <f>VLOOKUP($E49,Mapping!$E$11:$I$96,3,0)</f>
        <v>Connections</v>
      </c>
      <c r="L49" s="7" t="str">
        <f>VLOOKUP($G49,Mapping!$E$140:$K$2771,5,0)</f>
        <v>Labour</v>
      </c>
      <c r="M49" s="7" t="str">
        <f>VLOOKUP($G49,Mapping!$E$140:$K$2771,7,0)</f>
        <v>ENDirect</v>
      </c>
      <c r="N49" s="7" t="str">
        <f>IFERROR(HLOOKUP(L49,'Calc|Weightings'!$K$5:$M$5,1,0),"Excl")</f>
        <v>Labour</v>
      </c>
      <c r="O49" s="7" t="str">
        <f>VLOOKUP(E49,Mapping!$E$11:$I$96,5,0)</f>
        <v>SCS</v>
      </c>
      <c r="Q49" s="33">
        <v>102</v>
      </c>
      <c r="R49" s="33" t="s">
        <v>2070</v>
      </c>
      <c r="S49" s="33">
        <v>613441</v>
      </c>
      <c r="T49" s="33" t="s">
        <v>2104</v>
      </c>
      <c r="U49" s="34">
        <v>1.8038000000000001</v>
      </c>
      <c r="V49" s="7"/>
      <c r="W49" s="7" t="str">
        <f>VLOOKUP($Q49,Mapping!$E$11:$I$96,3,0)</f>
        <v>Connections</v>
      </c>
      <c r="X49" s="7" t="str">
        <f>VLOOKUP($S49,Mapping!$E$140:$K$2771,5,0)</f>
        <v>Labour</v>
      </c>
      <c r="Y49" s="7" t="str">
        <f>VLOOKUP($S49,Mapping!$E$140:$K$2771,7,0)</f>
        <v>ENDirect</v>
      </c>
      <c r="Z49" s="7" t="str">
        <f>IFERROR(HLOOKUP(X49,'Calc|Weightings'!$K$5:$M$5,1,0),"Excl")</f>
        <v>Labour</v>
      </c>
      <c r="AA49" s="7" t="str">
        <f>VLOOKUP(Q49,Mapping!$E$11:$I$96,5,0)</f>
        <v>SCS</v>
      </c>
      <c r="AC49" s="111">
        <v>102</v>
      </c>
      <c r="AD49" s="111" t="s">
        <v>2070</v>
      </c>
      <c r="AE49" s="111">
        <v>613441</v>
      </c>
      <c r="AF49" s="111" t="s">
        <v>2104</v>
      </c>
      <c r="AG49" s="112">
        <v>1.64934</v>
      </c>
      <c r="AI49" s="7" t="str">
        <f>VLOOKUP($AC49,Mapping!$E$11:$I$96,3,0)</f>
        <v>Connections</v>
      </c>
      <c r="AJ49" s="7" t="str">
        <f>VLOOKUP($AE49,Mapping!$E$140:$K$2771,5,0)</f>
        <v>Labour</v>
      </c>
      <c r="AK49" s="7" t="str">
        <f>VLOOKUP($AE49,Mapping!$E$140:$K$2771,7,0)</f>
        <v>ENDirect</v>
      </c>
      <c r="AL49" s="7" t="str">
        <f>IFERROR(HLOOKUP(AJ49,'Calc|Weightings'!$K$5:$M$5,1,0),"Excl")</f>
        <v>Labour</v>
      </c>
      <c r="AM49" s="7" t="str">
        <f>VLOOKUP(AC49,Mapping!$E$11:$I$96,5,0)</f>
        <v>SCS</v>
      </c>
      <c r="AO49" s="134">
        <v>102</v>
      </c>
      <c r="AP49" s="135" t="s">
        <v>2070</v>
      </c>
      <c r="AQ49" s="135">
        <v>613450</v>
      </c>
      <c r="AR49" s="135" t="s">
        <v>2175</v>
      </c>
      <c r="AS49" s="136">
        <v>41.38523</v>
      </c>
      <c r="AU49" s="7" t="str">
        <f>VLOOKUP($AO49,Mapping!$E$11:$I$96,3,0)</f>
        <v>Connections</v>
      </c>
      <c r="AV49" s="7" t="str">
        <f>VLOOKUP($AQ49,Mapping!$E$140:$K$2771,5,0)</f>
        <v>Labour</v>
      </c>
      <c r="AW49" s="7" t="str">
        <f>VLOOKUP($AQ49,Mapping!$E$140:$K$2771,7,0)</f>
        <v>ENDirect</v>
      </c>
      <c r="AX49" s="7" t="str">
        <f>IFERROR(HLOOKUP(AV49,'Calc|Weightings'!$K$5:$M$5,1,0),"Excl")</f>
        <v>Labour</v>
      </c>
      <c r="AY49" s="7" t="str">
        <f>VLOOKUP(AO49,Mapping!$E$11:$I$96,5,0)</f>
        <v>SCS</v>
      </c>
    </row>
    <row r="50" spans="1:51" x14ac:dyDescent="0.2">
      <c r="A50" s="7"/>
      <c r="B50" s="7"/>
      <c r="C50" s="7"/>
      <c r="D50" s="7"/>
      <c r="E50" s="36">
        <v>102</v>
      </c>
      <c r="F50" s="36" t="s">
        <v>2070</v>
      </c>
      <c r="G50" s="36">
        <v>613299</v>
      </c>
      <c r="H50" s="36" t="s">
        <v>2385</v>
      </c>
      <c r="I50" s="37">
        <v>4.1525699999999999</v>
      </c>
      <c r="J50" s="7"/>
      <c r="K50" s="7" t="str">
        <f>VLOOKUP($E50,Mapping!$E$11:$I$96,3,0)</f>
        <v>Connections</v>
      </c>
      <c r="L50" s="7" t="str">
        <f>VLOOKUP($G50,Mapping!$E$140:$K$2771,5,0)</f>
        <v>Labour</v>
      </c>
      <c r="M50" s="7" t="str">
        <f>VLOOKUP($G50,Mapping!$E$140:$K$2771,7,0)</f>
        <v>ENDirect</v>
      </c>
      <c r="N50" s="7" t="str">
        <f>IFERROR(HLOOKUP(L50,'Calc|Weightings'!$K$5:$M$5,1,0),"Excl")</f>
        <v>Labour</v>
      </c>
      <c r="O50" s="7" t="str">
        <f>VLOOKUP(E50,Mapping!$E$11:$I$96,5,0)</f>
        <v>SCS</v>
      </c>
      <c r="Q50" s="33">
        <v>102</v>
      </c>
      <c r="R50" s="33" t="s">
        <v>2070</v>
      </c>
      <c r="S50" s="33">
        <v>613448</v>
      </c>
      <c r="T50" s="33" t="s">
        <v>2105</v>
      </c>
      <c r="U50" s="34">
        <v>16.45065</v>
      </c>
      <c r="V50" s="7"/>
      <c r="W50" s="7" t="str">
        <f>VLOOKUP($Q50,Mapping!$E$11:$I$96,3,0)</f>
        <v>Connections</v>
      </c>
      <c r="X50" s="7" t="str">
        <f>VLOOKUP($S50,Mapping!$E$140:$K$2771,5,0)</f>
        <v>Labour</v>
      </c>
      <c r="Y50" s="7" t="str">
        <f>VLOOKUP($S50,Mapping!$E$140:$K$2771,7,0)</f>
        <v>ENDirect</v>
      </c>
      <c r="Z50" s="7" t="str">
        <f>IFERROR(HLOOKUP(X50,'Calc|Weightings'!$K$5:$M$5,1,0),"Excl")</f>
        <v>Labour</v>
      </c>
      <c r="AA50" s="7" t="str">
        <f>VLOOKUP(Q50,Mapping!$E$11:$I$96,5,0)</f>
        <v>SCS</v>
      </c>
      <c r="AC50" s="111">
        <v>102</v>
      </c>
      <c r="AD50" s="111" t="s">
        <v>2070</v>
      </c>
      <c r="AE50" s="111">
        <v>613448</v>
      </c>
      <c r="AF50" s="111" t="s">
        <v>2105</v>
      </c>
      <c r="AG50" s="112">
        <v>7.5000099999999996</v>
      </c>
      <c r="AI50" s="7" t="str">
        <f>VLOOKUP($AC50,Mapping!$E$11:$I$96,3,0)</f>
        <v>Connections</v>
      </c>
      <c r="AJ50" s="7" t="str">
        <f>VLOOKUP($AE50,Mapping!$E$140:$K$2771,5,0)</f>
        <v>Labour</v>
      </c>
      <c r="AK50" s="7" t="str">
        <f>VLOOKUP($AE50,Mapping!$E$140:$K$2771,7,0)</f>
        <v>ENDirect</v>
      </c>
      <c r="AL50" s="7" t="str">
        <f>IFERROR(HLOOKUP(AJ50,'Calc|Weightings'!$K$5:$M$5,1,0),"Excl")</f>
        <v>Labour</v>
      </c>
      <c r="AM50" s="7" t="str">
        <f>VLOOKUP(AC50,Mapping!$E$11:$I$96,5,0)</f>
        <v>SCS</v>
      </c>
      <c r="AO50" s="134">
        <v>102</v>
      </c>
      <c r="AP50" s="135" t="s">
        <v>2070</v>
      </c>
      <c r="AQ50" s="135">
        <v>613460</v>
      </c>
      <c r="AR50" s="135" t="s">
        <v>2167</v>
      </c>
      <c r="AS50" s="136">
        <v>0.13932</v>
      </c>
      <c r="AU50" s="7" t="str">
        <f>VLOOKUP($AO50,Mapping!$E$11:$I$96,3,0)</f>
        <v>Connections</v>
      </c>
      <c r="AV50" s="7" t="str">
        <f>VLOOKUP($AQ50,Mapping!$E$140:$K$2771,5,0)</f>
        <v>Labour</v>
      </c>
      <c r="AW50" s="7" t="str">
        <f>VLOOKUP($AQ50,Mapping!$E$140:$K$2771,7,0)</f>
        <v>ENDirect</v>
      </c>
      <c r="AX50" s="7" t="str">
        <f>IFERROR(HLOOKUP(AV50,'Calc|Weightings'!$K$5:$M$5,1,0),"Excl")</f>
        <v>Labour</v>
      </c>
      <c r="AY50" s="7" t="str">
        <f>VLOOKUP(AO50,Mapping!$E$11:$I$96,5,0)</f>
        <v>SCS</v>
      </c>
    </row>
    <row r="51" spans="1:51" x14ac:dyDescent="0.2">
      <c r="A51" s="7"/>
      <c r="B51" s="7"/>
      <c r="C51" s="7"/>
      <c r="D51" s="7"/>
      <c r="E51" s="36">
        <v>102</v>
      </c>
      <c r="F51" s="36" t="s">
        <v>2070</v>
      </c>
      <c r="G51" s="36">
        <v>613310</v>
      </c>
      <c r="H51" s="36" t="s">
        <v>2095</v>
      </c>
      <c r="I51" s="37">
        <v>3.0977800000000002</v>
      </c>
      <c r="J51" s="7"/>
      <c r="K51" s="7" t="str">
        <f>VLOOKUP($E51,Mapping!$E$11:$I$96,3,0)</f>
        <v>Connections</v>
      </c>
      <c r="L51" s="7" t="str">
        <f>VLOOKUP($G51,Mapping!$E$140:$K$2771,5,0)</f>
        <v>Labour</v>
      </c>
      <c r="M51" s="7" t="str">
        <f>VLOOKUP($G51,Mapping!$E$140:$K$2771,7,0)</f>
        <v>ENDirect</v>
      </c>
      <c r="N51" s="7" t="str">
        <f>IFERROR(HLOOKUP(L51,'Calc|Weightings'!$K$5:$M$5,1,0),"Excl")</f>
        <v>Labour</v>
      </c>
      <c r="O51" s="7" t="str">
        <f>VLOOKUP(E51,Mapping!$E$11:$I$96,5,0)</f>
        <v>SCS</v>
      </c>
      <c r="Q51" s="33">
        <v>102</v>
      </c>
      <c r="R51" s="33" t="s">
        <v>2070</v>
      </c>
      <c r="S51" s="33">
        <v>613449</v>
      </c>
      <c r="T51" s="33" t="s">
        <v>2106</v>
      </c>
      <c r="U51" s="34">
        <v>5.5677599999999998</v>
      </c>
      <c r="V51" s="7"/>
      <c r="W51" s="7" t="str">
        <f>VLOOKUP($Q51,Mapping!$E$11:$I$96,3,0)</f>
        <v>Connections</v>
      </c>
      <c r="X51" s="7" t="str">
        <f>VLOOKUP($S51,Mapping!$E$140:$K$2771,5,0)</f>
        <v>Labour</v>
      </c>
      <c r="Y51" s="7" t="str">
        <f>VLOOKUP($S51,Mapping!$E$140:$K$2771,7,0)</f>
        <v>ENDirect</v>
      </c>
      <c r="Z51" s="7" t="str">
        <f>IFERROR(HLOOKUP(X51,'Calc|Weightings'!$K$5:$M$5,1,0),"Excl")</f>
        <v>Labour</v>
      </c>
      <c r="AA51" s="7" t="str">
        <f>VLOOKUP(Q51,Mapping!$E$11:$I$96,5,0)</f>
        <v>SCS</v>
      </c>
      <c r="AC51" s="111">
        <v>102</v>
      </c>
      <c r="AD51" s="111" t="s">
        <v>2070</v>
      </c>
      <c r="AE51" s="111">
        <v>613449</v>
      </c>
      <c r="AF51" s="111" t="s">
        <v>2106</v>
      </c>
      <c r="AG51" s="112">
        <v>4.7985800000000003</v>
      </c>
      <c r="AI51" s="7" t="str">
        <f>VLOOKUP($AC51,Mapping!$E$11:$I$96,3,0)</f>
        <v>Connections</v>
      </c>
      <c r="AJ51" s="7" t="str">
        <f>VLOOKUP($AE51,Mapping!$E$140:$K$2771,5,0)</f>
        <v>Labour</v>
      </c>
      <c r="AK51" s="7" t="str">
        <f>VLOOKUP($AE51,Mapping!$E$140:$K$2771,7,0)</f>
        <v>ENDirect</v>
      </c>
      <c r="AL51" s="7" t="str">
        <f>IFERROR(HLOOKUP(AJ51,'Calc|Weightings'!$K$5:$M$5,1,0),"Excl")</f>
        <v>Labour</v>
      </c>
      <c r="AM51" s="7" t="str">
        <f>VLOOKUP(AC51,Mapping!$E$11:$I$96,5,0)</f>
        <v>SCS</v>
      </c>
      <c r="AO51" s="134">
        <v>102</v>
      </c>
      <c r="AP51" s="135" t="s">
        <v>2070</v>
      </c>
      <c r="AQ51" s="135">
        <v>613566</v>
      </c>
      <c r="AR51" s="135" t="s">
        <v>1482</v>
      </c>
      <c r="AS51" s="136">
        <v>10.393420000000001</v>
      </c>
      <c r="AU51" s="7" t="str">
        <f>VLOOKUP($AO51,Mapping!$E$11:$I$96,3,0)</f>
        <v>Connections</v>
      </c>
      <c r="AV51" s="7" t="str">
        <f>VLOOKUP($AQ51,Mapping!$E$140:$K$2771,5,0)</f>
        <v>Labour</v>
      </c>
      <c r="AW51" s="7" t="str">
        <f>VLOOKUP($AQ51,Mapping!$E$140:$K$2771,7,0)</f>
        <v>ENDirect</v>
      </c>
      <c r="AX51" s="7" t="str">
        <f>IFERROR(HLOOKUP(AV51,'Calc|Weightings'!$K$5:$M$5,1,0),"Excl")</f>
        <v>Labour</v>
      </c>
      <c r="AY51" s="7" t="str">
        <f>VLOOKUP(AO51,Mapping!$E$11:$I$96,5,0)</f>
        <v>SCS</v>
      </c>
    </row>
    <row r="52" spans="1:51" x14ac:dyDescent="0.2">
      <c r="A52" s="7"/>
      <c r="B52" s="7"/>
      <c r="C52" s="7"/>
      <c r="D52" s="7"/>
      <c r="E52" s="36">
        <v>102</v>
      </c>
      <c r="F52" s="36" t="s">
        <v>2070</v>
      </c>
      <c r="G52" s="36">
        <v>613311</v>
      </c>
      <c r="H52" s="36" t="s">
        <v>2116</v>
      </c>
      <c r="I52" s="37">
        <v>6.3219999999999998E-2</v>
      </c>
      <c r="J52" s="7"/>
      <c r="K52" s="7" t="str">
        <f>VLOOKUP($E52,Mapping!$E$11:$I$96,3,0)</f>
        <v>Connections</v>
      </c>
      <c r="L52" s="7" t="str">
        <f>VLOOKUP($G52,Mapping!$E$140:$K$2771,5,0)</f>
        <v>Labour</v>
      </c>
      <c r="M52" s="7" t="str">
        <f>VLOOKUP($G52,Mapping!$E$140:$K$2771,7,0)</f>
        <v>ENDirect</v>
      </c>
      <c r="N52" s="7" t="str">
        <f>IFERROR(HLOOKUP(L52,'Calc|Weightings'!$K$5:$M$5,1,0),"Excl")</f>
        <v>Labour</v>
      </c>
      <c r="O52" s="7" t="str">
        <f>VLOOKUP(E52,Mapping!$E$11:$I$96,5,0)</f>
        <v>SCS</v>
      </c>
      <c r="Q52" s="33">
        <v>102</v>
      </c>
      <c r="R52" s="33" t="s">
        <v>2070</v>
      </c>
      <c r="S52" s="33">
        <v>613566</v>
      </c>
      <c r="T52" s="33" t="s">
        <v>1482</v>
      </c>
      <c r="U52" s="34">
        <v>14.71635</v>
      </c>
      <c r="V52" s="7"/>
      <c r="W52" s="7" t="str">
        <f>VLOOKUP($Q52,Mapping!$E$11:$I$96,3,0)</f>
        <v>Connections</v>
      </c>
      <c r="X52" s="7" t="str">
        <f>VLOOKUP($S52,Mapping!$E$140:$K$2771,5,0)</f>
        <v>Labour</v>
      </c>
      <c r="Y52" s="7" t="str">
        <f>VLOOKUP($S52,Mapping!$E$140:$K$2771,7,0)</f>
        <v>ENDirect</v>
      </c>
      <c r="Z52" s="7" t="str">
        <f>IFERROR(HLOOKUP(X52,'Calc|Weightings'!$K$5:$M$5,1,0),"Excl")</f>
        <v>Labour</v>
      </c>
      <c r="AA52" s="7" t="str">
        <f>VLOOKUP(Q52,Mapping!$E$11:$I$96,5,0)</f>
        <v>SCS</v>
      </c>
      <c r="AC52" s="111">
        <v>102</v>
      </c>
      <c r="AD52" s="111" t="s">
        <v>2070</v>
      </c>
      <c r="AE52" s="111">
        <v>613450</v>
      </c>
      <c r="AF52" s="111" t="s">
        <v>2175</v>
      </c>
      <c r="AG52" s="112">
        <v>8.3084799999999994</v>
      </c>
      <c r="AI52" s="7" t="str">
        <f>VLOOKUP($AC52,Mapping!$E$11:$I$96,3,0)</f>
        <v>Connections</v>
      </c>
      <c r="AJ52" s="7" t="str">
        <f>VLOOKUP($AE52,Mapping!$E$140:$K$2771,5,0)</f>
        <v>Labour</v>
      </c>
      <c r="AK52" s="7" t="str">
        <f>VLOOKUP($AE52,Mapping!$E$140:$K$2771,7,0)</f>
        <v>ENDirect</v>
      </c>
      <c r="AL52" s="7" t="str">
        <f>IFERROR(HLOOKUP(AJ52,'Calc|Weightings'!$K$5:$M$5,1,0),"Excl")</f>
        <v>Labour</v>
      </c>
      <c r="AM52" s="7" t="str">
        <f>VLOOKUP(AC52,Mapping!$E$11:$I$96,5,0)</f>
        <v>SCS</v>
      </c>
      <c r="AO52" s="134">
        <v>102</v>
      </c>
      <c r="AP52" s="135" t="s">
        <v>2070</v>
      </c>
      <c r="AQ52" s="135">
        <v>613567</v>
      </c>
      <c r="AR52" s="135" t="s">
        <v>1483</v>
      </c>
      <c r="AS52" s="136">
        <v>0.87570000000000003</v>
      </c>
      <c r="AU52" s="7" t="str">
        <f>VLOOKUP($AO52,Mapping!$E$11:$I$96,3,0)</f>
        <v>Connections</v>
      </c>
      <c r="AV52" s="7" t="str">
        <f>VLOOKUP($AQ52,Mapping!$E$140:$K$2771,5,0)</f>
        <v>Labour</v>
      </c>
      <c r="AW52" s="7" t="str">
        <f>VLOOKUP($AQ52,Mapping!$E$140:$K$2771,7,0)</f>
        <v>ENDirect</v>
      </c>
      <c r="AX52" s="7" t="str">
        <f>IFERROR(HLOOKUP(AV52,'Calc|Weightings'!$K$5:$M$5,1,0),"Excl")</f>
        <v>Labour</v>
      </c>
      <c r="AY52" s="7" t="str">
        <f>VLOOKUP(AO52,Mapping!$E$11:$I$96,5,0)</f>
        <v>SCS</v>
      </c>
    </row>
    <row r="53" spans="1:51" x14ac:dyDescent="0.2">
      <c r="A53" s="7"/>
      <c r="B53" s="7"/>
      <c r="C53" s="7"/>
      <c r="D53" s="7"/>
      <c r="E53" s="36">
        <v>102</v>
      </c>
      <c r="F53" s="36" t="s">
        <v>2070</v>
      </c>
      <c r="G53" s="36">
        <v>613318</v>
      </c>
      <c r="H53" s="36" t="s">
        <v>1360</v>
      </c>
      <c r="I53" s="37">
        <v>7.7001900000000001</v>
      </c>
      <c r="J53" s="7"/>
      <c r="K53" s="7" t="str">
        <f>VLOOKUP($E53,Mapping!$E$11:$I$96,3,0)</f>
        <v>Connections</v>
      </c>
      <c r="L53" s="7" t="str">
        <f>VLOOKUP($G53,Mapping!$E$140:$K$2771,5,0)</f>
        <v>Labour</v>
      </c>
      <c r="M53" s="7" t="str">
        <f>VLOOKUP($G53,Mapping!$E$140:$K$2771,7,0)</f>
        <v>ENDirect</v>
      </c>
      <c r="N53" s="7" t="str">
        <f>IFERROR(HLOOKUP(L53,'Calc|Weightings'!$K$5:$M$5,1,0),"Excl")</f>
        <v>Labour</v>
      </c>
      <c r="O53" s="7" t="str">
        <f>VLOOKUP(E53,Mapping!$E$11:$I$96,5,0)</f>
        <v>SCS</v>
      </c>
      <c r="Q53" s="33">
        <v>102</v>
      </c>
      <c r="R53" s="33" t="s">
        <v>2070</v>
      </c>
      <c r="S53" s="33">
        <v>613567</v>
      </c>
      <c r="T53" s="33" t="s">
        <v>1483</v>
      </c>
      <c r="U53" s="34">
        <v>0.62748000000000004</v>
      </c>
      <c r="V53" s="7"/>
      <c r="W53" s="7" t="str">
        <f>VLOOKUP($Q53,Mapping!$E$11:$I$96,3,0)</f>
        <v>Connections</v>
      </c>
      <c r="X53" s="7" t="str">
        <f>VLOOKUP($S53,Mapping!$E$140:$K$2771,5,0)</f>
        <v>Labour</v>
      </c>
      <c r="Y53" s="7" t="str">
        <f>VLOOKUP($S53,Mapping!$E$140:$K$2771,7,0)</f>
        <v>ENDirect</v>
      </c>
      <c r="Z53" s="7" t="str">
        <f>IFERROR(HLOOKUP(X53,'Calc|Weightings'!$K$5:$M$5,1,0),"Excl")</f>
        <v>Labour</v>
      </c>
      <c r="AA53" s="7" t="str">
        <f>VLOOKUP(Q53,Mapping!$E$11:$I$96,5,0)</f>
        <v>SCS</v>
      </c>
      <c r="AC53" s="111">
        <v>102</v>
      </c>
      <c r="AD53" s="111" t="s">
        <v>2070</v>
      </c>
      <c r="AE53" s="111">
        <v>613566</v>
      </c>
      <c r="AF53" s="111" t="s">
        <v>1482</v>
      </c>
      <c r="AG53" s="112">
        <v>49.253599999999999</v>
      </c>
      <c r="AI53" s="7" t="str">
        <f>VLOOKUP($AC53,Mapping!$E$11:$I$96,3,0)</f>
        <v>Connections</v>
      </c>
      <c r="AJ53" s="7" t="str">
        <f>VLOOKUP($AE53,Mapping!$E$140:$K$2771,5,0)</f>
        <v>Labour</v>
      </c>
      <c r="AK53" s="7" t="str">
        <f>VLOOKUP($AE53,Mapping!$E$140:$K$2771,7,0)</f>
        <v>ENDirect</v>
      </c>
      <c r="AL53" s="7" t="str">
        <f>IFERROR(HLOOKUP(AJ53,'Calc|Weightings'!$K$5:$M$5,1,0),"Excl")</f>
        <v>Labour</v>
      </c>
      <c r="AM53" s="7" t="str">
        <f>VLOOKUP(AC53,Mapping!$E$11:$I$96,5,0)</f>
        <v>SCS</v>
      </c>
      <c r="AO53" s="134">
        <v>102</v>
      </c>
      <c r="AP53" s="135" t="s">
        <v>2070</v>
      </c>
      <c r="AQ53" s="135">
        <v>613570</v>
      </c>
      <c r="AR53" s="135" t="s">
        <v>1484</v>
      </c>
      <c r="AS53" s="136">
        <v>14.494479999999999</v>
      </c>
      <c r="AU53" s="7" t="str">
        <f>VLOOKUP($AO53,Mapping!$E$11:$I$96,3,0)</f>
        <v>Connections</v>
      </c>
      <c r="AV53" s="7" t="str">
        <f>VLOOKUP($AQ53,Mapping!$E$140:$K$2771,5,0)</f>
        <v>Labour</v>
      </c>
      <c r="AW53" s="7" t="str">
        <f>VLOOKUP($AQ53,Mapping!$E$140:$K$2771,7,0)</f>
        <v>ENDirect</v>
      </c>
      <c r="AX53" s="7" t="str">
        <f>IFERROR(HLOOKUP(AV53,'Calc|Weightings'!$K$5:$M$5,1,0),"Excl")</f>
        <v>Labour</v>
      </c>
      <c r="AY53" s="7" t="str">
        <f>VLOOKUP(AO53,Mapping!$E$11:$I$96,5,0)</f>
        <v>SCS</v>
      </c>
    </row>
    <row r="54" spans="1:51" x14ac:dyDescent="0.2">
      <c r="A54" s="7"/>
      <c r="B54" s="7"/>
      <c r="C54" s="7"/>
      <c r="D54" s="7"/>
      <c r="E54" s="36">
        <v>102</v>
      </c>
      <c r="F54" s="36" t="s">
        <v>2070</v>
      </c>
      <c r="G54" s="36">
        <v>613350</v>
      </c>
      <c r="H54" s="36" t="s">
        <v>2096</v>
      </c>
      <c r="I54" s="37">
        <v>6.6175600000000001</v>
      </c>
      <c r="J54" s="7"/>
      <c r="K54" s="7" t="str">
        <f>VLOOKUP($E54,Mapping!$E$11:$I$96,3,0)</f>
        <v>Connections</v>
      </c>
      <c r="L54" s="7" t="str">
        <f>VLOOKUP($G54,Mapping!$E$140:$K$2771,5,0)</f>
        <v>Labour</v>
      </c>
      <c r="M54" s="7" t="str">
        <f>VLOOKUP($G54,Mapping!$E$140:$K$2771,7,0)</f>
        <v>ENDirect</v>
      </c>
      <c r="N54" s="7" t="str">
        <f>IFERROR(HLOOKUP(L54,'Calc|Weightings'!$K$5:$M$5,1,0),"Excl")</f>
        <v>Labour</v>
      </c>
      <c r="O54" s="7" t="str">
        <f>VLOOKUP(E54,Mapping!$E$11:$I$96,5,0)</f>
        <v>SCS</v>
      </c>
      <c r="Q54" s="33">
        <v>102</v>
      </c>
      <c r="R54" s="33" t="s">
        <v>2070</v>
      </c>
      <c r="S54" s="33">
        <v>613570</v>
      </c>
      <c r="T54" s="33" t="s">
        <v>1484</v>
      </c>
      <c r="U54" s="34">
        <v>1.52952</v>
      </c>
      <c r="V54" s="7"/>
      <c r="W54" s="7" t="str">
        <f>VLOOKUP($Q54,Mapping!$E$11:$I$96,3,0)</f>
        <v>Connections</v>
      </c>
      <c r="X54" s="7" t="str">
        <f>VLOOKUP($S54,Mapping!$E$140:$K$2771,5,0)</f>
        <v>Labour</v>
      </c>
      <c r="Y54" s="7" t="str">
        <f>VLOOKUP($S54,Mapping!$E$140:$K$2771,7,0)</f>
        <v>ENDirect</v>
      </c>
      <c r="Z54" s="7" t="str">
        <f>IFERROR(HLOOKUP(X54,'Calc|Weightings'!$K$5:$M$5,1,0),"Excl")</f>
        <v>Labour</v>
      </c>
      <c r="AA54" s="7" t="str">
        <f>VLOOKUP(Q54,Mapping!$E$11:$I$96,5,0)</f>
        <v>SCS</v>
      </c>
      <c r="AC54" s="111">
        <v>102</v>
      </c>
      <c r="AD54" s="111" t="s">
        <v>2070</v>
      </c>
      <c r="AE54" s="111">
        <v>613567</v>
      </c>
      <c r="AF54" s="111" t="s">
        <v>1483</v>
      </c>
      <c r="AG54" s="112">
        <v>3.7195200000000002</v>
      </c>
      <c r="AI54" s="7" t="str">
        <f>VLOOKUP($AC54,Mapping!$E$11:$I$96,3,0)</f>
        <v>Connections</v>
      </c>
      <c r="AJ54" s="7" t="str">
        <f>VLOOKUP($AE54,Mapping!$E$140:$K$2771,5,0)</f>
        <v>Labour</v>
      </c>
      <c r="AK54" s="7" t="str">
        <f>VLOOKUP($AE54,Mapping!$E$140:$K$2771,7,0)</f>
        <v>ENDirect</v>
      </c>
      <c r="AL54" s="7" t="str">
        <f>IFERROR(HLOOKUP(AJ54,'Calc|Weightings'!$K$5:$M$5,1,0),"Excl")</f>
        <v>Labour</v>
      </c>
      <c r="AM54" s="7" t="str">
        <f>VLOOKUP(AC54,Mapping!$E$11:$I$96,5,0)</f>
        <v>SCS</v>
      </c>
      <c r="AO54" s="134">
        <v>102</v>
      </c>
      <c r="AP54" s="135" t="s">
        <v>2070</v>
      </c>
      <c r="AQ54" s="135">
        <v>613571</v>
      </c>
      <c r="AR54" s="135" t="s">
        <v>1485</v>
      </c>
      <c r="AS54" s="136">
        <v>1.98916</v>
      </c>
      <c r="AU54" s="7" t="str">
        <f>VLOOKUP($AO54,Mapping!$E$11:$I$96,3,0)</f>
        <v>Connections</v>
      </c>
      <c r="AV54" s="7" t="str">
        <f>VLOOKUP($AQ54,Mapping!$E$140:$K$2771,5,0)</f>
        <v>Labour</v>
      </c>
      <c r="AW54" s="7" t="str">
        <f>VLOOKUP($AQ54,Mapping!$E$140:$K$2771,7,0)</f>
        <v>ENDirect</v>
      </c>
      <c r="AX54" s="7" t="str">
        <f>IFERROR(HLOOKUP(AV54,'Calc|Weightings'!$K$5:$M$5,1,0),"Excl")</f>
        <v>Labour</v>
      </c>
      <c r="AY54" s="7" t="str">
        <f>VLOOKUP(AO54,Mapping!$E$11:$I$96,5,0)</f>
        <v>SCS</v>
      </c>
    </row>
    <row r="55" spans="1:51" x14ac:dyDescent="0.2">
      <c r="A55" s="7"/>
      <c r="B55" s="7"/>
      <c r="C55" s="7"/>
      <c r="D55" s="7"/>
      <c r="E55" s="36">
        <v>102</v>
      </c>
      <c r="F55" s="36" t="s">
        <v>2070</v>
      </c>
      <c r="G55" s="36">
        <v>613360</v>
      </c>
      <c r="H55" s="36" t="s">
        <v>2097</v>
      </c>
      <c r="I55" s="37">
        <v>59.59883</v>
      </c>
      <c r="J55" s="7"/>
      <c r="K55" s="7" t="str">
        <f>VLOOKUP($E55,Mapping!$E$11:$I$96,3,0)</f>
        <v>Connections</v>
      </c>
      <c r="L55" s="7" t="str">
        <f>VLOOKUP($G55,Mapping!$E$140:$K$2771,5,0)</f>
        <v>Labour</v>
      </c>
      <c r="M55" s="7" t="str">
        <f>VLOOKUP($G55,Mapping!$E$140:$K$2771,7,0)</f>
        <v>ENDirect</v>
      </c>
      <c r="N55" s="7" t="str">
        <f>IFERROR(HLOOKUP(L55,'Calc|Weightings'!$K$5:$M$5,1,0),"Excl")</f>
        <v>Labour</v>
      </c>
      <c r="O55" s="7" t="str">
        <f>VLOOKUP(E55,Mapping!$E$11:$I$96,5,0)</f>
        <v>SCS</v>
      </c>
      <c r="Q55" s="33">
        <v>102</v>
      </c>
      <c r="R55" s="33" t="s">
        <v>2070</v>
      </c>
      <c r="S55" s="33">
        <v>613571</v>
      </c>
      <c r="T55" s="33" t="s">
        <v>1485</v>
      </c>
      <c r="U55" s="34">
        <v>0.35449999999999998</v>
      </c>
      <c r="V55" s="7"/>
      <c r="W55" s="7" t="str">
        <f>VLOOKUP($Q55,Mapping!$E$11:$I$96,3,0)</f>
        <v>Connections</v>
      </c>
      <c r="X55" s="7" t="str">
        <f>VLOOKUP($S55,Mapping!$E$140:$K$2771,5,0)</f>
        <v>Labour</v>
      </c>
      <c r="Y55" s="7" t="str">
        <f>VLOOKUP($S55,Mapping!$E$140:$K$2771,7,0)</f>
        <v>ENDirect</v>
      </c>
      <c r="Z55" s="7" t="str">
        <f>IFERROR(HLOOKUP(X55,'Calc|Weightings'!$K$5:$M$5,1,0),"Excl")</f>
        <v>Labour</v>
      </c>
      <c r="AA55" s="7" t="str">
        <f>VLOOKUP(Q55,Mapping!$E$11:$I$96,5,0)</f>
        <v>SCS</v>
      </c>
      <c r="AC55" s="111">
        <v>102</v>
      </c>
      <c r="AD55" s="111" t="s">
        <v>2070</v>
      </c>
      <c r="AE55" s="111">
        <v>613570</v>
      </c>
      <c r="AF55" s="111" t="s">
        <v>1484</v>
      </c>
      <c r="AG55" s="112">
        <v>1.19421</v>
      </c>
      <c r="AI55" s="7" t="str">
        <f>VLOOKUP($AC55,Mapping!$E$11:$I$96,3,0)</f>
        <v>Connections</v>
      </c>
      <c r="AJ55" s="7" t="str">
        <f>VLOOKUP($AE55,Mapping!$E$140:$K$2771,5,0)</f>
        <v>Labour</v>
      </c>
      <c r="AK55" s="7" t="str">
        <f>VLOOKUP($AE55,Mapping!$E$140:$K$2771,7,0)</f>
        <v>ENDirect</v>
      </c>
      <c r="AL55" s="7" t="str">
        <f>IFERROR(HLOOKUP(AJ55,'Calc|Weightings'!$K$5:$M$5,1,0),"Excl")</f>
        <v>Labour</v>
      </c>
      <c r="AM55" s="7" t="str">
        <f>VLOOKUP(AC55,Mapping!$E$11:$I$96,5,0)</f>
        <v>SCS</v>
      </c>
      <c r="AO55" s="134">
        <v>102</v>
      </c>
      <c r="AP55" s="135" t="s">
        <v>2070</v>
      </c>
      <c r="AQ55" s="135">
        <v>613574</v>
      </c>
      <c r="AR55" s="135" t="s">
        <v>1488</v>
      </c>
      <c r="AS55" s="136">
        <v>31.049430000000001</v>
      </c>
      <c r="AU55" s="7" t="str">
        <f>VLOOKUP($AO55,Mapping!$E$11:$I$96,3,0)</f>
        <v>Connections</v>
      </c>
      <c r="AV55" s="7" t="str">
        <f>VLOOKUP($AQ55,Mapping!$E$140:$K$2771,5,0)</f>
        <v>Labour</v>
      </c>
      <c r="AW55" s="7" t="str">
        <f>VLOOKUP($AQ55,Mapping!$E$140:$K$2771,7,0)</f>
        <v>ENDirect</v>
      </c>
      <c r="AX55" s="7" t="str">
        <f>IFERROR(HLOOKUP(AV55,'Calc|Weightings'!$K$5:$M$5,1,0),"Excl")</f>
        <v>Labour</v>
      </c>
      <c r="AY55" s="7" t="str">
        <f>VLOOKUP(AO55,Mapping!$E$11:$I$96,5,0)</f>
        <v>SCS</v>
      </c>
    </row>
    <row r="56" spans="1:51" x14ac:dyDescent="0.2">
      <c r="A56" s="7"/>
      <c r="B56" s="7"/>
      <c r="C56" s="7"/>
      <c r="D56" s="7"/>
      <c r="E56" s="36">
        <v>102</v>
      </c>
      <c r="F56" s="36" t="s">
        <v>2070</v>
      </c>
      <c r="G56" s="36">
        <v>613361</v>
      </c>
      <c r="H56" s="36" t="s">
        <v>2098</v>
      </c>
      <c r="I56" s="37">
        <v>0.28273999999999999</v>
      </c>
      <c r="J56" s="7"/>
      <c r="K56" s="7" t="str">
        <f>VLOOKUP($E56,Mapping!$E$11:$I$96,3,0)</f>
        <v>Connections</v>
      </c>
      <c r="L56" s="7" t="str">
        <f>VLOOKUP($G56,Mapping!$E$140:$K$2771,5,0)</f>
        <v>Labour</v>
      </c>
      <c r="M56" s="7" t="str">
        <f>VLOOKUP($G56,Mapping!$E$140:$K$2771,7,0)</f>
        <v>ENDirect</v>
      </c>
      <c r="N56" s="7" t="str">
        <f>IFERROR(HLOOKUP(L56,'Calc|Weightings'!$K$5:$M$5,1,0),"Excl")</f>
        <v>Labour</v>
      </c>
      <c r="O56" s="7" t="str">
        <f>VLOOKUP(E56,Mapping!$E$11:$I$96,5,0)</f>
        <v>SCS</v>
      </c>
      <c r="Q56" s="33">
        <v>102</v>
      </c>
      <c r="R56" s="33" t="s">
        <v>2070</v>
      </c>
      <c r="S56" s="33">
        <v>613574</v>
      </c>
      <c r="T56" s="33" t="s">
        <v>1488</v>
      </c>
      <c r="U56" s="34">
        <v>24.096550000000001</v>
      </c>
      <c r="V56" s="7"/>
      <c r="W56" s="7" t="str">
        <f>VLOOKUP($Q56,Mapping!$E$11:$I$96,3,0)</f>
        <v>Connections</v>
      </c>
      <c r="X56" s="7" t="str">
        <f>VLOOKUP($S56,Mapping!$E$140:$K$2771,5,0)</f>
        <v>Labour</v>
      </c>
      <c r="Y56" s="7" t="str">
        <f>VLOOKUP($S56,Mapping!$E$140:$K$2771,7,0)</f>
        <v>ENDirect</v>
      </c>
      <c r="Z56" s="7" t="str">
        <f>IFERROR(HLOOKUP(X56,'Calc|Weightings'!$K$5:$M$5,1,0),"Excl")</f>
        <v>Labour</v>
      </c>
      <c r="AA56" s="7" t="str">
        <f>VLOOKUP(Q56,Mapping!$E$11:$I$96,5,0)</f>
        <v>SCS</v>
      </c>
      <c r="AC56" s="111">
        <v>102</v>
      </c>
      <c r="AD56" s="111" t="s">
        <v>2070</v>
      </c>
      <c r="AE56" s="111">
        <v>613571</v>
      </c>
      <c r="AF56" s="111" t="s">
        <v>1485</v>
      </c>
      <c r="AG56" s="112">
        <v>0.19950000000000001</v>
      </c>
      <c r="AI56" s="7" t="str">
        <f>VLOOKUP($AC56,Mapping!$E$11:$I$96,3,0)</f>
        <v>Connections</v>
      </c>
      <c r="AJ56" s="7" t="str">
        <f>VLOOKUP($AE56,Mapping!$E$140:$K$2771,5,0)</f>
        <v>Labour</v>
      </c>
      <c r="AK56" s="7" t="str">
        <f>VLOOKUP($AE56,Mapping!$E$140:$K$2771,7,0)</f>
        <v>ENDirect</v>
      </c>
      <c r="AL56" s="7" t="str">
        <f>IFERROR(HLOOKUP(AJ56,'Calc|Weightings'!$K$5:$M$5,1,0),"Excl")</f>
        <v>Labour</v>
      </c>
      <c r="AM56" s="7" t="str">
        <f>VLOOKUP(AC56,Mapping!$E$11:$I$96,5,0)</f>
        <v>SCS</v>
      </c>
      <c r="AO56" s="134">
        <v>102</v>
      </c>
      <c r="AP56" s="135" t="s">
        <v>2070</v>
      </c>
      <c r="AQ56" s="135">
        <v>613575</v>
      </c>
      <c r="AR56" s="135" t="s">
        <v>1489</v>
      </c>
      <c r="AS56" s="136">
        <v>7.2281300000000002</v>
      </c>
      <c r="AU56" s="7" t="str">
        <f>VLOOKUP($AO56,Mapping!$E$11:$I$96,3,0)</f>
        <v>Connections</v>
      </c>
      <c r="AV56" s="7" t="str">
        <f>VLOOKUP($AQ56,Mapping!$E$140:$K$2771,5,0)</f>
        <v>Labour</v>
      </c>
      <c r="AW56" s="7" t="str">
        <f>VLOOKUP($AQ56,Mapping!$E$140:$K$2771,7,0)</f>
        <v>ENDirect</v>
      </c>
      <c r="AX56" s="7" t="str">
        <f>IFERROR(HLOOKUP(AV56,'Calc|Weightings'!$K$5:$M$5,1,0),"Excl")</f>
        <v>Labour</v>
      </c>
      <c r="AY56" s="7" t="str">
        <f>VLOOKUP(AO56,Mapping!$E$11:$I$96,5,0)</f>
        <v>SCS</v>
      </c>
    </row>
    <row r="57" spans="1:51" x14ac:dyDescent="0.2">
      <c r="A57" s="7"/>
      <c r="B57" s="7"/>
      <c r="C57" s="7"/>
      <c r="D57" s="7"/>
      <c r="E57" s="36">
        <v>102</v>
      </c>
      <c r="F57" s="36" t="s">
        <v>2070</v>
      </c>
      <c r="G57" s="36">
        <v>613370</v>
      </c>
      <c r="H57" s="36" t="s">
        <v>1402</v>
      </c>
      <c r="I57" s="37">
        <v>5.0518900000000002</v>
      </c>
      <c r="J57" s="7"/>
      <c r="K57" s="7" t="str">
        <f>VLOOKUP($E57,Mapping!$E$11:$I$96,3,0)</f>
        <v>Connections</v>
      </c>
      <c r="L57" s="7" t="str">
        <f>VLOOKUP($G57,Mapping!$E$140:$K$2771,5,0)</f>
        <v>Labour</v>
      </c>
      <c r="M57" s="7" t="str">
        <f>VLOOKUP($G57,Mapping!$E$140:$K$2771,7,0)</f>
        <v>ENDirect</v>
      </c>
      <c r="N57" s="7" t="str">
        <f>IFERROR(HLOOKUP(L57,'Calc|Weightings'!$K$5:$M$5,1,0),"Excl")</f>
        <v>Labour</v>
      </c>
      <c r="O57" s="7" t="str">
        <f>VLOOKUP(E57,Mapping!$E$11:$I$96,5,0)</f>
        <v>SCS</v>
      </c>
      <c r="Q57" s="33">
        <v>102</v>
      </c>
      <c r="R57" s="33" t="s">
        <v>2070</v>
      </c>
      <c r="S57" s="33">
        <v>613575</v>
      </c>
      <c r="T57" s="33" t="s">
        <v>1489</v>
      </c>
      <c r="U57" s="34">
        <v>0.32444000000000001</v>
      </c>
      <c r="V57" s="7"/>
      <c r="W57" s="7" t="str">
        <f>VLOOKUP($Q57,Mapping!$E$11:$I$96,3,0)</f>
        <v>Connections</v>
      </c>
      <c r="X57" s="7" t="str">
        <f>VLOOKUP($S57,Mapping!$E$140:$K$2771,5,0)</f>
        <v>Labour</v>
      </c>
      <c r="Y57" s="7" t="str">
        <f>VLOOKUP($S57,Mapping!$E$140:$K$2771,7,0)</f>
        <v>ENDirect</v>
      </c>
      <c r="Z57" s="7" t="str">
        <f>IFERROR(HLOOKUP(X57,'Calc|Weightings'!$K$5:$M$5,1,0),"Excl")</f>
        <v>Labour</v>
      </c>
      <c r="AA57" s="7" t="str">
        <f>VLOOKUP(Q57,Mapping!$E$11:$I$96,5,0)</f>
        <v>SCS</v>
      </c>
      <c r="AC57" s="111">
        <v>102</v>
      </c>
      <c r="AD57" s="111" t="s">
        <v>2070</v>
      </c>
      <c r="AE57" s="111">
        <v>613574</v>
      </c>
      <c r="AF57" s="111" t="s">
        <v>1488</v>
      </c>
      <c r="AG57" s="112">
        <v>66.086489999999998</v>
      </c>
      <c r="AI57" s="7" t="str">
        <f>VLOOKUP($AC57,Mapping!$E$11:$I$96,3,0)</f>
        <v>Connections</v>
      </c>
      <c r="AJ57" s="7" t="str">
        <f>VLOOKUP($AE57,Mapping!$E$140:$K$2771,5,0)</f>
        <v>Labour</v>
      </c>
      <c r="AK57" s="7" t="str">
        <f>VLOOKUP($AE57,Mapping!$E$140:$K$2771,7,0)</f>
        <v>ENDirect</v>
      </c>
      <c r="AL57" s="7" t="str">
        <f>IFERROR(HLOOKUP(AJ57,'Calc|Weightings'!$K$5:$M$5,1,0),"Excl")</f>
        <v>Labour</v>
      </c>
      <c r="AM57" s="7" t="str">
        <f>VLOOKUP(AC57,Mapping!$E$11:$I$96,5,0)</f>
        <v>SCS</v>
      </c>
      <c r="AO57" s="134">
        <v>102</v>
      </c>
      <c r="AP57" s="135" t="s">
        <v>2070</v>
      </c>
      <c r="AQ57" s="135">
        <v>613576</v>
      </c>
      <c r="AR57" s="135" t="s">
        <v>1490</v>
      </c>
      <c r="AS57" s="136">
        <v>9.4737600000000004</v>
      </c>
      <c r="AU57" s="7" t="str">
        <f>VLOOKUP($AO57,Mapping!$E$11:$I$96,3,0)</f>
        <v>Connections</v>
      </c>
      <c r="AV57" s="7" t="str">
        <f>VLOOKUP($AQ57,Mapping!$E$140:$K$2771,5,0)</f>
        <v>Labour</v>
      </c>
      <c r="AW57" s="7" t="str">
        <f>VLOOKUP($AQ57,Mapping!$E$140:$K$2771,7,0)</f>
        <v>ENDirect</v>
      </c>
      <c r="AX57" s="7" t="str">
        <f>IFERROR(HLOOKUP(AV57,'Calc|Weightings'!$K$5:$M$5,1,0),"Excl")</f>
        <v>Labour</v>
      </c>
      <c r="AY57" s="7" t="str">
        <f>VLOOKUP(AO57,Mapping!$E$11:$I$96,5,0)</f>
        <v>SCS</v>
      </c>
    </row>
    <row r="58" spans="1:51" x14ac:dyDescent="0.2">
      <c r="A58" s="7"/>
      <c r="B58" s="7"/>
      <c r="C58" s="7"/>
      <c r="D58" s="7"/>
      <c r="E58" s="36">
        <v>102</v>
      </c>
      <c r="F58" s="36" t="s">
        <v>2070</v>
      </c>
      <c r="G58" s="36">
        <v>613400</v>
      </c>
      <c r="H58" s="36" t="s">
        <v>2099</v>
      </c>
      <c r="I58" s="37">
        <v>5.9637900000000004</v>
      </c>
      <c r="J58" s="7"/>
      <c r="K58" s="7" t="str">
        <f>VLOOKUP($E58,Mapping!$E$11:$I$96,3,0)</f>
        <v>Connections</v>
      </c>
      <c r="L58" s="7" t="str">
        <f>VLOOKUP($G58,Mapping!$E$140:$K$2771,5,0)</f>
        <v>Labour</v>
      </c>
      <c r="M58" s="7" t="str">
        <f>VLOOKUP($G58,Mapping!$E$140:$K$2771,7,0)</f>
        <v>ENDirect</v>
      </c>
      <c r="N58" s="7" t="str">
        <f>IFERROR(HLOOKUP(L58,'Calc|Weightings'!$K$5:$M$5,1,0),"Excl")</f>
        <v>Labour</v>
      </c>
      <c r="O58" s="7" t="str">
        <f>VLOOKUP(E58,Mapping!$E$11:$I$96,5,0)</f>
        <v>SCS</v>
      </c>
      <c r="Q58" s="33">
        <v>102</v>
      </c>
      <c r="R58" s="33" t="s">
        <v>2070</v>
      </c>
      <c r="S58" s="33">
        <v>613602</v>
      </c>
      <c r="T58" s="33" t="s">
        <v>1494</v>
      </c>
      <c r="U58" s="34">
        <v>1.5382800000000001</v>
      </c>
      <c r="V58" s="7"/>
      <c r="W58" s="7" t="str">
        <f>VLOOKUP($Q58,Mapping!$E$11:$I$96,3,0)</f>
        <v>Connections</v>
      </c>
      <c r="X58" s="7" t="str">
        <f>VLOOKUP($S58,Mapping!$E$140:$K$2771,5,0)</f>
        <v>Labour</v>
      </c>
      <c r="Y58" s="7" t="str">
        <f>VLOOKUP($S58,Mapping!$E$140:$K$2771,7,0)</f>
        <v>ENDirect</v>
      </c>
      <c r="Z58" s="7" t="str">
        <f>IFERROR(HLOOKUP(X58,'Calc|Weightings'!$K$5:$M$5,1,0),"Excl")</f>
        <v>Labour</v>
      </c>
      <c r="AA58" s="7" t="str">
        <f>VLOOKUP(Q58,Mapping!$E$11:$I$96,5,0)</f>
        <v>SCS</v>
      </c>
      <c r="AC58" s="111">
        <v>102</v>
      </c>
      <c r="AD58" s="111" t="s">
        <v>2070</v>
      </c>
      <c r="AE58" s="111">
        <v>613575</v>
      </c>
      <c r="AF58" s="111" t="s">
        <v>1489</v>
      </c>
      <c r="AG58" s="112">
        <v>5.9776600000000002</v>
      </c>
      <c r="AI58" s="7" t="str">
        <f>VLOOKUP($AC58,Mapping!$E$11:$I$96,3,0)</f>
        <v>Connections</v>
      </c>
      <c r="AJ58" s="7" t="str">
        <f>VLOOKUP($AE58,Mapping!$E$140:$K$2771,5,0)</f>
        <v>Labour</v>
      </c>
      <c r="AK58" s="7" t="str">
        <f>VLOOKUP($AE58,Mapping!$E$140:$K$2771,7,0)</f>
        <v>ENDirect</v>
      </c>
      <c r="AL58" s="7" t="str">
        <f>IFERROR(HLOOKUP(AJ58,'Calc|Weightings'!$K$5:$M$5,1,0),"Excl")</f>
        <v>Labour</v>
      </c>
      <c r="AM58" s="7" t="str">
        <f>VLOOKUP(AC58,Mapping!$E$11:$I$96,5,0)</f>
        <v>SCS</v>
      </c>
      <c r="AO58" s="134">
        <v>102</v>
      </c>
      <c r="AP58" s="135" t="s">
        <v>2070</v>
      </c>
      <c r="AQ58" s="135">
        <v>613630</v>
      </c>
      <c r="AR58" s="135" t="s">
        <v>1498</v>
      </c>
      <c r="AS58" s="136">
        <v>3.15645</v>
      </c>
      <c r="AU58" s="7" t="str">
        <f>VLOOKUP($AO58,Mapping!$E$11:$I$96,3,0)</f>
        <v>Connections</v>
      </c>
      <c r="AV58" s="7" t="str">
        <f>VLOOKUP($AQ58,Mapping!$E$140:$K$2771,5,0)</f>
        <v>Labour</v>
      </c>
      <c r="AW58" s="7" t="str">
        <f>VLOOKUP($AQ58,Mapping!$E$140:$K$2771,7,0)</f>
        <v>ENDirect</v>
      </c>
      <c r="AX58" s="7" t="str">
        <f>IFERROR(HLOOKUP(AV58,'Calc|Weightings'!$K$5:$M$5,1,0),"Excl")</f>
        <v>Labour</v>
      </c>
      <c r="AY58" s="7" t="str">
        <f>VLOOKUP(AO58,Mapping!$E$11:$I$96,5,0)</f>
        <v>SCS</v>
      </c>
    </row>
    <row r="59" spans="1:51" x14ac:dyDescent="0.2">
      <c r="A59" s="7"/>
      <c r="B59" s="7"/>
      <c r="C59" s="7"/>
      <c r="D59" s="7"/>
      <c r="E59" s="36">
        <v>102</v>
      </c>
      <c r="F59" s="36" t="s">
        <v>2070</v>
      </c>
      <c r="G59" s="36">
        <v>613401</v>
      </c>
      <c r="H59" s="36" t="s">
        <v>2117</v>
      </c>
      <c r="I59" s="37">
        <v>0.30427999999999999</v>
      </c>
      <c r="J59" s="7"/>
      <c r="K59" s="7" t="str">
        <f>VLOOKUP($E59,Mapping!$E$11:$I$96,3,0)</f>
        <v>Connections</v>
      </c>
      <c r="L59" s="7" t="str">
        <f>VLOOKUP($G59,Mapping!$E$140:$K$2771,5,0)</f>
        <v>Labour</v>
      </c>
      <c r="M59" s="7" t="str">
        <f>VLOOKUP($G59,Mapping!$E$140:$K$2771,7,0)</f>
        <v>ENDirect</v>
      </c>
      <c r="N59" s="7" t="str">
        <f>IFERROR(HLOOKUP(L59,'Calc|Weightings'!$K$5:$M$5,1,0),"Excl")</f>
        <v>Labour</v>
      </c>
      <c r="O59" s="7" t="str">
        <f>VLOOKUP(E59,Mapping!$E$11:$I$96,5,0)</f>
        <v>SCS</v>
      </c>
      <c r="Q59" s="33">
        <v>102</v>
      </c>
      <c r="R59" s="33" t="s">
        <v>2070</v>
      </c>
      <c r="S59" s="33">
        <v>613680</v>
      </c>
      <c r="T59" s="33" t="s">
        <v>2107</v>
      </c>
      <c r="U59" s="34">
        <v>44.672499999999999</v>
      </c>
      <c r="V59" s="7"/>
      <c r="W59" s="7" t="str">
        <f>VLOOKUP($Q59,Mapping!$E$11:$I$96,3,0)</f>
        <v>Connections</v>
      </c>
      <c r="X59" s="7" t="str">
        <f>VLOOKUP($S59,Mapping!$E$140:$K$2771,5,0)</f>
        <v>Labour</v>
      </c>
      <c r="Y59" s="7" t="str">
        <f>VLOOKUP($S59,Mapping!$E$140:$K$2771,7,0)</f>
        <v>ENDirect</v>
      </c>
      <c r="Z59" s="7" t="str">
        <f>IFERROR(HLOOKUP(X59,'Calc|Weightings'!$K$5:$M$5,1,0),"Excl")</f>
        <v>Labour</v>
      </c>
      <c r="AA59" s="7" t="str">
        <f>VLOOKUP(Q59,Mapping!$E$11:$I$96,5,0)</f>
        <v>SCS</v>
      </c>
      <c r="AC59" s="111">
        <v>102</v>
      </c>
      <c r="AD59" s="111" t="s">
        <v>2070</v>
      </c>
      <c r="AE59" s="111">
        <v>613576</v>
      </c>
      <c r="AF59" s="111" t="s">
        <v>1490</v>
      </c>
      <c r="AG59" s="112">
        <v>24.71632</v>
      </c>
      <c r="AI59" s="7" t="str">
        <f>VLOOKUP($AC59,Mapping!$E$11:$I$96,3,0)</f>
        <v>Connections</v>
      </c>
      <c r="AJ59" s="7" t="str">
        <f>VLOOKUP($AE59,Mapping!$E$140:$K$2771,5,0)</f>
        <v>Labour</v>
      </c>
      <c r="AK59" s="7" t="str">
        <f>VLOOKUP($AE59,Mapping!$E$140:$K$2771,7,0)</f>
        <v>ENDirect</v>
      </c>
      <c r="AL59" s="7" t="str">
        <f>IFERROR(HLOOKUP(AJ59,'Calc|Weightings'!$K$5:$M$5,1,0),"Excl")</f>
        <v>Labour</v>
      </c>
      <c r="AM59" s="7" t="str">
        <f>VLOOKUP(AC59,Mapping!$E$11:$I$96,5,0)</f>
        <v>SCS</v>
      </c>
      <c r="AO59" s="134">
        <v>102</v>
      </c>
      <c r="AP59" s="135" t="s">
        <v>2070</v>
      </c>
      <c r="AQ59" s="135">
        <v>613680</v>
      </c>
      <c r="AR59" s="135" t="s">
        <v>2107</v>
      </c>
      <c r="AS59" s="136">
        <v>44.814839999999997</v>
      </c>
      <c r="AU59" s="7" t="str">
        <f>VLOOKUP($AO59,Mapping!$E$11:$I$96,3,0)</f>
        <v>Connections</v>
      </c>
      <c r="AV59" s="7" t="str">
        <f>VLOOKUP($AQ59,Mapping!$E$140:$K$2771,5,0)</f>
        <v>Labour</v>
      </c>
      <c r="AW59" s="7" t="str">
        <f>VLOOKUP($AQ59,Mapping!$E$140:$K$2771,7,0)</f>
        <v>ENDirect</v>
      </c>
      <c r="AX59" s="7" t="str">
        <f>IFERROR(HLOOKUP(AV59,'Calc|Weightings'!$K$5:$M$5,1,0),"Excl")</f>
        <v>Labour</v>
      </c>
      <c r="AY59" s="7" t="str">
        <f>VLOOKUP(AO59,Mapping!$E$11:$I$96,5,0)</f>
        <v>SCS</v>
      </c>
    </row>
    <row r="60" spans="1:51" x14ac:dyDescent="0.2">
      <c r="A60" s="7"/>
      <c r="B60" s="7"/>
      <c r="C60" s="7"/>
      <c r="D60" s="7"/>
      <c r="E60" s="36">
        <v>102</v>
      </c>
      <c r="F60" s="36" t="s">
        <v>2070</v>
      </c>
      <c r="G60" s="36">
        <v>613408</v>
      </c>
      <c r="H60" s="36" t="s">
        <v>1418</v>
      </c>
      <c r="I60" s="37">
        <v>96.272630000000007</v>
      </c>
      <c r="J60" s="7"/>
      <c r="K60" s="7" t="str">
        <f>VLOOKUP($E60,Mapping!$E$11:$I$96,3,0)</f>
        <v>Connections</v>
      </c>
      <c r="L60" s="7" t="str">
        <f>VLOOKUP($G60,Mapping!$E$140:$K$2771,5,0)</f>
        <v>Labour</v>
      </c>
      <c r="M60" s="7" t="str">
        <f>VLOOKUP($G60,Mapping!$E$140:$K$2771,7,0)</f>
        <v>ENDirect</v>
      </c>
      <c r="N60" s="7" t="str">
        <f>IFERROR(HLOOKUP(L60,'Calc|Weightings'!$K$5:$M$5,1,0),"Excl")</f>
        <v>Labour</v>
      </c>
      <c r="O60" s="7" t="str">
        <f>VLOOKUP(E60,Mapping!$E$11:$I$96,5,0)</f>
        <v>SCS</v>
      </c>
      <c r="Q60" s="33">
        <v>102</v>
      </c>
      <c r="R60" s="33" t="s">
        <v>2070</v>
      </c>
      <c r="S60" s="33">
        <v>613681</v>
      </c>
      <c r="T60" s="33" t="s">
        <v>2108</v>
      </c>
      <c r="U60" s="34">
        <v>0.24793999999999999</v>
      </c>
      <c r="V60" s="7"/>
      <c r="W60" s="7" t="str">
        <f>VLOOKUP($Q60,Mapping!$E$11:$I$96,3,0)</f>
        <v>Connections</v>
      </c>
      <c r="X60" s="7" t="str">
        <f>VLOOKUP($S60,Mapping!$E$140:$K$2771,5,0)</f>
        <v>Labour</v>
      </c>
      <c r="Y60" s="7" t="str">
        <f>VLOOKUP($S60,Mapping!$E$140:$K$2771,7,0)</f>
        <v>ENDirect</v>
      </c>
      <c r="Z60" s="7" t="str">
        <f>IFERROR(HLOOKUP(X60,'Calc|Weightings'!$K$5:$M$5,1,0),"Excl")</f>
        <v>Labour</v>
      </c>
      <c r="AA60" s="7" t="str">
        <f>VLOOKUP(Q60,Mapping!$E$11:$I$96,5,0)</f>
        <v>SCS</v>
      </c>
      <c r="AC60" s="111">
        <v>102</v>
      </c>
      <c r="AD60" s="111" t="s">
        <v>2070</v>
      </c>
      <c r="AE60" s="111">
        <v>613577</v>
      </c>
      <c r="AF60" s="111" t="s">
        <v>1491</v>
      </c>
      <c r="AG60" s="112">
        <v>5.1104000000000003</v>
      </c>
      <c r="AI60" s="7" t="str">
        <f>VLOOKUP($AC60,Mapping!$E$11:$I$96,3,0)</f>
        <v>Connections</v>
      </c>
      <c r="AJ60" s="7" t="str">
        <f>VLOOKUP($AE60,Mapping!$E$140:$K$2771,5,0)</f>
        <v>Labour</v>
      </c>
      <c r="AK60" s="7" t="str">
        <f>VLOOKUP($AE60,Mapping!$E$140:$K$2771,7,0)</f>
        <v>ENDirect</v>
      </c>
      <c r="AL60" s="7" t="str">
        <f>IFERROR(HLOOKUP(AJ60,'Calc|Weightings'!$K$5:$M$5,1,0),"Excl")</f>
        <v>Labour</v>
      </c>
      <c r="AM60" s="7" t="str">
        <f>VLOOKUP(AC60,Mapping!$E$11:$I$96,5,0)</f>
        <v>SCS</v>
      </c>
      <c r="AO60" s="134">
        <v>102</v>
      </c>
      <c r="AP60" s="135" t="s">
        <v>2070</v>
      </c>
      <c r="AQ60" s="135">
        <v>614115</v>
      </c>
      <c r="AR60" s="135" t="s">
        <v>2109</v>
      </c>
      <c r="AS60" s="136">
        <v>70.990679999999998</v>
      </c>
      <c r="AU60" s="7" t="str">
        <f>VLOOKUP($AO60,Mapping!$E$11:$I$96,3,0)</f>
        <v>Connections</v>
      </c>
      <c r="AV60" s="7" t="str">
        <f>VLOOKUP($AQ60,Mapping!$E$140:$K$2771,5,0)</f>
        <v>Labour</v>
      </c>
      <c r="AW60" s="7" t="str">
        <f>VLOOKUP($AQ60,Mapping!$E$140:$K$2771,7,0)</f>
        <v>ENDirect</v>
      </c>
      <c r="AX60" s="7" t="str">
        <f>IFERROR(HLOOKUP(AV60,'Calc|Weightings'!$K$5:$M$5,1,0),"Excl")</f>
        <v>Labour</v>
      </c>
      <c r="AY60" s="7" t="str">
        <f>VLOOKUP(AO60,Mapping!$E$11:$I$96,5,0)</f>
        <v>SCS</v>
      </c>
    </row>
    <row r="61" spans="1:51" x14ac:dyDescent="0.2">
      <c r="A61" s="7"/>
      <c r="B61" s="7"/>
      <c r="C61" s="7"/>
      <c r="D61" s="7"/>
      <c r="E61" s="36">
        <v>102</v>
      </c>
      <c r="F61" s="36" t="s">
        <v>2070</v>
      </c>
      <c r="G61" s="36">
        <v>613409</v>
      </c>
      <c r="H61" s="36" t="s">
        <v>1419</v>
      </c>
      <c r="I61" s="37">
        <v>26.89798</v>
      </c>
      <c r="J61" s="7"/>
      <c r="K61" s="7" t="str">
        <f>VLOOKUP($E61,Mapping!$E$11:$I$96,3,0)</f>
        <v>Connections</v>
      </c>
      <c r="L61" s="7" t="str">
        <f>VLOOKUP($G61,Mapping!$E$140:$K$2771,5,0)</f>
        <v>Labour</v>
      </c>
      <c r="M61" s="7" t="str">
        <f>VLOOKUP($G61,Mapping!$E$140:$K$2771,7,0)</f>
        <v>ENDirect</v>
      </c>
      <c r="N61" s="7" t="str">
        <f>IFERROR(HLOOKUP(L61,'Calc|Weightings'!$K$5:$M$5,1,0),"Excl")</f>
        <v>Labour</v>
      </c>
      <c r="O61" s="7" t="str">
        <f>VLOOKUP(E61,Mapping!$E$11:$I$96,5,0)</f>
        <v>SCS</v>
      </c>
      <c r="Q61" s="33">
        <v>102</v>
      </c>
      <c r="R61" s="33" t="s">
        <v>2070</v>
      </c>
      <c r="S61" s="33">
        <v>614115</v>
      </c>
      <c r="T61" s="33" t="s">
        <v>2109</v>
      </c>
      <c r="U61" s="34">
        <v>9.0090500000000002</v>
      </c>
      <c r="V61" s="7"/>
      <c r="W61" s="7" t="str">
        <f>VLOOKUP($Q61,Mapping!$E$11:$I$96,3,0)</f>
        <v>Connections</v>
      </c>
      <c r="X61" s="7" t="str">
        <f>VLOOKUP($S61,Mapping!$E$140:$K$2771,5,0)</f>
        <v>Labour</v>
      </c>
      <c r="Y61" s="7" t="str">
        <f>VLOOKUP($S61,Mapping!$E$140:$K$2771,7,0)</f>
        <v>ENDirect</v>
      </c>
      <c r="Z61" s="7" t="str">
        <f>IFERROR(HLOOKUP(X61,'Calc|Weightings'!$K$5:$M$5,1,0),"Excl")</f>
        <v>Labour</v>
      </c>
      <c r="AA61" s="7" t="str">
        <f>VLOOKUP(Q61,Mapping!$E$11:$I$96,5,0)</f>
        <v>SCS</v>
      </c>
      <c r="AC61" s="111">
        <v>102</v>
      </c>
      <c r="AD61" s="111" t="s">
        <v>2070</v>
      </c>
      <c r="AE61" s="111">
        <v>613630</v>
      </c>
      <c r="AF61" s="111" t="s">
        <v>1498</v>
      </c>
      <c r="AG61" s="112">
        <v>7.6813599999999997</v>
      </c>
      <c r="AI61" s="7" t="str">
        <f>VLOOKUP($AC61,Mapping!$E$11:$I$96,3,0)</f>
        <v>Connections</v>
      </c>
      <c r="AJ61" s="7" t="str">
        <f>VLOOKUP($AE61,Mapping!$E$140:$K$2771,5,0)</f>
        <v>Labour</v>
      </c>
      <c r="AK61" s="7" t="str">
        <f>VLOOKUP($AE61,Mapping!$E$140:$K$2771,7,0)</f>
        <v>ENDirect</v>
      </c>
      <c r="AL61" s="7" t="str">
        <f>IFERROR(HLOOKUP(AJ61,'Calc|Weightings'!$K$5:$M$5,1,0),"Excl")</f>
        <v>Labour</v>
      </c>
      <c r="AM61" s="7" t="str">
        <f>VLOOKUP(AC61,Mapping!$E$11:$I$96,5,0)</f>
        <v>SCS</v>
      </c>
      <c r="AO61" s="134">
        <v>102</v>
      </c>
      <c r="AP61" s="135" t="s">
        <v>2070</v>
      </c>
      <c r="AQ61" s="135">
        <v>634001</v>
      </c>
      <c r="AR61" s="135" t="s">
        <v>2110</v>
      </c>
      <c r="AS61" s="136">
        <v>189.20048</v>
      </c>
      <c r="AU61" s="7" t="str">
        <f>VLOOKUP($AO61,Mapping!$E$11:$I$96,3,0)</f>
        <v>Connections</v>
      </c>
      <c r="AV61" s="7" t="str">
        <f>VLOOKUP($AQ61,Mapping!$E$140:$K$2771,5,0)</f>
        <v>Local OH</v>
      </c>
      <c r="AW61" s="7" t="str">
        <f>VLOOKUP($AQ61,Mapping!$E$140:$K$2771,7,0)</f>
        <v>OH</v>
      </c>
      <c r="AX61" s="7" t="str">
        <f>IFERROR(HLOOKUP(AV61,'Calc|Weightings'!$K$5:$M$5,1,0),"Excl")</f>
        <v>Excl</v>
      </c>
      <c r="AY61" s="7" t="str">
        <f>VLOOKUP(AO61,Mapping!$E$11:$I$96,5,0)</f>
        <v>SCS</v>
      </c>
    </row>
    <row r="62" spans="1:51" x14ac:dyDescent="0.2">
      <c r="A62" s="7"/>
      <c r="B62" s="7"/>
      <c r="C62" s="7"/>
      <c r="D62" s="7"/>
      <c r="E62" s="36">
        <v>102</v>
      </c>
      <c r="F62" s="36" t="s">
        <v>2070</v>
      </c>
      <c r="G62" s="36">
        <v>613410</v>
      </c>
      <c r="H62" s="36" t="s">
        <v>2100</v>
      </c>
      <c r="I62" s="37">
        <v>4.2604800000000003</v>
      </c>
      <c r="J62" s="7"/>
      <c r="K62" s="7" t="str">
        <f>VLOOKUP($E62,Mapping!$E$11:$I$96,3,0)</f>
        <v>Connections</v>
      </c>
      <c r="L62" s="7" t="str">
        <f>VLOOKUP($G62,Mapping!$E$140:$K$2771,5,0)</f>
        <v>Labour</v>
      </c>
      <c r="M62" s="7" t="str">
        <f>VLOOKUP($G62,Mapping!$E$140:$K$2771,7,0)</f>
        <v>ENDirect</v>
      </c>
      <c r="N62" s="7" t="str">
        <f>IFERROR(HLOOKUP(L62,'Calc|Weightings'!$K$5:$M$5,1,0),"Excl")</f>
        <v>Labour</v>
      </c>
      <c r="O62" s="7" t="str">
        <f>VLOOKUP(E62,Mapping!$E$11:$I$96,5,0)</f>
        <v>SCS</v>
      </c>
      <c r="Q62" s="33">
        <v>102</v>
      </c>
      <c r="R62" s="33" t="s">
        <v>2070</v>
      </c>
      <c r="S62" s="33">
        <v>634001</v>
      </c>
      <c r="T62" s="33" t="s">
        <v>2110</v>
      </c>
      <c r="U62" s="34">
        <v>153.78450000000001</v>
      </c>
      <c r="V62" s="7"/>
      <c r="W62" s="7" t="str">
        <f>VLOOKUP($Q62,Mapping!$E$11:$I$96,3,0)</f>
        <v>Connections</v>
      </c>
      <c r="X62" s="7" t="str">
        <f>VLOOKUP($S62,Mapping!$E$140:$K$2771,5,0)</f>
        <v>Local OH</v>
      </c>
      <c r="Y62" s="7" t="str">
        <f>VLOOKUP($S62,Mapping!$E$140:$K$2771,7,0)</f>
        <v>OH</v>
      </c>
      <c r="Z62" s="7" t="str">
        <f>IFERROR(HLOOKUP(X62,'Calc|Weightings'!$K$5:$M$5,1,0),"Excl")</f>
        <v>Excl</v>
      </c>
      <c r="AA62" s="7" t="str">
        <f>VLOOKUP(Q62,Mapping!$E$11:$I$96,5,0)</f>
        <v>SCS</v>
      </c>
      <c r="AC62" s="111">
        <v>102</v>
      </c>
      <c r="AD62" s="111" t="s">
        <v>2070</v>
      </c>
      <c r="AE62" s="111">
        <v>613680</v>
      </c>
      <c r="AF62" s="111" t="s">
        <v>2107</v>
      </c>
      <c r="AG62" s="112">
        <v>38.0276</v>
      </c>
      <c r="AI62" s="7" t="str">
        <f>VLOOKUP($AC62,Mapping!$E$11:$I$96,3,0)</f>
        <v>Connections</v>
      </c>
      <c r="AJ62" s="7" t="str">
        <f>VLOOKUP($AE62,Mapping!$E$140:$K$2771,5,0)</f>
        <v>Labour</v>
      </c>
      <c r="AK62" s="7" t="str">
        <f>VLOOKUP($AE62,Mapping!$E$140:$K$2771,7,0)</f>
        <v>ENDirect</v>
      </c>
      <c r="AL62" s="7" t="str">
        <f>IFERROR(HLOOKUP(AJ62,'Calc|Weightings'!$K$5:$M$5,1,0),"Excl")</f>
        <v>Labour</v>
      </c>
      <c r="AM62" s="7" t="str">
        <f>VLOOKUP(AC62,Mapping!$E$11:$I$96,5,0)</f>
        <v>SCS</v>
      </c>
      <c r="AO62" s="134">
        <v>102</v>
      </c>
      <c r="AP62" s="135" t="s">
        <v>2070</v>
      </c>
      <c r="AQ62" s="135">
        <v>635001</v>
      </c>
      <c r="AR62" s="135" t="s">
        <v>1929</v>
      </c>
      <c r="AS62" s="136">
        <v>153.27988999999999</v>
      </c>
      <c r="AU62" s="7" t="str">
        <f>VLOOKUP($AO62,Mapping!$E$11:$I$96,3,0)</f>
        <v>Connections</v>
      </c>
      <c r="AV62" s="7" t="str">
        <f>VLOOKUP($AQ62,Mapping!$E$140:$K$2771,5,0)</f>
        <v>PNS MG</v>
      </c>
      <c r="AW62" s="7" t="str">
        <f>VLOOKUP($AQ62,Mapping!$E$140:$K$2771,7,0)</f>
        <v>ENDirect</v>
      </c>
      <c r="AX62" s="7" t="str">
        <f>IFERROR(HLOOKUP(AV62,'Calc|Weightings'!$K$5:$M$5,1,0),"Excl")</f>
        <v>Excl</v>
      </c>
      <c r="AY62" s="7" t="str">
        <f>VLOOKUP(AO62,Mapping!$E$11:$I$96,5,0)</f>
        <v>SCS</v>
      </c>
    </row>
    <row r="63" spans="1:51" x14ac:dyDescent="0.2">
      <c r="A63" s="7"/>
      <c r="B63" s="7"/>
      <c r="C63" s="7"/>
      <c r="D63" s="7"/>
      <c r="E63" s="36">
        <v>102</v>
      </c>
      <c r="F63" s="36" t="s">
        <v>2070</v>
      </c>
      <c r="G63" s="36">
        <v>613418</v>
      </c>
      <c r="H63" s="36" t="s">
        <v>1424</v>
      </c>
      <c r="I63" s="37">
        <v>21.03612</v>
      </c>
      <c r="J63" s="7"/>
      <c r="K63" s="7" t="str">
        <f>VLOOKUP($E63,Mapping!$E$11:$I$96,3,0)</f>
        <v>Connections</v>
      </c>
      <c r="L63" s="7" t="str">
        <f>VLOOKUP($G63,Mapping!$E$140:$K$2771,5,0)</f>
        <v>Labour</v>
      </c>
      <c r="M63" s="7" t="str">
        <f>VLOOKUP($G63,Mapping!$E$140:$K$2771,7,0)</f>
        <v>ENDirect</v>
      </c>
      <c r="N63" s="7" t="str">
        <f>IFERROR(HLOOKUP(L63,'Calc|Weightings'!$K$5:$M$5,1,0),"Excl")</f>
        <v>Labour</v>
      </c>
      <c r="O63" s="7" t="str">
        <f>VLOOKUP(E63,Mapping!$E$11:$I$96,5,0)</f>
        <v>SCS</v>
      </c>
      <c r="Q63" s="33">
        <v>102</v>
      </c>
      <c r="R63" s="33" t="s">
        <v>2070</v>
      </c>
      <c r="S63" s="33">
        <v>635001</v>
      </c>
      <c r="T63" s="33" t="s">
        <v>1929</v>
      </c>
      <c r="U63" s="34">
        <v>92.138180000000006</v>
      </c>
      <c r="V63" s="7"/>
      <c r="W63" s="7" t="str">
        <f>VLOOKUP($Q63,Mapping!$E$11:$I$96,3,0)</f>
        <v>Connections</v>
      </c>
      <c r="X63" s="7" t="str">
        <f>VLOOKUP($S63,Mapping!$E$140:$K$2771,5,0)</f>
        <v>PNS MG</v>
      </c>
      <c r="Y63" s="7" t="str">
        <f>VLOOKUP($S63,Mapping!$E$140:$K$2771,7,0)</f>
        <v>ENDirect</v>
      </c>
      <c r="Z63" s="7" t="str">
        <f>IFERROR(HLOOKUP(X63,'Calc|Weightings'!$K$5:$M$5,1,0),"Excl")</f>
        <v>Excl</v>
      </c>
      <c r="AA63" s="7" t="str">
        <f>VLOOKUP(Q63,Mapping!$E$11:$I$96,5,0)</f>
        <v>SCS</v>
      </c>
      <c r="AC63" s="111">
        <v>102</v>
      </c>
      <c r="AD63" s="111" t="s">
        <v>2070</v>
      </c>
      <c r="AE63" s="111">
        <v>614115</v>
      </c>
      <c r="AF63" s="111" t="s">
        <v>2109</v>
      </c>
      <c r="AG63" s="112">
        <v>27.721350000000001</v>
      </c>
      <c r="AI63" s="7" t="str">
        <f>VLOOKUP($AC63,Mapping!$E$11:$I$96,3,0)</f>
        <v>Connections</v>
      </c>
      <c r="AJ63" s="7" t="str">
        <f>VLOOKUP($AE63,Mapping!$E$140:$K$2771,5,0)</f>
        <v>Labour</v>
      </c>
      <c r="AK63" s="7" t="str">
        <f>VLOOKUP($AE63,Mapping!$E$140:$K$2771,7,0)</f>
        <v>ENDirect</v>
      </c>
      <c r="AL63" s="7" t="str">
        <f>IFERROR(HLOOKUP(AJ63,'Calc|Weightings'!$K$5:$M$5,1,0),"Excl")</f>
        <v>Labour</v>
      </c>
      <c r="AM63" s="7" t="str">
        <f>VLOOKUP(AC63,Mapping!$E$11:$I$96,5,0)</f>
        <v>SCS</v>
      </c>
      <c r="AO63" s="134">
        <v>102</v>
      </c>
      <c r="AP63" s="135" t="s">
        <v>2070</v>
      </c>
      <c r="AQ63" s="135">
        <v>636001</v>
      </c>
      <c r="AR63" s="135" t="s">
        <v>2111</v>
      </c>
      <c r="AS63" s="136">
        <v>135.61185</v>
      </c>
      <c r="AU63" s="7" t="str">
        <f>VLOOKUP($AO63,Mapping!$E$11:$I$96,3,0)</f>
        <v>Connections</v>
      </c>
      <c r="AV63" s="7" t="str">
        <f>VLOOKUP($AQ63,Mapping!$E$140:$K$2771,5,0)</f>
        <v>System Control OH</v>
      </c>
      <c r="AW63" s="7" t="str">
        <f>VLOOKUP($AQ63,Mapping!$E$140:$K$2771,7,0)</f>
        <v>OH</v>
      </c>
      <c r="AX63" s="7" t="str">
        <f>IFERROR(HLOOKUP(AV63,'Calc|Weightings'!$K$5:$M$5,1,0),"Excl")</f>
        <v>Excl</v>
      </c>
      <c r="AY63" s="7" t="str">
        <f>VLOOKUP(AO63,Mapping!$E$11:$I$96,5,0)</f>
        <v>SCS</v>
      </c>
    </row>
    <row r="64" spans="1:51" x14ac:dyDescent="0.2">
      <c r="A64" s="7"/>
      <c r="B64" s="7"/>
      <c r="C64" s="7"/>
      <c r="D64" s="7"/>
      <c r="E64" s="36">
        <v>102</v>
      </c>
      <c r="F64" s="36" t="s">
        <v>2070</v>
      </c>
      <c r="G64" s="36">
        <v>613419</v>
      </c>
      <c r="H64" s="36" t="s">
        <v>1425</v>
      </c>
      <c r="I64" s="37">
        <v>5.9452199999999999</v>
      </c>
      <c r="J64" s="7"/>
      <c r="K64" s="7" t="str">
        <f>VLOOKUP($E64,Mapping!$E$11:$I$96,3,0)</f>
        <v>Connections</v>
      </c>
      <c r="L64" s="7" t="str">
        <f>VLOOKUP($G64,Mapping!$E$140:$K$2771,5,0)</f>
        <v>Labour</v>
      </c>
      <c r="M64" s="7" t="str">
        <f>VLOOKUP($G64,Mapping!$E$140:$K$2771,7,0)</f>
        <v>ENDirect</v>
      </c>
      <c r="N64" s="7" t="str">
        <f>IFERROR(HLOOKUP(L64,'Calc|Weightings'!$K$5:$M$5,1,0),"Excl")</f>
        <v>Labour</v>
      </c>
      <c r="O64" s="7" t="str">
        <f>VLOOKUP(E64,Mapping!$E$11:$I$96,5,0)</f>
        <v>SCS</v>
      </c>
      <c r="Q64" s="33">
        <v>102</v>
      </c>
      <c r="R64" s="33" t="s">
        <v>2070</v>
      </c>
      <c r="S64" s="33">
        <v>636001</v>
      </c>
      <c r="T64" s="33" t="s">
        <v>2111</v>
      </c>
      <c r="U64" s="34">
        <v>45.694699999999997</v>
      </c>
      <c r="V64" s="7"/>
      <c r="W64" s="7" t="str">
        <f>VLOOKUP($Q64,Mapping!$E$11:$I$96,3,0)</f>
        <v>Connections</v>
      </c>
      <c r="X64" s="7" t="str">
        <f>VLOOKUP($S64,Mapping!$E$140:$K$2771,5,0)</f>
        <v>System Control OH</v>
      </c>
      <c r="Y64" s="7" t="str">
        <f>VLOOKUP($S64,Mapping!$E$140:$K$2771,7,0)</f>
        <v>OH</v>
      </c>
      <c r="Z64" s="7" t="str">
        <f>IFERROR(HLOOKUP(X64,'Calc|Weightings'!$K$5:$M$5,1,0),"Excl")</f>
        <v>Excl</v>
      </c>
      <c r="AA64" s="7" t="str">
        <f>VLOOKUP(Q64,Mapping!$E$11:$I$96,5,0)</f>
        <v>SCS</v>
      </c>
      <c r="AC64" s="111">
        <v>102</v>
      </c>
      <c r="AD64" s="111" t="s">
        <v>2070</v>
      </c>
      <c r="AE64" s="111">
        <v>634001</v>
      </c>
      <c r="AF64" s="111" t="s">
        <v>2110</v>
      </c>
      <c r="AG64" s="112">
        <v>152.09796</v>
      </c>
      <c r="AI64" s="7" t="str">
        <f>VLOOKUP($AC64,Mapping!$E$11:$I$96,3,0)</f>
        <v>Connections</v>
      </c>
      <c r="AJ64" s="7" t="str">
        <f>VLOOKUP($AE64,Mapping!$E$140:$K$2771,5,0)</f>
        <v>Local OH</v>
      </c>
      <c r="AK64" s="7" t="str">
        <f>VLOOKUP($AE64,Mapping!$E$140:$K$2771,7,0)</f>
        <v>OH</v>
      </c>
      <c r="AL64" s="7" t="str">
        <f>IFERROR(HLOOKUP(AJ64,'Calc|Weightings'!$K$5:$M$5,1,0),"Excl")</f>
        <v>Excl</v>
      </c>
      <c r="AM64" s="7" t="str">
        <f>VLOOKUP(AC64,Mapping!$E$11:$I$96,5,0)</f>
        <v>SCS</v>
      </c>
      <c r="AO64" s="134">
        <v>102</v>
      </c>
      <c r="AP64" s="135" t="s">
        <v>2070</v>
      </c>
      <c r="AQ64" s="135">
        <v>636105</v>
      </c>
      <c r="AR64" s="135" t="s">
        <v>1937</v>
      </c>
      <c r="AS64" s="136">
        <v>6.80037</v>
      </c>
      <c r="AU64" s="7" t="str">
        <f>VLOOKUP($AO64,Mapping!$E$11:$I$96,3,0)</f>
        <v>Connections</v>
      </c>
      <c r="AV64" s="7" t="str">
        <f>VLOOKUP($AQ64,Mapping!$E$140:$K$2771,5,0)</f>
        <v>CSG MG</v>
      </c>
      <c r="AW64" s="7" t="str">
        <f>VLOOKUP($AQ64,Mapping!$E$140:$K$2771,7,0)</f>
        <v>ENDirect</v>
      </c>
      <c r="AX64" s="7" t="str">
        <f>IFERROR(HLOOKUP(AV64,'Calc|Weightings'!$K$5:$M$5,1,0),"Excl")</f>
        <v>Excl</v>
      </c>
      <c r="AY64" s="7" t="str">
        <f>VLOOKUP(AO64,Mapping!$E$11:$I$96,5,0)</f>
        <v>SCS</v>
      </c>
    </row>
    <row r="65" spans="1:51" x14ac:dyDescent="0.2">
      <c r="A65" s="7"/>
      <c r="B65" s="7"/>
      <c r="C65" s="7"/>
      <c r="D65" s="7"/>
      <c r="E65" s="36">
        <v>102</v>
      </c>
      <c r="F65" s="36" t="s">
        <v>2070</v>
      </c>
      <c r="G65" s="36">
        <v>613428</v>
      </c>
      <c r="H65" s="36" t="s">
        <v>1430</v>
      </c>
      <c r="I65" s="37">
        <v>7.0806399999999998</v>
      </c>
      <c r="J65" s="7"/>
      <c r="K65" s="7" t="str">
        <f>VLOOKUP($E65,Mapping!$E$11:$I$96,3,0)</f>
        <v>Connections</v>
      </c>
      <c r="L65" s="7" t="str">
        <f>VLOOKUP($G65,Mapping!$E$140:$K$2771,5,0)</f>
        <v>Labour</v>
      </c>
      <c r="M65" s="7" t="str">
        <f>VLOOKUP($G65,Mapping!$E$140:$K$2771,7,0)</f>
        <v>ENDirect</v>
      </c>
      <c r="N65" s="7" t="str">
        <f>IFERROR(HLOOKUP(L65,'Calc|Weightings'!$K$5:$M$5,1,0),"Excl")</f>
        <v>Labour</v>
      </c>
      <c r="O65" s="7" t="str">
        <f>VLOOKUP(E65,Mapping!$E$11:$I$96,5,0)</f>
        <v>SCS</v>
      </c>
      <c r="Q65" s="33">
        <v>102</v>
      </c>
      <c r="R65" s="33" t="s">
        <v>2070</v>
      </c>
      <c r="S65" s="33">
        <v>636105</v>
      </c>
      <c r="T65" s="33" t="s">
        <v>1937</v>
      </c>
      <c r="U65" s="34">
        <v>0.90280000000000005</v>
      </c>
      <c r="V65" s="7"/>
      <c r="W65" s="7" t="str">
        <f>VLOOKUP($Q65,Mapping!$E$11:$I$96,3,0)</f>
        <v>Connections</v>
      </c>
      <c r="X65" s="7" t="str">
        <f>VLOOKUP($S65,Mapping!$E$140:$K$2771,5,0)</f>
        <v>CSG MG</v>
      </c>
      <c r="Y65" s="7" t="str">
        <f>VLOOKUP($S65,Mapping!$E$140:$K$2771,7,0)</f>
        <v>ENDirect</v>
      </c>
      <c r="Z65" s="7" t="str">
        <f>IFERROR(HLOOKUP(X65,'Calc|Weightings'!$K$5:$M$5,1,0),"Excl")</f>
        <v>Excl</v>
      </c>
      <c r="AA65" s="7" t="str">
        <f>VLOOKUP(Q65,Mapping!$E$11:$I$96,5,0)</f>
        <v>SCS</v>
      </c>
      <c r="AC65" s="111">
        <v>102</v>
      </c>
      <c r="AD65" s="111" t="s">
        <v>2070</v>
      </c>
      <c r="AE65" s="111">
        <v>635001</v>
      </c>
      <c r="AF65" s="111" t="s">
        <v>1929</v>
      </c>
      <c r="AG65" s="112">
        <v>99.777349999999998</v>
      </c>
      <c r="AI65" s="7" t="str">
        <f>VLOOKUP($AC65,Mapping!$E$11:$I$96,3,0)</f>
        <v>Connections</v>
      </c>
      <c r="AJ65" s="7" t="str">
        <f>VLOOKUP($AE65,Mapping!$E$140:$K$2771,5,0)</f>
        <v>PNS MG</v>
      </c>
      <c r="AK65" s="7" t="str">
        <f>VLOOKUP($AE65,Mapping!$E$140:$K$2771,7,0)</f>
        <v>ENDirect</v>
      </c>
      <c r="AL65" s="7" t="str">
        <f>IFERROR(HLOOKUP(AJ65,'Calc|Weightings'!$K$5:$M$5,1,0),"Excl")</f>
        <v>Excl</v>
      </c>
      <c r="AM65" s="7" t="str">
        <f>VLOOKUP(AC65,Mapping!$E$11:$I$96,5,0)</f>
        <v>SCS</v>
      </c>
      <c r="AO65" s="134">
        <v>102</v>
      </c>
      <c r="AP65" s="135" t="s">
        <v>2070</v>
      </c>
      <c r="AQ65" s="135">
        <v>639000</v>
      </c>
      <c r="AR65" s="135" t="s">
        <v>2112</v>
      </c>
      <c r="AS65" s="136">
        <v>120.90353</v>
      </c>
      <c r="AU65" s="7" t="str">
        <f>VLOOKUP($AO65,Mapping!$E$11:$I$96,3,0)</f>
        <v>Connections</v>
      </c>
      <c r="AV65" s="7" t="str">
        <f>VLOOKUP($AQ65,Mapping!$E$140:$K$2771,5,0)</f>
        <v>PNS Corporate OH</v>
      </c>
      <c r="AW65" s="7" t="str">
        <f>VLOOKUP($AQ65,Mapping!$E$140:$K$2771,7,0)</f>
        <v>OH</v>
      </c>
      <c r="AX65" s="7" t="str">
        <f>IFERROR(HLOOKUP(AV65,'Calc|Weightings'!$K$5:$M$5,1,0),"Excl")</f>
        <v>Excl</v>
      </c>
      <c r="AY65" s="7" t="str">
        <f>VLOOKUP(AO65,Mapping!$E$11:$I$96,5,0)</f>
        <v>SCS</v>
      </c>
    </row>
    <row r="66" spans="1:51" x14ac:dyDescent="0.2">
      <c r="A66" s="7"/>
      <c r="B66" s="7"/>
      <c r="C66" s="7"/>
      <c r="D66" s="7"/>
      <c r="E66" s="36">
        <v>102</v>
      </c>
      <c r="F66" s="36" t="s">
        <v>2070</v>
      </c>
      <c r="G66" s="36">
        <v>613438</v>
      </c>
      <c r="H66" s="36" t="s">
        <v>1436</v>
      </c>
      <c r="I66" s="37">
        <v>11.05921</v>
      </c>
      <c r="J66" s="7"/>
      <c r="K66" s="7" t="str">
        <f>VLOOKUP($E66,Mapping!$E$11:$I$96,3,0)</f>
        <v>Connections</v>
      </c>
      <c r="L66" s="7" t="str">
        <f>VLOOKUP($G66,Mapping!$E$140:$K$2771,5,0)</f>
        <v>Labour</v>
      </c>
      <c r="M66" s="7" t="str">
        <f>VLOOKUP($G66,Mapping!$E$140:$K$2771,7,0)</f>
        <v>ENDirect</v>
      </c>
      <c r="N66" s="7" t="str">
        <f>IFERROR(HLOOKUP(L66,'Calc|Weightings'!$K$5:$M$5,1,0),"Excl")</f>
        <v>Labour</v>
      </c>
      <c r="O66" s="7" t="str">
        <f>VLOOKUP(E66,Mapping!$E$11:$I$96,5,0)</f>
        <v>SCS</v>
      </c>
      <c r="Q66" s="33">
        <v>102</v>
      </c>
      <c r="R66" s="33" t="s">
        <v>2070</v>
      </c>
      <c r="S66" s="33">
        <v>639000</v>
      </c>
      <c r="T66" s="33" t="s">
        <v>2112</v>
      </c>
      <c r="U66" s="34">
        <v>119.3592</v>
      </c>
      <c r="V66" s="7"/>
      <c r="W66" s="7" t="str">
        <f>VLOOKUP($Q66,Mapping!$E$11:$I$96,3,0)</f>
        <v>Connections</v>
      </c>
      <c r="X66" s="7" t="str">
        <f>VLOOKUP($S66,Mapping!$E$140:$K$2771,5,0)</f>
        <v>PNS Corporate OH</v>
      </c>
      <c r="Y66" s="7" t="str">
        <f>VLOOKUP($S66,Mapping!$E$140:$K$2771,7,0)</f>
        <v>OH</v>
      </c>
      <c r="Z66" s="7" t="str">
        <f>IFERROR(HLOOKUP(X66,'Calc|Weightings'!$K$5:$M$5,1,0),"Excl")</f>
        <v>Excl</v>
      </c>
      <c r="AA66" s="7" t="str">
        <f>VLOOKUP(Q66,Mapping!$E$11:$I$96,5,0)</f>
        <v>SCS</v>
      </c>
      <c r="AC66" s="111">
        <v>102</v>
      </c>
      <c r="AD66" s="111" t="s">
        <v>2070</v>
      </c>
      <c r="AE66" s="111">
        <v>636001</v>
      </c>
      <c r="AF66" s="111" t="s">
        <v>2111</v>
      </c>
      <c r="AG66" s="112">
        <v>73.225440000000006</v>
      </c>
      <c r="AI66" s="7" t="str">
        <f>VLOOKUP($AC66,Mapping!$E$11:$I$96,3,0)</f>
        <v>Connections</v>
      </c>
      <c r="AJ66" s="7" t="str">
        <f>VLOOKUP($AE66,Mapping!$E$140:$K$2771,5,0)</f>
        <v>System Control OH</v>
      </c>
      <c r="AK66" s="7" t="str">
        <f>VLOOKUP($AE66,Mapping!$E$140:$K$2771,7,0)</f>
        <v>OH</v>
      </c>
      <c r="AL66" s="7" t="str">
        <f>IFERROR(HLOOKUP(AJ66,'Calc|Weightings'!$K$5:$M$5,1,0),"Excl")</f>
        <v>Excl</v>
      </c>
      <c r="AM66" s="7" t="str">
        <f>VLOOKUP(AC66,Mapping!$E$11:$I$96,5,0)</f>
        <v>SCS</v>
      </c>
      <c r="AO66" s="134">
        <v>102</v>
      </c>
      <c r="AP66" s="135" t="s">
        <v>2070</v>
      </c>
      <c r="AQ66" s="135">
        <v>639050</v>
      </c>
      <c r="AR66" s="135" t="s">
        <v>2113</v>
      </c>
      <c r="AS66" s="136">
        <v>35.82123</v>
      </c>
      <c r="AU66" s="7" t="str">
        <f>VLOOKUP($AO66,Mapping!$E$11:$I$96,3,0)</f>
        <v>Connections</v>
      </c>
      <c r="AV66" s="7" t="str">
        <f>VLOOKUP($AQ66,Mapping!$E$140:$K$2771,5,0)</f>
        <v>PNS Fleet &amp; Property OH</v>
      </c>
      <c r="AW66" s="7" t="str">
        <f>VLOOKUP($AQ66,Mapping!$E$140:$K$2771,7,0)</f>
        <v>OH</v>
      </c>
      <c r="AX66" s="7" t="str">
        <f>IFERROR(HLOOKUP(AV66,'Calc|Weightings'!$K$5:$M$5,1,0),"Excl")</f>
        <v>Excl</v>
      </c>
      <c r="AY66" s="7" t="str">
        <f>VLOOKUP(AO66,Mapping!$E$11:$I$96,5,0)</f>
        <v>SCS</v>
      </c>
    </row>
    <row r="67" spans="1:51" x14ac:dyDescent="0.2">
      <c r="A67" s="7"/>
      <c r="B67" s="7"/>
      <c r="C67" s="7"/>
      <c r="D67" s="7"/>
      <c r="E67" s="36">
        <v>102</v>
      </c>
      <c r="F67" s="36" t="s">
        <v>2070</v>
      </c>
      <c r="G67" s="36">
        <v>613439</v>
      </c>
      <c r="H67" s="36" t="s">
        <v>1437</v>
      </c>
      <c r="I67" s="37">
        <v>3.07978</v>
      </c>
      <c r="J67" s="7"/>
      <c r="K67" s="7" t="str">
        <f>VLOOKUP($E67,Mapping!$E$11:$I$96,3,0)</f>
        <v>Connections</v>
      </c>
      <c r="L67" s="7" t="str">
        <f>VLOOKUP($G67,Mapping!$E$140:$K$2771,5,0)</f>
        <v>Labour</v>
      </c>
      <c r="M67" s="7" t="str">
        <f>VLOOKUP($G67,Mapping!$E$140:$K$2771,7,0)</f>
        <v>ENDirect</v>
      </c>
      <c r="N67" s="7" t="str">
        <f>IFERROR(HLOOKUP(L67,'Calc|Weightings'!$K$5:$M$5,1,0),"Excl")</f>
        <v>Labour</v>
      </c>
      <c r="O67" s="7" t="str">
        <f>VLOOKUP(E67,Mapping!$E$11:$I$96,5,0)</f>
        <v>SCS</v>
      </c>
      <c r="Q67" s="33">
        <v>102</v>
      </c>
      <c r="R67" s="33" t="s">
        <v>2070</v>
      </c>
      <c r="S67" s="33">
        <v>639050</v>
      </c>
      <c r="T67" s="33" t="s">
        <v>2113</v>
      </c>
      <c r="U67" s="34">
        <v>20.70112</v>
      </c>
      <c r="V67" s="7"/>
      <c r="W67" s="7" t="str">
        <f>VLOOKUP($Q67,Mapping!$E$11:$I$96,3,0)</f>
        <v>Connections</v>
      </c>
      <c r="X67" s="7" t="str">
        <f>VLOOKUP($S67,Mapping!$E$140:$K$2771,5,0)</f>
        <v>PNS Fleet &amp; Property OH</v>
      </c>
      <c r="Y67" s="7" t="str">
        <f>VLOOKUP($S67,Mapping!$E$140:$K$2771,7,0)</f>
        <v>OH</v>
      </c>
      <c r="Z67" s="7" t="str">
        <f>IFERROR(HLOOKUP(X67,'Calc|Weightings'!$K$5:$M$5,1,0),"Excl")</f>
        <v>Excl</v>
      </c>
      <c r="AA67" s="7" t="str">
        <f>VLOOKUP(Q67,Mapping!$E$11:$I$96,5,0)</f>
        <v>SCS</v>
      </c>
      <c r="AC67" s="111">
        <v>102</v>
      </c>
      <c r="AD67" s="111" t="s">
        <v>2070</v>
      </c>
      <c r="AE67" s="111">
        <v>636105</v>
      </c>
      <c r="AF67" s="111" t="s">
        <v>1937</v>
      </c>
      <c r="AG67" s="112">
        <v>2.7945199999999999</v>
      </c>
      <c r="AI67" s="7" t="str">
        <f>VLOOKUP($AC67,Mapping!$E$11:$I$96,3,0)</f>
        <v>Connections</v>
      </c>
      <c r="AJ67" s="7" t="str">
        <f>VLOOKUP($AE67,Mapping!$E$140:$K$2771,5,0)</f>
        <v>CSG MG</v>
      </c>
      <c r="AK67" s="7" t="str">
        <f>VLOOKUP($AE67,Mapping!$E$140:$K$2771,7,0)</f>
        <v>ENDirect</v>
      </c>
      <c r="AL67" s="7" t="str">
        <f>IFERROR(HLOOKUP(AJ67,'Calc|Weightings'!$K$5:$M$5,1,0),"Excl")</f>
        <v>Excl</v>
      </c>
      <c r="AM67" s="7" t="str">
        <f>VLOOKUP(AC67,Mapping!$E$11:$I$96,5,0)</f>
        <v>SCS</v>
      </c>
      <c r="AO67" s="134">
        <v>104</v>
      </c>
      <c r="AP67" s="135" t="s">
        <v>2114</v>
      </c>
      <c r="AQ67" s="135">
        <v>531464</v>
      </c>
      <c r="AR67" s="135" t="s">
        <v>256</v>
      </c>
      <c r="AS67" s="136">
        <v>9.9332200000000004</v>
      </c>
      <c r="AU67" s="7" t="str">
        <f>VLOOKUP($AO67,Mapping!$E$11:$I$96,3,0)</f>
        <v>Connections</v>
      </c>
      <c r="AV67" s="7" t="str">
        <f>VLOOKUP($AQ67,Mapping!$E$140:$K$2771,5,0)</f>
        <v>Contracts</v>
      </c>
      <c r="AW67" s="7" t="str">
        <f>VLOOKUP($AQ67,Mapping!$E$140:$K$2771,7,0)</f>
        <v>ENDirect</v>
      </c>
      <c r="AX67" s="7" t="str">
        <f>IFERROR(HLOOKUP(AV67,'Calc|Weightings'!$K$5:$M$5,1,0),"Excl")</f>
        <v>Contracts</v>
      </c>
      <c r="AY67" s="7" t="str">
        <f>VLOOKUP(AO67,Mapping!$E$11:$I$96,5,0)</f>
        <v>SCS</v>
      </c>
    </row>
    <row r="68" spans="1:51" x14ac:dyDescent="0.2">
      <c r="A68" s="7"/>
      <c r="B68" s="7"/>
      <c r="C68" s="7"/>
      <c r="D68" s="7"/>
      <c r="E68" s="36">
        <v>102</v>
      </c>
      <c r="F68" s="36" t="s">
        <v>2070</v>
      </c>
      <c r="G68" s="36">
        <v>613566</v>
      </c>
      <c r="H68" s="36" t="s">
        <v>1482</v>
      </c>
      <c r="I68" s="37">
        <v>3.6513</v>
      </c>
      <c r="J68" s="7"/>
      <c r="K68" s="7" t="str">
        <f>VLOOKUP($E68,Mapping!$E$11:$I$96,3,0)</f>
        <v>Connections</v>
      </c>
      <c r="L68" s="7" t="str">
        <f>VLOOKUP($G68,Mapping!$E$140:$K$2771,5,0)</f>
        <v>Labour</v>
      </c>
      <c r="M68" s="7" t="str">
        <f>VLOOKUP($G68,Mapping!$E$140:$K$2771,7,0)</f>
        <v>ENDirect</v>
      </c>
      <c r="N68" s="7" t="str">
        <f>IFERROR(HLOOKUP(L68,'Calc|Weightings'!$K$5:$M$5,1,0),"Excl")</f>
        <v>Labour</v>
      </c>
      <c r="O68" s="7" t="str">
        <f>VLOOKUP(E68,Mapping!$E$11:$I$96,5,0)</f>
        <v>SCS</v>
      </c>
      <c r="Q68" s="33">
        <v>104</v>
      </c>
      <c r="R68" s="33" t="s">
        <v>2114</v>
      </c>
      <c r="S68" s="33">
        <v>613290</v>
      </c>
      <c r="T68" s="33" t="s">
        <v>2093</v>
      </c>
      <c r="U68" s="34">
        <v>0.24879999999999999</v>
      </c>
      <c r="V68" s="7"/>
      <c r="W68" s="7" t="str">
        <f>VLOOKUP($Q68,Mapping!$E$11:$I$96,3,0)</f>
        <v>Connections</v>
      </c>
      <c r="X68" s="7" t="str">
        <f>VLOOKUP($S68,Mapping!$E$140:$K$2771,5,0)</f>
        <v>Labour</v>
      </c>
      <c r="Y68" s="7" t="str">
        <f>VLOOKUP($S68,Mapping!$E$140:$K$2771,7,0)</f>
        <v>ENDirect</v>
      </c>
      <c r="Z68" s="7" t="str">
        <f>IFERROR(HLOOKUP(X68,'Calc|Weightings'!$K$5:$M$5,1,0),"Excl")</f>
        <v>Labour</v>
      </c>
      <c r="AA68" s="7" t="str">
        <f>VLOOKUP(Q68,Mapping!$E$11:$I$96,5,0)</f>
        <v>SCS</v>
      </c>
      <c r="AC68" s="111">
        <v>102</v>
      </c>
      <c r="AD68" s="111" t="s">
        <v>2070</v>
      </c>
      <c r="AE68" s="111">
        <v>639000</v>
      </c>
      <c r="AF68" s="111" t="s">
        <v>2112</v>
      </c>
      <c r="AG68" s="112">
        <v>106.1199</v>
      </c>
      <c r="AI68" s="7" t="str">
        <f>VLOOKUP($AC68,Mapping!$E$11:$I$96,3,0)</f>
        <v>Connections</v>
      </c>
      <c r="AJ68" s="7" t="str">
        <f>VLOOKUP($AE68,Mapping!$E$140:$K$2771,5,0)</f>
        <v>PNS Corporate OH</v>
      </c>
      <c r="AK68" s="7" t="str">
        <f>VLOOKUP($AE68,Mapping!$E$140:$K$2771,7,0)</f>
        <v>OH</v>
      </c>
      <c r="AL68" s="7" t="str">
        <f>IFERROR(HLOOKUP(AJ68,'Calc|Weightings'!$K$5:$M$5,1,0),"Excl")</f>
        <v>Excl</v>
      </c>
      <c r="AM68" s="7" t="str">
        <f>VLOOKUP(AC68,Mapping!$E$11:$I$96,5,0)</f>
        <v>SCS</v>
      </c>
      <c r="AO68" s="134">
        <v>104</v>
      </c>
      <c r="AP68" s="135" t="s">
        <v>2114</v>
      </c>
      <c r="AQ68" s="135">
        <v>531467</v>
      </c>
      <c r="AR68" s="135" t="s">
        <v>259</v>
      </c>
      <c r="AS68" s="136">
        <v>1.6742900000000001</v>
      </c>
      <c r="AU68" s="7" t="str">
        <f>VLOOKUP($AO68,Mapping!$E$11:$I$96,3,0)</f>
        <v>Connections</v>
      </c>
      <c r="AV68" s="7" t="str">
        <f>VLOOKUP($AQ68,Mapping!$E$140:$K$2771,5,0)</f>
        <v>Contracts</v>
      </c>
      <c r="AW68" s="7" t="str">
        <f>VLOOKUP($AQ68,Mapping!$E$140:$K$2771,7,0)</f>
        <v>ENDirect</v>
      </c>
      <c r="AX68" s="7" t="str">
        <f>IFERROR(HLOOKUP(AV68,'Calc|Weightings'!$K$5:$M$5,1,0),"Excl")</f>
        <v>Contracts</v>
      </c>
      <c r="AY68" s="7" t="str">
        <f>VLOOKUP(AO68,Mapping!$E$11:$I$96,5,0)</f>
        <v>SCS</v>
      </c>
    </row>
    <row r="69" spans="1:51" x14ac:dyDescent="0.2">
      <c r="A69" s="7"/>
      <c r="B69" s="7"/>
      <c r="C69" s="7"/>
      <c r="D69" s="7"/>
      <c r="E69" s="36">
        <v>102</v>
      </c>
      <c r="F69" s="36" t="s">
        <v>2070</v>
      </c>
      <c r="G69" s="36">
        <v>613571</v>
      </c>
      <c r="H69" s="36" t="s">
        <v>1485</v>
      </c>
      <c r="I69" s="37">
        <v>0.30427999999999999</v>
      </c>
      <c r="J69" s="7"/>
      <c r="K69" s="7" t="str">
        <f>VLOOKUP($E69,Mapping!$E$11:$I$96,3,0)</f>
        <v>Connections</v>
      </c>
      <c r="L69" s="7" t="str">
        <f>VLOOKUP($G69,Mapping!$E$140:$K$2771,5,0)</f>
        <v>Labour</v>
      </c>
      <c r="M69" s="7" t="str">
        <f>VLOOKUP($G69,Mapping!$E$140:$K$2771,7,0)</f>
        <v>ENDirect</v>
      </c>
      <c r="N69" s="7" t="str">
        <f>IFERROR(HLOOKUP(L69,'Calc|Weightings'!$K$5:$M$5,1,0),"Excl")</f>
        <v>Labour</v>
      </c>
      <c r="O69" s="7" t="str">
        <f>VLOOKUP(E69,Mapping!$E$11:$I$96,5,0)</f>
        <v>SCS</v>
      </c>
      <c r="Q69" s="33">
        <v>104</v>
      </c>
      <c r="R69" s="33" t="s">
        <v>2114</v>
      </c>
      <c r="S69" s="33">
        <v>634001</v>
      </c>
      <c r="T69" s="33" t="s">
        <v>2110</v>
      </c>
      <c r="U69" s="34">
        <v>2.1940000000000001E-2</v>
      </c>
      <c r="V69" s="7"/>
      <c r="W69" s="7" t="str">
        <f>VLOOKUP($Q69,Mapping!$E$11:$I$96,3,0)</f>
        <v>Connections</v>
      </c>
      <c r="X69" s="7" t="str">
        <f>VLOOKUP($S69,Mapping!$E$140:$K$2771,5,0)</f>
        <v>Local OH</v>
      </c>
      <c r="Y69" s="7" t="str">
        <f>VLOOKUP($S69,Mapping!$E$140:$K$2771,7,0)</f>
        <v>OH</v>
      </c>
      <c r="Z69" s="7" t="str">
        <f>IFERROR(HLOOKUP(X69,'Calc|Weightings'!$K$5:$M$5,1,0),"Excl")</f>
        <v>Excl</v>
      </c>
      <c r="AA69" s="7" t="str">
        <f>VLOOKUP(Q69,Mapping!$E$11:$I$96,5,0)</f>
        <v>SCS</v>
      </c>
      <c r="AC69" s="111">
        <v>102</v>
      </c>
      <c r="AD69" s="111" t="s">
        <v>2070</v>
      </c>
      <c r="AE69" s="111">
        <v>639050</v>
      </c>
      <c r="AF69" s="111" t="s">
        <v>2113</v>
      </c>
      <c r="AG69" s="112">
        <v>17.164010000000001</v>
      </c>
      <c r="AI69" s="7" t="str">
        <f>VLOOKUP($AC69,Mapping!$E$11:$I$96,3,0)</f>
        <v>Connections</v>
      </c>
      <c r="AJ69" s="7" t="str">
        <f>VLOOKUP($AE69,Mapping!$E$140:$K$2771,5,0)</f>
        <v>PNS Fleet &amp; Property OH</v>
      </c>
      <c r="AK69" s="7" t="str">
        <f>VLOOKUP($AE69,Mapping!$E$140:$K$2771,7,0)</f>
        <v>OH</v>
      </c>
      <c r="AL69" s="7" t="str">
        <f>IFERROR(HLOOKUP(AJ69,'Calc|Weightings'!$K$5:$M$5,1,0),"Excl")</f>
        <v>Excl</v>
      </c>
      <c r="AM69" s="7" t="str">
        <f>VLOOKUP(AC69,Mapping!$E$11:$I$96,5,0)</f>
        <v>SCS</v>
      </c>
      <c r="AO69" s="134">
        <v>104</v>
      </c>
      <c r="AP69" s="135" t="s">
        <v>2114</v>
      </c>
      <c r="AQ69" s="135">
        <v>613290</v>
      </c>
      <c r="AR69" s="135" t="s">
        <v>2093</v>
      </c>
      <c r="AS69" s="136">
        <v>0.26860000000000001</v>
      </c>
      <c r="AU69" s="7" t="str">
        <f>VLOOKUP($AO69,Mapping!$E$11:$I$96,3,0)</f>
        <v>Connections</v>
      </c>
      <c r="AV69" s="7" t="str">
        <f>VLOOKUP($AQ69,Mapping!$E$140:$K$2771,5,0)</f>
        <v>Labour</v>
      </c>
      <c r="AW69" s="7" t="str">
        <f>VLOOKUP($AQ69,Mapping!$E$140:$K$2771,7,0)</f>
        <v>ENDirect</v>
      </c>
      <c r="AX69" s="7" t="str">
        <f>IFERROR(HLOOKUP(AV69,'Calc|Weightings'!$K$5:$M$5,1,0),"Excl")</f>
        <v>Labour</v>
      </c>
      <c r="AY69" s="7" t="str">
        <f>VLOOKUP(AO69,Mapping!$E$11:$I$96,5,0)</f>
        <v>SCS</v>
      </c>
    </row>
    <row r="70" spans="1:51" x14ac:dyDescent="0.2">
      <c r="A70" s="7"/>
      <c r="B70" s="7"/>
      <c r="C70" s="7"/>
      <c r="D70" s="7"/>
      <c r="E70" s="36">
        <v>102</v>
      </c>
      <c r="F70" s="36" t="s">
        <v>2070</v>
      </c>
      <c r="G70" s="36">
        <v>613574</v>
      </c>
      <c r="H70" s="36" t="s">
        <v>1488</v>
      </c>
      <c r="I70" s="37">
        <v>0.37931999999999999</v>
      </c>
      <c r="J70" s="7"/>
      <c r="K70" s="7" t="str">
        <f>VLOOKUP($E70,Mapping!$E$11:$I$96,3,0)</f>
        <v>Connections</v>
      </c>
      <c r="L70" s="7" t="str">
        <f>VLOOKUP($G70,Mapping!$E$140:$K$2771,5,0)</f>
        <v>Labour</v>
      </c>
      <c r="M70" s="7" t="str">
        <f>VLOOKUP($G70,Mapping!$E$140:$K$2771,7,0)</f>
        <v>ENDirect</v>
      </c>
      <c r="N70" s="7" t="str">
        <f>IFERROR(HLOOKUP(L70,'Calc|Weightings'!$K$5:$M$5,1,0),"Excl")</f>
        <v>Labour</v>
      </c>
      <c r="O70" s="7" t="str">
        <f>VLOOKUP(E70,Mapping!$E$11:$I$96,5,0)</f>
        <v>SCS</v>
      </c>
      <c r="Q70" s="33">
        <v>104</v>
      </c>
      <c r="R70" s="33" t="s">
        <v>2114</v>
      </c>
      <c r="S70" s="33">
        <v>635001</v>
      </c>
      <c r="T70" s="33" t="s">
        <v>1929</v>
      </c>
      <c r="U70" s="34">
        <v>1.422E-2</v>
      </c>
      <c r="V70" s="7"/>
      <c r="W70" s="7" t="str">
        <f>VLOOKUP($Q70,Mapping!$E$11:$I$96,3,0)</f>
        <v>Connections</v>
      </c>
      <c r="X70" s="7" t="str">
        <f>VLOOKUP($S70,Mapping!$E$140:$K$2771,5,0)</f>
        <v>PNS MG</v>
      </c>
      <c r="Y70" s="7" t="str">
        <f>VLOOKUP($S70,Mapping!$E$140:$K$2771,7,0)</f>
        <v>ENDirect</v>
      </c>
      <c r="Z70" s="7" t="str">
        <f>IFERROR(HLOOKUP(X70,'Calc|Weightings'!$K$5:$M$5,1,0),"Excl")</f>
        <v>Excl</v>
      </c>
      <c r="AA70" s="7" t="str">
        <f>VLOOKUP(Q70,Mapping!$E$11:$I$96,5,0)</f>
        <v>SCS</v>
      </c>
      <c r="AC70" s="111">
        <v>104</v>
      </c>
      <c r="AD70" s="111" t="s">
        <v>2114</v>
      </c>
      <c r="AE70" s="111">
        <v>520100</v>
      </c>
      <c r="AF70" s="111" t="s">
        <v>2072</v>
      </c>
      <c r="AG70" s="112">
        <v>30.11429</v>
      </c>
      <c r="AI70" s="7" t="str">
        <f>VLOOKUP($AC70,Mapping!$E$11:$I$96,3,0)</f>
        <v>Connections</v>
      </c>
      <c r="AJ70" s="7" t="str">
        <f>VLOOKUP($AE70,Mapping!$E$140:$K$2771,5,0)</f>
        <v>Materials</v>
      </c>
      <c r="AK70" s="7" t="str">
        <f>VLOOKUP($AE70,Mapping!$E$140:$K$2771,7,0)</f>
        <v>ENDirect</v>
      </c>
      <c r="AL70" s="7" t="str">
        <f>IFERROR(HLOOKUP(AJ70,'Calc|Weightings'!$K$5:$M$5,1,0),"Excl")</f>
        <v>Materials</v>
      </c>
      <c r="AM70" s="7" t="str">
        <f>VLOOKUP(AC70,Mapping!$E$11:$I$96,5,0)</f>
        <v>SCS</v>
      </c>
      <c r="AO70" s="134">
        <v>104</v>
      </c>
      <c r="AP70" s="135" t="s">
        <v>2114</v>
      </c>
      <c r="AQ70" s="135">
        <v>613291</v>
      </c>
      <c r="AR70" s="135" t="s">
        <v>2094</v>
      </c>
      <c r="AS70" s="136">
        <v>0.34592000000000001</v>
      </c>
      <c r="AU70" s="7" t="str">
        <f>VLOOKUP($AO70,Mapping!$E$11:$I$96,3,0)</f>
        <v>Connections</v>
      </c>
      <c r="AV70" s="7" t="str">
        <f>VLOOKUP($AQ70,Mapping!$E$140:$K$2771,5,0)</f>
        <v>Labour</v>
      </c>
      <c r="AW70" s="7" t="str">
        <f>VLOOKUP($AQ70,Mapping!$E$140:$K$2771,7,0)</f>
        <v>ENDirect</v>
      </c>
      <c r="AX70" s="7" t="str">
        <f>IFERROR(HLOOKUP(AV70,'Calc|Weightings'!$K$5:$M$5,1,0),"Excl")</f>
        <v>Labour</v>
      </c>
      <c r="AY70" s="7" t="str">
        <f>VLOOKUP(AO70,Mapping!$E$11:$I$96,5,0)</f>
        <v>SCS</v>
      </c>
    </row>
    <row r="71" spans="1:51" x14ac:dyDescent="0.2">
      <c r="A71" s="7"/>
      <c r="B71" s="7"/>
      <c r="C71" s="7"/>
      <c r="D71" s="7"/>
      <c r="E71" s="36">
        <v>102</v>
      </c>
      <c r="F71" s="36" t="s">
        <v>2070</v>
      </c>
      <c r="G71" s="36">
        <v>613575</v>
      </c>
      <c r="H71" s="36" t="s">
        <v>1489</v>
      </c>
      <c r="I71" s="37">
        <v>0.34139000000000003</v>
      </c>
      <c r="J71" s="7"/>
      <c r="K71" s="7" t="str">
        <f>VLOOKUP($E71,Mapping!$E$11:$I$96,3,0)</f>
        <v>Connections</v>
      </c>
      <c r="L71" s="7" t="str">
        <f>VLOOKUP($G71,Mapping!$E$140:$K$2771,5,0)</f>
        <v>Labour</v>
      </c>
      <c r="M71" s="7" t="str">
        <f>VLOOKUP($G71,Mapping!$E$140:$K$2771,7,0)</f>
        <v>ENDirect</v>
      </c>
      <c r="N71" s="7" t="str">
        <f>IFERROR(HLOOKUP(L71,'Calc|Weightings'!$K$5:$M$5,1,0),"Excl")</f>
        <v>Labour</v>
      </c>
      <c r="O71" s="7" t="str">
        <f>VLOOKUP(E71,Mapping!$E$11:$I$96,5,0)</f>
        <v>SCS</v>
      </c>
      <c r="Q71" s="33">
        <v>104</v>
      </c>
      <c r="R71" s="33" t="s">
        <v>2114</v>
      </c>
      <c r="S71" s="33">
        <v>636001</v>
      </c>
      <c r="T71" s="33" t="s">
        <v>2111</v>
      </c>
      <c r="U71" s="34">
        <v>5.8100000000000001E-3</v>
      </c>
      <c r="V71" s="7"/>
      <c r="W71" s="7" t="str">
        <f>VLOOKUP($Q71,Mapping!$E$11:$I$96,3,0)</f>
        <v>Connections</v>
      </c>
      <c r="X71" s="7" t="str">
        <f>VLOOKUP($S71,Mapping!$E$140:$K$2771,5,0)</f>
        <v>System Control OH</v>
      </c>
      <c r="Y71" s="7" t="str">
        <f>VLOOKUP($S71,Mapping!$E$140:$K$2771,7,0)</f>
        <v>OH</v>
      </c>
      <c r="Z71" s="7" t="str">
        <f>IFERROR(HLOOKUP(X71,'Calc|Weightings'!$K$5:$M$5,1,0),"Excl")</f>
        <v>Excl</v>
      </c>
      <c r="AA71" s="7" t="str">
        <f>VLOOKUP(Q71,Mapping!$E$11:$I$96,5,0)</f>
        <v>SCS</v>
      </c>
      <c r="AC71" s="111">
        <v>104</v>
      </c>
      <c r="AD71" s="111" t="s">
        <v>2114</v>
      </c>
      <c r="AE71" s="111">
        <v>523100</v>
      </c>
      <c r="AF71" s="111" t="s">
        <v>2074</v>
      </c>
      <c r="AG71" s="112">
        <v>0.11681</v>
      </c>
      <c r="AI71" s="7" t="str">
        <f>VLOOKUP($AC71,Mapping!$E$11:$I$96,3,0)</f>
        <v>Connections</v>
      </c>
      <c r="AJ71" s="7" t="str">
        <f>VLOOKUP($AE71,Mapping!$E$140:$K$2771,5,0)</f>
        <v>Materials</v>
      </c>
      <c r="AK71" s="7" t="str">
        <f>VLOOKUP($AE71,Mapping!$E$140:$K$2771,7,0)</f>
        <v>ENDirect</v>
      </c>
      <c r="AL71" s="7" t="str">
        <f>IFERROR(HLOOKUP(AJ71,'Calc|Weightings'!$K$5:$M$5,1,0),"Excl")</f>
        <v>Materials</v>
      </c>
      <c r="AM71" s="7" t="str">
        <f>VLOOKUP(AC71,Mapping!$E$11:$I$96,5,0)</f>
        <v>SCS</v>
      </c>
      <c r="AO71" s="134">
        <v>104</v>
      </c>
      <c r="AP71" s="135" t="s">
        <v>2114</v>
      </c>
      <c r="AQ71" s="135">
        <v>634001</v>
      </c>
      <c r="AR71" s="135" t="s">
        <v>2110</v>
      </c>
      <c r="AS71" s="136">
        <v>0.79608999999999996</v>
      </c>
      <c r="AU71" s="7" t="str">
        <f>VLOOKUP($AO71,Mapping!$E$11:$I$96,3,0)</f>
        <v>Connections</v>
      </c>
      <c r="AV71" s="7" t="str">
        <f>VLOOKUP($AQ71,Mapping!$E$140:$K$2771,5,0)</f>
        <v>Local OH</v>
      </c>
      <c r="AW71" s="7" t="str">
        <f>VLOOKUP($AQ71,Mapping!$E$140:$K$2771,7,0)</f>
        <v>OH</v>
      </c>
      <c r="AX71" s="7" t="str">
        <f>IFERROR(HLOOKUP(AV71,'Calc|Weightings'!$K$5:$M$5,1,0),"Excl")</f>
        <v>Excl</v>
      </c>
      <c r="AY71" s="7" t="str">
        <f>VLOOKUP(AO71,Mapping!$E$11:$I$96,5,0)</f>
        <v>SCS</v>
      </c>
    </row>
    <row r="72" spans="1:51" x14ac:dyDescent="0.2">
      <c r="A72" s="7"/>
      <c r="B72" s="7"/>
      <c r="C72" s="7"/>
      <c r="D72" s="7"/>
      <c r="E72" s="36">
        <v>102</v>
      </c>
      <c r="F72" s="36" t="s">
        <v>2070</v>
      </c>
      <c r="G72" s="36">
        <v>613576</v>
      </c>
      <c r="H72" s="36" t="s">
        <v>1490</v>
      </c>
      <c r="I72" s="37">
        <v>0.2326</v>
      </c>
      <c r="J72" s="7"/>
      <c r="K72" s="7" t="str">
        <f>VLOOKUP($E72,Mapping!$E$11:$I$96,3,0)</f>
        <v>Connections</v>
      </c>
      <c r="L72" s="7" t="str">
        <f>VLOOKUP($G72,Mapping!$E$140:$K$2771,5,0)</f>
        <v>Labour</v>
      </c>
      <c r="M72" s="7" t="str">
        <f>VLOOKUP($G72,Mapping!$E$140:$K$2771,7,0)</f>
        <v>ENDirect</v>
      </c>
      <c r="N72" s="7" t="str">
        <f>IFERROR(HLOOKUP(L72,'Calc|Weightings'!$K$5:$M$5,1,0),"Excl")</f>
        <v>Labour</v>
      </c>
      <c r="O72" s="7" t="str">
        <f>VLOOKUP(E72,Mapping!$E$11:$I$96,5,0)</f>
        <v>SCS</v>
      </c>
      <c r="Q72" s="33">
        <v>104</v>
      </c>
      <c r="R72" s="33" t="s">
        <v>2114</v>
      </c>
      <c r="S72" s="33">
        <v>639000</v>
      </c>
      <c r="T72" s="33" t="s">
        <v>2112</v>
      </c>
      <c r="U72" s="34">
        <v>1.9359999999999999E-2</v>
      </c>
      <c r="V72" s="7"/>
      <c r="W72" s="7" t="str">
        <f>VLOOKUP($Q72,Mapping!$E$11:$I$96,3,0)</f>
        <v>Connections</v>
      </c>
      <c r="X72" s="7" t="str">
        <f>VLOOKUP($S72,Mapping!$E$140:$K$2771,5,0)</f>
        <v>PNS Corporate OH</v>
      </c>
      <c r="Y72" s="7" t="str">
        <f>VLOOKUP($S72,Mapping!$E$140:$K$2771,7,0)</f>
        <v>OH</v>
      </c>
      <c r="Z72" s="7" t="str">
        <f>IFERROR(HLOOKUP(X72,'Calc|Weightings'!$K$5:$M$5,1,0),"Excl")</f>
        <v>Excl</v>
      </c>
      <c r="AA72" s="7" t="str">
        <f>VLOOKUP(Q72,Mapping!$E$11:$I$96,5,0)</f>
        <v>SCS</v>
      </c>
      <c r="AC72" s="111">
        <v>104</v>
      </c>
      <c r="AD72" s="111" t="s">
        <v>2114</v>
      </c>
      <c r="AE72" s="111">
        <v>531201</v>
      </c>
      <c r="AF72" s="111" t="s">
        <v>251</v>
      </c>
      <c r="AG72" s="112">
        <v>34.350189999999998</v>
      </c>
      <c r="AI72" s="7" t="str">
        <f>VLOOKUP($AC72,Mapping!$E$11:$I$96,3,0)</f>
        <v>Connections</v>
      </c>
      <c r="AJ72" s="7" t="str">
        <f>VLOOKUP($AE72,Mapping!$E$140:$K$2771,5,0)</f>
        <v>Contracts</v>
      </c>
      <c r="AK72" s="7" t="str">
        <f>VLOOKUP($AE72,Mapping!$E$140:$K$2771,7,0)</f>
        <v>ENDirect</v>
      </c>
      <c r="AL72" s="7" t="str">
        <f>IFERROR(HLOOKUP(AJ72,'Calc|Weightings'!$K$5:$M$5,1,0),"Excl")</f>
        <v>Contracts</v>
      </c>
      <c r="AM72" s="7" t="str">
        <f>VLOOKUP(AC72,Mapping!$E$11:$I$96,5,0)</f>
        <v>SCS</v>
      </c>
      <c r="AO72" s="134">
        <v>104</v>
      </c>
      <c r="AP72" s="135" t="s">
        <v>2114</v>
      </c>
      <c r="AQ72" s="135">
        <v>635001</v>
      </c>
      <c r="AR72" s="135" t="s">
        <v>1929</v>
      </c>
      <c r="AS72" s="136">
        <v>0.72563</v>
      </c>
      <c r="AU72" s="7" t="str">
        <f>VLOOKUP($AO72,Mapping!$E$11:$I$96,3,0)</f>
        <v>Connections</v>
      </c>
      <c r="AV72" s="7" t="str">
        <f>VLOOKUP($AQ72,Mapping!$E$140:$K$2771,5,0)</f>
        <v>PNS MG</v>
      </c>
      <c r="AW72" s="7" t="str">
        <f>VLOOKUP($AQ72,Mapping!$E$140:$K$2771,7,0)</f>
        <v>ENDirect</v>
      </c>
      <c r="AX72" s="7" t="str">
        <f>IFERROR(HLOOKUP(AV72,'Calc|Weightings'!$K$5:$M$5,1,0),"Excl")</f>
        <v>Excl</v>
      </c>
      <c r="AY72" s="7" t="str">
        <f>VLOOKUP(AO72,Mapping!$E$11:$I$96,5,0)</f>
        <v>SCS</v>
      </c>
    </row>
    <row r="73" spans="1:51" x14ac:dyDescent="0.2">
      <c r="A73" s="7"/>
      <c r="B73" s="7"/>
      <c r="C73" s="7"/>
      <c r="D73" s="7"/>
      <c r="E73" s="36">
        <v>102</v>
      </c>
      <c r="F73" s="36" t="s">
        <v>2070</v>
      </c>
      <c r="G73" s="36">
        <v>613630</v>
      </c>
      <c r="H73" s="36" t="s">
        <v>1498</v>
      </c>
      <c r="I73" s="37">
        <v>0.15851000000000001</v>
      </c>
      <c r="J73" s="7"/>
      <c r="K73" s="7" t="str">
        <f>VLOOKUP($E73,Mapping!$E$11:$I$96,3,0)</f>
        <v>Connections</v>
      </c>
      <c r="L73" s="7" t="str">
        <f>VLOOKUP($G73,Mapping!$E$140:$K$2771,5,0)</f>
        <v>Labour</v>
      </c>
      <c r="M73" s="7" t="str">
        <f>VLOOKUP($G73,Mapping!$E$140:$K$2771,7,0)</f>
        <v>ENDirect</v>
      </c>
      <c r="N73" s="7" t="str">
        <f>IFERROR(HLOOKUP(L73,'Calc|Weightings'!$K$5:$M$5,1,0),"Excl")</f>
        <v>Labour</v>
      </c>
      <c r="O73" s="7" t="str">
        <f>VLOOKUP(E73,Mapping!$E$11:$I$96,5,0)</f>
        <v>SCS</v>
      </c>
      <c r="Q73" s="33">
        <v>104</v>
      </c>
      <c r="R73" s="33" t="s">
        <v>2114</v>
      </c>
      <c r="S73" s="33">
        <v>639050</v>
      </c>
      <c r="T73" s="33" t="s">
        <v>2113</v>
      </c>
      <c r="U73" s="34">
        <v>4.1000000000000003E-3</v>
      </c>
      <c r="V73" s="7"/>
      <c r="W73" s="7" t="str">
        <f>VLOOKUP($Q73,Mapping!$E$11:$I$96,3,0)</f>
        <v>Connections</v>
      </c>
      <c r="X73" s="7" t="str">
        <f>VLOOKUP($S73,Mapping!$E$140:$K$2771,5,0)</f>
        <v>PNS Fleet &amp; Property OH</v>
      </c>
      <c r="Y73" s="7" t="str">
        <f>VLOOKUP($S73,Mapping!$E$140:$K$2771,7,0)</f>
        <v>OH</v>
      </c>
      <c r="Z73" s="7" t="str">
        <f>IFERROR(HLOOKUP(X73,'Calc|Weightings'!$K$5:$M$5,1,0),"Excl")</f>
        <v>Excl</v>
      </c>
      <c r="AA73" s="7" t="str">
        <f>VLOOKUP(Q73,Mapping!$E$11:$I$96,5,0)</f>
        <v>SCS</v>
      </c>
      <c r="AC73" s="111">
        <v>104</v>
      </c>
      <c r="AD73" s="111" t="s">
        <v>2114</v>
      </c>
      <c r="AE73" s="111">
        <v>531464</v>
      </c>
      <c r="AF73" s="111" t="s">
        <v>256</v>
      </c>
      <c r="AG73" s="112">
        <v>28.891470000000002</v>
      </c>
      <c r="AI73" s="7" t="str">
        <f>VLOOKUP($AC73,Mapping!$E$11:$I$96,3,0)</f>
        <v>Connections</v>
      </c>
      <c r="AJ73" s="7" t="str">
        <f>VLOOKUP($AE73,Mapping!$E$140:$K$2771,5,0)</f>
        <v>Contracts</v>
      </c>
      <c r="AK73" s="7" t="str">
        <f>VLOOKUP($AE73,Mapping!$E$140:$K$2771,7,0)</f>
        <v>ENDirect</v>
      </c>
      <c r="AL73" s="7" t="str">
        <f>IFERROR(HLOOKUP(AJ73,'Calc|Weightings'!$K$5:$M$5,1,0),"Excl")</f>
        <v>Contracts</v>
      </c>
      <c r="AM73" s="7" t="str">
        <f>VLOOKUP(AC73,Mapping!$E$11:$I$96,5,0)</f>
        <v>SCS</v>
      </c>
      <c r="AO73" s="134">
        <v>104</v>
      </c>
      <c r="AP73" s="135" t="s">
        <v>2114</v>
      </c>
      <c r="AQ73" s="135">
        <v>636001</v>
      </c>
      <c r="AR73" s="135" t="s">
        <v>2111</v>
      </c>
      <c r="AS73" s="136">
        <v>0.59462000000000004</v>
      </c>
      <c r="AU73" s="7" t="str">
        <f>VLOOKUP($AO73,Mapping!$E$11:$I$96,3,0)</f>
        <v>Connections</v>
      </c>
      <c r="AV73" s="7" t="str">
        <f>VLOOKUP($AQ73,Mapping!$E$140:$K$2771,5,0)</f>
        <v>System Control OH</v>
      </c>
      <c r="AW73" s="7" t="str">
        <f>VLOOKUP($AQ73,Mapping!$E$140:$K$2771,7,0)</f>
        <v>OH</v>
      </c>
      <c r="AX73" s="7" t="str">
        <f>IFERROR(HLOOKUP(AV73,'Calc|Weightings'!$K$5:$M$5,1,0),"Excl")</f>
        <v>Excl</v>
      </c>
      <c r="AY73" s="7" t="str">
        <f>VLOOKUP(AO73,Mapping!$E$11:$I$96,5,0)</f>
        <v>SCS</v>
      </c>
    </row>
    <row r="74" spans="1:51" x14ac:dyDescent="0.2">
      <c r="A74" s="7"/>
      <c r="B74" s="7"/>
      <c r="C74" s="7"/>
      <c r="D74" s="7"/>
      <c r="E74" s="36">
        <v>102</v>
      </c>
      <c r="F74" s="36" t="s">
        <v>2070</v>
      </c>
      <c r="G74" s="36">
        <v>613680</v>
      </c>
      <c r="H74" s="36" t="s">
        <v>2107</v>
      </c>
      <c r="I74" s="37">
        <v>28.008800000000001</v>
      </c>
      <c r="J74" s="7"/>
      <c r="K74" s="7" t="str">
        <f>VLOOKUP($E74,Mapping!$E$11:$I$96,3,0)</f>
        <v>Connections</v>
      </c>
      <c r="L74" s="7" t="str">
        <f>VLOOKUP($G74,Mapping!$E$140:$K$2771,5,0)</f>
        <v>Labour</v>
      </c>
      <c r="M74" s="7" t="str">
        <f>VLOOKUP($G74,Mapping!$E$140:$K$2771,7,0)</f>
        <v>ENDirect</v>
      </c>
      <c r="N74" s="7" t="str">
        <f>IFERROR(HLOOKUP(L74,'Calc|Weightings'!$K$5:$M$5,1,0),"Excl")</f>
        <v>Labour</v>
      </c>
      <c r="O74" s="7" t="str">
        <f>VLOOKUP(E74,Mapping!$E$11:$I$96,5,0)</f>
        <v>SCS</v>
      </c>
      <c r="Q74" s="33">
        <v>105</v>
      </c>
      <c r="R74" s="33" t="s">
        <v>2118</v>
      </c>
      <c r="S74" s="33">
        <v>520100</v>
      </c>
      <c r="T74" s="33" t="s">
        <v>2072</v>
      </c>
      <c r="U74" s="34">
        <v>592.08693000000005</v>
      </c>
      <c r="V74" s="7"/>
      <c r="W74" s="7" t="str">
        <f>VLOOKUP($Q74,Mapping!$E$11:$I$96,3,0)</f>
        <v>Connections</v>
      </c>
      <c r="X74" s="7" t="str">
        <f>VLOOKUP($S74,Mapping!$E$140:$K$2771,5,0)</f>
        <v>Materials</v>
      </c>
      <c r="Y74" s="7" t="str">
        <f>VLOOKUP($S74,Mapping!$E$140:$K$2771,7,0)</f>
        <v>ENDirect</v>
      </c>
      <c r="Z74" s="7" t="str">
        <f>IFERROR(HLOOKUP(X74,'Calc|Weightings'!$K$5:$M$5,1,0),"Excl")</f>
        <v>Materials</v>
      </c>
      <c r="AA74" s="7" t="str">
        <f>VLOOKUP(Q74,Mapping!$E$11:$I$96,5,0)</f>
        <v>SCS</v>
      </c>
      <c r="AC74" s="111">
        <v>104</v>
      </c>
      <c r="AD74" s="111" t="s">
        <v>2114</v>
      </c>
      <c r="AE74" s="111">
        <v>531467</v>
      </c>
      <c r="AF74" s="111" t="s">
        <v>259</v>
      </c>
      <c r="AG74" s="112">
        <v>6.8696599999999997</v>
      </c>
      <c r="AI74" s="7" t="str">
        <f>VLOOKUP($AC74,Mapping!$E$11:$I$96,3,0)</f>
        <v>Connections</v>
      </c>
      <c r="AJ74" s="7" t="str">
        <f>VLOOKUP($AE74,Mapping!$E$140:$K$2771,5,0)</f>
        <v>Contracts</v>
      </c>
      <c r="AK74" s="7" t="str">
        <f>VLOOKUP($AE74,Mapping!$E$140:$K$2771,7,0)</f>
        <v>ENDirect</v>
      </c>
      <c r="AL74" s="7" t="str">
        <f>IFERROR(HLOOKUP(AJ74,'Calc|Weightings'!$K$5:$M$5,1,0),"Excl")</f>
        <v>Contracts</v>
      </c>
      <c r="AM74" s="7" t="str">
        <f>VLOOKUP(AC74,Mapping!$E$11:$I$96,5,0)</f>
        <v>SCS</v>
      </c>
      <c r="AO74" s="134">
        <v>104</v>
      </c>
      <c r="AP74" s="135" t="s">
        <v>2114</v>
      </c>
      <c r="AQ74" s="135">
        <v>639000</v>
      </c>
      <c r="AR74" s="135" t="s">
        <v>2112</v>
      </c>
      <c r="AS74" s="136">
        <v>0.50843000000000005</v>
      </c>
      <c r="AU74" s="7" t="str">
        <f>VLOOKUP($AO74,Mapping!$E$11:$I$96,3,0)</f>
        <v>Connections</v>
      </c>
      <c r="AV74" s="7" t="str">
        <f>VLOOKUP($AQ74,Mapping!$E$140:$K$2771,5,0)</f>
        <v>PNS Corporate OH</v>
      </c>
      <c r="AW74" s="7" t="str">
        <f>VLOOKUP($AQ74,Mapping!$E$140:$K$2771,7,0)</f>
        <v>OH</v>
      </c>
      <c r="AX74" s="7" t="str">
        <f>IFERROR(HLOOKUP(AV74,'Calc|Weightings'!$K$5:$M$5,1,0),"Excl")</f>
        <v>Excl</v>
      </c>
      <c r="AY74" s="7" t="str">
        <f>VLOOKUP(AO74,Mapping!$E$11:$I$96,5,0)</f>
        <v>SCS</v>
      </c>
    </row>
    <row r="75" spans="1:51" x14ac:dyDescent="0.2">
      <c r="A75" s="7"/>
      <c r="B75" s="7"/>
      <c r="C75" s="7"/>
      <c r="D75" s="7"/>
      <c r="E75" s="36">
        <v>102</v>
      </c>
      <c r="F75" s="36" t="s">
        <v>2070</v>
      </c>
      <c r="G75" s="36">
        <v>613681</v>
      </c>
      <c r="H75" s="36" t="s">
        <v>2108</v>
      </c>
      <c r="I75" s="37">
        <v>0.77622000000000002</v>
      </c>
      <c r="J75" s="7"/>
      <c r="K75" s="7" t="str">
        <f>VLOOKUP($E75,Mapping!$E$11:$I$96,3,0)</f>
        <v>Connections</v>
      </c>
      <c r="L75" s="7" t="str">
        <f>VLOOKUP($G75,Mapping!$E$140:$K$2771,5,0)</f>
        <v>Labour</v>
      </c>
      <c r="M75" s="7" t="str">
        <f>VLOOKUP($G75,Mapping!$E$140:$K$2771,7,0)</f>
        <v>ENDirect</v>
      </c>
      <c r="N75" s="7" t="str">
        <f>IFERROR(HLOOKUP(L75,'Calc|Weightings'!$K$5:$M$5,1,0),"Excl")</f>
        <v>Labour</v>
      </c>
      <c r="O75" s="7" t="str">
        <f>VLOOKUP(E75,Mapping!$E$11:$I$96,5,0)</f>
        <v>SCS</v>
      </c>
      <c r="Q75" s="33">
        <v>105</v>
      </c>
      <c r="R75" s="33" t="s">
        <v>2118</v>
      </c>
      <c r="S75" s="33">
        <v>520200</v>
      </c>
      <c r="T75" s="33" t="s">
        <v>2073</v>
      </c>
      <c r="U75" s="34">
        <v>0.21371999999999999</v>
      </c>
      <c r="V75" s="7"/>
      <c r="W75" s="7" t="str">
        <f>VLOOKUP($Q75,Mapping!$E$11:$I$96,3,0)</f>
        <v>Connections</v>
      </c>
      <c r="X75" s="7" t="str">
        <f>VLOOKUP($S75,Mapping!$E$140:$K$2771,5,0)</f>
        <v>Materials</v>
      </c>
      <c r="Y75" s="7" t="str">
        <f>VLOOKUP($S75,Mapping!$E$140:$K$2771,7,0)</f>
        <v>ENDirect</v>
      </c>
      <c r="Z75" s="7" t="str">
        <f>IFERROR(HLOOKUP(X75,'Calc|Weightings'!$K$5:$M$5,1,0),"Excl")</f>
        <v>Materials</v>
      </c>
      <c r="AA75" s="7" t="str">
        <f>VLOOKUP(Q75,Mapping!$E$11:$I$96,5,0)</f>
        <v>SCS</v>
      </c>
      <c r="AC75" s="111">
        <v>104</v>
      </c>
      <c r="AD75" s="111" t="s">
        <v>2114</v>
      </c>
      <c r="AE75" s="111">
        <v>531468</v>
      </c>
      <c r="AF75" s="111" t="s">
        <v>260</v>
      </c>
      <c r="AG75" s="112">
        <v>15.18676</v>
      </c>
      <c r="AI75" s="7" t="str">
        <f>VLOOKUP($AC75,Mapping!$E$11:$I$96,3,0)</f>
        <v>Connections</v>
      </c>
      <c r="AJ75" s="7" t="str">
        <f>VLOOKUP($AE75,Mapping!$E$140:$K$2771,5,0)</f>
        <v>Contracts</v>
      </c>
      <c r="AK75" s="7" t="str">
        <f>VLOOKUP($AE75,Mapping!$E$140:$K$2771,7,0)</f>
        <v>ENDirect</v>
      </c>
      <c r="AL75" s="7" t="str">
        <f>IFERROR(HLOOKUP(AJ75,'Calc|Weightings'!$K$5:$M$5,1,0),"Excl")</f>
        <v>Contracts</v>
      </c>
      <c r="AM75" s="7" t="str">
        <f>VLOOKUP(AC75,Mapping!$E$11:$I$96,5,0)</f>
        <v>SCS</v>
      </c>
      <c r="AO75" s="134">
        <v>104</v>
      </c>
      <c r="AP75" s="135" t="s">
        <v>2114</v>
      </c>
      <c r="AQ75" s="135">
        <v>639050</v>
      </c>
      <c r="AR75" s="135" t="s">
        <v>2113</v>
      </c>
      <c r="AS75" s="136">
        <v>0.14804</v>
      </c>
      <c r="AU75" s="7" t="str">
        <f>VLOOKUP($AO75,Mapping!$E$11:$I$96,3,0)</f>
        <v>Connections</v>
      </c>
      <c r="AV75" s="7" t="str">
        <f>VLOOKUP($AQ75,Mapping!$E$140:$K$2771,5,0)</f>
        <v>PNS Fleet &amp; Property OH</v>
      </c>
      <c r="AW75" s="7" t="str">
        <f>VLOOKUP($AQ75,Mapping!$E$140:$K$2771,7,0)</f>
        <v>OH</v>
      </c>
      <c r="AX75" s="7" t="str">
        <f>IFERROR(HLOOKUP(AV75,'Calc|Weightings'!$K$5:$M$5,1,0),"Excl")</f>
        <v>Excl</v>
      </c>
      <c r="AY75" s="7" t="str">
        <f>VLOOKUP(AO75,Mapping!$E$11:$I$96,5,0)</f>
        <v>SCS</v>
      </c>
    </row>
    <row r="76" spans="1:51" x14ac:dyDescent="0.2">
      <c r="A76" s="7"/>
      <c r="B76" s="7"/>
      <c r="C76" s="7"/>
      <c r="D76" s="7"/>
      <c r="E76" s="36">
        <v>102</v>
      </c>
      <c r="F76" s="36" t="s">
        <v>2070</v>
      </c>
      <c r="G76" s="36">
        <v>633000</v>
      </c>
      <c r="H76" s="36" t="s">
        <v>2202</v>
      </c>
      <c r="I76" s="37">
        <v>294.68696</v>
      </c>
      <c r="J76" s="7"/>
      <c r="K76" s="7" t="str">
        <f>VLOOKUP($E76,Mapping!$E$11:$I$96,3,0)</f>
        <v>Connections</v>
      </c>
      <c r="L76" s="7" t="str">
        <f>VLOOKUP($G76,Mapping!$E$140:$K$2771,5,0)</f>
        <v>Contracts</v>
      </c>
      <c r="M76" s="7" t="str">
        <f>VLOOKUP($G76,Mapping!$E$140:$K$2771,7,0)</f>
        <v>OH</v>
      </c>
      <c r="N76" s="7" t="str">
        <f>IFERROR(HLOOKUP(L76,'Calc|Weightings'!$K$5:$M$5,1,0),"Excl")</f>
        <v>Contracts</v>
      </c>
      <c r="O76" s="7" t="str">
        <f>VLOOKUP(E76,Mapping!$E$11:$I$96,5,0)</f>
        <v>SCS</v>
      </c>
      <c r="Q76" s="33">
        <v>105</v>
      </c>
      <c r="R76" s="33" t="s">
        <v>2118</v>
      </c>
      <c r="S76" s="33">
        <v>523100</v>
      </c>
      <c r="T76" s="33" t="s">
        <v>2074</v>
      </c>
      <c r="U76" s="34">
        <v>6.9273400000000001</v>
      </c>
      <c r="V76" s="7"/>
      <c r="W76" s="7" t="str">
        <f>VLOOKUP($Q76,Mapping!$E$11:$I$96,3,0)</f>
        <v>Connections</v>
      </c>
      <c r="X76" s="7" t="str">
        <f>VLOOKUP($S76,Mapping!$E$140:$K$2771,5,0)</f>
        <v>Materials</v>
      </c>
      <c r="Y76" s="7" t="str">
        <f>VLOOKUP($S76,Mapping!$E$140:$K$2771,7,0)</f>
        <v>ENDirect</v>
      </c>
      <c r="Z76" s="7" t="str">
        <f>IFERROR(HLOOKUP(X76,'Calc|Weightings'!$K$5:$M$5,1,0),"Excl")</f>
        <v>Materials</v>
      </c>
      <c r="AA76" s="7" t="str">
        <f>VLOOKUP(Q76,Mapping!$E$11:$I$96,5,0)</f>
        <v>SCS</v>
      </c>
      <c r="AC76" s="111">
        <v>104</v>
      </c>
      <c r="AD76" s="111" t="s">
        <v>2114</v>
      </c>
      <c r="AE76" s="111">
        <v>611900</v>
      </c>
      <c r="AF76" s="111" t="s">
        <v>2079</v>
      </c>
      <c r="AG76" s="112">
        <v>0.21653</v>
      </c>
      <c r="AI76" s="7" t="str">
        <f>VLOOKUP($AC76,Mapping!$E$11:$I$96,3,0)</f>
        <v>Connections</v>
      </c>
      <c r="AJ76" s="7" t="str">
        <f>VLOOKUP($AE76,Mapping!$E$140:$K$2771,5,0)</f>
        <v>Contracts</v>
      </c>
      <c r="AK76" s="7" t="str">
        <f>VLOOKUP($AE76,Mapping!$E$140:$K$2771,7,0)</f>
        <v>ENDirect</v>
      </c>
      <c r="AL76" s="7" t="str">
        <f>IFERROR(HLOOKUP(AJ76,'Calc|Weightings'!$K$5:$M$5,1,0),"Excl")</f>
        <v>Contracts</v>
      </c>
      <c r="AM76" s="7" t="str">
        <f>VLOOKUP(AC76,Mapping!$E$11:$I$96,5,0)</f>
        <v>SCS</v>
      </c>
      <c r="AO76" s="134">
        <v>105</v>
      </c>
      <c r="AP76" s="135" t="s">
        <v>2118</v>
      </c>
      <c r="AQ76" s="135">
        <v>520100</v>
      </c>
      <c r="AR76" s="135" t="s">
        <v>2072</v>
      </c>
      <c r="AS76" s="136">
        <v>883.47416999999996</v>
      </c>
      <c r="AU76" s="7" t="str">
        <f>VLOOKUP($AO76,Mapping!$E$11:$I$96,3,0)</f>
        <v>Connections</v>
      </c>
      <c r="AV76" s="7" t="str">
        <f>VLOOKUP($AQ76,Mapping!$E$140:$K$2771,5,0)</f>
        <v>Materials</v>
      </c>
      <c r="AW76" s="7" t="str">
        <f>VLOOKUP($AQ76,Mapping!$E$140:$K$2771,7,0)</f>
        <v>ENDirect</v>
      </c>
      <c r="AX76" s="7" t="str">
        <f>IFERROR(HLOOKUP(AV76,'Calc|Weightings'!$K$5:$M$5,1,0),"Excl")</f>
        <v>Materials</v>
      </c>
      <c r="AY76" s="7" t="str">
        <f>VLOOKUP(AO76,Mapping!$E$11:$I$96,5,0)</f>
        <v>SCS</v>
      </c>
    </row>
    <row r="77" spans="1:51" x14ac:dyDescent="0.2">
      <c r="A77" s="7"/>
      <c r="B77" s="7"/>
      <c r="C77" s="7"/>
      <c r="D77" s="7"/>
      <c r="E77" s="36">
        <v>102</v>
      </c>
      <c r="F77" s="36" t="s">
        <v>2070</v>
      </c>
      <c r="G77" s="36">
        <v>634001</v>
      </c>
      <c r="H77" s="36" t="s">
        <v>2110</v>
      </c>
      <c r="I77" s="37">
        <v>123.74645</v>
      </c>
      <c r="J77" s="7"/>
      <c r="K77" s="7" t="str">
        <f>VLOOKUP($E77,Mapping!$E$11:$I$96,3,0)</f>
        <v>Connections</v>
      </c>
      <c r="L77" s="7" t="str">
        <f>VLOOKUP($G77,Mapping!$E$140:$K$2771,5,0)</f>
        <v>Local OH</v>
      </c>
      <c r="M77" s="7" t="str">
        <f>VLOOKUP($G77,Mapping!$E$140:$K$2771,7,0)</f>
        <v>OH</v>
      </c>
      <c r="N77" s="7" t="str">
        <f>IFERROR(HLOOKUP(L77,'Calc|Weightings'!$K$5:$M$5,1,0),"Excl")</f>
        <v>Excl</v>
      </c>
      <c r="O77" s="7" t="str">
        <f>VLOOKUP(E77,Mapping!$E$11:$I$96,5,0)</f>
        <v>SCS</v>
      </c>
      <c r="Q77" s="33">
        <v>105</v>
      </c>
      <c r="R77" s="33" t="s">
        <v>2118</v>
      </c>
      <c r="S77" s="33">
        <v>523300</v>
      </c>
      <c r="T77" s="33" t="s">
        <v>2075</v>
      </c>
      <c r="U77" s="34">
        <v>6.2307600000000001</v>
      </c>
      <c r="V77" s="7"/>
      <c r="W77" s="7" t="str">
        <f>VLOOKUP($Q77,Mapping!$E$11:$I$96,3,0)</f>
        <v>Connections</v>
      </c>
      <c r="X77" s="7" t="str">
        <f>VLOOKUP($S77,Mapping!$E$140:$K$2771,5,0)</f>
        <v>Materials</v>
      </c>
      <c r="Y77" s="7" t="str">
        <f>VLOOKUP($S77,Mapping!$E$140:$K$2771,7,0)</f>
        <v>ENDirect</v>
      </c>
      <c r="Z77" s="7" t="str">
        <f>IFERROR(HLOOKUP(X77,'Calc|Weightings'!$K$5:$M$5,1,0),"Excl")</f>
        <v>Materials</v>
      </c>
      <c r="AA77" s="7" t="str">
        <f>VLOOKUP(Q77,Mapping!$E$11:$I$96,5,0)</f>
        <v>SCS</v>
      </c>
      <c r="AC77" s="111">
        <v>104</v>
      </c>
      <c r="AD77" s="111" t="s">
        <v>2114</v>
      </c>
      <c r="AE77" s="111">
        <v>611901</v>
      </c>
      <c r="AF77" s="111" t="s">
        <v>2080</v>
      </c>
      <c r="AG77" s="112">
        <v>9.2670000000000002E-2</v>
      </c>
      <c r="AI77" s="7" t="str">
        <f>VLOOKUP($AC77,Mapping!$E$11:$I$96,3,0)</f>
        <v>Connections</v>
      </c>
      <c r="AJ77" s="7" t="str">
        <f>VLOOKUP($AE77,Mapping!$E$140:$K$2771,5,0)</f>
        <v>Contracts</v>
      </c>
      <c r="AK77" s="7" t="str">
        <f>VLOOKUP($AE77,Mapping!$E$140:$K$2771,7,0)</f>
        <v>ENDirect</v>
      </c>
      <c r="AL77" s="7" t="str">
        <f>IFERROR(HLOOKUP(AJ77,'Calc|Weightings'!$K$5:$M$5,1,0),"Excl")</f>
        <v>Contracts</v>
      </c>
      <c r="AM77" s="7" t="str">
        <f>VLOOKUP(AC77,Mapping!$E$11:$I$96,5,0)</f>
        <v>SCS</v>
      </c>
      <c r="AO77" s="134">
        <v>105</v>
      </c>
      <c r="AP77" s="135" t="s">
        <v>2118</v>
      </c>
      <c r="AQ77" s="135">
        <v>523100</v>
      </c>
      <c r="AR77" s="135" t="s">
        <v>2074</v>
      </c>
      <c r="AS77" s="136">
        <v>17.19886</v>
      </c>
      <c r="AU77" s="7" t="str">
        <f>VLOOKUP($AO77,Mapping!$E$11:$I$96,3,0)</f>
        <v>Connections</v>
      </c>
      <c r="AV77" s="7" t="str">
        <f>VLOOKUP($AQ77,Mapping!$E$140:$K$2771,5,0)</f>
        <v>Materials</v>
      </c>
      <c r="AW77" s="7" t="str">
        <f>VLOOKUP($AQ77,Mapping!$E$140:$K$2771,7,0)</f>
        <v>ENDirect</v>
      </c>
      <c r="AX77" s="7" t="str">
        <f>IFERROR(HLOOKUP(AV77,'Calc|Weightings'!$K$5:$M$5,1,0),"Excl")</f>
        <v>Materials</v>
      </c>
      <c r="AY77" s="7" t="str">
        <f>VLOOKUP(AO77,Mapping!$E$11:$I$96,5,0)</f>
        <v>SCS</v>
      </c>
    </row>
    <row r="78" spans="1:51" x14ac:dyDescent="0.2">
      <c r="A78" s="7"/>
      <c r="B78" s="7"/>
      <c r="C78" s="7"/>
      <c r="D78" s="7"/>
      <c r="E78" s="36">
        <v>102</v>
      </c>
      <c r="F78" s="36" t="s">
        <v>2070</v>
      </c>
      <c r="G78" s="36">
        <v>635001</v>
      </c>
      <c r="H78" s="36" t="s">
        <v>1929</v>
      </c>
      <c r="I78" s="37">
        <v>83.343239999999994</v>
      </c>
      <c r="J78" s="7"/>
      <c r="K78" s="7" t="str">
        <f>VLOOKUP($E78,Mapping!$E$11:$I$96,3,0)</f>
        <v>Connections</v>
      </c>
      <c r="L78" s="7" t="str">
        <f>VLOOKUP($G78,Mapping!$E$140:$K$2771,5,0)</f>
        <v>PNS MG</v>
      </c>
      <c r="M78" s="7" t="str">
        <f>VLOOKUP($G78,Mapping!$E$140:$K$2771,7,0)</f>
        <v>ENDirect</v>
      </c>
      <c r="N78" s="7" t="str">
        <f>IFERROR(HLOOKUP(L78,'Calc|Weightings'!$K$5:$M$5,1,0),"Excl")</f>
        <v>Excl</v>
      </c>
      <c r="O78" s="7" t="str">
        <f>VLOOKUP(E78,Mapping!$E$11:$I$96,5,0)</f>
        <v>SCS</v>
      </c>
      <c r="Q78" s="33">
        <v>105</v>
      </c>
      <c r="R78" s="33" t="s">
        <v>2118</v>
      </c>
      <c r="S78" s="33">
        <v>531020</v>
      </c>
      <c r="T78" s="33" t="s">
        <v>219</v>
      </c>
      <c r="U78" s="34">
        <v>12.22908</v>
      </c>
      <c r="V78" s="7"/>
      <c r="W78" s="7" t="str">
        <f>VLOOKUP($Q78,Mapping!$E$11:$I$96,3,0)</f>
        <v>Connections</v>
      </c>
      <c r="X78" s="7" t="str">
        <f>VLOOKUP($S78,Mapping!$E$140:$K$2771,5,0)</f>
        <v>Labour</v>
      </c>
      <c r="Y78" s="7" t="str">
        <f>VLOOKUP($S78,Mapping!$E$140:$K$2771,7,0)</f>
        <v>ENDirect</v>
      </c>
      <c r="Z78" s="7" t="str">
        <f>IFERROR(HLOOKUP(X78,'Calc|Weightings'!$K$5:$M$5,1,0),"Excl")</f>
        <v>Labour</v>
      </c>
      <c r="AA78" s="7" t="str">
        <f>VLOOKUP(Q78,Mapping!$E$11:$I$96,5,0)</f>
        <v>SCS</v>
      </c>
      <c r="AC78" s="111">
        <v>104</v>
      </c>
      <c r="AD78" s="111" t="s">
        <v>2114</v>
      </c>
      <c r="AE78" s="111">
        <v>611902</v>
      </c>
      <c r="AF78" s="111" t="s">
        <v>2081</v>
      </c>
      <c r="AG78" s="112">
        <v>1.50465</v>
      </c>
      <c r="AI78" s="7" t="str">
        <f>VLOOKUP($AC78,Mapping!$E$11:$I$96,3,0)</f>
        <v>Connections</v>
      </c>
      <c r="AJ78" s="7" t="str">
        <f>VLOOKUP($AE78,Mapping!$E$140:$K$2771,5,0)</f>
        <v>Contracts</v>
      </c>
      <c r="AK78" s="7" t="str">
        <f>VLOOKUP($AE78,Mapping!$E$140:$K$2771,7,0)</f>
        <v>ENDirect</v>
      </c>
      <c r="AL78" s="7" t="str">
        <f>IFERROR(HLOOKUP(AJ78,'Calc|Weightings'!$K$5:$M$5,1,0),"Excl")</f>
        <v>Contracts</v>
      </c>
      <c r="AM78" s="7" t="str">
        <f>VLOOKUP(AC78,Mapping!$E$11:$I$96,5,0)</f>
        <v>SCS</v>
      </c>
      <c r="AO78" s="134">
        <v>105</v>
      </c>
      <c r="AP78" s="135" t="s">
        <v>2118</v>
      </c>
      <c r="AQ78" s="135">
        <v>523300</v>
      </c>
      <c r="AR78" s="135" t="s">
        <v>2075</v>
      </c>
      <c r="AS78" s="136">
        <v>2.8969999999999999E-2</v>
      </c>
      <c r="AU78" s="7" t="str">
        <f>VLOOKUP($AO78,Mapping!$E$11:$I$96,3,0)</f>
        <v>Connections</v>
      </c>
      <c r="AV78" s="7" t="str">
        <f>VLOOKUP($AQ78,Mapping!$E$140:$K$2771,5,0)</f>
        <v>Materials</v>
      </c>
      <c r="AW78" s="7" t="str">
        <f>VLOOKUP($AQ78,Mapping!$E$140:$K$2771,7,0)</f>
        <v>ENDirect</v>
      </c>
      <c r="AX78" s="7" t="str">
        <f>IFERROR(HLOOKUP(AV78,'Calc|Weightings'!$K$5:$M$5,1,0),"Excl")</f>
        <v>Materials</v>
      </c>
      <c r="AY78" s="7" t="str">
        <f>VLOOKUP(AO78,Mapping!$E$11:$I$96,5,0)</f>
        <v>SCS</v>
      </c>
    </row>
    <row r="79" spans="1:51" x14ac:dyDescent="0.2">
      <c r="A79" s="7"/>
      <c r="B79" s="7"/>
      <c r="C79" s="7"/>
      <c r="D79" s="7"/>
      <c r="E79" s="36">
        <v>102</v>
      </c>
      <c r="F79" s="36" t="s">
        <v>2070</v>
      </c>
      <c r="G79" s="36">
        <v>636001</v>
      </c>
      <c r="H79" s="36" t="s">
        <v>2111</v>
      </c>
      <c r="I79" s="37">
        <v>38.44312</v>
      </c>
      <c r="J79" s="7"/>
      <c r="K79" s="7" t="str">
        <f>VLOOKUP($E79,Mapping!$E$11:$I$96,3,0)</f>
        <v>Connections</v>
      </c>
      <c r="L79" s="7" t="str">
        <f>VLOOKUP($G79,Mapping!$E$140:$K$2771,5,0)</f>
        <v>System Control OH</v>
      </c>
      <c r="M79" s="7" t="str">
        <f>VLOOKUP($G79,Mapping!$E$140:$K$2771,7,0)</f>
        <v>OH</v>
      </c>
      <c r="N79" s="7" t="str">
        <f>IFERROR(HLOOKUP(L79,'Calc|Weightings'!$K$5:$M$5,1,0),"Excl")</f>
        <v>Excl</v>
      </c>
      <c r="O79" s="7" t="str">
        <f>VLOOKUP(E79,Mapping!$E$11:$I$96,5,0)</f>
        <v>SCS</v>
      </c>
      <c r="Q79" s="33">
        <v>105</v>
      </c>
      <c r="R79" s="33" t="s">
        <v>2118</v>
      </c>
      <c r="S79" s="33">
        <v>531035</v>
      </c>
      <c r="T79" s="33" t="s">
        <v>244</v>
      </c>
      <c r="U79" s="34">
        <v>19.483440000000002</v>
      </c>
      <c r="V79" s="7"/>
      <c r="W79" s="7" t="str">
        <f>VLOOKUP($Q79,Mapping!$E$11:$I$96,3,0)</f>
        <v>Connections</v>
      </c>
      <c r="X79" s="7" t="str">
        <f>VLOOKUP($S79,Mapping!$E$140:$K$2771,5,0)</f>
        <v>Labour</v>
      </c>
      <c r="Y79" s="7" t="str">
        <f>VLOOKUP($S79,Mapping!$E$140:$K$2771,7,0)</f>
        <v>ENDirect</v>
      </c>
      <c r="Z79" s="7" t="str">
        <f>IFERROR(HLOOKUP(X79,'Calc|Weightings'!$K$5:$M$5,1,0),"Excl")</f>
        <v>Labour</v>
      </c>
      <c r="AA79" s="7" t="str">
        <f>VLOOKUP(Q79,Mapping!$E$11:$I$96,5,0)</f>
        <v>SCS</v>
      </c>
      <c r="AC79" s="111">
        <v>104</v>
      </c>
      <c r="AD79" s="111" t="s">
        <v>2114</v>
      </c>
      <c r="AE79" s="111">
        <v>613240</v>
      </c>
      <c r="AF79" s="111" t="s">
        <v>2082</v>
      </c>
      <c r="AG79" s="112">
        <v>1.06152</v>
      </c>
      <c r="AI79" s="7" t="str">
        <f>VLOOKUP($AC79,Mapping!$E$11:$I$96,3,0)</f>
        <v>Connections</v>
      </c>
      <c r="AJ79" s="7" t="str">
        <f>VLOOKUP($AE79,Mapping!$E$140:$K$2771,5,0)</f>
        <v>Labour</v>
      </c>
      <c r="AK79" s="7" t="str">
        <f>VLOOKUP($AE79,Mapping!$E$140:$K$2771,7,0)</f>
        <v>ENDirect</v>
      </c>
      <c r="AL79" s="7" t="str">
        <f>IFERROR(HLOOKUP(AJ79,'Calc|Weightings'!$K$5:$M$5,1,0),"Excl")</f>
        <v>Labour</v>
      </c>
      <c r="AM79" s="7" t="str">
        <f>VLOOKUP(AC79,Mapping!$E$11:$I$96,5,0)</f>
        <v>SCS</v>
      </c>
      <c r="AO79" s="134">
        <v>105</v>
      </c>
      <c r="AP79" s="135" t="s">
        <v>2118</v>
      </c>
      <c r="AQ79" s="135">
        <v>531020</v>
      </c>
      <c r="AR79" s="135" t="s">
        <v>219</v>
      </c>
      <c r="AS79" s="136">
        <v>52.6126</v>
      </c>
      <c r="AU79" s="7" t="str">
        <f>VLOOKUP($AO79,Mapping!$E$11:$I$96,3,0)</f>
        <v>Connections</v>
      </c>
      <c r="AV79" s="7" t="str">
        <f>VLOOKUP($AQ79,Mapping!$E$140:$K$2771,5,0)</f>
        <v>Labour</v>
      </c>
      <c r="AW79" s="7" t="str">
        <f>VLOOKUP($AQ79,Mapping!$E$140:$K$2771,7,0)</f>
        <v>ENDirect</v>
      </c>
      <c r="AX79" s="7" t="str">
        <f>IFERROR(HLOOKUP(AV79,'Calc|Weightings'!$K$5:$M$5,1,0),"Excl")</f>
        <v>Labour</v>
      </c>
      <c r="AY79" s="7" t="str">
        <f>VLOOKUP(AO79,Mapping!$E$11:$I$96,5,0)</f>
        <v>SCS</v>
      </c>
    </row>
    <row r="80" spans="1:51" x14ac:dyDescent="0.2">
      <c r="A80" s="7"/>
      <c r="B80" s="7"/>
      <c r="C80" s="7"/>
      <c r="D80" s="7"/>
      <c r="E80" s="36">
        <v>102</v>
      </c>
      <c r="F80" s="36" t="s">
        <v>2070</v>
      </c>
      <c r="G80" s="36">
        <v>639000</v>
      </c>
      <c r="H80" s="36" t="s">
        <v>2112</v>
      </c>
      <c r="I80" s="37">
        <v>79.361990000000006</v>
      </c>
      <c r="J80" s="7"/>
      <c r="K80" s="7" t="str">
        <f>VLOOKUP($E80,Mapping!$E$11:$I$96,3,0)</f>
        <v>Connections</v>
      </c>
      <c r="L80" s="7" t="str">
        <f>VLOOKUP($G80,Mapping!$E$140:$K$2771,5,0)</f>
        <v>PNS Corporate OH</v>
      </c>
      <c r="M80" s="7" t="str">
        <f>VLOOKUP($G80,Mapping!$E$140:$K$2771,7,0)</f>
        <v>OH</v>
      </c>
      <c r="N80" s="7" t="str">
        <f>IFERROR(HLOOKUP(L80,'Calc|Weightings'!$K$5:$M$5,1,0),"Excl")</f>
        <v>Excl</v>
      </c>
      <c r="O80" s="7" t="str">
        <f>VLOOKUP(E80,Mapping!$E$11:$I$96,5,0)</f>
        <v>SCS</v>
      </c>
      <c r="Q80" s="33">
        <v>105</v>
      </c>
      <c r="R80" s="33" t="s">
        <v>2118</v>
      </c>
      <c r="S80" s="33">
        <v>531200</v>
      </c>
      <c r="T80" s="33" t="s">
        <v>250</v>
      </c>
      <c r="U80" s="34">
        <v>31.052</v>
      </c>
      <c r="V80" s="7"/>
      <c r="W80" s="7" t="str">
        <f>VLOOKUP($Q80,Mapping!$E$11:$I$96,3,0)</f>
        <v>Connections</v>
      </c>
      <c r="X80" s="7" t="str">
        <f>VLOOKUP($S80,Mapping!$E$140:$K$2771,5,0)</f>
        <v>Contracts</v>
      </c>
      <c r="Y80" s="7" t="str">
        <f>VLOOKUP($S80,Mapping!$E$140:$K$2771,7,0)</f>
        <v>ENDirect</v>
      </c>
      <c r="Z80" s="7" t="str">
        <f>IFERROR(HLOOKUP(X80,'Calc|Weightings'!$K$5:$M$5,1,0),"Excl")</f>
        <v>Contracts</v>
      </c>
      <c r="AA80" s="7" t="str">
        <f>VLOOKUP(Q80,Mapping!$E$11:$I$96,5,0)</f>
        <v>SCS</v>
      </c>
      <c r="AC80" s="111">
        <v>104</v>
      </c>
      <c r="AD80" s="111" t="s">
        <v>2114</v>
      </c>
      <c r="AE80" s="111">
        <v>613250</v>
      </c>
      <c r="AF80" s="111" t="s">
        <v>2086</v>
      </c>
      <c r="AG80" s="112">
        <v>1.1830400000000001</v>
      </c>
      <c r="AI80" s="7" t="str">
        <f>VLOOKUP($AC80,Mapping!$E$11:$I$96,3,0)</f>
        <v>Connections</v>
      </c>
      <c r="AJ80" s="7" t="str">
        <f>VLOOKUP($AE80,Mapping!$E$140:$K$2771,5,0)</f>
        <v>Labour</v>
      </c>
      <c r="AK80" s="7" t="str">
        <f>VLOOKUP($AE80,Mapping!$E$140:$K$2771,7,0)</f>
        <v>ENDirect</v>
      </c>
      <c r="AL80" s="7" t="str">
        <f>IFERROR(HLOOKUP(AJ80,'Calc|Weightings'!$K$5:$M$5,1,0),"Excl")</f>
        <v>Labour</v>
      </c>
      <c r="AM80" s="7" t="str">
        <f>VLOOKUP(AC80,Mapping!$E$11:$I$96,5,0)</f>
        <v>SCS</v>
      </c>
      <c r="AO80" s="134">
        <v>105</v>
      </c>
      <c r="AP80" s="135" t="s">
        <v>2118</v>
      </c>
      <c r="AQ80" s="135">
        <v>531200</v>
      </c>
      <c r="AR80" s="135" t="s">
        <v>250</v>
      </c>
      <c r="AS80" s="136">
        <v>112.33083000000001</v>
      </c>
      <c r="AU80" s="7" t="str">
        <f>VLOOKUP($AO80,Mapping!$E$11:$I$96,3,0)</f>
        <v>Connections</v>
      </c>
      <c r="AV80" s="7" t="str">
        <f>VLOOKUP($AQ80,Mapping!$E$140:$K$2771,5,0)</f>
        <v>Contracts</v>
      </c>
      <c r="AW80" s="7" t="str">
        <f>VLOOKUP($AQ80,Mapping!$E$140:$K$2771,7,0)</f>
        <v>ENDirect</v>
      </c>
      <c r="AX80" s="7" t="str">
        <f>IFERROR(HLOOKUP(AV80,'Calc|Weightings'!$K$5:$M$5,1,0),"Excl")</f>
        <v>Contracts</v>
      </c>
      <c r="AY80" s="7" t="str">
        <f>VLOOKUP(AO80,Mapping!$E$11:$I$96,5,0)</f>
        <v>SCS</v>
      </c>
    </row>
    <row r="81" spans="1:51" x14ac:dyDescent="0.2">
      <c r="A81" s="7"/>
      <c r="B81" s="7"/>
      <c r="C81" s="7"/>
      <c r="D81" s="7"/>
      <c r="E81" s="36">
        <v>102</v>
      </c>
      <c r="F81" s="36" t="s">
        <v>2070</v>
      </c>
      <c r="G81" s="36">
        <v>639050</v>
      </c>
      <c r="H81" s="36" t="s">
        <v>2113</v>
      </c>
      <c r="I81" s="37">
        <v>10.671849999999999</v>
      </c>
      <c r="J81" s="7"/>
      <c r="K81" s="7" t="str">
        <f>VLOOKUP($E81,Mapping!$E$11:$I$96,3,0)</f>
        <v>Connections</v>
      </c>
      <c r="L81" s="7" t="str">
        <f>VLOOKUP($G81,Mapping!$E$140:$K$2771,5,0)</f>
        <v>PNS Fleet &amp; Property OH</v>
      </c>
      <c r="M81" s="7" t="str">
        <f>VLOOKUP($G81,Mapping!$E$140:$K$2771,7,0)</f>
        <v>OH</v>
      </c>
      <c r="N81" s="7" t="str">
        <f>IFERROR(HLOOKUP(L81,'Calc|Weightings'!$K$5:$M$5,1,0),"Excl")</f>
        <v>Excl</v>
      </c>
      <c r="O81" s="7" t="str">
        <f>VLOOKUP(E81,Mapping!$E$11:$I$96,5,0)</f>
        <v>SCS</v>
      </c>
      <c r="Q81" s="33">
        <v>105</v>
      </c>
      <c r="R81" s="33" t="s">
        <v>2118</v>
      </c>
      <c r="S81" s="33">
        <v>531201</v>
      </c>
      <c r="T81" s="33" t="s">
        <v>251</v>
      </c>
      <c r="U81" s="34">
        <v>180.60616999999999</v>
      </c>
      <c r="V81" s="7"/>
      <c r="W81" s="7" t="str">
        <f>VLOOKUP($Q81,Mapping!$E$11:$I$96,3,0)</f>
        <v>Connections</v>
      </c>
      <c r="X81" s="7" t="str">
        <f>VLOOKUP($S81,Mapping!$E$140:$K$2771,5,0)</f>
        <v>Contracts</v>
      </c>
      <c r="Y81" s="7" t="str">
        <f>VLOOKUP($S81,Mapping!$E$140:$K$2771,7,0)</f>
        <v>ENDirect</v>
      </c>
      <c r="Z81" s="7" t="str">
        <f>IFERROR(HLOOKUP(X81,'Calc|Weightings'!$K$5:$M$5,1,0),"Excl")</f>
        <v>Contracts</v>
      </c>
      <c r="AA81" s="7" t="str">
        <f>VLOOKUP(Q81,Mapping!$E$11:$I$96,5,0)</f>
        <v>SCS</v>
      </c>
      <c r="AC81" s="111">
        <v>104</v>
      </c>
      <c r="AD81" s="111" t="s">
        <v>2114</v>
      </c>
      <c r="AE81" s="111">
        <v>613280</v>
      </c>
      <c r="AF81" s="111" t="s">
        <v>1342</v>
      </c>
      <c r="AG81" s="112">
        <v>0.24542</v>
      </c>
      <c r="AI81" s="7" t="str">
        <f>VLOOKUP($AC81,Mapping!$E$11:$I$96,3,0)</f>
        <v>Connections</v>
      </c>
      <c r="AJ81" s="7" t="str">
        <f>VLOOKUP($AE81,Mapping!$E$140:$K$2771,5,0)</f>
        <v>Labour</v>
      </c>
      <c r="AK81" s="7" t="str">
        <f>VLOOKUP($AE81,Mapping!$E$140:$K$2771,7,0)</f>
        <v>ENDirect</v>
      </c>
      <c r="AL81" s="7" t="str">
        <f>IFERROR(HLOOKUP(AJ81,'Calc|Weightings'!$K$5:$M$5,1,0),"Excl")</f>
        <v>Labour</v>
      </c>
      <c r="AM81" s="7" t="str">
        <f>VLOOKUP(AC81,Mapping!$E$11:$I$96,5,0)</f>
        <v>SCS</v>
      </c>
      <c r="AO81" s="134">
        <v>105</v>
      </c>
      <c r="AP81" s="135" t="s">
        <v>2118</v>
      </c>
      <c r="AQ81" s="135">
        <v>531201</v>
      </c>
      <c r="AR81" s="135" t="s">
        <v>251</v>
      </c>
      <c r="AS81" s="136">
        <v>234.80258000000001</v>
      </c>
      <c r="AU81" s="7" t="str">
        <f>VLOOKUP($AO81,Mapping!$E$11:$I$96,3,0)</f>
        <v>Connections</v>
      </c>
      <c r="AV81" s="7" t="str">
        <f>VLOOKUP($AQ81,Mapping!$E$140:$K$2771,5,0)</f>
        <v>Contracts</v>
      </c>
      <c r="AW81" s="7" t="str">
        <f>VLOOKUP($AQ81,Mapping!$E$140:$K$2771,7,0)</f>
        <v>ENDirect</v>
      </c>
      <c r="AX81" s="7" t="str">
        <f>IFERROR(HLOOKUP(AV81,'Calc|Weightings'!$K$5:$M$5,1,0),"Excl")</f>
        <v>Contracts</v>
      </c>
      <c r="AY81" s="7" t="str">
        <f>VLOOKUP(AO81,Mapping!$E$11:$I$96,5,0)</f>
        <v>SCS</v>
      </c>
    </row>
    <row r="82" spans="1:51" x14ac:dyDescent="0.2">
      <c r="A82" s="7"/>
      <c r="B82" s="7"/>
      <c r="C82" s="7"/>
      <c r="D82" s="7"/>
      <c r="E82" s="36">
        <v>105</v>
      </c>
      <c r="F82" s="36" t="s">
        <v>2118</v>
      </c>
      <c r="G82" s="36">
        <v>500200</v>
      </c>
      <c r="H82" s="36" t="s">
        <v>136</v>
      </c>
      <c r="I82" s="37">
        <v>3.4000000000000002E-2</v>
      </c>
      <c r="J82" s="7"/>
      <c r="K82" s="7" t="str">
        <f>VLOOKUP($E82,Mapping!$E$11:$I$96,3,0)</f>
        <v>Connections</v>
      </c>
      <c r="L82" s="7" t="str">
        <f>VLOOKUP($G82,Mapping!$E$140:$K$2771,5,0)</f>
        <v>Labour</v>
      </c>
      <c r="M82" s="7" t="str">
        <f>VLOOKUP($G82,Mapping!$E$140:$K$2771,7,0)</f>
        <v>ENDirect</v>
      </c>
      <c r="N82" s="7" t="str">
        <f>IFERROR(HLOOKUP(L82,'Calc|Weightings'!$K$5:$M$5,1,0),"Excl")</f>
        <v>Labour</v>
      </c>
      <c r="O82" s="7" t="str">
        <f>VLOOKUP(E82,Mapping!$E$11:$I$96,5,0)</f>
        <v>SCS</v>
      </c>
      <c r="Q82" s="33">
        <v>105</v>
      </c>
      <c r="R82" s="33" t="s">
        <v>2118</v>
      </c>
      <c r="S82" s="33">
        <v>531464</v>
      </c>
      <c r="T82" s="33" t="s">
        <v>256</v>
      </c>
      <c r="U82" s="34">
        <v>993.29828999999995</v>
      </c>
      <c r="V82" s="7"/>
      <c r="W82" s="7" t="str">
        <f>VLOOKUP($Q82,Mapping!$E$11:$I$96,3,0)</f>
        <v>Connections</v>
      </c>
      <c r="X82" s="7" t="str">
        <f>VLOOKUP($S82,Mapping!$E$140:$K$2771,5,0)</f>
        <v>Contracts</v>
      </c>
      <c r="Y82" s="7" t="str">
        <f>VLOOKUP($S82,Mapping!$E$140:$K$2771,7,0)</f>
        <v>ENDirect</v>
      </c>
      <c r="Z82" s="7" t="str">
        <f>IFERROR(HLOOKUP(X82,'Calc|Weightings'!$K$5:$M$5,1,0),"Excl")</f>
        <v>Contracts</v>
      </c>
      <c r="AA82" s="7" t="str">
        <f>VLOOKUP(Q82,Mapping!$E$11:$I$96,5,0)</f>
        <v>SCS</v>
      </c>
      <c r="AC82" s="111">
        <v>104</v>
      </c>
      <c r="AD82" s="111" t="s">
        <v>2114</v>
      </c>
      <c r="AE82" s="111">
        <v>613290</v>
      </c>
      <c r="AF82" s="111" t="s">
        <v>2093</v>
      </c>
      <c r="AG82" s="112">
        <v>0.94635000000000002</v>
      </c>
      <c r="AI82" s="7" t="str">
        <f>VLOOKUP($AC82,Mapping!$E$11:$I$96,3,0)</f>
        <v>Connections</v>
      </c>
      <c r="AJ82" s="7" t="str">
        <f>VLOOKUP($AE82,Mapping!$E$140:$K$2771,5,0)</f>
        <v>Labour</v>
      </c>
      <c r="AK82" s="7" t="str">
        <f>VLOOKUP($AE82,Mapping!$E$140:$K$2771,7,0)</f>
        <v>ENDirect</v>
      </c>
      <c r="AL82" s="7" t="str">
        <f>IFERROR(HLOOKUP(AJ82,'Calc|Weightings'!$K$5:$M$5,1,0),"Excl")</f>
        <v>Labour</v>
      </c>
      <c r="AM82" s="7" t="str">
        <f>VLOOKUP(AC82,Mapping!$E$11:$I$96,5,0)</f>
        <v>SCS</v>
      </c>
      <c r="AO82" s="134">
        <v>105</v>
      </c>
      <c r="AP82" s="135" t="s">
        <v>2118</v>
      </c>
      <c r="AQ82" s="135">
        <v>531464</v>
      </c>
      <c r="AR82" s="135" t="s">
        <v>256</v>
      </c>
      <c r="AS82" s="136">
        <v>2033.2103</v>
      </c>
      <c r="AU82" s="7" t="str">
        <f>VLOOKUP($AO82,Mapping!$E$11:$I$96,3,0)</f>
        <v>Connections</v>
      </c>
      <c r="AV82" s="7" t="str">
        <f>VLOOKUP($AQ82,Mapping!$E$140:$K$2771,5,0)</f>
        <v>Contracts</v>
      </c>
      <c r="AW82" s="7" t="str">
        <f>VLOOKUP($AQ82,Mapping!$E$140:$K$2771,7,0)</f>
        <v>ENDirect</v>
      </c>
      <c r="AX82" s="7" t="str">
        <f>IFERROR(HLOOKUP(AV82,'Calc|Weightings'!$K$5:$M$5,1,0),"Excl")</f>
        <v>Contracts</v>
      </c>
      <c r="AY82" s="7" t="str">
        <f>VLOOKUP(AO82,Mapping!$E$11:$I$96,5,0)</f>
        <v>SCS</v>
      </c>
    </row>
    <row r="83" spans="1:51" x14ac:dyDescent="0.2">
      <c r="A83" s="7"/>
      <c r="B83" s="7"/>
      <c r="C83" s="7"/>
      <c r="D83" s="7"/>
      <c r="E83" s="36">
        <v>105</v>
      </c>
      <c r="F83" s="36" t="s">
        <v>2118</v>
      </c>
      <c r="G83" s="36">
        <v>500810</v>
      </c>
      <c r="H83" s="36" t="s">
        <v>2071</v>
      </c>
      <c r="I83" s="37">
        <v>0.36799999999999999</v>
      </c>
      <c r="J83" s="7"/>
      <c r="K83" s="7" t="str">
        <f>VLOOKUP($E83,Mapping!$E$11:$I$96,3,0)</f>
        <v>Connections</v>
      </c>
      <c r="L83" s="7" t="str">
        <f>VLOOKUP($G83,Mapping!$E$140:$K$2771,5,0)</f>
        <v>Labour</v>
      </c>
      <c r="M83" s="7" t="str">
        <f>VLOOKUP($G83,Mapping!$E$140:$K$2771,7,0)</f>
        <v>ENDirect</v>
      </c>
      <c r="N83" s="7" t="str">
        <f>IFERROR(HLOOKUP(L83,'Calc|Weightings'!$K$5:$M$5,1,0),"Excl")</f>
        <v>Labour</v>
      </c>
      <c r="O83" s="7" t="str">
        <f>VLOOKUP(E83,Mapping!$E$11:$I$96,5,0)</f>
        <v>SCS</v>
      </c>
      <c r="Q83" s="33">
        <v>105</v>
      </c>
      <c r="R83" s="33" t="s">
        <v>2118</v>
      </c>
      <c r="S83" s="33">
        <v>531465</v>
      </c>
      <c r="T83" s="33" t="s">
        <v>257</v>
      </c>
      <c r="U83" s="34">
        <v>42.151240000000001</v>
      </c>
      <c r="V83" s="7"/>
      <c r="W83" s="7" t="str">
        <f>VLOOKUP($Q83,Mapping!$E$11:$I$96,3,0)</f>
        <v>Connections</v>
      </c>
      <c r="X83" s="7" t="str">
        <f>VLOOKUP($S83,Mapping!$E$140:$K$2771,5,0)</f>
        <v>Contracts</v>
      </c>
      <c r="Y83" s="7" t="str">
        <f>VLOOKUP($S83,Mapping!$E$140:$K$2771,7,0)</f>
        <v>ENDirect</v>
      </c>
      <c r="Z83" s="7" t="str">
        <f>IFERROR(HLOOKUP(X83,'Calc|Weightings'!$K$5:$M$5,1,0),"Excl")</f>
        <v>Contracts</v>
      </c>
      <c r="AA83" s="7" t="str">
        <f>VLOOKUP(Q83,Mapping!$E$11:$I$96,5,0)</f>
        <v>SCS</v>
      </c>
      <c r="AC83" s="111">
        <v>104</v>
      </c>
      <c r="AD83" s="111" t="s">
        <v>2114</v>
      </c>
      <c r="AE83" s="111">
        <v>613360</v>
      </c>
      <c r="AF83" s="111" t="s">
        <v>2097</v>
      </c>
      <c r="AG83" s="112">
        <v>3.71665</v>
      </c>
      <c r="AI83" s="7" t="str">
        <f>VLOOKUP($AC83,Mapping!$E$11:$I$96,3,0)</f>
        <v>Connections</v>
      </c>
      <c r="AJ83" s="7" t="str">
        <f>VLOOKUP($AE83,Mapping!$E$140:$K$2771,5,0)</f>
        <v>Labour</v>
      </c>
      <c r="AK83" s="7" t="str">
        <f>VLOOKUP($AE83,Mapping!$E$140:$K$2771,7,0)</f>
        <v>ENDirect</v>
      </c>
      <c r="AL83" s="7" t="str">
        <f>IFERROR(HLOOKUP(AJ83,'Calc|Weightings'!$K$5:$M$5,1,0),"Excl")</f>
        <v>Labour</v>
      </c>
      <c r="AM83" s="7" t="str">
        <f>VLOOKUP(AC83,Mapping!$E$11:$I$96,5,0)</f>
        <v>SCS</v>
      </c>
      <c r="AO83" s="134">
        <v>105</v>
      </c>
      <c r="AP83" s="135" t="s">
        <v>2118</v>
      </c>
      <c r="AQ83" s="135">
        <v>531465</v>
      </c>
      <c r="AR83" s="135" t="s">
        <v>257</v>
      </c>
      <c r="AS83" s="136">
        <v>83.015309999999999</v>
      </c>
      <c r="AU83" s="7" t="str">
        <f>VLOOKUP($AO83,Mapping!$E$11:$I$96,3,0)</f>
        <v>Connections</v>
      </c>
      <c r="AV83" s="7" t="str">
        <f>VLOOKUP($AQ83,Mapping!$E$140:$K$2771,5,0)</f>
        <v>Contracts</v>
      </c>
      <c r="AW83" s="7" t="str">
        <f>VLOOKUP($AQ83,Mapping!$E$140:$K$2771,7,0)</f>
        <v>ENDirect</v>
      </c>
      <c r="AX83" s="7" t="str">
        <f>IFERROR(HLOOKUP(AV83,'Calc|Weightings'!$K$5:$M$5,1,0),"Excl")</f>
        <v>Contracts</v>
      </c>
      <c r="AY83" s="7" t="str">
        <f>VLOOKUP(AO83,Mapping!$E$11:$I$96,5,0)</f>
        <v>SCS</v>
      </c>
    </row>
    <row r="84" spans="1:51" x14ac:dyDescent="0.2">
      <c r="A84" s="7"/>
      <c r="B84" s="7"/>
      <c r="C84" s="7"/>
      <c r="D84" s="7"/>
      <c r="E84" s="36">
        <v>105</v>
      </c>
      <c r="F84" s="36" t="s">
        <v>2118</v>
      </c>
      <c r="G84" s="36">
        <v>520100</v>
      </c>
      <c r="H84" s="36" t="s">
        <v>2072</v>
      </c>
      <c r="I84" s="37">
        <v>859.32505000000003</v>
      </c>
      <c r="J84" s="7"/>
      <c r="K84" s="7" t="str">
        <f>VLOOKUP($E84,Mapping!$E$11:$I$96,3,0)</f>
        <v>Connections</v>
      </c>
      <c r="L84" s="7" t="str">
        <f>VLOOKUP($G84,Mapping!$E$140:$K$2771,5,0)</f>
        <v>Materials</v>
      </c>
      <c r="M84" s="7" t="str">
        <f>VLOOKUP($G84,Mapping!$E$140:$K$2771,7,0)</f>
        <v>ENDirect</v>
      </c>
      <c r="N84" s="7" t="str">
        <f>IFERROR(HLOOKUP(L84,'Calc|Weightings'!$K$5:$M$5,1,0),"Excl")</f>
        <v>Materials</v>
      </c>
      <c r="O84" s="7" t="str">
        <f>VLOOKUP(E84,Mapping!$E$11:$I$96,5,0)</f>
        <v>SCS</v>
      </c>
      <c r="Q84" s="33">
        <v>105</v>
      </c>
      <c r="R84" s="33" t="s">
        <v>2118</v>
      </c>
      <c r="S84" s="33">
        <v>531466</v>
      </c>
      <c r="T84" s="33" t="s">
        <v>258</v>
      </c>
      <c r="U84" s="34">
        <v>755.51808000000005</v>
      </c>
      <c r="V84" s="7"/>
      <c r="W84" s="7" t="str">
        <f>VLOOKUP($Q84,Mapping!$E$11:$I$96,3,0)</f>
        <v>Connections</v>
      </c>
      <c r="X84" s="7" t="str">
        <f>VLOOKUP($S84,Mapping!$E$140:$K$2771,5,0)</f>
        <v>Contracts</v>
      </c>
      <c r="Y84" s="7" t="str">
        <f>VLOOKUP($S84,Mapping!$E$140:$K$2771,7,0)</f>
        <v>ENDirect</v>
      </c>
      <c r="Z84" s="7" t="str">
        <f>IFERROR(HLOOKUP(X84,'Calc|Weightings'!$K$5:$M$5,1,0),"Excl")</f>
        <v>Contracts</v>
      </c>
      <c r="AA84" s="7" t="str">
        <f>VLOOKUP(Q84,Mapping!$E$11:$I$96,5,0)</f>
        <v>SCS</v>
      </c>
      <c r="AC84" s="111">
        <v>104</v>
      </c>
      <c r="AD84" s="111" t="s">
        <v>2114</v>
      </c>
      <c r="AE84" s="111">
        <v>613400</v>
      </c>
      <c r="AF84" s="111" t="s">
        <v>2099</v>
      </c>
      <c r="AG84" s="112">
        <v>0.13269</v>
      </c>
      <c r="AI84" s="7" t="str">
        <f>VLOOKUP($AC84,Mapping!$E$11:$I$96,3,0)</f>
        <v>Connections</v>
      </c>
      <c r="AJ84" s="7" t="str">
        <f>VLOOKUP($AE84,Mapping!$E$140:$K$2771,5,0)</f>
        <v>Labour</v>
      </c>
      <c r="AK84" s="7" t="str">
        <f>VLOOKUP($AE84,Mapping!$E$140:$K$2771,7,0)</f>
        <v>ENDirect</v>
      </c>
      <c r="AL84" s="7" t="str">
        <f>IFERROR(HLOOKUP(AJ84,'Calc|Weightings'!$K$5:$M$5,1,0),"Excl")</f>
        <v>Labour</v>
      </c>
      <c r="AM84" s="7" t="str">
        <f>VLOOKUP(AC84,Mapping!$E$11:$I$96,5,0)</f>
        <v>SCS</v>
      </c>
      <c r="AO84" s="134">
        <v>105</v>
      </c>
      <c r="AP84" s="135" t="s">
        <v>2118</v>
      </c>
      <c r="AQ84" s="135">
        <v>531466</v>
      </c>
      <c r="AR84" s="135" t="s">
        <v>258</v>
      </c>
      <c r="AS84" s="136">
        <v>54.08522</v>
      </c>
      <c r="AU84" s="7" t="str">
        <f>VLOOKUP($AO84,Mapping!$E$11:$I$96,3,0)</f>
        <v>Connections</v>
      </c>
      <c r="AV84" s="7" t="str">
        <f>VLOOKUP($AQ84,Mapping!$E$140:$K$2771,5,0)</f>
        <v>Contracts</v>
      </c>
      <c r="AW84" s="7" t="str">
        <f>VLOOKUP($AQ84,Mapping!$E$140:$K$2771,7,0)</f>
        <v>ENDirect</v>
      </c>
      <c r="AX84" s="7" t="str">
        <f>IFERROR(HLOOKUP(AV84,'Calc|Weightings'!$K$5:$M$5,1,0),"Excl")</f>
        <v>Contracts</v>
      </c>
      <c r="AY84" s="7" t="str">
        <f>VLOOKUP(AO84,Mapping!$E$11:$I$96,5,0)</f>
        <v>SCS</v>
      </c>
    </row>
    <row r="85" spans="1:51" x14ac:dyDescent="0.2">
      <c r="A85" s="7"/>
      <c r="B85" s="7"/>
      <c r="C85" s="7"/>
      <c r="D85" s="7"/>
      <c r="E85" s="36">
        <v>105</v>
      </c>
      <c r="F85" s="36" t="s">
        <v>2118</v>
      </c>
      <c r="G85" s="36">
        <v>520200</v>
      </c>
      <c r="H85" s="36" t="s">
        <v>2073</v>
      </c>
      <c r="I85" s="37">
        <v>14.913</v>
      </c>
      <c r="J85" s="7"/>
      <c r="K85" s="7" t="str">
        <f>VLOOKUP($E85,Mapping!$E$11:$I$96,3,0)</f>
        <v>Connections</v>
      </c>
      <c r="L85" s="7" t="str">
        <f>VLOOKUP($G85,Mapping!$E$140:$K$2771,5,0)</f>
        <v>Materials</v>
      </c>
      <c r="M85" s="7" t="str">
        <f>VLOOKUP($G85,Mapping!$E$140:$K$2771,7,0)</f>
        <v>ENDirect</v>
      </c>
      <c r="N85" s="7" t="str">
        <f>IFERROR(HLOOKUP(L85,'Calc|Weightings'!$K$5:$M$5,1,0),"Excl")</f>
        <v>Materials</v>
      </c>
      <c r="O85" s="7" t="str">
        <f>VLOOKUP(E85,Mapping!$E$11:$I$96,5,0)</f>
        <v>SCS</v>
      </c>
      <c r="Q85" s="33">
        <v>105</v>
      </c>
      <c r="R85" s="33" t="s">
        <v>2118</v>
      </c>
      <c r="S85" s="33">
        <v>531467</v>
      </c>
      <c r="T85" s="33" t="s">
        <v>259</v>
      </c>
      <c r="U85" s="34">
        <v>480.68750999999997</v>
      </c>
      <c r="V85" s="7"/>
      <c r="W85" s="7" t="str">
        <f>VLOOKUP($Q85,Mapping!$E$11:$I$96,3,0)</f>
        <v>Connections</v>
      </c>
      <c r="X85" s="7" t="str">
        <f>VLOOKUP($S85,Mapping!$E$140:$K$2771,5,0)</f>
        <v>Contracts</v>
      </c>
      <c r="Y85" s="7" t="str">
        <f>VLOOKUP($S85,Mapping!$E$140:$K$2771,7,0)</f>
        <v>ENDirect</v>
      </c>
      <c r="Z85" s="7" t="str">
        <f>IFERROR(HLOOKUP(X85,'Calc|Weightings'!$K$5:$M$5,1,0),"Excl")</f>
        <v>Contracts</v>
      </c>
      <c r="AA85" s="7" t="str">
        <f>VLOOKUP(Q85,Mapping!$E$11:$I$96,5,0)</f>
        <v>SCS</v>
      </c>
      <c r="AC85" s="111">
        <v>104</v>
      </c>
      <c r="AD85" s="111" t="s">
        <v>2114</v>
      </c>
      <c r="AE85" s="111">
        <v>613434</v>
      </c>
      <c r="AF85" s="111" t="s">
        <v>2102</v>
      </c>
      <c r="AG85" s="112">
        <v>1.5952299999999999</v>
      </c>
      <c r="AI85" s="7" t="str">
        <f>VLOOKUP($AC85,Mapping!$E$11:$I$96,3,0)</f>
        <v>Connections</v>
      </c>
      <c r="AJ85" s="7" t="str">
        <f>VLOOKUP($AE85,Mapping!$E$140:$K$2771,5,0)</f>
        <v>Labour</v>
      </c>
      <c r="AK85" s="7" t="str">
        <f>VLOOKUP($AE85,Mapping!$E$140:$K$2771,7,0)</f>
        <v>ENDirect</v>
      </c>
      <c r="AL85" s="7" t="str">
        <f>IFERROR(HLOOKUP(AJ85,'Calc|Weightings'!$K$5:$M$5,1,0),"Excl")</f>
        <v>Labour</v>
      </c>
      <c r="AM85" s="7" t="str">
        <f>VLOOKUP(AC85,Mapping!$E$11:$I$96,5,0)</f>
        <v>SCS</v>
      </c>
      <c r="AO85" s="134">
        <v>105</v>
      </c>
      <c r="AP85" s="135" t="s">
        <v>2118</v>
      </c>
      <c r="AQ85" s="135">
        <v>531467</v>
      </c>
      <c r="AR85" s="135" t="s">
        <v>259</v>
      </c>
      <c r="AS85" s="136">
        <v>445.63272999999998</v>
      </c>
      <c r="AU85" s="7" t="str">
        <f>VLOOKUP($AO85,Mapping!$E$11:$I$96,3,0)</f>
        <v>Connections</v>
      </c>
      <c r="AV85" s="7" t="str">
        <f>VLOOKUP($AQ85,Mapping!$E$140:$K$2771,5,0)</f>
        <v>Contracts</v>
      </c>
      <c r="AW85" s="7" t="str">
        <f>VLOOKUP($AQ85,Mapping!$E$140:$K$2771,7,0)</f>
        <v>ENDirect</v>
      </c>
      <c r="AX85" s="7" t="str">
        <f>IFERROR(HLOOKUP(AV85,'Calc|Weightings'!$K$5:$M$5,1,0),"Excl")</f>
        <v>Contracts</v>
      </c>
      <c r="AY85" s="7" t="str">
        <f>VLOOKUP(AO85,Mapping!$E$11:$I$96,5,0)</f>
        <v>SCS</v>
      </c>
    </row>
    <row r="86" spans="1:51" x14ac:dyDescent="0.2">
      <c r="A86" s="7"/>
      <c r="B86" s="7"/>
      <c r="C86" s="7"/>
      <c r="D86" s="7"/>
      <c r="E86" s="36">
        <v>105</v>
      </c>
      <c r="F86" s="36" t="s">
        <v>2118</v>
      </c>
      <c r="G86" s="36">
        <v>523100</v>
      </c>
      <c r="H86" s="36" t="s">
        <v>2074</v>
      </c>
      <c r="I86" s="37">
        <v>9.6593699999999991</v>
      </c>
      <c r="J86" s="7"/>
      <c r="K86" s="7" t="str">
        <f>VLOOKUP($E86,Mapping!$E$11:$I$96,3,0)</f>
        <v>Connections</v>
      </c>
      <c r="L86" s="7" t="str">
        <f>VLOOKUP($G86,Mapping!$E$140:$K$2771,5,0)</f>
        <v>Materials</v>
      </c>
      <c r="M86" s="7" t="str">
        <f>VLOOKUP($G86,Mapping!$E$140:$K$2771,7,0)</f>
        <v>ENDirect</v>
      </c>
      <c r="N86" s="7" t="str">
        <f>IFERROR(HLOOKUP(L86,'Calc|Weightings'!$K$5:$M$5,1,0),"Excl")</f>
        <v>Materials</v>
      </c>
      <c r="O86" s="7" t="str">
        <f>VLOOKUP(E86,Mapping!$E$11:$I$96,5,0)</f>
        <v>SCS</v>
      </c>
      <c r="Q86" s="33">
        <v>105</v>
      </c>
      <c r="R86" s="33" t="s">
        <v>2118</v>
      </c>
      <c r="S86" s="33">
        <v>531468</v>
      </c>
      <c r="T86" s="33" t="s">
        <v>260</v>
      </c>
      <c r="U86" s="34">
        <v>527.61337000000003</v>
      </c>
      <c r="V86" s="7"/>
      <c r="W86" s="7" t="str">
        <f>VLOOKUP($Q86,Mapping!$E$11:$I$96,3,0)</f>
        <v>Connections</v>
      </c>
      <c r="X86" s="7" t="str">
        <f>VLOOKUP($S86,Mapping!$E$140:$K$2771,5,0)</f>
        <v>Contracts</v>
      </c>
      <c r="Y86" s="7" t="str">
        <f>VLOOKUP($S86,Mapping!$E$140:$K$2771,7,0)</f>
        <v>ENDirect</v>
      </c>
      <c r="Z86" s="7" t="str">
        <f>IFERROR(HLOOKUP(X86,'Calc|Weightings'!$K$5:$M$5,1,0),"Excl")</f>
        <v>Contracts</v>
      </c>
      <c r="AA86" s="7" t="str">
        <f>VLOOKUP(Q86,Mapping!$E$11:$I$96,5,0)</f>
        <v>SCS</v>
      </c>
      <c r="AC86" s="111">
        <v>104</v>
      </c>
      <c r="AD86" s="111" t="s">
        <v>2114</v>
      </c>
      <c r="AE86" s="111">
        <v>613440</v>
      </c>
      <c r="AF86" s="111" t="s">
        <v>2103</v>
      </c>
      <c r="AG86" s="112">
        <v>2.1329999999999998E-2</v>
      </c>
      <c r="AI86" s="7" t="str">
        <f>VLOOKUP($AC86,Mapping!$E$11:$I$96,3,0)</f>
        <v>Connections</v>
      </c>
      <c r="AJ86" s="7" t="str">
        <f>VLOOKUP($AE86,Mapping!$E$140:$K$2771,5,0)</f>
        <v>Labour</v>
      </c>
      <c r="AK86" s="7" t="str">
        <f>VLOOKUP($AE86,Mapping!$E$140:$K$2771,7,0)</f>
        <v>ENDirect</v>
      </c>
      <c r="AL86" s="7" t="str">
        <f>IFERROR(HLOOKUP(AJ86,'Calc|Weightings'!$K$5:$M$5,1,0),"Excl")</f>
        <v>Labour</v>
      </c>
      <c r="AM86" s="7" t="str">
        <f>VLOOKUP(AC86,Mapping!$E$11:$I$96,5,0)</f>
        <v>SCS</v>
      </c>
      <c r="AO86" s="134">
        <v>105</v>
      </c>
      <c r="AP86" s="135" t="s">
        <v>2118</v>
      </c>
      <c r="AQ86" s="135">
        <v>531468</v>
      </c>
      <c r="AR86" s="135" t="s">
        <v>260</v>
      </c>
      <c r="AS86" s="136">
        <v>510.94432999999998</v>
      </c>
      <c r="AU86" s="7" t="str">
        <f>VLOOKUP($AO86,Mapping!$E$11:$I$96,3,0)</f>
        <v>Connections</v>
      </c>
      <c r="AV86" s="7" t="str">
        <f>VLOOKUP($AQ86,Mapping!$E$140:$K$2771,5,0)</f>
        <v>Contracts</v>
      </c>
      <c r="AW86" s="7" t="str">
        <f>VLOOKUP($AQ86,Mapping!$E$140:$K$2771,7,0)</f>
        <v>ENDirect</v>
      </c>
      <c r="AX86" s="7" t="str">
        <f>IFERROR(HLOOKUP(AV86,'Calc|Weightings'!$K$5:$M$5,1,0),"Excl")</f>
        <v>Contracts</v>
      </c>
      <c r="AY86" s="7" t="str">
        <f>VLOOKUP(AO86,Mapping!$E$11:$I$96,5,0)</f>
        <v>SCS</v>
      </c>
    </row>
    <row r="87" spans="1:51" x14ac:dyDescent="0.2">
      <c r="A87" s="7"/>
      <c r="B87" s="7"/>
      <c r="C87" s="7"/>
      <c r="D87" s="7"/>
      <c r="E87" s="36">
        <v>105</v>
      </c>
      <c r="F87" s="36" t="s">
        <v>2118</v>
      </c>
      <c r="G87" s="36">
        <v>523300</v>
      </c>
      <c r="H87" s="36" t="s">
        <v>2075</v>
      </c>
      <c r="I87" s="37">
        <v>0.21923000000000001</v>
      </c>
      <c r="J87" s="7"/>
      <c r="K87" s="7" t="str">
        <f>VLOOKUP($E87,Mapping!$E$11:$I$96,3,0)</f>
        <v>Connections</v>
      </c>
      <c r="L87" s="7" t="str">
        <f>VLOOKUP($G87,Mapping!$E$140:$K$2771,5,0)</f>
        <v>Materials</v>
      </c>
      <c r="M87" s="7" t="str">
        <f>VLOOKUP($G87,Mapping!$E$140:$K$2771,7,0)</f>
        <v>ENDirect</v>
      </c>
      <c r="N87" s="7" t="str">
        <f>IFERROR(HLOOKUP(L87,'Calc|Weightings'!$K$5:$M$5,1,0),"Excl")</f>
        <v>Materials</v>
      </c>
      <c r="O87" s="7" t="str">
        <f>VLOOKUP(E87,Mapping!$E$11:$I$96,5,0)</f>
        <v>SCS</v>
      </c>
      <c r="Q87" s="33">
        <v>105</v>
      </c>
      <c r="R87" s="33" t="s">
        <v>2118</v>
      </c>
      <c r="S87" s="33">
        <v>531469</v>
      </c>
      <c r="T87" s="33" t="s">
        <v>261</v>
      </c>
      <c r="U87" s="34">
        <v>8.2210000000000001</v>
      </c>
      <c r="V87" s="7"/>
      <c r="W87" s="7" t="str">
        <f>VLOOKUP($Q87,Mapping!$E$11:$I$96,3,0)</f>
        <v>Connections</v>
      </c>
      <c r="X87" s="7" t="str">
        <f>VLOOKUP($S87,Mapping!$E$140:$K$2771,5,0)</f>
        <v>Labour</v>
      </c>
      <c r="Y87" s="7" t="str">
        <f>VLOOKUP($S87,Mapping!$E$140:$K$2771,7,0)</f>
        <v>ENDirect</v>
      </c>
      <c r="Z87" s="7" t="str">
        <f>IFERROR(HLOOKUP(X87,'Calc|Weightings'!$K$5:$M$5,1,0),"Excl")</f>
        <v>Labour</v>
      </c>
      <c r="AA87" s="7" t="str">
        <f>VLOOKUP(Q87,Mapping!$E$11:$I$96,5,0)</f>
        <v>SCS</v>
      </c>
      <c r="AC87" s="111">
        <v>104</v>
      </c>
      <c r="AD87" s="111" t="s">
        <v>2114</v>
      </c>
      <c r="AE87" s="111">
        <v>613441</v>
      </c>
      <c r="AF87" s="111" t="s">
        <v>2104</v>
      </c>
      <c r="AG87" s="112">
        <v>0.24171000000000001</v>
      </c>
      <c r="AI87" s="7" t="str">
        <f>VLOOKUP($AC87,Mapping!$E$11:$I$96,3,0)</f>
        <v>Connections</v>
      </c>
      <c r="AJ87" s="7" t="str">
        <f>VLOOKUP($AE87,Mapping!$E$140:$K$2771,5,0)</f>
        <v>Labour</v>
      </c>
      <c r="AK87" s="7" t="str">
        <f>VLOOKUP($AE87,Mapping!$E$140:$K$2771,7,0)</f>
        <v>ENDirect</v>
      </c>
      <c r="AL87" s="7" t="str">
        <f>IFERROR(HLOOKUP(AJ87,'Calc|Weightings'!$K$5:$M$5,1,0),"Excl")</f>
        <v>Labour</v>
      </c>
      <c r="AM87" s="7" t="str">
        <f>VLOOKUP(AC87,Mapping!$E$11:$I$96,5,0)</f>
        <v>SCS</v>
      </c>
      <c r="AO87" s="134">
        <v>105</v>
      </c>
      <c r="AP87" s="135" t="s">
        <v>2118</v>
      </c>
      <c r="AQ87" s="135">
        <v>531469</v>
      </c>
      <c r="AR87" s="135" t="s">
        <v>261</v>
      </c>
      <c r="AS87" s="136">
        <v>3.54</v>
      </c>
      <c r="AU87" s="7" t="str">
        <f>VLOOKUP($AO87,Mapping!$E$11:$I$96,3,0)</f>
        <v>Connections</v>
      </c>
      <c r="AV87" s="7" t="str">
        <f>VLOOKUP($AQ87,Mapping!$E$140:$K$2771,5,0)</f>
        <v>Labour</v>
      </c>
      <c r="AW87" s="7" t="str">
        <f>VLOOKUP($AQ87,Mapping!$E$140:$K$2771,7,0)</f>
        <v>ENDirect</v>
      </c>
      <c r="AX87" s="7" t="str">
        <f>IFERROR(HLOOKUP(AV87,'Calc|Weightings'!$K$5:$M$5,1,0),"Excl")</f>
        <v>Labour</v>
      </c>
      <c r="AY87" s="7" t="str">
        <f>VLOOKUP(AO87,Mapping!$E$11:$I$96,5,0)</f>
        <v>SCS</v>
      </c>
    </row>
    <row r="88" spans="1:51" x14ac:dyDescent="0.2">
      <c r="A88" s="7"/>
      <c r="B88" s="7"/>
      <c r="C88" s="7"/>
      <c r="D88" s="7"/>
      <c r="E88" s="36">
        <v>105</v>
      </c>
      <c r="F88" s="36" t="s">
        <v>2118</v>
      </c>
      <c r="G88" s="36">
        <v>531020</v>
      </c>
      <c r="H88" s="36" t="s">
        <v>219</v>
      </c>
      <c r="I88" s="37">
        <v>40.308999999999997</v>
      </c>
      <c r="J88" s="7"/>
      <c r="K88" s="7" t="str">
        <f>VLOOKUP($E88,Mapping!$E$11:$I$96,3,0)</f>
        <v>Connections</v>
      </c>
      <c r="L88" s="7" t="str">
        <f>VLOOKUP($G88,Mapping!$E$140:$K$2771,5,0)</f>
        <v>Labour</v>
      </c>
      <c r="M88" s="7" t="str">
        <f>VLOOKUP($G88,Mapping!$E$140:$K$2771,7,0)</f>
        <v>ENDirect</v>
      </c>
      <c r="N88" s="7" t="str">
        <f>IFERROR(HLOOKUP(L88,'Calc|Weightings'!$K$5:$M$5,1,0),"Excl")</f>
        <v>Labour</v>
      </c>
      <c r="O88" s="7" t="str">
        <f>VLOOKUP(E88,Mapping!$E$11:$I$96,5,0)</f>
        <v>SCS</v>
      </c>
      <c r="Q88" s="33">
        <v>105</v>
      </c>
      <c r="R88" s="33" t="s">
        <v>2118</v>
      </c>
      <c r="S88" s="33">
        <v>532050</v>
      </c>
      <c r="T88" s="33" t="s">
        <v>279</v>
      </c>
      <c r="U88" s="34">
        <v>0.50119999999999998</v>
      </c>
      <c r="V88" s="7"/>
      <c r="W88" s="7" t="str">
        <f>VLOOKUP($Q88,Mapping!$E$11:$I$96,3,0)</f>
        <v>Connections</v>
      </c>
      <c r="X88" s="7" t="str">
        <f>VLOOKUP($S88,Mapping!$E$140:$K$2771,5,0)</f>
        <v>Contracts</v>
      </c>
      <c r="Y88" s="7" t="str">
        <f>VLOOKUP($S88,Mapping!$E$140:$K$2771,7,0)</f>
        <v>ENDirect</v>
      </c>
      <c r="Z88" s="7" t="str">
        <f>IFERROR(HLOOKUP(X88,'Calc|Weightings'!$K$5:$M$5,1,0),"Excl")</f>
        <v>Contracts</v>
      </c>
      <c r="AA88" s="7" t="str">
        <f>VLOOKUP(Q88,Mapping!$E$11:$I$96,5,0)</f>
        <v>SCS</v>
      </c>
      <c r="AC88" s="111">
        <v>104</v>
      </c>
      <c r="AD88" s="111" t="s">
        <v>2114</v>
      </c>
      <c r="AE88" s="111">
        <v>613450</v>
      </c>
      <c r="AF88" s="111" t="s">
        <v>2175</v>
      </c>
      <c r="AG88" s="112">
        <v>3.3477399999999999</v>
      </c>
      <c r="AI88" s="7" t="str">
        <f>VLOOKUP($AC88,Mapping!$E$11:$I$96,3,0)</f>
        <v>Connections</v>
      </c>
      <c r="AJ88" s="7" t="str">
        <f>VLOOKUP($AE88,Mapping!$E$140:$K$2771,5,0)</f>
        <v>Labour</v>
      </c>
      <c r="AK88" s="7" t="str">
        <f>VLOOKUP($AE88,Mapping!$E$140:$K$2771,7,0)</f>
        <v>ENDirect</v>
      </c>
      <c r="AL88" s="7" t="str">
        <f>IFERROR(HLOOKUP(AJ88,'Calc|Weightings'!$K$5:$M$5,1,0),"Excl")</f>
        <v>Labour</v>
      </c>
      <c r="AM88" s="7" t="str">
        <f>VLOOKUP(AC88,Mapping!$E$11:$I$96,5,0)</f>
        <v>SCS</v>
      </c>
      <c r="AO88" s="134">
        <v>105</v>
      </c>
      <c r="AP88" s="135" t="s">
        <v>2118</v>
      </c>
      <c r="AQ88" s="135">
        <v>532140</v>
      </c>
      <c r="AR88" s="135" t="s">
        <v>288</v>
      </c>
      <c r="AS88" s="136">
        <v>4.55</v>
      </c>
      <c r="AU88" s="7" t="str">
        <f>VLOOKUP($AO88,Mapping!$E$11:$I$96,3,0)</f>
        <v>Connections</v>
      </c>
      <c r="AV88" s="7" t="str">
        <f>VLOOKUP($AQ88,Mapping!$E$140:$K$2771,5,0)</f>
        <v>Contracts</v>
      </c>
      <c r="AW88" s="7" t="str">
        <f>VLOOKUP($AQ88,Mapping!$E$140:$K$2771,7,0)</f>
        <v>ENDirect</v>
      </c>
      <c r="AX88" s="7" t="str">
        <f>IFERROR(HLOOKUP(AV88,'Calc|Weightings'!$K$5:$M$5,1,0),"Excl")</f>
        <v>Contracts</v>
      </c>
      <c r="AY88" s="7" t="str">
        <f>VLOOKUP(AO88,Mapping!$E$11:$I$96,5,0)</f>
        <v>SCS</v>
      </c>
    </row>
    <row r="89" spans="1:51" x14ac:dyDescent="0.2">
      <c r="A89" s="7"/>
      <c r="B89" s="7"/>
      <c r="C89" s="7"/>
      <c r="D89" s="7"/>
      <c r="E89" s="36">
        <v>105</v>
      </c>
      <c r="F89" s="36" t="s">
        <v>2118</v>
      </c>
      <c r="G89" s="36">
        <v>531035</v>
      </c>
      <c r="H89" s="36" t="s">
        <v>244</v>
      </c>
      <c r="I89" s="37">
        <v>115.91504</v>
      </c>
      <c r="J89" s="7"/>
      <c r="K89" s="7" t="str">
        <f>VLOOKUP($E89,Mapping!$E$11:$I$96,3,0)</f>
        <v>Connections</v>
      </c>
      <c r="L89" s="7" t="str">
        <f>VLOOKUP($G89,Mapping!$E$140:$K$2771,5,0)</f>
        <v>Labour</v>
      </c>
      <c r="M89" s="7" t="str">
        <f>VLOOKUP($G89,Mapping!$E$140:$K$2771,7,0)</f>
        <v>ENDirect</v>
      </c>
      <c r="N89" s="7" t="str">
        <f>IFERROR(HLOOKUP(L89,'Calc|Weightings'!$K$5:$M$5,1,0),"Excl")</f>
        <v>Labour</v>
      </c>
      <c r="O89" s="7" t="str">
        <f>VLOOKUP(E89,Mapping!$E$11:$I$96,5,0)</f>
        <v>SCS</v>
      </c>
      <c r="Q89" s="33">
        <v>105</v>
      </c>
      <c r="R89" s="33" t="s">
        <v>2118</v>
      </c>
      <c r="S89" s="33">
        <v>532140</v>
      </c>
      <c r="T89" s="33" t="s">
        <v>288</v>
      </c>
      <c r="U89" s="34">
        <v>4.5199999999999997E-2</v>
      </c>
      <c r="V89" s="7"/>
      <c r="W89" s="7" t="str">
        <f>VLOOKUP($Q89,Mapping!$E$11:$I$96,3,0)</f>
        <v>Connections</v>
      </c>
      <c r="X89" s="7" t="str">
        <f>VLOOKUP($S89,Mapping!$E$140:$K$2771,5,0)</f>
        <v>Contracts</v>
      </c>
      <c r="Y89" s="7" t="str">
        <f>VLOOKUP($S89,Mapping!$E$140:$K$2771,7,0)</f>
        <v>ENDirect</v>
      </c>
      <c r="Z89" s="7" t="str">
        <f>IFERROR(HLOOKUP(X89,'Calc|Weightings'!$K$5:$M$5,1,0),"Excl")</f>
        <v>Contracts</v>
      </c>
      <c r="AA89" s="7" t="str">
        <f>VLOOKUP(Q89,Mapping!$E$11:$I$96,5,0)</f>
        <v>SCS</v>
      </c>
      <c r="AC89" s="111">
        <v>104</v>
      </c>
      <c r="AD89" s="111" t="s">
        <v>2114</v>
      </c>
      <c r="AE89" s="111">
        <v>613566</v>
      </c>
      <c r="AF89" s="111" t="s">
        <v>1482</v>
      </c>
      <c r="AG89" s="112">
        <v>1.2738</v>
      </c>
      <c r="AI89" s="7" t="str">
        <f>VLOOKUP($AC89,Mapping!$E$11:$I$96,3,0)</f>
        <v>Connections</v>
      </c>
      <c r="AJ89" s="7" t="str">
        <f>VLOOKUP($AE89,Mapping!$E$140:$K$2771,5,0)</f>
        <v>Labour</v>
      </c>
      <c r="AK89" s="7" t="str">
        <f>VLOOKUP($AE89,Mapping!$E$140:$K$2771,7,0)</f>
        <v>ENDirect</v>
      </c>
      <c r="AL89" s="7" t="str">
        <f>IFERROR(HLOOKUP(AJ89,'Calc|Weightings'!$K$5:$M$5,1,0),"Excl")</f>
        <v>Labour</v>
      </c>
      <c r="AM89" s="7" t="str">
        <f>VLOOKUP(AC89,Mapping!$E$11:$I$96,5,0)</f>
        <v>SCS</v>
      </c>
      <c r="AO89" s="134">
        <v>105</v>
      </c>
      <c r="AP89" s="135" t="s">
        <v>2118</v>
      </c>
      <c r="AQ89" s="135">
        <v>591997</v>
      </c>
      <c r="AR89" s="135" t="s">
        <v>2194</v>
      </c>
      <c r="AS89" s="136">
        <v>-19.477150000000002</v>
      </c>
      <c r="AU89" s="7" t="str">
        <f>VLOOKUP($AO89,Mapping!$E$11:$I$96,3,0)</f>
        <v>Connections</v>
      </c>
      <c r="AV89" s="7" t="str">
        <f>VLOOKUP($AQ89,Mapping!$E$140:$K$2771,5,0)</f>
        <v>Contracts</v>
      </c>
      <c r="AW89" s="7" t="str">
        <f>VLOOKUP($AQ89,Mapping!$E$140:$K$2771,7,0)</f>
        <v>ENDirect</v>
      </c>
      <c r="AX89" s="7" t="str">
        <f>IFERROR(HLOOKUP(AV89,'Calc|Weightings'!$K$5:$M$5,1,0),"Excl")</f>
        <v>Contracts</v>
      </c>
      <c r="AY89" s="7" t="str">
        <f>VLOOKUP(AO89,Mapping!$E$11:$I$96,5,0)</f>
        <v>SCS</v>
      </c>
    </row>
    <row r="90" spans="1:51" x14ac:dyDescent="0.2">
      <c r="A90" s="7"/>
      <c r="B90" s="7"/>
      <c r="C90" s="7"/>
      <c r="D90" s="7"/>
      <c r="E90" s="36">
        <v>105</v>
      </c>
      <c r="F90" s="36" t="s">
        <v>2118</v>
      </c>
      <c r="G90" s="36">
        <v>531200</v>
      </c>
      <c r="H90" s="36" t="s">
        <v>250</v>
      </c>
      <c r="I90" s="37">
        <v>124.44013</v>
      </c>
      <c r="J90" s="7"/>
      <c r="K90" s="7" t="str">
        <f>VLOOKUP($E90,Mapping!$E$11:$I$96,3,0)</f>
        <v>Connections</v>
      </c>
      <c r="L90" s="7" t="str">
        <f>VLOOKUP($G90,Mapping!$E$140:$K$2771,5,0)</f>
        <v>Contracts</v>
      </c>
      <c r="M90" s="7" t="str">
        <f>VLOOKUP($G90,Mapping!$E$140:$K$2771,7,0)</f>
        <v>ENDirect</v>
      </c>
      <c r="N90" s="7" t="str">
        <f>IFERROR(HLOOKUP(L90,'Calc|Weightings'!$K$5:$M$5,1,0),"Excl")</f>
        <v>Contracts</v>
      </c>
      <c r="O90" s="7" t="str">
        <f>VLOOKUP(E90,Mapping!$E$11:$I$96,5,0)</f>
        <v>SCS</v>
      </c>
      <c r="Q90" s="33">
        <v>105</v>
      </c>
      <c r="R90" s="33" t="s">
        <v>2118</v>
      </c>
      <c r="S90" s="33">
        <v>532200</v>
      </c>
      <c r="T90" s="33" t="s">
        <v>291</v>
      </c>
      <c r="U90" s="34">
        <v>2.7086600000000001</v>
      </c>
      <c r="V90" s="7"/>
      <c r="W90" s="7" t="str">
        <f>VLOOKUP($Q90,Mapping!$E$11:$I$96,3,0)</f>
        <v>Connections</v>
      </c>
      <c r="X90" s="7" t="str">
        <f>VLOOKUP($S90,Mapping!$E$140:$K$2771,5,0)</f>
        <v>Contracts</v>
      </c>
      <c r="Y90" s="7" t="str">
        <f>VLOOKUP($S90,Mapping!$E$140:$K$2771,7,0)</f>
        <v>ENDirect</v>
      </c>
      <c r="Z90" s="7" t="str">
        <f>IFERROR(HLOOKUP(X90,'Calc|Weightings'!$K$5:$M$5,1,0),"Excl")</f>
        <v>Contracts</v>
      </c>
      <c r="AA90" s="7" t="str">
        <f>VLOOKUP(Q90,Mapping!$E$11:$I$96,5,0)</f>
        <v>SCS</v>
      </c>
      <c r="AC90" s="111">
        <v>104</v>
      </c>
      <c r="AD90" s="111" t="s">
        <v>2114</v>
      </c>
      <c r="AE90" s="111">
        <v>613574</v>
      </c>
      <c r="AF90" s="111" t="s">
        <v>1488</v>
      </c>
      <c r="AG90" s="112">
        <v>0.59204000000000001</v>
      </c>
      <c r="AI90" s="7" t="str">
        <f>VLOOKUP($AC90,Mapping!$E$11:$I$96,3,0)</f>
        <v>Connections</v>
      </c>
      <c r="AJ90" s="7" t="str">
        <f>VLOOKUP($AE90,Mapping!$E$140:$K$2771,5,0)</f>
        <v>Labour</v>
      </c>
      <c r="AK90" s="7" t="str">
        <f>VLOOKUP($AE90,Mapping!$E$140:$K$2771,7,0)</f>
        <v>ENDirect</v>
      </c>
      <c r="AL90" s="7" t="str">
        <f>IFERROR(HLOOKUP(AJ90,'Calc|Weightings'!$K$5:$M$5,1,0),"Excl")</f>
        <v>Labour</v>
      </c>
      <c r="AM90" s="7" t="str">
        <f>VLOOKUP(AC90,Mapping!$E$11:$I$96,5,0)</f>
        <v>SCS</v>
      </c>
      <c r="AO90" s="134">
        <v>105</v>
      </c>
      <c r="AP90" s="135" t="s">
        <v>2118</v>
      </c>
      <c r="AQ90" s="135">
        <v>591998</v>
      </c>
      <c r="AR90" s="135" t="s">
        <v>2077</v>
      </c>
      <c r="AS90" s="136">
        <v>-89.692369999999997</v>
      </c>
      <c r="AU90" s="7" t="str">
        <f>VLOOKUP($AO90,Mapping!$E$11:$I$96,3,0)</f>
        <v>Connections</v>
      </c>
      <c r="AV90" s="7" t="str">
        <f>VLOOKUP($AQ90,Mapping!$E$140:$K$2771,5,0)</f>
        <v>Contracts</v>
      </c>
      <c r="AW90" s="7" t="str">
        <f>VLOOKUP($AQ90,Mapping!$E$140:$K$2771,7,0)</f>
        <v>ENDirect</v>
      </c>
      <c r="AX90" s="7" t="str">
        <f>IFERROR(HLOOKUP(AV90,'Calc|Weightings'!$K$5:$M$5,1,0),"Excl")</f>
        <v>Contracts</v>
      </c>
      <c r="AY90" s="7" t="str">
        <f>VLOOKUP(AO90,Mapping!$E$11:$I$96,5,0)</f>
        <v>SCS</v>
      </c>
    </row>
    <row r="91" spans="1:51" x14ac:dyDescent="0.2">
      <c r="A91" s="7"/>
      <c r="B91" s="7"/>
      <c r="C91" s="7"/>
      <c r="D91" s="7"/>
      <c r="E91" s="36">
        <v>105</v>
      </c>
      <c r="F91" s="36" t="s">
        <v>2118</v>
      </c>
      <c r="G91" s="36">
        <v>531201</v>
      </c>
      <c r="H91" s="36" t="s">
        <v>251</v>
      </c>
      <c r="I91" s="37">
        <v>101.09635</v>
      </c>
      <c r="J91" s="7"/>
      <c r="K91" s="7" t="str">
        <f>VLOOKUP($E91,Mapping!$E$11:$I$96,3,0)</f>
        <v>Connections</v>
      </c>
      <c r="L91" s="7" t="str">
        <f>VLOOKUP($G91,Mapping!$E$140:$K$2771,5,0)</f>
        <v>Contracts</v>
      </c>
      <c r="M91" s="7" t="str">
        <f>VLOOKUP($G91,Mapping!$E$140:$K$2771,7,0)</f>
        <v>ENDirect</v>
      </c>
      <c r="N91" s="7" t="str">
        <f>IFERROR(HLOOKUP(L91,'Calc|Weightings'!$K$5:$M$5,1,0),"Excl")</f>
        <v>Contracts</v>
      </c>
      <c r="O91" s="7" t="str">
        <f>VLOOKUP(E91,Mapping!$E$11:$I$96,5,0)</f>
        <v>SCS</v>
      </c>
      <c r="Q91" s="33">
        <v>105</v>
      </c>
      <c r="R91" s="33" t="s">
        <v>2118</v>
      </c>
      <c r="S91" s="33">
        <v>591997</v>
      </c>
      <c r="T91" s="33" t="s">
        <v>399</v>
      </c>
      <c r="U91" s="34">
        <v>-76.665270000000007</v>
      </c>
      <c r="V91" s="7"/>
      <c r="W91" s="7" t="str">
        <f>VLOOKUP($Q91,Mapping!$E$11:$I$96,3,0)</f>
        <v>Connections</v>
      </c>
      <c r="X91" s="7" t="str">
        <f>VLOOKUP($S91,Mapping!$E$140:$K$2771,5,0)</f>
        <v>Contracts</v>
      </c>
      <c r="Y91" s="7" t="str">
        <f>VLOOKUP($S91,Mapping!$E$140:$K$2771,7,0)</f>
        <v>ENDirect</v>
      </c>
      <c r="Z91" s="7" t="str">
        <f>IFERROR(HLOOKUP(X91,'Calc|Weightings'!$K$5:$M$5,1,0),"Excl")</f>
        <v>Contracts</v>
      </c>
      <c r="AA91" s="7" t="str">
        <f>VLOOKUP(Q91,Mapping!$E$11:$I$96,5,0)</f>
        <v>SCS</v>
      </c>
      <c r="AC91" s="111">
        <v>104</v>
      </c>
      <c r="AD91" s="111" t="s">
        <v>2114</v>
      </c>
      <c r="AE91" s="111">
        <v>613630</v>
      </c>
      <c r="AF91" s="111" t="s">
        <v>1498</v>
      </c>
      <c r="AG91" s="112">
        <v>1.32152</v>
      </c>
      <c r="AI91" s="7" t="str">
        <f>VLOOKUP($AC91,Mapping!$E$11:$I$96,3,0)</f>
        <v>Connections</v>
      </c>
      <c r="AJ91" s="7" t="str">
        <f>VLOOKUP($AE91,Mapping!$E$140:$K$2771,5,0)</f>
        <v>Labour</v>
      </c>
      <c r="AK91" s="7" t="str">
        <f>VLOOKUP($AE91,Mapping!$E$140:$K$2771,7,0)</f>
        <v>ENDirect</v>
      </c>
      <c r="AL91" s="7" t="str">
        <f>IFERROR(HLOOKUP(AJ91,'Calc|Weightings'!$K$5:$M$5,1,0),"Excl")</f>
        <v>Labour</v>
      </c>
      <c r="AM91" s="7" t="str">
        <f>VLOOKUP(AC91,Mapping!$E$11:$I$96,5,0)</f>
        <v>SCS</v>
      </c>
      <c r="AO91" s="134">
        <v>105</v>
      </c>
      <c r="AP91" s="135" t="s">
        <v>2118</v>
      </c>
      <c r="AQ91" s="135">
        <v>591999</v>
      </c>
      <c r="AR91" s="135" t="s">
        <v>2195</v>
      </c>
      <c r="AS91" s="136">
        <v>-90.480490000000003</v>
      </c>
      <c r="AU91" s="7" t="str">
        <f>VLOOKUP($AO91,Mapping!$E$11:$I$96,3,0)</f>
        <v>Connections</v>
      </c>
      <c r="AV91" s="7" t="str">
        <f>VLOOKUP($AQ91,Mapping!$E$140:$K$2771,5,0)</f>
        <v>Contracts</v>
      </c>
      <c r="AW91" s="7" t="str">
        <f>VLOOKUP($AQ91,Mapping!$E$140:$K$2771,7,0)</f>
        <v>ENDirect</v>
      </c>
      <c r="AX91" s="7" t="str">
        <f>IFERROR(HLOOKUP(AV91,'Calc|Weightings'!$K$5:$M$5,1,0),"Excl")</f>
        <v>Contracts</v>
      </c>
      <c r="AY91" s="7" t="str">
        <f>VLOOKUP(AO91,Mapping!$E$11:$I$96,5,0)</f>
        <v>SCS</v>
      </c>
    </row>
    <row r="92" spans="1:51" x14ac:dyDescent="0.2">
      <c r="A92" s="7"/>
      <c r="B92" s="7"/>
      <c r="C92" s="7"/>
      <c r="D92" s="7"/>
      <c r="E92" s="36">
        <v>105</v>
      </c>
      <c r="F92" s="36" t="s">
        <v>2118</v>
      </c>
      <c r="G92" s="36">
        <v>531464</v>
      </c>
      <c r="H92" s="36" t="s">
        <v>256</v>
      </c>
      <c r="I92" s="37">
        <v>1507.7152000000001</v>
      </c>
      <c r="J92" s="7"/>
      <c r="K92" s="7" t="str">
        <f>VLOOKUP($E92,Mapping!$E$11:$I$96,3,0)</f>
        <v>Connections</v>
      </c>
      <c r="L92" s="7" t="str">
        <f>VLOOKUP($G92,Mapping!$E$140:$K$2771,5,0)</f>
        <v>Contracts</v>
      </c>
      <c r="M92" s="7" t="str">
        <f>VLOOKUP($G92,Mapping!$E$140:$K$2771,7,0)</f>
        <v>ENDirect</v>
      </c>
      <c r="N92" s="7" t="str">
        <f>IFERROR(HLOOKUP(L92,'Calc|Weightings'!$K$5:$M$5,1,0),"Excl")</f>
        <v>Contracts</v>
      </c>
      <c r="O92" s="7" t="str">
        <f>VLOOKUP(E92,Mapping!$E$11:$I$96,5,0)</f>
        <v>SCS</v>
      </c>
      <c r="Q92" s="33">
        <v>105</v>
      </c>
      <c r="R92" s="33" t="s">
        <v>2118</v>
      </c>
      <c r="S92" s="33">
        <v>591998</v>
      </c>
      <c r="T92" s="33" t="s">
        <v>2077</v>
      </c>
      <c r="U92" s="34">
        <v>-68.593590000000006</v>
      </c>
      <c r="V92" s="7"/>
      <c r="W92" s="7" t="str">
        <f>VLOOKUP($Q92,Mapping!$E$11:$I$96,3,0)</f>
        <v>Connections</v>
      </c>
      <c r="X92" s="7" t="str">
        <f>VLOOKUP($S92,Mapping!$E$140:$K$2771,5,0)</f>
        <v>Contracts</v>
      </c>
      <c r="Y92" s="7" t="str">
        <f>VLOOKUP($S92,Mapping!$E$140:$K$2771,7,0)</f>
        <v>ENDirect</v>
      </c>
      <c r="Z92" s="7" t="str">
        <f>IFERROR(HLOOKUP(X92,'Calc|Weightings'!$K$5:$M$5,1,0),"Excl")</f>
        <v>Contracts</v>
      </c>
      <c r="AA92" s="7" t="str">
        <f>VLOOKUP(Q92,Mapping!$E$11:$I$96,5,0)</f>
        <v>SCS</v>
      </c>
      <c r="AC92" s="111">
        <v>104</v>
      </c>
      <c r="AD92" s="111" t="s">
        <v>2114</v>
      </c>
      <c r="AE92" s="111">
        <v>614115</v>
      </c>
      <c r="AF92" s="111" t="s">
        <v>2109</v>
      </c>
      <c r="AG92" s="112">
        <v>0.51344999999999996</v>
      </c>
      <c r="AI92" s="7" t="str">
        <f>VLOOKUP($AC92,Mapping!$E$11:$I$96,3,0)</f>
        <v>Connections</v>
      </c>
      <c r="AJ92" s="7" t="str">
        <f>VLOOKUP($AE92,Mapping!$E$140:$K$2771,5,0)</f>
        <v>Labour</v>
      </c>
      <c r="AK92" s="7" t="str">
        <f>VLOOKUP($AE92,Mapping!$E$140:$K$2771,7,0)</f>
        <v>ENDirect</v>
      </c>
      <c r="AL92" s="7" t="str">
        <f>IFERROR(HLOOKUP(AJ92,'Calc|Weightings'!$K$5:$M$5,1,0),"Excl")</f>
        <v>Labour</v>
      </c>
      <c r="AM92" s="7" t="str">
        <f>VLOOKUP(AC92,Mapping!$E$11:$I$96,5,0)</f>
        <v>SCS</v>
      </c>
      <c r="AO92" s="134">
        <v>105</v>
      </c>
      <c r="AP92" s="135" t="s">
        <v>2118</v>
      </c>
      <c r="AQ92" s="135">
        <v>611900</v>
      </c>
      <c r="AR92" s="135" t="s">
        <v>2079</v>
      </c>
      <c r="AS92" s="136">
        <v>14.12102</v>
      </c>
      <c r="AU92" s="7" t="str">
        <f>VLOOKUP($AO92,Mapping!$E$11:$I$96,3,0)</f>
        <v>Connections</v>
      </c>
      <c r="AV92" s="7" t="str">
        <f>VLOOKUP($AQ92,Mapping!$E$140:$K$2771,5,0)</f>
        <v>Contracts</v>
      </c>
      <c r="AW92" s="7" t="str">
        <f>VLOOKUP($AQ92,Mapping!$E$140:$K$2771,7,0)</f>
        <v>ENDirect</v>
      </c>
      <c r="AX92" s="7" t="str">
        <f>IFERROR(HLOOKUP(AV92,'Calc|Weightings'!$K$5:$M$5,1,0),"Excl")</f>
        <v>Contracts</v>
      </c>
      <c r="AY92" s="7" t="str">
        <f>VLOOKUP(AO92,Mapping!$E$11:$I$96,5,0)</f>
        <v>SCS</v>
      </c>
    </row>
    <row r="93" spans="1:51" x14ac:dyDescent="0.2">
      <c r="A93" s="7"/>
      <c r="B93" s="7"/>
      <c r="C93" s="7"/>
      <c r="D93" s="7"/>
      <c r="E93" s="36">
        <v>105</v>
      </c>
      <c r="F93" s="36" t="s">
        <v>2118</v>
      </c>
      <c r="G93" s="36">
        <v>531465</v>
      </c>
      <c r="H93" s="36" t="s">
        <v>257</v>
      </c>
      <c r="I93" s="37">
        <v>0.27190999999999999</v>
      </c>
      <c r="J93" s="7"/>
      <c r="K93" s="7" t="str">
        <f>VLOOKUP($E93,Mapping!$E$11:$I$96,3,0)</f>
        <v>Connections</v>
      </c>
      <c r="L93" s="7" t="str">
        <f>VLOOKUP($G93,Mapping!$E$140:$K$2771,5,0)</f>
        <v>Contracts</v>
      </c>
      <c r="M93" s="7" t="str">
        <f>VLOOKUP($G93,Mapping!$E$140:$K$2771,7,0)</f>
        <v>ENDirect</v>
      </c>
      <c r="N93" s="7" t="str">
        <f>IFERROR(HLOOKUP(L93,'Calc|Weightings'!$K$5:$M$5,1,0),"Excl")</f>
        <v>Contracts</v>
      </c>
      <c r="O93" s="7" t="str">
        <f>VLOOKUP(E93,Mapping!$E$11:$I$96,5,0)</f>
        <v>SCS</v>
      </c>
      <c r="Q93" s="33">
        <v>105</v>
      </c>
      <c r="R93" s="33" t="s">
        <v>2118</v>
      </c>
      <c r="S93" s="33">
        <v>591999</v>
      </c>
      <c r="T93" s="33" t="s">
        <v>2078</v>
      </c>
      <c r="U93" s="34">
        <v>-319.48581000000001</v>
      </c>
      <c r="V93" s="7"/>
      <c r="W93" s="7" t="str">
        <f>VLOOKUP($Q93,Mapping!$E$11:$I$96,3,0)</f>
        <v>Connections</v>
      </c>
      <c r="X93" s="7" t="str">
        <f>VLOOKUP($S93,Mapping!$E$140:$K$2771,5,0)</f>
        <v>Contracts</v>
      </c>
      <c r="Y93" s="7" t="str">
        <f>VLOOKUP($S93,Mapping!$E$140:$K$2771,7,0)</f>
        <v>ENDirect</v>
      </c>
      <c r="Z93" s="7" t="str">
        <f>IFERROR(HLOOKUP(X93,'Calc|Weightings'!$K$5:$M$5,1,0),"Excl")</f>
        <v>Contracts</v>
      </c>
      <c r="AA93" s="7" t="str">
        <f>VLOOKUP(Q93,Mapping!$E$11:$I$96,5,0)</f>
        <v>SCS</v>
      </c>
      <c r="AC93" s="111">
        <v>104</v>
      </c>
      <c r="AD93" s="111" t="s">
        <v>2114</v>
      </c>
      <c r="AE93" s="111">
        <v>634001</v>
      </c>
      <c r="AF93" s="111" t="s">
        <v>2110</v>
      </c>
      <c r="AG93" s="112">
        <v>10.010479999999999</v>
      </c>
      <c r="AI93" s="7" t="str">
        <f>VLOOKUP($AC93,Mapping!$E$11:$I$96,3,0)</f>
        <v>Connections</v>
      </c>
      <c r="AJ93" s="7" t="str">
        <f>VLOOKUP($AE93,Mapping!$E$140:$K$2771,5,0)</f>
        <v>Local OH</v>
      </c>
      <c r="AK93" s="7" t="str">
        <f>VLOOKUP($AE93,Mapping!$E$140:$K$2771,7,0)</f>
        <v>OH</v>
      </c>
      <c r="AL93" s="7" t="str">
        <f>IFERROR(HLOOKUP(AJ93,'Calc|Weightings'!$K$5:$M$5,1,0),"Excl")</f>
        <v>Excl</v>
      </c>
      <c r="AM93" s="7" t="str">
        <f>VLOOKUP(AC93,Mapping!$E$11:$I$96,5,0)</f>
        <v>SCS</v>
      </c>
      <c r="AO93" s="134">
        <v>105</v>
      </c>
      <c r="AP93" s="135" t="s">
        <v>2118</v>
      </c>
      <c r="AQ93" s="135">
        <v>611901</v>
      </c>
      <c r="AR93" s="135" t="s">
        <v>2080</v>
      </c>
      <c r="AS93" s="136">
        <v>11.69379</v>
      </c>
      <c r="AU93" s="7" t="str">
        <f>VLOOKUP($AO93,Mapping!$E$11:$I$96,3,0)</f>
        <v>Connections</v>
      </c>
      <c r="AV93" s="7" t="str">
        <f>VLOOKUP($AQ93,Mapping!$E$140:$K$2771,5,0)</f>
        <v>Contracts</v>
      </c>
      <c r="AW93" s="7" t="str">
        <f>VLOOKUP($AQ93,Mapping!$E$140:$K$2771,7,0)</f>
        <v>ENDirect</v>
      </c>
      <c r="AX93" s="7" t="str">
        <f>IFERROR(HLOOKUP(AV93,'Calc|Weightings'!$K$5:$M$5,1,0),"Excl")</f>
        <v>Contracts</v>
      </c>
      <c r="AY93" s="7" t="str">
        <f>VLOOKUP(AO93,Mapping!$E$11:$I$96,5,0)</f>
        <v>SCS</v>
      </c>
    </row>
    <row r="94" spans="1:51" x14ac:dyDescent="0.2">
      <c r="A94" s="7"/>
      <c r="B94" s="7"/>
      <c r="C94" s="7"/>
      <c r="D94" s="7"/>
      <c r="E94" s="36">
        <v>105</v>
      </c>
      <c r="F94" s="36" t="s">
        <v>2118</v>
      </c>
      <c r="G94" s="36">
        <v>531466</v>
      </c>
      <c r="H94" s="36" t="s">
        <v>258</v>
      </c>
      <c r="I94" s="37">
        <v>312.53595000000001</v>
      </c>
      <c r="J94" s="7"/>
      <c r="K94" s="7" t="str">
        <f>VLOOKUP($E94,Mapping!$E$11:$I$96,3,0)</f>
        <v>Connections</v>
      </c>
      <c r="L94" s="7" t="str">
        <f>VLOOKUP($G94,Mapping!$E$140:$K$2771,5,0)</f>
        <v>Contracts</v>
      </c>
      <c r="M94" s="7" t="str">
        <f>VLOOKUP($G94,Mapping!$E$140:$K$2771,7,0)</f>
        <v>ENDirect</v>
      </c>
      <c r="N94" s="7" t="str">
        <f>IFERROR(HLOOKUP(L94,'Calc|Weightings'!$K$5:$M$5,1,0),"Excl")</f>
        <v>Contracts</v>
      </c>
      <c r="O94" s="7" t="str">
        <f>VLOOKUP(E94,Mapping!$E$11:$I$96,5,0)</f>
        <v>SCS</v>
      </c>
      <c r="Q94" s="33">
        <v>105</v>
      </c>
      <c r="R94" s="33" t="s">
        <v>2118</v>
      </c>
      <c r="S94" s="33">
        <v>611900</v>
      </c>
      <c r="T94" s="33" t="s">
        <v>2079</v>
      </c>
      <c r="U94" s="34">
        <v>17.305050000000001</v>
      </c>
      <c r="V94" s="7"/>
      <c r="W94" s="7" t="str">
        <f>VLOOKUP($Q94,Mapping!$E$11:$I$96,3,0)</f>
        <v>Connections</v>
      </c>
      <c r="X94" s="7" t="str">
        <f>VLOOKUP($S94,Mapping!$E$140:$K$2771,5,0)</f>
        <v>Contracts</v>
      </c>
      <c r="Y94" s="7" t="str">
        <f>VLOOKUP($S94,Mapping!$E$140:$K$2771,7,0)</f>
        <v>ENDirect</v>
      </c>
      <c r="Z94" s="7" t="str">
        <f>IFERROR(HLOOKUP(X94,'Calc|Weightings'!$K$5:$M$5,1,0),"Excl")</f>
        <v>Contracts</v>
      </c>
      <c r="AA94" s="7" t="str">
        <f>VLOOKUP(Q94,Mapping!$E$11:$I$96,5,0)</f>
        <v>SCS</v>
      </c>
      <c r="AC94" s="111">
        <v>104</v>
      </c>
      <c r="AD94" s="111" t="s">
        <v>2114</v>
      </c>
      <c r="AE94" s="111">
        <v>635001</v>
      </c>
      <c r="AF94" s="111" t="s">
        <v>1929</v>
      </c>
      <c r="AG94" s="112">
        <v>4.0975599999999996</v>
      </c>
      <c r="AI94" s="7" t="str">
        <f>VLOOKUP($AC94,Mapping!$E$11:$I$96,3,0)</f>
        <v>Connections</v>
      </c>
      <c r="AJ94" s="7" t="str">
        <f>VLOOKUP($AE94,Mapping!$E$140:$K$2771,5,0)</f>
        <v>PNS MG</v>
      </c>
      <c r="AK94" s="7" t="str">
        <f>VLOOKUP($AE94,Mapping!$E$140:$K$2771,7,0)</f>
        <v>ENDirect</v>
      </c>
      <c r="AL94" s="7" t="str">
        <f>IFERROR(HLOOKUP(AJ94,'Calc|Weightings'!$K$5:$M$5,1,0),"Excl")</f>
        <v>Excl</v>
      </c>
      <c r="AM94" s="7" t="str">
        <f>VLOOKUP(AC94,Mapping!$E$11:$I$96,5,0)</f>
        <v>SCS</v>
      </c>
      <c r="AO94" s="134">
        <v>105</v>
      </c>
      <c r="AP94" s="135" t="s">
        <v>2118</v>
      </c>
      <c r="AQ94" s="135">
        <v>611902</v>
      </c>
      <c r="AR94" s="135" t="s">
        <v>2081</v>
      </c>
      <c r="AS94" s="136">
        <v>24.908359999999998</v>
      </c>
      <c r="AU94" s="7" t="str">
        <f>VLOOKUP($AO94,Mapping!$E$11:$I$96,3,0)</f>
        <v>Connections</v>
      </c>
      <c r="AV94" s="7" t="str">
        <f>VLOOKUP($AQ94,Mapping!$E$140:$K$2771,5,0)</f>
        <v>Contracts</v>
      </c>
      <c r="AW94" s="7" t="str">
        <f>VLOOKUP($AQ94,Mapping!$E$140:$K$2771,7,0)</f>
        <v>ENDirect</v>
      </c>
      <c r="AX94" s="7" t="str">
        <f>IFERROR(HLOOKUP(AV94,'Calc|Weightings'!$K$5:$M$5,1,0),"Excl")</f>
        <v>Contracts</v>
      </c>
      <c r="AY94" s="7" t="str">
        <f>VLOOKUP(AO94,Mapping!$E$11:$I$96,5,0)</f>
        <v>SCS</v>
      </c>
    </row>
    <row r="95" spans="1:51" x14ac:dyDescent="0.2">
      <c r="A95" s="7"/>
      <c r="B95" s="7"/>
      <c r="C95" s="7"/>
      <c r="D95" s="7"/>
      <c r="E95" s="36">
        <v>105</v>
      </c>
      <c r="F95" s="36" t="s">
        <v>2118</v>
      </c>
      <c r="G95" s="36">
        <v>531467</v>
      </c>
      <c r="H95" s="36" t="s">
        <v>259</v>
      </c>
      <c r="I95" s="37">
        <v>420.46190999999999</v>
      </c>
      <c r="J95" s="7"/>
      <c r="K95" s="7" t="str">
        <f>VLOOKUP($E95,Mapping!$E$11:$I$96,3,0)</f>
        <v>Connections</v>
      </c>
      <c r="L95" s="7" t="str">
        <f>VLOOKUP($G95,Mapping!$E$140:$K$2771,5,0)</f>
        <v>Contracts</v>
      </c>
      <c r="M95" s="7" t="str">
        <f>VLOOKUP($G95,Mapping!$E$140:$K$2771,7,0)</f>
        <v>ENDirect</v>
      </c>
      <c r="N95" s="7" t="str">
        <f>IFERROR(HLOOKUP(L95,'Calc|Weightings'!$K$5:$M$5,1,0),"Excl")</f>
        <v>Contracts</v>
      </c>
      <c r="O95" s="7" t="str">
        <f>VLOOKUP(E95,Mapping!$E$11:$I$96,5,0)</f>
        <v>SCS</v>
      </c>
      <c r="Q95" s="33">
        <v>105</v>
      </c>
      <c r="R95" s="33" t="s">
        <v>2118</v>
      </c>
      <c r="S95" s="33">
        <v>611901</v>
      </c>
      <c r="T95" s="33" t="s">
        <v>2080</v>
      </c>
      <c r="U95" s="34">
        <v>17.85491</v>
      </c>
      <c r="V95" s="7"/>
      <c r="W95" s="7" t="str">
        <f>VLOOKUP($Q95,Mapping!$E$11:$I$96,3,0)</f>
        <v>Connections</v>
      </c>
      <c r="X95" s="7" t="str">
        <f>VLOOKUP($S95,Mapping!$E$140:$K$2771,5,0)</f>
        <v>Contracts</v>
      </c>
      <c r="Y95" s="7" t="str">
        <f>VLOOKUP($S95,Mapping!$E$140:$K$2771,7,0)</f>
        <v>ENDirect</v>
      </c>
      <c r="Z95" s="7" t="str">
        <f>IFERROR(HLOOKUP(X95,'Calc|Weightings'!$K$5:$M$5,1,0),"Excl")</f>
        <v>Contracts</v>
      </c>
      <c r="AA95" s="7" t="str">
        <f>VLOOKUP(Q95,Mapping!$E$11:$I$96,5,0)</f>
        <v>SCS</v>
      </c>
      <c r="AC95" s="111">
        <v>104</v>
      </c>
      <c r="AD95" s="111" t="s">
        <v>2114</v>
      </c>
      <c r="AE95" s="111">
        <v>636001</v>
      </c>
      <c r="AF95" s="111" t="s">
        <v>2111</v>
      </c>
      <c r="AG95" s="112">
        <v>6.5737399999999999</v>
      </c>
      <c r="AI95" s="7" t="str">
        <f>VLOOKUP($AC95,Mapping!$E$11:$I$96,3,0)</f>
        <v>Connections</v>
      </c>
      <c r="AJ95" s="7" t="str">
        <f>VLOOKUP($AE95,Mapping!$E$140:$K$2771,5,0)</f>
        <v>System Control OH</v>
      </c>
      <c r="AK95" s="7" t="str">
        <f>VLOOKUP($AE95,Mapping!$E$140:$K$2771,7,0)</f>
        <v>OH</v>
      </c>
      <c r="AL95" s="7" t="str">
        <f>IFERROR(HLOOKUP(AJ95,'Calc|Weightings'!$K$5:$M$5,1,0),"Excl")</f>
        <v>Excl</v>
      </c>
      <c r="AM95" s="7" t="str">
        <f>VLOOKUP(AC95,Mapping!$E$11:$I$96,5,0)</f>
        <v>SCS</v>
      </c>
      <c r="AO95" s="134">
        <v>105</v>
      </c>
      <c r="AP95" s="135" t="s">
        <v>2118</v>
      </c>
      <c r="AQ95" s="135">
        <v>612210</v>
      </c>
      <c r="AR95" s="135" t="s">
        <v>1184</v>
      </c>
      <c r="AS95" s="136">
        <v>27.924890000000001</v>
      </c>
      <c r="AU95" s="7" t="str">
        <f>VLOOKUP($AO95,Mapping!$E$11:$I$96,3,0)</f>
        <v>Connections</v>
      </c>
      <c r="AV95" s="7" t="str">
        <f>VLOOKUP($AQ95,Mapping!$E$140:$K$2771,5,0)</f>
        <v>Labour</v>
      </c>
      <c r="AW95" s="7" t="str">
        <f>VLOOKUP($AQ95,Mapping!$E$140:$K$2771,7,0)</f>
        <v>ENDirect</v>
      </c>
      <c r="AX95" s="7" t="str">
        <f>IFERROR(HLOOKUP(AV95,'Calc|Weightings'!$K$5:$M$5,1,0),"Excl")</f>
        <v>Labour</v>
      </c>
      <c r="AY95" s="7" t="str">
        <f>VLOOKUP(AO95,Mapping!$E$11:$I$96,5,0)</f>
        <v>SCS</v>
      </c>
    </row>
    <row r="96" spans="1:51" x14ac:dyDescent="0.2">
      <c r="A96" s="7"/>
      <c r="B96" s="7"/>
      <c r="C96" s="7"/>
      <c r="D96" s="7"/>
      <c r="E96" s="36">
        <v>105</v>
      </c>
      <c r="F96" s="36" t="s">
        <v>2118</v>
      </c>
      <c r="G96" s="36">
        <v>531468</v>
      </c>
      <c r="H96" s="36" t="s">
        <v>260</v>
      </c>
      <c r="I96" s="37">
        <v>543.85847000000001</v>
      </c>
      <c r="J96" s="7"/>
      <c r="K96" s="7" t="str">
        <f>VLOOKUP($E96,Mapping!$E$11:$I$96,3,0)</f>
        <v>Connections</v>
      </c>
      <c r="L96" s="7" t="str">
        <f>VLOOKUP($G96,Mapping!$E$140:$K$2771,5,0)</f>
        <v>Contracts</v>
      </c>
      <c r="M96" s="7" t="str">
        <f>VLOOKUP($G96,Mapping!$E$140:$K$2771,7,0)</f>
        <v>ENDirect</v>
      </c>
      <c r="N96" s="7" t="str">
        <f>IFERROR(HLOOKUP(L96,'Calc|Weightings'!$K$5:$M$5,1,0),"Excl")</f>
        <v>Contracts</v>
      </c>
      <c r="O96" s="7" t="str">
        <f>VLOOKUP(E96,Mapping!$E$11:$I$96,5,0)</f>
        <v>SCS</v>
      </c>
      <c r="Q96" s="33">
        <v>105</v>
      </c>
      <c r="R96" s="33" t="s">
        <v>2118</v>
      </c>
      <c r="S96" s="33">
        <v>611902</v>
      </c>
      <c r="T96" s="33" t="s">
        <v>2081</v>
      </c>
      <c r="U96" s="34">
        <v>11.485720000000001</v>
      </c>
      <c r="V96" s="7"/>
      <c r="W96" s="7" t="str">
        <f>VLOOKUP($Q96,Mapping!$E$11:$I$96,3,0)</f>
        <v>Connections</v>
      </c>
      <c r="X96" s="7" t="str">
        <f>VLOOKUP($S96,Mapping!$E$140:$K$2771,5,0)</f>
        <v>Contracts</v>
      </c>
      <c r="Y96" s="7" t="str">
        <f>VLOOKUP($S96,Mapping!$E$140:$K$2771,7,0)</f>
        <v>ENDirect</v>
      </c>
      <c r="Z96" s="7" t="str">
        <f>IFERROR(HLOOKUP(X96,'Calc|Weightings'!$K$5:$M$5,1,0),"Excl")</f>
        <v>Contracts</v>
      </c>
      <c r="AA96" s="7" t="str">
        <f>VLOOKUP(Q96,Mapping!$E$11:$I$96,5,0)</f>
        <v>SCS</v>
      </c>
      <c r="AC96" s="111">
        <v>104</v>
      </c>
      <c r="AD96" s="111" t="s">
        <v>2114</v>
      </c>
      <c r="AE96" s="111">
        <v>636105</v>
      </c>
      <c r="AF96" s="111" t="s">
        <v>1937</v>
      </c>
      <c r="AG96" s="112">
        <v>5.391E-2</v>
      </c>
      <c r="AI96" s="7" t="str">
        <f>VLOOKUP($AC96,Mapping!$E$11:$I$96,3,0)</f>
        <v>Connections</v>
      </c>
      <c r="AJ96" s="7" t="str">
        <f>VLOOKUP($AE96,Mapping!$E$140:$K$2771,5,0)</f>
        <v>CSG MG</v>
      </c>
      <c r="AK96" s="7" t="str">
        <f>VLOOKUP($AE96,Mapping!$E$140:$K$2771,7,0)</f>
        <v>ENDirect</v>
      </c>
      <c r="AL96" s="7" t="str">
        <f>IFERROR(HLOOKUP(AJ96,'Calc|Weightings'!$K$5:$M$5,1,0),"Excl")</f>
        <v>Excl</v>
      </c>
      <c r="AM96" s="7" t="str">
        <f>VLOOKUP(AC96,Mapping!$E$11:$I$96,5,0)</f>
        <v>SCS</v>
      </c>
      <c r="AO96" s="134">
        <v>105</v>
      </c>
      <c r="AP96" s="135" t="s">
        <v>2118</v>
      </c>
      <c r="AQ96" s="135">
        <v>612310</v>
      </c>
      <c r="AR96" s="135" t="s">
        <v>1208</v>
      </c>
      <c r="AS96" s="136">
        <v>1.14191</v>
      </c>
      <c r="AU96" s="7" t="str">
        <f>VLOOKUP($AO96,Mapping!$E$11:$I$96,3,0)</f>
        <v>Connections</v>
      </c>
      <c r="AV96" s="7" t="str">
        <f>VLOOKUP($AQ96,Mapping!$E$140:$K$2771,5,0)</f>
        <v>Labour</v>
      </c>
      <c r="AW96" s="7" t="str">
        <f>VLOOKUP($AQ96,Mapping!$E$140:$K$2771,7,0)</f>
        <v>ENDirect</v>
      </c>
      <c r="AX96" s="7" t="str">
        <f>IFERROR(HLOOKUP(AV96,'Calc|Weightings'!$K$5:$M$5,1,0),"Excl")</f>
        <v>Labour</v>
      </c>
      <c r="AY96" s="7" t="str">
        <f>VLOOKUP(AO96,Mapping!$E$11:$I$96,5,0)</f>
        <v>SCS</v>
      </c>
    </row>
    <row r="97" spans="1:51" x14ac:dyDescent="0.2">
      <c r="A97" s="7"/>
      <c r="B97" s="7"/>
      <c r="C97" s="7"/>
      <c r="D97" s="7"/>
      <c r="E97" s="36">
        <v>105</v>
      </c>
      <c r="F97" s="36" t="s">
        <v>2118</v>
      </c>
      <c r="G97" s="36">
        <v>531475</v>
      </c>
      <c r="H97" s="36" t="s">
        <v>2355</v>
      </c>
      <c r="I97" s="37">
        <v>39.270000000000003</v>
      </c>
      <c r="J97" s="7"/>
      <c r="K97" s="7" t="str">
        <f>VLOOKUP($E97,Mapping!$E$11:$I$96,3,0)</f>
        <v>Connections</v>
      </c>
      <c r="L97" s="7" t="str">
        <f>VLOOKUP($G97,Mapping!$E$140:$K$2771,5,0)</f>
        <v>Contracts</v>
      </c>
      <c r="M97" s="7" t="str">
        <f>VLOOKUP($G97,Mapping!$E$140:$K$2771,7,0)</f>
        <v>ENDirect</v>
      </c>
      <c r="N97" s="7" t="str">
        <f>IFERROR(HLOOKUP(L97,'Calc|Weightings'!$K$5:$M$5,1,0),"Excl")</f>
        <v>Contracts</v>
      </c>
      <c r="O97" s="7" t="str">
        <f>VLOOKUP(E97,Mapping!$E$11:$I$96,5,0)</f>
        <v>SCS</v>
      </c>
      <c r="Q97" s="33">
        <v>105</v>
      </c>
      <c r="R97" s="33" t="s">
        <v>2118</v>
      </c>
      <c r="S97" s="33">
        <v>612210</v>
      </c>
      <c r="T97" s="33" t="s">
        <v>1184</v>
      </c>
      <c r="U97" s="34">
        <v>36.51914</v>
      </c>
      <c r="V97" s="7"/>
      <c r="W97" s="7" t="str">
        <f>VLOOKUP($Q97,Mapping!$E$11:$I$96,3,0)</f>
        <v>Connections</v>
      </c>
      <c r="X97" s="7" t="str">
        <f>VLOOKUP($S97,Mapping!$E$140:$K$2771,5,0)</f>
        <v>Labour</v>
      </c>
      <c r="Y97" s="7" t="str">
        <f>VLOOKUP($S97,Mapping!$E$140:$K$2771,7,0)</f>
        <v>ENDirect</v>
      </c>
      <c r="Z97" s="7" t="str">
        <f>IFERROR(HLOOKUP(X97,'Calc|Weightings'!$K$5:$M$5,1,0),"Excl")</f>
        <v>Labour</v>
      </c>
      <c r="AA97" s="7" t="str">
        <f>VLOOKUP(Q97,Mapping!$E$11:$I$96,5,0)</f>
        <v>SCS</v>
      </c>
      <c r="AC97" s="111">
        <v>104</v>
      </c>
      <c r="AD97" s="111" t="s">
        <v>2114</v>
      </c>
      <c r="AE97" s="111">
        <v>639000</v>
      </c>
      <c r="AF97" s="111" t="s">
        <v>2112</v>
      </c>
      <c r="AG97" s="112">
        <v>5.3121200000000002</v>
      </c>
      <c r="AI97" s="7" t="str">
        <f>VLOOKUP($AC97,Mapping!$E$11:$I$96,3,0)</f>
        <v>Connections</v>
      </c>
      <c r="AJ97" s="7" t="str">
        <f>VLOOKUP($AE97,Mapping!$E$140:$K$2771,5,0)</f>
        <v>PNS Corporate OH</v>
      </c>
      <c r="AK97" s="7" t="str">
        <f>VLOOKUP($AE97,Mapping!$E$140:$K$2771,7,0)</f>
        <v>OH</v>
      </c>
      <c r="AL97" s="7" t="str">
        <f>IFERROR(HLOOKUP(AJ97,'Calc|Weightings'!$K$5:$M$5,1,0),"Excl")</f>
        <v>Excl</v>
      </c>
      <c r="AM97" s="7" t="str">
        <f>VLOOKUP(AC97,Mapping!$E$11:$I$96,5,0)</f>
        <v>SCS</v>
      </c>
      <c r="AO97" s="134">
        <v>105</v>
      </c>
      <c r="AP97" s="135" t="s">
        <v>2118</v>
      </c>
      <c r="AQ97" s="135">
        <v>613240</v>
      </c>
      <c r="AR97" s="135" t="s">
        <v>2082</v>
      </c>
      <c r="AS97" s="136">
        <v>101.14785000000001</v>
      </c>
      <c r="AU97" s="7" t="str">
        <f>VLOOKUP($AO97,Mapping!$E$11:$I$96,3,0)</f>
        <v>Connections</v>
      </c>
      <c r="AV97" s="7" t="str">
        <f>VLOOKUP($AQ97,Mapping!$E$140:$K$2771,5,0)</f>
        <v>Labour</v>
      </c>
      <c r="AW97" s="7" t="str">
        <f>VLOOKUP($AQ97,Mapping!$E$140:$K$2771,7,0)</f>
        <v>ENDirect</v>
      </c>
      <c r="AX97" s="7" t="str">
        <f>IFERROR(HLOOKUP(AV97,'Calc|Weightings'!$K$5:$M$5,1,0),"Excl")</f>
        <v>Labour</v>
      </c>
      <c r="AY97" s="7" t="str">
        <f>VLOOKUP(AO97,Mapping!$E$11:$I$96,5,0)</f>
        <v>SCS</v>
      </c>
    </row>
    <row r="98" spans="1:51" x14ac:dyDescent="0.2">
      <c r="A98" s="7"/>
      <c r="B98" s="7"/>
      <c r="C98" s="7"/>
      <c r="D98" s="7"/>
      <c r="E98" s="36">
        <v>105</v>
      </c>
      <c r="F98" s="36" t="s">
        <v>2118</v>
      </c>
      <c r="G98" s="36">
        <v>531480</v>
      </c>
      <c r="H98" s="36" t="s">
        <v>2076</v>
      </c>
      <c r="I98" s="37">
        <v>2.5640000000000001</v>
      </c>
      <c r="J98" s="7"/>
      <c r="K98" s="7" t="str">
        <f>VLOOKUP($E98,Mapping!$E$11:$I$96,3,0)</f>
        <v>Connections</v>
      </c>
      <c r="L98" s="7" t="str">
        <f>VLOOKUP($G98,Mapping!$E$140:$K$2771,5,0)</f>
        <v>Labour</v>
      </c>
      <c r="M98" s="7" t="str">
        <f>VLOOKUP($G98,Mapping!$E$140:$K$2771,7,0)</f>
        <v>ENDirect</v>
      </c>
      <c r="N98" s="7" t="str">
        <f>IFERROR(HLOOKUP(L98,'Calc|Weightings'!$K$5:$M$5,1,0),"Excl")</f>
        <v>Labour</v>
      </c>
      <c r="O98" s="7" t="str">
        <f>VLOOKUP(E98,Mapping!$E$11:$I$96,5,0)</f>
        <v>SCS</v>
      </c>
      <c r="Q98" s="33">
        <v>105</v>
      </c>
      <c r="R98" s="33" t="s">
        <v>2118</v>
      </c>
      <c r="S98" s="33">
        <v>613240</v>
      </c>
      <c r="T98" s="33" t="s">
        <v>2082</v>
      </c>
      <c r="U98" s="34">
        <v>67.423789999999997</v>
      </c>
      <c r="V98" s="7"/>
      <c r="W98" s="7" t="str">
        <f>VLOOKUP($Q98,Mapping!$E$11:$I$96,3,0)</f>
        <v>Connections</v>
      </c>
      <c r="X98" s="7" t="str">
        <f>VLOOKUP($S98,Mapping!$E$140:$K$2771,5,0)</f>
        <v>Labour</v>
      </c>
      <c r="Y98" s="7" t="str">
        <f>VLOOKUP($S98,Mapping!$E$140:$K$2771,7,0)</f>
        <v>ENDirect</v>
      </c>
      <c r="Z98" s="7" t="str">
        <f>IFERROR(HLOOKUP(X98,'Calc|Weightings'!$K$5:$M$5,1,0),"Excl")</f>
        <v>Labour</v>
      </c>
      <c r="AA98" s="7" t="str">
        <f>VLOOKUP(Q98,Mapping!$E$11:$I$96,5,0)</f>
        <v>SCS</v>
      </c>
      <c r="AC98" s="111">
        <v>104</v>
      </c>
      <c r="AD98" s="111" t="s">
        <v>2114</v>
      </c>
      <c r="AE98" s="111">
        <v>639050</v>
      </c>
      <c r="AF98" s="111" t="s">
        <v>2113</v>
      </c>
      <c r="AG98" s="112">
        <v>0.59164000000000005</v>
      </c>
      <c r="AI98" s="7" t="str">
        <f>VLOOKUP($AC98,Mapping!$E$11:$I$96,3,0)</f>
        <v>Connections</v>
      </c>
      <c r="AJ98" s="7" t="str">
        <f>VLOOKUP($AE98,Mapping!$E$140:$K$2771,5,0)</f>
        <v>PNS Fleet &amp; Property OH</v>
      </c>
      <c r="AK98" s="7" t="str">
        <f>VLOOKUP($AE98,Mapping!$E$140:$K$2771,7,0)</f>
        <v>OH</v>
      </c>
      <c r="AL98" s="7" t="str">
        <f>IFERROR(HLOOKUP(AJ98,'Calc|Weightings'!$K$5:$M$5,1,0),"Excl")</f>
        <v>Excl</v>
      </c>
      <c r="AM98" s="7" t="str">
        <f>VLOOKUP(AC98,Mapping!$E$11:$I$96,5,0)</f>
        <v>SCS</v>
      </c>
      <c r="AO98" s="134">
        <v>105</v>
      </c>
      <c r="AP98" s="135" t="s">
        <v>2118</v>
      </c>
      <c r="AQ98" s="135">
        <v>613241</v>
      </c>
      <c r="AR98" s="135" t="s">
        <v>2083</v>
      </c>
      <c r="AS98" s="136">
        <v>7.1447200000000004</v>
      </c>
      <c r="AU98" s="7" t="str">
        <f>VLOOKUP($AO98,Mapping!$E$11:$I$96,3,0)</f>
        <v>Connections</v>
      </c>
      <c r="AV98" s="7" t="str">
        <f>VLOOKUP($AQ98,Mapping!$E$140:$K$2771,5,0)</f>
        <v>Labour</v>
      </c>
      <c r="AW98" s="7" t="str">
        <f>VLOOKUP($AQ98,Mapping!$E$140:$K$2771,7,0)</f>
        <v>ENDirect</v>
      </c>
      <c r="AX98" s="7" t="str">
        <f>IFERROR(HLOOKUP(AV98,'Calc|Weightings'!$K$5:$M$5,1,0),"Excl")</f>
        <v>Labour</v>
      </c>
      <c r="AY98" s="7" t="str">
        <f>VLOOKUP(AO98,Mapping!$E$11:$I$96,5,0)</f>
        <v>SCS</v>
      </c>
    </row>
    <row r="99" spans="1:51" x14ac:dyDescent="0.2">
      <c r="A99" s="7"/>
      <c r="B99" s="7"/>
      <c r="C99" s="7"/>
      <c r="D99" s="7"/>
      <c r="E99" s="36">
        <v>105</v>
      </c>
      <c r="F99" s="36" t="s">
        <v>2118</v>
      </c>
      <c r="G99" s="36">
        <v>531485</v>
      </c>
      <c r="H99" s="36" t="s">
        <v>2350</v>
      </c>
      <c r="I99" s="37">
        <v>-8.8054000000000006</v>
      </c>
      <c r="J99" s="7"/>
      <c r="K99" s="7" t="str">
        <f>VLOOKUP($E99,Mapping!$E$11:$I$96,3,0)</f>
        <v>Connections</v>
      </c>
      <c r="L99" s="7" t="str">
        <f>VLOOKUP($G99,Mapping!$E$140:$K$2771,5,0)</f>
        <v>Contracts</v>
      </c>
      <c r="M99" s="7" t="str">
        <f>VLOOKUP($G99,Mapping!$E$140:$K$2771,7,0)</f>
        <v>ENDirect</v>
      </c>
      <c r="N99" s="7" t="str">
        <f>IFERROR(HLOOKUP(L99,'Calc|Weightings'!$K$5:$M$5,1,0),"Excl")</f>
        <v>Contracts</v>
      </c>
      <c r="O99" s="7" t="str">
        <f>VLOOKUP(E99,Mapping!$E$11:$I$96,5,0)</f>
        <v>SCS</v>
      </c>
      <c r="Q99" s="33">
        <v>105</v>
      </c>
      <c r="R99" s="33" t="s">
        <v>2118</v>
      </c>
      <c r="S99" s="33">
        <v>613241</v>
      </c>
      <c r="T99" s="33" t="s">
        <v>2083</v>
      </c>
      <c r="U99" s="34">
        <v>1.2330399999999999</v>
      </c>
      <c r="V99" s="7"/>
      <c r="W99" s="7" t="str">
        <f>VLOOKUP($Q99,Mapping!$E$11:$I$96,3,0)</f>
        <v>Connections</v>
      </c>
      <c r="X99" s="7" t="str">
        <f>VLOOKUP($S99,Mapping!$E$140:$K$2771,5,0)</f>
        <v>Labour</v>
      </c>
      <c r="Y99" s="7" t="str">
        <f>VLOOKUP($S99,Mapping!$E$140:$K$2771,7,0)</f>
        <v>ENDirect</v>
      </c>
      <c r="Z99" s="7" t="str">
        <f>IFERROR(HLOOKUP(X99,'Calc|Weightings'!$K$5:$M$5,1,0),"Excl")</f>
        <v>Labour</v>
      </c>
      <c r="AA99" s="7" t="str">
        <f>VLOOKUP(Q99,Mapping!$E$11:$I$96,5,0)</f>
        <v>SCS</v>
      </c>
      <c r="AC99" s="111">
        <v>105</v>
      </c>
      <c r="AD99" s="111" t="s">
        <v>2118</v>
      </c>
      <c r="AE99" s="111">
        <v>520100</v>
      </c>
      <c r="AF99" s="111" t="s">
        <v>2072</v>
      </c>
      <c r="AG99" s="112">
        <v>835.83954000000006</v>
      </c>
      <c r="AI99" s="7" t="str">
        <f>VLOOKUP($AC99,Mapping!$E$11:$I$96,3,0)</f>
        <v>Connections</v>
      </c>
      <c r="AJ99" s="7" t="str">
        <f>VLOOKUP($AE99,Mapping!$E$140:$K$2771,5,0)</f>
        <v>Materials</v>
      </c>
      <c r="AK99" s="7" t="str">
        <f>VLOOKUP($AE99,Mapping!$E$140:$K$2771,7,0)</f>
        <v>ENDirect</v>
      </c>
      <c r="AL99" s="7" t="str">
        <f>IFERROR(HLOOKUP(AJ99,'Calc|Weightings'!$K$5:$M$5,1,0),"Excl")</f>
        <v>Materials</v>
      </c>
      <c r="AM99" s="7" t="str">
        <f>VLOOKUP(AC99,Mapping!$E$11:$I$96,5,0)</f>
        <v>SCS</v>
      </c>
      <c r="AO99" s="134">
        <v>105</v>
      </c>
      <c r="AP99" s="135" t="s">
        <v>2118</v>
      </c>
      <c r="AQ99" s="135">
        <v>613250</v>
      </c>
      <c r="AR99" s="135" t="s">
        <v>2086</v>
      </c>
      <c r="AS99" s="136">
        <v>163.32381000000001</v>
      </c>
      <c r="AU99" s="7" t="str">
        <f>VLOOKUP($AO99,Mapping!$E$11:$I$96,3,0)</f>
        <v>Connections</v>
      </c>
      <c r="AV99" s="7" t="str">
        <f>VLOOKUP($AQ99,Mapping!$E$140:$K$2771,5,0)</f>
        <v>Labour</v>
      </c>
      <c r="AW99" s="7" t="str">
        <f>VLOOKUP($AQ99,Mapping!$E$140:$K$2771,7,0)</f>
        <v>ENDirect</v>
      </c>
      <c r="AX99" s="7" t="str">
        <f>IFERROR(HLOOKUP(AV99,'Calc|Weightings'!$K$5:$M$5,1,0),"Excl")</f>
        <v>Labour</v>
      </c>
      <c r="AY99" s="7" t="str">
        <f>VLOOKUP(AO99,Mapping!$E$11:$I$96,5,0)</f>
        <v>SCS</v>
      </c>
    </row>
    <row r="100" spans="1:51" x14ac:dyDescent="0.2">
      <c r="A100" s="7"/>
      <c r="B100" s="7"/>
      <c r="C100" s="7"/>
      <c r="D100" s="7"/>
      <c r="E100" s="36">
        <v>105</v>
      </c>
      <c r="F100" s="36" t="s">
        <v>2118</v>
      </c>
      <c r="G100" s="36">
        <v>531495</v>
      </c>
      <c r="H100" s="36" t="s">
        <v>2353</v>
      </c>
      <c r="I100" s="37">
        <v>-20.934570000000001</v>
      </c>
      <c r="J100" s="7"/>
      <c r="K100" s="7" t="str">
        <f>VLOOKUP($E100,Mapping!$E$11:$I$96,3,0)</f>
        <v>Connections</v>
      </c>
      <c r="L100" s="7" t="str">
        <f>VLOOKUP($G100,Mapping!$E$140:$K$2771,5,0)</f>
        <v>Contracts</v>
      </c>
      <c r="M100" s="7" t="str">
        <f>VLOOKUP($G100,Mapping!$E$140:$K$2771,7,0)</f>
        <v>ENDirect</v>
      </c>
      <c r="N100" s="7" t="str">
        <f>IFERROR(HLOOKUP(L100,'Calc|Weightings'!$K$5:$M$5,1,0),"Excl")</f>
        <v>Contracts</v>
      </c>
      <c r="O100" s="7" t="str">
        <f>VLOOKUP(E100,Mapping!$E$11:$I$96,5,0)</f>
        <v>SCS</v>
      </c>
      <c r="Q100" s="33">
        <v>105</v>
      </c>
      <c r="R100" s="33" t="s">
        <v>2118</v>
      </c>
      <c r="S100" s="33">
        <v>613244</v>
      </c>
      <c r="T100" s="33" t="s">
        <v>2084</v>
      </c>
      <c r="U100" s="34">
        <v>6.3729999999999995E-2</v>
      </c>
      <c r="V100" s="7"/>
      <c r="W100" s="7" t="str">
        <f>VLOOKUP($Q100,Mapping!$E$11:$I$96,3,0)</f>
        <v>Connections</v>
      </c>
      <c r="X100" s="7" t="str">
        <f>VLOOKUP($S100,Mapping!$E$140:$K$2771,5,0)</f>
        <v>Labour</v>
      </c>
      <c r="Y100" s="7" t="str">
        <f>VLOOKUP($S100,Mapping!$E$140:$K$2771,7,0)</f>
        <v>ENDirect</v>
      </c>
      <c r="Z100" s="7" t="str">
        <f>IFERROR(HLOOKUP(X100,'Calc|Weightings'!$K$5:$M$5,1,0),"Excl")</f>
        <v>Labour</v>
      </c>
      <c r="AA100" s="7" t="str">
        <f>VLOOKUP(Q100,Mapping!$E$11:$I$96,5,0)</f>
        <v>SCS</v>
      </c>
      <c r="AC100" s="111">
        <v>105</v>
      </c>
      <c r="AD100" s="111" t="s">
        <v>2118</v>
      </c>
      <c r="AE100" s="111">
        <v>520200</v>
      </c>
      <c r="AF100" s="111" t="s">
        <v>2073</v>
      </c>
      <c r="AG100" s="112">
        <v>0.18143999999999999</v>
      </c>
      <c r="AI100" s="7" t="str">
        <f>VLOOKUP($AC100,Mapping!$E$11:$I$96,3,0)</f>
        <v>Connections</v>
      </c>
      <c r="AJ100" s="7" t="str">
        <f>VLOOKUP($AE100,Mapping!$E$140:$K$2771,5,0)</f>
        <v>Materials</v>
      </c>
      <c r="AK100" s="7" t="str">
        <f>VLOOKUP($AE100,Mapping!$E$140:$K$2771,7,0)</f>
        <v>ENDirect</v>
      </c>
      <c r="AL100" s="7" t="str">
        <f>IFERROR(HLOOKUP(AJ100,'Calc|Weightings'!$K$5:$M$5,1,0),"Excl")</f>
        <v>Materials</v>
      </c>
      <c r="AM100" s="7" t="str">
        <f>VLOOKUP(AC100,Mapping!$E$11:$I$96,5,0)</f>
        <v>SCS</v>
      </c>
      <c r="AO100" s="134">
        <v>105</v>
      </c>
      <c r="AP100" s="135" t="s">
        <v>2118</v>
      </c>
      <c r="AQ100" s="135">
        <v>613251</v>
      </c>
      <c r="AR100" s="135" t="s">
        <v>2087</v>
      </c>
      <c r="AS100" s="136">
        <v>19.57818</v>
      </c>
      <c r="AU100" s="7" t="str">
        <f>VLOOKUP($AO100,Mapping!$E$11:$I$96,3,0)</f>
        <v>Connections</v>
      </c>
      <c r="AV100" s="7" t="str">
        <f>VLOOKUP($AQ100,Mapping!$E$140:$K$2771,5,0)</f>
        <v>Labour</v>
      </c>
      <c r="AW100" s="7" t="str">
        <f>VLOOKUP($AQ100,Mapping!$E$140:$K$2771,7,0)</f>
        <v>ENDirect</v>
      </c>
      <c r="AX100" s="7" t="str">
        <f>IFERROR(HLOOKUP(AV100,'Calc|Weightings'!$K$5:$M$5,1,0),"Excl")</f>
        <v>Labour</v>
      </c>
      <c r="AY100" s="7" t="str">
        <f>VLOOKUP(AO100,Mapping!$E$11:$I$96,5,0)</f>
        <v>SCS</v>
      </c>
    </row>
    <row r="101" spans="1:51" x14ac:dyDescent="0.2">
      <c r="A101" s="7"/>
      <c r="B101" s="7"/>
      <c r="C101" s="7"/>
      <c r="D101" s="7"/>
      <c r="E101" s="36">
        <v>105</v>
      </c>
      <c r="F101" s="36" t="s">
        <v>2118</v>
      </c>
      <c r="G101" s="36">
        <v>532050</v>
      </c>
      <c r="H101" s="36" t="s">
        <v>279</v>
      </c>
      <c r="I101" s="37">
        <v>0.86480000000000001</v>
      </c>
      <c r="J101" s="7"/>
      <c r="K101" s="7" t="str">
        <f>VLOOKUP($E101,Mapping!$E$11:$I$96,3,0)</f>
        <v>Connections</v>
      </c>
      <c r="L101" s="7" t="str">
        <f>VLOOKUP($G101,Mapping!$E$140:$K$2771,5,0)</f>
        <v>Contracts</v>
      </c>
      <c r="M101" s="7" t="str">
        <f>VLOOKUP($G101,Mapping!$E$140:$K$2771,7,0)</f>
        <v>ENDirect</v>
      </c>
      <c r="N101" s="7" t="str">
        <f>IFERROR(HLOOKUP(L101,'Calc|Weightings'!$K$5:$M$5,1,0),"Excl")</f>
        <v>Contracts</v>
      </c>
      <c r="O101" s="7" t="str">
        <f>VLOOKUP(E101,Mapping!$E$11:$I$96,5,0)</f>
        <v>SCS</v>
      </c>
      <c r="Q101" s="33">
        <v>105</v>
      </c>
      <c r="R101" s="33" t="s">
        <v>2118</v>
      </c>
      <c r="S101" s="33">
        <v>613250</v>
      </c>
      <c r="T101" s="33" t="s">
        <v>2086</v>
      </c>
      <c r="U101" s="34">
        <v>197.09777</v>
      </c>
      <c r="V101" s="7"/>
      <c r="W101" s="7" t="str">
        <f>VLOOKUP($Q101,Mapping!$E$11:$I$96,3,0)</f>
        <v>Connections</v>
      </c>
      <c r="X101" s="7" t="str">
        <f>VLOOKUP($S101,Mapping!$E$140:$K$2771,5,0)</f>
        <v>Labour</v>
      </c>
      <c r="Y101" s="7" t="str">
        <f>VLOOKUP($S101,Mapping!$E$140:$K$2771,7,0)</f>
        <v>ENDirect</v>
      </c>
      <c r="Z101" s="7" t="str">
        <f>IFERROR(HLOOKUP(X101,'Calc|Weightings'!$K$5:$M$5,1,0),"Excl")</f>
        <v>Labour</v>
      </c>
      <c r="AA101" s="7" t="str">
        <f>VLOOKUP(Q101,Mapping!$E$11:$I$96,5,0)</f>
        <v>SCS</v>
      </c>
      <c r="AC101" s="111">
        <v>105</v>
      </c>
      <c r="AD101" s="111" t="s">
        <v>2118</v>
      </c>
      <c r="AE101" s="111">
        <v>523100</v>
      </c>
      <c r="AF101" s="111" t="s">
        <v>2074</v>
      </c>
      <c r="AG101" s="112">
        <v>14.036619999999999</v>
      </c>
      <c r="AI101" s="7" t="str">
        <f>VLOOKUP($AC101,Mapping!$E$11:$I$96,3,0)</f>
        <v>Connections</v>
      </c>
      <c r="AJ101" s="7" t="str">
        <f>VLOOKUP($AE101,Mapping!$E$140:$K$2771,5,0)</f>
        <v>Materials</v>
      </c>
      <c r="AK101" s="7" t="str">
        <f>VLOOKUP($AE101,Mapping!$E$140:$K$2771,7,0)</f>
        <v>ENDirect</v>
      </c>
      <c r="AL101" s="7" t="str">
        <f>IFERROR(HLOOKUP(AJ101,'Calc|Weightings'!$K$5:$M$5,1,0),"Excl")</f>
        <v>Materials</v>
      </c>
      <c r="AM101" s="7" t="str">
        <f>VLOOKUP(AC101,Mapping!$E$11:$I$96,5,0)</f>
        <v>SCS</v>
      </c>
      <c r="AO101" s="134">
        <v>105</v>
      </c>
      <c r="AP101" s="135" t="s">
        <v>2118</v>
      </c>
      <c r="AQ101" s="135">
        <v>613260</v>
      </c>
      <c r="AR101" s="135" t="s">
        <v>2090</v>
      </c>
      <c r="AS101" s="136">
        <v>6.8266799999999996</v>
      </c>
      <c r="AU101" s="7" t="str">
        <f>VLOOKUP($AO101,Mapping!$E$11:$I$96,3,0)</f>
        <v>Connections</v>
      </c>
      <c r="AV101" s="7" t="str">
        <f>VLOOKUP($AQ101,Mapping!$E$140:$K$2771,5,0)</f>
        <v>Labour</v>
      </c>
      <c r="AW101" s="7" t="str">
        <f>VLOOKUP($AQ101,Mapping!$E$140:$K$2771,7,0)</f>
        <v>ENDirect</v>
      </c>
      <c r="AX101" s="7" t="str">
        <f>IFERROR(HLOOKUP(AV101,'Calc|Weightings'!$K$5:$M$5,1,0),"Excl")</f>
        <v>Labour</v>
      </c>
      <c r="AY101" s="7" t="str">
        <f>VLOOKUP(AO101,Mapping!$E$11:$I$96,5,0)</f>
        <v>SCS</v>
      </c>
    </row>
    <row r="102" spans="1:51" x14ac:dyDescent="0.2">
      <c r="A102" s="7"/>
      <c r="B102" s="7"/>
      <c r="C102" s="7"/>
      <c r="D102" s="7"/>
      <c r="E102" s="36">
        <v>105</v>
      </c>
      <c r="F102" s="36" t="s">
        <v>2118</v>
      </c>
      <c r="G102" s="36">
        <v>591997</v>
      </c>
      <c r="H102" s="36" t="s">
        <v>2194</v>
      </c>
      <c r="I102" s="37">
        <v>-180.38629</v>
      </c>
      <c r="J102" s="7"/>
      <c r="K102" s="7" t="str">
        <f>VLOOKUP($E102,Mapping!$E$11:$I$96,3,0)</f>
        <v>Connections</v>
      </c>
      <c r="L102" s="7" t="str">
        <f>VLOOKUP($G102,Mapping!$E$140:$K$2771,5,0)</f>
        <v>Contracts</v>
      </c>
      <c r="M102" s="7" t="str">
        <f>VLOOKUP($G102,Mapping!$E$140:$K$2771,7,0)</f>
        <v>ENDirect</v>
      </c>
      <c r="N102" s="7" t="str">
        <f>IFERROR(HLOOKUP(L102,'Calc|Weightings'!$K$5:$M$5,1,0),"Excl")</f>
        <v>Contracts</v>
      </c>
      <c r="O102" s="7" t="str">
        <f>VLOOKUP(E102,Mapping!$E$11:$I$96,5,0)</f>
        <v>SCS</v>
      </c>
      <c r="Q102" s="33">
        <v>105</v>
      </c>
      <c r="R102" s="33" t="s">
        <v>2118</v>
      </c>
      <c r="S102" s="33">
        <v>613251</v>
      </c>
      <c r="T102" s="33" t="s">
        <v>2087</v>
      </c>
      <c r="U102" s="34">
        <v>7.6085500000000001</v>
      </c>
      <c r="V102" s="7"/>
      <c r="W102" s="7" t="str">
        <f>VLOOKUP($Q102,Mapping!$E$11:$I$96,3,0)</f>
        <v>Connections</v>
      </c>
      <c r="X102" s="7" t="str">
        <f>VLOOKUP($S102,Mapping!$E$140:$K$2771,5,0)</f>
        <v>Labour</v>
      </c>
      <c r="Y102" s="7" t="str">
        <f>VLOOKUP($S102,Mapping!$E$140:$K$2771,7,0)</f>
        <v>ENDirect</v>
      </c>
      <c r="Z102" s="7" t="str">
        <f>IFERROR(HLOOKUP(X102,'Calc|Weightings'!$K$5:$M$5,1,0),"Excl")</f>
        <v>Labour</v>
      </c>
      <c r="AA102" s="7" t="str">
        <f>VLOOKUP(Q102,Mapping!$E$11:$I$96,5,0)</f>
        <v>SCS</v>
      </c>
      <c r="AC102" s="111">
        <v>105</v>
      </c>
      <c r="AD102" s="111" t="s">
        <v>2118</v>
      </c>
      <c r="AE102" s="111">
        <v>523300</v>
      </c>
      <c r="AF102" s="111" t="s">
        <v>2075</v>
      </c>
      <c r="AG102" s="112">
        <v>6.2449999999999999E-2</v>
      </c>
      <c r="AI102" s="7" t="str">
        <f>VLOOKUP($AC102,Mapping!$E$11:$I$96,3,0)</f>
        <v>Connections</v>
      </c>
      <c r="AJ102" s="7" t="str">
        <f>VLOOKUP($AE102,Mapping!$E$140:$K$2771,5,0)</f>
        <v>Materials</v>
      </c>
      <c r="AK102" s="7" t="str">
        <f>VLOOKUP($AE102,Mapping!$E$140:$K$2771,7,0)</f>
        <v>ENDirect</v>
      </c>
      <c r="AL102" s="7" t="str">
        <f>IFERROR(HLOOKUP(AJ102,'Calc|Weightings'!$K$5:$M$5,1,0),"Excl")</f>
        <v>Materials</v>
      </c>
      <c r="AM102" s="7" t="str">
        <f>VLOOKUP(AC102,Mapping!$E$11:$I$96,5,0)</f>
        <v>SCS</v>
      </c>
      <c r="AO102" s="134">
        <v>105</v>
      </c>
      <c r="AP102" s="135" t="s">
        <v>2118</v>
      </c>
      <c r="AQ102" s="135">
        <v>613261</v>
      </c>
      <c r="AR102" s="135" t="s">
        <v>2091</v>
      </c>
      <c r="AS102" s="136">
        <v>3.5015399999999999</v>
      </c>
      <c r="AU102" s="7" t="str">
        <f>VLOOKUP($AO102,Mapping!$E$11:$I$96,3,0)</f>
        <v>Connections</v>
      </c>
      <c r="AV102" s="7" t="str">
        <f>VLOOKUP($AQ102,Mapping!$E$140:$K$2771,5,0)</f>
        <v>Labour</v>
      </c>
      <c r="AW102" s="7" t="str">
        <f>VLOOKUP($AQ102,Mapping!$E$140:$K$2771,7,0)</f>
        <v>ENDirect</v>
      </c>
      <c r="AX102" s="7" t="str">
        <f>IFERROR(HLOOKUP(AV102,'Calc|Weightings'!$K$5:$M$5,1,0),"Excl")</f>
        <v>Labour</v>
      </c>
      <c r="AY102" s="7" t="str">
        <f>VLOOKUP(AO102,Mapping!$E$11:$I$96,5,0)</f>
        <v>SCS</v>
      </c>
    </row>
    <row r="103" spans="1:51" x14ac:dyDescent="0.2">
      <c r="A103" s="7"/>
      <c r="B103" s="7"/>
      <c r="C103" s="7"/>
      <c r="D103" s="7"/>
      <c r="E103" s="36">
        <v>105</v>
      </c>
      <c r="F103" s="36" t="s">
        <v>2118</v>
      </c>
      <c r="G103" s="36">
        <v>591998</v>
      </c>
      <c r="H103" s="36" t="s">
        <v>2077</v>
      </c>
      <c r="I103" s="37">
        <v>-102.596</v>
      </c>
      <c r="J103" s="7"/>
      <c r="K103" s="7" t="str">
        <f>VLOOKUP($E103,Mapping!$E$11:$I$96,3,0)</f>
        <v>Connections</v>
      </c>
      <c r="L103" s="7" t="str">
        <f>VLOOKUP($G103,Mapping!$E$140:$K$2771,5,0)</f>
        <v>Contracts</v>
      </c>
      <c r="M103" s="7" t="str">
        <f>VLOOKUP($G103,Mapping!$E$140:$K$2771,7,0)</f>
        <v>ENDirect</v>
      </c>
      <c r="N103" s="7" t="str">
        <f>IFERROR(HLOOKUP(L103,'Calc|Weightings'!$K$5:$M$5,1,0),"Excl")</f>
        <v>Contracts</v>
      </c>
      <c r="O103" s="7" t="str">
        <f>VLOOKUP(E103,Mapping!$E$11:$I$96,5,0)</f>
        <v>SCS</v>
      </c>
      <c r="Q103" s="33">
        <v>105</v>
      </c>
      <c r="R103" s="33" t="s">
        <v>2118</v>
      </c>
      <c r="S103" s="33">
        <v>613254</v>
      </c>
      <c r="T103" s="33" t="s">
        <v>2088</v>
      </c>
      <c r="U103" s="34">
        <v>6.5949999999999995E-2</v>
      </c>
      <c r="V103" s="7"/>
      <c r="W103" s="7" t="str">
        <f>VLOOKUP($Q103,Mapping!$E$11:$I$96,3,0)</f>
        <v>Connections</v>
      </c>
      <c r="X103" s="7" t="str">
        <f>VLOOKUP($S103,Mapping!$E$140:$K$2771,5,0)</f>
        <v>Labour</v>
      </c>
      <c r="Y103" s="7" t="str">
        <f>VLOOKUP($S103,Mapping!$E$140:$K$2771,7,0)</f>
        <v>ENDirect</v>
      </c>
      <c r="Z103" s="7" t="str">
        <f>IFERROR(HLOOKUP(X103,'Calc|Weightings'!$K$5:$M$5,1,0),"Excl")</f>
        <v>Labour</v>
      </c>
      <c r="AA103" s="7" t="str">
        <f>VLOOKUP(Q103,Mapping!$E$11:$I$96,5,0)</f>
        <v>SCS</v>
      </c>
      <c r="AC103" s="111">
        <v>105</v>
      </c>
      <c r="AD103" s="111" t="s">
        <v>2118</v>
      </c>
      <c r="AE103" s="111">
        <v>531020</v>
      </c>
      <c r="AF103" s="111" t="s">
        <v>219</v>
      </c>
      <c r="AG103" s="112">
        <v>8.8950999999999993</v>
      </c>
      <c r="AI103" s="7" t="str">
        <f>VLOOKUP($AC103,Mapping!$E$11:$I$96,3,0)</f>
        <v>Connections</v>
      </c>
      <c r="AJ103" s="7" t="str">
        <f>VLOOKUP($AE103,Mapping!$E$140:$K$2771,5,0)</f>
        <v>Labour</v>
      </c>
      <c r="AK103" s="7" t="str">
        <f>VLOOKUP($AE103,Mapping!$E$140:$K$2771,7,0)</f>
        <v>ENDirect</v>
      </c>
      <c r="AL103" s="7" t="str">
        <f>IFERROR(HLOOKUP(AJ103,'Calc|Weightings'!$K$5:$M$5,1,0),"Excl")</f>
        <v>Labour</v>
      </c>
      <c r="AM103" s="7" t="str">
        <f>VLOOKUP(AC103,Mapping!$E$11:$I$96,5,0)</f>
        <v>SCS</v>
      </c>
      <c r="AO103" s="134">
        <v>105</v>
      </c>
      <c r="AP103" s="135" t="s">
        <v>2118</v>
      </c>
      <c r="AQ103" s="135">
        <v>613280</v>
      </c>
      <c r="AR103" s="135" t="s">
        <v>1342</v>
      </c>
      <c r="AS103" s="136">
        <v>194.83357000000001</v>
      </c>
      <c r="AU103" s="7" t="str">
        <f>VLOOKUP($AO103,Mapping!$E$11:$I$96,3,0)</f>
        <v>Connections</v>
      </c>
      <c r="AV103" s="7" t="str">
        <f>VLOOKUP($AQ103,Mapping!$E$140:$K$2771,5,0)</f>
        <v>Labour</v>
      </c>
      <c r="AW103" s="7" t="str">
        <f>VLOOKUP($AQ103,Mapping!$E$140:$K$2771,7,0)</f>
        <v>ENDirect</v>
      </c>
      <c r="AX103" s="7" t="str">
        <f>IFERROR(HLOOKUP(AV103,'Calc|Weightings'!$K$5:$M$5,1,0),"Excl")</f>
        <v>Labour</v>
      </c>
      <c r="AY103" s="7" t="str">
        <f>VLOOKUP(AO103,Mapping!$E$11:$I$96,5,0)</f>
        <v>SCS</v>
      </c>
    </row>
    <row r="104" spans="1:51" x14ac:dyDescent="0.2">
      <c r="A104" s="7"/>
      <c r="B104" s="7"/>
      <c r="C104" s="7"/>
      <c r="D104" s="7"/>
      <c r="E104" s="36">
        <v>105</v>
      </c>
      <c r="F104" s="36" t="s">
        <v>2118</v>
      </c>
      <c r="G104" s="36">
        <v>591999</v>
      </c>
      <c r="H104" s="36" t="s">
        <v>2195</v>
      </c>
      <c r="I104" s="37">
        <v>-733.64283999999998</v>
      </c>
      <c r="J104" s="7"/>
      <c r="K104" s="7" t="str">
        <f>VLOOKUP($E104,Mapping!$E$11:$I$96,3,0)</f>
        <v>Connections</v>
      </c>
      <c r="L104" s="7" t="str">
        <f>VLOOKUP($G104,Mapping!$E$140:$K$2771,5,0)</f>
        <v>Contracts</v>
      </c>
      <c r="M104" s="7" t="str">
        <f>VLOOKUP($G104,Mapping!$E$140:$K$2771,7,0)</f>
        <v>ENDirect</v>
      </c>
      <c r="N104" s="7" t="str">
        <f>IFERROR(HLOOKUP(L104,'Calc|Weightings'!$K$5:$M$5,1,0),"Excl")</f>
        <v>Contracts</v>
      </c>
      <c r="O104" s="7" t="str">
        <f>VLOOKUP(E104,Mapping!$E$11:$I$96,5,0)</f>
        <v>SCS</v>
      </c>
      <c r="Q104" s="33">
        <v>105</v>
      </c>
      <c r="R104" s="33" t="s">
        <v>2118</v>
      </c>
      <c r="S104" s="33">
        <v>613260</v>
      </c>
      <c r="T104" s="33" t="s">
        <v>2090</v>
      </c>
      <c r="U104" s="34">
        <v>1.9228499999999999</v>
      </c>
      <c r="V104" s="7"/>
      <c r="W104" s="7" t="str">
        <f>VLOOKUP($Q104,Mapping!$E$11:$I$96,3,0)</f>
        <v>Connections</v>
      </c>
      <c r="X104" s="7" t="str">
        <f>VLOOKUP($S104,Mapping!$E$140:$K$2771,5,0)</f>
        <v>Labour</v>
      </c>
      <c r="Y104" s="7" t="str">
        <f>VLOOKUP($S104,Mapping!$E$140:$K$2771,7,0)</f>
        <v>ENDirect</v>
      </c>
      <c r="Z104" s="7" t="str">
        <f>IFERROR(HLOOKUP(X104,'Calc|Weightings'!$K$5:$M$5,1,0),"Excl")</f>
        <v>Labour</v>
      </c>
      <c r="AA104" s="7" t="str">
        <f>VLOOKUP(Q104,Mapping!$E$11:$I$96,5,0)</f>
        <v>SCS</v>
      </c>
      <c r="AC104" s="111">
        <v>105</v>
      </c>
      <c r="AD104" s="111" t="s">
        <v>2118</v>
      </c>
      <c r="AE104" s="111">
        <v>531200</v>
      </c>
      <c r="AF104" s="111" t="s">
        <v>250</v>
      </c>
      <c r="AG104" s="112">
        <v>73.906210000000002</v>
      </c>
      <c r="AI104" s="7" t="str">
        <f>VLOOKUP($AC104,Mapping!$E$11:$I$96,3,0)</f>
        <v>Connections</v>
      </c>
      <c r="AJ104" s="7" t="str">
        <f>VLOOKUP($AE104,Mapping!$E$140:$K$2771,5,0)</f>
        <v>Contracts</v>
      </c>
      <c r="AK104" s="7" t="str">
        <f>VLOOKUP($AE104,Mapping!$E$140:$K$2771,7,0)</f>
        <v>ENDirect</v>
      </c>
      <c r="AL104" s="7" t="str">
        <f>IFERROR(HLOOKUP(AJ104,'Calc|Weightings'!$K$5:$M$5,1,0),"Excl")</f>
        <v>Contracts</v>
      </c>
      <c r="AM104" s="7" t="str">
        <f>VLOOKUP(AC104,Mapping!$E$11:$I$96,5,0)</f>
        <v>SCS</v>
      </c>
      <c r="AO104" s="134">
        <v>105</v>
      </c>
      <c r="AP104" s="135" t="s">
        <v>2118</v>
      </c>
      <c r="AQ104" s="135">
        <v>613281</v>
      </c>
      <c r="AR104" s="135" t="s">
        <v>1343</v>
      </c>
      <c r="AS104" s="136">
        <v>10.52768</v>
      </c>
      <c r="AU104" s="7" t="str">
        <f>VLOOKUP($AO104,Mapping!$E$11:$I$96,3,0)</f>
        <v>Connections</v>
      </c>
      <c r="AV104" s="7" t="str">
        <f>VLOOKUP($AQ104,Mapping!$E$140:$K$2771,5,0)</f>
        <v>Labour</v>
      </c>
      <c r="AW104" s="7" t="str">
        <f>VLOOKUP($AQ104,Mapping!$E$140:$K$2771,7,0)</f>
        <v>ENDirect</v>
      </c>
      <c r="AX104" s="7" t="str">
        <f>IFERROR(HLOOKUP(AV104,'Calc|Weightings'!$K$5:$M$5,1,0),"Excl")</f>
        <v>Labour</v>
      </c>
      <c r="AY104" s="7" t="str">
        <f>VLOOKUP(AO104,Mapping!$E$11:$I$96,5,0)</f>
        <v>SCS</v>
      </c>
    </row>
    <row r="105" spans="1:51" x14ac:dyDescent="0.2">
      <c r="A105" s="7"/>
      <c r="B105" s="7"/>
      <c r="C105" s="7"/>
      <c r="D105" s="7"/>
      <c r="E105" s="36">
        <v>105</v>
      </c>
      <c r="F105" s="36" t="s">
        <v>2118</v>
      </c>
      <c r="G105" s="36">
        <v>611900</v>
      </c>
      <c r="H105" s="36" t="s">
        <v>2079</v>
      </c>
      <c r="I105" s="37">
        <v>22.026350000000001</v>
      </c>
      <c r="J105" s="7"/>
      <c r="K105" s="7" t="str">
        <f>VLOOKUP($E105,Mapping!$E$11:$I$96,3,0)</f>
        <v>Connections</v>
      </c>
      <c r="L105" s="7" t="str">
        <f>VLOOKUP($G105,Mapping!$E$140:$K$2771,5,0)</f>
        <v>Contracts</v>
      </c>
      <c r="M105" s="7" t="str">
        <f>VLOOKUP($G105,Mapping!$E$140:$K$2771,7,0)</f>
        <v>ENDirect</v>
      </c>
      <c r="N105" s="7" t="str">
        <f>IFERROR(HLOOKUP(L105,'Calc|Weightings'!$K$5:$M$5,1,0),"Excl")</f>
        <v>Contracts</v>
      </c>
      <c r="O105" s="7" t="str">
        <f>VLOOKUP(E105,Mapping!$E$11:$I$96,5,0)</f>
        <v>SCS</v>
      </c>
      <c r="Q105" s="33">
        <v>105</v>
      </c>
      <c r="R105" s="33" t="s">
        <v>2118</v>
      </c>
      <c r="S105" s="33">
        <v>613280</v>
      </c>
      <c r="T105" s="33" t="s">
        <v>1342</v>
      </c>
      <c r="U105" s="34">
        <v>163.19580999999999</v>
      </c>
      <c r="V105" s="7"/>
      <c r="W105" s="7" t="str">
        <f>VLOOKUP($Q105,Mapping!$E$11:$I$96,3,0)</f>
        <v>Connections</v>
      </c>
      <c r="X105" s="7" t="str">
        <f>VLOOKUP($S105,Mapping!$E$140:$K$2771,5,0)</f>
        <v>Labour</v>
      </c>
      <c r="Y105" s="7" t="str">
        <f>VLOOKUP($S105,Mapping!$E$140:$K$2771,7,0)</f>
        <v>ENDirect</v>
      </c>
      <c r="Z105" s="7" t="str">
        <f>IFERROR(HLOOKUP(X105,'Calc|Weightings'!$K$5:$M$5,1,0),"Excl")</f>
        <v>Labour</v>
      </c>
      <c r="AA105" s="7" t="str">
        <f>VLOOKUP(Q105,Mapping!$E$11:$I$96,5,0)</f>
        <v>SCS</v>
      </c>
      <c r="AC105" s="111">
        <v>105</v>
      </c>
      <c r="AD105" s="111" t="s">
        <v>2118</v>
      </c>
      <c r="AE105" s="111">
        <v>531201</v>
      </c>
      <c r="AF105" s="111" t="s">
        <v>251</v>
      </c>
      <c r="AG105" s="112">
        <v>356.20809000000003</v>
      </c>
      <c r="AI105" s="7" t="str">
        <f>VLOOKUP($AC105,Mapping!$E$11:$I$96,3,0)</f>
        <v>Connections</v>
      </c>
      <c r="AJ105" s="7" t="str">
        <f>VLOOKUP($AE105,Mapping!$E$140:$K$2771,5,0)</f>
        <v>Contracts</v>
      </c>
      <c r="AK105" s="7" t="str">
        <f>VLOOKUP($AE105,Mapping!$E$140:$K$2771,7,0)</f>
        <v>ENDirect</v>
      </c>
      <c r="AL105" s="7" t="str">
        <f>IFERROR(HLOOKUP(AJ105,'Calc|Weightings'!$K$5:$M$5,1,0),"Excl")</f>
        <v>Contracts</v>
      </c>
      <c r="AM105" s="7" t="str">
        <f>VLOOKUP(AC105,Mapping!$E$11:$I$96,5,0)</f>
        <v>SCS</v>
      </c>
      <c r="AO105" s="134">
        <v>105</v>
      </c>
      <c r="AP105" s="135" t="s">
        <v>2118</v>
      </c>
      <c r="AQ105" s="135">
        <v>613290</v>
      </c>
      <c r="AR105" s="135" t="s">
        <v>2093</v>
      </c>
      <c r="AS105" s="136">
        <v>730.86261000000002</v>
      </c>
      <c r="AU105" s="7" t="str">
        <f>VLOOKUP($AO105,Mapping!$E$11:$I$96,3,0)</f>
        <v>Connections</v>
      </c>
      <c r="AV105" s="7" t="str">
        <f>VLOOKUP($AQ105,Mapping!$E$140:$K$2771,5,0)</f>
        <v>Labour</v>
      </c>
      <c r="AW105" s="7" t="str">
        <f>VLOOKUP($AQ105,Mapping!$E$140:$K$2771,7,0)</f>
        <v>ENDirect</v>
      </c>
      <c r="AX105" s="7" t="str">
        <f>IFERROR(HLOOKUP(AV105,'Calc|Weightings'!$K$5:$M$5,1,0),"Excl")</f>
        <v>Labour</v>
      </c>
      <c r="AY105" s="7" t="str">
        <f>VLOOKUP(AO105,Mapping!$E$11:$I$96,5,0)</f>
        <v>SCS</v>
      </c>
    </row>
    <row r="106" spans="1:51" x14ac:dyDescent="0.2">
      <c r="A106" s="7"/>
      <c r="B106" s="7"/>
      <c r="C106" s="7"/>
      <c r="D106" s="7"/>
      <c r="E106" s="36">
        <v>105</v>
      </c>
      <c r="F106" s="36" t="s">
        <v>2118</v>
      </c>
      <c r="G106" s="36">
        <v>611901</v>
      </c>
      <c r="H106" s="36" t="s">
        <v>2080</v>
      </c>
      <c r="I106" s="37">
        <v>46.358449999999998</v>
      </c>
      <c r="J106" s="7"/>
      <c r="K106" s="7" t="str">
        <f>VLOOKUP($E106,Mapping!$E$11:$I$96,3,0)</f>
        <v>Connections</v>
      </c>
      <c r="L106" s="7" t="str">
        <f>VLOOKUP($G106,Mapping!$E$140:$K$2771,5,0)</f>
        <v>Contracts</v>
      </c>
      <c r="M106" s="7" t="str">
        <f>VLOOKUP($G106,Mapping!$E$140:$K$2771,7,0)</f>
        <v>ENDirect</v>
      </c>
      <c r="N106" s="7" t="str">
        <f>IFERROR(HLOOKUP(L106,'Calc|Weightings'!$K$5:$M$5,1,0),"Excl")</f>
        <v>Contracts</v>
      </c>
      <c r="O106" s="7" t="str">
        <f>VLOOKUP(E106,Mapping!$E$11:$I$96,5,0)</f>
        <v>SCS</v>
      </c>
      <c r="Q106" s="33">
        <v>105</v>
      </c>
      <c r="R106" s="33" t="s">
        <v>2118</v>
      </c>
      <c r="S106" s="33">
        <v>613281</v>
      </c>
      <c r="T106" s="33" t="s">
        <v>1343</v>
      </c>
      <c r="U106" s="34">
        <v>1.1994100000000001</v>
      </c>
      <c r="V106" s="7"/>
      <c r="W106" s="7" t="str">
        <f>VLOOKUP($Q106,Mapping!$E$11:$I$96,3,0)</f>
        <v>Connections</v>
      </c>
      <c r="X106" s="7" t="str">
        <f>VLOOKUP($S106,Mapping!$E$140:$K$2771,5,0)</f>
        <v>Labour</v>
      </c>
      <c r="Y106" s="7" t="str">
        <f>VLOOKUP($S106,Mapping!$E$140:$K$2771,7,0)</f>
        <v>ENDirect</v>
      </c>
      <c r="Z106" s="7" t="str">
        <f>IFERROR(HLOOKUP(X106,'Calc|Weightings'!$K$5:$M$5,1,0),"Excl")</f>
        <v>Labour</v>
      </c>
      <c r="AA106" s="7" t="str">
        <f>VLOOKUP(Q106,Mapping!$E$11:$I$96,5,0)</f>
        <v>SCS</v>
      </c>
      <c r="AC106" s="111">
        <v>105</v>
      </c>
      <c r="AD106" s="111" t="s">
        <v>2118</v>
      </c>
      <c r="AE106" s="111">
        <v>531464</v>
      </c>
      <c r="AF106" s="111" t="s">
        <v>256</v>
      </c>
      <c r="AG106" s="112">
        <v>1794.4836700000001</v>
      </c>
      <c r="AI106" s="7" t="str">
        <f>VLOOKUP($AC106,Mapping!$E$11:$I$96,3,0)</f>
        <v>Connections</v>
      </c>
      <c r="AJ106" s="7" t="str">
        <f>VLOOKUP($AE106,Mapping!$E$140:$K$2771,5,0)</f>
        <v>Contracts</v>
      </c>
      <c r="AK106" s="7" t="str">
        <f>VLOOKUP($AE106,Mapping!$E$140:$K$2771,7,0)</f>
        <v>ENDirect</v>
      </c>
      <c r="AL106" s="7" t="str">
        <f>IFERROR(HLOOKUP(AJ106,'Calc|Weightings'!$K$5:$M$5,1,0),"Excl")</f>
        <v>Contracts</v>
      </c>
      <c r="AM106" s="7" t="str">
        <f>VLOOKUP(AC106,Mapping!$E$11:$I$96,5,0)</f>
        <v>SCS</v>
      </c>
      <c r="AO106" s="134">
        <v>105</v>
      </c>
      <c r="AP106" s="135" t="s">
        <v>2118</v>
      </c>
      <c r="AQ106" s="135">
        <v>613291</v>
      </c>
      <c r="AR106" s="135" t="s">
        <v>2094</v>
      </c>
      <c r="AS106" s="136">
        <v>14.09624</v>
      </c>
      <c r="AU106" s="7" t="str">
        <f>VLOOKUP($AO106,Mapping!$E$11:$I$96,3,0)</f>
        <v>Connections</v>
      </c>
      <c r="AV106" s="7" t="str">
        <f>VLOOKUP($AQ106,Mapping!$E$140:$K$2771,5,0)</f>
        <v>Labour</v>
      </c>
      <c r="AW106" s="7" t="str">
        <f>VLOOKUP($AQ106,Mapping!$E$140:$K$2771,7,0)</f>
        <v>ENDirect</v>
      </c>
      <c r="AX106" s="7" t="str">
        <f>IFERROR(HLOOKUP(AV106,'Calc|Weightings'!$K$5:$M$5,1,0),"Excl")</f>
        <v>Labour</v>
      </c>
      <c r="AY106" s="7" t="str">
        <f>VLOOKUP(AO106,Mapping!$E$11:$I$96,5,0)</f>
        <v>SCS</v>
      </c>
    </row>
    <row r="107" spans="1:51" x14ac:dyDescent="0.2">
      <c r="A107" s="7"/>
      <c r="B107" s="7"/>
      <c r="C107" s="7"/>
      <c r="D107" s="7"/>
      <c r="E107" s="36">
        <v>105</v>
      </c>
      <c r="F107" s="36" t="s">
        <v>2118</v>
      </c>
      <c r="G107" s="36">
        <v>611902</v>
      </c>
      <c r="H107" s="36" t="s">
        <v>2081</v>
      </c>
      <c r="I107" s="37">
        <v>11.667759999999999</v>
      </c>
      <c r="J107" s="7"/>
      <c r="K107" s="7" t="str">
        <f>VLOOKUP($E107,Mapping!$E$11:$I$96,3,0)</f>
        <v>Connections</v>
      </c>
      <c r="L107" s="7" t="str">
        <f>VLOOKUP($G107,Mapping!$E$140:$K$2771,5,0)</f>
        <v>Contracts</v>
      </c>
      <c r="M107" s="7" t="str">
        <f>VLOOKUP($G107,Mapping!$E$140:$K$2771,7,0)</f>
        <v>ENDirect</v>
      </c>
      <c r="N107" s="7" t="str">
        <f>IFERROR(HLOOKUP(L107,'Calc|Weightings'!$K$5:$M$5,1,0),"Excl")</f>
        <v>Contracts</v>
      </c>
      <c r="O107" s="7" t="str">
        <f>VLOOKUP(E107,Mapping!$E$11:$I$96,5,0)</f>
        <v>SCS</v>
      </c>
      <c r="Q107" s="33">
        <v>105</v>
      </c>
      <c r="R107" s="33" t="s">
        <v>2118</v>
      </c>
      <c r="S107" s="33">
        <v>613290</v>
      </c>
      <c r="T107" s="33" t="s">
        <v>2093</v>
      </c>
      <c r="U107" s="34">
        <v>527.83043999999995</v>
      </c>
      <c r="V107" s="7"/>
      <c r="W107" s="7" t="str">
        <f>VLOOKUP($Q107,Mapping!$E$11:$I$96,3,0)</f>
        <v>Connections</v>
      </c>
      <c r="X107" s="7" t="str">
        <f>VLOOKUP($S107,Mapping!$E$140:$K$2771,5,0)</f>
        <v>Labour</v>
      </c>
      <c r="Y107" s="7" t="str">
        <f>VLOOKUP($S107,Mapping!$E$140:$K$2771,7,0)</f>
        <v>ENDirect</v>
      </c>
      <c r="Z107" s="7" t="str">
        <f>IFERROR(HLOOKUP(X107,'Calc|Weightings'!$K$5:$M$5,1,0),"Excl")</f>
        <v>Labour</v>
      </c>
      <c r="AA107" s="7" t="str">
        <f>VLOOKUP(Q107,Mapping!$E$11:$I$96,5,0)</f>
        <v>SCS</v>
      </c>
      <c r="AC107" s="111">
        <v>105</v>
      </c>
      <c r="AD107" s="111" t="s">
        <v>2118</v>
      </c>
      <c r="AE107" s="111">
        <v>531465</v>
      </c>
      <c r="AF107" s="111" t="s">
        <v>257</v>
      </c>
      <c r="AG107" s="112">
        <v>29.657779999999999</v>
      </c>
      <c r="AI107" s="7" t="str">
        <f>VLOOKUP($AC107,Mapping!$E$11:$I$96,3,0)</f>
        <v>Connections</v>
      </c>
      <c r="AJ107" s="7" t="str">
        <f>VLOOKUP($AE107,Mapping!$E$140:$K$2771,5,0)</f>
        <v>Contracts</v>
      </c>
      <c r="AK107" s="7" t="str">
        <f>VLOOKUP($AE107,Mapping!$E$140:$K$2771,7,0)</f>
        <v>ENDirect</v>
      </c>
      <c r="AL107" s="7" t="str">
        <f>IFERROR(HLOOKUP(AJ107,'Calc|Weightings'!$K$5:$M$5,1,0),"Excl")</f>
        <v>Contracts</v>
      </c>
      <c r="AM107" s="7" t="str">
        <f>VLOOKUP(AC107,Mapping!$E$11:$I$96,5,0)</f>
        <v>SCS</v>
      </c>
      <c r="AO107" s="134">
        <v>105</v>
      </c>
      <c r="AP107" s="135" t="s">
        <v>2118</v>
      </c>
      <c r="AQ107" s="135">
        <v>613298</v>
      </c>
      <c r="AR107" s="135" t="s">
        <v>2122</v>
      </c>
      <c r="AS107" s="136">
        <v>0.1343</v>
      </c>
      <c r="AU107" s="7" t="str">
        <f>VLOOKUP($AO107,Mapping!$E$11:$I$96,3,0)</f>
        <v>Connections</v>
      </c>
      <c r="AV107" s="7" t="str">
        <f>VLOOKUP($AQ107,Mapping!$E$140:$K$2771,5,0)</f>
        <v>Labour</v>
      </c>
      <c r="AW107" s="7" t="str">
        <f>VLOOKUP($AQ107,Mapping!$E$140:$K$2771,7,0)</f>
        <v>ENDirect</v>
      </c>
      <c r="AX107" s="7" t="str">
        <f>IFERROR(HLOOKUP(AV107,'Calc|Weightings'!$K$5:$M$5,1,0),"Excl")</f>
        <v>Labour</v>
      </c>
      <c r="AY107" s="7" t="str">
        <f>VLOOKUP(AO107,Mapping!$E$11:$I$96,5,0)</f>
        <v>SCS</v>
      </c>
    </row>
    <row r="108" spans="1:51" x14ac:dyDescent="0.2">
      <c r="A108" s="7"/>
      <c r="B108" s="7"/>
      <c r="C108" s="7"/>
      <c r="D108" s="7"/>
      <c r="E108" s="36">
        <v>105</v>
      </c>
      <c r="F108" s="36" t="s">
        <v>2118</v>
      </c>
      <c r="G108" s="36">
        <v>612210</v>
      </c>
      <c r="H108" s="36" t="s">
        <v>1184</v>
      </c>
      <c r="I108" s="37">
        <v>71.034970000000001</v>
      </c>
      <c r="J108" s="7"/>
      <c r="K108" s="7" t="str">
        <f>VLOOKUP($E108,Mapping!$E$11:$I$96,3,0)</f>
        <v>Connections</v>
      </c>
      <c r="L108" s="7" t="str">
        <f>VLOOKUP($G108,Mapping!$E$140:$K$2771,5,0)</f>
        <v>Labour</v>
      </c>
      <c r="M108" s="7" t="str">
        <f>VLOOKUP($G108,Mapping!$E$140:$K$2771,7,0)</f>
        <v>ENDirect</v>
      </c>
      <c r="N108" s="7" t="str">
        <f>IFERROR(HLOOKUP(L108,'Calc|Weightings'!$K$5:$M$5,1,0),"Excl")</f>
        <v>Labour</v>
      </c>
      <c r="O108" s="7" t="str">
        <f>VLOOKUP(E108,Mapping!$E$11:$I$96,5,0)</f>
        <v>SCS</v>
      </c>
      <c r="Q108" s="33">
        <v>105</v>
      </c>
      <c r="R108" s="33" t="s">
        <v>2118</v>
      </c>
      <c r="S108" s="33">
        <v>613291</v>
      </c>
      <c r="T108" s="33" t="s">
        <v>2094</v>
      </c>
      <c r="U108" s="34">
        <v>27.87246</v>
      </c>
      <c r="V108" s="7"/>
      <c r="W108" s="7" t="str">
        <f>VLOOKUP($Q108,Mapping!$E$11:$I$96,3,0)</f>
        <v>Connections</v>
      </c>
      <c r="X108" s="7" t="str">
        <f>VLOOKUP($S108,Mapping!$E$140:$K$2771,5,0)</f>
        <v>Labour</v>
      </c>
      <c r="Y108" s="7" t="str">
        <f>VLOOKUP($S108,Mapping!$E$140:$K$2771,7,0)</f>
        <v>ENDirect</v>
      </c>
      <c r="Z108" s="7" t="str">
        <f>IFERROR(HLOOKUP(X108,'Calc|Weightings'!$K$5:$M$5,1,0),"Excl")</f>
        <v>Labour</v>
      </c>
      <c r="AA108" s="7" t="str">
        <f>VLOOKUP(Q108,Mapping!$E$11:$I$96,5,0)</f>
        <v>SCS</v>
      </c>
      <c r="AC108" s="111">
        <v>105</v>
      </c>
      <c r="AD108" s="111" t="s">
        <v>2118</v>
      </c>
      <c r="AE108" s="111">
        <v>531466</v>
      </c>
      <c r="AF108" s="111" t="s">
        <v>258</v>
      </c>
      <c r="AG108" s="112">
        <v>96.531959999999998</v>
      </c>
      <c r="AI108" s="7" t="str">
        <f>VLOOKUP($AC108,Mapping!$E$11:$I$96,3,0)</f>
        <v>Connections</v>
      </c>
      <c r="AJ108" s="7" t="str">
        <f>VLOOKUP($AE108,Mapping!$E$140:$K$2771,5,0)</f>
        <v>Contracts</v>
      </c>
      <c r="AK108" s="7" t="str">
        <f>VLOOKUP($AE108,Mapping!$E$140:$K$2771,7,0)</f>
        <v>ENDirect</v>
      </c>
      <c r="AL108" s="7" t="str">
        <f>IFERROR(HLOOKUP(AJ108,'Calc|Weightings'!$K$5:$M$5,1,0),"Excl")</f>
        <v>Contracts</v>
      </c>
      <c r="AM108" s="7" t="str">
        <f>VLOOKUP(AC108,Mapping!$E$11:$I$96,5,0)</f>
        <v>SCS</v>
      </c>
      <c r="AO108" s="134">
        <v>105</v>
      </c>
      <c r="AP108" s="135" t="s">
        <v>2118</v>
      </c>
      <c r="AQ108" s="135">
        <v>613310</v>
      </c>
      <c r="AR108" s="135" t="s">
        <v>2095</v>
      </c>
      <c r="AS108" s="136">
        <v>11.18244</v>
      </c>
      <c r="AU108" s="7" t="str">
        <f>VLOOKUP($AO108,Mapping!$E$11:$I$96,3,0)</f>
        <v>Connections</v>
      </c>
      <c r="AV108" s="7" t="str">
        <f>VLOOKUP($AQ108,Mapping!$E$140:$K$2771,5,0)</f>
        <v>Labour</v>
      </c>
      <c r="AW108" s="7" t="str">
        <f>VLOOKUP($AQ108,Mapping!$E$140:$K$2771,7,0)</f>
        <v>ENDirect</v>
      </c>
      <c r="AX108" s="7" t="str">
        <f>IFERROR(HLOOKUP(AV108,'Calc|Weightings'!$K$5:$M$5,1,0),"Excl")</f>
        <v>Labour</v>
      </c>
      <c r="AY108" s="7" t="str">
        <f>VLOOKUP(AO108,Mapping!$E$11:$I$96,5,0)</f>
        <v>SCS</v>
      </c>
    </row>
    <row r="109" spans="1:51" x14ac:dyDescent="0.2">
      <c r="A109" s="7"/>
      <c r="B109" s="7"/>
      <c r="C109" s="7"/>
      <c r="D109" s="7"/>
      <c r="E109" s="36">
        <v>105</v>
      </c>
      <c r="F109" s="36" t="s">
        <v>2118</v>
      </c>
      <c r="G109" s="36">
        <v>612211</v>
      </c>
      <c r="H109" s="36" t="s">
        <v>1185</v>
      </c>
      <c r="I109" s="37">
        <v>-0.32802999999999999</v>
      </c>
      <c r="J109" s="7"/>
      <c r="K109" s="7" t="str">
        <f>VLOOKUP($E109,Mapping!$E$11:$I$96,3,0)</f>
        <v>Connections</v>
      </c>
      <c r="L109" s="7" t="str">
        <f>VLOOKUP($G109,Mapping!$E$140:$K$2771,5,0)</f>
        <v>Labour</v>
      </c>
      <c r="M109" s="7" t="str">
        <f>VLOOKUP($G109,Mapping!$E$140:$K$2771,7,0)</f>
        <v>ENDirect</v>
      </c>
      <c r="N109" s="7" t="str">
        <f>IFERROR(HLOOKUP(L109,'Calc|Weightings'!$K$5:$M$5,1,0),"Excl")</f>
        <v>Labour</v>
      </c>
      <c r="O109" s="7" t="str">
        <f>VLOOKUP(E109,Mapping!$E$11:$I$96,5,0)</f>
        <v>SCS</v>
      </c>
      <c r="Q109" s="33">
        <v>105</v>
      </c>
      <c r="R109" s="33" t="s">
        <v>2118</v>
      </c>
      <c r="S109" s="33">
        <v>613298</v>
      </c>
      <c r="T109" s="33" t="s">
        <v>2122</v>
      </c>
      <c r="U109" s="34">
        <v>311.97742</v>
      </c>
      <c r="V109" s="7"/>
      <c r="W109" s="7" t="str">
        <f>VLOOKUP($Q109,Mapping!$E$11:$I$96,3,0)</f>
        <v>Connections</v>
      </c>
      <c r="X109" s="7" t="str">
        <f>VLOOKUP($S109,Mapping!$E$140:$K$2771,5,0)</f>
        <v>Labour</v>
      </c>
      <c r="Y109" s="7" t="str">
        <f>VLOOKUP($S109,Mapping!$E$140:$K$2771,7,0)</f>
        <v>ENDirect</v>
      </c>
      <c r="Z109" s="7" t="str">
        <f>IFERROR(HLOOKUP(X109,'Calc|Weightings'!$K$5:$M$5,1,0),"Excl")</f>
        <v>Labour</v>
      </c>
      <c r="AA109" s="7" t="str">
        <f>VLOOKUP(Q109,Mapping!$E$11:$I$96,5,0)</f>
        <v>SCS</v>
      </c>
      <c r="AC109" s="111">
        <v>105</v>
      </c>
      <c r="AD109" s="111" t="s">
        <v>2118</v>
      </c>
      <c r="AE109" s="111">
        <v>531467</v>
      </c>
      <c r="AF109" s="111" t="s">
        <v>259</v>
      </c>
      <c r="AG109" s="112">
        <v>725.41197999999997</v>
      </c>
      <c r="AI109" s="7" t="str">
        <f>VLOOKUP($AC109,Mapping!$E$11:$I$96,3,0)</f>
        <v>Connections</v>
      </c>
      <c r="AJ109" s="7" t="str">
        <f>VLOOKUP($AE109,Mapping!$E$140:$K$2771,5,0)</f>
        <v>Contracts</v>
      </c>
      <c r="AK109" s="7" t="str">
        <f>VLOOKUP($AE109,Mapping!$E$140:$K$2771,7,0)</f>
        <v>ENDirect</v>
      </c>
      <c r="AL109" s="7" t="str">
        <f>IFERROR(HLOOKUP(AJ109,'Calc|Weightings'!$K$5:$M$5,1,0),"Excl")</f>
        <v>Contracts</v>
      </c>
      <c r="AM109" s="7" t="str">
        <f>VLOOKUP(AC109,Mapping!$E$11:$I$96,5,0)</f>
        <v>SCS</v>
      </c>
      <c r="AO109" s="134">
        <v>105</v>
      </c>
      <c r="AP109" s="135" t="s">
        <v>2118</v>
      </c>
      <c r="AQ109" s="135">
        <v>613350</v>
      </c>
      <c r="AR109" s="135" t="s">
        <v>2096</v>
      </c>
      <c r="AS109" s="136">
        <v>29.202010000000001</v>
      </c>
      <c r="AU109" s="7" t="str">
        <f>VLOOKUP($AO109,Mapping!$E$11:$I$96,3,0)</f>
        <v>Connections</v>
      </c>
      <c r="AV109" s="7" t="str">
        <f>VLOOKUP($AQ109,Mapping!$E$140:$K$2771,5,0)</f>
        <v>Labour</v>
      </c>
      <c r="AW109" s="7" t="str">
        <f>VLOOKUP($AQ109,Mapping!$E$140:$K$2771,7,0)</f>
        <v>ENDirect</v>
      </c>
      <c r="AX109" s="7" t="str">
        <f>IFERROR(HLOOKUP(AV109,'Calc|Weightings'!$K$5:$M$5,1,0),"Excl")</f>
        <v>Labour</v>
      </c>
      <c r="AY109" s="7" t="str">
        <f>VLOOKUP(AO109,Mapping!$E$11:$I$96,5,0)</f>
        <v>SCS</v>
      </c>
    </row>
    <row r="110" spans="1:51" x14ac:dyDescent="0.2">
      <c r="A110" s="7"/>
      <c r="B110" s="7"/>
      <c r="C110" s="7"/>
      <c r="D110" s="7"/>
      <c r="E110" s="36">
        <v>105</v>
      </c>
      <c r="F110" s="36" t="s">
        <v>2118</v>
      </c>
      <c r="G110" s="36">
        <v>612221</v>
      </c>
      <c r="H110" s="36" t="s">
        <v>2354</v>
      </c>
      <c r="I110" s="37">
        <v>6.0672300000000003</v>
      </c>
      <c r="J110" s="7"/>
      <c r="K110" s="7" t="str">
        <f>VLOOKUP($E110,Mapping!$E$11:$I$96,3,0)</f>
        <v>Connections</v>
      </c>
      <c r="L110" s="7" t="str">
        <f>VLOOKUP($G110,Mapping!$E$140:$K$2771,5,0)</f>
        <v>Labour</v>
      </c>
      <c r="M110" s="7" t="str">
        <f>VLOOKUP($G110,Mapping!$E$140:$K$2771,7,0)</f>
        <v>ENDirect</v>
      </c>
      <c r="N110" s="7" t="str">
        <f>IFERROR(HLOOKUP(L110,'Calc|Weightings'!$K$5:$M$5,1,0),"Excl")</f>
        <v>Labour</v>
      </c>
      <c r="O110" s="7" t="str">
        <f>VLOOKUP(E110,Mapping!$E$11:$I$96,5,0)</f>
        <v>SCS</v>
      </c>
      <c r="Q110" s="33">
        <v>105</v>
      </c>
      <c r="R110" s="33" t="s">
        <v>2118</v>
      </c>
      <c r="S110" s="33">
        <v>613299</v>
      </c>
      <c r="T110" s="33" t="s">
        <v>2385</v>
      </c>
      <c r="U110" s="34">
        <v>0.30459999999999998</v>
      </c>
      <c r="V110" s="7"/>
      <c r="W110" s="7" t="str">
        <f>VLOOKUP($Q110,Mapping!$E$11:$I$96,3,0)</f>
        <v>Connections</v>
      </c>
      <c r="X110" s="7" t="str">
        <f>VLOOKUP($S110,Mapping!$E$140:$K$2771,5,0)</f>
        <v>Labour</v>
      </c>
      <c r="Y110" s="7" t="str">
        <f>VLOOKUP($S110,Mapping!$E$140:$K$2771,7,0)</f>
        <v>ENDirect</v>
      </c>
      <c r="Z110" s="7" t="str">
        <f>IFERROR(HLOOKUP(X110,'Calc|Weightings'!$K$5:$M$5,1,0),"Excl")</f>
        <v>Labour</v>
      </c>
      <c r="AA110" s="7" t="str">
        <f>VLOOKUP(Q110,Mapping!$E$11:$I$96,5,0)</f>
        <v>SCS</v>
      </c>
      <c r="AC110" s="111">
        <v>105</v>
      </c>
      <c r="AD110" s="111" t="s">
        <v>2118</v>
      </c>
      <c r="AE110" s="111">
        <v>531468</v>
      </c>
      <c r="AF110" s="111" t="s">
        <v>260</v>
      </c>
      <c r="AG110" s="112">
        <v>519.43213000000003</v>
      </c>
      <c r="AI110" s="7" t="str">
        <f>VLOOKUP($AC110,Mapping!$E$11:$I$96,3,0)</f>
        <v>Connections</v>
      </c>
      <c r="AJ110" s="7" t="str">
        <f>VLOOKUP($AE110,Mapping!$E$140:$K$2771,5,0)</f>
        <v>Contracts</v>
      </c>
      <c r="AK110" s="7" t="str">
        <f>VLOOKUP($AE110,Mapping!$E$140:$K$2771,7,0)</f>
        <v>ENDirect</v>
      </c>
      <c r="AL110" s="7" t="str">
        <f>IFERROR(HLOOKUP(AJ110,'Calc|Weightings'!$K$5:$M$5,1,0),"Excl")</f>
        <v>Contracts</v>
      </c>
      <c r="AM110" s="7" t="str">
        <f>VLOOKUP(AC110,Mapping!$E$11:$I$96,5,0)</f>
        <v>SCS</v>
      </c>
      <c r="AO110" s="134">
        <v>105</v>
      </c>
      <c r="AP110" s="135" t="s">
        <v>2118</v>
      </c>
      <c r="AQ110" s="135">
        <v>613360</v>
      </c>
      <c r="AR110" s="135" t="s">
        <v>2097</v>
      </c>
      <c r="AS110" s="136">
        <v>106.15037</v>
      </c>
      <c r="AU110" s="7" t="str">
        <f>VLOOKUP($AO110,Mapping!$E$11:$I$96,3,0)</f>
        <v>Connections</v>
      </c>
      <c r="AV110" s="7" t="str">
        <f>VLOOKUP($AQ110,Mapping!$E$140:$K$2771,5,0)</f>
        <v>Labour</v>
      </c>
      <c r="AW110" s="7" t="str">
        <f>VLOOKUP($AQ110,Mapping!$E$140:$K$2771,7,0)</f>
        <v>ENDirect</v>
      </c>
      <c r="AX110" s="7" t="str">
        <f>IFERROR(HLOOKUP(AV110,'Calc|Weightings'!$K$5:$M$5,1,0),"Excl")</f>
        <v>Labour</v>
      </c>
      <c r="AY110" s="7" t="str">
        <f>VLOOKUP(AO110,Mapping!$E$11:$I$96,5,0)</f>
        <v>SCS</v>
      </c>
    </row>
    <row r="111" spans="1:51" x14ac:dyDescent="0.2">
      <c r="A111" s="7"/>
      <c r="B111" s="7"/>
      <c r="C111" s="7"/>
      <c r="D111" s="7"/>
      <c r="E111" s="36">
        <v>105</v>
      </c>
      <c r="F111" s="36" t="s">
        <v>2118</v>
      </c>
      <c r="G111" s="36">
        <v>612460</v>
      </c>
      <c r="H111" s="36" t="s">
        <v>1243</v>
      </c>
      <c r="I111" s="37">
        <v>32.175640000000001</v>
      </c>
      <c r="J111" s="7"/>
      <c r="K111" s="7" t="str">
        <f>VLOOKUP($E111,Mapping!$E$11:$I$96,3,0)</f>
        <v>Connections</v>
      </c>
      <c r="L111" s="7" t="str">
        <f>VLOOKUP($G111,Mapping!$E$140:$K$2771,5,0)</f>
        <v>Labour</v>
      </c>
      <c r="M111" s="7" t="str">
        <f>VLOOKUP($G111,Mapping!$E$140:$K$2771,7,0)</f>
        <v>ENDirect</v>
      </c>
      <c r="N111" s="7" t="str">
        <f>IFERROR(HLOOKUP(L111,'Calc|Weightings'!$K$5:$M$5,1,0),"Excl")</f>
        <v>Labour</v>
      </c>
      <c r="O111" s="7" t="str">
        <f>VLOOKUP(E111,Mapping!$E$11:$I$96,5,0)</f>
        <v>SCS</v>
      </c>
      <c r="Q111" s="33">
        <v>105</v>
      </c>
      <c r="R111" s="33" t="s">
        <v>2118</v>
      </c>
      <c r="S111" s="33">
        <v>613310</v>
      </c>
      <c r="T111" s="33" t="s">
        <v>2095</v>
      </c>
      <c r="U111" s="34">
        <v>10.11792</v>
      </c>
      <c r="V111" s="7"/>
      <c r="W111" s="7" t="str">
        <f>VLOOKUP($Q111,Mapping!$E$11:$I$96,3,0)</f>
        <v>Connections</v>
      </c>
      <c r="X111" s="7" t="str">
        <f>VLOOKUP($S111,Mapping!$E$140:$K$2771,5,0)</f>
        <v>Labour</v>
      </c>
      <c r="Y111" s="7" t="str">
        <f>VLOOKUP($S111,Mapping!$E$140:$K$2771,7,0)</f>
        <v>ENDirect</v>
      </c>
      <c r="Z111" s="7" t="str">
        <f>IFERROR(HLOOKUP(X111,'Calc|Weightings'!$K$5:$M$5,1,0),"Excl")</f>
        <v>Labour</v>
      </c>
      <c r="AA111" s="7" t="str">
        <f>VLOOKUP(Q111,Mapping!$E$11:$I$96,5,0)</f>
        <v>SCS</v>
      </c>
      <c r="AC111" s="111">
        <v>105</v>
      </c>
      <c r="AD111" s="111" t="s">
        <v>2118</v>
      </c>
      <c r="AE111" s="111">
        <v>532050</v>
      </c>
      <c r="AF111" s="111" t="s">
        <v>279</v>
      </c>
      <c r="AG111" s="112">
        <v>0.56100000000000005</v>
      </c>
      <c r="AI111" s="7" t="str">
        <f>VLOOKUP($AC111,Mapping!$E$11:$I$96,3,0)</f>
        <v>Connections</v>
      </c>
      <c r="AJ111" s="7" t="str">
        <f>VLOOKUP($AE111,Mapping!$E$140:$K$2771,5,0)</f>
        <v>Contracts</v>
      </c>
      <c r="AK111" s="7" t="str">
        <f>VLOOKUP($AE111,Mapping!$E$140:$K$2771,7,0)</f>
        <v>ENDirect</v>
      </c>
      <c r="AL111" s="7" t="str">
        <f>IFERROR(HLOOKUP(AJ111,'Calc|Weightings'!$K$5:$M$5,1,0),"Excl")</f>
        <v>Contracts</v>
      </c>
      <c r="AM111" s="7" t="str">
        <f>VLOOKUP(AC111,Mapping!$E$11:$I$96,5,0)</f>
        <v>SCS</v>
      </c>
      <c r="AO111" s="134">
        <v>105</v>
      </c>
      <c r="AP111" s="135" t="s">
        <v>2118</v>
      </c>
      <c r="AQ111" s="135">
        <v>613370</v>
      </c>
      <c r="AR111" s="135" t="s">
        <v>1402</v>
      </c>
      <c r="AS111" s="136">
        <v>1.0184</v>
      </c>
      <c r="AU111" s="7" t="str">
        <f>VLOOKUP($AO111,Mapping!$E$11:$I$96,3,0)</f>
        <v>Connections</v>
      </c>
      <c r="AV111" s="7" t="str">
        <f>VLOOKUP($AQ111,Mapping!$E$140:$K$2771,5,0)</f>
        <v>Labour</v>
      </c>
      <c r="AW111" s="7" t="str">
        <f>VLOOKUP($AQ111,Mapping!$E$140:$K$2771,7,0)</f>
        <v>ENDirect</v>
      </c>
      <c r="AX111" s="7" t="str">
        <f>IFERROR(HLOOKUP(AV111,'Calc|Weightings'!$K$5:$M$5,1,0),"Excl")</f>
        <v>Labour</v>
      </c>
      <c r="AY111" s="7" t="str">
        <f>VLOOKUP(AO111,Mapping!$E$11:$I$96,5,0)</f>
        <v>SCS</v>
      </c>
    </row>
    <row r="112" spans="1:51" x14ac:dyDescent="0.2">
      <c r="A112" s="7"/>
      <c r="B112" s="7"/>
      <c r="C112" s="7"/>
      <c r="D112" s="7"/>
      <c r="E112" s="36">
        <v>105</v>
      </c>
      <c r="F112" s="36" t="s">
        <v>2118</v>
      </c>
      <c r="G112" s="36">
        <v>613240</v>
      </c>
      <c r="H112" s="36" t="s">
        <v>2082</v>
      </c>
      <c r="I112" s="37">
        <v>2.1907800000000002</v>
      </c>
      <c r="J112" s="7"/>
      <c r="K112" s="7" t="str">
        <f>VLOOKUP($E112,Mapping!$E$11:$I$96,3,0)</f>
        <v>Connections</v>
      </c>
      <c r="L112" s="7" t="str">
        <f>VLOOKUP($G112,Mapping!$E$140:$K$2771,5,0)</f>
        <v>Labour</v>
      </c>
      <c r="M112" s="7" t="str">
        <f>VLOOKUP($G112,Mapping!$E$140:$K$2771,7,0)</f>
        <v>ENDirect</v>
      </c>
      <c r="N112" s="7" t="str">
        <f>IFERROR(HLOOKUP(L112,'Calc|Weightings'!$K$5:$M$5,1,0),"Excl")</f>
        <v>Labour</v>
      </c>
      <c r="O112" s="7" t="str">
        <f>VLOOKUP(E112,Mapping!$E$11:$I$96,5,0)</f>
        <v>SCS</v>
      </c>
      <c r="Q112" s="33">
        <v>105</v>
      </c>
      <c r="R112" s="33" t="s">
        <v>2118</v>
      </c>
      <c r="S112" s="33">
        <v>613311</v>
      </c>
      <c r="T112" s="33" t="s">
        <v>2116</v>
      </c>
      <c r="U112" s="34">
        <v>4.0559999999999999E-2</v>
      </c>
      <c r="V112" s="7"/>
      <c r="W112" s="7" t="str">
        <f>VLOOKUP($Q112,Mapping!$E$11:$I$96,3,0)</f>
        <v>Connections</v>
      </c>
      <c r="X112" s="7" t="str">
        <f>VLOOKUP($S112,Mapping!$E$140:$K$2771,5,0)</f>
        <v>Labour</v>
      </c>
      <c r="Y112" s="7" t="str">
        <f>VLOOKUP($S112,Mapping!$E$140:$K$2771,7,0)</f>
        <v>ENDirect</v>
      </c>
      <c r="Z112" s="7" t="str">
        <f>IFERROR(HLOOKUP(X112,'Calc|Weightings'!$K$5:$M$5,1,0),"Excl")</f>
        <v>Labour</v>
      </c>
      <c r="AA112" s="7" t="str">
        <f>VLOOKUP(Q112,Mapping!$E$11:$I$96,5,0)</f>
        <v>SCS</v>
      </c>
      <c r="AC112" s="111">
        <v>105</v>
      </c>
      <c r="AD112" s="111" t="s">
        <v>2118</v>
      </c>
      <c r="AE112" s="111">
        <v>532200</v>
      </c>
      <c r="AF112" s="111" t="s">
        <v>291</v>
      </c>
      <c r="AG112" s="112">
        <v>6.8837599999999997</v>
      </c>
      <c r="AI112" s="7" t="str">
        <f>VLOOKUP($AC112,Mapping!$E$11:$I$96,3,0)</f>
        <v>Connections</v>
      </c>
      <c r="AJ112" s="7" t="str">
        <f>VLOOKUP($AE112,Mapping!$E$140:$K$2771,5,0)</f>
        <v>Contracts</v>
      </c>
      <c r="AK112" s="7" t="str">
        <f>VLOOKUP($AE112,Mapping!$E$140:$K$2771,7,0)</f>
        <v>ENDirect</v>
      </c>
      <c r="AL112" s="7" t="str">
        <f>IFERROR(HLOOKUP(AJ112,'Calc|Weightings'!$K$5:$M$5,1,0),"Excl")</f>
        <v>Contracts</v>
      </c>
      <c r="AM112" s="7" t="str">
        <f>VLOOKUP(AC112,Mapping!$E$11:$I$96,5,0)</f>
        <v>SCS</v>
      </c>
      <c r="AO112" s="134">
        <v>105</v>
      </c>
      <c r="AP112" s="135" t="s">
        <v>2118</v>
      </c>
      <c r="AQ112" s="135">
        <v>613400</v>
      </c>
      <c r="AR112" s="135" t="s">
        <v>2099</v>
      </c>
      <c r="AS112" s="136">
        <v>52.542499999999997</v>
      </c>
      <c r="AU112" s="7" t="str">
        <f>VLOOKUP($AO112,Mapping!$E$11:$I$96,3,0)</f>
        <v>Connections</v>
      </c>
      <c r="AV112" s="7" t="str">
        <f>VLOOKUP($AQ112,Mapping!$E$140:$K$2771,5,0)</f>
        <v>Labour</v>
      </c>
      <c r="AW112" s="7" t="str">
        <f>VLOOKUP($AQ112,Mapping!$E$140:$K$2771,7,0)</f>
        <v>ENDirect</v>
      </c>
      <c r="AX112" s="7" t="str">
        <f>IFERROR(HLOOKUP(AV112,'Calc|Weightings'!$K$5:$M$5,1,0),"Excl")</f>
        <v>Labour</v>
      </c>
      <c r="AY112" s="7" t="str">
        <f>VLOOKUP(AO112,Mapping!$E$11:$I$96,5,0)</f>
        <v>SCS</v>
      </c>
    </row>
    <row r="113" spans="1:51" x14ac:dyDescent="0.2">
      <c r="A113" s="7"/>
      <c r="B113" s="7"/>
      <c r="C113" s="7"/>
      <c r="D113" s="7"/>
      <c r="E113" s="36">
        <v>105</v>
      </c>
      <c r="F113" s="36" t="s">
        <v>2118</v>
      </c>
      <c r="G113" s="36">
        <v>613248</v>
      </c>
      <c r="H113" s="36" t="s">
        <v>2383</v>
      </c>
      <c r="I113" s="37">
        <v>145.86951999999999</v>
      </c>
      <c r="J113" s="7"/>
      <c r="K113" s="7" t="str">
        <f>VLOOKUP($E113,Mapping!$E$11:$I$96,3,0)</f>
        <v>Connections</v>
      </c>
      <c r="L113" s="7" t="str">
        <f>VLOOKUP($G113,Mapping!$E$140:$K$2771,5,0)</f>
        <v>Labour</v>
      </c>
      <c r="M113" s="7" t="str">
        <f>VLOOKUP($G113,Mapping!$E$140:$K$2771,7,0)</f>
        <v>ENDirect</v>
      </c>
      <c r="N113" s="7" t="str">
        <f>IFERROR(HLOOKUP(L113,'Calc|Weightings'!$K$5:$M$5,1,0),"Excl")</f>
        <v>Labour</v>
      </c>
      <c r="O113" s="7" t="str">
        <f>VLOOKUP(E113,Mapping!$E$11:$I$96,5,0)</f>
        <v>SCS</v>
      </c>
      <c r="Q113" s="33">
        <v>105</v>
      </c>
      <c r="R113" s="33" t="s">
        <v>2118</v>
      </c>
      <c r="S113" s="33">
        <v>613350</v>
      </c>
      <c r="T113" s="33" t="s">
        <v>2096</v>
      </c>
      <c r="U113" s="34">
        <v>10.11725</v>
      </c>
      <c r="V113" s="7"/>
      <c r="W113" s="7" t="str">
        <f>VLOOKUP($Q113,Mapping!$E$11:$I$96,3,0)</f>
        <v>Connections</v>
      </c>
      <c r="X113" s="7" t="str">
        <f>VLOOKUP($S113,Mapping!$E$140:$K$2771,5,0)</f>
        <v>Labour</v>
      </c>
      <c r="Y113" s="7" t="str">
        <f>VLOOKUP($S113,Mapping!$E$140:$K$2771,7,0)</f>
        <v>ENDirect</v>
      </c>
      <c r="Z113" s="7" t="str">
        <f>IFERROR(HLOOKUP(X113,'Calc|Weightings'!$K$5:$M$5,1,0),"Excl")</f>
        <v>Labour</v>
      </c>
      <c r="AA113" s="7" t="str">
        <f>VLOOKUP(Q113,Mapping!$E$11:$I$96,5,0)</f>
        <v>SCS</v>
      </c>
      <c r="AC113" s="111">
        <v>105</v>
      </c>
      <c r="AD113" s="111" t="s">
        <v>2118</v>
      </c>
      <c r="AE113" s="111">
        <v>591997</v>
      </c>
      <c r="AF113" s="111" t="s">
        <v>2194</v>
      </c>
      <c r="AG113" s="112">
        <v>-60.230469999999997</v>
      </c>
      <c r="AI113" s="7" t="str">
        <f>VLOOKUP($AC113,Mapping!$E$11:$I$96,3,0)</f>
        <v>Connections</v>
      </c>
      <c r="AJ113" s="7" t="str">
        <f>VLOOKUP($AE113,Mapping!$E$140:$K$2771,5,0)</f>
        <v>Contracts</v>
      </c>
      <c r="AK113" s="7" t="str">
        <f>VLOOKUP($AE113,Mapping!$E$140:$K$2771,7,0)</f>
        <v>ENDirect</v>
      </c>
      <c r="AL113" s="7" t="str">
        <f>IFERROR(HLOOKUP(AJ113,'Calc|Weightings'!$K$5:$M$5,1,0),"Excl")</f>
        <v>Contracts</v>
      </c>
      <c r="AM113" s="7" t="str">
        <f>VLOOKUP(AC113,Mapping!$E$11:$I$96,5,0)</f>
        <v>SCS</v>
      </c>
      <c r="AO113" s="134">
        <v>105</v>
      </c>
      <c r="AP113" s="135" t="s">
        <v>2118</v>
      </c>
      <c r="AQ113" s="135">
        <v>613401</v>
      </c>
      <c r="AR113" s="135" t="s">
        <v>2117</v>
      </c>
      <c r="AS113" s="136">
        <v>9.6616099999999996</v>
      </c>
      <c r="AU113" s="7" t="str">
        <f>VLOOKUP($AO113,Mapping!$E$11:$I$96,3,0)</f>
        <v>Connections</v>
      </c>
      <c r="AV113" s="7" t="str">
        <f>VLOOKUP($AQ113,Mapping!$E$140:$K$2771,5,0)</f>
        <v>Labour</v>
      </c>
      <c r="AW113" s="7" t="str">
        <f>VLOOKUP($AQ113,Mapping!$E$140:$K$2771,7,0)</f>
        <v>ENDirect</v>
      </c>
      <c r="AX113" s="7" t="str">
        <f>IFERROR(HLOOKUP(AV113,'Calc|Weightings'!$K$5:$M$5,1,0),"Excl")</f>
        <v>Labour</v>
      </c>
      <c r="AY113" s="7" t="str">
        <f>VLOOKUP(AO113,Mapping!$E$11:$I$96,5,0)</f>
        <v>SCS</v>
      </c>
    </row>
    <row r="114" spans="1:51" x14ac:dyDescent="0.2">
      <c r="A114" s="7"/>
      <c r="B114" s="7"/>
      <c r="C114" s="7"/>
      <c r="D114" s="7"/>
      <c r="E114" s="36">
        <v>105</v>
      </c>
      <c r="F114" s="36" t="s">
        <v>2118</v>
      </c>
      <c r="G114" s="36">
        <v>613249</v>
      </c>
      <c r="H114" s="36" t="s">
        <v>2384</v>
      </c>
      <c r="I114" s="37">
        <v>22.881499999999999</v>
      </c>
      <c r="J114" s="7"/>
      <c r="K114" s="7" t="str">
        <f>VLOOKUP($E114,Mapping!$E$11:$I$96,3,0)</f>
        <v>Connections</v>
      </c>
      <c r="L114" s="7" t="str">
        <f>VLOOKUP($G114,Mapping!$E$140:$K$2771,5,0)</f>
        <v>Labour</v>
      </c>
      <c r="M114" s="7" t="str">
        <f>VLOOKUP($G114,Mapping!$E$140:$K$2771,7,0)</f>
        <v>ENDirect</v>
      </c>
      <c r="N114" s="7" t="str">
        <f>IFERROR(HLOOKUP(L114,'Calc|Weightings'!$K$5:$M$5,1,0),"Excl")</f>
        <v>Labour</v>
      </c>
      <c r="O114" s="7" t="str">
        <f>VLOOKUP(E114,Mapping!$E$11:$I$96,5,0)</f>
        <v>SCS</v>
      </c>
      <c r="Q114" s="33">
        <v>105</v>
      </c>
      <c r="R114" s="33" t="s">
        <v>2118</v>
      </c>
      <c r="S114" s="33">
        <v>613360</v>
      </c>
      <c r="T114" s="33" t="s">
        <v>2097</v>
      </c>
      <c r="U114" s="34">
        <v>267.05873000000003</v>
      </c>
      <c r="V114" s="7"/>
      <c r="W114" s="7" t="str">
        <f>VLOOKUP($Q114,Mapping!$E$11:$I$96,3,0)</f>
        <v>Connections</v>
      </c>
      <c r="X114" s="7" t="str">
        <f>VLOOKUP($S114,Mapping!$E$140:$K$2771,5,0)</f>
        <v>Labour</v>
      </c>
      <c r="Y114" s="7" t="str">
        <f>VLOOKUP($S114,Mapping!$E$140:$K$2771,7,0)</f>
        <v>ENDirect</v>
      </c>
      <c r="Z114" s="7" t="str">
        <f>IFERROR(HLOOKUP(X114,'Calc|Weightings'!$K$5:$M$5,1,0),"Excl")</f>
        <v>Labour</v>
      </c>
      <c r="AA114" s="7" t="str">
        <f>VLOOKUP(Q114,Mapping!$E$11:$I$96,5,0)</f>
        <v>SCS</v>
      </c>
      <c r="AC114" s="111">
        <v>105</v>
      </c>
      <c r="AD114" s="111" t="s">
        <v>2118</v>
      </c>
      <c r="AE114" s="111">
        <v>591998</v>
      </c>
      <c r="AF114" s="111" t="s">
        <v>2077</v>
      </c>
      <c r="AG114" s="112">
        <v>-151.47528</v>
      </c>
      <c r="AI114" s="7" t="str">
        <f>VLOOKUP($AC114,Mapping!$E$11:$I$96,3,0)</f>
        <v>Connections</v>
      </c>
      <c r="AJ114" s="7" t="str">
        <f>VLOOKUP($AE114,Mapping!$E$140:$K$2771,5,0)</f>
        <v>Contracts</v>
      </c>
      <c r="AK114" s="7" t="str">
        <f>VLOOKUP($AE114,Mapping!$E$140:$K$2771,7,0)</f>
        <v>ENDirect</v>
      </c>
      <c r="AL114" s="7" t="str">
        <f>IFERROR(HLOOKUP(AJ114,'Calc|Weightings'!$K$5:$M$5,1,0),"Excl")</f>
        <v>Contracts</v>
      </c>
      <c r="AM114" s="7" t="str">
        <f>VLOOKUP(AC114,Mapping!$E$11:$I$96,5,0)</f>
        <v>SCS</v>
      </c>
      <c r="AO114" s="134">
        <v>105</v>
      </c>
      <c r="AP114" s="135" t="s">
        <v>2118</v>
      </c>
      <c r="AQ114" s="135">
        <v>613410</v>
      </c>
      <c r="AR114" s="135" t="s">
        <v>2100</v>
      </c>
      <c r="AS114" s="136">
        <v>88.460560000000001</v>
      </c>
      <c r="AU114" s="7" t="str">
        <f>VLOOKUP($AO114,Mapping!$E$11:$I$96,3,0)</f>
        <v>Connections</v>
      </c>
      <c r="AV114" s="7" t="str">
        <f>VLOOKUP($AQ114,Mapping!$E$140:$K$2771,5,0)</f>
        <v>Labour</v>
      </c>
      <c r="AW114" s="7" t="str">
        <f>VLOOKUP($AQ114,Mapping!$E$140:$K$2771,7,0)</f>
        <v>ENDirect</v>
      </c>
      <c r="AX114" s="7" t="str">
        <f>IFERROR(HLOOKUP(AV114,'Calc|Weightings'!$K$5:$M$5,1,0),"Excl")</f>
        <v>Labour</v>
      </c>
      <c r="AY114" s="7" t="str">
        <f>VLOOKUP(AO114,Mapping!$E$11:$I$96,5,0)</f>
        <v>SCS</v>
      </c>
    </row>
    <row r="115" spans="1:51" x14ac:dyDescent="0.2">
      <c r="A115" s="7"/>
      <c r="B115" s="7"/>
      <c r="C115" s="7"/>
      <c r="D115" s="7"/>
      <c r="E115" s="36">
        <v>105</v>
      </c>
      <c r="F115" s="36" t="s">
        <v>2118</v>
      </c>
      <c r="G115" s="36">
        <v>613250</v>
      </c>
      <c r="H115" s="36" t="s">
        <v>2086</v>
      </c>
      <c r="I115" s="37">
        <v>7.0564200000000001</v>
      </c>
      <c r="J115" s="7"/>
      <c r="K115" s="7" t="str">
        <f>VLOOKUP($E115,Mapping!$E$11:$I$96,3,0)</f>
        <v>Connections</v>
      </c>
      <c r="L115" s="7" t="str">
        <f>VLOOKUP($G115,Mapping!$E$140:$K$2771,5,0)</f>
        <v>Labour</v>
      </c>
      <c r="M115" s="7" t="str">
        <f>VLOOKUP($G115,Mapping!$E$140:$K$2771,7,0)</f>
        <v>ENDirect</v>
      </c>
      <c r="N115" s="7" t="str">
        <f>IFERROR(HLOOKUP(L115,'Calc|Weightings'!$K$5:$M$5,1,0),"Excl")</f>
        <v>Labour</v>
      </c>
      <c r="O115" s="7" t="str">
        <f>VLOOKUP(E115,Mapping!$E$11:$I$96,5,0)</f>
        <v>SCS</v>
      </c>
      <c r="Q115" s="33">
        <v>105</v>
      </c>
      <c r="R115" s="33" t="s">
        <v>2118</v>
      </c>
      <c r="S115" s="33">
        <v>613361</v>
      </c>
      <c r="T115" s="33" t="s">
        <v>2098</v>
      </c>
      <c r="U115" s="34">
        <v>2.3920300000000001</v>
      </c>
      <c r="V115" s="7"/>
      <c r="W115" s="7" t="str">
        <f>VLOOKUP($Q115,Mapping!$E$11:$I$96,3,0)</f>
        <v>Connections</v>
      </c>
      <c r="X115" s="7" t="str">
        <f>VLOOKUP($S115,Mapping!$E$140:$K$2771,5,0)</f>
        <v>Labour</v>
      </c>
      <c r="Y115" s="7" t="str">
        <f>VLOOKUP($S115,Mapping!$E$140:$K$2771,7,0)</f>
        <v>ENDirect</v>
      </c>
      <c r="Z115" s="7" t="str">
        <f>IFERROR(HLOOKUP(X115,'Calc|Weightings'!$K$5:$M$5,1,0),"Excl")</f>
        <v>Labour</v>
      </c>
      <c r="AA115" s="7" t="str">
        <f>VLOOKUP(Q115,Mapping!$E$11:$I$96,5,0)</f>
        <v>SCS</v>
      </c>
      <c r="AC115" s="111">
        <v>105</v>
      </c>
      <c r="AD115" s="111" t="s">
        <v>2118</v>
      </c>
      <c r="AE115" s="111">
        <v>591999</v>
      </c>
      <c r="AF115" s="111" t="s">
        <v>2195</v>
      </c>
      <c r="AG115" s="112">
        <v>-324.96929</v>
      </c>
      <c r="AI115" s="7" t="str">
        <f>VLOOKUP($AC115,Mapping!$E$11:$I$96,3,0)</f>
        <v>Connections</v>
      </c>
      <c r="AJ115" s="7" t="str">
        <f>VLOOKUP($AE115,Mapping!$E$140:$K$2771,5,0)</f>
        <v>Contracts</v>
      </c>
      <c r="AK115" s="7" t="str">
        <f>VLOOKUP($AE115,Mapping!$E$140:$K$2771,7,0)</f>
        <v>ENDirect</v>
      </c>
      <c r="AL115" s="7" t="str">
        <f>IFERROR(HLOOKUP(AJ115,'Calc|Weightings'!$K$5:$M$5,1,0),"Excl")</f>
        <v>Contracts</v>
      </c>
      <c r="AM115" s="7" t="str">
        <f>VLOOKUP(AC115,Mapping!$E$11:$I$96,5,0)</f>
        <v>SCS</v>
      </c>
      <c r="AO115" s="134">
        <v>105</v>
      </c>
      <c r="AP115" s="135" t="s">
        <v>2118</v>
      </c>
      <c r="AQ115" s="135">
        <v>613411</v>
      </c>
      <c r="AR115" s="135" t="s">
        <v>2101</v>
      </c>
      <c r="AS115" s="136">
        <v>25.486910000000002</v>
      </c>
      <c r="AU115" s="7" t="str">
        <f>VLOOKUP($AO115,Mapping!$E$11:$I$96,3,0)</f>
        <v>Connections</v>
      </c>
      <c r="AV115" s="7" t="str">
        <f>VLOOKUP($AQ115,Mapping!$E$140:$K$2771,5,0)</f>
        <v>Labour</v>
      </c>
      <c r="AW115" s="7" t="str">
        <f>VLOOKUP($AQ115,Mapping!$E$140:$K$2771,7,0)</f>
        <v>ENDirect</v>
      </c>
      <c r="AX115" s="7" t="str">
        <f>IFERROR(HLOOKUP(AV115,'Calc|Weightings'!$K$5:$M$5,1,0),"Excl")</f>
        <v>Labour</v>
      </c>
      <c r="AY115" s="7" t="str">
        <f>VLOOKUP(AO115,Mapping!$E$11:$I$96,5,0)</f>
        <v>SCS</v>
      </c>
    </row>
    <row r="116" spans="1:51" x14ac:dyDescent="0.2">
      <c r="A116" s="7"/>
      <c r="B116" s="7"/>
      <c r="C116" s="7"/>
      <c r="D116" s="7"/>
      <c r="E116" s="36">
        <v>105</v>
      </c>
      <c r="F116" s="36" t="s">
        <v>2118</v>
      </c>
      <c r="G116" s="36">
        <v>613251</v>
      </c>
      <c r="H116" s="36" t="s">
        <v>2087</v>
      </c>
      <c r="I116" s="37">
        <v>5.3788600000000004</v>
      </c>
      <c r="J116" s="7"/>
      <c r="K116" s="7" t="str">
        <f>VLOOKUP($E116,Mapping!$E$11:$I$96,3,0)</f>
        <v>Connections</v>
      </c>
      <c r="L116" s="7" t="str">
        <f>VLOOKUP($G116,Mapping!$E$140:$K$2771,5,0)</f>
        <v>Labour</v>
      </c>
      <c r="M116" s="7" t="str">
        <f>VLOOKUP($G116,Mapping!$E$140:$K$2771,7,0)</f>
        <v>ENDirect</v>
      </c>
      <c r="N116" s="7" t="str">
        <f>IFERROR(HLOOKUP(L116,'Calc|Weightings'!$K$5:$M$5,1,0),"Excl")</f>
        <v>Labour</v>
      </c>
      <c r="O116" s="7" t="str">
        <f>VLOOKUP(E116,Mapping!$E$11:$I$96,5,0)</f>
        <v>SCS</v>
      </c>
      <c r="Q116" s="33">
        <v>105</v>
      </c>
      <c r="R116" s="33" t="s">
        <v>2118</v>
      </c>
      <c r="S116" s="33">
        <v>613366</v>
      </c>
      <c r="T116" s="33" t="s">
        <v>1400</v>
      </c>
      <c r="U116" s="34">
        <v>24.762419999999999</v>
      </c>
      <c r="V116" s="7"/>
      <c r="W116" s="7" t="str">
        <f>VLOOKUP($Q116,Mapping!$E$11:$I$96,3,0)</f>
        <v>Connections</v>
      </c>
      <c r="X116" s="7" t="str">
        <f>VLOOKUP($S116,Mapping!$E$140:$K$2771,5,0)</f>
        <v>Labour</v>
      </c>
      <c r="Y116" s="7" t="str">
        <f>VLOOKUP($S116,Mapping!$E$140:$K$2771,7,0)</f>
        <v>ENDirect</v>
      </c>
      <c r="Z116" s="7" t="str">
        <f>IFERROR(HLOOKUP(X116,'Calc|Weightings'!$K$5:$M$5,1,0),"Excl")</f>
        <v>Labour</v>
      </c>
      <c r="AA116" s="7" t="str">
        <f>VLOOKUP(Q116,Mapping!$E$11:$I$96,5,0)</f>
        <v>SCS</v>
      </c>
      <c r="AC116" s="111">
        <v>105</v>
      </c>
      <c r="AD116" s="111" t="s">
        <v>2118</v>
      </c>
      <c r="AE116" s="111">
        <v>611900</v>
      </c>
      <c r="AF116" s="111" t="s">
        <v>2079</v>
      </c>
      <c r="AG116" s="112">
        <v>21.7563</v>
      </c>
      <c r="AI116" s="7" t="str">
        <f>VLOOKUP($AC116,Mapping!$E$11:$I$96,3,0)</f>
        <v>Connections</v>
      </c>
      <c r="AJ116" s="7" t="str">
        <f>VLOOKUP($AE116,Mapping!$E$140:$K$2771,5,0)</f>
        <v>Contracts</v>
      </c>
      <c r="AK116" s="7" t="str">
        <f>VLOOKUP($AE116,Mapping!$E$140:$K$2771,7,0)</f>
        <v>ENDirect</v>
      </c>
      <c r="AL116" s="7" t="str">
        <f>IFERROR(HLOOKUP(AJ116,'Calc|Weightings'!$K$5:$M$5,1,0),"Excl")</f>
        <v>Contracts</v>
      </c>
      <c r="AM116" s="7" t="str">
        <f>VLOOKUP(AC116,Mapping!$E$11:$I$96,5,0)</f>
        <v>SCS</v>
      </c>
      <c r="AO116" s="134">
        <v>105</v>
      </c>
      <c r="AP116" s="135" t="s">
        <v>2118</v>
      </c>
      <c r="AQ116" s="135">
        <v>613434</v>
      </c>
      <c r="AR116" s="135" t="s">
        <v>2102</v>
      </c>
      <c r="AS116" s="136">
        <v>89.651849999999996</v>
      </c>
      <c r="AU116" s="7" t="str">
        <f>VLOOKUP($AO116,Mapping!$E$11:$I$96,3,0)</f>
        <v>Connections</v>
      </c>
      <c r="AV116" s="7" t="str">
        <f>VLOOKUP($AQ116,Mapping!$E$140:$K$2771,5,0)</f>
        <v>Labour</v>
      </c>
      <c r="AW116" s="7" t="str">
        <f>VLOOKUP($AQ116,Mapping!$E$140:$K$2771,7,0)</f>
        <v>ENDirect</v>
      </c>
      <c r="AX116" s="7" t="str">
        <f>IFERROR(HLOOKUP(AV116,'Calc|Weightings'!$K$5:$M$5,1,0),"Excl")</f>
        <v>Labour</v>
      </c>
      <c r="AY116" s="7" t="str">
        <f>VLOOKUP(AO116,Mapping!$E$11:$I$96,5,0)</f>
        <v>SCS</v>
      </c>
    </row>
    <row r="117" spans="1:51" x14ac:dyDescent="0.2">
      <c r="A117" s="7"/>
      <c r="B117" s="7"/>
      <c r="C117" s="7"/>
      <c r="D117" s="7"/>
      <c r="E117" s="36">
        <v>105</v>
      </c>
      <c r="F117" s="36" t="s">
        <v>2118</v>
      </c>
      <c r="G117" s="36">
        <v>613258</v>
      </c>
      <c r="H117" s="36" t="s">
        <v>2356</v>
      </c>
      <c r="I117" s="37">
        <v>78.685739999999996</v>
      </c>
      <c r="J117" s="7"/>
      <c r="K117" s="7" t="str">
        <f>VLOOKUP($E117,Mapping!$E$11:$I$96,3,0)</f>
        <v>Connections</v>
      </c>
      <c r="L117" s="7" t="str">
        <f>VLOOKUP($G117,Mapping!$E$140:$K$2771,5,0)</f>
        <v>Labour</v>
      </c>
      <c r="M117" s="7" t="str">
        <f>VLOOKUP($G117,Mapping!$E$140:$K$2771,7,0)</f>
        <v>ENDirect</v>
      </c>
      <c r="N117" s="7" t="str">
        <f>IFERROR(HLOOKUP(L117,'Calc|Weightings'!$K$5:$M$5,1,0),"Excl")</f>
        <v>Labour</v>
      </c>
      <c r="O117" s="7" t="str">
        <f>VLOOKUP(E117,Mapping!$E$11:$I$96,5,0)</f>
        <v>SCS</v>
      </c>
      <c r="Q117" s="33">
        <v>105</v>
      </c>
      <c r="R117" s="33" t="s">
        <v>2118</v>
      </c>
      <c r="S117" s="33">
        <v>613370</v>
      </c>
      <c r="T117" s="33" t="s">
        <v>1402</v>
      </c>
      <c r="U117" s="34">
        <v>5.9438000000000004</v>
      </c>
      <c r="V117" s="7"/>
      <c r="W117" s="7" t="str">
        <f>VLOOKUP($Q117,Mapping!$E$11:$I$96,3,0)</f>
        <v>Connections</v>
      </c>
      <c r="X117" s="7" t="str">
        <f>VLOOKUP($S117,Mapping!$E$140:$K$2771,5,0)</f>
        <v>Labour</v>
      </c>
      <c r="Y117" s="7" t="str">
        <f>VLOOKUP($S117,Mapping!$E$140:$K$2771,7,0)</f>
        <v>ENDirect</v>
      </c>
      <c r="Z117" s="7" t="str">
        <f>IFERROR(HLOOKUP(X117,'Calc|Weightings'!$K$5:$M$5,1,0),"Excl")</f>
        <v>Labour</v>
      </c>
      <c r="AA117" s="7" t="str">
        <f>VLOOKUP(Q117,Mapping!$E$11:$I$96,5,0)</f>
        <v>SCS</v>
      </c>
      <c r="AC117" s="111">
        <v>105</v>
      </c>
      <c r="AD117" s="111" t="s">
        <v>2118</v>
      </c>
      <c r="AE117" s="111">
        <v>611901</v>
      </c>
      <c r="AF117" s="111" t="s">
        <v>2080</v>
      </c>
      <c r="AG117" s="112">
        <v>18.42069</v>
      </c>
      <c r="AI117" s="7" t="str">
        <f>VLOOKUP($AC117,Mapping!$E$11:$I$96,3,0)</f>
        <v>Connections</v>
      </c>
      <c r="AJ117" s="7" t="str">
        <f>VLOOKUP($AE117,Mapping!$E$140:$K$2771,5,0)</f>
        <v>Contracts</v>
      </c>
      <c r="AK117" s="7" t="str">
        <f>VLOOKUP($AE117,Mapping!$E$140:$K$2771,7,0)</f>
        <v>ENDirect</v>
      </c>
      <c r="AL117" s="7" t="str">
        <f>IFERROR(HLOOKUP(AJ117,'Calc|Weightings'!$K$5:$M$5,1,0),"Excl")</f>
        <v>Contracts</v>
      </c>
      <c r="AM117" s="7" t="str">
        <f>VLOOKUP(AC117,Mapping!$E$11:$I$96,5,0)</f>
        <v>SCS</v>
      </c>
      <c r="AO117" s="134">
        <v>105</v>
      </c>
      <c r="AP117" s="135" t="s">
        <v>2118</v>
      </c>
      <c r="AQ117" s="135">
        <v>613440</v>
      </c>
      <c r="AR117" s="135" t="s">
        <v>2103</v>
      </c>
      <c r="AS117" s="136">
        <v>28.894860000000001</v>
      </c>
      <c r="AU117" s="7" t="str">
        <f>VLOOKUP($AO117,Mapping!$E$11:$I$96,3,0)</f>
        <v>Connections</v>
      </c>
      <c r="AV117" s="7" t="str">
        <f>VLOOKUP($AQ117,Mapping!$E$140:$K$2771,5,0)</f>
        <v>Labour</v>
      </c>
      <c r="AW117" s="7" t="str">
        <f>VLOOKUP($AQ117,Mapping!$E$140:$K$2771,7,0)</f>
        <v>ENDirect</v>
      </c>
      <c r="AX117" s="7" t="str">
        <f>IFERROR(HLOOKUP(AV117,'Calc|Weightings'!$K$5:$M$5,1,0),"Excl")</f>
        <v>Labour</v>
      </c>
      <c r="AY117" s="7" t="str">
        <f>VLOOKUP(AO117,Mapping!$E$11:$I$96,5,0)</f>
        <v>SCS</v>
      </c>
    </row>
    <row r="118" spans="1:51" x14ac:dyDescent="0.2">
      <c r="A118" s="7"/>
      <c r="B118" s="7"/>
      <c r="C118" s="7"/>
      <c r="D118" s="7"/>
      <c r="E118" s="36">
        <v>105</v>
      </c>
      <c r="F118" s="36" t="s">
        <v>2118</v>
      </c>
      <c r="G118" s="36">
        <v>613259</v>
      </c>
      <c r="H118" s="36" t="s">
        <v>2359</v>
      </c>
      <c r="I118" s="37">
        <v>6.657</v>
      </c>
      <c r="J118" s="7"/>
      <c r="K118" s="7" t="str">
        <f>VLOOKUP($E118,Mapping!$E$11:$I$96,3,0)</f>
        <v>Connections</v>
      </c>
      <c r="L118" s="7" t="str">
        <f>VLOOKUP($G118,Mapping!$E$140:$K$2771,5,0)</f>
        <v>Labour</v>
      </c>
      <c r="M118" s="7" t="str">
        <f>VLOOKUP($G118,Mapping!$E$140:$K$2771,7,0)</f>
        <v>ENDirect</v>
      </c>
      <c r="N118" s="7" t="str">
        <f>IFERROR(HLOOKUP(L118,'Calc|Weightings'!$K$5:$M$5,1,0),"Excl")</f>
        <v>Labour</v>
      </c>
      <c r="O118" s="7" t="str">
        <f>VLOOKUP(E118,Mapping!$E$11:$I$96,5,0)</f>
        <v>SCS</v>
      </c>
      <c r="Q118" s="33">
        <v>105</v>
      </c>
      <c r="R118" s="33" t="s">
        <v>2118</v>
      </c>
      <c r="S118" s="33">
        <v>613371</v>
      </c>
      <c r="T118" s="33" t="s">
        <v>1403</v>
      </c>
      <c r="U118" s="34">
        <v>0.61863999999999997</v>
      </c>
      <c r="V118" s="7"/>
      <c r="W118" s="7" t="str">
        <f>VLOOKUP($Q118,Mapping!$E$11:$I$96,3,0)</f>
        <v>Connections</v>
      </c>
      <c r="X118" s="7" t="str">
        <f>VLOOKUP($S118,Mapping!$E$140:$K$2771,5,0)</f>
        <v>Labour</v>
      </c>
      <c r="Y118" s="7" t="str">
        <f>VLOOKUP($S118,Mapping!$E$140:$K$2771,7,0)</f>
        <v>ENDirect</v>
      </c>
      <c r="Z118" s="7" t="str">
        <f>IFERROR(HLOOKUP(X118,'Calc|Weightings'!$K$5:$M$5,1,0),"Excl")</f>
        <v>Labour</v>
      </c>
      <c r="AA118" s="7" t="str">
        <f>VLOOKUP(Q118,Mapping!$E$11:$I$96,5,0)</f>
        <v>SCS</v>
      </c>
      <c r="AC118" s="111">
        <v>105</v>
      </c>
      <c r="AD118" s="111" t="s">
        <v>2118</v>
      </c>
      <c r="AE118" s="111">
        <v>611902</v>
      </c>
      <c r="AF118" s="111" t="s">
        <v>2081</v>
      </c>
      <c r="AG118" s="112">
        <v>14.160729999999999</v>
      </c>
      <c r="AI118" s="7" t="str">
        <f>VLOOKUP($AC118,Mapping!$E$11:$I$96,3,0)</f>
        <v>Connections</v>
      </c>
      <c r="AJ118" s="7" t="str">
        <f>VLOOKUP($AE118,Mapping!$E$140:$K$2771,5,0)</f>
        <v>Contracts</v>
      </c>
      <c r="AK118" s="7" t="str">
        <f>VLOOKUP($AE118,Mapping!$E$140:$K$2771,7,0)</f>
        <v>ENDirect</v>
      </c>
      <c r="AL118" s="7" t="str">
        <f>IFERROR(HLOOKUP(AJ118,'Calc|Weightings'!$K$5:$M$5,1,0),"Excl")</f>
        <v>Contracts</v>
      </c>
      <c r="AM118" s="7" t="str">
        <f>VLOOKUP(AC118,Mapping!$E$11:$I$96,5,0)</f>
        <v>SCS</v>
      </c>
      <c r="AO118" s="134">
        <v>105</v>
      </c>
      <c r="AP118" s="135" t="s">
        <v>2118</v>
      </c>
      <c r="AQ118" s="135">
        <v>613441</v>
      </c>
      <c r="AR118" s="135" t="s">
        <v>2104</v>
      </c>
      <c r="AS118" s="136">
        <v>3.58833</v>
      </c>
      <c r="AU118" s="7" t="str">
        <f>VLOOKUP($AO118,Mapping!$E$11:$I$96,3,0)</f>
        <v>Connections</v>
      </c>
      <c r="AV118" s="7" t="str">
        <f>VLOOKUP($AQ118,Mapping!$E$140:$K$2771,5,0)</f>
        <v>Labour</v>
      </c>
      <c r="AW118" s="7" t="str">
        <f>VLOOKUP($AQ118,Mapping!$E$140:$K$2771,7,0)</f>
        <v>ENDirect</v>
      </c>
      <c r="AX118" s="7" t="str">
        <f>IFERROR(HLOOKUP(AV118,'Calc|Weightings'!$K$5:$M$5,1,0),"Excl")</f>
        <v>Labour</v>
      </c>
      <c r="AY118" s="7" t="str">
        <f>VLOOKUP(AO118,Mapping!$E$11:$I$96,5,0)</f>
        <v>SCS</v>
      </c>
    </row>
    <row r="119" spans="1:51" x14ac:dyDescent="0.2">
      <c r="A119" s="7"/>
      <c r="B119" s="7"/>
      <c r="C119" s="7"/>
      <c r="D119" s="7"/>
      <c r="E119" s="36">
        <v>105</v>
      </c>
      <c r="F119" s="36" t="s">
        <v>2118</v>
      </c>
      <c r="G119" s="36">
        <v>613261</v>
      </c>
      <c r="H119" s="36" t="s">
        <v>2091</v>
      </c>
      <c r="I119" s="37">
        <v>0.29075000000000001</v>
      </c>
      <c r="J119" s="7"/>
      <c r="K119" s="7" t="str">
        <f>VLOOKUP($E119,Mapping!$E$11:$I$96,3,0)</f>
        <v>Connections</v>
      </c>
      <c r="L119" s="7" t="str">
        <f>VLOOKUP($G119,Mapping!$E$140:$K$2771,5,0)</f>
        <v>Labour</v>
      </c>
      <c r="M119" s="7" t="str">
        <f>VLOOKUP($G119,Mapping!$E$140:$K$2771,7,0)</f>
        <v>ENDirect</v>
      </c>
      <c r="N119" s="7" t="str">
        <f>IFERROR(HLOOKUP(L119,'Calc|Weightings'!$K$5:$M$5,1,0),"Excl")</f>
        <v>Labour</v>
      </c>
      <c r="O119" s="7" t="str">
        <f>VLOOKUP(E119,Mapping!$E$11:$I$96,5,0)</f>
        <v>SCS</v>
      </c>
      <c r="Q119" s="33">
        <v>105</v>
      </c>
      <c r="R119" s="33" t="s">
        <v>2118</v>
      </c>
      <c r="S119" s="33">
        <v>613400</v>
      </c>
      <c r="T119" s="33" t="s">
        <v>2099</v>
      </c>
      <c r="U119" s="34">
        <v>82.657809999999998</v>
      </c>
      <c r="V119" s="7"/>
      <c r="W119" s="7" t="str">
        <f>VLOOKUP($Q119,Mapping!$E$11:$I$96,3,0)</f>
        <v>Connections</v>
      </c>
      <c r="X119" s="7" t="str">
        <f>VLOOKUP($S119,Mapping!$E$140:$K$2771,5,0)</f>
        <v>Labour</v>
      </c>
      <c r="Y119" s="7" t="str">
        <f>VLOOKUP($S119,Mapping!$E$140:$K$2771,7,0)</f>
        <v>ENDirect</v>
      </c>
      <c r="Z119" s="7" t="str">
        <f>IFERROR(HLOOKUP(X119,'Calc|Weightings'!$K$5:$M$5,1,0),"Excl")</f>
        <v>Labour</v>
      </c>
      <c r="AA119" s="7" t="str">
        <f>VLOOKUP(Q119,Mapping!$E$11:$I$96,5,0)</f>
        <v>SCS</v>
      </c>
      <c r="AC119" s="111">
        <v>105</v>
      </c>
      <c r="AD119" s="111" t="s">
        <v>2118</v>
      </c>
      <c r="AE119" s="111">
        <v>612210</v>
      </c>
      <c r="AF119" s="111" t="s">
        <v>1184</v>
      </c>
      <c r="AG119" s="112">
        <v>25.670200000000001</v>
      </c>
      <c r="AI119" s="7" t="str">
        <f>VLOOKUP($AC119,Mapping!$E$11:$I$96,3,0)</f>
        <v>Connections</v>
      </c>
      <c r="AJ119" s="7" t="str">
        <f>VLOOKUP($AE119,Mapping!$E$140:$K$2771,5,0)</f>
        <v>Labour</v>
      </c>
      <c r="AK119" s="7" t="str">
        <f>VLOOKUP($AE119,Mapping!$E$140:$K$2771,7,0)</f>
        <v>ENDirect</v>
      </c>
      <c r="AL119" s="7" t="str">
        <f>IFERROR(HLOOKUP(AJ119,'Calc|Weightings'!$K$5:$M$5,1,0),"Excl")</f>
        <v>Labour</v>
      </c>
      <c r="AM119" s="7" t="str">
        <f>VLOOKUP(AC119,Mapping!$E$11:$I$96,5,0)</f>
        <v>SCS</v>
      </c>
      <c r="AO119" s="134">
        <v>105</v>
      </c>
      <c r="AP119" s="135" t="s">
        <v>2118</v>
      </c>
      <c r="AQ119" s="135">
        <v>613450</v>
      </c>
      <c r="AR119" s="135" t="s">
        <v>2175</v>
      </c>
      <c r="AS119" s="136">
        <v>67.723600000000005</v>
      </c>
      <c r="AU119" s="7" t="str">
        <f>VLOOKUP($AO119,Mapping!$E$11:$I$96,3,0)</f>
        <v>Connections</v>
      </c>
      <c r="AV119" s="7" t="str">
        <f>VLOOKUP($AQ119,Mapping!$E$140:$K$2771,5,0)</f>
        <v>Labour</v>
      </c>
      <c r="AW119" s="7" t="str">
        <f>VLOOKUP($AQ119,Mapping!$E$140:$K$2771,7,0)</f>
        <v>ENDirect</v>
      </c>
      <c r="AX119" s="7" t="str">
        <f>IFERROR(HLOOKUP(AV119,'Calc|Weightings'!$K$5:$M$5,1,0),"Excl")</f>
        <v>Labour</v>
      </c>
      <c r="AY119" s="7" t="str">
        <f>VLOOKUP(AO119,Mapping!$E$11:$I$96,5,0)</f>
        <v>SCS</v>
      </c>
    </row>
    <row r="120" spans="1:51" x14ac:dyDescent="0.2">
      <c r="A120" s="7"/>
      <c r="B120" s="7"/>
      <c r="C120" s="7"/>
      <c r="D120" s="7"/>
      <c r="E120" s="36">
        <v>105</v>
      </c>
      <c r="F120" s="36" t="s">
        <v>2118</v>
      </c>
      <c r="G120" s="36">
        <v>613268</v>
      </c>
      <c r="H120" s="36" t="s">
        <v>1335</v>
      </c>
      <c r="I120" s="37">
        <v>4.3612500000000001</v>
      </c>
      <c r="J120" s="7"/>
      <c r="K120" s="7" t="str">
        <f>VLOOKUP($E120,Mapping!$E$11:$I$96,3,0)</f>
        <v>Connections</v>
      </c>
      <c r="L120" s="7" t="str">
        <f>VLOOKUP($G120,Mapping!$E$140:$K$2771,5,0)</f>
        <v>Labour</v>
      </c>
      <c r="M120" s="7" t="str">
        <f>VLOOKUP($G120,Mapping!$E$140:$K$2771,7,0)</f>
        <v>ENDirect</v>
      </c>
      <c r="N120" s="7" t="str">
        <f>IFERROR(HLOOKUP(L120,'Calc|Weightings'!$K$5:$M$5,1,0),"Excl")</f>
        <v>Labour</v>
      </c>
      <c r="O120" s="7" t="str">
        <f>VLOOKUP(E120,Mapping!$E$11:$I$96,5,0)</f>
        <v>SCS</v>
      </c>
      <c r="Q120" s="33">
        <v>105</v>
      </c>
      <c r="R120" s="33" t="s">
        <v>2118</v>
      </c>
      <c r="S120" s="33">
        <v>613401</v>
      </c>
      <c r="T120" s="33" t="s">
        <v>2117</v>
      </c>
      <c r="U120" s="34">
        <v>4.16153</v>
      </c>
      <c r="V120" s="7"/>
      <c r="W120" s="7" t="str">
        <f>VLOOKUP($Q120,Mapping!$E$11:$I$96,3,0)</f>
        <v>Connections</v>
      </c>
      <c r="X120" s="7" t="str">
        <f>VLOOKUP($S120,Mapping!$E$140:$K$2771,5,0)</f>
        <v>Labour</v>
      </c>
      <c r="Y120" s="7" t="str">
        <f>VLOOKUP($S120,Mapping!$E$140:$K$2771,7,0)</f>
        <v>ENDirect</v>
      </c>
      <c r="Z120" s="7" t="str">
        <f>IFERROR(HLOOKUP(X120,'Calc|Weightings'!$K$5:$M$5,1,0),"Excl")</f>
        <v>Labour</v>
      </c>
      <c r="AA120" s="7" t="str">
        <f>VLOOKUP(Q120,Mapping!$E$11:$I$96,5,0)</f>
        <v>SCS</v>
      </c>
      <c r="AC120" s="111">
        <v>105</v>
      </c>
      <c r="AD120" s="111" t="s">
        <v>2118</v>
      </c>
      <c r="AE120" s="111">
        <v>612212</v>
      </c>
      <c r="AF120" s="111" t="s">
        <v>1186</v>
      </c>
      <c r="AG120" s="112">
        <v>2.1389999999999999E-2</v>
      </c>
      <c r="AI120" s="7" t="str">
        <f>VLOOKUP($AC120,Mapping!$E$11:$I$96,3,0)</f>
        <v>Connections</v>
      </c>
      <c r="AJ120" s="7" t="str">
        <f>VLOOKUP($AE120,Mapping!$E$140:$K$2771,5,0)</f>
        <v>Labour</v>
      </c>
      <c r="AK120" s="7" t="str">
        <f>VLOOKUP($AE120,Mapping!$E$140:$K$2771,7,0)</f>
        <v>ENDirect</v>
      </c>
      <c r="AL120" s="7" t="str">
        <f>IFERROR(HLOOKUP(AJ120,'Calc|Weightings'!$K$5:$M$5,1,0),"Excl")</f>
        <v>Labour</v>
      </c>
      <c r="AM120" s="7" t="str">
        <f>VLOOKUP(AC120,Mapping!$E$11:$I$96,5,0)</f>
        <v>SCS</v>
      </c>
      <c r="AO120" s="134">
        <v>105</v>
      </c>
      <c r="AP120" s="135" t="s">
        <v>2118</v>
      </c>
      <c r="AQ120" s="135">
        <v>613460</v>
      </c>
      <c r="AR120" s="135" t="s">
        <v>2167</v>
      </c>
      <c r="AS120" s="136">
        <v>10.65798</v>
      </c>
      <c r="AU120" s="7" t="str">
        <f>VLOOKUP($AO120,Mapping!$E$11:$I$96,3,0)</f>
        <v>Connections</v>
      </c>
      <c r="AV120" s="7" t="str">
        <f>VLOOKUP($AQ120,Mapping!$E$140:$K$2771,5,0)</f>
        <v>Labour</v>
      </c>
      <c r="AW120" s="7" t="str">
        <f>VLOOKUP($AQ120,Mapping!$E$140:$K$2771,7,0)</f>
        <v>ENDirect</v>
      </c>
      <c r="AX120" s="7" t="str">
        <f>IFERROR(HLOOKUP(AV120,'Calc|Weightings'!$K$5:$M$5,1,0),"Excl")</f>
        <v>Labour</v>
      </c>
      <c r="AY120" s="7" t="str">
        <f>VLOOKUP(AO120,Mapping!$E$11:$I$96,5,0)</f>
        <v>SCS</v>
      </c>
    </row>
    <row r="121" spans="1:51" x14ac:dyDescent="0.2">
      <c r="A121" s="7"/>
      <c r="B121" s="7"/>
      <c r="C121" s="7"/>
      <c r="D121" s="7"/>
      <c r="E121" s="36">
        <v>105</v>
      </c>
      <c r="F121" s="36" t="s">
        <v>2118</v>
      </c>
      <c r="G121" s="36">
        <v>613269</v>
      </c>
      <c r="H121" s="36" t="s">
        <v>1336</v>
      </c>
      <c r="I121" s="37">
        <v>2.2097000000000002</v>
      </c>
      <c r="J121" s="7"/>
      <c r="K121" s="7" t="str">
        <f>VLOOKUP($E121,Mapping!$E$11:$I$96,3,0)</f>
        <v>Connections</v>
      </c>
      <c r="L121" s="7" t="str">
        <f>VLOOKUP($G121,Mapping!$E$140:$K$2771,5,0)</f>
        <v>Labour</v>
      </c>
      <c r="M121" s="7" t="str">
        <f>VLOOKUP($G121,Mapping!$E$140:$K$2771,7,0)</f>
        <v>ENDirect</v>
      </c>
      <c r="N121" s="7" t="str">
        <f>IFERROR(HLOOKUP(L121,'Calc|Weightings'!$K$5:$M$5,1,0),"Excl")</f>
        <v>Labour</v>
      </c>
      <c r="O121" s="7" t="str">
        <f>VLOOKUP(E121,Mapping!$E$11:$I$96,5,0)</f>
        <v>SCS</v>
      </c>
      <c r="Q121" s="33">
        <v>105</v>
      </c>
      <c r="R121" s="33" t="s">
        <v>2118</v>
      </c>
      <c r="S121" s="33">
        <v>613410</v>
      </c>
      <c r="T121" s="33" t="s">
        <v>2100</v>
      </c>
      <c r="U121" s="34">
        <v>129.18631999999999</v>
      </c>
      <c r="V121" s="7"/>
      <c r="W121" s="7" t="str">
        <f>VLOOKUP($Q121,Mapping!$E$11:$I$96,3,0)</f>
        <v>Connections</v>
      </c>
      <c r="X121" s="7" t="str">
        <f>VLOOKUP($S121,Mapping!$E$140:$K$2771,5,0)</f>
        <v>Labour</v>
      </c>
      <c r="Y121" s="7" t="str">
        <f>VLOOKUP($S121,Mapping!$E$140:$K$2771,7,0)</f>
        <v>ENDirect</v>
      </c>
      <c r="Z121" s="7" t="str">
        <f>IFERROR(HLOOKUP(X121,'Calc|Weightings'!$K$5:$M$5,1,0),"Excl")</f>
        <v>Labour</v>
      </c>
      <c r="AA121" s="7" t="str">
        <f>VLOOKUP(Q121,Mapping!$E$11:$I$96,5,0)</f>
        <v>SCS</v>
      </c>
      <c r="AC121" s="111">
        <v>105</v>
      </c>
      <c r="AD121" s="111" t="s">
        <v>2118</v>
      </c>
      <c r="AE121" s="111">
        <v>613240</v>
      </c>
      <c r="AF121" s="111" t="s">
        <v>2082</v>
      </c>
      <c r="AG121" s="112">
        <v>103.32572999999999</v>
      </c>
      <c r="AI121" s="7" t="str">
        <f>VLOOKUP($AC121,Mapping!$E$11:$I$96,3,0)</f>
        <v>Connections</v>
      </c>
      <c r="AJ121" s="7" t="str">
        <f>VLOOKUP($AE121,Mapping!$E$140:$K$2771,5,0)</f>
        <v>Labour</v>
      </c>
      <c r="AK121" s="7" t="str">
        <f>VLOOKUP($AE121,Mapping!$E$140:$K$2771,7,0)</f>
        <v>ENDirect</v>
      </c>
      <c r="AL121" s="7" t="str">
        <f>IFERROR(HLOOKUP(AJ121,'Calc|Weightings'!$K$5:$M$5,1,0),"Excl")</f>
        <v>Labour</v>
      </c>
      <c r="AM121" s="7" t="str">
        <f>VLOOKUP(AC121,Mapping!$E$11:$I$96,5,0)</f>
        <v>SCS</v>
      </c>
      <c r="AO121" s="134">
        <v>105</v>
      </c>
      <c r="AP121" s="135" t="s">
        <v>2118</v>
      </c>
      <c r="AQ121" s="135">
        <v>613461</v>
      </c>
      <c r="AR121" s="135" t="s">
        <v>2168</v>
      </c>
      <c r="AS121" s="136">
        <v>0.16674</v>
      </c>
      <c r="AU121" s="7" t="str">
        <f>VLOOKUP($AO121,Mapping!$E$11:$I$96,3,0)</f>
        <v>Connections</v>
      </c>
      <c r="AV121" s="7" t="str">
        <f>VLOOKUP($AQ121,Mapping!$E$140:$K$2771,5,0)</f>
        <v>Labour</v>
      </c>
      <c r="AW121" s="7" t="str">
        <f>VLOOKUP($AQ121,Mapping!$E$140:$K$2771,7,0)</f>
        <v>ENDirect</v>
      </c>
      <c r="AX121" s="7" t="str">
        <f>IFERROR(HLOOKUP(AV121,'Calc|Weightings'!$K$5:$M$5,1,0),"Excl")</f>
        <v>Labour</v>
      </c>
      <c r="AY121" s="7" t="str">
        <f>VLOOKUP(AO121,Mapping!$E$11:$I$96,5,0)</f>
        <v>SCS</v>
      </c>
    </row>
    <row r="122" spans="1:51" x14ac:dyDescent="0.2">
      <c r="A122" s="7"/>
      <c r="B122" s="7"/>
      <c r="C122" s="7"/>
      <c r="D122" s="7"/>
      <c r="E122" s="36">
        <v>105</v>
      </c>
      <c r="F122" s="36" t="s">
        <v>2118</v>
      </c>
      <c r="G122" s="36">
        <v>613270</v>
      </c>
      <c r="H122" s="36" t="s">
        <v>2092</v>
      </c>
      <c r="I122" s="37">
        <v>0.27998000000000001</v>
      </c>
      <c r="J122" s="7"/>
      <c r="K122" s="7" t="str">
        <f>VLOOKUP($E122,Mapping!$E$11:$I$96,3,0)</f>
        <v>Connections</v>
      </c>
      <c r="L122" s="7" t="str">
        <f>VLOOKUP($G122,Mapping!$E$140:$K$2771,5,0)</f>
        <v>Labour</v>
      </c>
      <c r="M122" s="7" t="str">
        <f>VLOOKUP($G122,Mapping!$E$140:$K$2771,7,0)</f>
        <v>ENDirect</v>
      </c>
      <c r="N122" s="7" t="str">
        <f>IFERROR(HLOOKUP(L122,'Calc|Weightings'!$K$5:$M$5,1,0),"Excl")</f>
        <v>Labour</v>
      </c>
      <c r="O122" s="7" t="str">
        <f>VLOOKUP(E122,Mapping!$E$11:$I$96,5,0)</f>
        <v>SCS</v>
      </c>
      <c r="Q122" s="33">
        <v>105</v>
      </c>
      <c r="R122" s="33" t="s">
        <v>2118</v>
      </c>
      <c r="S122" s="33">
        <v>613411</v>
      </c>
      <c r="T122" s="33" t="s">
        <v>2101</v>
      </c>
      <c r="U122" s="34">
        <v>14.816649999999999</v>
      </c>
      <c r="V122" s="7"/>
      <c r="W122" s="7" t="str">
        <f>VLOOKUP($Q122,Mapping!$E$11:$I$96,3,0)</f>
        <v>Connections</v>
      </c>
      <c r="X122" s="7" t="str">
        <f>VLOOKUP($S122,Mapping!$E$140:$K$2771,5,0)</f>
        <v>Labour</v>
      </c>
      <c r="Y122" s="7" t="str">
        <f>VLOOKUP($S122,Mapping!$E$140:$K$2771,7,0)</f>
        <v>ENDirect</v>
      </c>
      <c r="Z122" s="7" t="str">
        <f>IFERROR(HLOOKUP(X122,'Calc|Weightings'!$K$5:$M$5,1,0),"Excl")</f>
        <v>Labour</v>
      </c>
      <c r="AA122" s="7" t="str">
        <f>VLOOKUP(Q122,Mapping!$E$11:$I$96,5,0)</f>
        <v>SCS</v>
      </c>
      <c r="AC122" s="111">
        <v>105</v>
      </c>
      <c r="AD122" s="111" t="s">
        <v>2118</v>
      </c>
      <c r="AE122" s="111">
        <v>613241</v>
      </c>
      <c r="AF122" s="111" t="s">
        <v>2083</v>
      </c>
      <c r="AG122" s="112">
        <v>8.6704899999999991</v>
      </c>
      <c r="AI122" s="7" t="str">
        <f>VLOOKUP($AC122,Mapping!$E$11:$I$96,3,0)</f>
        <v>Connections</v>
      </c>
      <c r="AJ122" s="7" t="str">
        <f>VLOOKUP($AE122,Mapping!$E$140:$K$2771,5,0)</f>
        <v>Labour</v>
      </c>
      <c r="AK122" s="7" t="str">
        <f>VLOOKUP($AE122,Mapping!$E$140:$K$2771,7,0)</f>
        <v>ENDirect</v>
      </c>
      <c r="AL122" s="7" t="str">
        <f>IFERROR(HLOOKUP(AJ122,'Calc|Weightings'!$K$5:$M$5,1,0),"Excl")</f>
        <v>Labour</v>
      </c>
      <c r="AM122" s="7" t="str">
        <f>VLOOKUP(AC122,Mapping!$E$11:$I$96,5,0)</f>
        <v>SCS</v>
      </c>
      <c r="AO122" s="134">
        <v>105</v>
      </c>
      <c r="AP122" s="135" t="s">
        <v>2118</v>
      </c>
      <c r="AQ122" s="135">
        <v>613566</v>
      </c>
      <c r="AR122" s="135" t="s">
        <v>1482</v>
      </c>
      <c r="AS122" s="136">
        <v>28.101469999999999</v>
      </c>
      <c r="AU122" s="7" t="str">
        <f>VLOOKUP($AO122,Mapping!$E$11:$I$96,3,0)</f>
        <v>Connections</v>
      </c>
      <c r="AV122" s="7" t="str">
        <f>VLOOKUP($AQ122,Mapping!$E$140:$K$2771,5,0)</f>
        <v>Labour</v>
      </c>
      <c r="AW122" s="7" t="str">
        <f>VLOOKUP($AQ122,Mapping!$E$140:$K$2771,7,0)</f>
        <v>ENDirect</v>
      </c>
      <c r="AX122" s="7" t="str">
        <f>IFERROR(HLOOKUP(AV122,'Calc|Weightings'!$K$5:$M$5,1,0),"Excl")</f>
        <v>Labour</v>
      </c>
      <c r="AY122" s="7" t="str">
        <f>VLOOKUP(AO122,Mapping!$E$11:$I$96,5,0)</f>
        <v>SCS</v>
      </c>
    </row>
    <row r="123" spans="1:51" x14ac:dyDescent="0.2">
      <c r="A123" s="7"/>
      <c r="B123" s="7"/>
      <c r="C123" s="7"/>
      <c r="D123" s="7"/>
      <c r="E123" s="36">
        <v>105</v>
      </c>
      <c r="F123" s="36" t="s">
        <v>2118</v>
      </c>
      <c r="G123" s="36">
        <v>613271</v>
      </c>
      <c r="H123" s="36" t="s">
        <v>2150</v>
      </c>
      <c r="I123" s="37">
        <v>1.5399</v>
      </c>
      <c r="J123" s="7"/>
      <c r="K123" s="7" t="str">
        <f>VLOOKUP($E123,Mapping!$E$11:$I$96,3,0)</f>
        <v>Connections</v>
      </c>
      <c r="L123" s="7" t="str">
        <f>VLOOKUP($G123,Mapping!$E$140:$K$2771,5,0)</f>
        <v>Labour</v>
      </c>
      <c r="M123" s="7" t="str">
        <f>VLOOKUP($G123,Mapping!$E$140:$K$2771,7,0)</f>
        <v>ENDirect</v>
      </c>
      <c r="N123" s="7" t="str">
        <f>IFERROR(HLOOKUP(L123,'Calc|Weightings'!$K$5:$M$5,1,0),"Excl")</f>
        <v>Labour</v>
      </c>
      <c r="O123" s="7" t="str">
        <f>VLOOKUP(E123,Mapping!$E$11:$I$96,5,0)</f>
        <v>SCS</v>
      </c>
      <c r="Q123" s="33">
        <v>105</v>
      </c>
      <c r="R123" s="33" t="s">
        <v>2118</v>
      </c>
      <c r="S123" s="33">
        <v>613434</v>
      </c>
      <c r="T123" s="33" t="s">
        <v>2102</v>
      </c>
      <c r="U123" s="34">
        <v>155.79423</v>
      </c>
      <c r="V123" s="7"/>
      <c r="W123" s="7" t="str">
        <f>VLOOKUP($Q123,Mapping!$E$11:$I$96,3,0)</f>
        <v>Connections</v>
      </c>
      <c r="X123" s="7" t="str">
        <f>VLOOKUP($S123,Mapping!$E$140:$K$2771,5,0)</f>
        <v>Labour</v>
      </c>
      <c r="Y123" s="7" t="str">
        <f>VLOOKUP($S123,Mapping!$E$140:$K$2771,7,0)</f>
        <v>ENDirect</v>
      </c>
      <c r="Z123" s="7" t="str">
        <f>IFERROR(HLOOKUP(X123,'Calc|Weightings'!$K$5:$M$5,1,0),"Excl")</f>
        <v>Labour</v>
      </c>
      <c r="AA123" s="7" t="str">
        <f>VLOOKUP(Q123,Mapping!$E$11:$I$96,5,0)</f>
        <v>SCS</v>
      </c>
      <c r="AC123" s="111">
        <v>105</v>
      </c>
      <c r="AD123" s="111" t="s">
        <v>2118</v>
      </c>
      <c r="AE123" s="111">
        <v>613250</v>
      </c>
      <c r="AF123" s="111" t="s">
        <v>2086</v>
      </c>
      <c r="AG123" s="112">
        <v>203.50062</v>
      </c>
      <c r="AI123" s="7" t="str">
        <f>VLOOKUP($AC123,Mapping!$E$11:$I$96,3,0)</f>
        <v>Connections</v>
      </c>
      <c r="AJ123" s="7" t="str">
        <f>VLOOKUP($AE123,Mapping!$E$140:$K$2771,5,0)</f>
        <v>Labour</v>
      </c>
      <c r="AK123" s="7" t="str">
        <f>VLOOKUP($AE123,Mapping!$E$140:$K$2771,7,0)</f>
        <v>ENDirect</v>
      </c>
      <c r="AL123" s="7" t="str">
        <f>IFERROR(HLOOKUP(AJ123,'Calc|Weightings'!$K$5:$M$5,1,0),"Excl")</f>
        <v>Labour</v>
      </c>
      <c r="AM123" s="7" t="str">
        <f>VLOOKUP(AC123,Mapping!$E$11:$I$96,5,0)</f>
        <v>SCS</v>
      </c>
      <c r="AO123" s="134">
        <v>105</v>
      </c>
      <c r="AP123" s="135" t="s">
        <v>2118</v>
      </c>
      <c r="AQ123" s="135">
        <v>613567</v>
      </c>
      <c r="AR123" s="135" t="s">
        <v>1483</v>
      </c>
      <c r="AS123" s="136">
        <v>4.0657500000000004</v>
      </c>
      <c r="AU123" s="7" t="str">
        <f>VLOOKUP($AO123,Mapping!$E$11:$I$96,3,0)</f>
        <v>Connections</v>
      </c>
      <c r="AV123" s="7" t="str">
        <f>VLOOKUP($AQ123,Mapping!$E$140:$K$2771,5,0)</f>
        <v>Labour</v>
      </c>
      <c r="AW123" s="7" t="str">
        <f>VLOOKUP($AQ123,Mapping!$E$140:$K$2771,7,0)</f>
        <v>ENDirect</v>
      </c>
      <c r="AX123" s="7" t="str">
        <f>IFERROR(HLOOKUP(AV123,'Calc|Weightings'!$K$5:$M$5,1,0),"Excl")</f>
        <v>Labour</v>
      </c>
      <c r="AY123" s="7" t="str">
        <f>VLOOKUP(AO123,Mapping!$E$11:$I$96,5,0)</f>
        <v>SCS</v>
      </c>
    </row>
    <row r="124" spans="1:51" x14ac:dyDescent="0.2">
      <c r="A124" s="7"/>
      <c r="B124" s="7"/>
      <c r="C124" s="7"/>
      <c r="D124" s="7"/>
      <c r="E124" s="36">
        <v>105</v>
      </c>
      <c r="F124" s="36" t="s">
        <v>2118</v>
      </c>
      <c r="G124" s="36">
        <v>613278</v>
      </c>
      <c r="H124" s="36" t="s">
        <v>2357</v>
      </c>
      <c r="I124" s="37">
        <v>95.893169999999998</v>
      </c>
      <c r="J124" s="7"/>
      <c r="K124" s="7" t="str">
        <f>VLOOKUP($E124,Mapping!$E$11:$I$96,3,0)</f>
        <v>Connections</v>
      </c>
      <c r="L124" s="7" t="str">
        <f>VLOOKUP($G124,Mapping!$E$140:$K$2771,5,0)</f>
        <v>Labour</v>
      </c>
      <c r="M124" s="7" t="str">
        <f>VLOOKUP($G124,Mapping!$E$140:$K$2771,7,0)</f>
        <v>ENDirect</v>
      </c>
      <c r="N124" s="7" t="str">
        <f>IFERROR(HLOOKUP(L124,'Calc|Weightings'!$K$5:$M$5,1,0),"Excl")</f>
        <v>Labour</v>
      </c>
      <c r="O124" s="7" t="str">
        <f>VLOOKUP(E124,Mapping!$E$11:$I$96,5,0)</f>
        <v>SCS</v>
      </c>
      <c r="Q124" s="33">
        <v>105</v>
      </c>
      <c r="R124" s="33" t="s">
        <v>2118</v>
      </c>
      <c r="S124" s="33">
        <v>613440</v>
      </c>
      <c r="T124" s="33" t="s">
        <v>2103</v>
      </c>
      <c r="U124" s="34">
        <v>18.695450000000001</v>
      </c>
      <c r="V124" s="7"/>
      <c r="W124" s="7" t="str">
        <f>VLOOKUP($Q124,Mapping!$E$11:$I$96,3,0)</f>
        <v>Connections</v>
      </c>
      <c r="X124" s="7" t="str">
        <f>VLOOKUP($S124,Mapping!$E$140:$K$2771,5,0)</f>
        <v>Labour</v>
      </c>
      <c r="Y124" s="7" t="str">
        <f>VLOOKUP($S124,Mapping!$E$140:$K$2771,7,0)</f>
        <v>ENDirect</v>
      </c>
      <c r="Z124" s="7" t="str">
        <f>IFERROR(HLOOKUP(X124,'Calc|Weightings'!$K$5:$M$5,1,0),"Excl")</f>
        <v>Labour</v>
      </c>
      <c r="AA124" s="7" t="str">
        <f>VLOOKUP(Q124,Mapping!$E$11:$I$96,5,0)</f>
        <v>SCS</v>
      </c>
      <c r="AC124" s="111">
        <v>105</v>
      </c>
      <c r="AD124" s="111" t="s">
        <v>2118</v>
      </c>
      <c r="AE124" s="111">
        <v>613251</v>
      </c>
      <c r="AF124" s="111" t="s">
        <v>2087</v>
      </c>
      <c r="AG124" s="112">
        <v>26.79523</v>
      </c>
      <c r="AI124" s="7" t="str">
        <f>VLOOKUP($AC124,Mapping!$E$11:$I$96,3,0)</f>
        <v>Connections</v>
      </c>
      <c r="AJ124" s="7" t="str">
        <f>VLOOKUP($AE124,Mapping!$E$140:$K$2771,5,0)</f>
        <v>Labour</v>
      </c>
      <c r="AK124" s="7" t="str">
        <f>VLOOKUP($AE124,Mapping!$E$140:$K$2771,7,0)</f>
        <v>ENDirect</v>
      </c>
      <c r="AL124" s="7" t="str">
        <f>IFERROR(HLOOKUP(AJ124,'Calc|Weightings'!$K$5:$M$5,1,0),"Excl")</f>
        <v>Labour</v>
      </c>
      <c r="AM124" s="7" t="str">
        <f>VLOOKUP(AC124,Mapping!$E$11:$I$96,5,0)</f>
        <v>SCS</v>
      </c>
      <c r="AO124" s="134">
        <v>105</v>
      </c>
      <c r="AP124" s="135" t="s">
        <v>2118</v>
      </c>
      <c r="AQ124" s="135">
        <v>613570</v>
      </c>
      <c r="AR124" s="135" t="s">
        <v>1484</v>
      </c>
      <c r="AS124" s="136">
        <v>4.7118200000000003</v>
      </c>
      <c r="AU124" s="7" t="str">
        <f>VLOOKUP($AO124,Mapping!$E$11:$I$96,3,0)</f>
        <v>Connections</v>
      </c>
      <c r="AV124" s="7" t="str">
        <f>VLOOKUP($AQ124,Mapping!$E$140:$K$2771,5,0)</f>
        <v>Labour</v>
      </c>
      <c r="AW124" s="7" t="str">
        <f>VLOOKUP($AQ124,Mapping!$E$140:$K$2771,7,0)</f>
        <v>ENDirect</v>
      </c>
      <c r="AX124" s="7" t="str">
        <f>IFERROR(HLOOKUP(AV124,'Calc|Weightings'!$K$5:$M$5,1,0),"Excl")</f>
        <v>Labour</v>
      </c>
      <c r="AY124" s="7" t="str">
        <f>VLOOKUP(AO124,Mapping!$E$11:$I$96,5,0)</f>
        <v>SCS</v>
      </c>
    </row>
    <row r="125" spans="1:51" x14ac:dyDescent="0.2">
      <c r="A125" s="7"/>
      <c r="B125" s="7"/>
      <c r="C125" s="7"/>
      <c r="D125" s="7"/>
      <c r="E125" s="36">
        <v>105</v>
      </c>
      <c r="F125" s="36" t="s">
        <v>2118</v>
      </c>
      <c r="G125" s="36">
        <v>613279</v>
      </c>
      <c r="H125" s="36" t="s">
        <v>2360</v>
      </c>
      <c r="I125" s="37">
        <v>16.658819999999999</v>
      </c>
      <c r="J125" s="7"/>
      <c r="K125" s="7" t="str">
        <f>VLOOKUP($E125,Mapping!$E$11:$I$96,3,0)</f>
        <v>Connections</v>
      </c>
      <c r="L125" s="7" t="str">
        <f>VLOOKUP($G125,Mapping!$E$140:$K$2771,5,0)</f>
        <v>Labour</v>
      </c>
      <c r="M125" s="7" t="str">
        <f>VLOOKUP($G125,Mapping!$E$140:$K$2771,7,0)</f>
        <v>ENDirect</v>
      </c>
      <c r="N125" s="7" t="str">
        <f>IFERROR(HLOOKUP(L125,'Calc|Weightings'!$K$5:$M$5,1,0),"Excl")</f>
        <v>Labour</v>
      </c>
      <c r="O125" s="7" t="str">
        <f>VLOOKUP(E125,Mapping!$E$11:$I$96,5,0)</f>
        <v>SCS</v>
      </c>
      <c r="Q125" s="33">
        <v>105</v>
      </c>
      <c r="R125" s="33" t="s">
        <v>2118</v>
      </c>
      <c r="S125" s="33">
        <v>613441</v>
      </c>
      <c r="T125" s="33" t="s">
        <v>2104</v>
      </c>
      <c r="U125" s="34">
        <v>2.1767500000000002</v>
      </c>
      <c r="V125" s="7"/>
      <c r="W125" s="7" t="str">
        <f>VLOOKUP($Q125,Mapping!$E$11:$I$96,3,0)</f>
        <v>Connections</v>
      </c>
      <c r="X125" s="7" t="str">
        <f>VLOOKUP($S125,Mapping!$E$140:$K$2771,5,0)</f>
        <v>Labour</v>
      </c>
      <c r="Y125" s="7" t="str">
        <f>VLOOKUP($S125,Mapping!$E$140:$K$2771,7,0)</f>
        <v>ENDirect</v>
      </c>
      <c r="Z125" s="7" t="str">
        <f>IFERROR(HLOOKUP(X125,'Calc|Weightings'!$K$5:$M$5,1,0),"Excl")</f>
        <v>Labour</v>
      </c>
      <c r="AA125" s="7" t="str">
        <f>VLOOKUP(Q125,Mapping!$E$11:$I$96,5,0)</f>
        <v>SCS</v>
      </c>
      <c r="AC125" s="111">
        <v>105</v>
      </c>
      <c r="AD125" s="111" t="s">
        <v>2118</v>
      </c>
      <c r="AE125" s="111">
        <v>613260</v>
      </c>
      <c r="AF125" s="111" t="s">
        <v>2090</v>
      </c>
      <c r="AG125" s="112">
        <v>1.1046400000000001</v>
      </c>
      <c r="AI125" s="7" t="str">
        <f>VLOOKUP($AC125,Mapping!$E$11:$I$96,3,0)</f>
        <v>Connections</v>
      </c>
      <c r="AJ125" s="7" t="str">
        <f>VLOOKUP($AE125,Mapping!$E$140:$K$2771,5,0)</f>
        <v>Labour</v>
      </c>
      <c r="AK125" s="7" t="str">
        <f>VLOOKUP($AE125,Mapping!$E$140:$K$2771,7,0)</f>
        <v>ENDirect</v>
      </c>
      <c r="AL125" s="7" t="str">
        <f>IFERROR(HLOOKUP(AJ125,'Calc|Weightings'!$K$5:$M$5,1,0),"Excl")</f>
        <v>Labour</v>
      </c>
      <c r="AM125" s="7" t="str">
        <f>VLOOKUP(AC125,Mapping!$E$11:$I$96,5,0)</f>
        <v>SCS</v>
      </c>
      <c r="AO125" s="134">
        <v>105</v>
      </c>
      <c r="AP125" s="135" t="s">
        <v>2118</v>
      </c>
      <c r="AQ125" s="135">
        <v>613571</v>
      </c>
      <c r="AR125" s="135" t="s">
        <v>1485</v>
      </c>
      <c r="AS125" s="136">
        <v>1.3802300000000001</v>
      </c>
      <c r="AU125" s="7" t="str">
        <f>VLOOKUP($AO125,Mapping!$E$11:$I$96,3,0)</f>
        <v>Connections</v>
      </c>
      <c r="AV125" s="7" t="str">
        <f>VLOOKUP($AQ125,Mapping!$E$140:$K$2771,5,0)</f>
        <v>Labour</v>
      </c>
      <c r="AW125" s="7" t="str">
        <f>VLOOKUP($AQ125,Mapping!$E$140:$K$2771,7,0)</f>
        <v>ENDirect</v>
      </c>
      <c r="AX125" s="7" t="str">
        <f>IFERROR(HLOOKUP(AV125,'Calc|Weightings'!$K$5:$M$5,1,0),"Excl")</f>
        <v>Labour</v>
      </c>
      <c r="AY125" s="7" t="str">
        <f>VLOOKUP(AO125,Mapping!$E$11:$I$96,5,0)</f>
        <v>SCS</v>
      </c>
    </row>
    <row r="126" spans="1:51" x14ac:dyDescent="0.2">
      <c r="A126" s="7"/>
      <c r="B126" s="7"/>
      <c r="C126" s="7"/>
      <c r="D126" s="7"/>
      <c r="E126" s="36">
        <v>105</v>
      </c>
      <c r="F126" s="36" t="s">
        <v>2118</v>
      </c>
      <c r="G126" s="36">
        <v>613280</v>
      </c>
      <c r="H126" s="36" t="s">
        <v>1342</v>
      </c>
      <c r="I126" s="37">
        <v>241.22013999999999</v>
      </c>
      <c r="J126" s="7"/>
      <c r="K126" s="7" t="str">
        <f>VLOOKUP($E126,Mapping!$E$11:$I$96,3,0)</f>
        <v>Connections</v>
      </c>
      <c r="L126" s="7" t="str">
        <f>VLOOKUP($G126,Mapping!$E$140:$K$2771,5,0)</f>
        <v>Labour</v>
      </c>
      <c r="M126" s="7" t="str">
        <f>VLOOKUP($G126,Mapping!$E$140:$K$2771,7,0)</f>
        <v>ENDirect</v>
      </c>
      <c r="N126" s="7" t="str">
        <f>IFERROR(HLOOKUP(L126,'Calc|Weightings'!$K$5:$M$5,1,0),"Excl")</f>
        <v>Labour</v>
      </c>
      <c r="O126" s="7" t="str">
        <f>VLOOKUP(E126,Mapping!$E$11:$I$96,5,0)</f>
        <v>SCS</v>
      </c>
      <c r="Q126" s="33">
        <v>105</v>
      </c>
      <c r="R126" s="33" t="s">
        <v>2118</v>
      </c>
      <c r="S126" s="33">
        <v>613448</v>
      </c>
      <c r="T126" s="33" t="s">
        <v>2105</v>
      </c>
      <c r="U126" s="34">
        <v>70.273600000000002</v>
      </c>
      <c r="V126" s="7"/>
      <c r="W126" s="7" t="str">
        <f>VLOOKUP($Q126,Mapping!$E$11:$I$96,3,0)</f>
        <v>Connections</v>
      </c>
      <c r="X126" s="7" t="str">
        <f>VLOOKUP($S126,Mapping!$E$140:$K$2771,5,0)</f>
        <v>Labour</v>
      </c>
      <c r="Y126" s="7" t="str">
        <f>VLOOKUP($S126,Mapping!$E$140:$K$2771,7,0)</f>
        <v>ENDirect</v>
      </c>
      <c r="Z126" s="7" t="str">
        <f>IFERROR(HLOOKUP(X126,'Calc|Weightings'!$K$5:$M$5,1,0),"Excl")</f>
        <v>Labour</v>
      </c>
      <c r="AA126" s="7" t="str">
        <f>VLOOKUP(Q126,Mapping!$E$11:$I$96,5,0)</f>
        <v>SCS</v>
      </c>
      <c r="AC126" s="111">
        <v>105</v>
      </c>
      <c r="AD126" s="111" t="s">
        <v>2118</v>
      </c>
      <c r="AE126" s="111">
        <v>613280</v>
      </c>
      <c r="AF126" s="111" t="s">
        <v>1342</v>
      </c>
      <c r="AG126" s="112">
        <v>192.34463</v>
      </c>
      <c r="AI126" s="7" t="str">
        <f>VLOOKUP($AC126,Mapping!$E$11:$I$96,3,0)</f>
        <v>Connections</v>
      </c>
      <c r="AJ126" s="7" t="str">
        <f>VLOOKUP($AE126,Mapping!$E$140:$K$2771,5,0)</f>
        <v>Labour</v>
      </c>
      <c r="AK126" s="7" t="str">
        <f>VLOOKUP($AE126,Mapping!$E$140:$K$2771,7,0)</f>
        <v>ENDirect</v>
      </c>
      <c r="AL126" s="7" t="str">
        <f>IFERROR(HLOOKUP(AJ126,'Calc|Weightings'!$K$5:$M$5,1,0),"Excl")</f>
        <v>Labour</v>
      </c>
      <c r="AM126" s="7" t="str">
        <f>VLOOKUP(AC126,Mapping!$E$11:$I$96,5,0)</f>
        <v>SCS</v>
      </c>
      <c r="AO126" s="134">
        <v>105</v>
      </c>
      <c r="AP126" s="135" t="s">
        <v>2118</v>
      </c>
      <c r="AQ126" s="135">
        <v>613574</v>
      </c>
      <c r="AR126" s="135" t="s">
        <v>1488</v>
      </c>
      <c r="AS126" s="136">
        <v>81.620009999999994</v>
      </c>
      <c r="AU126" s="7" t="str">
        <f>VLOOKUP($AO126,Mapping!$E$11:$I$96,3,0)</f>
        <v>Connections</v>
      </c>
      <c r="AV126" s="7" t="str">
        <f>VLOOKUP($AQ126,Mapping!$E$140:$K$2771,5,0)</f>
        <v>Labour</v>
      </c>
      <c r="AW126" s="7" t="str">
        <f>VLOOKUP($AQ126,Mapping!$E$140:$K$2771,7,0)</f>
        <v>ENDirect</v>
      </c>
      <c r="AX126" s="7" t="str">
        <f>IFERROR(HLOOKUP(AV126,'Calc|Weightings'!$K$5:$M$5,1,0),"Excl")</f>
        <v>Labour</v>
      </c>
      <c r="AY126" s="7" t="str">
        <f>VLOOKUP(AO126,Mapping!$E$11:$I$96,5,0)</f>
        <v>SCS</v>
      </c>
    </row>
    <row r="127" spans="1:51" x14ac:dyDescent="0.2">
      <c r="A127" s="7"/>
      <c r="B127" s="7"/>
      <c r="C127" s="7"/>
      <c r="D127" s="7"/>
      <c r="E127" s="36">
        <v>105</v>
      </c>
      <c r="F127" s="36" t="s">
        <v>2118</v>
      </c>
      <c r="G127" s="36">
        <v>613281</v>
      </c>
      <c r="H127" s="36" t="s">
        <v>1343</v>
      </c>
      <c r="I127" s="37">
        <v>21.338200000000001</v>
      </c>
      <c r="J127" s="7"/>
      <c r="K127" s="7" t="str">
        <f>VLOOKUP($E127,Mapping!$E$11:$I$96,3,0)</f>
        <v>Connections</v>
      </c>
      <c r="L127" s="7" t="str">
        <f>VLOOKUP($G127,Mapping!$E$140:$K$2771,5,0)</f>
        <v>Labour</v>
      </c>
      <c r="M127" s="7" t="str">
        <f>VLOOKUP($G127,Mapping!$E$140:$K$2771,7,0)</f>
        <v>ENDirect</v>
      </c>
      <c r="N127" s="7" t="str">
        <f>IFERROR(HLOOKUP(L127,'Calc|Weightings'!$K$5:$M$5,1,0),"Excl")</f>
        <v>Labour</v>
      </c>
      <c r="O127" s="7" t="str">
        <f>VLOOKUP(E127,Mapping!$E$11:$I$96,5,0)</f>
        <v>SCS</v>
      </c>
      <c r="Q127" s="33">
        <v>105</v>
      </c>
      <c r="R127" s="33" t="s">
        <v>2118</v>
      </c>
      <c r="S127" s="33">
        <v>613449</v>
      </c>
      <c r="T127" s="33" t="s">
        <v>2106</v>
      </c>
      <c r="U127" s="34">
        <v>1.9332499999999999</v>
      </c>
      <c r="V127" s="7"/>
      <c r="W127" s="7" t="str">
        <f>VLOOKUP($Q127,Mapping!$E$11:$I$96,3,0)</f>
        <v>Connections</v>
      </c>
      <c r="X127" s="7" t="str">
        <f>VLOOKUP($S127,Mapping!$E$140:$K$2771,5,0)</f>
        <v>Labour</v>
      </c>
      <c r="Y127" s="7" t="str">
        <f>VLOOKUP($S127,Mapping!$E$140:$K$2771,7,0)</f>
        <v>ENDirect</v>
      </c>
      <c r="Z127" s="7" t="str">
        <f>IFERROR(HLOOKUP(X127,'Calc|Weightings'!$K$5:$M$5,1,0),"Excl")</f>
        <v>Labour</v>
      </c>
      <c r="AA127" s="7" t="str">
        <f>VLOOKUP(Q127,Mapping!$E$11:$I$96,5,0)</f>
        <v>SCS</v>
      </c>
      <c r="AC127" s="111">
        <v>105</v>
      </c>
      <c r="AD127" s="111" t="s">
        <v>2118</v>
      </c>
      <c r="AE127" s="111">
        <v>613281</v>
      </c>
      <c r="AF127" s="111" t="s">
        <v>1343</v>
      </c>
      <c r="AG127" s="112">
        <v>5.2927</v>
      </c>
      <c r="AI127" s="7" t="str">
        <f>VLOOKUP($AC127,Mapping!$E$11:$I$96,3,0)</f>
        <v>Connections</v>
      </c>
      <c r="AJ127" s="7" t="str">
        <f>VLOOKUP($AE127,Mapping!$E$140:$K$2771,5,0)</f>
        <v>Labour</v>
      </c>
      <c r="AK127" s="7" t="str">
        <f>VLOOKUP($AE127,Mapping!$E$140:$K$2771,7,0)</f>
        <v>ENDirect</v>
      </c>
      <c r="AL127" s="7" t="str">
        <f>IFERROR(HLOOKUP(AJ127,'Calc|Weightings'!$K$5:$M$5,1,0),"Excl")</f>
        <v>Labour</v>
      </c>
      <c r="AM127" s="7" t="str">
        <f>VLOOKUP(AC127,Mapping!$E$11:$I$96,5,0)</f>
        <v>SCS</v>
      </c>
      <c r="AO127" s="134">
        <v>105</v>
      </c>
      <c r="AP127" s="135" t="s">
        <v>2118</v>
      </c>
      <c r="AQ127" s="135">
        <v>613575</v>
      </c>
      <c r="AR127" s="135" t="s">
        <v>1489</v>
      </c>
      <c r="AS127" s="136">
        <v>6.9078799999999996</v>
      </c>
      <c r="AU127" s="7" t="str">
        <f>VLOOKUP($AO127,Mapping!$E$11:$I$96,3,0)</f>
        <v>Connections</v>
      </c>
      <c r="AV127" s="7" t="str">
        <f>VLOOKUP($AQ127,Mapping!$E$140:$K$2771,5,0)</f>
        <v>Labour</v>
      </c>
      <c r="AW127" s="7" t="str">
        <f>VLOOKUP($AQ127,Mapping!$E$140:$K$2771,7,0)</f>
        <v>ENDirect</v>
      </c>
      <c r="AX127" s="7" t="str">
        <f>IFERROR(HLOOKUP(AV127,'Calc|Weightings'!$K$5:$M$5,1,0),"Excl")</f>
        <v>Labour</v>
      </c>
      <c r="AY127" s="7" t="str">
        <f>VLOOKUP(AO127,Mapping!$E$11:$I$96,5,0)</f>
        <v>SCS</v>
      </c>
    </row>
    <row r="128" spans="1:51" x14ac:dyDescent="0.2">
      <c r="A128" s="7"/>
      <c r="B128" s="7"/>
      <c r="C128" s="7"/>
      <c r="D128" s="7"/>
      <c r="E128" s="36">
        <v>105</v>
      </c>
      <c r="F128" s="36" t="s">
        <v>2118</v>
      </c>
      <c r="G128" s="36">
        <v>613290</v>
      </c>
      <c r="H128" s="36" t="s">
        <v>2093</v>
      </c>
      <c r="I128" s="37">
        <v>25.592289999999998</v>
      </c>
      <c r="J128" s="7"/>
      <c r="K128" s="7" t="str">
        <f>VLOOKUP($E128,Mapping!$E$11:$I$96,3,0)</f>
        <v>Connections</v>
      </c>
      <c r="L128" s="7" t="str">
        <f>VLOOKUP($G128,Mapping!$E$140:$K$2771,5,0)</f>
        <v>Labour</v>
      </c>
      <c r="M128" s="7" t="str">
        <f>VLOOKUP($G128,Mapping!$E$140:$K$2771,7,0)</f>
        <v>ENDirect</v>
      </c>
      <c r="N128" s="7" t="str">
        <f>IFERROR(HLOOKUP(L128,'Calc|Weightings'!$K$5:$M$5,1,0),"Excl")</f>
        <v>Labour</v>
      </c>
      <c r="O128" s="7" t="str">
        <f>VLOOKUP(E128,Mapping!$E$11:$I$96,5,0)</f>
        <v>SCS</v>
      </c>
      <c r="Q128" s="33">
        <v>105</v>
      </c>
      <c r="R128" s="33" t="s">
        <v>2118</v>
      </c>
      <c r="S128" s="33">
        <v>613566</v>
      </c>
      <c r="T128" s="33" t="s">
        <v>1482</v>
      </c>
      <c r="U128" s="34">
        <v>67.933049999999994</v>
      </c>
      <c r="V128" s="7"/>
      <c r="W128" s="7" t="str">
        <f>VLOOKUP($Q128,Mapping!$E$11:$I$96,3,0)</f>
        <v>Connections</v>
      </c>
      <c r="X128" s="7" t="str">
        <f>VLOOKUP($S128,Mapping!$E$140:$K$2771,5,0)</f>
        <v>Labour</v>
      </c>
      <c r="Y128" s="7" t="str">
        <f>VLOOKUP($S128,Mapping!$E$140:$K$2771,7,0)</f>
        <v>ENDirect</v>
      </c>
      <c r="Z128" s="7" t="str">
        <f>IFERROR(HLOOKUP(X128,'Calc|Weightings'!$K$5:$M$5,1,0),"Excl")</f>
        <v>Labour</v>
      </c>
      <c r="AA128" s="7" t="str">
        <f>VLOOKUP(Q128,Mapping!$E$11:$I$96,5,0)</f>
        <v>SCS</v>
      </c>
      <c r="AC128" s="111">
        <v>105</v>
      </c>
      <c r="AD128" s="111" t="s">
        <v>2118</v>
      </c>
      <c r="AE128" s="111">
        <v>613290</v>
      </c>
      <c r="AF128" s="111" t="s">
        <v>2093</v>
      </c>
      <c r="AG128" s="112">
        <v>797.43300999999997</v>
      </c>
      <c r="AI128" s="7" t="str">
        <f>VLOOKUP($AC128,Mapping!$E$11:$I$96,3,0)</f>
        <v>Connections</v>
      </c>
      <c r="AJ128" s="7" t="str">
        <f>VLOOKUP($AE128,Mapping!$E$140:$K$2771,5,0)</f>
        <v>Labour</v>
      </c>
      <c r="AK128" s="7" t="str">
        <f>VLOOKUP($AE128,Mapping!$E$140:$K$2771,7,0)</f>
        <v>ENDirect</v>
      </c>
      <c r="AL128" s="7" t="str">
        <f>IFERROR(HLOOKUP(AJ128,'Calc|Weightings'!$K$5:$M$5,1,0),"Excl")</f>
        <v>Labour</v>
      </c>
      <c r="AM128" s="7" t="str">
        <f>VLOOKUP(AC128,Mapping!$E$11:$I$96,5,0)</f>
        <v>SCS</v>
      </c>
      <c r="AO128" s="134">
        <v>105</v>
      </c>
      <c r="AP128" s="135" t="s">
        <v>2118</v>
      </c>
      <c r="AQ128" s="135">
        <v>613576</v>
      </c>
      <c r="AR128" s="135" t="s">
        <v>1490</v>
      </c>
      <c r="AS128" s="136">
        <v>18.390239999999999</v>
      </c>
      <c r="AU128" s="7" t="str">
        <f>VLOOKUP($AO128,Mapping!$E$11:$I$96,3,0)</f>
        <v>Connections</v>
      </c>
      <c r="AV128" s="7" t="str">
        <f>VLOOKUP($AQ128,Mapping!$E$140:$K$2771,5,0)</f>
        <v>Labour</v>
      </c>
      <c r="AW128" s="7" t="str">
        <f>VLOOKUP($AQ128,Mapping!$E$140:$K$2771,7,0)</f>
        <v>ENDirect</v>
      </c>
      <c r="AX128" s="7" t="str">
        <f>IFERROR(HLOOKUP(AV128,'Calc|Weightings'!$K$5:$M$5,1,0),"Excl")</f>
        <v>Labour</v>
      </c>
      <c r="AY128" s="7" t="str">
        <f>VLOOKUP(AO128,Mapping!$E$11:$I$96,5,0)</f>
        <v>SCS</v>
      </c>
    </row>
    <row r="129" spans="1:51" x14ac:dyDescent="0.2">
      <c r="A129" s="7"/>
      <c r="B129" s="7"/>
      <c r="C129" s="7"/>
      <c r="D129" s="7"/>
      <c r="E129" s="36">
        <v>105</v>
      </c>
      <c r="F129" s="36" t="s">
        <v>2118</v>
      </c>
      <c r="G129" s="36">
        <v>613298</v>
      </c>
      <c r="H129" s="36" t="s">
        <v>2122</v>
      </c>
      <c r="I129" s="37">
        <v>1116.7151799999999</v>
      </c>
      <c r="J129" s="7"/>
      <c r="K129" s="7" t="str">
        <f>VLOOKUP($E129,Mapping!$E$11:$I$96,3,0)</f>
        <v>Connections</v>
      </c>
      <c r="L129" s="7" t="str">
        <f>VLOOKUP($G129,Mapping!$E$140:$K$2771,5,0)</f>
        <v>Labour</v>
      </c>
      <c r="M129" s="7" t="str">
        <f>VLOOKUP($G129,Mapping!$E$140:$K$2771,7,0)</f>
        <v>ENDirect</v>
      </c>
      <c r="N129" s="7" t="str">
        <f>IFERROR(HLOOKUP(L129,'Calc|Weightings'!$K$5:$M$5,1,0),"Excl")</f>
        <v>Labour</v>
      </c>
      <c r="O129" s="7" t="str">
        <f>VLOOKUP(E129,Mapping!$E$11:$I$96,5,0)</f>
        <v>SCS</v>
      </c>
      <c r="Q129" s="33">
        <v>105</v>
      </c>
      <c r="R129" s="33" t="s">
        <v>2118</v>
      </c>
      <c r="S129" s="33">
        <v>613567</v>
      </c>
      <c r="T129" s="33" t="s">
        <v>1483</v>
      </c>
      <c r="U129" s="34">
        <v>5.2290000000000001</v>
      </c>
      <c r="V129" s="7"/>
      <c r="W129" s="7" t="str">
        <f>VLOOKUP($Q129,Mapping!$E$11:$I$96,3,0)</f>
        <v>Connections</v>
      </c>
      <c r="X129" s="7" t="str">
        <f>VLOOKUP($S129,Mapping!$E$140:$K$2771,5,0)</f>
        <v>Labour</v>
      </c>
      <c r="Y129" s="7" t="str">
        <f>VLOOKUP($S129,Mapping!$E$140:$K$2771,7,0)</f>
        <v>ENDirect</v>
      </c>
      <c r="Z129" s="7" t="str">
        <f>IFERROR(HLOOKUP(X129,'Calc|Weightings'!$K$5:$M$5,1,0),"Excl")</f>
        <v>Labour</v>
      </c>
      <c r="AA129" s="7" t="str">
        <f>VLOOKUP(Q129,Mapping!$E$11:$I$96,5,0)</f>
        <v>SCS</v>
      </c>
      <c r="AC129" s="111">
        <v>105</v>
      </c>
      <c r="AD129" s="111" t="s">
        <v>2118</v>
      </c>
      <c r="AE129" s="111">
        <v>613291</v>
      </c>
      <c r="AF129" s="111" t="s">
        <v>2094</v>
      </c>
      <c r="AG129" s="112">
        <v>19.041090000000001</v>
      </c>
      <c r="AI129" s="7" t="str">
        <f>VLOOKUP($AC129,Mapping!$E$11:$I$96,3,0)</f>
        <v>Connections</v>
      </c>
      <c r="AJ129" s="7" t="str">
        <f>VLOOKUP($AE129,Mapping!$E$140:$K$2771,5,0)</f>
        <v>Labour</v>
      </c>
      <c r="AK129" s="7" t="str">
        <f>VLOOKUP($AE129,Mapping!$E$140:$K$2771,7,0)</f>
        <v>ENDirect</v>
      </c>
      <c r="AL129" s="7" t="str">
        <f>IFERROR(HLOOKUP(AJ129,'Calc|Weightings'!$K$5:$M$5,1,0),"Excl")</f>
        <v>Labour</v>
      </c>
      <c r="AM129" s="7" t="str">
        <f>VLOOKUP(AC129,Mapping!$E$11:$I$96,5,0)</f>
        <v>SCS</v>
      </c>
      <c r="AO129" s="134">
        <v>105</v>
      </c>
      <c r="AP129" s="135" t="s">
        <v>2118</v>
      </c>
      <c r="AQ129" s="135">
        <v>613577</v>
      </c>
      <c r="AR129" s="135" t="s">
        <v>1491</v>
      </c>
      <c r="AS129" s="136">
        <v>14.08953</v>
      </c>
      <c r="AU129" s="7" t="str">
        <f>VLOOKUP($AO129,Mapping!$E$11:$I$96,3,0)</f>
        <v>Connections</v>
      </c>
      <c r="AV129" s="7" t="str">
        <f>VLOOKUP($AQ129,Mapping!$E$140:$K$2771,5,0)</f>
        <v>Labour</v>
      </c>
      <c r="AW129" s="7" t="str">
        <f>VLOOKUP($AQ129,Mapping!$E$140:$K$2771,7,0)</f>
        <v>ENDirect</v>
      </c>
      <c r="AX129" s="7" t="str">
        <f>IFERROR(HLOOKUP(AV129,'Calc|Weightings'!$K$5:$M$5,1,0),"Excl")</f>
        <v>Labour</v>
      </c>
      <c r="AY129" s="7" t="str">
        <f>VLOOKUP(AO129,Mapping!$E$11:$I$96,5,0)</f>
        <v>SCS</v>
      </c>
    </row>
    <row r="130" spans="1:51" x14ac:dyDescent="0.2">
      <c r="A130" s="7"/>
      <c r="B130" s="7"/>
      <c r="C130" s="7"/>
      <c r="D130" s="7"/>
      <c r="E130" s="36">
        <v>105</v>
      </c>
      <c r="F130" s="36" t="s">
        <v>2118</v>
      </c>
      <c r="G130" s="36">
        <v>613299</v>
      </c>
      <c r="H130" s="36" t="s">
        <v>2385</v>
      </c>
      <c r="I130" s="37">
        <v>4.8098299999999998</v>
      </c>
      <c r="J130" s="7"/>
      <c r="K130" s="7" t="str">
        <f>VLOOKUP($E130,Mapping!$E$11:$I$96,3,0)</f>
        <v>Connections</v>
      </c>
      <c r="L130" s="7" t="str">
        <f>VLOOKUP($G130,Mapping!$E$140:$K$2771,5,0)</f>
        <v>Labour</v>
      </c>
      <c r="M130" s="7" t="str">
        <f>VLOOKUP($G130,Mapping!$E$140:$K$2771,7,0)</f>
        <v>ENDirect</v>
      </c>
      <c r="N130" s="7" t="str">
        <f>IFERROR(HLOOKUP(L130,'Calc|Weightings'!$K$5:$M$5,1,0),"Excl")</f>
        <v>Labour</v>
      </c>
      <c r="O130" s="7" t="str">
        <f>VLOOKUP(E130,Mapping!$E$11:$I$96,5,0)</f>
        <v>SCS</v>
      </c>
      <c r="Q130" s="33">
        <v>105</v>
      </c>
      <c r="R130" s="33" t="s">
        <v>2118</v>
      </c>
      <c r="S130" s="33">
        <v>613570</v>
      </c>
      <c r="T130" s="33" t="s">
        <v>1484</v>
      </c>
      <c r="U130" s="34">
        <v>3.4414199999999999</v>
      </c>
      <c r="V130" s="7"/>
      <c r="W130" s="7" t="str">
        <f>VLOOKUP($Q130,Mapping!$E$11:$I$96,3,0)</f>
        <v>Connections</v>
      </c>
      <c r="X130" s="7" t="str">
        <f>VLOOKUP($S130,Mapping!$E$140:$K$2771,5,0)</f>
        <v>Labour</v>
      </c>
      <c r="Y130" s="7" t="str">
        <f>VLOOKUP($S130,Mapping!$E$140:$K$2771,7,0)</f>
        <v>ENDirect</v>
      </c>
      <c r="Z130" s="7" t="str">
        <f>IFERROR(HLOOKUP(X130,'Calc|Weightings'!$K$5:$M$5,1,0),"Excl")</f>
        <v>Labour</v>
      </c>
      <c r="AA130" s="7" t="str">
        <f>VLOOKUP(Q130,Mapping!$E$11:$I$96,5,0)</f>
        <v>SCS</v>
      </c>
      <c r="AC130" s="111">
        <v>105</v>
      </c>
      <c r="AD130" s="111" t="s">
        <v>2118</v>
      </c>
      <c r="AE130" s="111">
        <v>613298</v>
      </c>
      <c r="AF130" s="111" t="s">
        <v>2122</v>
      </c>
      <c r="AG130" s="112">
        <v>-5.4219600000000003</v>
      </c>
      <c r="AI130" s="7" t="str">
        <f>VLOOKUP($AC130,Mapping!$E$11:$I$96,3,0)</f>
        <v>Connections</v>
      </c>
      <c r="AJ130" s="7" t="str">
        <f>VLOOKUP($AE130,Mapping!$E$140:$K$2771,5,0)</f>
        <v>Labour</v>
      </c>
      <c r="AK130" s="7" t="str">
        <f>VLOOKUP($AE130,Mapping!$E$140:$K$2771,7,0)</f>
        <v>ENDirect</v>
      </c>
      <c r="AL130" s="7" t="str">
        <f>IFERROR(HLOOKUP(AJ130,'Calc|Weightings'!$K$5:$M$5,1,0),"Excl")</f>
        <v>Labour</v>
      </c>
      <c r="AM130" s="7" t="str">
        <f>VLOOKUP(AC130,Mapping!$E$11:$I$96,5,0)</f>
        <v>SCS</v>
      </c>
      <c r="AO130" s="134">
        <v>105</v>
      </c>
      <c r="AP130" s="135" t="s">
        <v>2118</v>
      </c>
      <c r="AQ130" s="135">
        <v>613602</v>
      </c>
      <c r="AR130" s="135" t="s">
        <v>1494</v>
      </c>
      <c r="AS130" s="136">
        <v>2.2833600000000001</v>
      </c>
      <c r="AU130" s="7" t="str">
        <f>VLOOKUP($AO130,Mapping!$E$11:$I$96,3,0)</f>
        <v>Connections</v>
      </c>
      <c r="AV130" s="7" t="str">
        <f>VLOOKUP($AQ130,Mapping!$E$140:$K$2771,5,0)</f>
        <v>Labour</v>
      </c>
      <c r="AW130" s="7" t="str">
        <f>VLOOKUP($AQ130,Mapping!$E$140:$K$2771,7,0)</f>
        <v>ENDirect</v>
      </c>
      <c r="AX130" s="7" t="str">
        <f>IFERROR(HLOOKUP(AV130,'Calc|Weightings'!$K$5:$M$5,1,0),"Excl")</f>
        <v>Labour</v>
      </c>
      <c r="AY130" s="7" t="str">
        <f>VLOOKUP(AO130,Mapping!$E$11:$I$96,5,0)</f>
        <v>SCS</v>
      </c>
    </row>
    <row r="131" spans="1:51" x14ac:dyDescent="0.2">
      <c r="A131" s="7"/>
      <c r="B131" s="7"/>
      <c r="C131" s="7"/>
      <c r="D131" s="7"/>
      <c r="E131" s="36">
        <v>105</v>
      </c>
      <c r="F131" s="36" t="s">
        <v>2118</v>
      </c>
      <c r="G131" s="36">
        <v>613310</v>
      </c>
      <c r="H131" s="36" t="s">
        <v>2095</v>
      </c>
      <c r="I131" s="37">
        <v>3.0345599999999999</v>
      </c>
      <c r="J131" s="7"/>
      <c r="K131" s="7" t="str">
        <f>VLOOKUP($E131,Mapping!$E$11:$I$96,3,0)</f>
        <v>Connections</v>
      </c>
      <c r="L131" s="7" t="str">
        <f>VLOOKUP($G131,Mapping!$E$140:$K$2771,5,0)</f>
        <v>Labour</v>
      </c>
      <c r="M131" s="7" t="str">
        <f>VLOOKUP($G131,Mapping!$E$140:$K$2771,7,0)</f>
        <v>ENDirect</v>
      </c>
      <c r="N131" s="7" t="str">
        <f>IFERROR(HLOOKUP(L131,'Calc|Weightings'!$K$5:$M$5,1,0),"Excl")</f>
        <v>Labour</v>
      </c>
      <c r="O131" s="7" t="str">
        <f>VLOOKUP(E131,Mapping!$E$11:$I$96,5,0)</f>
        <v>SCS</v>
      </c>
      <c r="Q131" s="33">
        <v>105</v>
      </c>
      <c r="R131" s="33" t="s">
        <v>2118</v>
      </c>
      <c r="S131" s="33">
        <v>613571</v>
      </c>
      <c r="T131" s="33" t="s">
        <v>1485</v>
      </c>
      <c r="U131" s="34">
        <v>0.30825999999999998</v>
      </c>
      <c r="V131" s="7"/>
      <c r="W131" s="7" t="str">
        <f>VLOOKUP($Q131,Mapping!$E$11:$I$96,3,0)</f>
        <v>Connections</v>
      </c>
      <c r="X131" s="7" t="str">
        <f>VLOOKUP($S131,Mapping!$E$140:$K$2771,5,0)</f>
        <v>Labour</v>
      </c>
      <c r="Y131" s="7" t="str">
        <f>VLOOKUP($S131,Mapping!$E$140:$K$2771,7,0)</f>
        <v>ENDirect</v>
      </c>
      <c r="Z131" s="7" t="str">
        <f>IFERROR(HLOOKUP(X131,'Calc|Weightings'!$K$5:$M$5,1,0),"Excl")</f>
        <v>Labour</v>
      </c>
      <c r="AA131" s="7" t="str">
        <f>VLOOKUP(Q131,Mapping!$E$11:$I$96,5,0)</f>
        <v>SCS</v>
      </c>
      <c r="AC131" s="111">
        <v>105</v>
      </c>
      <c r="AD131" s="111" t="s">
        <v>2118</v>
      </c>
      <c r="AE131" s="111">
        <v>613310</v>
      </c>
      <c r="AF131" s="111" t="s">
        <v>2095</v>
      </c>
      <c r="AG131" s="112">
        <v>19.611350000000002</v>
      </c>
      <c r="AI131" s="7" t="str">
        <f>VLOOKUP($AC131,Mapping!$E$11:$I$96,3,0)</f>
        <v>Connections</v>
      </c>
      <c r="AJ131" s="7" t="str">
        <f>VLOOKUP($AE131,Mapping!$E$140:$K$2771,5,0)</f>
        <v>Labour</v>
      </c>
      <c r="AK131" s="7" t="str">
        <f>VLOOKUP($AE131,Mapping!$E$140:$K$2771,7,0)</f>
        <v>ENDirect</v>
      </c>
      <c r="AL131" s="7" t="str">
        <f>IFERROR(HLOOKUP(AJ131,'Calc|Weightings'!$K$5:$M$5,1,0),"Excl")</f>
        <v>Labour</v>
      </c>
      <c r="AM131" s="7" t="str">
        <f>VLOOKUP(AC131,Mapping!$E$11:$I$96,5,0)</f>
        <v>SCS</v>
      </c>
      <c r="AO131" s="134">
        <v>105</v>
      </c>
      <c r="AP131" s="135" t="s">
        <v>2118</v>
      </c>
      <c r="AQ131" s="135">
        <v>613630</v>
      </c>
      <c r="AR131" s="135" t="s">
        <v>1498</v>
      </c>
      <c r="AS131" s="136">
        <v>21.425599999999999</v>
      </c>
      <c r="AU131" s="7" t="str">
        <f>VLOOKUP($AO131,Mapping!$E$11:$I$96,3,0)</f>
        <v>Connections</v>
      </c>
      <c r="AV131" s="7" t="str">
        <f>VLOOKUP($AQ131,Mapping!$E$140:$K$2771,5,0)</f>
        <v>Labour</v>
      </c>
      <c r="AW131" s="7" t="str">
        <f>VLOOKUP($AQ131,Mapping!$E$140:$K$2771,7,0)</f>
        <v>ENDirect</v>
      </c>
      <c r="AX131" s="7" t="str">
        <f>IFERROR(HLOOKUP(AV131,'Calc|Weightings'!$K$5:$M$5,1,0),"Excl")</f>
        <v>Labour</v>
      </c>
      <c r="AY131" s="7" t="str">
        <f>VLOOKUP(AO131,Mapping!$E$11:$I$96,5,0)</f>
        <v>SCS</v>
      </c>
    </row>
    <row r="132" spans="1:51" x14ac:dyDescent="0.2">
      <c r="A132" s="7"/>
      <c r="B132" s="7"/>
      <c r="C132" s="7"/>
      <c r="D132" s="7"/>
      <c r="E132" s="36">
        <v>105</v>
      </c>
      <c r="F132" s="36" t="s">
        <v>2118</v>
      </c>
      <c r="G132" s="36">
        <v>613318</v>
      </c>
      <c r="H132" s="36" t="s">
        <v>1360</v>
      </c>
      <c r="I132" s="37">
        <v>52.295520000000003</v>
      </c>
      <c r="J132" s="7"/>
      <c r="K132" s="7" t="str">
        <f>VLOOKUP($E132,Mapping!$E$11:$I$96,3,0)</f>
        <v>Connections</v>
      </c>
      <c r="L132" s="7" t="str">
        <f>VLOOKUP($G132,Mapping!$E$140:$K$2771,5,0)</f>
        <v>Labour</v>
      </c>
      <c r="M132" s="7" t="str">
        <f>VLOOKUP($G132,Mapping!$E$140:$K$2771,7,0)</f>
        <v>ENDirect</v>
      </c>
      <c r="N132" s="7" t="str">
        <f>IFERROR(HLOOKUP(L132,'Calc|Weightings'!$K$5:$M$5,1,0),"Excl")</f>
        <v>Labour</v>
      </c>
      <c r="O132" s="7" t="str">
        <f>VLOOKUP(E132,Mapping!$E$11:$I$96,5,0)</f>
        <v>SCS</v>
      </c>
      <c r="Q132" s="33">
        <v>105</v>
      </c>
      <c r="R132" s="33" t="s">
        <v>2118</v>
      </c>
      <c r="S132" s="33">
        <v>613574</v>
      </c>
      <c r="T132" s="33" t="s">
        <v>1488</v>
      </c>
      <c r="U132" s="34">
        <v>91.833110000000005</v>
      </c>
      <c r="V132" s="7"/>
      <c r="W132" s="7" t="str">
        <f>VLOOKUP($Q132,Mapping!$E$11:$I$96,3,0)</f>
        <v>Connections</v>
      </c>
      <c r="X132" s="7" t="str">
        <f>VLOOKUP($S132,Mapping!$E$140:$K$2771,5,0)</f>
        <v>Labour</v>
      </c>
      <c r="Y132" s="7" t="str">
        <f>VLOOKUP($S132,Mapping!$E$140:$K$2771,7,0)</f>
        <v>ENDirect</v>
      </c>
      <c r="Z132" s="7" t="str">
        <f>IFERROR(HLOOKUP(X132,'Calc|Weightings'!$K$5:$M$5,1,0),"Excl")</f>
        <v>Labour</v>
      </c>
      <c r="AA132" s="7" t="str">
        <f>VLOOKUP(Q132,Mapping!$E$11:$I$96,5,0)</f>
        <v>SCS</v>
      </c>
      <c r="AC132" s="111">
        <v>105</v>
      </c>
      <c r="AD132" s="111" t="s">
        <v>2118</v>
      </c>
      <c r="AE132" s="111">
        <v>613350</v>
      </c>
      <c r="AF132" s="111" t="s">
        <v>2096</v>
      </c>
      <c r="AG132" s="112">
        <v>3.5545300000000002</v>
      </c>
      <c r="AI132" s="7" t="str">
        <f>VLOOKUP($AC132,Mapping!$E$11:$I$96,3,0)</f>
        <v>Connections</v>
      </c>
      <c r="AJ132" s="7" t="str">
        <f>VLOOKUP($AE132,Mapping!$E$140:$K$2771,5,0)</f>
        <v>Labour</v>
      </c>
      <c r="AK132" s="7" t="str">
        <f>VLOOKUP($AE132,Mapping!$E$140:$K$2771,7,0)</f>
        <v>ENDirect</v>
      </c>
      <c r="AL132" s="7" t="str">
        <f>IFERROR(HLOOKUP(AJ132,'Calc|Weightings'!$K$5:$M$5,1,0),"Excl")</f>
        <v>Labour</v>
      </c>
      <c r="AM132" s="7" t="str">
        <f>VLOOKUP(AC132,Mapping!$E$11:$I$96,5,0)</f>
        <v>SCS</v>
      </c>
      <c r="AO132" s="134">
        <v>105</v>
      </c>
      <c r="AP132" s="135" t="s">
        <v>2118</v>
      </c>
      <c r="AQ132" s="135">
        <v>613680</v>
      </c>
      <c r="AR132" s="135" t="s">
        <v>2107</v>
      </c>
      <c r="AS132" s="136">
        <v>104.07232</v>
      </c>
      <c r="AU132" s="7" t="str">
        <f>VLOOKUP($AO132,Mapping!$E$11:$I$96,3,0)</f>
        <v>Connections</v>
      </c>
      <c r="AV132" s="7" t="str">
        <f>VLOOKUP($AQ132,Mapping!$E$140:$K$2771,5,0)</f>
        <v>Labour</v>
      </c>
      <c r="AW132" s="7" t="str">
        <f>VLOOKUP($AQ132,Mapping!$E$140:$K$2771,7,0)</f>
        <v>ENDirect</v>
      </c>
      <c r="AX132" s="7" t="str">
        <f>IFERROR(HLOOKUP(AV132,'Calc|Weightings'!$K$5:$M$5,1,0),"Excl")</f>
        <v>Labour</v>
      </c>
      <c r="AY132" s="7" t="str">
        <f>VLOOKUP(AO132,Mapping!$E$11:$I$96,5,0)</f>
        <v>SCS</v>
      </c>
    </row>
    <row r="133" spans="1:51" x14ac:dyDescent="0.2">
      <c r="A133" s="7"/>
      <c r="B133" s="7"/>
      <c r="C133" s="7"/>
      <c r="D133" s="7"/>
      <c r="E133" s="36">
        <v>105</v>
      </c>
      <c r="F133" s="36" t="s">
        <v>2118</v>
      </c>
      <c r="G133" s="36">
        <v>613319</v>
      </c>
      <c r="H133" s="36" t="s">
        <v>2358</v>
      </c>
      <c r="I133" s="37">
        <v>4.0460799999999999</v>
      </c>
      <c r="J133" s="7"/>
      <c r="K133" s="7" t="str">
        <f>VLOOKUP($E133,Mapping!$E$11:$I$96,3,0)</f>
        <v>Connections</v>
      </c>
      <c r="L133" s="7" t="str">
        <f>VLOOKUP($G133,Mapping!$E$140:$K$2771,5,0)</f>
        <v>Labour</v>
      </c>
      <c r="M133" s="7" t="str">
        <f>VLOOKUP($G133,Mapping!$E$140:$K$2771,7,0)</f>
        <v>ENDirect</v>
      </c>
      <c r="N133" s="7" t="str">
        <f>IFERROR(HLOOKUP(L133,'Calc|Weightings'!$K$5:$M$5,1,0),"Excl")</f>
        <v>Labour</v>
      </c>
      <c r="O133" s="7" t="str">
        <f>VLOOKUP(E133,Mapping!$E$11:$I$96,5,0)</f>
        <v>SCS</v>
      </c>
      <c r="Q133" s="33">
        <v>105</v>
      </c>
      <c r="R133" s="33" t="s">
        <v>2118</v>
      </c>
      <c r="S133" s="33">
        <v>613575</v>
      </c>
      <c r="T133" s="33" t="s">
        <v>1489</v>
      </c>
      <c r="U133" s="34">
        <v>0.48665999999999998</v>
      </c>
      <c r="V133" s="7"/>
      <c r="W133" s="7" t="str">
        <f>VLOOKUP($Q133,Mapping!$E$11:$I$96,3,0)</f>
        <v>Connections</v>
      </c>
      <c r="X133" s="7" t="str">
        <f>VLOOKUP($S133,Mapping!$E$140:$K$2771,5,0)</f>
        <v>Labour</v>
      </c>
      <c r="Y133" s="7" t="str">
        <f>VLOOKUP($S133,Mapping!$E$140:$K$2771,7,0)</f>
        <v>ENDirect</v>
      </c>
      <c r="Z133" s="7" t="str">
        <f>IFERROR(HLOOKUP(X133,'Calc|Weightings'!$K$5:$M$5,1,0),"Excl")</f>
        <v>Labour</v>
      </c>
      <c r="AA133" s="7" t="str">
        <f>VLOOKUP(Q133,Mapping!$E$11:$I$96,5,0)</f>
        <v>SCS</v>
      </c>
      <c r="AC133" s="111">
        <v>105</v>
      </c>
      <c r="AD133" s="111" t="s">
        <v>2118</v>
      </c>
      <c r="AE133" s="111">
        <v>613360</v>
      </c>
      <c r="AF133" s="111" t="s">
        <v>2097</v>
      </c>
      <c r="AG133" s="112">
        <v>149.29812999999999</v>
      </c>
      <c r="AI133" s="7" t="str">
        <f>VLOOKUP($AC133,Mapping!$E$11:$I$96,3,0)</f>
        <v>Connections</v>
      </c>
      <c r="AJ133" s="7" t="str">
        <f>VLOOKUP($AE133,Mapping!$E$140:$K$2771,5,0)</f>
        <v>Labour</v>
      </c>
      <c r="AK133" s="7" t="str">
        <f>VLOOKUP($AE133,Mapping!$E$140:$K$2771,7,0)</f>
        <v>ENDirect</v>
      </c>
      <c r="AL133" s="7" t="str">
        <f>IFERROR(HLOOKUP(AJ133,'Calc|Weightings'!$K$5:$M$5,1,0),"Excl")</f>
        <v>Labour</v>
      </c>
      <c r="AM133" s="7" t="str">
        <f>VLOOKUP(AC133,Mapping!$E$11:$I$96,5,0)</f>
        <v>SCS</v>
      </c>
      <c r="AO133" s="134">
        <v>105</v>
      </c>
      <c r="AP133" s="135" t="s">
        <v>2118</v>
      </c>
      <c r="AQ133" s="135">
        <v>614115</v>
      </c>
      <c r="AR133" s="135" t="s">
        <v>2109</v>
      </c>
      <c r="AS133" s="136">
        <v>79.845740000000006</v>
      </c>
      <c r="AU133" s="7" t="str">
        <f>VLOOKUP($AO133,Mapping!$E$11:$I$96,3,0)</f>
        <v>Connections</v>
      </c>
      <c r="AV133" s="7" t="str">
        <f>VLOOKUP($AQ133,Mapping!$E$140:$K$2771,5,0)</f>
        <v>Labour</v>
      </c>
      <c r="AW133" s="7" t="str">
        <f>VLOOKUP($AQ133,Mapping!$E$140:$K$2771,7,0)</f>
        <v>ENDirect</v>
      </c>
      <c r="AX133" s="7" t="str">
        <f>IFERROR(HLOOKUP(AV133,'Calc|Weightings'!$K$5:$M$5,1,0),"Excl")</f>
        <v>Labour</v>
      </c>
      <c r="AY133" s="7" t="str">
        <f>VLOOKUP(AO133,Mapping!$E$11:$I$96,5,0)</f>
        <v>SCS</v>
      </c>
    </row>
    <row r="134" spans="1:51" x14ac:dyDescent="0.2">
      <c r="A134" s="7"/>
      <c r="B134" s="7"/>
      <c r="C134" s="7"/>
      <c r="D134" s="7"/>
      <c r="E134" s="36">
        <v>105</v>
      </c>
      <c r="F134" s="36" t="s">
        <v>2118</v>
      </c>
      <c r="G134" s="36">
        <v>613324</v>
      </c>
      <c r="H134" s="36" t="s">
        <v>2351</v>
      </c>
      <c r="I134" s="37">
        <v>4.8124799999999999</v>
      </c>
      <c r="J134" s="7"/>
      <c r="K134" s="7" t="str">
        <f>VLOOKUP($E134,Mapping!$E$11:$I$96,3,0)</f>
        <v>Connections</v>
      </c>
      <c r="L134" s="7" t="str">
        <f>VLOOKUP($G134,Mapping!$E$140:$K$2771,5,0)</f>
        <v>Labour</v>
      </c>
      <c r="M134" s="7" t="str">
        <f>VLOOKUP($G134,Mapping!$E$140:$K$2771,7,0)</f>
        <v>ENDirect</v>
      </c>
      <c r="N134" s="7" t="str">
        <f>IFERROR(HLOOKUP(L134,'Calc|Weightings'!$K$5:$M$5,1,0),"Excl")</f>
        <v>Labour</v>
      </c>
      <c r="O134" s="7" t="str">
        <f>VLOOKUP(E134,Mapping!$E$11:$I$96,5,0)</f>
        <v>SCS</v>
      </c>
      <c r="Q134" s="33">
        <v>105</v>
      </c>
      <c r="R134" s="33" t="s">
        <v>2118</v>
      </c>
      <c r="S134" s="33">
        <v>613602</v>
      </c>
      <c r="T134" s="33" t="s">
        <v>1494</v>
      </c>
      <c r="U134" s="34">
        <v>3.5893199999999998</v>
      </c>
      <c r="V134" s="7"/>
      <c r="W134" s="7" t="str">
        <f>VLOOKUP($Q134,Mapping!$E$11:$I$96,3,0)</f>
        <v>Connections</v>
      </c>
      <c r="X134" s="7" t="str">
        <f>VLOOKUP($S134,Mapping!$E$140:$K$2771,5,0)</f>
        <v>Labour</v>
      </c>
      <c r="Y134" s="7" t="str">
        <f>VLOOKUP($S134,Mapping!$E$140:$K$2771,7,0)</f>
        <v>ENDirect</v>
      </c>
      <c r="Z134" s="7" t="str">
        <f>IFERROR(HLOOKUP(X134,'Calc|Weightings'!$K$5:$M$5,1,0),"Excl")</f>
        <v>Labour</v>
      </c>
      <c r="AA134" s="7" t="str">
        <f>VLOOKUP(Q134,Mapping!$E$11:$I$96,5,0)</f>
        <v>SCS</v>
      </c>
      <c r="AC134" s="111">
        <v>105</v>
      </c>
      <c r="AD134" s="111" t="s">
        <v>2118</v>
      </c>
      <c r="AE134" s="111">
        <v>613361</v>
      </c>
      <c r="AF134" s="111" t="s">
        <v>2098</v>
      </c>
      <c r="AG134" s="112">
        <v>2.6107499999999999</v>
      </c>
      <c r="AI134" s="7" t="str">
        <f>VLOOKUP($AC134,Mapping!$E$11:$I$96,3,0)</f>
        <v>Connections</v>
      </c>
      <c r="AJ134" s="7" t="str">
        <f>VLOOKUP($AE134,Mapping!$E$140:$K$2771,5,0)</f>
        <v>Labour</v>
      </c>
      <c r="AK134" s="7" t="str">
        <f>VLOOKUP($AE134,Mapping!$E$140:$K$2771,7,0)</f>
        <v>ENDirect</v>
      </c>
      <c r="AL134" s="7" t="str">
        <f>IFERROR(HLOOKUP(AJ134,'Calc|Weightings'!$K$5:$M$5,1,0),"Excl")</f>
        <v>Labour</v>
      </c>
      <c r="AM134" s="7" t="str">
        <f>VLOOKUP(AC134,Mapping!$E$11:$I$96,5,0)</f>
        <v>SCS</v>
      </c>
      <c r="AO134" s="134">
        <v>105</v>
      </c>
      <c r="AP134" s="135" t="s">
        <v>2118</v>
      </c>
      <c r="AQ134" s="135">
        <v>634001</v>
      </c>
      <c r="AR134" s="135" t="s">
        <v>2110</v>
      </c>
      <c r="AS134" s="136">
        <v>398.36273</v>
      </c>
      <c r="AU134" s="7" t="str">
        <f>VLOOKUP($AO134,Mapping!$E$11:$I$96,3,0)</f>
        <v>Connections</v>
      </c>
      <c r="AV134" s="7" t="str">
        <f>VLOOKUP($AQ134,Mapping!$E$140:$K$2771,5,0)</f>
        <v>Local OH</v>
      </c>
      <c r="AW134" s="7" t="str">
        <f>VLOOKUP($AQ134,Mapping!$E$140:$K$2771,7,0)</f>
        <v>OH</v>
      </c>
      <c r="AX134" s="7" t="str">
        <f>IFERROR(HLOOKUP(AV134,'Calc|Weightings'!$K$5:$M$5,1,0),"Excl")</f>
        <v>Excl</v>
      </c>
      <c r="AY134" s="7" t="str">
        <f>VLOOKUP(AO134,Mapping!$E$11:$I$96,5,0)</f>
        <v>SCS</v>
      </c>
    </row>
    <row r="135" spans="1:51" x14ac:dyDescent="0.2">
      <c r="A135" s="7"/>
      <c r="B135" s="7"/>
      <c r="C135" s="7"/>
      <c r="D135" s="7"/>
      <c r="E135" s="36">
        <v>105</v>
      </c>
      <c r="F135" s="36" t="s">
        <v>2118</v>
      </c>
      <c r="G135" s="36">
        <v>613325</v>
      </c>
      <c r="H135" s="36" t="s">
        <v>2352</v>
      </c>
      <c r="I135" s="37">
        <v>0.82715000000000005</v>
      </c>
      <c r="J135" s="7"/>
      <c r="K135" s="7" t="str">
        <f>VLOOKUP($E135,Mapping!$E$11:$I$96,3,0)</f>
        <v>Connections</v>
      </c>
      <c r="L135" s="7" t="str">
        <f>VLOOKUP($G135,Mapping!$E$140:$K$2771,5,0)</f>
        <v>Labour</v>
      </c>
      <c r="M135" s="7" t="str">
        <f>VLOOKUP($G135,Mapping!$E$140:$K$2771,7,0)</f>
        <v>ENDirect</v>
      </c>
      <c r="N135" s="7" t="str">
        <f>IFERROR(HLOOKUP(L135,'Calc|Weightings'!$K$5:$M$5,1,0),"Excl")</f>
        <v>Labour</v>
      </c>
      <c r="O135" s="7" t="str">
        <f>VLOOKUP(E135,Mapping!$E$11:$I$96,5,0)</f>
        <v>SCS</v>
      </c>
      <c r="Q135" s="33">
        <v>105</v>
      </c>
      <c r="R135" s="33" t="s">
        <v>2118</v>
      </c>
      <c r="S135" s="33">
        <v>613630</v>
      </c>
      <c r="T135" s="33" t="s">
        <v>1498</v>
      </c>
      <c r="U135" s="34">
        <v>6.34605</v>
      </c>
      <c r="V135" s="7"/>
      <c r="W135" s="7" t="str">
        <f>VLOOKUP($Q135,Mapping!$E$11:$I$96,3,0)</f>
        <v>Connections</v>
      </c>
      <c r="X135" s="7" t="str">
        <f>VLOOKUP($S135,Mapping!$E$140:$K$2771,5,0)</f>
        <v>Labour</v>
      </c>
      <c r="Y135" s="7" t="str">
        <f>VLOOKUP($S135,Mapping!$E$140:$K$2771,7,0)</f>
        <v>ENDirect</v>
      </c>
      <c r="Z135" s="7" t="str">
        <f>IFERROR(HLOOKUP(X135,'Calc|Weightings'!$K$5:$M$5,1,0),"Excl")</f>
        <v>Labour</v>
      </c>
      <c r="AA135" s="7" t="str">
        <f>VLOOKUP(Q135,Mapping!$E$11:$I$96,5,0)</f>
        <v>SCS</v>
      </c>
      <c r="AC135" s="111">
        <v>105</v>
      </c>
      <c r="AD135" s="111" t="s">
        <v>2118</v>
      </c>
      <c r="AE135" s="111">
        <v>613370</v>
      </c>
      <c r="AF135" s="111" t="s">
        <v>1402</v>
      </c>
      <c r="AG135" s="112">
        <v>11.41277</v>
      </c>
      <c r="AI135" s="7" t="str">
        <f>VLOOKUP($AC135,Mapping!$E$11:$I$96,3,0)</f>
        <v>Connections</v>
      </c>
      <c r="AJ135" s="7" t="str">
        <f>VLOOKUP($AE135,Mapping!$E$140:$K$2771,5,0)</f>
        <v>Labour</v>
      </c>
      <c r="AK135" s="7" t="str">
        <f>VLOOKUP($AE135,Mapping!$E$140:$K$2771,7,0)</f>
        <v>ENDirect</v>
      </c>
      <c r="AL135" s="7" t="str">
        <f>IFERROR(HLOOKUP(AJ135,'Calc|Weightings'!$K$5:$M$5,1,0),"Excl")</f>
        <v>Labour</v>
      </c>
      <c r="AM135" s="7" t="str">
        <f>VLOOKUP(AC135,Mapping!$E$11:$I$96,5,0)</f>
        <v>SCS</v>
      </c>
      <c r="AO135" s="134">
        <v>105</v>
      </c>
      <c r="AP135" s="135" t="s">
        <v>2118</v>
      </c>
      <c r="AQ135" s="135">
        <v>635001</v>
      </c>
      <c r="AR135" s="135" t="s">
        <v>1929</v>
      </c>
      <c r="AS135" s="136">
        <v>304.45076</v>
      </c>
      <c r="AU135" s="7" t="str">
        <f>VLOOKUP($AO135,Mapping!$E$11:$I$96,3,0)</f>
        <v>Connections</v>
      </c>
      <c r="AV135" s="7" t="str">
        <f>VLOOKUP($AQ135,Mapping!$E$140:$K$2771,5,0)</f>
        <v>PNS MG</v>
      </c>
      <c r="AW135" s="7" t="str">
        <f>VLOOKUP($AQ135,Mapping!$E$140:$K$2771,7,0)</f>
        <v>ENDirect</v>
      </c>
      <c r="AX135" s="7" t="str">
        <f>IFERROR(HLOOKUP(AV135,'Calc|Weightings'!$K$5:$M$5,1,0),"Excl")</f>
        <v>Excl</v>
      </c>
      <c r="AY135" s="7" t="str">
        <f>VLOOKUP(AO135,Mapping!$E$11:$I$96,5,0)</f>
        <v>SCS</v>
      </c>
    </row>
    <row r="136" spans="1:51" x14ac:dyDescent="0.2">
      <c r="A136" s="7"/>
      <c r="B136" s="7"/>
      <c r="C136" s="7"/>
      <c r="D136" s="7"/>
      <c r="E136" s="36">
        <v>105</v>
      </c>
      <c r="F136" s="36" t="s">
        <v>2118</v>
      </c>
      <c r="G136" s="36">
        <v>613350</v>
      </c>
      <c r="H136" s="36" t="s">
        <v>2096</v>
      </c>
      <c r="I136" s="37">
        <v>30.40335</v>
      </c>
      <c r="J136" s="7"/>
      <c r="K136" s="7" t="str">
        <f>VLOOKUP($E136,Mapping!$E$11:$I$96,3,0)</f>
        <v>Connections</v>
      </c>
      <c r="L136" s="7" t="str">
        <f>VLOOKUP($G136,Mapping!$E$140:$K$2771,5,0)</f>
        <v>Labour</v>
      </c>
      <c r="M136" s="7" t="str">
        <f>VLOOKUP($G136,Mapping!$E$140:$K$2771,7,0)</f>
        <v>ENDirect</v>
      </c>
      <c r="N136" s="7" t="str">
        <f>IFERROR(HLOOKUP(L136,'Calc|Weightings'!$K$5:$M$5,1,0),"Excl")</f>
        <v>Labour</v>
      </c>
      <c r="O136" s="7" t="str">
        <f>VLOOKUP(E136,Mapping!$E$11:$I$96,5,0)</f>
        <v>SCS</v>
      </c>
      <c r="Q136" s="33">
        <v>105</v>
      </c>
      <c r="R136" s="33" t="s">
        <v>2118</v>
      </c>
      <c r="S136" s="33">
        <v>613680</v>
      </c>
      <c r="T136" s="33" t="s">
        <v>2107</v>
      </c>
      <c r="U136" s="34">
        <v>85.395120000000006</v>
      </c>
      <c r="V136" s="7"/>
      <c r="W136" s="7" t="str">
        <f>VLOOKUP($Q136,Mapping!$E$11:$I$96,3,0)</f>
        <v>Connections</v>
      </c>
      <c r="X136" s="7" t="str">
        <f>VLOOKUP($S136,Mapping!$E$140:$K$2771,5,0)</f>
        <v>Labour</v>
      </c>
      <c r="Y136" s="7" t="str">
        <f>VLOOKUP($S136,Mapping!$E$140:$K$2771,7,0)</f>
        <v>ENDirect</v>
      </c>
      <c r="Z136" s="7" t="str">
        <f>IFERROR(HLOOKUP(X136,'Calc|Weightings'!$K$5:$M$5,1,0),"Excl")</f>
        <v>Labour</v>
      </c>
      <c r="AA136" s="7" t="str">
        <f>VLOOKUP(Q136,Mapping!$E$11:$I$96,5,0)</f>
        <v>SCS</v>
      </c>
      <c r="AC136" s="111">
        <v>105</v>
      </c>
      <c r="AD136" s="111" t="s">
        <v>2118</v>
      </c>
      <c r="AE136" s="111">
        <v>613400</v>
      </c>
      <c r="AF136" s="111" t="s">
        <v>2099</v>
      </c>
      <c r="AG136" s="112">
        <v>137.86492000000001</v>
      </c>
      <c r="AI136" s="7" t="str">
        <f>VLOOKUP($AC136,Mapping!$E$11:$I$96,3,0)</f>
        <v>Connections</v>
      </c>
      <c r="AJ136" s="7" t="str">
        <f>VLOOKUP($AE136,Mapping!$E$140:$K$2771,5,0)</f>
        <v>Labour</v>
      </c>
      <c r="AK136" s="7" t="str">
        <f>VLOOKUP($AE136,Mapping!$E$140:$K$2771,7,0)</f>
        <v>ENDirect</v>
      </c>
      <c r="AL136" s="7" t="str">
        <f>IFERROR(HLOOKUP(AJ136,'Calc|Weightings'!$K$5:$M$5,1,0),"Excl")</f>
        <v>Labour</v>
      </c>
      <c r="AM136" s="7" t="str">
        <f>VLOOKUP(AC136,Mapping!$E$11:$I$96,5,0)</f>
        <v>SCS</v>
      </c>
      <c r="AO136" s="134">
        <v>105</v>
      </c>
      <c r="AP136" s="135" t="s">
        <v>2118</v>
      </c>
      <c r="AQ136" s="135">
        <v>636001</v>
      </c>
      <c r="AR136" s="135" t="s">
        <v>2111</v>
      </c>
      <c r="AS136" s="136">
        <v>274.17473000000001</v>
      </c>
      <c r="AU136" s="7" t="str">
        <f>VLOOKUP($AO136,Mapping!$E$11:$I$96,3,0)</f>
        <v>Connections</v>
      </c>
      <c r="AV136" s="7" t="str">
        <f>VLOOKUP($AQ136,Mapping!$E$140:$K$2771,5,0)</f>
        <v>System Control OH</v>
      </c>
      <c r="AW136" s="7" t="str">
        <f>VLOOKUP($AQ136,Mapping!$E$140:$K$2771,7,0)</f>
        <v>OH</v>
      </c>
      <c r="AX136" s="7" t="str">
        <f>IFERROR(HLOOKUP(AV136,'Calc|Weightings'!$K$5:$M$5,1,0),"Excl")</f>
        <v>Excl</v>
      </c>
      <c r="AY136" s="7" t="str">
        <f>VLOOKUP(AO136,Mapping!$E$11:$I$96,5,0)</f>
        <v>SCS</v>
      </c>
    </row>
    <row r="137" spans="1:51" x14ac:dyDescent="0.2">
      <c r="A137" s="7"/>
      <c r="B137" s="7"/>
      <c r="C137" s="7"/>
      <c r="D137" s="7"/>
      <c r="E137" s="36">
        <v>105</v>
      </c>
      <c r="F137" s="36" t="s">
        <v>2118</v>
      </c>
      <c r="G137" s="36">
        <v>613351</v>
      </c>
      <c r="H137" s="36" t="s">
        <v>2151</v>
      </c>
      <c r="I137" s="37">
        <v>3.1220000000000001E-2</v>
      </c>
      <c r="J137" s="7"/>
      <c r="K137" s="7" t="str">
        <f>VLOOKUP($E137,Mapping!$E$11:$I$96,3,0)</f>
        <v>Connections</v>
      </c>
      <c r="L137" s="7" t="str">
        <f>VLOOKUP($G137,Mapping!$E$140:$K$2771,5,0)</f>
        <v>Labour</v>
      </c>
      <c r="M137" s="7" t="str">
        <f>VLOOKUP($G137,Mapping!$E$140:$K$2771,7,0)</f>
        <v>ENDirect</v>
      </c>
      <c r="N137" s="7" t="str">
        <f>IFERROR(HLOOKUP(L137,'Calc|Weightings'!$K$5:$M$5,1,0),"Excl")</f>
        <v>Labour</v>
      </c>
      <c r="O137" s="7" t="str">
        <f>VLOOKUP(E137,Mapping!$E$11:$I$96,5,0)</f>
        <v>SCS</v>
      </c>
      <c r="Q137" s="33">
        <v>105</v>
      </c>
      <c r="R137" s="33" t="s">
        <v>2118</v>
      </c>
      <c r="S137" s="33">
        <v>613681</v>
      </c>
      <c r="T137" s="33" t="s">
        <v>2108</v>
      </c>
      <c r="U137" s="34">
        <v>3.0578799999999999</v>
      </c>
      <c r="V137" s="7"/>
      <c r="W137" s="7" t="str">
        <f>VLOOKUP($Q137,Mapping!$E$11:$I$96,3,0)</f>
        <v>Connections</v>
      </c>
      <c r="X137" s="7" t="str">
        <f>VLOOKUP($S137,Mapping!$E$140:$K$2771,5,0)</f>
        <v>Labour</v>
      </c>
      <c r="Y137" s="7" t="str">
        <f>VLOOKUP($S137,Mapping!$E$140:$K$2771,7,0)</f>
        <v>ENDirect</v>
      </c>
      <c r="Z137" s="7" t="str">
        <f>IFERROR(HLOOKUP(X137,'Calc|Weightings'!$K$5:$M$5,1,0),"Excl")</f>
        <v>Labour</v>
      </c>
      <c r="AA137" s="7" t="str">
        <f>VLOOKUP(Q137,Mapping!$E$11:$I$96,5,0)</f>
        <v>SCS</v>
      </c>
      <c r="AC137" s="111">
        <v>105</v>
      </c>
      <c r="AD137" s="111" t="s">
        <v>2118</v>
      </c>
      <c r="AE137" s="111">
        <v>613401</v>
      </c>
      <c r="AF137" s="111" t="s">
        <v>2117</v>
      </c>
      <c r="AG137" s="112">
        <v>9.8060899999999993</v>
      </c>
      <c r="AI137" s="7" t="str">
        <f>VLOOKUP($AC137,Mapping!$E$11:$I$96,3,0)</f>
        <v>Connections</v>
      </c>
      <c r="AJ137" s="7" t="str">
        <f>VLOOKUP($AE137,Mapping!$E$140:$K$2771,5,0)</f>
        <v>Labour</v>
      </c>
      <c r="AK137" s="7" t="str">
        <f>VLOOKUP($AE137,Mapping!$E$140:$K$2771,7,0)</f>
        <v>ENDirect</v>
      </c>
      <c r="AL137" s="7" t="str">
        <f>IFERROR(HLOOKUP(AJ137,'Calc|Weightings'!$K$5:$M$5,1,0),"Excl")</f>
        <v>Labour</v>
      </c>
      <c r="AM137" s="7" t="str">
        <f>VLOOKUP(AC137,Mapping!$E$11:$I$96,5,0)</f>
        <v>SCS</v>
      </c>
      <c r="AO137" s="134">
        <v>105</v>
      </c>
      <c r="AP137" s="135" t="s">
        <v>2118</v>
      </c>
      <c r="AQ137" s="135">
        <v>636105</v>
      </c>
      <c r="AR137" s="135" t="s">
        <v>1937</v>
      </c>
      <c r="AS137" s="136">
        <v>6.7701000000000002</v>
      </c>
      <c r="AU137" s="7" t="str">
        <f>VLOOKUP($AO137,Mapping!$E$11:$I$96,3,0)</f>
        <v>Connections</v>
      </c>
      <c r="AV137" s="7" t="str">
        <f>VLOOKUP($AQ137,Mapping!$E$140:$K$2771,5,0)</f>
        <v>CSG MG</v>
      </c>
      <c r="AW137" s="7" t="str">
        <f>VLOOKUP($AQ137,Mapping!$E$140:$K$2771,7,0)</f>
        <v>ENDirect</v>
      </c>
      <c r="AX137" s="7" t="str">
        <f>IFERROR(HLOOKUP(AV137,'Calc|Weightings'!$K$5:$M$5,1,0),"Excl")</f>
        <v>Excl</v>
      </c>
      <c r="AY137" s="7" t="str">
        <f>VLOOKUP(AO137,Mapping!$E$11:$I$96,5,0)</f>
        <v>SCS</v>
      </c>
    </row>
    <row r="138" spans="1:51" x14ac:dyDescent="0.2">
      <c r="A138" s="7"/>
      <c r="B138" s="7"/>
      <c r="C138" s="7"/>
      <c r="D138" s="7"/>
      <c r="E138" s="36">
        <v>105</v>
      </c>
      <c r="F138" s="36" t="s">
        <v>2118</v>
      </c>
      <c r="G138" s="36">
        <v>613360</v>
      </c>
      <c r="H138" s="36" t="s">
        <v>2097</v>
      </c>
      <c r="I138" s="37">
        <v>229.64778000000001</v>
      </c>
      <c r="J138" s="7"/>
      <c r="K138" s="7" t="str">
        <f>VLOOKUP($E138,Mapping!$E$11:$I$96,3,0)</f>
        <v>Connections</v>
      </c>
      <c r="L138" s="7" t="str">
        <f>VLOOKUP($G138,Mapping!$E$140:$K$2771,5,0)</f>
        <v>Labour</v>
      </c>
      <c r="M138" s="7" t="str">
        <f>VLOOKUP($G138,Mapping!$E$140:$K$2771,7,0)</f>
        <v>ENDirect</v>
      </c>
      <c r="N138" s="7" t="str">
        <f>IFERROR(HLOOKUP(L138,'Calc|Weightings'!$K$5:$M$5,1,0),"Excl")</f>
        <v>Labour</v>
      </c>
      <c r="O138" s="7" t="str">
        <f>VLOOKUP(E138,Mapping!$E$11:$I$96,5,0)</f>
        <v>SCS</v>
      </c>
      <c r="Q138" s="33">
        <v>105</v>
      </c>
      <c r="R138" s="33" t="s">
        <v>2118</v>
      </c>
      <c r="S138" s="33">
        <v>614115</v>
      </c>
      <c r="T138" s="33" t="s">
        <v>2109</v>
      </c>
      <c r="U138" s="34">
        <v>18.83353</v>
      </c>
      <c r="V138" s="7"/>
      <c r="W138" s="7" t="str">
        <f>VLOOKUP($Q138,Mapping!$E$11:$I$96,3,0)</f>
        <v>Connections</v>
      </c>
      <c r="X138" s="7" t="str">
        <f>VLOOKUP($S138,Mapping!$E$140:$K$2771,5,0)</f>
        <v>Labour</v>
      </c>
      <c r="Y138" s="7" t="str">
        <f>VLOOKUP($S138,Mapping!$E$140:$K$2771,7,0)</f>
        <v>ENDirect</v>
      </c>
      <c r="Z138" s="7" t="str">
        <f>IFERROR(HLOOKUP(X138,'Calc|Weightings'!$K$5:$M$5,1,0),"Excl")</f>
        <v>Labour</v>
      </c>
      <c r="AA138" s="7" t="str">
        <f>VLOOKUP(Q138,Mapping!$E$11:$I$96,5,0)</f>
        <v>SCS</v>
      </c>
      <c r="AC138" s="111">
        <v>105</v>
      </c>
      <c r="AD138" s="111" t="s">
        <v>2118</v>
      </c>
      <c r="AE138" s="111">
        <v>613410</v>
      </c>
      <c r="AF138" s="111" t="s">
        <v>2100</v>
      </c>
      <c r="AG138" s="112">
        <v>168.9529</v>
      </c>
      <c r="AI138" s="7" t="str">
        <f>VLOOKUP($AC138,Mapping!$E$11:$I$96,3,0)</f>
        <v>Connections</v>
      </c>
      <c r="AJ138" s="7" t="str">
        <f>VLOOKUP($AE138,Mapping!$E$140:$K$2771,5,0)</f>
        <v>Labour</v>
      </c>
      <c r="AK138" s="7" t="str">
        <f>VLOOKUP($AE138,Mapping!$E$140:$K$2771,7,0)</f>
        <v>ENDirect</v>
      </c>
      <c r="AL138" s="7" t="str">
        <f>IFERROR(HLOOKUP(AJ138,'Calc|Weightings'!$K$5:$M$5,1,0),"Excl")</f>
        <v>Labour</v>
      </c>
      <c r="AM138" s="7" t="str">
        <f>VLOOKUP(AC138,Mapping!$E$11:$I$96,5,0)</f>
        <v>SCS</v>
      </c>
      <c r="AO138" s="134">
        <v>105</v>
      </c>
      <c r="AP138" s="135" t="s">
        <v>2118</v>
      </c>
      <c r="AQ138" s="135">
        <v>639000</v>
      </c>
      <c r="AR138" s="135" t="s">
        <v>2112</v>
      </c>
      <c r="AS138" s="136">
        <v>254.84164999999999</v>
      </c>
      <c r="AU138" s="7" t="str">
        <f>VLOOKUP($AO138,Mapping!$E$11:$I$96,3,0)</f>
        <v>Connections</v>
      </c>
      <c r="AV138" s="7" t="str">
        <f>VLOOKUP($AQ138,Mapping!$E$140:$K$2771,5,0)</f>
        <v>PNS Corporate OH</v>
      </c>
      <c r="AW138" s="7" t="str">
        <f>VLOOKUP($AQ138,Mapping!$E$140:$K$2771,7,0)</f>
        <v>OH</v>
      </c>
      <c r="AX138" s="7" t="str">
        <f>IFERROR(HLOOKUP(AV138,'Calc|Weightings'!$K$5:$M$5,1,0),"Excl")</f>
        <v>Excl</v>
      </c>
      <c r="AY138" s="7" t="str">
        <f>VLOOKUP(AO138,Mapping!$E$11:$I$96,5,0)</f>
        <v>SCS</v>
      </c>
    </row>
    <row r="139" spans="1:51" x14ac:dyDescent="0.2">
      <c r="A139" s="7"/>
      <c r="B139" s="7"/>
      <c r="C139" s="7"/>
      <c r="D139" s="7"/>
      <c r="E139" s="36">
        <v>105</v>
      </c>
      <c r="F139" s="36" t="s">
        <v>2118</v>
      </c>
      <c r="G139" s="36">
        <v>613361</v>
      </c>
      <c r="H139" s="36" t="s">
        <v>2098</v>
      </c>
      <c r="I139" s="37">
        <v>0.99519000000000002</v>
      </c>
      <c r="J139" s="7"/>
      <c r="K139" s="7" t="str">
        <f>VLOOKUP($E139,Mapping!$E$11:$I$96,3,0)</f>
        <v>Connections</v>
      </c>
      <c r="L139" s="7" t="str">
        <f>VLOOKUP($G139,Mapping!$E$140:$K$2771,5,0)</f>
        <v>Labour</v>
      </c>
      <c r="M139" s="7" t="str">
        <f>VLOOKUP($G139,Mapping!$E$140:$K$2771,7,0)</f>
        <v>ENDirect</v>
      </c>
      <c r="N139" s="7" t="str">
        <f>IFERROR(HLOOKUP(L139,'Calc|Weightings'!$K$5:$M$5,1,0),"Excl")</f>
        <v>Labour</v>
      </c>
      <c r="O139" s="7" t="str">
        <f>VLOOKUP(E139,Mapping!$E$11:$I$96,5,0)</f>
        <v>SCS</v>
      </c>
      <c r="Q139" s="33">
        <v>105</v>
      </c>
      <c r="R139" s="33" t="s">
        <v>2118</v>
      </c>
      <c r="S139" s="33">
        <v>634001</v>
      </c>
      <c r="T139" s="33" t="s">
        <v>2110</v>
      </c>
      <c r="U139" s="34">
        <v>462.89224999999999</v>
      </c>
      <c r="V139" s="7"/>
      <c r="W139" s="7" t="str">
        <f>VLOOKUP($Q139,Mapping!$E$11:$I$96,3,0)</f>
        <v>Connections</v>
      </c>
      <c r="X139" s="7" t="str">
        <f>VLOOKUP($S139,Mapping!$E$140:$K$2771,5,0)</f>
        <v>Local OH</v>
      </c>
      <c r="Y139" s="7" t="str">
        <f>VLOOKUP($S139,Mapping!$E$140:$K$2771,7,0)</f>
        <v>OH</v>
      </c>
      <c r="Z139" s="7" t="str">
        <f>IFERROR(HLOOKUP(X139,'Calc|Weightings'!$K$5:$M$5,1,0),"Excl")</f>
        <v>Excl</v>
      </c>
      <c r="AA139" s="7" t="str">
        <f>VLOOKUP(Q139,Mapping!$E$11:$I$96,5,0)</f>
        <v>SCS</v>
      </c>
      <c r="AC139" s="111">
        <v>105</v>
      </c>
      <c r="AD139" s="111" t="s">
        <v>2118</v>
      </c>
      <c r="AE139" s="111">
        <v>613411</v>
      </c>
      <c r="AF139" s="111" t="s">
        <v>2101</v>
      </c>
      <c r="AG139" s="112">
        <v>16.48424</v>
      </c>
      <c r="AI139" s="7" t="str">
        <f>VLOOKUP($AC139,Mapping!$E$11:$I$96,3,0)</f>
        <v>Connections</v>
      </c>
      <c r="AJ139" s="7" t="str">
        <f>VLOOKUP($AE139,Mapping!$E$140:$K$2771,5,0)</f>
        <v>Labour</v>
      </c>
      <c r="AK139" s="7" t="str">
        <f>VLOOKUP($AE139,Mapping!$E$140:$K$2771,7,0)</f>
        <v>ENDirect</v>
      </c>
      <c r="AL139" s="7" t="str">
        <f>IFERROR(HLOOKUP(AJ139,'Calc|Weightings'!$K$5:$M$5,1,0),"Excl")</f>
        <v>Labour</v>
      </c>
      <c r="AM139" s="7" t="str">
        <f>VLOOKUP(AC139,Mapping!$E$11:$I$96,5,0)</f>
        <v>SCS</v>
      </c>
      <c r="AO139" s="134">
        <v>105</v>
      </c>
      <c r="AP139" s="135" t="s">
        <v>2118</v>
      </c>
      <c r="AQ139" s="135">
        <v>639050</v>
      </c>
      <c r="AR139" s="135" t="s">
        <v>2113</v>
      </c>
      <c r="AS139" s="136">
        <v>64.491129999999998</v>
      </c>
      <c r="AU139" s="7" t="str">
        <f>VLOOKUP($AO139,Mapping!$E$11:$I$96,3,0)</f>
        <v>Connections</v>
      </c>
      <c r="AV139" s="7" t="str">
        <f>VLOOKUP($AQ139,Mapping!$E$140:$K$2771,5,0)</f>
        <v>PNS Fleet &amp; Property OH</v>
      </c>
      <c r="AW139" s="7" t="str">
        <f>VLOOKUP($AQ139,Mapping!$E$140:$K$2771,7,0)</f>
        <v>OH</v>
      </c>
      <c r="AX139" s="7" t="str">
        <f>IFERROR(HLOOKUP(AV139,'Calc|Weightings'!$K$5:$M$5,1,0),"Excl")</f>
        <v>Excl</v>
      </c>
      <c r="AY139" s="7" t="str">
        <f>VLOOKUP(AO139,Mapping!$E$11:$I$96,5,0)</f>
        <v>SCS</v>
      </c>
    </row>
    <row r="140" spans="1:51" x14ac:dyDescent="0.2">
      <c r="A140" s="7"/>
      <c r="B140" s="7"/>
      <c r="C140" s="7"/>
      <c r="D140" s="7"/>
      <c r="E140" s="36">
        <v>105</v>
      </c>
      <c r="F140" s="36" t="s">
        <v>2118</v>
      </c>
      <c r="G140" s="36">
        <v>613370</v>
      </c>
      <c r="H140" s="36" t="s">
        <v>1402</v>
      </c>
      <c r="I140" s="37">
        <v>3.0967199999999999</v>
      </c>
      <c r="J140" s="7"/>
      <c r="K140" s="7" t="str">
        <f>VLOOKUP($E140,Mapping!$E$11:$I$96,3,0)</f>
        <v>Connections</v>
      </c>
      <c r="L140" s="7" t="str">
        <f>VLOOKUP($G140,Mapping!$E$140:$K$2771,5,0)</f>
        <v>Labour</v>
      </c>
      <c r="M140" s="7" t="str">
        <f>VLOOKUP($G140,Mapping!$E$140:$K$2771,7,0)</f>
        <v>ENDirect</v>
      </c>
      <c r="N140" s="7" t="str">
        <f>IFERROR(HLOOKUP(L140,'Calc|Weightings'!$K$5:$M$5,1,0),"Excl")</f>
        <v>Labour</v>
      </c>
      <c r="O140" s="7" t="str">
        <f>VLOOKUP(E140,Mapping!$E$11:$I$96,5,0)</f>
        <v>SCS</v>
      </c>
      <c r="Q140" s="33">
        <v>105</v>
      </c>
      <c r="R140" s="33" t="s">
        <v>2118</v>
      </c>
      <c r="S140" s="33">
        <v>635001</v>
      </c>
      <c r="T140" s="33" t="s">
        <v>1929</v>
      </c>
      <c r="U140" s="34">
        <v>287.44346999999999</v>
      </c>
      <c r="V140" s="7"/>
      <c r="W140" s="7" t="str">
        <f>VLOOKUP($Q140,Mapping!$E$11:$I$96,3,0)</f>
        <v>Connections</v>
      </c>
      <c r="X140" s="7" t="str">
        <f>VLOOKUP($S140,Mapping!$E$140:$K$2771,5,0)</f>
        <v>PNS MG</v>
      </c>
      <c r="Y140" s="7" t="str">
        <f>VLOOKUP($S140,Mapping!$E$140:$K$2771,7,0)</f>
        <v>ENDirect</v>
      </c>
      <c r="Z140" s="7" t="str">
        <f>IFERROR(HLOOKUP(X140,'Calc|Weightings'!$K$5:$M$5,1,0),"Excl")</f>
        <v>Excl</v>
      </c>
      <c r="AA140" s="7" t="str">
        <f>VLOOKUP(Q140,Mapping!$E$11:$I$96,5,0)</f>
        <v>SCS</v>
      </c>
      <c r="AC140" s="111">
        <v>105</v>
      </c>
      <c r="AD140" s="111" t="s">
        <v>2118</v>
      </c>
      <c r="AE140" s="111">
        <v>613420</v>
      </c>
      <c r="AF140" s="111" t="s">
        <v>2393</v>
      </c>
      <c r="AG140" s="112">
        <v>2.36816</v>
      </c>
      <c r="AI140" s="7" t="str">
        <f>VLOOKUP($AC140,Mapping!$E$11:$I$96,3,0)</f>
        <v>Connections</v>
      </c>
      <c r="AJ140" s="7" t="str">
        <f>VLOOKUP($AE140,Mapping!$E$140:$K$2771,5,0)</f>
        <v>Labour</v>
      </c>
      <c r="AK140" s="7" t="str">
        <f>VLOOKUP($AE140,Mapping!$E$140:$K$2771,7,0)</f>
        <v>ENDirect</v>
      </c>
      <c r="AL140" s="7" t="str">
        <f>IFERROR(HLOOKUP(AJ140,'Calc|Weightings'!$K$5:$M$5,1,0),"Excl")</f>
        <v>Labour</v>
      </c>
      <c r="AM140" s="7" t="str">
        <f>VLOOKUP(AC140,Mapping!$E$11:$I$96,5,0)</f>
        <v>SCS</v>
      </c>
      <c r="AO140" s="134">
        <v>106</v>
      </c>
      <c r="AP140" s="135" t="s">
        <v>2119</v>
      </c>
      <c r="AQ140" s="135">
        <v>500200</v>
      </c>
      <c r="AR140" s="135" t="s">
        <v>136</v>
      </c>
      <c r="AS140" s="136">
        <v>1.6500000000000001E-2</v>
      </c>
      <c r="AU140" s="7" t="str">
        <f>VLOOKUP($AO140,Mapping!$E$11:$I$96,3,0)</f>
        <v>Connections</v>
      </c>
      <c r="AV140" s="7" t="str">
        <f>VLOOKUP($AQ140,Mapping!$E$140:$K$2771,5,0)</f>
        <v>Labour</v>
      </c>
      <c r="AW140" s="7" t="str">
        <f>VLOOKUP($AQ140,Mapping!$E$140:$K$2771,7,0)</f>
        <v>ENDirect</v>
      </c>
      <c r="AX140" s="7" t="str">
        <f>IFERROR(HLOOKUP(AV140,'Calc|Weightings'!$K$5:$M$5,1,0),"Excl")</f>
        <v>Labour</v>
      </c>
      <c r="AY140" s="7" t="str">
        <f>VLOOKUP(AO140,Mapping!$E$11:$I$96,5,0)</f>
        <v>SCS</v>
      </c>
    </row>
    <row r="141" spans="1:51" x14ac:dyDescent="0.2">
      <c r="A141" s="7"/>
      <c r="B141" s="7"/>
      <c r="C141" s="7"/>
      <c r="D141" s="7"/>
      <c r="E141" s="36">
        <v>105</v>
      </c>
      <c r="F141" s="36" t="s">
        <v>2118</v>
      </c>
      <c r="G141" s="36">
        <v>613400</v>
      </c>
      <c r="H141" s="36" t="s">
        <v>2099</v>
      </c>
      <c r="I141" s="37">
        <v>10.58877</v>
      </c>
      <c r="J141" s="7"/>
      <c r="K141" s="7" t="str">
        <f>VLOOKUP($E141,Mapping!$E$11:$I$96,3,0)</f>
        <v>Connections</v>
      </c>
      <c r="L141" s="7" t="str">
        <f>VLOOKUP($G141,Mapping!$E$140:$K$2771,5,0)</f>
        <v>Labour</v>
      </c>
      <c r="M141" s="7" t="str">
        <f>VLOOKUP($G141,Mapping!$E$140:$K$2771,7,0)</f>
        <v>ENDirect</v>
      </c>
      <c r="N141" s="7" t="str">
        <f>IFERROR(HLOOKUP(L141,'Calc|Weightings'!$K$5:$M$5,1,0),"Excl")</f>
        <v>Labour</v>
      </c>
      <c r="O141" s="7" t="str">
        <f>VLOOKUP(E141,Mapping!$E$11:$I$96,5,0)</f>
        <v>SCS</v>
      </c>
      <c r="Q141" s="33">
        <v>105</v>
      </c>
      <c r="R141" s="33" t="s">
        <v>2118</v>
      </c>
      <c r="S141" s="33">
        <v>636001</v>
      </c>
      <c r="T141" s="33" t="s">
        <v>2111</v>
      </c>
      <c r="U141" s="34">
        <v>136.62911</v>
      </c>
      <c r="V141" s="7"/>
      <c r="W141" s="7" t="str">
        <f>VLOOKUP($Q141,Mapping!$E$11:$I$96,3,0)</f>
        <v>Connections</v>
      </c>
      <c r="X141" s="7" t="str">
        <f>VLOOKUP($S141,Mapping!$E$140:$K$2771,5,0)</f>
        <v>System Control OH</v>
      </c>
      <c r="Y141" s="7" t="str">
        <f>VLOOKUP($S141,Mapping!$E$140:$K$2771,7,0)</f>
        <v>OH</v>
      </c>
      <c r="Z141" s="7" t="str">
        <f>IFERROR(HLOOKUP(X141,'Calc|Weightings'!$K$5:$M$5,1,0),"Excl")</f>
        <v>Excl</v>
      </c>
      <c r="AA141" s="7" t="str">
        <f>VLOOKUP(Q141,Mapping!$E$11:$I$96,5,0)</f>
        <v>SCS</v>
      </c>
      <c r="AC141" s="111">
        <v>105</v>
      </c>
      <c r="AD141" s="111" t="s">
        <v>2118</v>
      </c>
      <c r="AE141" s="111">
        <v>613434</v>
      </c>
      <c r="AF141" s="111" t="s">
        <v>2102</v>
      </c>
      <c r="AG141" s="112">
        <v>-17.899740000000001</v>
      </c>
      <c r="AI141" s="7" t="str">
        <f>VLOOKUP($AC141,Mapping!$E$11:$I$96,3,0)</f>
        <v>Connections</v>
      </c>
      <c r="AJ141" s="7" t="str">
        <f>VLOOKUP($AE141,Mapping!$E$140:$K$2771,5,0)</f>
        <v>Labour</v>
      </c>
      <c r="AK141" s="7" t="str">
        <f>VLOOKUP($AE141,Mapping!$E$140:$K$2771,7,0)</f>
        <v>ENDirect</v>
      </c>
      <c r="AL141" s="7" t="str">
        <f>IFERROR(HLOOKUP(AJ141,'Calc|Weightings'!$K$5:$M$5,1,0),"Excl")</f>
        <v>Labour</v>
      </c>
      <c r="AM141" s="7" t="str">
        <f>VLOOKUP(AC141,Mapping!$E$11:$I$96,5,0)</f>
        <v>SCS</v>
      </c>
      <c r="AO141" s="134">
        <v>106</v>
      </c>
      <c r="AP141" s="135" t="s">
        <v>2119</v>
      </c>
      <c r="AQ141" s="135">
        <v>503350</v>
      </c>
      <c r="AR141" s="135" t="s">
        <v>182</v>
      </c>
      <c r="AS141" s="136">
        <v>0.75</v>
      </c>
      <c r="AU141" s="7" t="str">
        <f>VLOOKUP($AO141,Mapping!$E$11:$I$96,3,0)</f>
        <v>Connections</v>
      </c>
      <c r="AV141" s="7" t="str">
        <f>VLOOKUP($AQ141,Mapping!$E$140:$K$2771,5,0)</f>
        <v>Contracts</v>
      </c>
      <c r="AW141" s="7" t="str">
        <f>VLOOKUP($AQ141,Mapping!$E$140:$K$2771,7,0)</f>
        <v>ENDirect</v>
      </c>
      <c r="AX141" s="7" t="str">
        <f>IFERROR(HLOOKUP(AV141,'Calc|Weightings'!$K$5:$M$5,1,0),"Excl")</f>
        <v>Contracts</v>
      </c>
      <c r="AY141" s="7" t="str">
        <f>VLOOKUP(AO141,Mapping!$E$11:$I$96,5,0)</f>
        <v>SCS</v>
      </c>
    </row>
    <row r="142" spans="1:51" x14ac:dyDescent="0.2">
      <c r="A142" s="7"/>
      <c r="B142" s="7"/>
      <c r="C142" s="7"/>
      <c r="D142" s="7"/>
      <c r="E142" s="36">
        <v>105</v>
      </c>
      <c r="F142" s="36" t="s">
        <v>2118</v>
      </c>
      <c r="G142" s="36">
        <v>613401</v>
      </c>
      <c r="H142" s="36" t="s">
        <v>2117</v>
      </c>
      <c r="I142" s="37">
        <v>7.6677400000000002</v>
      </c>
      <c r="J142" s="7"/>
      <c r="K142" s="7" t="str">
        <f>VLOOKUP($E142,Mapping!$E$11:$I$96,3,0)</f>
        <v>Connections</v>
      </c>
      <c r="L142" s="7" t="str">
        <f>VLOOKUP($G142,Mapping!$E$140:$K$2771,5,0)</f>
        <v>Labour</v>
      </c>
      <c r="M142" s="7" t="str">
        <f>VLOOKUP($G142,Mapping!$E$140:$K$2771,7,0)</f>
        <v>ENDirect</v>
      </c>
      <c r="N142" s="7" t="str">
        <f>IFERROR(HLOOKUP(L142,'Calc|Weightings'!$K$5:$M$5,1,0),"Excl")</f>
        <v>Labour</v>
      </c>
      <c r="O142" s="7" t="str">
        <f>VLOOKUP(E142,Mapping!$E$11:$I$96,5,0)</f>
        <v>SCS</v>
      </c>
      <c r="Q142" s="33">
        <v>105</v>
      </c>
      <c r="R142" s="33" t="s">
        <v>2118</v>
      </c>
      <c r="S142" s="33">
        <v>636105</v>
      </c>
      <c r="T142" s="33" t="s">
        <v>1937</v>
      </c>
      <c r="U142" s="34">
        <v>1.97753</v>
      </c>
      <c r="V142" s="7"/>
      <c r="W142" s="7" t="str">
        <f>VLOOKUP($Q142,Mapping!$E$11:$I$96,3,0)</f>
        <v>Connections</v>
      </c>
      <c r="X142" s="7" t="str">
        <f>VLOOKUP($S142,Mapping!$E$140:$K$2771,5,0)</f>
        <v>CSG MG</v>
      </c>
      <c r="Y142" s="7" t="str">
        <f>VLOOKUP($S142,Mapping!$E$140:$K$2771,7,0)</f>
        <v>ENDirect</v>
      </c>
      <c r="Z142" s="7" t="str">
        <f>IFERROR(HLOOKUP(X142,'Calc|Weightings'!$K$5:$M$5,1,0),"Excl")</f>
        <v>Excl</v>
      </c>
      <c r="AA142" s="7" t="str">
        <f>VLOOKUP(Q142,Mapping!$E$11:$I$96,5,0)</f>
        <v>SCS</v>
      </c>
      <c r="AC142" s="111">
        <v>105</v>
      </c>
      <c r="AD142" s="111" t="s">
        <v>2118</v>
      </c>
      <c r="AE142" s="111">
        <v>613440</v>
      </c>
      <c r="AF142" s="111" t="s">
        <v>2103</v>
      </c>
      <c r="AG142" s="112">
        <v>14.609360000000001</v>
      </c>
      <c r="AI142" s="7" t="str">
        <f>VLOOKUP($AC142,Mapping!$E$11:$I$96,3,0)</f>
        <v>Connections</v>
      </c>
      <c r="AJ142" s="7" t="str">
        <f>VLOOKUP($AE142,Mapping!$E$140:$K$2771,5,0)</f>
        <v>Labour</v>
      </c>
      <c r="AK142" s="7" t="str">
        <f>VLOOKUP($AE142,Mapping!$E$140:$K$2771,7,0)</f>
        <v>ENDirect</v>
      </c>
      <c r="AL142" s="7" t="str">
        <f>IFERROR(HLOOKUP(AJ142,'Calc|Weightings'!$K$5:$M$5,1,0),"Excl")</f>
        <v>Labour</v>
      </c>
      <c r="AM142" s="7" t="str">
        <f>VLOOKUP(AC142,Mapping!$E$11:$I$96,5,0)</f>
        <v>SCS</v>
      </c>
      <c r="AO142" s="134">
        <v>106</v>
      </c>
      <c r="AP142" s="135" t="s">
        <v>2119</v>
      </c>
      <c r="AQ142" s="135">
        <v>520100</v>
      </c>
      <c r="AR142" s="135" t="s">
        <v>2072</v>
      </c>
      <c r="AS142" s="136">
        <v>1499.24578</v>
      </c>
      <c r="AU142" s="7" t="str">
        <f>VLOOKUP($AO142,Mapping!$E$11:$I$96,3,0)</f>
        <v>Connections</v>
      </c>
      <c r="AV142" s="7" t="str">
        <f>VLOOKUP($AQ142,Mapping!$E$140:$K$2771,5,0)</f>
        <v>Materials</v>
      </c>
      <c r="AW142" s="7" t="str">
        <f>VLOOKUP($AQ142,Mapping!$E$140:$K$2771,7,0)</f>
        <v>ENDirect</v>
      </c>
      <c r="AX142" s="7" t="str">
        <f>IFERROR(HLOOKUP(AV142,'Calc|Weightings'!$K$5:$M$5,1,0),"Excl")</f>
        <v>Materials</v>
      </c>
      <c r="AY142" s="7" t="str">
        <f>VLOOKUP(AO142,Mapping!$E$11:$I$96,5,0)</f>
        <v>SCS</v>
      </c>
    </row>
    <row r="143" spans="1:51" x14ac:dyDescent="0.2">
      <c r="A143" s="7"/>
      <c r="B143" s="7"/>
      <c r="C143" s="7"/>
      <c r="D143" s="7"/>
      <c r="E143" s="36">
        <v>105</v>
      </c>
      <c r="F143" s="36" t="s">
        <v>2118</v>
      </c>
      <c r="G143" s="36">
        <v>613408</v>
      </c>
      <c r="H143" s="36" t="s">
        <v>1418</v>
      </c>
      <c r="I143" s="37">
        <v>114.52914</v>
      </c>
      <c r="J143" s="7"/>
      <c r="K143" s="7" t="str">
        <f>VLOOKUP($E143,Mapping!$E$11:$I$96,3,0)</f>
        <v>Connections</v>
      </c>
      <c r="L143" s="7" t="str">
        <f>VLOOKUP($G143,Mapping!$E$140:$K$2771,5,0)</f>
        <v>Labour</v>
      </c>
      <c r="M143" s="7" t="str">
        <f>VLOOKUP($G143,Mapping!$E$140:$K$2771,7,0)</f>
        <v>ENDirect</v>
      </c>
      <c r="N143" s="7" t="str">
        <f>IFERROR(HLOOKUP(L143,'Calc|Weightings'!$K$5:$M$5,1,0),"Excl")</f>
        <v>Labour</v>
      </c>
      <c r="O143" s="7" t="str">
        <f>VLOOKUP(E143,Mapping!$E$11:$I$96,5,0)</f>
        <v>SCS</v>
      </c>
      <c r="Q143" s="33">
        <v>105</v>
      </c>
      <c r="R143" s="33" t="s">
        <v>2118</v>
      </c>
      <c r="S143" s="33">
        <v>639000</v>
      </c>
      <c r="T143" s="33" t="s">
        <v>2112</v>
      </c>
      <c r="U143" s="34">
        <v>352.59935000000002</v>
      </c>
      <c r="V143" s="7"/>
      <c r="W143" s="7" t="str">
        <f>VLOOKUP($Q143,Mapping!$E$11:$I$96,3,0)</f>
        <v>Connections</v>
      </c>
      <c r="X143" s="7" t="str">
        <f>VLOOKUP($S143,Mapping!$E$140:$K$2771,5,0)</f>
        <v>PNS Corporate OH</v>
      </c>
      <c r="Y143" s="7" t="str">
        <f>VLOOKUP($S143,Mapping!$E$140:$K$2771,7,0)</f>
        <v>OH</v>
      </c>
      <c r="Z143" s="7" t="str">
        <f>IFERROR(HLOOKUP(X143,'Calc|Weightings'!$K$5:$M$5,1,0),"Excl")</f>
        <v>Excl</v>
      </c>
      <c r="AA143" s="7" t="str">
        <f>VLOOKUP(Q143,Mapping!$E$11:$I$96,5,0)</f>
        <v>SCS</v>
      </c>
      <c r="AC143" s="111">
        <v>105</v>
      </c>
      <c r="AD143" s="111" t="s">
        <v>2118</v>
      </c>
      <c r="AE143" s="111">
        <v>613441</v>
      </c>
      <c r="AF143" s="111" t="s">
        <v>2104</v>
      </c>
      <c r="AG143" s="112">
        <v>2.0332300000000001</v>
      </c>
      <c r="AI143" s="7" t="str">
        <f>VLOOKUP($AC143,Mapping!$E$11:$I$96,3,0)</f>
        <v>Connections</v>
      </c>
      <c r="AJ143" s="7" t="str">
        <f>VLOOKUP($AE143,Mapping!$E$140:$K$2771,5,0)</f>
        <v>Labour</v>
      </c>
      <c r="AK143" s="7" t="str">
        <f>VLOOKUP($AE143,Mapping!$E$140:$K$2771,7,0)</f>
        <v>ENDirect</v>
      </c>
      <c r="AL143" s="7" t="str">
        <f>IFERROR(HLOOKUP(AJ143,'Calc|Weightings'!$K$5:$M$5,1,0),"Excl")</f>
        <v>Labour</v>
      </c>
      <c r="AM143" s="7" t="str">
        <f>VLOOKUP(AC143,Mapping!$E$11:$I$96,5,0)</f>
        <v>SCS</v>
      </c>
      <c r="AO143" s="134">
        <v>106</v>
      </c>
      <c r="AP143" s="135" t="s">
        <v>2119</v>
      </c>
      <c r="AQ143" s="135">
        <v>520200</v>
      </c>
      <c r="AR143" s="135" t="s">
        <v>2073</v>
      </c>
      <c r="AS143" s="136">
        <v>1.69</v>
      </c>
      <c r="AU143" s="7" t="str">
        <f>VLOOKUP($AO143,Mapping!$E$11:$I$96,3,0)</f>
        <v>Connections</v>
      </c>
      <c r="AV143" s="7" t="str">
        <f>VLOOKUP($AQ143,Mapping!$E$140:$K$2771,5,0)</f>
        <v>Materials</v>
      </c>
      <c r="AW143" s="7" t="str">
        <f>VLOOKUP($AQ143,Mapping!$E$140:$K$2771,7,0)</f>
        <v>ENDirect</v>
      </c>
      <c r="AX143" s="7" t="str">
        <f>IFERROR(HLOOKUP(AV143,'Calc|Weightings'!$K$5:$M$5,1,0),"Excl")</f>
        <v>Materials</v>
      </c>
      <c r="AY143" s="7" t="str">
        <f>VLOOKUP(AO143,Mapping!$E$11:$I$96,5,0)</f>
        <v>SCS</v>
      </c>
    </row>
    <row r="144" spans="1:51" x14ac:dyDescent="0.2">
      <c r="A144" s="7"/>
      <c r="B144" s="7"/>
      <c r="C144" s="7"/>
      <c r="D144" s="7"/>
      <c r="E144" s="36">
        <v>105</v>
      </c>
      <c r="F144" s="36" t="s">
        <v>2118</v>
      </c>
      <c r="G144" s="36">
        <v>613409</v>
      </c>
      <c r="H144" s="36" t="s">
        <v>1419</v>
      </c>
      <c r="I144" s="37">
        <v>28.236789999999999</v>
      </c>
      <c r="J144" s="7"/>
      <c r="K144" s="7" t="str">
        <f>VLOOKUP($E144,Mapping!$E$11:$I$96,3,0)</f>
        <v>Connections</v>
      </c>
      <c r="L144" s="7" t="str">
        <f>VLOOKUP($G144,Mapping!$E$140:$K$2771,5,0)</f>
        <v>Labour</v>
      </c>
      <c r="M144" s="7" t="str">
        <f>VLOOKUP($G144,Mapping!$E$140:$K$2771,7,0)</f>
        <v>ENDirect</v>
      </c>
      <c r="N144" s="7" t="str">
        <f>IFERROR(HLOOKUP(L144,'Calc|Weightings'!$K$5:$M$5,1,0),"Excl")</f>
        <v>Labour</v>
      </c>
      <c r="O144" s="7" t="str">
        <f>VLOOKUP(E144,Mapping!$E$11:$I$96,5,0)</f>
        <v>SCS</v>
      </c>
      <c r="Q144" s="33">
        <v>105</v>
      </c>
      <c r="R144" s="33" t="s">
        <v>2118</v>
      </c>
      <c r="S144" s="33">
        <v>639050</v>
      </c>
      <c r="T144" s="33" t="s">
        <v>2113</v>
      </c>
      <c r="U144" s="34">
        <v>53.257620000000003</v>
      </c>
      <c r="V144" s="7"/>
      <c r="W144" s="7" t="str">
        <f>VLOOKUP($Q144,Mapping!$E$11:$I$96,3,0)</f>
        <v>Connections</v>
      </c>
      <c r="X144" s="7" t="str">
        <f>VLOOKUP($S144,Mapping!$E$140:$K$2771,5,0)</f>
        <v>PNS Fleet &amp; Property OH</v>
      </c>
      <c r="Y144" s="7" t="str">
        <f>VLOOKUP($S144,Mapping!$E$140:$K$2771,7,0)</f>
        <v>OH</v>
      </c>
      <c r="Z144" s="7" t="str">
        <f>IFERROR(HLOOKUP(X144,'Calc|Weightings'!$K$5:$M$5,1,0),"Excl")</f>
        <v>Excl</v>
      </c>
      <c r="AA144" s="7" t="str">
        <f>VLOOKUP(Q144,Mapping!$E$11:$I$96,5,0)</f>
        <v>SCS</v>
      </c>
      <c r="AC144" s="111">
        <v>105</v>
      </c>
      <c r="AD144" s="111" t="s">
        <v>2118</v>
      </c>
      <c r="AE144" s="111">
        <v>613448</v>
      </c>
      <c r="AF144" s="111" t="s">
        <v>2105</v>
      </c>
      <c r="AG144" s="112">
        <v>29.125599999999999</v>
      </c>
      <c r="AI144" s="7" t="str">
        <f>VLOOKUP($AC144,Mapping!$E$11:$I$96,3,0)</f>
        <v>Connections</v>
      </c>
      <c r="AJ144" s="7" t="str">
        <f>VLOOKUP($AE144,Mapping!$E$140:$K$2771,5,0)</f>
        <v>Labour</v>
      </c>
      <c r="AK144" s="7" t="str">
        <f>VLOOKUP($AE144,Mapping!$E$140:$K$2771,7,0)</f>
        <v>ENDirect</v>
      </c>
      <c r="AL144" s="7" t="str">
        <f>IFERROR(HLOOKUP(AJ144,'Calc|Weightings'!$K$5:$M$5,1,0),"Excl")</f>
        <v>Labour</v>
      </c>
      <c r="AM144" s="7" t="str">
        <f>VLOOKUP(AC144,Mapping!$E$11:$I$96,5,0)</f>
        <v>SCS</v>
      </c>
      <c r="AO144" s="134">
        <v>106</v>
      </c>
      <c r="AP144" s="135" t="s">
        <v>2119</v>
      </c>
      <c r="AQ144" s="135">
        <v>522100</v>
      </c>
      <c r="AR144" s="135" t="s">
        <v>2115</v>
      </c>
      <c r="AS144" s="136">
        <v>0.05</v>
      </c>
      <c r="AU144" s="7" t="str">
        <f>VLOOKUP($AO144,Mapping!$E$11:$I$96,3,0)</f>
        <v>Connections</v>
      </c>
      <c r="AV144" s="7" t="str">
        <f>VLOOKUP($AQ144,Mapping!$E$140:$K$2771,5,0)</f>
        <v>Materials</v>
      </c>
      <c r="AW144" s="7" t="str">
        <f>VLOOKUP($AQ144,Mapping!$E$140:$K$2771,7,0)</f>
        <v>ENDirect</v>
      </c>
      <c r="AX144" s="7" t="str">
        <f>IFERROR(HLOOKUP(AV144,'Calc|Weightings'!$K$5:$M$5,1,0),"Excl")</f>
        <v>Materials</v>
      </c>
      <c r="AY144" s="7" t="str">
        <f>VLOOKUP(AO144,Mapping!$E$11:$I$96,5,0)</f>
        <v>SCS</v>
      </c>
    </row>
    <row r="145" spans="1:51" x14ac:dyDescent="0.2">
      <c r="A145" s="7"/>
      <c r="B145" s="7"/>
      <c r="C145" s="7"/>
      <c r="D145" s="7"/>
      <c r="E145" s="36">
        <v>105</v>
      </c>
      <c r="F145" s="36" t="s">
        <v>2118</v>
      </c>
      <c r="G145" s="36">
        <v>613410</v>
      </c>
      <c r="H145" s="36" t="s">
        <v>2100</v>
      </c>
      <c r="I145" s="37">
        <v>10.651199999999999</v>
      </c>
      <c r="J145" s="7"/>
      <c r="K145" s="7" t="str">
        <f>VLOOKUP($E145,Mapping!$E$11:$I$96,3,0)</f>
        <v>Connections</v>
      </c>
      <c r="L145" s="7" t="str">
        <f>VLOOKUP($G145,Mapping!$E$140:$K$2771,5,0)</f>
        <v>Labour</v>
      </c>
      <c r="M145" s="7" t="str">
        <f>VLOOKUP($G145,Mapping!$E$140:$K$2771,7,0)</f>
        <v>ENDirect</v>
      </c>
      <c r="N145" s="7" t="str">
        <f>IFERROR(HLOOKUP(L145,'Calc|Weightings'!$K$5:$M$5,1,0),"Excl")</f>
        <v>Labour</v>
      </c>
      <c r="O145" s="7" t="str">
        <f>VLOOKUP(E145,Mapping!$E$11:$I$96,5,0)</f>
        <v>SCS</v>
      </c>
      <c r="Q145" s="33">
        <v>106</v>
      </c>
      <c r="R145" s="33" t="s">
        <v>2119</v>
      </c>
      <c r="S145" s="33">
        <v>520100</v>
      </c>
      <c r="T145" s="33" t="s">
        <v>2072</v>
      </c>
      <c r="U145" s="34">
        <v>1731.2508800000001</v>
      </c>
      <c r="V145" s="7"/>
      <c r="W145" s="7" t="str">
        <f>VLOOKUP($Q145,Mapping!$E$11:$I$96,3,0)</f>
        <v>Connections</v>
      </c>
      <c r="X145" s="7" t="str">
        <f>VLOOKUP($S145,Mapping!$E$140:$K$2771,5,0)</f>
        <v>Materials</v>
      </c>
      <c r="Y145" s="7" t="str">
        <f>VLOOKUP($S145,Mapping!$E$140:$K$2771,7,0)</f>
        <v>ENDirect</v>
      </c>
      <c r="Z145" s="7" t="str">
        <f>IFERROR(HLOOKUP(X145,'Calc|Weightings'!$K$5:$M$5,1,0),"Excl")</f>
        <v>Materials</v>
      </c>
      <c r="AA145" s="7" t="str">
        <f>VLOOKUP(Q145,Mapping!$E$11:$I$96,5,0)</f>
        <v>SCS</v>
      </c>
      <c r="AC145" s="111">
        <v>105</v>
      </c>
      <c r="AD145" s="111" t="s">
        <v>2118</v>
      </c>
      <c r="AE145" s="111">
        <v>613449</v>
      </c>
      <c r="AF145" s="111" t="s">
        <v>2106</v>
      </c>
      <c r="AG145" s="112">
        <v>0.56872</v>
      </c>
      <c r="AI145" s="7" t="str">
        <f>VLOOKUP($AC145,Mapping!$E$11:$I$96,3,0)</f>
        <v>Connections</v>
      </c>
      <c r="AJ145" s="7" t="str">
        <f>VLOOKUP($AE145,Mapping!$E$140:$K$2771,5,0)</f>
        <v>Labour</v>
      </c>
      <c r="AK145" s="7" t="str">
        <f>VLOOKUP($AE145,Mapping!$E$140:$K$2771,7,0)</f>
        <v>ENDirect</v>
      </c>
      <c r="AL145" s="7" t="str">
        <f>IFERROR(HLOOKUP(AJ145,'Calc|Weightings'!$K$5:$M$5,1,0),"Excl")</f>
        <v>Labour</v>
      </c>
      <c r="AM145" s="7" t="str">
        <f>VLOOKUP(AC145,Mapping!$E$11:$I$96,5,0)</f>
        <v>SCS</v>
      </c>
      <c r="AO145" s="134">
        <v>106</v>
      </c>
      <c r="AP145" s="135" t="s">
        <v>2119</v>
      </c>
      <c r="AQ145" s="135">
        <v>523100</v>
      </c>
      <c r="AR145" s="135" t="s">
        <v>2074</v>
      </c>
      <c r="AS145" s="136">
        <v>33.486420000000003</v>
      </c>
      <c r="AU145" s="7" t="str">
        <f>VLOOKUP($AO145,Mapping!$E$11:$I$96,3,0)</f>
        <v>Connections</v>
      </c>
      <c r="AV145" s="7" t="str">
        <f>VLOOKUP($AQ145,Mapping!$E$140:$K$2771,5,0)</f>
        <v>Materials</v>
      </c>
      <c r="AW145" s="7" t="str">
        <f>VLOOKUP($AQ145,Mapping!$E$140:$K$2771,7,0)</f>
        <v>ENDirect</v>
      </c>
      <c r="AX145" s="7" t="str">
        <f>IFERROR(HLOOKUP(AV145,'Calc|Weightings'!$K$5:$M$5,1,0),"Excl")</f>
        <v>Materials</v>
      </c>
      <c r="AY145" s="7" t="str">
        <f>VLOOKUP(AO145,Mapping!$E$11:$I$96,5,0)</f>
        <v>SCS</v>
      </c>
    </row>
    <row r="146" spans="1:51" x14ac:dyDescent="0.2">
      <c r="A146" s="7"/>
      <c r="B146" s="7"/>
      <c r="C146" s="7"/>
      <c r="D146" s="7"/>
      <c r="E146" s="36">
        <v>105</v>
      </c>
      <c r="F146" s="36" t="s">
        <v>2118</v>
      </c>
      <c r="G146" s="36">
        <v>613411</v>
      </c>
      <c r="H146" s="36" t="s">
        <v>2101</v>
      </c>
      <c r="I146" s="37">
        <v>6.9232800000000001</v>
      </c>
      <c r="J146" s="7"/>
      <c r="K146" s="7" t="str">
        <f>VLOOKUP($E146,Mapping!$E$11:$I$96,3,0)</f>
        <v>Connections</v>
      </c>
      <c r="L146" s="7" t="str">
        <f>VLOOKUP($G146,Mapping!$E$140:$K$2771,5,0)</f>
        <v>Labour</v>
      </c>
      <c r="M146" s="7" t="str">
        <f>VLOOKUP($G146,Mapping!$E$140:$K$2771,7,0)</f>
        <v>ENDirect</v>
      </c>
      <c r="N146" s="7" t="str">
        <f>IFERROR(HLOOKUP(L146,'Calc|Weightings'!$K$5:$M$5,1,0),"Excl")</f>
        <v>Labour</v>
      </c>
      <c r="O146" s="7" t="str">
        <f>VLOOKUP(E146,Mapping!$E$11:$I$96,5,0)</f>
        <v>SCS</v>
      </c>
      <c r="Q146" s="33">
        <v>106</v>
      </c>
      <c r="R146" s="33" t="s">
        <v>2119</v>
      </c>
      <c r="S146" s="33">
        <v>522100</v>
      </c>
      <c r="T146" s="33" t="s">
        <v>2115</v>
      </c>
      <c r="U146" s="34">
        <v>0.15862999999999999</v>
      </c>
      <c r="V146" s="7"/>
      <c r="W146" s="7" t="str">
        <f>VLOOKUP($Q146,Mapping!$E$11:$I$96,3,0)</f>
        <v>Connections</v>
      </c>
      <c r="X146" s="7" t="str">
        <f>VLOOKUP($S146,Mapping!$E$140:$K$2771,5,0)</f>
        <v>Materials</v>
      </c>
      <c r="Y146" s="7" t="str">
        <f>VLOOKUP($S146,Mapping!$E$140:$K$2771,7,0)</f>
        <v>ENDirect</v>
      </c>
      <c r="Z146" s="7" t="str">
        <f>IFERROR(HLOOKUP(X146,'Calc|Weightings'!$K$5:$M$5,1,0),"Excl")</f>
        <v>Materials</v>
      </c>
      <c r="AA146" s="7" t="str">
        <f>VLOOKUP(Q146,Mapping!$E$11:$I$96,5,0)</f>
        <v>SCS</v>
      </c>
      <c r="AC146" s="111">
        <v>105</v>
      </c>
      <c r="AD146" s="111" t="s">
        <v>2118</v>
      </c>
      <c r="AE146" s="111">
        <v>613450</v>
      </c>
      <c r="AF146" s="111" t="s">
        <v>2175</v>
      </c>
      <c r="AG146" s="112">
        <v>69.983009999999993</v>
      </c>
      <c r="AI146" s="7" t="str">
        <f>VLOOKUP($AC146,Mapping!$E$11:$I$96,3,0)</f>
        <v>Connections</v>
      </c>
      <c r="AJ146" s="7" t="str">
        <f>VLOOKUP($AE146,Mapping!$E$140:$K$2771,5,0)</f>
        <v>Labour</v>
      </c>
      <c r="AK146" s="7" t="str">
        <f>VLOOKUP($AE146,Mapping!$E$140:$K$2771,7,0)</f>
        <v>ENDirect</v>
      </c>
      <c r="AL146" s="7" t="str">
        <f>IFERROR(HLOOKUP(AJ146,'Calc|Weightings'!$K$5:$M$5,1,0),"Excl")</f>
        <v>Labour</v>
      </c>
      <c r="AM146" s="7" t="str">
        <f>VLOOKUP(AC146,Mapping!$E$11:$I$96,5,0)</f>
        <v>SCS</v>
      </c>
      <c r="AO146" s="134">
        <v>106</v>
      </c>
      <c r="AP146" s="135" t="s">
        <v>2119</v>
      </c>
      <c r="AQ146" s="135">
        <v>523300</v>
      </c>
      <c r="AR146" s="135" t="s">
        <v>2075</v>
      </c>
      <c r="AS146" s="136">
        <v>0.21811</v>
      </c>
      <c r="AU146" s="7" t="str">
        <f>VLOOKUP($AO146,Mapping!$E$11:$I$96,3,0)</f>
        <v>Connections</v>
      </c>
      <c r="AV146" s="7" t="str">
        <f>VLOOKUP($AQ146,Mapping!$E$140:$K$2771,5,0)</f>
        <v>Materials</v>
      </c>
      <c r="AW146" s="7" t="str">
        <f>VLOOKUP($AQ146,Mapping!$E$140:$K$2771,7,0)</f>
        <v>ENDirect</v>
      </c>
      <c r="AX146" s="7" t="str">
        <f>IFERROR(HLOOKUP(AV146,'Calc|Weightings'!$K$5:$M$5,1,0),"Excl")</f>
        <v>Materials</v>
      </c>
      <c r="AY146" s="7" t="str">
        <f>VLOOKUP(AO146,Mapping!$E$11:$I$96,5,0)</f>
        <v>SCS</v>
      </c>
    </row>
    <row r="147" spans="1:51" x14ac:dyDescent="0.2">
      <c r="A147" s="7"/>
      <c r="B147" s="7"/>
      <c r="C147" s="7"/>
      <c r="D147" s="7"/>
      <c r="E147" s="36">
        <v>105</v>
      </c>
      <c r="F147" s="36" t="s">
        <v>2118</v>
      </c>
      <c r="G147" s="36">
        <v>613418</v>
      </c>
      <c r="H147" s="36" t="s">
        <v>1424</v>
      </c>
      <c r="I147" s="37">
        <v>48.662669999999999</v>
      </c>
      <c r="J147" s="7"/>
      <c r="K147" s="7" t="str">
        <f>VLOOKUP($E147,Mapping!$E$11:$I$96,3,0)</f>
        <v>Connections</v>
      </c>
      <c r="L147" s="7" t="str">
        <f>VLOOKUP($G147,Mapping!$E$140:$K$2771,5,0)</f>
        <v>Labour</v>
      </c>
      <c r="M147" s="7" t="str">
        <f>VLOOKUP($G147,Mapping!$E$140:$K$2771,7,0)</f>
        <v>ENDirect</v>
      </c>
      <c r="N147" s="7" t="str">
        <f>IFERROR(HLOOKUP(L147,'Calc|Weightings'!$K$5:$M$5,1,0),"Excl")</f>
        <v>Labour</v>
      </c>
      <c r="O147" s="7" t="str">
        <f>VLOOKUP(E147,Mapping!$E$11:$I$96,5,0)</f>
        <v>SCS</v>
      </c>
      <c r="Q147" s="33">
        <v>106</v>
      </c>
      <c r="R147" s="33" t="s">
        <v>2119</v>
      </c>
      <c r="S147" s="33">
        <v>523100</v>
      </c>
      <c r="T147" s="33" t="s">
        <v>2074</v>
      </c>
      <c r="U147" s="34">
        <v>32.6402</v>
      </c>
      <c r="V147" s="7"/>
      <c r="W147" s="7" t="str">
        <f>VLOOKUP($Q147,Mapping!$E$11:$I$96,3,0)</f>
        <v>Connections</v>
      </c>
      <c r="X147" s="7" t="str">
        <f>VLOOKUP($S147,Mapping!$E$140:$K$2771,5,0)</f>
        <v>Materials</v>
      </c>
      <c r="Y147" s="7" t="str">
        <f>VLOOKUP($S147,Mapping!$E$140:$K$2771,7,0)</f>
        <v>ENDirect</v>
      </c>
      <c r="Z147" s="7" t="str">
        <f>IFERROR(HLOOKUP(X147,'Calc|Weightings'!$K$5:$M$5,1,0),"Excl")</f>
        <v>Materials</v>
      </c>
      <c r="AA147" s="7" t="str">
        <f>VLOOKUP(Q147,Mapping!$E$11:$I$96,5,0)</f>
        <v>SCS</v>
      </c>
      <c r="AC147" s="111">
        <v>105</v>
      </c>
      <c r="AD147" s="111" t="s">
        <v>2118</v>
      </c>
      <c r="AE147" s="111">
        <v>613566</v>
      </c>
      <c r="AF147" s="111" t="s">
        <v>1482</v>
      </c>
      <c r="AG147" s="112">
        <v>58.329430000000002</v>
      </c>
      <c r="AI147" s="7" t="str">
        <f>VLOOKUP($AC147,Mapping!$E$11:$I$96,3,0)</f>
        <v>Connections</v>
      </c>
      <c r="AJ147" s="7" t="str">
        <f>VLOOKUP($AE147,Mapping!$E$140:$K$2771,5,0)</f>
        <v>Labour</v>
      </c>
      <c r="AK147" s="7" t="str">
        <f>VLOOKUP($AE147,Mapping!$E$140:$K$2771,7,0)</f>
        <v>ENDirect</v>
      </c>
      <c r="AL147" s="7" t="str">
        <f>IFERROR(HLOOKUP(AJ147,'Calc|Weightings'!$K$5:$M$5,1,0),"Excl")</f>
        <v>Labour</v>
      </c>
      <c r="AM147" s="7" t="str">
        <f>VLOOKUP(AC147,Mapping!$E$11:$I$96,5,0)</f>
        <v>SCS</v>
      </c>
      <c r="AO147" s="134">
        <v>106</v>
      </c>
      <c r="AP147" s="135" t="s">
        <v>2119</v>
      </c>
      <c r="AQ147" s="135">
        <v>531020</v>
      </c>
      <c r="AR147" s="135" t="s">
        <v>219</v>
      </c>
      <c r="AS147" s="136">
        <v>18.282019999999999</v>
      </c>
      <c r="AU147" s="7" t="str">
        <f>VLOOKUP($AO147,Mapping!$E$11:$I$96,3,0)</f>
        <v>Connections</v>
      </c>
      <c r="AV147" s="7" t="str">
        <f>VLOOKUP($AQ147,Mapping!$E$140:$K$2771,5,0)</f>
        <v>Labour</v>
      </c>
      <c r="AW147" s="7" t="str">
        <f>VLOOKUP($AQ147,Mapping!$E$140:$K$2771,7,0)</f>
        <v>ENDirect</v>
      </c>
      <c r="AX147" s="7" t="str">
        <f>IFERROR(HLOOKUP(AV147,'Calc|Weightings'!$K$5:$M$5,1,0),"Excl")</f>
        <v>Labour</v>
      </c>
      <c r="AY147" s="7" t="str">
        <f>VLOOKUP(AO147,Mapping!$E$11:$I$96,5,0)</f>
        <v>SCS</v>
      </c>
    </row>
    <row r="148" spans="1:51" x14ac:dyDescent="0.2">
      <c r="A148" s="7"/>
      <c r="B148" s="7"/>
      <c r="C148" s="7"/>
      <c r="D148" s="7"/>
      <c r="E148" s="36">
        <v>105</v>
      </c>
      <c r="F148" s="36" t="s">
        <v>2118</v>
      </c>
      <c r="G148" s="36">
        <v>613419</v>
      </c>
      <c r="H148" s="36" t="s">
        <v>1425</v>
      </c>
      <c r="I148" s="37">
        <v>22.101240000000001</v>
      </c>
      <c r="J148" s="7"/>
      <c r="K148" s="7" t="str">
        <f>VLOOKUP($E148,Mapping!$E$11:$I$96,3,0)</f>
        <v>Connections</v>
      </c>
      <c r="L148" s="7" t="str">
        <f>VLOOKUP($G148,Mapping!$E$140:$K$2771,5,0)</f>
        <v>Labour</v>
      </c>
      <c r="M148" s="7" t="str">
        <f>VLOOKUP($G148,Mapping!$E$140:$K$2771,7,0)</f>
        <v>ENDirect</v>
      </c>
      <c r="N148" s="7" t="str">
        <f>IFERROR(HLOOKUP(L148,'Calc|Weightings'!$K$5:$M$5,1,0),"Excl")</f>
        <v>Labour</v>
      </c>
      <c r="O148" s="7" t="str">
        <f>VLOOKUP(E148,Mapping!$E$11:$I$96,5,0)</f>
        <v>SCS</v>
      </c>
      <c r="Q148" s="33">
        <v>106</v>
      </c>
      <c r="R148" s="33" t="s">
        <v>2119</v>
      </c>
      <c r="S148" s="33">
        <v>523300</v>
      </c>
      <c r="T148" s="33" t="s">
        <v>2075</v>
      </c>
      <c r="U148" s="34">
        <v>0.21301999999999999</v>
      </c>
      <c r="V148" s="7"/>
      <c r="W148" s="7" t="str">
        <f>VLOOKUP($Q148,Mapping!$E$11:$I$96,3,0)</f>
        <v>Connections</v>
      </c>
      <c r="X148" s="7" t="str">
        <f>VLOOKUP($S148,Mapping!$E$140:$K$2771,5,0)</f>
        <v>Materials</v>
      </c>
      <c r="Y148" s="7" t="str">
        <f>VLOOKUP($S148,Mapping!$E$140:$K$2771,7,0)</f>
        <v>ENDirect</v>
      </c>
      <c r="Z148" s="7" t="str">
        <f>IFERROR(HLOOKUP(X148,'Calc|Weightings'!$K$5:$M$5,1,0),"Excl")</f>
        <v>Materials</v>
      </c>
      <c r="AA148" s="7" t="str">
        <f>VLOOKUP(Q148,Mapping!$E$11:$I$96,5,0)</f>
        <v>SCS</v>
      </c>
      <c r="AC148" s="111">
        <v>105</v>
      </c>
      <c r="AD148" s="111" t="s">
        <v>2118</v>
      </c>
      <c r="AE148" s="111">
        <v>613567</v>
      </c>
      <c r="AF148" s="111" t="s">
        <v>1483</v>
      </c>
      <c r="AG148" s="112">
        <v>8.9586000000000006</v>
      </c>
      <c r="AI148" s="7" t="str">
        <f>VLOOKUP($AC148,Mapping!$E$11:$I$96,3,0)</f>
        <v>Connections</v>
      </c>
      <c r="AJ148" s="7" t="str">
        <f>VLOOKUP($AE148,Mapping!$E$140:$K$2771,5,0)</f>
        <v>Labour</v>
      </c>
      <c r="AK148" s="7" t="str">
        <f>VLOOKUP($AE148,Mapping!$E$140:$K$2771,7,0)</f>
        <v>ENDirect</v>
      </c>
      <c r="AL148" s="7" t="str">
        <f>IFERROR(HLOOKUP(AJ148,'Calc|Weightings'!$K$5:$M$5,1,0),"Excl")</f>
        <v>Labour</v>
      </c>
      <c r="AM148" s="7" t="str">
        <f>VLOOKUP(AC148,Mapping!$E$11:$I$96,5,0)</f>
        <v>SCS</v>
      </c>
      <c r="AO148" s="134">
        <v>106</v>
      </c>
      <c r="AP148" s="135" t="s">
        <v>2119</v>
      </c>
      <c r="AQ148" s="135">
        <v>531200</v>
      </c>
      <c r="AR148" s="135" t="s">
        <v>250</v>
      </c>
      <c r="AS148" s="136">
        <v>153.46965</v>
      </c>
      <c r="AU148" s="7" t="str">
        <f>VLOOKUP($AO148,Mapping!$E$11:$I$96,3,0)</f>
        <v>Connections</v>
      </c>
      <c r="AV148" s="7" t="str">
        <f>VLOOKUP($AQ148,Mapping!$E$140:$K$2771,5,0)</f>
        <v>Contracts</v>
      </c>
      <c r="AW148" s="7" t="str">
        <f>VLOOKUP($AQ148,Mapping!$E$140:$K$2771,7,0)</f>
        <v>ENDirect</v>
      </c>
      <c r="AX148" s="7" t="str">
        <f>IFERROR(HLOOKUP(AV148,'Calc|Weightings'!$K$5:$M$5,1,0),"Excl")</f>
        <v>Contracts</v>
      </c>
      <c r="AY148" s="7" t="str">
        <f>VLOOKUP(AO148,Mapping!$E$11:$I$96,5,0)</f>
        <v>SCS</v>
      </c>
    </row>
    <row r="149" spans="1:51" x14ac:dyDescent="0.2">
      <c r="A149" s="7"/>
      <c r="B149" s="7"/>
      <c r="C149" s="7"/>
      <c r="D149" s="7"/>
      <c r="E149" s="36">
        <v>105</v>
      </c>
      <c r="F149" s="36" t="s">
        <v>2118</v>
      </c>
      <c r="G149" s="36">
        <v>613428</v>
      </c>
      <c r="H149" s="36" t="s">
        <v>1430</v>
      </c>
      <c r="I149" s="37">
        <v>12.391120000000001</v>
      </c>
      <c r="J149" s="7"/>
      <c r="K149" s="7" t="str">
        <f>VLOOKUP($E149,Mapping!$E$11:$I$96,3,0)</f>
        <v>Connections</v>
      </c>
      <c r="L149" s="7" t="str">
        <f>VLOOKUP($G149,Mapping!$E$140:$K$2771,5,0)</f>
        <v>Labour</v>
      </c>
      <c r="M149" s="7" t="str">
        <f>VLOOKUP($G149,Mapping!$E$140:$K$2771,7,0)</f>
        <v>ENDirect</v>
      </c>
      <c r="N149" s="7" t="str">
        <f>IFERROR(HLOOKUP(L149,'Calc|Weightings'!$K$5:$M$5,1,0),"Excl")</f>
        <v>Labour</v>
      </c>
      <c r="O149" s="7" t="str">
        <f>VLOOKUP(E149,Mapping!$E$11:$I$96,5,0)</f>
        <v>SCS</v>
      </c>
      <c r="Q149" s="33">
        <v>106</v>
      </c>
      <c r="R149" s="33" t="s">
        <v>2119</v>
      </c>
      <c r="S149" s="33">
        <v>531000</v>
      </c>
      <c r="T149" s="33" t="s">
        <v>242</v>
      </c>
      <c r="U149" s="34">
        <v>0.47399999999999998</v>
      </c>
      <c r="V149" s="7"/>
      <c r="W149" s="7" t="str">
        <f>VLOOKUP($Q149,Mapping!$E$11:$I$96,3,0)</f>
        <v>Connections</v>
      </c>
      <c r="X149" s="7" t="str">
        <f>VLOOKUP($S149,Mapping!$E$140:$K$2771,5,0)</f>
        <v>Contracts</v>
      </c>
      <c r="Y149" s="7" t="str">
        <f>VLOOKUP($S149,Mapping!$E$140:$K$2771,7,0)</f>
        <v>ENDirect</v>
      </c>
      <c r="Z149" s="7" t="str">
        <f>IFERROR(HLOOKUP(X149,'Calc|Weightings'!$K$5:$M$5,1,0),"Excl")</f>
        <v>Contracts</v>
      </c>
      <c r="AA149" s="7" t="str">
        <f>VLOOKUP(Q149,Mapping!$E$11:$I$96,5,0)</f>
        <v>SCS</v>
      </c>
      <c r="AC149" s="111">
        <v>105</v>
      </c>
      <c r="AD149" s="111" t="s">
        <v>2118</v>
      </c>
      <c r="AE149" s="111">
        <v>613570</v>
      </c>
      <c r="AF149" s="111" t="s">
        <v>1484</v>
      </c>
      <c r="AG149" s="112">
        <v>2.7864900000000001</v>
      </c>
      <c r="AI149" s="7" t="str">
        <f>VLOOKUP($AC149,Mapping!$E$11:$I$96,3,0)</f>
        <v>Connections</v>
      </c>
      <c r="AJ149" s="7" t="str">
        <f>VLOOKUP($AE149,Mapping!$E$140:$K$2771,5,0)</f>
        <v>Labour</v>
      </c>
      <c r="AK149" s="7" t="str">
        <f>VLOOKUP($AE149,Mapping!$E$140:$K$2771,7,0)</f>
        <v>ENDirect</v>
      </c>
      <c r="AL149" s="7" t="str">
        <f>IFERROR(HLOOKUP(AJ149,'Calc|Weightings'!$K$5:$M$5,1,0),"Excl")</f>
        <v>Labour</v>
      </c>
      <c r="AM149" s="7" t="str">
        <f>VLOOKUP(AC149,Mapping!$E$11:$I$96,5,0)</f>
        <v>SCS</v>
      </c>
      <c r="AO149" s="134">
        <v>106</v>
      </c>
      <c r="AP149" s="135" t="s">
        <v>2119</v>
      </c>
      <c r="AQ149" s="135">
        <v>531201</v>
      </c>
      <c r="AR149" s="135" t="s">
        <v>251</v>
      </c>
      <c r="AS149" s="136">
        <v>193.45866000000001</v>
      </c>
      <c r="AU149" s="7" t="str">
        <f>VLOOKUP($AO149,Mapping!$E$11:$I$96,3,0)</f>
        <v>Connections</v>
      </c>
      <c r="AV149" s="7" t="str">
        <f>VLOOKUP($AQ149,Mapping!$E$140:$K$2771,5,0)</f>
        <v>Contracts</v>
      </c>
      <c r="AW149" s="7" t="str">
        <f>VLOOKUP($AQ149,Mapping!$E$140:$K$2771,7,0)</f>
        <v>ENDirect</v>
      </c>
      <c r="AX149" s="7" t="str">
        <f>IFERROR(HLOOKUP(AV149,'Calc|Weightings'!$K$5:$M$5,1,0),"Excl")</f>
        <v>Contracts</v>
      </c>
      <c r="AY149" s="7" t="str">
        <f>VLOOKUP(AO149,Mapping!$E$11:$I$96,5,0)</f>
        <v>SCS</v>
      </c>
    </row>
    <row r="150" spans="1:51" x14ac:dyDescent="0.2">
      <c r="A150" s="7"/>
      <c r="B150" s="7"/>
      <c r="C150" s="7"/>
      <c r="D150" s="7"/>
      <c r="E150" s="36">
        <v>105</v>
      </c>
      <c r="F150" s="36" t="s">
        <v>2118</v>
      </c>
      <c r="G150" s="36">
        <v>613429</v>
      </c>
      <c r="H150" s="36" t="s">
        <v>1431</v>
      </c>
      <c r="I150" s="37">
        <v>0.94830000000000003</v>
      </c>
      <c r="J150" s="7"/>
      <c r="K150" s="7" t="str">
        <f>VLOOKUP($E150,Mapping!$E$11:$I$96,3,0)</f>
        <v>Connections</v>
      </c>
      <c r="L150" s="7" t="str">
        <f>VLOOKUP($G150,Mapping!$E$140:$K$2771,5,0)</f>
        <v>Labour</v>
      </c>
      <c r="M150" s="7" t="str">
        <f>VLOOKUP($G150,Mapping!$E$140:$K$2771,7,0)</f>
        <v>ENDirect</v>
      </c>
      <c r="N150" s="7" t="str">
        <f>IFERROR(HLOOKUP(L150,'Calc|Weightings'!$K$5:$M$5,1,0),"Excl")</f>
        <v>Labour</v>
      </c>
      <c r="O150" s="7" t="str">
        <f>VLOOKUP(E150,Mapping!$E$11:$I$96,5,0)</f>
        <v>SCS</v>
      </c>
      <c r="Q150" s="33">
        <v>106</v>
      </c>
      <c r="R150" s="33" t="s">
        <v>2119</v>
      </c>
      <c r="S150" s="33">
        <v>531020</v>
      </c>
      <c r="T150" s="33" t="s">
        <v>219</v>
      </c>
      <c r="U150" s="34">
        <v>20.563559999999999</v>
      </c>
      <c r="V150" s="7"/>
      <c r="W150" s="7" t="str">
        <f>VLOOKUP($Q150,Mapping!$E$11:$I$96,3,0)</f>
        <v>Connections</v>
      </c>
      <c r="X150" s="7" t="str">
        <f>VLOOKUP($S150,Mapping!$E$140:$K$2771,5,0)</f>
        <v>Labour</v>
      </c>
      <c r="Y150" s="7" t="str">
        <f>VLOOKUP($S150,Mapping!$E$140:$K$2771,7,0)</f>
        <v>ENDirect</v>
      </c>
      <c r="Z150" s="7" t="str">
        <f>IFERROR(HLOOKUP(X150,'Calc|Weightings'!$K$5:$M$5,1,0),"Excl")</f>
        <v>Labour</v>
      </c>
      <c r="AA150" s="7" t="str">
        <f>VLOOKUP(Q150,Mapping!$E$11:$I$96,5,0)</f>
        <v>SCS</v>
      </c>
      <c r="AC150" s="111">
        <v>105</v>
      </c>
      <c r="AD150" s="111" t="s">
        <v>2118</v>
      </c>
      <c r="AE150" s="111">
        <v>613574</v>
      </c>
      <c r="AF150" s="111" t="s">
        <v>1488</v>
      </c>
      <c r="AG150" s="112">
        <v>98.722679999999997</v>
      </c>
      <c r="AI150" s="7" t="str">
        <f>VLOOKUP($AC150,Mapping!$E$11:$I$96,3,0)</f>
        <v>Connections</v>
      </c>
      <c r="AJ150" s="7" t="str">
        <f>VLOOKUP($AE150,Mapping!$E$140:$K$2771,5,0)</f>
        <v>Labour</v>
      </c>
      <c r="AK150" s="7" t="str">
        <f>VLOOKUP($AE150,Mapping!$E$140:$K$2771,7,0)</f>
        <v>ENDirect</v>
      </c>
      <c r="AL150" s="7" t="str">
        <f>IFERROR(HLOOKUP(AJ150,'Calc|Weightings'!$K$5:$M$5,1,0),"Excl")</f>
        <v>Labour</v>
      </c>
      <c r="AM150" s="7" t="str">
        <f>VLOOKUP(AC150,Mapping!$E$11:$I$96,5,0)</f>
        <v>SCS</v>
      </c>
      <c r="AO150" s="134">
        <v>106</v>
      </c>
      <c r="AP150" s="135" t="s">
        <v>2119</v>
      </c>
      <c r="AQ150" s="135">
        <v>531464</v>
      </c>
      <c r="AR150" s="135" t="s">
        <v>256</v>
      </c>
      <c r="AS150" s="136">
        <v>3471.4337399999999</v>
      </c>
      <c r="AU150" s="7" t="str">
        <f>VLOOKUP($AO150,Mapping!$E$11:$I$96,3,0)</f>
        <v>Connections</v>
      </c>
      <c r="AV150" s="7" t="str">
        <f>VLOOKUP($AQ150,Mapping!$E$140:$K$2771,5,0)</f>
        <v>Contracts</v>
      </c>
      <c r="AW150" s="7" t="str">
        <f>VLOOKUP($AQ150,Mapping!$E$140:$K$2771,7,0)</f>
        <v>ENDirect</v>
      </c>
      <c r="AX150" s="7" t="str">
        <f>IFERROR(HLOOKUP(AV150,'Calc|Weightings'!$K$5:$M$5,1,0),"Excl")</f>
        <v>Contracts</v>
      </c>
      <c r="AY150" s="7" t="str">
        <f>VLOOKUP(AO150,Mapping!$E$11:$I$96,5,0)</f>
        <v>SCS</v>
      </c>
    </row>
    <row r="151" spans="1:51" x14ac:dyDescent="0.2">
      <c r="A151" s="7"/>
      <c r="B151" s="7"/>
      <c r="C151" s="7"/>
      <c r="D151" s="7"/>
      <c r="E151" s="36">
        <v>105</v>
      </c>
      <c r="F151" s="36" t="s">
        <v>2118</v>
      </c>
      <c r="G151" s="36">
        <v>613438</v>
      </c>
      <c r="H151" s="36" t="s">
        <v>1436</v>
      </c>
      <c r="I151" s="37">
        <v>10.709239999999999</v>
      </c>
      <c r="J151" s="7"/>
      <c r="K151" s="7" t="str">
        <f>VLOOKUP($E151,Mapping!$E$11:$I$96,3,0)</f>
        <v>Connections</v>
      </c>
      <c r="L151" s="7" t="str">
        <f>VLOOKUP($G151,Mapping!$E$140:$K$2771,5,0)</f>
        <v>Labour</v>
      </c>
      <c r="M151" s="7" t="str">
        <f>VLOOKUP($G151,Mapping!$E$140:$K$2771,7,0)</f>
        <v>ENDirect</v>
      </c>
      <c r="N151" s="7" t="str">
        <f>IFERROR(HLOOKUP(L151,'Calc|Weightings'!$K$5:$M$5,1,0),"Excl")</f>
        <v>Labour</v>
      </c>
      <c r="O151" s="7" t="str">
        <f>VLOOKUP(E151,Mapping!$E$11:$I$96,5,0)</f>
        <v>SCS</v>
      </c>
      <c r="Q151" s="33">
        <v>106</v>
      </c>
      <c r="R151" s="33" t="s">
        <v>2119</v>
      </c>
      <c r="S151" s="33">
        <v>531035</v>
      </c>
      <c r="T151" s="33" t="s">
        <v>244</v>
      </c>
      <c r="U151" s="34">
        <v>28.18646</v>
      </c>
      <c r="V151" s="7"/>
      <c r="W151" s="7" t="str">
        <f>VLOOKUP($Q151,Mapping!$E$11:$I$96,3,0)</f>
        <v>Connections</v>
      </c>
      <c r="X151" s="7" t="str">
        <f>VLOOKUP($S151,Mapping!$E$140:$K$2771,5,0)</f>
        <v>Labour</v>
      </c>
      <c r="Y151" s="7" t="str">
        <f>VLOOKUP($S151,Mapping!$E$140:$K$2771,7,0)</f>
        <v>ENDirect</v>
      </c>
      <c r="Z151" s="7" t="str">
        <f>IFERROR(HLOOKUP(X151,'Calc|Weightings'!$K$5:$M$5,1,0),"Excl")</f>
        <v>Labour</v>
      </c>
      <c r="AA151" s="7" t="str">
        <f>VLOOKUP(Q151,Mapping!$E$11:$I$96,5,0)</f>
        <v>SCS</v>
      </c>
      <c r="AC151" s="111">
        <v>105</v>
      </c>
      <c r="AD151" s="111" t="s">
        <v>2118</v>
      </c>
      <c r="AE151" s="111">
        <v>613575</v>
      </c>
      <c r="AF151" s="111" t="s">
        <v>1489</v>
      </c>
      <c r="AG151" s="112">
        <v>3.5865900000000002</v>
      </c>
      <c r="AI151" s="7" t="str">
        <f>VLOOKUP($AC151,Mapping!$E$11:$I$96,3,0)</f>
        <v>Connections</v>
      </c>
      <c r="AJ151" s="7" t="str">
        <f>VLOOKUP($AE151,Mapping!$E$140:$K$2771,5,0)</f>
        <v>Labour</v>
      </c>
      <c r="AK151" s="7" t="str">
        <f>VLOOKUP($AE151,Mapping!$E$140:$K$2771,7,0)</f>
        <v>ENDirect</v>
      </c>
      <c r="AL151" s="7" t="str">
        <f>IFERROR(HLOOKUP(AJ151,'Calc|Weightings'!$K$5:$M$5,1,0),"Excl")</f>
        <v>Labour</v>
      </c>
      <c r="AM151" s="7" t="str">
        <f>VLOOKUP(AC151,Mapping!$E$11:$I$96,5,0)</f>
        <v>SCS</v>
      </c>
      <c r="AO151" s="134">
        <v>106</v>
      </c>
      <c r="AP151" s="135" t="s">
        <v>2119</v>
      </c>
      <c r="AQ151" s="135">
        <v>531465</v>
      </c>
      <c r="AR151" s="135" t="s">
        <v>257</v>
      </c>
      <c r="AS151" s="136">
        <v>3.5157799999999999</v>
      </c>
      <c r="AU151" s="7" t="str">
        <f>VLOOKUP($AO151,Mapping!$E$11:$I$96,3,0)</f>
        <v>Connections</v>
      </c>
      <c r="AV151" s="7" t="str">
        <f>VLOOKUP($AQ151,Mapping!$E$140:$K$2771,5,0)</f>
        <v>Contracts</v>
      </c>
      <c r="AW151" s="7" t="str">
        <f>VLOOKUP($AQ151,Mapping!$E$140:$K$2771,7,0)</f>
        <v>ENDirect</v>
      </c>
      <c r="AX151" s="7" t="str">
        <f>IFERROR(HLOOKUP(AV151,'Calc|Weightings'!$K$5:$M$5,1,0),"Excl")</f>
        <v>Contracts</v>
      </c>
      <c r="AY151" s="7" t="str">
        <f>VLOOKUP(AO151,Mapping!$E$11:$I$96,5,0)</f>
        <v>SCS</v>
      </c>
    </row>
    <row r="152" spans="1:51" x14ac:dyDescent="0.2">
      <c r="A152" s="7"/>
      <c r="B152" s="7"/>
      <c r="C152" s="7"/>
      <c r="D152" s="7"/>
      <c r="E152" s="36">
        <v>105</v>
      </c>
      <c r="F152" s="36" t="s">
        <v>2118</v>
      </c>
      <c r="G152" s="36">
        <v>613439</v>
      </c>
      <c r="H152" s="36" t="s">
        <v>1437</v>
      </c>
      <c r="I152" s="37">
        <v>0.83994000000000002</v>
      </c>
      <c r="J152" s="7"/>
      <c r="K152" s="7" t="str">
        <f>VLOOKUP($E152,Mapping!$E$11:$I$96,3,0)</f>
        <v>Connections</v>
      </c>
      <c r="L152" s="7" t="str">
        <f>VLOOKUP($G152,Mapping!$E$140:$K$2771,5,0)</f>
        <v>Labour</v>
      </c>
      <c r="M152" s="7" t="str">
        <f>VLOOKUP($G152,Mapping!$E$140:$K$2771,7,0)</f>
        <v>ENDirect</v>
      </c>
      <c r="N152" s="7" t="str">
        <f>IFERROR(HLOOKUP(L152,'Calc|Weightings'!$K$5:$M$5,1,0),"Excl")</f>
        <v>Labour</v>
      </c>
      <c r="O152" s="7" t="str">
        <f>VLOOKUP(E152,Mapping!$E$11:$I$96,5,0)</f>
        <v>SCS</v>
      </c>
      <c r="Q152" s="33">
        <v>106</v>
      </c>
      <c r="R152" s="33" t="s">
        <v>2119</v>
      </c>
      <c r="S152" s="33">
        <v>531200</v>
      </c>
      <c r="T152" s="33" t="s">
        <v>250</v>
      </c>
      <c r="U152" s="34">
        <v>80.754000000000005</v>
      </c>
      <c r="V152" s="7"/>
      <c r="W152" s="7" t="str">
        <f>VLOOKUP($Q152,Mapping!$E$11:$I$96,3,0)</f>
        <v>Connections</v>
      </c>
      <c r="X152" s="7" t="str">
        <f>VLOOKUP($S152,Mapping!$E$140:$K$2771,5,0)</f>
        <v>Contracts</v>
      </c>
      <c r="Y152" s="7" t="str">
        <f>VLOOKUP($S152,Mapping!$E$140:$K$2771,7,0)</f>
        <v>ENDirect</v>
      </c>
      <c r="Z152" s="7" t="str">
        <f>IFERROR(HLOOKUP(X152,'Calc|Weightings'!$K$5:$M$5,1,0),"Excl")</f>
        <v>Contracts</v>
      </c>
      <c r="AA152" s="7" t="str">
        <f>VLOOKUP(Q152,Mapping!$E$11:$I$96,5,0)</f>
        <v>SCS</v>
      </c>
      <c r="AC152" s="111">
        <v>105</v>
      </c>
      <c r="AD152" s="111" t="s">
        <v>2118</v>
      </c>
      <c r="AE152" s="111">
        <v>613576</v>
      </c>
      <c r="AF152" s="111" t="s">
        <v>1490</v>
      </c>
      <c r="AG152" s="112">
        <v>23.542639999999999</v>
      </c>
      <c r="AI152" s="7" t="str">
        <f>VLOOKUP($AC152,Mapping!$E$11:$I$96,3,0)</f>
        <v>Connections</v>
      </c>
      <c r="AJ152" s="7" t="str">
        <f>VLOOKUP($AE152,Mapping!$E$140:$K$2771,5,0)</f>
        <v>Labour</v>
      </c>
      <c r="AK152" s="7" t="str">
        <f>VLOOKUP($AE152,Mapping!$E$140:$K$2771,7,0)</f>
        <v>ENDirect</v>
      </c>
      <c r="AL152" s="7" t="str">
        <f>IFERROR(HLOOKUP(AJ152,'Calc|Weightings'!$K$5:$M$5,1,0),"Excl")</f>
        <v>Labour</v>
      </c>
      <c r="AM152" s="7" t="str">
        <f>VLOOKUP(AC152,Mapping!$E$11:$I$96,5,0)</f>
        <v>SCS</v>
      </c>
      <c r="AO152" s="134">
        <v>106</v>
      </c>
      <c r="AP152" s="135" t="s">
        <v>2119</v>
      </c>
      <c r="AQ152" s="135">
        <v>531466</v>
      </c>
      <c r="AR152" s="135" t="s">
        <v>258</v>
      </c>
      <c r="AS152" s="136">
        <v>230.14284000000001</v>
      </c>
      <c r="AU152" s="7" t="str">
        <f>VLOOKUP($AO152,Mapping!$E$11:$I$96,3,0)</f>
        <v>Connections</v>
      </c>
      <c r="AV152" s="7" t="str">
        <f>VLOOKUP($AQ152,Mapping!$E$140:$K$2771,5,0)</f>
        <v>Contracts</v>
      </c>
      <c r="AW152" s="7" t="str">
        <f>VLOOKUP($AQ152,Mapping!$E$140:$K$2771,7,0)</f>
        <v>ENDirect</v>
      </c>
      <c r="AX152" s="7" t="str">
        <f>IFERROR(HLOOKUP(AV152,'Calc|Weightings'!$K$5:$M$5,1,0),"Excl")</f>
        <v>Contracts</v>
      </c>
      <c r="AY152" s="7" t="str">
        <f>VLOOKUP(AO152,Mapping!$E$11:$I$96,5,0)</f>
        <v>SCS</v>
      </c>
    </row>
    <row r="153" spans="1:51" x14ac:dyDescent="0.2">
      <c r="A153" s="7"/>
      <c r="B153" s="7"/>
      <c r="C153" s="7"/>
      <c r="D153" s="7"/>
      <c r="E153" s="36">
        <v>105</v>
      </c>
      <c r="F153" s="36" t="s">
        <v>2118</v>
      </c>
      <c r="G153" s="36">
        <v>613566</v>
      </c>
      <c r="H153" s="36" t="s">
        <v>1482</v>
      </c>
      <c r="I153" s="37">
        <v>3.2861699999999998</v>
      </c>
      <c r="J153" s="7"/>
      <c r="K153" s="7" t="str">
        <f>VLOOKUP($E153,Mapping!$E$11:$I$96,3,0)</f>
        <v>Connections</v>
      </c>
      <c r="L153" s="7" t="str">
        <f>VLOOKUP($G153,Mapping!$E$140:$K$2771,5,0)</f>
        <v>Labour</v>
      </c>
      <c r="M153" s="7" t="str">
        <f>VLOOKUP($G153,Mapping!$E$140:$K$2771,7,0)</f>
        <v>ENDirect</v>
      </c>
      <c r="N153" s="7" t="str">
        <f>IFERROR(HLOOKUP(L153,'Calc|Weightings'!$K$5:$M$5,1,0),"Excl")</f>
        <v>Labour</v>
      </c>
      <c r="O153" s="7" t="str">
        <f>VLOOKUP(E153,Mapping!$E$11:$I$96,5,0)</f>
        <v>SCS</v>
      </c>
      <c r="Q153" s="33">
        <v>106</v>
      </c>
      <c r="R153" s="33" t="s">
        <v>2119</v>
      </c>
      <c r="S153" s="33">
        <v>531201</v>
      </c>
      <c r="T153" s="33" t="s">
        <v>251</v>
      </c>
      <c r="U153" s="34">
        <v>139.21973</v>
      </c>
      <c r="V153" s="7"/>
      <c r="W153" s="7" t="str">
        <f>VLOOKUP($Q153,Mapping!$E$11:$I$96,3,0)</f>
        <v>Connections</v>
      </c>
      <c r="X153" s="7" t="str">
        <f>VLOOKUP($S153,Mapping!$E$140:$K$2771,5,0)</f>
        <v>Contracts</v>
      </c>
      <c r="Y153" s="7" t="str">
        <f>VLOOKUP($S153,Mapping!$E$140:$K$2771,7,0)</f>
        <v>ENDirect</v>
      </c>
      <c r="Z153" s="7" t="str">
        <f>IFERROR(HLOOKUP(X153,'Calc|Weightings'!$K$5:$M$5,1,0),"Excl")</f>
        <v>Contracts</v>
      </c>
      <c r="AA153" s="7" t="str">
        <f>VLOOKUP(Q153,Mapping!$E$11:$I$96,5,0)</f>
        <v>SCS</v>
      </c>
      <c r="AC153" s="111">
        <v>105</v>
      </c>
      <c r="AD153" s="111" t="s">
        <v>2118</v>
      </c>
      <c r="AE153" s="111">
        <v>613577</v>
      </c>
      <c r="AF153" s="111" t="s">
        <v>1491</v>
      </c>
      <c r="AG153" s="112">
        <v>3.5932499999999998</v>
      </c>
      <c r="AI153" s="7" t="str">
        <f>VLOOKUP($AC153,Mapping!$E$11:$I$96,3,0)</f>
        <v>Connections</v>
      </c>
      <c r="AJ153" s="7" t="str">
        <f>VLOOKUP($AE153,Mapping!$E$140:$K$2771,5,0)</f>
        <v>Labour</v>
      </c>
      <c r="AK153" s="7" t="str">
        <f>VLOOKUP($AE153,Mapping!$E$140:$K$2771,7,0)</f>
        <v>ENDirect</v>
      </c>
      <c r="AL153" s="7" t="str">
        <f>IFERROR(HLOOKUP(AJ153,'Calc|Weightings'!$K$5:$M$5,1,0),"Excl")</f>
        <v>Labour</v>
      </c>
      <c r="AM153" s="7" t="str">
        <f>VLOOKUP(AC153,Mapping!$E$11:$I$96,5,0)</f>
        <v>SCS</v>
      </c>
      <c r="AO153" s="134">
        <v>106</v>
      </c>
      <c r="AP153" s="135" t="s">
        <v>2119</v>
      </c>
      <c r="AQ153" s="135">
        <v>531467</v>
      </c>
      <c r="AR153" s="135" t="s">
        <v>259</v>
      </c>
      <c r="AS153" s="136">
        <v>828.15123000000006</v>
      </c>
      <c r="AU153" s="7" t="str">
        <f>VLOOKUP($AO153,Mapping!$E$11:$I$96,3,0)</f>
        <v>Connections</v>
      </c>
      <c r="AV153" s="7" t="str">
        <f>VLOOKUP($AQ153,Mapping!$E$140:$K$2771,5,0)</f>
        <v>Contracts</v>
      </c>
      <c r="AW153" s="7" t="str">
        <f>VLOOKUP($AQ153,Mapping!$E$140:$K$2771,7,0)</f>
        <v>ENDirect</v>
      </c>
      <c r="AX153" s="7" t="str">
        <f>IFERROR(HLOOKUP(AV153,'Calc|Weightings'!$K$5:$M$5,1,0),"Excl")</f>
        <v>Contracts</v>
      </c>
      <c r="AY153" s="7" t="str">
        <f>VLOOKUP(AO153,Mapping!$E$11:$I$96,5,0)</f>
        <v>SCS</v>
      </c>
    </row>
    <row r="154" spans="1:51" x14ac:dyDescent="0.2">
      <c r="A154" s="7"/>
      <c r="B154" s="7"/>
      <c r="C154" s="7"/>
      <c r="D154" s="7"/>
      <c r="E154" s="36">
        <v>105</v>
      </c>
      <c r="F154" s="36" t="s">
        <v>2118</v>
      </c>
      <c r="G154" s="36">
        <v>613567</v>
      </c>
      <c r="H154" s="36" t="s">
        <v>1483</v>
      </c>
      <c r="I154" s="37">
        <v>2.3976899999999999</v>
      </c>
      <c r="J154" s="7"/>
      <c r="K154" s="7" t="str">
        <f>VLOOKUP($E154,Mapping!$E$11:$I$96,3,0)</f>
        <v>Connections</v>
      </c>
      <c r="L154" s="7" t="str">
        <f>VLOOKUP($G154,Mapping!$E$140:$K$2771,5,0)</f>
        <v>Labour</v>
      </c>
      <c r="M154" s="7" t="str">
        <f>VLOOKUP($G154,Mapping!$E$140:$K$2771,7,0)</f>
        <v>ENDirect</v>
      </c>
      <c r="N154" s="7" t="str">
        <f>IFERROR(HLOOKUP(L154,'Calc|Weightings'!$K$5:$M$5,1,0),"Excl")</f>
        <v>Labour</v>
      </c>
      <c r="O154" s="7" t="str">
        <f>VLOOKUP(E154,Mapping!$E$11:$I$96,5,0)</f>
        <v>SCS</v>
      </c>
      <c r="Q154" s="33">
        <v>106</v>
      </c>
      <c r="R154" s="33" t="s">
        <v>2119</v>
      </c>
      <c r="S154" s="33">
        <v>531464</v>
      </c>
      <c r="T154" s="33" t="s">
        <v>256</v>
      </c>
      <c r="U154" s="34">
        <v>1411.66589</v>
      </c>
      <c r="V154" s="7"/>
      <c r="W154" s="7" t="str">
        <f>VLOOKUP($Q154,Mapping!$E$11:$I$96,3,0)</f>
        <v>Connections</v>
      </c>
      <c r="X154" s="7" t="str">
        <f>VLOOKUP($S154,Mapping!$E$140:$K$2771,5,0)</f>
        <v>Contracts</v>
      </c>
      <c r="Y154" s="7" t="str">
        <f>VLOOKUP($S154,Mapping!$E$140:$K$2771,7,0)</f>
        <v>ENDirect</v>
      </c>
      <c r="Z154" s="7" t="str">
        <f>IFERROR(HLOOKUP(X154,'Calc|Weightings'!$K$5:$M$5,1,0),"Excl")</f>
        <v>Contracts</v>
      </c>
      <c r="AA154" s="7" t="str">
        <f>VLOOKUP(Q154,Mapping!$E$11:$I$96,5,0)</f>
        <v>SCS</v>
      </c>
      <c r="AC154" s="111">
        <v>105</v>
      </c>
      <c r="AD154" s="111" t="s">
        <v>2118</v>
      </c>
      <c r="AE154" s="111">
        <v>613602</v>
      </c>
      <c r="AF154" s="111" t="s">
        <v>1494</v>
      </c>
      <c r="AG154" s="112">
        <v>0.82847999999999999</v>
      </c>
      <c r="AI154" s="7" t="str">
        <f>VLOOKUP($AC154,Mapping!$E$11:$I$96,3,0)</f>
        <v>Connections</v>
      </c>
      <c r="AJ154" s="7" t="str">
        <f>VLOOKUP($AE154,Mapping!$E$140:$K$2771,5,0)</f>
        <v>Labour</v>
      </c>
      <c r="AK154" s="7" t="str">
        <f>VLOOKUP($AE154,Mapping!$E$140:$K$2771,7,0)</f>
        <v>ENDirect</v>
      </c>
      <c r="AL154" s="7" t="str">
        <f>IFERROR(HLOOKUP(AJ154,'Calc|Weightings'!$K$5:$M$5,1,0),"Excl")</f>
        <v>Labour</v>
      </c>
      <c r="AM154" s="7" t="str">
        <f>VLOOKUP(AC154,Mapping!$E$11:$I$96,5,0)</f>
        <v>SCS</v>
      </c>
      <c r="AO154" s="134">
        <v>106</v>
      </c>
      <c r="AP154" s="135" t="s">
        <v>2119</v>
      </c>
      <c r="AQ154" s="135">
        <v>531468</v>
      </c>
      <c r="AR154" s="135" t="s">
        <v>260</v>
      </c>
      <c r="AS154" s="136">
        <v>1262.06233</v>
      </c>
      <c r="AU154" s="7" t="str">
        <f>VLOOKUP($AO154,Mapping!$E$11:$I$96,3,0)</f>
        <v>Connections</v>
      </c>
      <c r="AV154" s="7" t="str">
        <f>VLOOKUP($AQ154,Mapping!$E$140:$K$2771,5,0)</f>
        <v>Contracts</v>
      </c>
      <c r="AW154" s="7" t="str">
        <f>VLOOKUP($AQ154,Mapping!$E$140:$K$2771,7,0)</f>
        <v>ENDirect</v>
      </c>
      <c r="AX154" s="7" t="str">
        <f>IFERROR(HLOOKUP(AV154,'Calc|Weightings'!$K$5:$M$5,1,0),"Excl")</f>
        <v>Contracts</v>
      </c>
      <c r="AY154" s="7" t="str">
        <f>VLOOKUP(AO154,Mapping!$E$11:$I$96,5,0)</f>
        <v>SCS</v>
      </c>
    </row>
    <row r="155" spans="1:51" x14ac:dyDescent="0.2">
      <c r="A155" s="7"/>
      <c r="B155" s="7"/>
      <c r="C155" s="7"/>
      <c r="D155" s="7"/>
      <c r="E155" s="36">
        <v>105</v>
      </c>
      <c r="F155" s="36" t="s">
        <v>2118</v>
      </c>
      <c r="G155" s="36">
        <v>613574</v>
      </c>
      <c r="H155" s="36" t="s">
        <v>1488</v>
      </c>
      <c r="I155" s="37">
        <v>3.4138799999999998</v>
      </c>
      <c r="J155" s="7"/>
      <c r="K155" s="7" t="str">
        <f>VLOOKUP($E155,Mapping!$E$11:$I$96,3,0)</f>
        <v>Connections</v>
      </c>
      <c r="L155" s="7" t="str">
        <f>VLOOKUP($G155,Mapping!$E$140:$K$2771,5,0)</f>
        <v>Labour</v>
      </c>
      <c r="M155" s="7" t="str">
        <f>VLOOKUP($G155,Mapping!$E$140:$K$2771,7,0)</f>
        <v>ENDirect</v>
      </c>
      <c r="N155" s="7" t="str">
        <f>IFERROR(HLOOKUP(L155,'Calc|Weightings'!$K$5:$M$5,1,0),"Excl")</f>
        <v>Labour</v>
      </c>
      <c r="O155" s="7" t="str">
        <f>VLOOKUP(E155,Mapping!$E$11:$I$96,5,0)</f>
        <v>SCS</v>
      </c>
      <c r="Q155" s="33">
        <v>106</v>
      </c>
      <c r="R155" s="33" t="s">
        <v>2119</v>
      </c>
      <c r="S155" s="33">
        <v>531465</v>
      </c>
      <c r="T155" s="33" t="s">
        <v>257</v>
      </c>
      <c r="U155" s="34">
        <v>7.85304</v>
      </c>
      <c r="V155" s="7"/>
      <c r="W155" s="7" t="str">
        <f>VLOOKUP($Q155,Mapping!$E$11:$I$96,3,0)</f>
        <v>Connections</v>
      </c>
      <c r="X155" s="7" t="str">
        <f>VLOOKUP($S155,Mapping!$E$140:$K$2771,5,0)</f>
        <v>Contracts</v>
      </c>
      <c r="Y155" s="7" t="str">
        <f>VLOOKUP($S155,Mapping!$E$140:$K$2771,7,0)</f>
        <v>ENDirect</v>
      </c>
      <c r="Z155" s="7" t="str">
        <f>IFERROR(HLOOKUP(X155,'Calc|Weightings'!$K$5:$M$5,1,0),"Excl")</f>
        <v>Contracts</v>
      </c>
      <c r="AA155" s="7" t="str">
        <f>VLOOKUP(Q155,Mapping!$E$11:$I$96,5,0)</f>
        <v>SCS</v>
      </c>
      <c r="AC155" s="111">
        <v>105</v>
      </c>
      <c r="AD155" s="111" t="s">
        <v>2118</v>
      </c>
      <c r="AE155" s="111">
        <v>613630</v>
      </c>
      <c r="AF155" s="111" t="s">
        <v>1498</v>
      </c>
      <c r="AG155" s="112">
        <v>10.04358</v>
      </c>
      <c r="AI155" s="7" t="str">
        <f>VLOOKUP($AC155,Mapping!$E$11:$I$96,3,0)</f>
        <v>Connections</v>
      </c>
      <c r="AJ155" s="7" t="str">
        <f>VLOOKUP($AE155,Mapping!$E$140:$K$2771,5,0)</f>
        <v>Labour</v>
      </c>
      <c r="AK155" s="7" t="str">
        <f>VLOOKUP($AE155,Mapping!$E$140:$K$2771,7,0)</f>
        <v>ENDirect</v>
      </c>
      <c r="AL155" s="7" t="str">
        <f>IFERROR(HLOOKUP(AJ155,'Calc|Weightings'!$K$5:$M$5,1,0),"Excl")</f>
        <v>Labour</v>
      </c>
      <c r="AM155" s="7" t="str">
        <f>VLOOKUP(AC155,Mapping!$E$11:$I$96,5,0)</f>
        <v>SCS</v>
      </c>
      <c r="AO155" s="134">
        <v>106</v>
      </c>
      <c r="AP155" s="135" t="s">
        <v>2119</v>
      </c>
      <c r="AQ155" s="135">
        <v>531469</v>
      </c>
      <c r="AR155" s="135" t="s">
        <v>261</v>
      </c>
      <c r="AS155" s="136">
        <v>9.9423700000000004</v>
      </c>
      <c r="AU155" s="7" t="str">
        <f>VLOOKUP($AO155,Mapping!$E$11:$I$96,3,0)</f>
        <v>Connections</v>
      </c>
      <c r="AV155" s="7" t="str">
        <f>VLOOKUP($AQ155,Mapping!$E$140:$K$2771,5,0)</f>
        <v>Labour</v>
      </c>
      <c r="AW155" s="7" t="str">
        <f>VLOOKUP($AQ155,Mapping!$E$140:$K$2771,7,0)</f>
        <v>ENDirect</v>
      </c>
      <c r="AX155" s="7" t="str">
        <f>IFERROR(HLOOKUP(AV155,'Calc|Weightings'!$K$5:$M$5,1,0),"Excl")</f>
        <v>Labour</v>
      </c>
      <c r="AY155" s="7" t="str">
        <f>VLOOKUP(AO155,Mapping!$E$11:$I$96,5,0)</f>
        <v>SCS</v>
      </c>
    </row>
    <row r="156" spans="1:51" x14ac:dyDescent="0.2">
      <c r="A156" s="7"/>
      <c r="B156" s="7"/>
      <c r="C156" s="7"/>
      <c r="D156" s="7"/>
      <c r="E156" s="36">
        <v>105</v>
      </c>
      <c r="F156" s="36" t="s">
        <v>2118</v>
      </c>
      <c r="G156" s="36">
        <v>613576</v>
      </c>
      <c r="H156" s="36" t="s">
        <v>1490</v>
      </c>
      <c r="I156" s="37">
        <v>0.4652</v>
      </c>
      <c r="J156" s="7"/>
      <c r="K156" s="7" t="str">
        <f>VLOOKUP($E156,Mapping!$E$11:$I$96,3,0)</f>
        <v>Connections</v>
      </c>
      <c r="L156" s="7" t="str">
        <f>VLOOKUP($G156,Mapping!$E$140:$K$2771,5,0)</f>
        <v>Labour</v>
      </c>
      <c r="M156" s="7" t="str">
        <f>VLOOKUP($G156,Mapping!$E$140:$K$2771,7,0)</f>
        <v>ENDirect</v>
      </c>
      <c r="N156" s="7" t="str">
        <f>IFERROR(HLOOKUP(L156,'Calc|Weightings'!$K$5:$M$5,1,0),"Excl")</f>
        <v>Labour</v>
      </c>
      <c r="O156" s="7" t="str">
        <f>VLOOKUP(E156,Mapping!$E$11:$I$96,5,0)</f>
        <v>SCS</v>
      </c>
      <c r="Q156" s="33">
        <v>106</v>
      </c>
      <c r="R156" s="33" t="s">
        <v>2119</v>
      </c>
      <c r="S156" s="33">
        <v>531466</v>
      </c>
      <c r="T156" s="33" t="s">
        <v>258</v>
      </c>
      <c r="U156" s="34">
        <v>1119.48046</v>
      </c>
      <c r="V156" s="7"/>
      <c r="W156" s="7" t="str">
        <f>VLOOKUP($Q156,Mapping!$E$11:$I$96,3,0)</f>
        <v>Connections</v>
      </c>
      <c r="X156" s="7" t="str">
        <f>VLOOKUP($S156,Mapping!$E$140:$K$2771,5,0)</f>
        <v>Contracts</v>
      </c>
      <c r="Y156" s="7" t="str">
        <f>VLOOKUP($S156,Mapping!$E$140:$K$2771,7,0)</f>
        <v>ENDirect</v>
      </c>
      <c r="Z156" s="7" t="str">
        <f>IFERROR(HLOOKUP(X156,'Calc|Weightings'!$K$5:$M$5,1,0),"Excl")</f>
        <v>Contracts</v>
      </c>
      <c r="AA156" s="7" t="str">
        <f>VLOOKUP(Q156,Mapping!$E$11:$I$96,5,0)</f>
        <v>SCS</v>
      </c>
      <c r="AC156" s="111">
        <v>105</v>
      </c>
      <c r="AD156" s="111" t="s">
        <v>2118</v>
      </c>
      <c r="AE156" s="111">
        <v>613680</v>
      </c>
      <c r="AF156" s="111" t="s">
        <v>2107</v>
      </c>
      <c r="AG156" s="112">
        <v>115.24142999999999</v>
      </c>
      <c r="AI156" s="7" t="str">
        <f>VLOOKUP($AC156,Mapping!$E$11:$I$96,3,0)</f>
        <v>Connections</v>
      </c>
      <c r="AJ156" s="7" t="str">
        <f>VLOOKUP($AE156,Mapping!$E$140:$K$2771,5,0)</f>
        <v>Labour</v>
      </c>
      <c r="AK156" s="7" t="str">
        <f>VLOOKUP($AE156,Mapping!$E$140:$K$2771,7,0)</f>
        <v>ENDirect</v>
      </c>
      <c r="AL156" s="7" t="str">
        <f>IFERROR(HLOOKUP(AJ156,'Calc|Weightings'!$K$5:$M$5,1,0),"Excl")</f>
        <v>Labour</v>
      </c>
      <c r="AM156" s="7" t="str">
        <f>VLOOKUP(AC156,Mapping!$E$11:$I$96,5,0)</f>
        <v>SCS</v>
      </c>
      <c r="AO156" s="134">
        <v>106</v>
      </c>
      <c r="AP156" s="135" t="s">
        <v>2119</v>
      </c>
      <c r="AQ156" s="135">
        <v>532050</v>
      </c>
      <c r="AR156" s="135" t="s">
        <v>279</v>
      </c>
      <c r="AS156" s="136">
        <v>0.28320000000000001</v>
      </c>
      <c r="AU156" s="7" t="str">
        <f>VLOOKUP($AO156,Mapping!$E$11:$I$96,3,0)</f>
        <v>Connections</v>
      </c>
      <c r="AV156" s="7" t="str">
        <f>VLOOKUP($AQ156,Mapping!$E$140:$K$2771,5,0)</f>
        <v>Contracts</v>
      </c>
      <c r="AW156" s="7" t="str">
        <f>VLOOKUP($AQ156,Mapping!$E$140:$K$2771,7,0)</f>
        <v>ENDirect</v>
      </c>
      <c r="AX156" s="7" t="str">
        <f>IFERROR(HLOOKUP(AV156,'Calc|Weightings'!$K$5:$M$5,1,0),"Excl")</f>
        <v>Contracts</v>
      </c>
      <c r="AY156" s="7" t="str">
        <f>VLOOKUP(AO156,Mapping!$E$11:$I$96,5,0)</f>
        <v>SCS</v>
      </c>
    </row>
    <row r="157" spans="1:51" x14ac:dyDescent="0.2">
      <c r="A157" s="7"/>
      <c r="B157" s="7"/>
      <c r="C157" s="7"/>
      <c r="D157" s="7"/>
      <c r="E157" s="36">
        <v>105</v>
      </c>
      <c r="F157" s="36" t="s">
        <v>2118</v>
      </c>
      <c r="G157" s="36">
        <v>613630</v>
      </c>
      <c r="H157" s="36" t="s">
        <v>1498</v>
      </c>
      <c r="I157" s="37">
        <v>7.9413999999999998</v>
      </c>
      <c r="J157" s="7"/>
      <c r="K157" s="7" t="str">
        <f>VLOOKUP($E157,Mapping!$E$11:$I$96,3,0)</f>
        <v>Connections</v>
      </c>
      <c r="L157" s="7" t="str">
        <f>VLOOKUP($G157,Mapping!$E$140:$K$2771,5,0)</f>
        <v>Labour</v>
      </c>
      <c r="M157" s="7" t="str">
        <f>VLOOKUP($G157,Mapping!$E$140:$K$2771,7,0)</f>
        <v>ENDirect</v>
      </c>
      <c r="N157" s="7" t="str">
        <f>IFERROR(HLOOKUP(L157,'Calc|Weightings'!$K$5:$M$5,1,0),"Excl")</f>
        <v>Labour</v>
      </c>
      <c r="O157" s="7" t="str">
        <f>VLOOKUP(E157,Mapping!$E$11:$I$96,5,0)</f>
        <v>SCS</v>
      </c>
      <c r="Q157" s="33">
        <v>106</v>
      </c>
      <c r="R157" s="33" t="s">
        <v>2119</v>
      </c>
      <c r="S157" s="33">
        <v>531467</v>
      </c>
      <c r="T157" s="33" t="s">
        <v>259</v>
      </c>
      <c r="U157" s="34">
        <v>770.06839000000002</v>
      </c>
      <c r="V157" s="7"/>
      <c r="W157" s="7" t="str">
        <f>VLOOKUP($Q157,Mapping!$E$11:$I$96,3,0)</f>
        <v>Connections</v>
      </c>
      <c r="X157" s="7" t="str">
        <f>VLOOKUP($S157,Mapping!$E$140:$K$2771,5,0)</f>
        <v>Contracts</v>
      </c>
      <c r="Y157" s="7" t="str">
        <f>VLOOKUP($S157,Mapping!$E$140:$K$2771,7,0)</f>
        <v>ENDirect</v>
      </c>
      <c r="Z157" s="7" t="str">
        <f>IFERROR(HLOOKUP(X157,'Calc|Weightings'!$K$5:$M$5,1,0),"Excl")</f>
        <v>Contracts</v>
      </c>
      <c r="AA157" s="7" t="str">
        <f>VLOOKUP(Q157,Mapping!$E$11:$I$96,5,0)</f>
        <v>SCS</v>
      </c>
      <c r="AC157" s="111">
        <v>105</v>
      </c>
      <c r="AD157" s="111" t="s">
        <v>2118</v>
      </c>
      <c r="AE157" s="111">
        <v>613681</v>
      </c>
      <c r="AF157" s="111" t="s">
        <v>2108</v>
      </c>
      <c r="AG157" s="112">
        <v>0.18121999999999999</v>
      </c>
      <c r="AI157" s="7" t="str">
        <f>VLOOKUP($AC157,Mapping!$E$11:$I$96,3,0)</f>
        <v>Connections</v>
      </c>
      <c r="AJ157" s="7" t="str">
        <f>VLOOKUP($AE157,Mapping!$E$140:$K$2771,5,0)</f>
        <v>Labour</v>
      </c>
      <c r="AK157" s="7" t="str">
        <f>VLOOKUP($AE157,Mapping!$E$140:$K$2771,7,0)</f>
        <v>ENDirect</v>
      </c>
      <c r="AL157" s="7" t="str">
        <f>IFERROR(HLOOKUP(AJ157,'Calc|Weightings'!$K$5:$M$5,1,0),"Excl")</f>
        <v>Labour</v>
      </c>
      <c r="AM157" s="7" t="str">
        <f>VLOOKUP(AC157,Mapping!$E$11:$I$96,5,0)</f>
        <v>SCS</v>
      </c>
      <c r="AO157" s="134">
        <v>106</v>
      </c>
      <c r="AP157" s="135" t="s">
        <v>2119</v>
      </c>
      <c r="AQ157" s="135">
        <v>532140</v>
      </c>
      <c r="AR157" s="135" t="s">
        <v>288</v>
      </c>
      <c r="AS157" s="136">
        <v>3.39</v>
      </c>
      <c r="AU157" s="7" t="str">
        <f>VLOOKUP($AO157,Mapping!$E$11:$I$96,3,0)</f>
        <v>Connections</v>
      </c>
      <c r="AV157" s="7" t="str">
        <f>VLOOKUP($AQ157,Mapping!$E$140:$K$2771,5,0)</f>
        <v>Contracts</v>
      </c>
      <c r="AW157" s="7" t="str">
        <f>VLOOKUP($AQ157,Mapping!$E$140:$K$2771,7,0)</f>
        <v>ENDirect</v>
      </c>
      <c r="AX157" s="7" t="str">
        <f>IFERROR(HLOOKUP(AV157,'Calc|Weightings'!$K$5:$M$5,1,0),"Excl")</f>
        <v>Contracts</v>
      </c>
      <c r="AY157" s="7" t="str">
        <f>VLOOKUP(AO157,Mapping!$E$11:$I$96,5,0)</f>
        <v>SCS</v>
      </c>
    </row>
    <row r="158" spans="1:51" x14ac:dyDescent="0.2">
      <c r="A158" s="7"/>
      <c r="B158" s="7"/>
      <c r="C158" s="7"/>
      <c r="D158" s="7"/>
      <c r="E158" s="36">
        <v>105</v>
      </c>
      <c r="F158" s="36" t="s">
        <v>2118</v>
      </c>
      <c r="G158" s="36">
        <v>613680</v>
      </c>
      <c r="H158" s="36" t="s">
        <v>2107</v>
      </c>
      <c r="I158" s="37">
        <v>122.30719999999999</v>
      </c>
      <c r="J158" s="7"/>
      <c r="K158" s="7" t="str">
        <f>VLOOKUP($E158,Mapping!$E$11:$I$96,3,0)</f>
        <v>Connections</v>
      </c>
      <c r="L158" s="7" t="str">
        <f>VLOOKUP($G158,Mapping!$E$140:$K$2771,5,0)</f>
        <v>Labour</v>
      </c>
      <c r="M158" s="7" t="str">
        <f>VLOOKUP($G158,Mapping!$E$140:$K$2771,7,0)</f>
        <v>ENDirect</v>
      </c>
      <c r="N158" s="7" t="str">
        <f>IFERROR(HLOOKUP(L158,'Calc|Weightings'!$K$5:$M$5,1,0),"Excl")</f>
        <v>Labour</v>
      </c>
      <c r="O158" s="7" t="str">
        <f>VLOOKUP(E158,Mapping!$E$11:$I$96,5,0)</f>
        <v>SCS</v>
      </c>
      <c r="Q158" s="33">
        <v>106</v>
      </c>
      <c r="R158" s="33" t="s">
        <v>2119</v>
      </c>
      <c r="S158" s="33">
        <v>531468</v>
      </c>
      <c r="T158" s="33" t="s">
        <v>260</v>
      </c>
      <c r="U158" s="34">
        <v>1050.3119300000001</v>
      </c>
      <c r="V158" s="7"/>
      <c r="W158" s="7" t="str">
        <f>VLOOKUP($Q158,Mapping!$E$11:$I$96,3,0)</f>
        <v>Connections</v>
      </c>
      <c r="X158" s="7" t="str">
        <f>VLOOKUP($S158,Mapping!$E$140:$K$2771,5,0)</f>
        <v>Contracts</v>
      </c>
      <c r="Y158" s="7" t="str">
        <f>VLOOKUP($S158,Mapping!$E$140:$K$2771,7,0)</f>
        <v>ENDirect</v>
      </c>
      <c r="Z158" s="7" t="str">
        <f>IFERROR(HLOOKUP(X158,'Calc|Weightings'!$K$5:$M$5,1,0),"Excl")</f>
        <v>Contracts</v>
      </c>
      <c r="AA158" s="7" t="str">
        <f>VLOOKUP(Q158,Mapping!$E$11:$I$96,5,0)</f>
        <v>SCS</v>
      </c>
      <c r="AC158" s="111">
        <v>105</v>
      </c>
      <c r="AD158" s="111" t="s">
        <v>2118</v>
      </c>
      <c r="AE158" s="111">
        <v>614115</v>
      </c>
      <c r="AF158" s="111" t="s">
        <v>2109</v>
      </c>
      <c r="AG158" s="112">
        <v>37.461860000000001</v>
      </c>
      <c r="AI158" s="7" t="str">
        <f>VLOOKUP($AC158,Mapping!$E$11:$I$96,3,0)</f>
        <v>Connections</v>
      </c>
      <c r="AJ158" s="7" t="str">
        <f>VLOOKUP($AE158,Mapping!$E$140:$K$2771,5,0)</f>
        <v>Labour</v>
      </c>
      <c r="AK158" s="7" t="str">
        <f>VLOOKUP($AE158,Mapping!$E$140:$K$2771,7,0)</f>
        <v>ENDirect</v>
      </c>
      <c r="AL158" s="7" t="str">
        <f>IFERROR(HLOOKUP(AJ158,'Calc|Weightings'!$K$5:$M$5,1,0),"Excl")</f>
        <v>Labour</v>
      </c>
      <c r="AM158" s="7" t="str">
        <f>VLOOKUP(AC158,Mapping!$E$11:$I$96,5,0)</f>
        <v>SCS</v>
      </c>
      <c r="AO158" s="134">
        <v>106</v>
      </c>
      <c r="AP158" s="135" t="s">
        <v>2119</v>
      </c>
      <c r="AQ158" s="135">
        <v>532200</v>
      </c>
      <c r="AR158" s="135" t="s">
        <v>291</v>
      </c>
      <c r="AS158" s="136">
        <v>3.5470000000000002</v>
      </c>
      <c r="AU158" s="7" t="str">
        <f>VLOOKUP($AO158,Mapping!$E$11:$I$96,3,0)</f>
        <v>Connections</v>
      </c>
      <c r="AV158" s="7" t="str">
        <f>VLOOKUP($AQ158,Mapping!$E$140:$K$2771,5,0)</f>
        <v>Contracts</v>
      </c>
      <c r="AW158" s="7" t="str">
        <f>VLOOKUP($AQ158,Mapping!$E$140:$K$2771,7,0)</f>
        <v>ENDirect</v>
      </c>
      <c r="AX158" s="7" t="str">
        <f>IFERROR(HLOOKUP(AV158,'Calc|Weightings'!$K$5:$M$5,1,0),"Excl")</f>
        <v>Contracts</v>
      </c>
      <c r="AY158" s="7" t="str">
        <f>VLOOKUP(AO158,Mapping!$E$11:$I$96,5,0)</f>
        <v>SCS</v>
      </c>
    </row>
    <row r="159" spans="1:51" x14ac:dyDescent="0.2">
      <c r="A159" s="7"/>
      <c r="B159" s="7"/>
      <c r="C159" s="7"/>
      <c r="D159" s="7"/>
      <c r="E159" s="36">
        <v>105</v>
      </c>
      <c r="F159" s="36" t="s">
        <v>2118</v>
      </c>
      <c r="G159" s="36">
        <v>613681</v>
      </c>
      <c r="H159" s="36" t="s">
        <v>2108</v>
      </c>
      <c r="I159" s="37">
        <v>2.0052400000000001</v>
      </c>
      <c r="J159" s="7"/>
      <c r="K159" s="7" t="str">
        <f>VLOOKUP($E159,Mapping!$E$11:$I$96,3,0)</f>
        <v>Connections</v>
      </c>
      <c r="L159" s="7" t="str">
        <f>VLOOKUP($G159,Mapping!$E$140:$K$2771,5,0)</f>
        <v>Labour</v>
      </c>
      <c r="M159" s="7" t="str">
        <f>VLOOKUP($G159,Mapping!$E$140:$K$2771,7,0)</f>
        <v>ENDirect</v>
      </c>
      <c r="N159" s="7" t="str">
        <f>IFERROR(HLOOKUP(L159,'Calc|Weightings'!$K$5:$M$5,1,0),"Excl")</f>
        <v>Labour</v>
      </c>
      <c r="O159" s="7" t="str">
        <f>VLOOKUP(E159,Mapping!$E$11:$I$96,5,0)</f>
        <v>SCS</v>
      </c>
      <c r="Q159" s="33">
        <v>106</v>
      </c>
      <c r="R159" s="33" t="s">
        <v>2119</v>
      </c>
      <c r="S159" s="33">
        <v>531469</v>
      </c>
      <c r="T159" s="33" t="s">
        <v>261</v>
      </c>
      <c r="U159" s="34">
        <v>8.0102499999999992</v>
      </c>
      <c r="V159" s="7"/>
      <c r="W159" s="7" t="str">
        <f>VLOOKUP($Q159,Mapping!$E$11:$I$96,3,0)</f>
        <v>Connections</v>
      </c>
      <c r="X159" s="7" t="str">
        <f>VLOOKUP($S159,Mapping!$E$140:$K$2771,5,0)</f>
        <v>Labour</v>
      </c>
      <c r="Y159" s="7" t="str">
        <f>VLOOKUP($S159,Mapping!$E$140:$K$2771,7,0)</f>
        <v>ENDirect</v>
      </c>
      <c r="Z159" s="7" t="str">
        <f>IFERROR(HLOOKUP(X159,'Calc|Weightings'!$K$5:$M$5,1,0),"Excl")</f>
        <v>Labour</v>
      </c>
      <c r="AA159" s="7" t="str">
        <f>VLOOKUP(Q159,Mapping!$E$11:$I$96,5,0)</f>
        <v>SCS</v>
      </c>
      <c r="AC159" s="111">
        <v>105</v>
      </c>
      <c r="AD159" s="111" t="s">
        <v>2118</v>
      </c>
      <c r="AE159" s="111">
        <v>634001</v>
      </c>
      <c r="AF159" s="111" t="s">
        <v>2110</v>
      </c>
      <c r="AG159" s="112">
        <v>515.94812000000002</v>
      </c>
      <c r="AI159" s="7" t="str">
        <f>VLOOKUP($AC159,Mapping!$E$11:$I$96,3,0)</f>
        <v>Connections</v>
      </c>
      <c r="AJ159" s="7" t="str">
        <f>VLOOKUP($AE159,Mapping!$E$140:$K$2771,5,0)</f>
        <v>Local OH</v>
      </c>
      <c r="AK159" s="7" t="str">
        <f>VLOOKUP($AE159,Mapping!$E$140:$K$2771,7,0)</f>
        <v>OH</v>
      </c>
      <c r="AL159" s="7" t="str">
        <f>IFERROR(HLOOKUP(AJ159,'Calc|Weightings'!$K$5:$M$5,1,0),"Excl")</f>
        <v>Excl</v>
      </c>
      <c r="AM159" s="7" t="str">
        <f>VLOOKUP(AC159,Mapping!$E$11:$I$96,5,0)</f>
        <v>SCS</v>
      </c>
      <c r="AO159" s="134">
        <v>106</v>
      </c>
      <c r="AP159" s="135" t="s">
        <v>2119</v>
      </c>
      <c r="AQ159" s="135">
        <v>532500</v>
      </c>
      <c r="AR159" s="135" t="s">
        <v>308</v>
      </c>
      <c r="AS159" s="136">
        <v>7.28</v>
      </c>
      <c r="AU159" s="7" t="str">
        <f>VLOOKUP($AO159,Mapping!$E$11:$I$96,3,0)</f>
        <v>Connections</v>
      </c>
      <c r="AV159" s="7" t="str">
        <f>VLOOKUP($AQ159,Mapping!$E$140:$K$2771,5,0)</f>
        <v>Contracts</v>
      </c>
      <c r="AW159" s="7" t="str">
        <f>VLOOKUP($AQ159,Mapping!$E$140:$K$2771,7,0)</f>
        <v>ENDirect</v>
      </c>
      <c r="AX159" s="7" t="str">
        <f>IFERROR(HLOOKUP(AV159,'Calc|Weightings'!$K$5:$M$5,1,0),"Excl")</f>
        <v>Contracts</v>
      </c>
      <c r="AY159" s="7" t="str">
        <f>VLOOKUP(AO159,Mapping!$E$11:$I$96,5,0)</f>
        <v>SCS</v>
      </c>
    </row>
    <row r="160" spans="1:51" x14ac:dyDescent="0.2">
      <c r="A160" s="7"/>
      <c r="B160" s="7"/>
      <c r="C160" s="7"/>
      <c r="D160" s="7"/>
      <c r="E160" s="36">
        <v>105</v>
      </c>
      <c r="F160" s="36" t="s">
        <v>2118</v>
      </c>
      <c r="G160" s="36">
        <v>633000</v>
      </c>
      <c r="H160" s="36" t="s">
        <v>2202</v>
      </c>
      <c r="I160" s="37">
        <v>1140.2072800000001</v>
      </c>
      <c r="J160" s="7"/>
      <c r="K160" s="7" t="str">
        <f>VLOOKUP($E160,Mapping!$E$11:$I$96,3,0)</f>
        <v>Connections</v>
      </c>
      <c r="L160" s="7" t="str">
        <f>VLOOKUP($G160,Mapping!$E$140:$K$2771,5,0)</f>
        <v>Contracts</v>
      </c>
      <c r="M160" s="7" t="str">
        <f>VLOOKUP($G160,Mapping!$E$140:$K$2771,7,0)</f>
        <v>OH</v>
      </c>
      <c r="N160" s="7" t="str">
        <f>IFERROR(HLOOKUP(L160,'Calc|Weightings'!$K$5:$M$5,1,0),"Excl")</f>
        <v>Contracts</v>
      </c>
      <c r="O160" s="7" t="str">
        <f>VLOOKUP(E160,Mapping!$E$11:$I$96,5,0)</f>
        <v>SCS</v>
      </c>
      <c r="Q160" s="33">
        <v>106</v>
      </c>
      <c r="R160" s="33" t="s">
        <v>2119</v>
      </c>
      <c r="S160" s="33">
        <v>532050</v>
      </c>
      <c r="T160" s="33" t="s">
        <v>279</v>
      </c>
      <c r="U160" s="34">
        <v>2.8109999999999999</v>
      </c>
      <c r="V160" s="7"/>
      <c r="W160" s="7" t="str">
        <f>VLOOKUP($Q160,Mapping!$E$11:$I$96,3,0)</f>
        <v>Connections</v>
      </c>
      <c r="X160" s="7" t="str">
        <f>VLOOKUP($S160,Mapping!$E$140:$K$2771,5,0)</f>
        <v>Contracts</v>
      </c>
      <c r="Y160" s="7" t="str">
        <f>VLOOKUP($S160,Mapping!$E$140:$K$2771,7,0)</f>
        <v>ENDirect</v>
      </c>
      <c r="Z160" s="7" t="str">
        <f>IFERROR(HLOOKUP(X160,'Calc|Weightings'!$K$5:$M$5,1,0),"Excl")</f>
        <v>Contracts</v>
      </c>
      <c r="AA160" s="7" t="str">
        <f>VLOOKUP(Q160,Mapping!$E$11:$I$96,5,0)</f>
        <v>SCS</v>
      </c>
      <c r="AC160" s="111">
        <v>105</v>
      </c>
      <c r="AD160" s="111" t="s">
        <v>2118</v>
      </c>
      <c r="AE160" s="111">
        <v>635001</v>
      </c>
      <c r="AF160" s="111" t="s">
        <v>1929</v>
      </c>
      <c r="AG160" s="112">
        <v>321.33814000000001</v>
      </c>
      <c r="AI160" s="7" t="str">
        <f>VLOOKUP($AC160,Mapping!$E$11:$I$96,3,0)</f>
        <v>Connections</v>
      </c>
      <c r="AJ160" s="7" t="str">
        <f>VLOOKUP($AE160,Mapping!$E$140:$K$2771,5,0)</f>
        <v>PNS MG</v>
      </c>
      <c r="AK160" s="7" t="str">
        <f>VLOOKUP($AE160,Mapping!$E$140:$K$2771,7,0)</f>
        <v>ENDirect</v>
      </c>
      <c r="AL160" s="7" t="str">
        <f>IFERROR(HLOOKUP(AJ160,'Calc|Weightings'!$K$5:$M$5,1,0),"Excl")</f>
        <v>Excl</v>
      </c>
      <c r="AM160" s="7" t="str">
        <f>VLOOKUP(AC160,Mapping!$E$11:$I$96,5,0)</f>
        <v>SCS</v>
      </c>
      <c r="AO160" s="134">
        <v>106</v>
      </c>
      <c r="AP160" s="135" t="s">
        <v>2119</v>
      </c>
      <c r="AQ160" s="135">
        <v>591997</v>
      </c>
      <c r="AR160" s="135" t="s">
        <v>2194</v>
      </c>
      <c r="AS160" s="136">
        <v>-31.22362</v>
      </c>
      <c r="AU160" s="7" t="str">
        <f>VLOOKUP($AO160,Mapping!$E$11:$I$96,3,0)</f>
        <v>Connections</v>
      </c>
      <c r="AV160" s="7" t="str">
        <f>VLOOKUP($AQ160,Mapping!$E$140:$K$2771,5,0)</f>
        <v>Contracts</v>
      </c>
      <c r="AW160" s="7" t="str">
        <f>VLOOKUP($AQ160,Mapping!$E$140:$K$2771,7,0)</f>
        <v>ENDirect</v>
      </c>
      <c r="AX160" s="7" t="str">
        <f>IFERROR(HLOOKUP(AV160,'Calc|Weightings'!$K$5:$M$5,1,0),"Excl")</f>
        <v>Contracts</v>
      </c>
      <c r="AY160" s="7" t="str">
        <f>VLOOKUP(AO160,Mapping!$E$11:$I$96,5,0)</f>
        <v>SCS</v>
      </c>
    </row>
    <row r="161" spans="1:51" x14ac:dyDescent="0.2">
      <c r="A161" s="7"/>
      <c r="B161" s="7"/>
      <c r="C161" s="7"/>
      <c r="D161" s="7"/>
      <c r="E161" s="36">
        <v>105</v>
      </c>
      <c r="F161" s="36" t="s">
        <v>2118</v>
      </c>
      <c r="G161" s="36">
        <v>634001</v>
      </c>
      <c r="H161" s="36" t="s">
        <v>2110</v>
      </c>
      <c r="I161" s="37">
        <v>467.84066999999999</v>
      </c>
      <c r="J161" s="7"/>
      <c r="K161" s="7" t="str">
        <f>VLOOKUP($E161,Mapping!$E$11:$I$96,3,0)</f>
        <v>Connections</v>
      </c>
      <c r="L161" s="7" t="str">
        <f>VLOOKUP($G161,Mapping!$E$140:$K$2771,5,0)</f>
        <v>Local OH</v>
      </c>
      <c r="M161" s="7" t="str">
        <f>VLOOKUP($G161,Mapping!$E$140:$K$2771,7,0)</f>
        <v>OH</v>
      </c>
      <c r="N161" s="7" t="str">
        <f>IFERROR(HLOOKUP(L161,'Calc|Weightings'!$K$5:$M$5,1,0),"Excl")</f>
        <v>Excl</v>
      </c>
      <c r="O161" s="7" t="str">
        <f>VLOOKUP(E161,Mapping!$E$11:$I$96,5,0)</f>
        <v>SCS</v>
      </c>
      <c r="Q161" s="33">
        <v>106</v>
      </c>
      <c r="R161" s="33" t="s">
        <v>2119</v>
      </c>
      <c r="S161" s="33">
        <v>532200</v>
      </c>
      <c r="T161" s="33" t="s">
        <v>291</v>
      </c>
      <c r="U161" s="34">
        <v>1.3294999999999999</v>
      </c>
      <c r="V161" s="7"/>
      <c r="W161" s="7" t="str">
        <f>VLOOKUP($Q161,Mapping!$E$11:$I$96,3,0)</f>
        <v>Connections</v>
      </c>
      <c r="X161" s="7" t="str">
        <f>VLOOKUP($S161,Mapping!$E$140:$K$2771,5,0)</f>
        <v>Contracts</v>
      </c>
      <c r="Y161" s="7" t="str">
        <f>VLOOKUP($S161,Mapping!$E$140:$K$2771,7,0)</f>
        <v>ENDirect</v>
      </c>
      <c r="Z161" s="7" t="str">
        <f>IFERROR(HLOOKUP(X161,'Calc|Weightings'!$K$5:$M$5,1,0),"Excl")</f>
        <v>Contracts</v>
      </c>
      <c r="AA161" s="7" t="str">
        <f>VLOOKUP(Q161,Mapping!$E$11:$I$96,5,0)</f>
        <v>SCS</v>
      </c>
      <c r="AC161" s="111">
        <v>105</v>
      </c>
      <c r="AD161" s="111" t="s">
        <v>2118</v>
      </c>
      <c r="AE161" s="111">
        <v>636001</v>
      </c>
      <c r="AF161" s="111" t="s">
        <v>2111</v>
      </c>
      <c r="AG161" s="112">
        <v>267.14569999999998</v>
      </c>
      <c r="AI161" s="7" t="str">
        <f>VLOOKUP($AC161,Mapping!$E$11:$I$96,3,0)</f>
        <v>Connections</v>
      </c>
      <c r="AJ161" s="7" t="str">
        <f>VLOOKUP($AE161,Mapping!$E$140:$K$2771,5,0)</f>
        <v>System Control OH</v>
      </c>
      <c r="AK161" s="7" t="str">
        <f>VLOOKUP($AE161,Mapping!$E$140:$K$2771,7,0)</f>
        <v>OH</v>
      </c>
      <c r="AL161" s="7" t="str">
        <f>IFERROR(HLOOKUP(AJ161,'Calc|Weightings'!$K$5:$M$5,1,0),"Excl")</f>
        <v>Excl</v>
      </c>
      <c r="AM161" s="7" t="str">
        <f>VLOOKUP(AC161,Mapping!$E$11:$I$96,5,0)</f>
        <v>SCS</v>
      </c>
      <c r="AO161" s="134">
        <v>106</v>
      </c>
      <c r="AP161" s="135" t="s">
        <v>2119</v>
      </c>
      <c r="AQ161" s="135">
        <v>591998</v>
      </c>
      <c r="AR161" s="135" t="s">
        <v>2077</v>
      </c>
      <c r="AS161" s="136">
        <v>-109.88283</v>
      </c>
      <c r="AU161" s="7" t="str">
        <f>VLOOKUP($AO161,Mapping!$E$11:$I$96,3,0)</f>
        <v>Connections</v>
      </c>
      <c r="AV161" s="7" t="str">
        <f>VLOOKUP($AQ161,Mapping!$E$140:$K$2771,5,0)</f>
        <v>Contracts</v>
      </c>
      <c r="AW161" s="7" t="str">
        <f>VLOOKUP($AQ161,Mapping!$E$140:$K$2771,7,0)</f>
        <v>ENDirect</v>
      </c>
      <c r="AX161" s="7" t="str">
        <f>IFERROR(HLOOKUP(AV161,'Calc|Weightings'!$K$5:$M$5,1,0),"Excl")</f>
        <v>Contracts</v>
      </c>
      <c r="AY161" s="7" t="str">
        <f>VLOOKUP(AO161,Mapping!$E$11:$I$96,5,0)</f>
        <v>SCS</v>
      </c>
    </row>
    <row r="162" spans="1:51" x14ac:dyDescent="0.2">
      <c r="A162" s="7"/>
      <c r="B162" s="7"/>
      <c r="C162" s="7"/>
      <c r="D162" s="7"/>
      <c r="E162" s="36">
        <v>105</v>
      </c>
      <c r="F162" s="36" t="s">
        <v>2118</v>
      </c>
      <c r="G162" s="36">
        <v>635001</v>
      </c>
      <c r="H162" s="36" t="s">
        <v>1929</v>
      </c>
      <c r="I162" s="37">
        <v>301.18452000000002</v>
      </c>
      <c r="J162" s="7"/>
      <c r="K162" s="7" t="str">
        <f>VLOOKUP($E162,Mapping!$E$11:$I$96,3,0)</f>
        <v>Connections</v>
      </c>
      <c r="L162" s="7" t="str">
        <f>VLOOKUP($G162,Mapping!$E$140:$K$2771,5,0)</f>
        <v>PNS MG</v>
      </c>
      <c r="M162" s="7" t="str">
        <f>VLOOKUP($G162,Mapping!$E$140:$K$2771,7,0)</f>
        <v>ENDirect</v>
      </c>
      <c r="N162" s="7" t="str">
        <f>IFERROR(HLOOKUP(L162,'Calc|Weightings'!$K$5:$M$5,1,0),"Excl")</f>
        <v>Excl</v>
      </c>
      <c r="O162" s="7" t="str">
        <f>VLOOKUP(E162,Mapping!$E$11:$I$96,5,0)</f>
        <v>SCS</v>
      </c>
      <c r="Q162" s="33">
        <v>106</v>
      </c>
      <c r="R162" s="33" t="s">
        <v>2119</v>
      </c>
      <c r="S162" s="33">
        <v>583100</v>
      </c>
      <c r="T162" s="33" t="s">
        <v>385</v>
      </c>
      <c r="U162" s="34">
        <v>1</v>
      </c>
      <c r="V162" s="7"/>
      <c r="W162" s="7" t="str">
        <f>VLOOKUP($Q162,Mapping!$E$11:$I$96,3,0)</f>
        <v>Connections</v>
      </c>
      <c r="X162" s="7" t="str">
        <f>VLOOKUP($S162,Mapping!$E$140:$K$2771,5,0)</f>
        <v>Contracts</v>
      </c>
      <c r="Y162" s="7" t="str">
        <f>VLOOKUP($S162,Mapping!$E$140:$K$2771,7,0)</f>
        <v>ENDirect</v>
      </c>
      <c r="Z162" s="7" t="str">
        <f>IFERROR(HLOOKUP(X162,'Calc|Weightings'!$K$5:$M$5,1,0),"Excl")</f>
        <v>Contracts</v>
      </c>
      <c r="AA162" s="7" t="str">
        <f>VLOOKUP(Q162,Mapping!$E$11:$I$96,5,0)</f>
        <v>SCS</v>
      </c>
      <c r="AC162" s="111">
        <v>105</v>
      </c>
      <c r="AD162" s="111" t="s">
        <v>2118</v>
      </c>
      <c r="AE162" s="111">
        <v>636105</v>
      </c>
      <c r="AF162" s="111" t="s">
        <v>1937</v>
      </c>
      <c r="AG162" s="112">
        <v>3.9005800000000002</v>
      </c>
      <c r="AI162" s="7" t="str">
        <f>VLOOKUP($AC162,Mapping!$E$11:$I$96,3,0)</f>
        <v>Connections</v>
      </c>
      <c r="AJ162" s="7" t="str">
        <f>VLOOKUP($AE162,Mapping!$E$140:$K$2771,5,0)</f>
        <v>CSG MG</v>
      </c>
      <c r="AK162" s="7" t="str">
        <f>VLOOKUP($AE162,Mapping!$E$140:$K$2771,7,0)</f>
        <v>ENDirect</v>
      </c>
      <c r="AL162" s="7" t="str">
        <f>IFERROR(HLOOKUP(AJ162,'Calc|Weightings'!$K$5:$M$5,1,0),"Excl")</f>
        <v>Excl</v>
      </c>
      <c r="AM162" s="7" t="str">
        <f>VLOOKUP(AC162,Mapping!$E$11:$I$96,5,0)</f>
        <v>SCS</v>
      </c>
      <c r="AO162" s="134">
        <v>106</v>
      </c>
      <c r="AP162" s="135" t="s">
        <v>2119</v>
      </c>
      <c r="AQ162" s="135">
        <v>591999</v>
      </c>
      <c r="AR162" s="135" t="s">
        <v>2195</v>
      </c>
      <c r="AS162" s="136">
        <v>-116.82733</v>
      </c>
      <c r="AU162" s="7" t="str">
        <f>VLOOKUP($AO162,Mapping!$E$11:$I$96,3,0)</f>
        <v>Connections</v>
      </c>
      <c r="AV162" s="7" t="str">
        <f>VLOOKUP($AQ162,Mapping!$E$140:$K$2771,5,0)</f>
        <v>Contracts</v>
      </c>
      <c r="AW162" s="7" t="str">
        <f>VLOOKUP($AQ162,Mapping!$E$140:$K$2771,7,0)</f>
        <v>ENDirect</v>
      </c>
      <c r="AX162" s="7" t="str">
        <f>IFERROR(HLOOKUP(AV162,'Calc|Weightings'!$K$5:$M$5,1,0),"Excl")</f>
        <v>Contracts</v>
      </c>
      <c r="AY162" s="7" t="str">
        <f>VLOOKUP(AO162,Mapping!$E$11:$I$96,5,0)</f>
        <v>SCS</v>
      </c>
    </row>
    <row r="163" spans="1:51" x14ac:dyDescent="0.2">
      <c r="A163" s="7"/>
      <c r="B163" s="7"/>
      <c r="C163" s="7"/>
      <c r="D163" s="7"/>
      <c r="E163" s="36">
        <v>105</v>
      </c>
      <c r="F163" s="36" t="s">
        <v>2118</v>
      </c>
      <c r="G163" s="36">
        <v>636001</v>
      </c>
      <c r="H163" s="36" t="s">
        <v>2111</v>
      </c>
      <c r="I163" s="37">
        <v>147.15763000000001</v>
      </c>
      <c r="J163" s="7"/>
      <c r="K163" s="7" t="str">
        <f>VLOOKUP($E163,Mapping!$E$11:$I$96,3,0)</f>
        <v>Connections</v>
      </c>
      <c r="L163" s="7" t="str">
        <f>VLOOKUP($G163,Mapping!$E$140:$K$2771,5,0)</f>
        <v>System Control OH</v>
      </c>
      <c r="M163" s="7" t="str">
        <f>VLOOKUP($G163,Mapping!$E$140:$K$2771,7,0)</f>
        <v>OH</v>
      </c>
      <c r="N163" s="7" t="str">
        <f>IFERROR(HLOOKUP(L163,'Calc|Weightings'!$K$5:$M$5,1,0),"Excl")</f>
        <v>Excl</v>
      </c>
      <c r="O163" s="7" t="str">
        <f>VLOOKUP(E163,Mapping!$E$11:$I$96,5,0)</f>
        <v>SCS</v>
      </c>
      <c r="Q163" s="33">
        <v>106</v>
      </c>
      <c r="R163" s="33" t="s">
        <v>2119</v>
      </c>
      <c r="S163" s="33">
        <v>591997</v>
      </c>
      <c r="T163" s="33" t="s">
        <v>399</v>
      </c>
      <c r="U163" s="34">
        <v>-37.792639999999999</v>
      </c>
      <c r="V163" s="7"/>
      <c r="W163" s="7" t="str">
        <f>VLOOKUP($Q163,Mapping!$E$11:$I$96,3,0)</f>
        <v>Connections</v>
      </c>
      <c r="X163" s="7" t="str">
        <f>VLOOKUP($S163,Mapping!$E$140:$K$2771,5,0)</f>
        <v>Contracts</v>
      </c>
      <c r="Y163" s="7" t="str">
        <f>VLOOKUP($S163,Mapping!$E$140:$K$2771,7,0)</f>
        <v>ENDirect</v>
      </c>
      <c r="Z163" s="7" t="str">
        <f>IFERROR(HLOOKUP(X163,'Calc|Weightings'!$K$5:$M$5,1,0),"Excl")</f>
        <v>Contracts</v>
      </c>
      <c r="AA163" s="7" t="str">
        <f>VLOOKUP(Q163,Mapping!$E$11:$I$96,5,0)</f>
        <v>SCS</v>
      </c>
      <c r="AC163" s="111">
        <v>105</v>
      </c>
      <c r="AD163" s="111" t="s">
        <v>2118</v>
      </c>
      <c r="AE163" s="111">
        <v>639000</v>
      </c>
      <c r="AF163" s="111" t="s">
        <v>2112</v>
      </c>
      <c r="AG163" s="112">
        <v>341.41708</v>
      </c>
      <c r="AI163" s="7" t="str">
        <f>VLOOKUP($AC163,Mapping!$E$11:$I$96,3,0)</f>
        <v>Connections</v>
      </c>
      <c r="AJ163" s="7" t="str">
        <f>VLOOKUP($AE163,Mapping!$E$140:$K$2771,5,0)</f>
        <v>PNS Corporate OH</v>
      </c>
      <c r="AK163" s="7" t="str">
        <f>VLOOKUP($AE163,Mapping!$E$140:$K$2771,7,0)</f>
        <v>OH</v>
      </c>
      <c r="AL163" s="7" t="str">
        <f>IFERROR(HLOOKUP(AJ163,'Calc|Weightings'!$K$5:$M$5,1,0),"Excl")</f>
        <v>Excl</v>
      </c>
      <c r="AM163" s="7" t="str">
        <f>VLOOKUP(AC163,Mapping!$E$11:$I$96,5,0)</f>
        <v>SCS</v>
      </c>
      <c r="AO163" s="134">
        <v>106</v>
      </c>
      <c r="AP163" s="135" t="s">
        <v>2119</v>
      </c>
      <c r="AQ163" s="135">
        <v>611900</v>
      </c>
      <c r="AR163" s="135" t="s">
        <v>2079</v>
      </c>
      <c r="AS163" s="136">
        <v>38.468820000000001</v>
      </c>
      <c r="AU163" s="7" t="str">
        <f>VLOOKUP($AO163,Mapping!$E$11:$I$96,3,0)</f>
        <v>Connections</v>
      </c>
      <c r="AV163" s="7" t="str">
        <f>VLOOKUP($AQ163,Mapping!$E$140:$K$2771,5,0)</f>
        <v>Contracts</v>
      </c>
      <c r="AW163" s="7" t="str">
        <f>VLOOKUP($AQ163,Mapping!$E$140:$K$2771,7,0)</f>
        <v>ENDirect</v>
      </c>
      <c r="AX163" s="7" t="str">
        <f>IFERROR(HLOOKUP(AV163,'Calc|Weightings'!$K$5:$M$5,1,0),"Excl")</f>
        <v>Contracts</v>
      </c>
      <c r="AY163" s="7" t="str">
        <f>VLOOKUP(AO163,Mapping!$E$11:$I$96,5,0)</f>
        <v>SCS</v>
      </c>
    </row>
    <row r="164" spans="1:51" x14ac:dyDescent="0.2">
      <c r="A164" s="7"/>
      <c r="B164" s="7"/>
      <c r="C164" s="7"/>
      <c r="D164" s="7"/>
      <c r="E164" s="36">
        <v>105</v>
      </c>
      <c r="F164" s="36" t="s">
        <v>2118</v>
      </c>
      <c r="G164" s="36">
        <v>639000</v>
      </c>
      <c r="H164" s="36" t="s">
        <v>2112</v>
      </c>
      <c r="I164" s="37">
        <v>293.63515999999998</v>
      </c>
      <c r="J164" s="7"/>
      <c r="K164" s="7" t="str">
        <f>VLOOKUP($E164,Mapping!$E$11:$I$96,3,0)</f>
        <v>Connections</v>
      </c>
      <c r="L164" s="7" t="str">
        <f>VLOOKUP($G164,Mapping!$E$140:$K$2771,5,0)</f>
        <v>PNS Corporate OH</v>
      </c>
      <c r="M164" s="7" t="str">
        <f>VLOOKUP($G164,Mapping!$E$140:$K$2771,7,0)</f>
        <v>OH</v>
      </c>
      <c r="N164" s="7" t="str">
        <f>IFERROR(HLOOKUP(L164,'Calc|Weightings'!$K$5:$M$5,1,0),"Excl")</f>
        <v>Excl</v>
      </c>
      <c r="O164" s="7" t="str">
        <f>VLOOKUP(E164,Mapping!$E$11:$I$96,5,0)</f>
        <v>SCS</v>
      </c>
      <c r="Q164" s="33">
        <v>106</v>
      </c>
      <c r="R164" s="33" t="s">
        <v>2119</v>
      </c>
      <c r="S164" s="33">
        <v>591998</v>
      </c>
      <c r="T164" s="33" t="s">
        <v>2077</v>
      </c>
      <c r="U164" s="34">
        <v>-23.988299999999999</v>
      </c>
      <c r="V164" s="7"/>
      <c r="W164" s="7" t="str">
        <f>VLOOKUP($Q164,Mapping!$E$11:$I$96,3,0)</f>
        <v>Connections</v>
      </c>
      <c r="X164" s="7" t="str">
        <f>VLOOKUP($S164,Mapping!$E$140:$K$2771,5,0)</f>
        <v>Contracts</v>
      </c>
      <c r="Y164" s="7" t="str">
        <f>VLOOKUP($S164,Mapping!$E$140:$K$2771,7,0)</f>
        <v>ENDirect</v>
      </c>
      <c r="Z164" s="7" t="str">
        <f>IFERROR(HLOOKUP(X164,'Calc|Weightings'!$K$5:$M$5,1,0),"Excl")</f>
        <v>Contracts</v>
      </c>
      <c r="AA164" s="7" t="str">
        <f>VLOOKUP(Q164,Mapping!$E$11:$I$96,5,0)</f>
        <v>SCS</v>
      </c>
      <c r="AC164" s="111">
        <v>105</v>
      </c>
      <c r="AD164" s="111" t="s">
        <v>2118</v>
      </c>
      <c r="AE164" s="111">
        <v>639050</v>
      </c>
      <c r="AF164" s="111" t="s">
        <v>2113</v>
      </c>
      <c r="AG164" s="112">
        <v>46.826120000000003</v>
      </c>
      <c r="AI164" s="7" t="str">
        <f>VLOOKUP($AC164,Mapping!$E$11:$I$96,3,0)</f>
        <v>Connections</v>
      </c>
      <c r="AJ164" s="7" t="str">
        <f>VLOOKUP($AE164,Mapping!$E$140:$K$2771,5,0)</f>
        <v>PNS Fleet &amp; Property OH</v>
      </c>
      <c r="AK164" s="7" t="str">
        <f>VLOOKUP($AE164,Mapping!$E$140:$K$2771,7,0)</f>
        <v>OH</v>
      </c>
      <c r="AL164" s="7" t="str">
        <f>IFERROR(HLOOKUP(AJ164,'Calc|Weightings'!$K$5:$M$5,1,0),"Excl")</f>
        <v>Excl</v>
      </c>
      <c r="AM164" s="7" t="str">
        <f>VLOOKUP(AC164,Mapping!$E$11:$I$96,5,0)</f>
        <v>SCS</v>
      </c>
      <c r="AO164" s="134">
        <v>106</v>
      </c>
      <c r="AP164" s="135" t="s">
        <v>2119</v>
      </c>
      <c r="AQ164" s="135">
        <v>611901</v>
      </c>
      <c r="AR164" s="135" t="s">
        <v>2080</v>
      </c>
      <c r="AS164" s="136">
        <v>23.67886</v>
      </c>
      <c r="AU164" s="7" t="str">
        <f>VLOOKUP($AO164,Mapping!$E$11:$I$96,3,0)</f>
        <v>Connections</v>
      </c>
      <c r="AV164" s="7" t="str">
        <f>VLOOKUP($AQ164,Mapping!$E$140:$K$2771,5,0)</f>
        <v>Contracts</v>
      </c>
      <c r="AW164" s="7" t="str">
        <f>VLOOKUP($AQ164,Mapping!$E$140:$K$2771,7,0)</f>
        <v>ENDirect</v>
      </c>
      <c r="AX164" s="7" t="str">
        <f>IFERROR(HLOOKUP(AV164,'Calc|Weightings'!$K$5:$M$5,1,0),"Excl")</f>
        <v>Contracts</v>
      </c>
      <c r="AY164" s="7" t="str">
        <f>VLOOKUP(AO164,Mapping!$E$11:$I$96,5,0)</f>
        <v>SCS</v>
      </c>
    </row>
    <row r="165" spans="1:51" x14ac:dyDescent="0.2">
      <c r="A165" s="7"/>
      <c r="B165" s="7"/>
      <c r="C165" s="7"/>
      <c r="D165" s="7"/>
      <c r="E165" s="36">
        <v>105</v>
      </c>
      <c r="F165" s="36" t="s">
        <v>2118</v>
      </c>
      <c r="G165" s="36">
        <v>639050</v>
      </c>
      <c r="H165" s="36" t="s">
        <v>2113</v>
      </c>
      <c r="I165" s="37">
        <v>38.9544</v>
      </c>
      <c r="J165" s="7"/>
      <c r="K165" s="7" t="str">
        <f>VLOOKUP($E165,Mapping!$E$11:$I$96,3,0)</f>
        <v>Connections</v>
      </c>
      <c r="L165" s="7" t="str">
        <f>VLOOKUP($G165,Mapping!$E$140:$K$2771,5,0)</f>
        <v>PNS Fleet &amp; Property OH</v>
      </c>
      <c r="M165" s="7" t="str">
        <f>VLOOKUP($G165,Mapping!$E$140:$K$2771,7,0)</f>
        <v>OH</v>
      </c>
      <c r="N165" s="7" t="str">
        <f>IFERROR(HLOOKUP(L165,'Calc|Weightings'!$K$5:$M$5,1,0),"Excl")</f>
        <v>Excl</v>
      </c>
      <c r="O165" s="7" t="str">
        <f>VLOOKUP(E165,Mapping!$E$11:$I$96,5,0)</f>
        <v>SCS</v>
      </c>
      <c r="Q165" s="33">
        <v>106</v>
      </c>
      <c r="R165" s="33" t="s">
        <v>2119</v>
      </c>
      <c r="S165" s="33">
        <v>591999</v>
      </c>
      <c r="T165" s="33" t="s">
        <v>2078</v>
      </c>
      <c r="U165" s="34">
        <v>-129.93767</v>
      </c>
      <c r="V165" s="7"/>
      <c r="W165" s="7" t="str">
        <f>VLOOKUP($Q165,Mapping!$E$11:$I$96,3,0)</f>
        <v>Connections</v>
      </c>
      <c r="X165" s="7" t="str">
        <f>VLOOKUP($S165,Mapping!$E$140:$K$2771,5,0)</f>
        <v>Contracts</v>
      </c>
      <c r="Y165" s="7" t="str">
        <f>VLOOKUP($S165,Mapping!$E$140:$K$2771,7,0)</f>
        <v>ENDirect</v>
      </c>
      <c r="Z165" s="7" t="str">
        <f>IFERROR(HLOOKUP(X165,'Calc|Weightings'!$K$5:$M$5,1,0),"Excl")</f>
        <v>Contracts</v>
      </c>
      <c r="AA165" s="7" t="str">
        <f>VLOOKUP(Q165,Mapping!$E$11:$I$96,5,0)</f>
        <v>SCS</v>
      </c>
      <c r="AC165" s="111">
        <v>106</v>
      </c>
      <c r="AD165" s="111" t="s">
        <v>2119</v>
      </c>
      <c r="AE165" s="111">
        <v>500200</v>
      </c>
      <c r="AF165" s="111" t="s">
        <v>136</v>
      </c>
      <c r="AG165" s="112">
        <v>3.3000000000000002E-2</v>
      </c>
      <c r="AI165" s="7" t="str">
        <f>VLOOKUP($AC165,Mapping!$E$11:$I$96,3,0)</f>
        <v>Connections</v>
      </c>
      <c r="AJ165" s="7" t="str">
        <f>VLOOKUP($AE165,Mapping!$E$140:$K$2771,5,0)</f>
        <v>Labour</v>
      </c>
      <c r="AK165" s="7" t="str">
        <f>VLOOKUP($AE165,Mapping!$E$140:$K$2771,7,0)</f>
        <v>ENDirect</v>
      </c>
      <c r="AL165" s="7" t="str">
        <f>IFERROR(HLOOKUP(AJ165,'Calc|Weightings'!$K$5:$M$5,1,0),"Excl")</f>
        <v>Labour</v>
      </c>
      <c r="AM165" s="7" t="str">
        <f>VLOOKUP(AC165,Mapping!$E$11:$I$96,5,0)</f>
        <v>SCS</v>
      </c>
      <c r="AO165" s="134">
        <v>106</v>
      </c>
      <c r="AP165" s="135" t="s">
        <v>2119</v>
      </c>
      <c r="AQ165" s="135">
        <v>611902</v>
      </c>
      <c r="AR165" s="135" t="s">
        <v>2081</v>
      </c>
      <c r="AS165" s="136">
        <v>27.37989</v>
      </c>
      <c r="AU165" s="7" t="str">
        <f>VLOOKUP($AO165,Mapping!$E$11:$I$96,3,0)</f>
        <v>Connections</v>
      </c>
      <c r="AV165" s="7" t="str">
        <f>VLOOKUP($AQ165,Mapping!$E$140:$K$2771,5,0)</f>
        <v>Contracts</v>
      </c>
      <c r="AW165" s="7" t="str">
        <f>VLOOKUP($AQ165,Mapping!$E$140:$K$2771,7,0)</f>
        <v>ENDirect</v>
      </c>
      <c r="AX165" s="7" t="str">
        <f>IFERROR(HLOOKUP(AV165,'Calc|Weightings'!$K$5:$M$5,1,0),"Excl")</f>
        <v>Contracts</v>
      </c>
      <c r="AY165" s="7" t="str">
        <f>VLOOKUP(AO165,Mapping!$E$11:$I$96,5,0)</f>
        <v>SCS</v>
      </c>
    </row>
    <row r="166" spans="1:51" x14ac:dyDescent="0.2">
      <c r="A166" s="7"/>
      <c r="B166" s="7"/>
      <c r="C166" s="7"/>
      <c r="D166" s="7"/>
      <c r="E166" s="36">
        <v>106</v>
      </c>
      <c r="F166" s="36" t="s">
        <v>2119</v>
      </c>
      <c r="G166" s="36">
        <v>503191</v>
      </c>
      <c r="H166" s="36" t="s">
        <v>159</v>
      </c>
      <c r="I166" s="37">
        <v>0.72299999999999998</v>
      </c>
      <c r="J166" s="7"/>
      <c r="K166" s="7" t="str">
        <f>VLOOKUP($E166,Mapping!$E$11:$I$96,3,0)</f>
        <v>Connections</v>
      </c>
      <c r="L166" s="7" t="str">
        <f>VLOOKUP($G166,Mapping!$E$140:$K$2771,5,0)</f>
        <v>Contracts</v>
      </c>
      <c r="M166" s="7" t="str">
        <f>VLOOKUP($G166,Mapping!$E$140:$K$2771,7,0)</f>
        <v>ENDirect</v>
      </c>
      <c r="N166" s="7" t="str">
        <f>IFERROR(HLOOKUP(L166,'Calc|Weightings'!$K$5:$M$5,1,0),"Excl")</f>
        <v>Contracts</v>
      </c>
      <c r="O166" s="7" t="str">
        <f>VLOOKUP(E166,Mapping!$E$11:$I$96,5,0)</f>
        <v>SCS</v>
      </c>
      <c r="Q166" s="33">
        <v>106</v>
      </c>
      <c r="R166" s="33" t="s">
        <v>2119</v>
      </c>
      <c r="S166" s="33">
        <v>611900</v>
      </c>
      <c r="T166" s="33" t="s">
        <v>2079</v>
      </c>
      <c r="U166" s="34">
        <v>47.255290000000002</v>
      </c>
      <c r="V166" s="7"/>
      <c r="W166" s="7" t="str">
        <f>VLOOKUP($Q166,Mapping!$E$11:$I$96,3,0)</f>
        <v>Connections</v>
      </c>
      <c r="X166" s="7" t="str">
        <f>VLOOKUP($S166,Mapping!$E$140:$K$2771,5,0)</f>
        <v>Contracts</v>
      </c>
      <c r="Y166" s="7" t="str">
        <f>VLOOKUP($S166,Mapping!$E$140:$K$2771,7,0)</f>
        <v>ENDirect</v>
      </c>
      <c r="Z166" s="7" t="str">
        <f>IFERROR(HLOOKUP(X166,'Calc|Weightings'!$K$5:$M$5,1,0),"Excl")</f>
        <v>Contracts</v>
      </c>
      <c r="AA166" s="7" t="str">
        <f>VLOOKUP(Q166,Mapping!$E$11:$I$96,5,0)</f>
        <v>SCS</v>
      </c>
      <c r="AC166" s="111">
        <v>106</v>
      </c>
      <c r="AD166" s="111" t="s">
        <v>2119</v>
      </c>
      <c r="AE166" s="111">
        <v>503350</v>
      </c>
      <c r="AF166" s="111" t="s">
        <v>182</v>
      </c>
      <c r="AG166" s="112">
        <v>1.32</v>
      </c>
      <c r="AI166" s="7" t="str">
        <f>VLOOKUP($AC166,Mapping!$E$11:$I$96,3,0)</f>
        <v>Connections</v>
      </c>
      <c r="AJ166" s="7" t="str">
        <f>VLOOKUP($AE166,Mapping!$E$140:$K$2771,5,0)</f>
        <v>Contracts</v>
      </c>
      <c r="AK166" s="7" t="str">
        <f>VLOOKUP($AE166,Mapping!$E$140:$K$2771,7,0)</f>
        <v>ENDirect</v>
      </c>
      <c r="AL166" s="7" t="str">
        <f>IFERROR(HLOOKUP(AJ166,'Calc|Weightings'!$K$5:$M$5,1,0),"Excl")</f>
        <v>Contracts</v>
      </c>
      <c r="AM166" s="7" t="str">
        <f>VLOOKUP(AC166,Mapping!$E$11:$I$96,5,0)</f>
        <v>SCS</v>
      </c>
      <c r="AO166" s="134">
        <v>106</v>
      </c>
      <c r="AP166" s="135" t="s">
        <v>2119</v>
      </c>
      <c r="AQ166" s="135">
        <v>612210</v>
      </c>
      <c r="AR166" s="135" t="s">
        <v>1184</v>
      </c>
      <c r="AS166" s="136">
        <v>37.599989999999998</v>
      </c>
      <c r="AU166" s="7" t="str">
        <f>VLOOKUP($AO166,Mapping!$E$11:$I$96,3,0)</f>
        <v>Connections</v>
      </c>
      <c r="AV166" s="7" t="str">
        <f>VLOOKUP($AQ166,Mapping!$E$140:$K$2771,5,0)</f>
        <v>Labour</v>
      </c>
      <c r="AW166" s="7" t="str">
        <f>VLOOKUP($AQ166,Mapping!$E$140:$K$2771,7,0)</f>
        <v>ENDirect</v>
      </c>
      <c r="AX166" s="7" t="str">
        <f>IFERROR(HLOOKUP(AV166,'Calc|Weightings'!$K$5:$M$5,1,0),"Excl")</f>
        <v>Labour</v>
      </c>
      <c r="AY166" s="7" t="str">
        <f>VLOOKUP(AO166,Mapping!$E$11:$I$96,5,0)</f>
        <v>SCS</v>
      </c>
    </row>
    <row r="167" spans="1:51" x14ac:dyDescent="0.2">
      <c r="A167" s="7"/>
      <c r="B167" s="7"/>
      <c r="C167" s="7"/>
      <c r="D167" s="7"/>
      <c r="E167" s="36">
        <v>106</v>
      </c>
      <c r="F167" s="36" t="s">
        <v>2119</v>
      </c>
      <c r="G167" s="36">
        <v>503281</v>
      </c>
      <c r="H167" s="36" t="s">
        <v>2198</v>
      </c>
      <c r="I167" s="37">
        <v>9.2450000000000004E-2</v>
      </c>
      <c r="J167" s="7"/>
      <c r="K167" s="7" t="str">
        <f>VLOOKUP($E167,Mapping!$E$11:$I$96,3,0)</f>
        <v>Connections</v>
      </c>
      <c r="L167" s="7" t="str">
        <f>VLOOKUP($G167,Mapping!$E$140:$K$2771,5,0)</f>
        <v>Contracts</v>
      </c>
      <c r="M167" s="7" t="str">
        <f>VLOOKUP($G167,Mapping!$E$140:$K$2771,7,0)</f>
        <v>ENDirect</v>
      </c>
      <c r="N167" s="7" t="str">
        <f>IFERROR(HLOOKUP(L167,'Calc|Weightings'!$K$5:$M$5,1,0),"Excl")</f>
        <v>Contracts</v>
      </c>
      <c r="O167" s="7" t="str">
        <f>VLOOKUP(E167,Mapping!$E$11:$I$96,5,0)</f>
        <v>SCS</v>
      </c>
      <c r="Q167" s="33">
        <v>106</v>
      </c>
      <c r="R167" s="33" t="s">
        <v>2119</v>
      </c>
      <c r="S167" s="33">
        <v>611901</v>
      </c>
      <c r="T167" s="33" t="s">
        <v>2080</v>
      </c>
      <c r="U167" s="34">
        <v>28.49653</v>
      </c>
      <c r="V167" s="7"/>
      <c r="W167" s="7" t="str">
        <f>VLOOKUP($Q167,Mapping!$E$11:$I$96,3,0)</f>
        <v>Connections</v>
      </c>
      <c r="X167" s="7" t="str">
        <f>VLOOKUP($S167,Mapping!$E$140:$K$2771,5,0)</f>
        <v>Contracts</v>
      </c>
      <c r="Y167" s="7" t="str">
        <f>VLOOKUP($S167,Mapping!$E$140:$K$2771,7,0)</f>
        <v>ENDirect</v>
      </c>
      <c r="Z167" s="7" t="str">
        <f>IFERROR(HLOOKUP(X167,'Calc|Weightings'!$K$5:$M$5,1,0),"Excl")</f>
        <v>Contracts</v>
      </c>
      <c r="AA167" s="7" t="str">
        <f>VLOOKUP(Q167,Mapping!$E$11:$I$96,5,0)</f>
        <v>SCS</v>
      </c>
      <c r="AC167" s="111">
        <v>106</v>
      </c>
      <c r="AD167" s="111" t="s">
        <v>2119</v>
      </c>
      <c r="AE167" s="111">
        <v>520100</v>
      </c>
      <c r="AF167" s="111" t="s">
        <v>2072</v>
      </c>
      <c r="AG167" s="112">
        <v>1279.4749899999999</v>
      </c>
      <c r="AI167" s="7" t="str">
        <f>VLOOKUP($AC167,Mapping!$E$11:$I$96,3,0)</f>
        <v>Connections</v>
      </c>
      <c r="AJ167" s="7" t="str">
        <f>VLOOKUP($AE167,Mapping!$E$140:$K$2771,5,0)</f>
        <v>Materials</v>
      </c>
      <c r="AK167" s="7" t="str">
        <f>VLOOKUP($AE167,Mapping!$E$140:$K$2771,7,0)</f>
        <v>ENDirect</v>
      </c>
      <c r="AL167" s="7" t="str">
        <f>IFERROR(HLOOKUP(AJ167,'Calc|Weightings'!$K$5:$M$5,1,0),"Excl")</f>
        <v>Materials</v>
      </c>
      <c r="AM167" s="7" t="str">
        <f>VLOOKUP(AC167,Mapping!$E$11:$I$96,5,0)</f>
        <v>SCS</v>
      </c>
      <c r="AO167" s="134">
        <v>106</v>
      </c>
      <c r="AP167" s="135" t="s">
        <v>2119</v>
      </c>
      <c r="AQ167" s="135">
        <v>613240</v>
      </c>
      <c r="AR167" s="135" t="s">
        <v>2082</v>
      </c>
      <c r="AS167" s="136">
        <v>113.02907999999999</v>
      </c>
      <c r="AU167" s="7" t="str">
        <f>VLOOKUP($AO167,Mapping!$E$11:$I$96,3,0)</f>
        <v>Connections</v>
      </c>
      <c r="AV167" s="7" t="str">
        <f>VLOOKUP($AQ167,Mapping!$E$140:$K$2771,5,0)</f>
        <v>Labour</v>
      </c>
      <c r="AW167" s="7" t="str">
        <f>VLOOKUP($AQ167,Mapping!$E$140:$K$2771,7,0)</f>
        <v>ENDirect</v>
      </c>
      <c r="AX167" s="7" t="str">
        <f>IFERROR(HLOOKUP(AV167,'Calc|Weightings'!$K$5:$M$5,1,0),"Excl")</f>
        <v>Labour</v>
      </c>
      <c r="AY167" s="7" t="str">
        <f>VLOOKUP(AO167,Mapping!$E$11:$I$96,5,0)</f>
        <v>SCS</v>
      </c>
    </row>
    <row r="168" spans="1:51" x14ac:dyDescent="0.2">
      <c r="A168" s="7"/>
      <c r="B168" s="7"/>
      <c r="C168" s="7"/>
      <c r="D168" s="7"/>
      <c r="E168" s="36">
        <v>106</v>
      </c>
      <c r="F168" s="36" t="s">
        <v>2119</v>
      </c>
      <c r="G168" s="36">
        <v>503350</v>
      </c>
      <c r="H168" s="36" t="s">
        <v>182</v>
      </c>
      <c r="I168" s="37">
        <v>0.21904999999999999</v>
      </c>
      <c r="J168" s="7"/>
      <c r="K168" s="7" t="str">
        <f>VLOOKUP($E168,Mapping!$E$11:$I$96,3,0)</f>
        <v>Connections</v>
      </c>
      <c r="L168" s="7" t="str">
        <f>VLOOKUP($G168,Mapping!$E$140:$K$2771,5,0)</f>
        <v>Contracts</v>
      </c>
      <c r="M168" s="7" t="str">
        <f>VLOOKUP($G168,Mapping!$E$140:$K$2771,7,0)</f>
        <v>ENDirect</v>
      </c>
      <c r="N168" s="7" t="str">
        <f>IFERROR(HLOOKUP(L168,'Calc|Weightings'!$K$5:$M$5,1,0),"Excl")</f>
        <v>Contracts</v>
      </c>
      <c r="O168" s="7" t="str">
        <f>VLOOKUP(E168,Mapping!$E$11:$I$96,5,0)</f>
        <v>SCS</v>
      </c>
      <c r="Q168" s="33">
        <v>106</v>
      </c>
      <c r="R168" s="33" t="s">
        <v>2119</v>
      </c>
      <c r="S168" s="33">
        <v>611902</v>
      </c>
      <c r="T168" s="33" t="s">
        <v>2081</v>
      </c>
      <c r="U168" s="34">
        <v>54.613250000000001</v>
      </c>
      <c r="V168" s="7"/>
      <c r="W168" s="7" t="str">
        <f>VLOOKUP($Q168,Mapping!$E$11:$I$96,3,0)</f>
        <v>Connections</v>
      </c>
      <c r="X168" s="7" t="str">
        <f>VLOOKUP($S168,Mapping!$E$140:$K$2771,5,0)</f>
        <v>Contracts</v>
      </c>
      <c r="Y168" s="7" t="str">
        <f>VLOOKUP($S168,Mapping!$E$140:$K$2771,7,0)</f>
        <v>ENDirect</v>
      </c>
      <c r="Z168" s="7" t="str">
        <f>IFERROR(HLOOKUP(X168,'Calc|Weightings'!$K$5:$M$5,1,0),"Excl")</f>
        <v>Contracts</v>
      </c>
      <c r="AA168" s="7" t="str">
        <f>VLOOKUP(Q168,Mapping!$E$11:$I$96,5,0)</f>
        <v>SCS</v>
      </c>
      <c r="AC168" s="111">
        <v>106</v>
      </c>
      <c r="AD168" s="111" t="s">
        <v>2119</v>
      </c>
      <c r="AE168" s="111">
        <v>520200</v>
      </c>
      <c r="AF168" s="111" t="s">
        <v>2073</v>
      </c>
      <c r="AG168" s="112">
        <v>6.0479999999999999E-2</v>
      </c>
      <c r="AI168" s="7" t="str">
        <f>VLOOKUP($AC168,Mapping!$E$11:$I$96,3,0)</f>
        <v>Connections</v>
      </c>
      <c r="AJ168" s="7" t="str">
        <f>VLOOKUP($AE168,Mapping!$E$140:$K$2771,5,0)</f>
        <v>Materials</v>
      </c>
      <c r="AK168" s="7" t="str">
        <f>VLOOKUP($AE168,Mapping!$E$140:$K$2771,7,0)</f>
        <v>ENDirect</v>
      </c>
      <c r="AL168" s="7" t="str">
        <f>IFERROR(HLOOKUP(AJ168,'Calc|Weightings'!$K$5:$M$5,1,0),"Excl")</f>
        <v>Materials</v>
      </c>
      <c r="AM168" s="7" t="str">
        <f>VLOOKUP(AC168,Mapping!$E$11:$I$96,5,0)</f>
        <v>SCS</v>
      </c>
      <c r="AO168" s="134">
        <v>106</v>
      </c>
      <c r="AP168" s="135" t="s">
        <v>2119</v>
      </c>
      <c r="AQ168" s="135">
        <v>613241</v>
      </c>
      <c r="AR168" s="135" t="s">
        <v>2083</v>
      </c>
      <c r="AS168" s="136">
        <v>12.09731</v>
      </c>
      <c r="AU168" s="7" t="str">
        <f>VLOOKUP($AO168,Mapping!$E$11:$I$96,3,0)</f>
        <v>Connections</v>
      </c>
      <c r="AV168" s="7" t="str">
        <f>VLOOKUP($AQ168,Mapping!$E$140:$K$2771,5,0)</f>
        <v>Labour</v>
      </c>
      <c r="AW168" s="7" t="str">
        <f>VLOOKUP($AQ168,Mapping!$E$140:$K$2771,7,0)</f>
        <v>ENDirect</v>
      </c>
      <c r="AX168" s="7" t="str">
        <f>IFERROR(HLOOKUP(AV168,'Calc|Weightings'!$K$5:$M$5,1,0),"Excl")</f>
        <v>Labour</v>
      </c>
      <c r="AY168" s="7" t="str">
        <f>VLOOKUP(AO168,Mapping!$E$11:$I$96,5,0)</f>
        <v>SCS</v>
      </c>
    </row>
    <row r="169" spans="1:51" x14ac:dyDescent="0.2">
      <c r="A169" s="7"/>
      <c r="B169" s="7"/>
      <c r="C169" s="7"/>
      <c r="D169" s="7"/>
      <c r="E169" s="36">
        <v>106</v>
      </c>
      <c r="F169" s="36" t="s">
        <v>2119</v>
      </c>
      <c r="G169" s="36">
        <v>520100</v>
      </c>
      <c r="H169" s="36" t="s">
        <v>2072</v>
      </c>
      <c r="I169" s="37">
        <v>2231.4702699999998</v>
      </c>
      <c r="J169" s="7"/>
      <c r="K169" s="7" t="str">
        <f>VLOOKUP($E169,Mapping!$E$11:$I$96,3,0)</f>
        <v>Connections</v>
      </c>
      <c r="L169" s="7" t="str">
        <f>VLOOKUP($G169,Mapping!$E$140:$K$2771,5,0)</f>
        <v>Materials</v>
      </c>
      <c r="M169" s="7" t="str">
        <f>VLOOKUP($G169,Mapping!$E$140:$K$2771,7,0)</f>
        <v>ENDirect</v>
      </c>
      <c r="N169" s="7" t="str">
        <f>IFERROR(HLOOKUP(L169,'Calc|Weightings'!$K$5:$M$5,1,0),"Excl")</f>
        <v>Materials</v>
      </c>
      <c r="O169" s="7" t="str">
        <f>VLOOKUP(E169,Mapping!$E$11:$I$96,5,0)</f>
        <v>SCS</v>
      </c>
      <c r="Q169" s="33">
        <v>106</v>
      </c>
      <c r="R169" s="33" t="s">
        <v>2119</v>
      </c>
      <c r="S169" s="33">
        <v>612210</v>
      </c>
      <c r="T169" s="33" t="s">
        <v>1184</v>
      </c>
      <c r="U169" s="34">
        <v>28.045829999999999</v>
      </c>
      <c r="V169" s="7"/>
      <c r="W169" s="7" t="str">
        <f>VLOOKUP($Q169,Mapping!$E$11:$I$96,3,0)</f>
        <v>Connections</v>
      </c>
      <c r="X169" s="7" t="str">
        <f>VLOOKUP($S169,Mapping!$E$140:$K$2771,5,0)</f>
        <v>Labour</v>
      </c>
      <c r="Y169" s="7" t="str">
        <f>VLOOKUP($S169,Mapping!$E$140:$K$2771,7,0)</f>
        <v>ENDirect</v>
      </c>
      <c r="Z169" s="7" t="str">
        <f>IFERROR(HLOOKUP(X169,'Calc|Weightings'!$K$5:$M$5,1,0),"Excl")</f>
        <v>Labour</v>
      </c>
      <c r="AA169" s="7" t="str">
        <f>VLOOKUP(Q169,Mapping!$E$11:$I$96,5,0)</f>
        <v>SCS</v>
      </c>
      <c r="AC169" s="111">
        <v>106</v>
      </c>
      <c r="AD169" s="111" t="s">
        <v>2119</v>
      </c>
      <c r="AE169" s="111">
        <v>523100</v>
      </c>
      <c r="AF169" s="111" t="s">
        <v>2074</v>
      </c>
      <c r="AG169" s="112">
        <v>31.402570000000001</v>
      </c>
      <c r="AI169" s="7" t="str">
        <f>VLOOKUP($AC169,Mapping!$E$11:$I$96,3,0)</f>
        <v>Connections</v>
      </c>
      <c r="AJ169" s="7" t="str">
        <f>VLOOKUP($AE169,Mapping!$E$140:$K$2771,5,0)</f>
        <v>Materials</v>
      </c>
      <c r="AK169" s="7" t="str">
        <f>VLOOKUP($AE169,Mapping!$E$140:$K$2771,7,0)</f>
        <v>ENDirect</v>
      </c>
      <c r="AL169" s="7" t="str">
        <f>IFERROR(HLOOKUP(AJ169,'Calc|Weightings'!$K$5:$M$5,1,0),"Excl")</f>
        <v>Materials</v>
      </c>
      <c r="AM169" s="7" t="str">
        <f>VLOOKUP(AC169,Mapping!$E$11:$I$96,5,0)</f>
        <v>SCS</v>
      </c>
      <c r="AO169" s="134">
        <v>106</v>
      </c>
      <c r="AP169" s="135" t="s">
        <v>2119</v>
      </c>
      <c r="AQ169" s="135">
        <v>613250</v>
      </c>
      <c r="AR169" s="135" t="s">
        <v>2086</v>
      </c>
      <c r="AS169" s="136">
        <v>170.52139</v>
      </c>
      <c r="AU169" s="7" t="str">
        <f>VLOOKUP($AO169,Mapping!$E$11:$I$96,3,0)</f>
        <v>Connections</v>
      </c>
      <c r="AV169" s="7" t="str">
        <f>VLOOKUP($AQ169,Mapping!$E$140:$K$2771,5,0)</f>
        <v>Labour</v>
      </c>
      <c r="AW169" s="7" t="str">
        <f>VLOOKUP($AQ169,Mapping!$E$140:$K$2771,7,0)</f>
        <v>ENDirect</v>
      </c>
      <c r="AX169" s="7" t="str">
        <f>IFERROR(HLOOKUP(AV169,'Calc|Weightings'!$K$5:$M$5,1,0),"Excl")</f>
        <v>Labour</v>
      </c>
      <c r="AY169" s="7" t="str">
        <f>VLOOKUP(AO169,Mapping!$E$11:$I$96,5,0)</f>
        <v>SCS</v>
      </c>
    </row>
    <row r="170" spans="1:51" x14ac:dyDescent="0.2">
      <c r="A170" s="7"/>
      <c r="B170" s="7"/>
      <c r="C170" s="7"/>
      <c r="D170" s="7"/>
      <c r="E170" s="36">
        <v>106</v>
      </c>
      <c r="F170" s="36" t="s">
        <v>2119</v>
      </c>
      <c r="G170" s="36">
        <v>520200</v>
      </c>
      <c r="H170" s="36" t="s">
        <v>2073</v>
      </c>
      <c r="I170" s="37">
        <v>59.987439999999999</v>
      </c>
      <c r="J170" s="7"/>
      <c r="K170" s="7" t="str">
        <f>VLOOKUP($E170,Mapping!$E$11:$I$96,3,0)</f>
        <v>Connections</v>
      </c>
      <c r="L170" s="7" t="str">
        <f>VLOOKUP($G170,Mapping!$E$140:$K$2771,5,0)</f>
        <v>Materials</v>
      </c>
      <c r="M170" s="7" t="str">
        <f>VLOOKUP($G170,Mapping!$E$140:$K$2771,7,0)</f>
        <v>ENDirect</v>
      </c>
      <c r="N170" s="7" t="str">
        <f>IFERROR(HLOOKUP(L170,'Calc|Weightings'!$K$5:$M$5,1,0),"Excl")</f>
        <v>Materials</v>
      </c>
      <c r="O170" s="7" t="str">
        <f>VLOOKUP(E170,Mapping!$E$11:$I$96,5,0)</f>
        <v>SCS</v>
      </c>
      <c r="Q170" s="33">
        <v>106</v>
      </c>
      <c r="R170" s="33" t="s">
        <v>2119</v>
      </c>
      <c r="S170" s="33">
        <v>613240</v>
      </c>
      <c r="T170" s="33" t="s">
        <v>2082</v>
      </c>
      <c r="U170" s="34">
        <v>8.2211700000000008</v>
      </c>
      <c r="V170" s="7"/>
      <c r="W170" s="7" t="str">
        <f>VLOOKUP($Q170,Mapping!$E$11:$I$96,3,0)</f>
        <v>Connections</v>
      </c>
      <c r="X170" s="7" t="str">
        <f>VLOOKUP($S170,Mapping!$E$140:$K$2771,5,0)</f>
        <v>Labour</v>
      </c>
      <c r="Y170" s="7" t="str">
        <f>VLOOKUP($S170,Mapping!$E$140:$K$2771,7,0)</f>
        <v>ENDirect</v>
      </c>
      <c r="Z170" s="7" t="str">
        <f>IFERROR(HLOOKUP(X170,'Calc|Weightings'!$K$5:$M$5,1,0),"Excl")</f>
        <v>Labour</v>
      </c>
      <c r="AA170" s="7" t="str">
        <f>VLOOKUP(Q170,Mapping!$E$11:$I$96,5,0)</f>
        <v>SCS</v>
      </c>
      <c r="AC170" s="111">
        <v>106</v>
      </c>
      <c r="AD170" s="111" t="s">
        <v>2119</v>
      </c>
      <c r="AE170" s="111">
        <v>523300</v>
      </c>
      <c r="AF170" s="111" t="s">
        <v>2075</v>
      </c>
      <c r="AG170" s="112">
        <v>4.9349999999999998E-2</v>
      </c>
      <c r="AI170" s="7" t="str">
        <f>VLOOKUP($AC170,Mapping!$E$11:$I$96,3,0)</f>
        <v>Connections</v>
      </c>
      <c r="AJ170" s="7" t="str">
        <f>VLOOKUP($AE170,Mapping!$E$140:$K$2771,5,0)</f>
        <v>Materials</v>
      </c>
      <c r="AK170" s="7" t="str">
        <f>VLOOKUP($AE170,Mapping!$E$140:$K$2771,7,0)</f>
        <v>ENDirect</v>
      </c>
      <c r="AL170" s="7" t="str">
        <f>IFERROR(HLOOKUP(AJ170,'Calc|Weightings'!$K$5:$M$5,1,0),"Excl")</f>
        <v>Materials</v>
      </c>
      <c r="AM170" s="7" t="str">
        <f>VLOOKUP(AC170,Mapping!$E$11:$I$96,5,0)</f>
        <v>SCS</v>
      </c>
      <c r="AO170" s="134">
        <v>106</v>
      </c>
      <c r="AP170" s="135" t="s">
        <v>2119</v>
      </c>
      <c r="AQ170" s="135">
        <v>613251</v>
      </c>
      <c r="AR170" s="135" t="s">
        <v>2087</v>
      </c>
      <c r="AS170" s="136">
        <v>9.7890899999999998</v>
      </c>
      <c r="AU170" s="7" t="str">
        <f>VLOOKUP($AO170,Mapping!$E$11:$I$96,3,0)</f>
        <v>Connections</v>
      </c>
      <c r="AV170" s="7" t="str">
        <f>VLOOKUP($AQ170,Mapping!$E$140:$K$2771,5,0)</f>
        <v>Labour</v>
      </c>
      <c r="AW170" s="7" t="str">
        <f>VLOOKUP($AQ170,Mapping!$E$140:$K$2771,7,0)</f>
        <v>ENDirect</v>
      </c>
      <c r="AX170" s="7" t="str">
        <f>IFERROR(HLOOKUP(AV170,'Calc|Weightings'!$K$5:$M$5,1,0),"Excl")</f>
        <v>Labour</v>
      </c>
      <c r="AY170" s="7" t="str">
        <f>VLOOKUP(AO170,Mapping!$E$11:$I$96,5,0)</f>
        <v>SCS</v>
      </c>
    </row>
    <row r="171" spans="1:51" x14ac:dyDescent="0.2">
      <c r="A171" s="7"/>
      <c r="B171" s="7"/>
      <c r="C171" s="7"/>
      <c r="D171" s="7"/>
      <c r="E171" s="36">
        <v>106</v>
      </c>
      <c r="F171" s="36" t="s">
        <v>2119</v>
      </c>
      <c r="G171" s="36">
        <v>523100</v>
      </c>
      <c r="H171" s="36" t="s">
        <v>2074</v>
      </c>
      <c r="I171" s="37">
        <v>24.938099999999999</v>
      </c>
      <c r="J171" s="7"/>
      <c r="K171" s="7" t="str">
        <f>VLOOKUP($E171,Mapping!$E$11:$I$96,3,0)</f>
        <v>Connections</v>
      </c>
      <c r="L171" s="7" t="str">
        <f>VLOOKUP($G171,Mapping!$E$140:$K$2771,5,0)</f>
        <v>Materials</v>
      </c>
      <c r="M171" s="7" t="str">
        <f>VLOOKUP($G171,Mapping!$E$140:$K$2771,7,0)</f>
        <v>ENDirect</v>
      </c>
      <c r="N171" s="7" t="str">
        <f>IFERROR(HLOOKUP(L171,'Calc|Weightings'!$K$5:$M$5,1,0),"Excl")</f>
        <v>Materials</v>
      </c>
      <c r="O171" s="7" t="str">
        <f>VLOOKUP(E171,Mapping!$E$11:$I$96,5,0)</f>
        <v>SCS</v>
      </c>
      <c r="Q171" s="33">
        <v>106</v>
      </c>
      <c r="R171" s="33" t="s">
        <v>2119</v>
      </c>
      <c r="S171" s="33">
        <v>613241</v>
      </c>
      <c r="T171" s="33" t="s">
        <v>2083</v>
      </c>
      <c r="U171" s="34">
        <v>11.559749999999999</v>
      </c>
      <c r="V171" s="7"/>
      <c r="W171" s="7" t="str">
        <f>VLOOKUP($Q171,Mapping!$E$11:$I$96,3,0)</f>
        <v>Connections</v>
      </c>
      <c r="X171" s="7" t="str">
        <f>VLOOKUP($S171,Mapping!$E$140:$K$2771,5,0)</f>
        <v>Labour</v>
      </c>
      <c r="Y171" s="7" t="str">
        <f>VLOOKUP($S171,Mapping!$E$140:$K$2771,7,0)</f>
        <v>ENDirect</v>
      </c>
      <c r="Z171" s="7" t="str">
        <f>IFERROR(HLOOKUP(X171,'Calc|Weightings'!$K$5:$M$5,1,0),"Excl")</f>
        <v>Labour</v>
      </c>
      <c r="AA171" s="7" t="str">
        <f>VLOOKUP(Q171,Mapping!$E$11:$I$96,5,0)</f>
        <v>SCS</v>
      </c>
      <c r="AC171" s="111">
        <v>106</v>
      </c>
      <c r="AD171" s="111" t="s">
        <v>2119</v>
      </c>
      <c r="AE171" s="111">
        <v>531000</v>
      </c>
      <c r="AF171" s="111" t="s">
        <v>242</v>
      </c>
      <c r="AG171" s="112">
        <v>1.3120000000000001</v>
      </c>
      <c r="AI171" s="7" t="str">
        <f>VLOOKUP($AC171,Mapping!$E$11:$I$96,3,0)</f>
        <v>Connections</v>
      </c>
      <c r="AJ171" s="7" t="str">
        <f>VLOOKUP($AE171,Mapping!$E$140:$K$2771,5,0)</f>
        <v>Contracts</v>
      </c>
      <c r="AK171" s="7" t="str">
        <f>VLOOKUP($AE171,Mapping!$E$140:$K$2771,7,0)</f>
        <v>ENDirect</v>
      </c>
      <c r="AL171" s="7" t="str">
        <f>IFERROR(HLOOKUP(AJ171,'Calc|Weightings'!$K$5:$M$5,1,0),"Excl")</f>
        <v>Contracts</v>
      </c>
      <c r="AM171" s="7" t="str">
        <f>VLOOKUP(AC171,Mapping!$E$11:$I$96,5,0)</f>
        <v>SCS</v>
      </c>
      <c r="AO171" s="134">
        <v>106</v>
      </c>
      <c r="AP171" s="135" t="s">
        <v>2119</v>
      </c>
      <c r="AQ171" s="135">
        <v>613260</v>
      </c>
      <c r="AR171" s="135" t="s">
        <v>2090</v>
      </c>
      <c r="AS171" s="136">
        <v>56.28528</v>
      </c>
      <c r="AU171" s="7" t="str">
        <f>VLOOKUP($AO171,Mapping!$E$11:$I$96,3,0)</f>
        <v>Connections</v>
      </c>
      <c r="AV171" s="7" t="str">
        <f>VLOOKUP($AQ171,Mapping!$E$140:$K$2771,5,0)</f>
        <v>Labour</v>
      </c>
      <c r="AW171" s="7" t="str">
        <f>VLOOKUP($AQ171,Mapping!$E$140:$K$2771,7,0)</f>
        <v>ENDirect</v>
      </c>
      <c r="AX171" s="7" t="str">
        <f>IFERROR(HLOOKUP(AV171,'Calc|Weightings'!$K$5:$M$5,1,0),"Excl")</f>
        <v>Labour</v>
      </c>
      <c r="AY171" s="7" t="str">
        <f>VLOOKUP(AO171,Mapping!$E$11:$I$96,5,0)</f>
        <v>SCS</v>
      </c>
    </row>
    <row r="172" spans="1:51" x14ac:dyDescent="0.2">
      <c r="A172" s="7"/>
      <c r="B172" s="7"/>
      <c r="C172" s="7"/>
      <c r="D172" s="7"/>
      <c r="E172" s="36">
        <v>106</v>
      </c>
      <c r="F172" s="36" t="s">
        <v>2119</v>
      </c>
      <c r="G172" s="36">
        <v>523300</v>
      </c>
      <c r="H172" s="36" t="s">
        <v>2075</v>
      </c>
      <c r="I172" s="37">
        <v>0.38353999999999999</v>
      </c>
      <c r="J172" s="7"/>
      <c r="K172" s="7" t="str">
        <f>VLOOKUP($E172,Mapping!$E$11:$I$96,3,0)</f>
        <v>Connections</v>
      </c>
      <c r="L172" s="7" t="str">
        <f>VLOOKUP($G172,Mapping!$E$140:$K$2771,5,0)</f>
        <v>Materials</v>
      </c>
      <c r="M172" s="7" t="str">
        <f>VLOOKUP($G172,Mapping!$E$140:$K$2771,7,0)</f>
        <v>ENDirect</v>
      </c>
      <c r="N172" s="7" t="str">
        <f>IFERROR(HLOOKUP(L172,'Calc|Weightings'!$K$5:$M$5,1,0),"Excl")</f>
        <v>Materials</v>
      </c>
      <c r="O172" s="7" t="str">
        <f>VLOOKUP(E172,Mapping!$E$11:$I$96,5,0)</f>
        <v>SCS</v>
      </c>
      <c r="Q172" s="33">
        <v>106</v>
      </c>
      <c r="R172" s="33" t="s">
        <v>2119</v>
      </c>
      <c r="S172" s="33">
        <v>613250</v>
      </c>
      <c r="T172" s="33" t="s">
        <v>2086</v>
      </c>
      <c r="U172" s="34">
        <v>60.339700000000001</v>
      </c>
      <c r="V172" s="7"/>
      <c r="W172" s="7" t="str">
        <f>VLOOKUP($Q172,Mapping!$E$11:$I$96,3,0)</f>
        <v>Connections</v>
      </c>
      <c r="X172" s="7" t="str">
        <f>VLOOKUP($S172,Mapping!$E$140:$K$2771,5,0)</f>
        <v>Labour</v>
      </c>
      <c r="Y172" s="7" t="str">
        <f>VLOOKUP($S172,Mapping!$E$140:$K$2771,7,0)</f>
        <v>ENDirect</v>
      </c>
      <c r="Z172" s="7" t="str">
        <f>IFERROR(HLOOKUP(X172,'Calc|Weightings'!$K$5:$M$5,1,0),"Excl")</f>
        <v>Labour</v>
      </c>
      <c r="AA172" s="7" t="str">
        <f>VLOOKUP(Q172,Mapping!$E$11:$I$96,5,0)</f>
        <v>SCS</v>
      </c>
      <c r="AC172" s="111">
        <v>106</v>
      </c>
      <c r="AD172" s="111" t="s">
        <v>2119</v>
      </c>
      <c r="AE172" s="111">
        <v>531020</v>
      </c>
      <c r="AF172" s="111" t="s">
        <v>219</v>
      </c>
      <c r="AG172" s="112">
        <v>1.03244</v>
      </c>
      <c r="AI172" s="7" t="str">
        <f>VLOOKUP($AC172,Mapping!$E$11:$I$96,3,0)</f>
        <v>Connections</v>
      </c>
      <c r="AJ172" s="7" t="str">
        <f>VLOOKUP($AE172,Mapping!$E$140:$K$2771,5,0)</f>
        <v>Labour</v>
      </c>
      <c r="AK172" s="7" t="str">
        <f>VLOOKUP($AE172,Mapping!$E$140:$K$2771,7,0)</f>
        <v>ENDirect</v>
      </c>
      <c r="AL172" s="7" t="str">
        <f>IFERROR(HLOOKUP(AJ172,'Calc|Weightings'!$K$5:$M$5,1,0),"Excl")</f>
        <v>Labour</v>
      </c>
      <c r="AM172" s="7" t="str">
        <f>VLOOKUP(AC172,Mapping!$E$11:$I$96,5,0)</f>
        <v>SCS</v>
      </c>
      <c r="AO172" s="134">
        <v>106</v>
      </c>
      <c r="AP172" s="135" t="s">
        <v>2119</v>
      </c>
      <c r="AQ172" s="135">
        <v>613261</v>
      </c>
      <c r="AR172" s="135" t="s">
        <v>2091</v>
      </c>
      <c r="AS172" s="136">
        <v>29.179500000000001</v>
      </c>
      <c r="AU172" s="7" t="str">
        <f>VLOOKUP($AO172,Mapping!$E$11:$I$96,3,0)</f>
        <v>Connections</v>
      </c>
      <c r="AV172" s="7" t="str">
        <f>VLOOKUP($AQ172,Mapping!$E$140:$K$2771,5,0)</f>
        <v>Labour</v>
      </c>
      <c r="AW172" s="7" t="str">
        <f>VLOOKUP($AQ172,Mapping!$E$140:$K$2771,7,0)</f>
        <v>ENDirect</v>
      </c>
      <c r="AX172" s="7" t="str">
        <f>IFERROR(HLOOKUP(AV172,'Calc|Weightings'!$K$5:$M$5,1,0),"Excl")</f>
        <v>Labour</v>
      </c>
      <c r="AY172" s="7" t="str">
        <f>VLOOKUP(AO172,Mapping!$E$11:$I$96,5,0)</f>
        <v>SCS</v>
      </c>
    </row>
    <row r="173" spans="1:51" x14ac:dyDescent="0.2">
      <c r="A173" s="7"/>
      <c r="B173" s="7"/>
      <c r="C173" s="7"/>
      <c r="D173" s="7"/>
      <c r="E173" s="36">
        <v>106</v>
      </c>
      <c r="F173" s="36" t="s">
        <v>2119</v>
      </c>
      <c r="G173" s="36">
        <v>531020</v>
      </c>
      <c r="H173" s="36" t="s">
        <v>219</v>
      </c>
      <c r="I173" s="37">
        <v>-8.5733899999999998</v>
      </c>
      <c r="J173" s="7"/>
      <c r="K173" s="7" t="str">
        <f>VLOOKUP($E173,Mapping!$E$11:$I$96,3,0)</f>
        <v>Connections</v>
      </c>
      <c r="L173" s="7" t="str">
        <f>VLOOKUP($G173,Mapping!$E$140:$K$2771,5,0)</f>
        <v>Labour</v>
      </c>
      <c r="M173" s="7" t="str">
        <f>VLOOKUP($G173,Mapping!$E$140:$K$2771,7,0)</f>
        <v>ENDirect</v>
      </c>
      <c r="N173" s="7" t="str">
        <f>IFERROR(HLOOKUP(L173,'Calc|Weightings'!$K$5:$M$5,1,0),"Excl")</f>
        <v>Labour</v>
      </c>
      <c r="O173" s="7" t="str">
        <f>VLOOKUP(E173,Mapping!$E$11:$I$96,5,0)</f>
        <v>SCS</v>
      </c>
      <c r="Q173" s="33">
        <v>106</v>
      </c>
      <c r="R173" s="33" t="s">
        <v>2119</v>
      </c>
      <c r="S173" s="33">
        <v>613251</v>
      </c>
      <c r="T173" s="33" t="s">
        <v>2087</v>
      </c>
      <c r="U173" s="34">
        <v>25.468620000000001</v>
      </c>
      <c r="V173" s="7"/>
      <c r="W173" s="7" t="str">
        <f>VLOOKUP($Q173,Mapping!$E$11:$I$96,3,0)</f>
        <v>Connections</v>
      </c>
      <c r="X173" s="7" t="str">
        <f>VLOOKUP($S173,Mapping!$E$140:$K$2771,5,0)</f>
        <v>Labour</v>
      </c>
      <c r="Y173" s="7" t="str">
        <f>VLOOKUP($S173,Mapping!$E$140:$K$2771,7,0)</f>
        <v>ENDirect</v>
      </c>
      <c r="Z173" s="7" t="str">
        <f>IFERROR(HLOOKUP(X173,'Calc|Weightings'!$K$5:$M$5,1,0),"Excl")</f>
        <v>Labour</v>
      </c>
      <c r="AA173" s="7" t="str">
        <f>VLOOKUP(Q173,Mapping!$E$11:$I$96,5,0)</f>
        <v>SCS</v>
      </c>
      <c r="AC173" s="111">
        <v>106</v>
      </c>
      <c r="AD173" s="111" t="s">
        <v>2119</v>
      </c>
      <c r="AE173" s="111">
        <v>531200</v>
      </c>
      <c r="AF173" s="111" t="s">
        <v>250</v>
      </c>
      <c r="AG173" s="112">
        <v>98.697999999999993</v>
      </c>
      <c r="AI173" s="7" t="str">
        <f>VLOOKUP($AC173,Mapping!$E$11:$I$96,3,0)</f>
        <v>Connections</v>
      </c>
      <c r="AJ173" s="7" t="str">
        <f>VLOOKUP($AE173,Mapping!$E$140:$K$2771,5,0)</f>
        <v>Contracts</v>
      </c>
      <c r="AK173" s="7" t="str">
        <f>VLOOKUP($AE173,Mapping!$E$140:$K$2771,7,0)</f>
        <v>ENDirect</v>
      </c>
      <c r="AL173" s="7" t="str">
        <f>IFERROR(HLOOKUP(AJ173,'Calc|Weightings'!$K$5:$M$5,1,0),"Excl")</f>
        <v>Contracts</v>
      </c>
      <c r="AM173" s="7" t="str">
        <f>VLOOKUP(AC173,Mapping!$E$11:$I$96,5,0)</f>
        <v>SCS</v>
      </c>
      <c r="AO173" s="134">
        <v>106</v>
      </c>
      <c r="AP173" s="135" t="s">
        <v>2119</v>
      </c>
      <c r="AQ173" s="135">
        <v>613280</v>
      </c>
      <c r="AR173" s="135" t="s">
        <v>1342</v>
      </c>
      <c r="AS173" s="136">
        <v>218.10359</v>
      </c>
      <c r="AU173" s="7" t="str">
        <f>VLOOKUP($AO173,Mapping!$E$11:$I$96,3,0)</f>
        <v>Connections</v>
      </c>
      <c r="AV173" s="7" t="str">
        <f>VLOOKUP($AQ173,Mapping!$E$140:$K$2771,5,0)</f>
        <v>Labour</v>
      </c>
      <c r="AW173" s="7" t="str">
        <f>VLOOKUP($AQ173,Mapping!$E$140:$K$2771,7,0)</f>
        <v>ENDirect</v>
      </c>
      <c r="AX173" s="7" t="str">
        <f>IFERROR(HLOOKUP(AV173,'Calc|Weightings'!$K$5:$M$5,1,0),"Excl")</f>
        <v>Labour</v>
      </c>
      <c r="AY173" s="7" t="str">
        <f>VLOOKUP(AO173,Mapping!$E$11:$I$96,5,0)</f>
        <v>SCS</v>
      </c>
    </row>
    <row r="174" spans="1:51" x14ac:dyDescent="0.2">
      <c r="A174" s="7"/>
      <c r="B174" s="7"/>
      <c r="C174" s="7"/>
      <c r="D174" s="7"/>
      <c r="E174" s="36">
        <v>106</v>
      </c>
      <c r="F174" s="36" t="s">
        <v>2119</v>
      </c>
      <c r="G174" s="36">
        <v>531035</v>
      </c>
      <c r="H174" s="36" t="s">
        <v>244</v>
      </c>
      <c r="I174" s="37">
        <v>204.52718999999999</v>
      </c>
      <c r="J174" s="7"/>
      <c r="K174" s="7" t="str">
        <f>VLOOKUP($E174,Mapping!$E$11:$I$96,3,0)</f>
        <v>Connections</v>
      </c>
      <c r="L174" s="7" t="str">
        <f>VLOOKUP($G174,Mapping!$E$140:$K$2771,5,0)</f>
        <v>Labour</v>
      </c>
      <c r="M174" s="7" t="str">
        <f>VLOOKUP($G174,Mapping!$E$140:$K$2771,7,0)</f>
        <v>ENDirect</v>
      </c>
      <c r="N174" s="7" t="str">
        <f>IFERROR(HLOOKUP(L174,'Calc|Weightings'!$K$5:$M$5,1,0),"Excl")</f>
        <v>Labour</v>
      </c>
      <c r="O174" s="7" t="str">
        <f>VLOOKUP(E174,Mapping!$E$11:$I$96,5,0)</f>
        <v>SCS</v>
      </c>
      <c r="Q174" s="33">
        <v>106</v>
      </c>
      <c r="R174" s="33" t="s">
        <v>2119</v>
      </c>
      <c r="S174" s="33">
        <v>613260</v>
      </c>
      <c r="T174" s="33" t="s">
        <v>2090</v>
      </c>
      <c r="U174" s="34">
        <v>3.4611299999999998</v>
      </c>
      <c r="V174" s="7"/>
      <c r="W174" s="7" t="str">
        <f>VLOOKUP($Q174,Mapping!$E$11:$I$96,3,0)</f>
        <v>Connections</v>
      </c>
      <c r="X174" s="7" t="str">
        <f>VLOOKUP($S174,Mapping!$E$140:$K$2771,5,0)</f>
        <v>Labour</v>
      </c>
      <c r="Y174" s="7" t="str">
        <f>VLOOKUP($S174,Mapping!$E$140:$K$2771,7,0)</f>
        <v>ENDirect</v>
      </c>
      <c r="Z174" s="7" t="str">
        <f>IFERROR(HLOOKUP(X174,'Calc|Weightings'!$K$5:$M$5,1,0),"Excl")</f>
        <v>Labour</v>
      </c>
      <c r="AA174" s="7" t="str">
        <f>VLOOKUP(Q174,Mapping!$E$11:$I$96,5,0)</f>
        <v>SCS</v>
      </c>
      <c r="AC174" s="111">
        <v>106</v>
      </c>
      <c r="AD174" s="111" t="s">
        <v>2119</v>
      </c>
      <c r="AE174" s="111">
        <v>531201</v>
      </c>
      <c r="AF174" s="111" t="s">
        <v>251</v>
      </c>
      <c r="AG174" s="112">
        <v>213.12644</v>
      </c>
      <c r="AI174" s="7" t="str">
        <f>VLOOKUP($AC174,Mapping!$E$11:$I$96,3,0)</f>
        <v>Connections</v>
      </c>
      <c r="AJ174" s="7" t="str">
        <f>VLOOKUP($AE174,Mapping!$E$140:$K$2771,5,0)</f>
        <v>Contracts</v>
      </c>
      <c r="AK174" s="7" t="str">
        <f>VLOOKUP($AE174,Mapping!$E$140:$K$2771,7,0)</f>
        <v>ENDirect</v>
      </c>
      <c r="AL174" s="7" t="str">
        <f>IFERROR(HLOOKUP(AJ174,'Calc|Weightings'!$K$5:$M$5,1,0),"Excl")</f>
        <v>Contracts</v>
      </c>
      <c r="AM174" s="7" t="str">
        <f>VLOOKUP(AC174,Mapping!$E$11:$I$96,5,0)</f>
        <v>SCS</v>
      </c>
      <c r="AO174" s="134">
        <v>106</v>
      </c>
      <c r="AP174" s="135" t="s">
        <v>2119</v>
      </c>
      <c r="AQ174" s="135">
        <v>613281</v>
      </c>
      <c r="AR174" s="135" t="s">
        <v>1343</v>
      </c>
      <c r="AS174" s="136">
        <v>8.2630499999999998</v>
      </c>
      <c r="AU174" s="7" t="str">
        <f>VLOOKUP($AO174,Mapping!$E$11:$I$96,3,0)</f>
        <v>Connections</v>
      </c>
      <c r="AV174" s="7" t="str">
        <f>VLOOKUP($AQ174,Mapping!$E$140:$K$2771,5,0)</f>
        <v>Labour</v>
      </c>
      <c r="AW174" s="7" t="str">
        <f>VLOOKUP($AQ174,Mapping!$E$140:$K$2771,7,0)</f>
        <v>ENDirect</v>
      </c>
      <c r="AX174" s="7" t="str">
        <f>IFERROR(HLOOKUP(AV174,'Calc|Weightings'!$K$5:$M$5,1,0),"Excl")</f>
        <v>Labour</v>
      </c>
      <c r="AY174" s="7" t="str">
        <f>VLOOKUP(AO174,Mapping!$E$11:$I$96,5,0)</f>
        <v>SCS</v>
      </c>
    </row>
    <row r="175" spans="1:51" x14ac:dyDescent="0.2">
      <c r="A175" s="7"/>
      <c r="B175" s="7"/>
      <c r="C175" s="7"/>
      <c r="D175" s="7"/>
      <c r="E175" s="36">
        <v>106</v>
      </c>
      <c r="F175" s="36" t="s">
        <v>2119</v>
      </c>
      <c r="G175" s="36">
        <v>531200</v>
      </c>
      <c r="H175" s="36" t="s">
        <v>250</v>
      </c>
      <c r="I175" s="37">
        <v>288.93786999999998</v>
      </c>
      <c r="J175" s="7"/>
      <c r="K175" s="7" t="str">
        <f>VLOOKUP($E175,Mapping!$E$11:$I$96,3,0)</f>
        <v>Connections</v>
      </c>
      <c r="L175" s="7" t="str">
        <f>VLOOKUP($G175,Mapping!$E$140:$K$2771,5,0)</f>
        <v>Contracts</v>
      </c>
      <c r="M175" s="7" t="str">
        <f>VLOOKUP($G175,Mapping!$E$140:$K$2771,7,0)</f>
        <v>ENDirect</v>
      </c>
      <c r="N175" s="7" t="str">
        <f>IFERROR(HLOOKUP(L175,'Calc|Weightings'!$K$5:$M$5,1,0),"Excl")</f>
        <v>Contracts</v>
      </c>
      <c r="O175" s="7" t="str">
        <f>VLOOKUP(E175,Mapping!$E$11:$I$96,5,0)</f>
        <v>SCS</v>
      </c>
      <c r="Q175" s="33">
        <v>106</v>
      </c>
      <c r="R175" s="33" t="s">
        <v>2119</v>
      </c>
      <c r="S175" s="33">
        <v>613280</v>
      </c>
      <c r="T175" s="33" t="s">
        <v>1342</v>
      </c>
      <c r="U175" s="34">
        <v>145.90835999999999</v>
      </c>
      <c r="V175" s="7"/>
      <c r="W175" s="7" t="str">
        <f>VLOOKUP($Q175,Mapping!$E$11:$I$96,3,0)</f>
        <v>Connections</v>
      </c>
      <c r="X175" s="7" t="str">
        <f>VLOOKUP($S175,Mapping!$E$140:$K$2771,5,0)</f>
        <v>Labour</v>
      </c>
      <c r="Y175" s="7" t="str">
        <f>VLOOKUP($S175,Mapping!$E$140:$K$2771,7,0)</f>
        <v>ENDirect</v>
      </c>
      <c r="Z175" s="7" t="str">
        <f>IFERROR(HLOOKUP(X175,'Calc|Weightings'!$K$5:$M$5,1,0),"Excl")</f>
        <v>Labour</v>
      </c>
      <c r="AA175" s="7" t="str">
        <f>VLOOKUP(Q175,Mapping!$E$11:$I$96,5,0)</f>
        <v>SCS</v>
      </c>
      <c r="AC175" s="111">
        <v>106</v>
      </c>
      <c r="AD175" s="111" t="s">
        <v>2119</v>
      </c>
      <c r="AE175" s="111">
        <v>531464</v>
      </c>
      <c r="AF175" s="111" t="s">
        <v>256</v>
      </c>
      <c r="AG175" s="112">
        <v>2262.93505</v>
      </c>
      <c r="AI175" s="7" t="str">
        <f>VLOOKUP($AC175,Mapping!$E$11:$I$96,3,0)</f>
        <v>Connections</v>
      </c>
      <c r="AJ175" s="7" t="str">
        <f>VLOOKUP($AE175,Mapping!$E$140:$K$2771,5,0)</f>
        <v>Contracts</v>
      </c>
      <c r="AK175" s="7" t="str">
        <f>VLOOKUP($AE175,Mapping!$E$140:$K$2771,7,0)</f>
        <v>ENDirect</v>
      </c>
      <c r="AL175" s="7" t="str">
        <f>IFERROR(HLOOKUP(AJ175,'Calc|Weightings'!$K$5:$M$5,1,0),"Excl")</f>
        <v>Contracts</v>
      </c>
      <c r="AM175" s="7" t="str">
        <f>VLOOKUP(AC175,Mapping!$E$11:$I$96,5,0)</f>
        <v>SCS</v>
      </c>
      <c r="AO175" s="134">
        <v>106</v>
      </c>
      <c r="AP175" s="135" t="s">
        <v>2119</v>
      </c>
      <c r="AQ175" s="135">
        <v>613290</v>
      </c>
      <c r="AR175" s="135" t="s">
        <v>2093</v>
      </c>
      <c r="AS175" s="136">
        <v>628.13433999999995</v>
      </c>
      <c r="AU175" s="7" t="str">
        <f>VLOOKUP($AO175,Mapping!$E$11:$I$96,3,0)</f>
        <v>Connections</v>
      </c>
      <c r="AV175" s="7" t="str">
        <f>VLOOKUP($AQ175,Mapping!$E$140:$K$2771,5,0)</f>
        <v>Labour</v>
      </c>
      <c r="AW175" s="7" t="str">
        <f>VLOOKUP($AQ175,Mapping!$E$140:$K$2771,7,0)</f>
        <v>ENDirect</v>
      </c>
      <c r="AX175" s="7" t="str">
        <f>IFERROR(HLOOKUP(AV175,'Calc|Weightings'!$K$5:$M$5,1,0),"Excl")</f>
        <v>Labour</v>
      </c>
      <c r="AY175" s="7" t="str">
        <f>VLOOKUP(AO175,Mapping!$E$11:$I$96,5,0)</f>
        <v>SCS</v>
      </c>
    </row>
    <row r="176" spans="1:51" x14ac:dyDescent="0.2">
      <c r="A176" s="7"/>
      <c r="B176" s="7"/>
      <c r="C176" s="7"/>
      <c r="D176" s="7"/>
      <c r="E176" s="36">
        <v>106</v>
      </c>
      <c r="F176" s="36" t="s">
        <v>2119</v>
      </c>
      <c r="G176" s="36">
        <v>531201</v>
      </c>
      <c r="H176" s="36" t="s">
        <v>251</v>
      </c>
      <c r="I176" s="37">
        <v>209.29255000000001</v>
      </c>
      <c r="J176" s="7"/>
      <c r="K176" s="7" t="str">
        <f>VLOOKUP($E176,Mapping!$E$11:$I$96,3,0)</f>
        <v>Connections</v>
      </c>
      <c r="L176" s="7" t="str">
        <f>VLOOKUP($G176,Mapping!$E$140:$K$2771,5,0)</f>
        <v>Contracts</v>
      </c>
      <c r="M176" s="7" t="str">
        <f>VLOOKUP($G176,Mapping!$E$140:$K$2771,7,0)</f>
        <v>ENDirect</v>
      </c>
      <c r="N176" s="7" t="str">
        <f>IFERROR(HLOOKUP(L176,'Calc|Weightings'!$K$5:$M$5,1,0),"Excl")</f>
        <v>Contracts</v>
      </c>
      <c r="O176" s="7" t="str">
        <f>VLOOKUP(E176,Mapping!$E$11:$I$96,5,0)</f>
        <v>SCS</v>
      </c>
      <c r="Q176" s="33">
        <v>106</v>
      </c>
      <c r="R176" s="33" t="s">
        <v>2119</v>
      </c>
      <c r="S176" s="33">
        <v>613281</v>
      </c>
      <c r="T176" s="33" t="s">
        <v>1343</v>
      </c>
      <c r="U176" s="34">
        <v>0.87761999999999996</v>
      </c>
      <c r="V176" s="7"/>
      <c r="W176" s="7" t="str">
        <f>VLOOKUP($Q176,Mapping!$E$11:$I$96,3,0)</f>
        <v>Connections</v>
      </c>
      <c r="X176" s="7" t="str">
        <f>VLOOKUP($S176,Mapping!$E$140:$K$2771,5,0)</f>
        <v>Labour</v>
      </c>
      <c r="Y176" s="7" t="str">
        <f>VLOOKUP($S176,Mapping!$E$140:$K$2771,7,0)</f>
        <v>ENDirect</v>
      </c>
      <c r="Z176" s="7" t="str">
        <f>IFERROR(HLOOKUP(X176,'Calc|Weightings'!$K$5:$M$5,1,0),"Excl")</f>
        <v>Labour</v>
      </c>
      <c r="AA176" s="7" t="str">
        <f>VLOOKUP(Q176,Mapping!$E$11:$I$96,5,0)</f>
        <v>SCS</v>
      </c>
      <c r="AC176" s="111">
        <v>106</v>
      </c>
      <c r="AD176" s="111" t="s">
        <v>2119</v>
      </c>
      <c r="AE176" s="111">
        <v>531465</v>
      </c>
      <c r="AF176" s="111" t="s">
        <v>257</v>
      </c>
      <c r="AG176" s="112">
        <v>14.116770000000001</v>
      </c>
      <c r="AI176" s="7" t="str">
        <f>VLOOKUP($AC176,Mapping!$E$11:$I$96,3,0)</f>
        <v>Connections</v>
      </c>
      <c r="AJ176" s="7" t="str">
        <f>VLOOKUP($AE176,Mapping!$E$140:$K$2771,5,0)</f>
        <v>Contracts</v>
      </c>
      <c r="AK176" s="7" t="str">
        <f>VLOOKUP($AE176,Mapping!$E$140:$K$2771,7,0)</f>
        <v>ENDirect</v>
      </c>
      <c r="AL176" s="7" t="str">
        <f>IFERROR(HLOOKUP(AJ176,'Calc|Weightings'!$K$5:$M$5,1,0),"Excl")</f>
        <v>Contracts</v>
      </c>
      <c r="AM176" s="7" t="str">
        <f>VLOOKUP(AC176,Mapping!$E$11:$I$96,5,0)</f>
        <v>SCS</v>
      </c>
      <c r="AO176" s="134">
        <v>106</v>
      </c>
      <c r="AP176" s="135" t="s">
        <v>2119</v>
      </c>
      <c r="AQ176" s="135">
        <v>613291</v>
      </c>
      <c r="AR176" s="135" t="s">
        <v>2094</v>
      </c>
      <c r="AS176" s="136">
        <v>12.88552</v>
      </c>
      <c r="AU176" s="7" t="str">
        <f>VLOOKUP($AO176,Mapping!$E$11:$I$96,3,0)</f>
        <v>Connections</v>
      </c>
      <c r="AV176" s="7" t="str">
        <f>VLOOKUP($AQ176,Mapping!$E$140:$K$2771,5,0)</f>
        <v>Labour</v>
      </c>
      <c r="AW176" s="7" t="str">
        <f>VLOOKUP($AQ176,Mapping!$E$140:$K$2771,7,0)</f>
        <v>ENDirect</v>
      </c>
      <c r="AX176" s="7" t="str">
        <f>IFERROR(HLOOKUP(AV176,'Calc|Weightings'!$K$5:$M$5,1,0),"Excl")</f>
        <v>Labour</v>
      </c>
      <c r="AY176" s="7" t="str">
        <f>VLOOKUP(AO176,Mapping!$E$11:$I$96,5,0)</f>
        <v>SCS</v>
      </c>
    </row>
    <row r="177" spans="1:51" x14ac:dyDescent="0.2">
      <c r="A177" s="7"/>
      <c r="B177" s="7"/>
      <c r="C177" s="7"/>
      <c r="D177" s="7"/>
      <c r="E177" s="36">
        <v>106</v>
      </c>
      <c r="F177" s="36" t="s">
        <v>2119</v>
      </c>
      <c r="G177" s="36">
        <v>531211</v>
      </c>
      <c r="H177" s="36" t="s">
        <v>253</v>
      </c>
      <c r="I177" s="37">
        <v>5.6521100000000004</v>
      </c>
      <c r="J177" s="7"/>
      <c r="K177" s="7" t="str">
        <f>VLOOKUP($E177,Mapping!$E$11:$I$96,3,0)</f>
        <v>Connections</v>
      </c>
      <c r="L177" s="7" t="str">
        <f>VLOOKUP($G177,Mapping!$E$140:$K$2771,5,0)</f>
        <v>Labour</v>
      </c>
      <c r="M177" s="7" t="str">
        <f>VLOOKUP($G177,Mapping!$E$140:$K$2771,7,0)</f>
        <v>ENDirect</v>
      </c>
      <c r="N177" s="7" t="str">
        <f>IFERROR(HLOOKUP(L177,'Calc|Weightings'!$K$5:$M$5,1,0),"Excl")</f>
        <v>Labour</v>
      </c>
      <c r="O177" s="7" t="str">
        <f>VLOOKUP(E177,Mapping!$E$11:$I$96,5,0)</f>
        <v>SCS</v>
      </c>
      <c r="Q177" s="33">
        <v>106</v>
      </c>
      <c r="R177" s="33" t="s">
        <v>2119</v>
      </c>
      <c r="S177" s="33">
        <v>613290</v>
      </c>
      <c r="T177" s="33" t="s">
        <v>2093</v>
      </c>
      <c r="U177" s="34">
        <v>407.40627000000001</v>
      </c>
      <c r="V177" s="7"/>
      <c r="W177" s="7" t="str">
        <f>VLOOKUP($Q177,Mapping!$E$11:$I$96,3,0)</f>
        <v>Connections</v>
      </c>
      <c r="X177" s="7" t="str">
        <f>VLOOKUP($S177,Mapping!$E$140:$K$2771,5,0)</f>
        <v>Labour</v>
      </c>
      <c r="Y177" s="7" t="str">
        <f>VLOOKUP($S177,Mapping!$E$140:$K$2771,7,0)</f>
        <v>ENDirect</v>
      </c>
      <c r="Z177" s="7" t="str">
        <f>IFERROR(HLOOKUP(X177,'Calc|Weightings'!$K$5:$M$5,1,0),"Excl")</f>
        <v>Labour</v>
      </c>
      <c r="AA177" s="7" t="str">
        <f>VLOOKUP(Q177,Mapping!$E$11:$I$96,5,0)</f>
        <v>SCS</v>
      </c>
      <c r="AC177" s="111">
        <v>106</v>
      </c>
      <c r="AD177" s="111" t="s">
        <v>2119</v>
      </c>
      <c r="AE177" s="111">
        <v>531466</v>
      </c>
      <c r="AF177" s="111" t="s">
        <v>258</v>
      </c>
      <c r="AG177" s="112">
        <v>421.05309999999997</v>
      </c>
      <c r="AI177" s="7" t="str">
        <f>VLOOKUP($AC177,Mapping!$E$11:$I$96,3,0)</f>
        <v>Connections</v>
      </c>
      <c r="AJ177" s="7" t="str">
        <f>VLOOKUP($AE177,Mapping!$E$140:$K$2771,5,0)</f>
        <v>Contracts</v>
      </c>
      <c r="AK177" s="7" t="str">
        <f>VLOOKUP($AE177,Mapping!$E$140:$K$2771,7,0)</f>
        <v>ENDirect</v>
      </c>
      <c r="AL177" s="7" t="str">
        <f>IFERROR(HLOOKUP(AJ177,'Calc|Weightings'!$K$5:$M$5,1,0),"Excl")</f>
        <v>Contracts</v>
      </c>
      <c r="AM177" s="7" t="str">
        <f>VLOOKUP(AC177,Mapping!$E$11:$I$96,5,0)</f>
        <v>SCS</v>
      </c>
      <c r="AO177" s="134">
        <v>106</v>
      </c>
      <c r="AP177" s="135" t="s">
        <v>2119</v>
      </c>
      <c r="AQ177" s="135">
        <v>613298</v>
      </c>
      <c r="AR177" s="135" t="s">
        <v>2122</v>
      </c>
      <c r="AS177" s="136">
        <v>2.6859999999999999</v>
      </c>
      <c r="AU177" s="7" t="str">
        <f>VLOOKUP($AO177,Mapping!$E$11:$I$96,3,0)</f>
        <v>Connections</v>
      </c>
      <c r="AV177" s="7" t="str">
        <f>VLOOKUP($AQ177,Mapping!$E$140:$K$2771,5,0)</f>
        <v>Labour</v>
      </c>
      <c r="AW177" s="7" t="str">
        <f>VLOOKUP($AQ177,Mapping!$E$140:$K$2771,7,0)</f>
        <v>ENDirect</v>
      </c>
      <c r="AX177" s="7" t="str">
        <f>IFERROR(HLOOKUP(AV177,'Calc|Weightings'!$K$5:$M$5,1,0),"Excl")</f>
        <v>Labour</v>
      </c>
      <c r="AY177" s="7" t="str">
        <f>VLOOKUP(AO177,Mapping!$E$11:$I$96,5,0)</f>
        <v>SCS</v>
      </c>
    </row>
    <row r="178" spans="1:51" x14ac:dyDescent="0.2">
      <c r="A178" s="7"/>
      <c r="B178" s="7"/>
      <c r="C178" s="7"/>
      <c r="D178" s="7"/>
      <c r="E178" s="36">
        <v>106</v>
      </c>
      <c r="F178" s="36" t="s">
        <v>2119</v>
      </c>
      <c r="G178" s="36">
        <v>531464</v>
      </c>
      <c r="H178" s="36" t="s">
        <v>256</v>
      </c>
      <c r="I178" s="37">
        <v>2774.9516199999998</v>
      </c>
      <c r="J178" s="7"/>
      <c r="K178" s="7" t="str">
        <f>VLOOKUP($E178,Mapping!$E$11:$I$96,3,0)</f>
        <v>Connections</v>
      </c>
      <c r="L178" s="7" t="str">
        <f>VLOOKUP($G178,Mapping!$E$140:$K$2771,5,0)</f>
        <v>Contracts</v>
      </c>
      <c r="M178" s="7" t="str">
        <f>VLOOKUP($G178,Mapping!$E$140:$K$2771,7,0)</f>
        <v>ENDirect</v>
      </c>
      <c r="N178" s="7" t="str">
        <f>IFERROR(HLOOKUP(L178,'Calc|Weightings'!$K$5:$M$5,1,0),"Excl")</f>
        <v>Contracts</v>
      </c>
      <c r="O178" s="7" t="str">
        <f>VLOOKUP(E178,Mapping!$E$11:$I$96,5,0)</f>
        <v>SCS</v>
      </c>
      <c r="Q178" s="33">
        <v>106</v>
      </c>
      <c r="R178" s="33" t="s">
        <v>2119</v>
      </c>
      <c r="S178" s="33">
        <v>613291</v>
      </c>
      <c r="T178" s="33" t="s">
        <v>2094</v>
      </c>
      <c r="U178" s="34">
        <v>17.24802</v>
      </c>
      <c r="V178" s="7"/>
      <c r="W178" s="7" t="str">
        <f>VLOOKUP($Q178,Mapping!$E$11:$I$96,3,0)</f>
        <v>Connections</v>
      </c>
      <c r="X178" s="7" t="str">
        <f>VLOOKUP($S178,Mapping!$E$140:$K$2771,5,0)</f>
        <v>Labour</v>
      </c>
      <c r="Y178" s="7" t="str">
        <f>VLOOKUP($S178,Mapping!$E$140:$K$2771,7,0)</f>
        <v>ENDirect</v>
      </c>
      <c r="Z178" s="7" t="str">
        <f>IFERROR(HLOOKUP(X178,'Calc|Weightings'!$K$5:$M$5,1,0),"Excl")</f>
        <v>Labour</v>
      </c>
      <c r="AA178" s="7" t="str">
        <f>VLOOKUP(Q178,Mapping!$E$11:$I$96,5,0)</f>
        <v>SCS</v>
      </c>
      <c r="AC178" s="111">
        <v>106</v>
      </c>
      <c r="AD178" s="111" t="s">
        <v>2119</v>
      </c>
      <c r="AE178" s="111">
        <v>531467</v>
      </c>
      <c r="AF178" s="111" t="s">
        <v>259</v>
      </c>
      <c r="AG178" s="112">
        <v>491.86446999999998</v>
      </c>
      <c r="AI178" s="7" t="str">
        <f>VLOOKUP($AC178,Mapping!$E$11:$I$96,3,0)</f>
        <v>Connections</v>
      </c>
      <c r="AJ178" s="7" t="str">
        <f>VLOOKUP($AE178,Mapping!$E$140:$K$2771,5,0)</f>
        <v>Contracts</v>
      </c>
      <c r="AK178" s="7" t="str">
        <f>VLOOKUP($AE178,Mapping!$E$140:$K$2771,7,0)</f>
        <v>ENDirect</v>
      </c>
      <c r="AL178" s="7" t="str">
        <f>IFERROR(HLOOKUP(AJ178,'Calc|Weightings'!$K$5:$M$5,1,0),"Excl")</f>
        <v>Contracts</v>
      </c>
      <c r="AM178" s="7" t="str">
        <f>VLOOKUP(AC178,Mapping!$E$11:$I$96,5,0)</f>
        <v>SCS</v>
      </c>
      <c r="AO178" s="134">
        <v>106</v>
      </c>
      <c r="AP178" s="135" t="s">
        <v>2119</v>
      </c>
      <c r="AQ178" s="135">
        <v>613310</v>
      </c>
      <c r="AR178" s="135" t="s">
        <v>2095</v>
      </c>
      <c r="AS178" s="136">
        <v>51.454569999999997</v>
      </c>
      <c r="AU178" s="7" t="str">
        <f>VLOOKUP($AO178,Mapping!$E$11:$I$96,3,0)</f>
        <v>Connections</v>
      </c>
      <c r="AV178" s="7" t="str">
        <f>VLOOKUP($AQ178,Mapping!$E$140:$K$2771,5,0)</f>
        <v>Labour</v>
      </c>
      <c r="AW178" s="7" t="str">
        <f>VLOOKUP($AQ178,Mapping!$E$140:$K$2771,7,0)</f>
        <v>ENDirect</v>
      </c>
      <c r="AX178" s="7" t="str">
        <f>IFERROR(HLOOKUP(AV178,'Calc|Weightings'!$K$5:$M$5,1,0),"Excl")</f>
        <v>Labour</v>
      </c>
      <c r="AY178" s="7" t="str">
        <f>VLOOKUP(AO178,Mapping!$E$11:$I$96,5,0)</f>
        <v>SCS</v>
      </c>
    </row>
    <row r="179" spans="1:51" x14ac:dyDescent="0.2">
      <c r="A179" s="7"/>
      <c r="B179" s="7"/>
      <c r="C179" s="7"/>
      <c r="D179" s="7"/>
      <c r="E179" s="36">
        <v>106</v>
      </c>
      <c r="F179" s="36" t="s">
        <v>2119</v>
      </c>
      <c r="G179" s="36">
        <v>531466</v>
      </c>
      <c r="H179" s="36" t="s">
        <v>258</v>
      </c>
      <c r="I179" s="37">
        <v>695.37967000000003</v>
      </c>
      <c r="J179" s="7"/>
      <c r="K179" s="7" t="str">
        <f>VLOOKUP($E179,Mapping!$E$11:$I$96,3,0)</f>
        <v>Connections</v>
      </c>
      <c r="L179" s="7" t="str">
        <f>VLOOKUP($G179,Mapping!$E$140:$K$2771,5,0)</f>
        <v>Contracts</v>
      </c>
      <c r="M179" s="7" t="str">
        <f>VLOOKUP($G179,Mapping!$E$140:$K$2771,7,0)</f>
        <v>ENDirect</v>
      </c>
      <c r="N179" s="7" t="str">
        <f>IFERROR(HLOOKUP(L179,'Calc|Weightings'!$K$5:$M$5,1,0),"Excl")</f>
        <v>Contracts</v>
      </c>
      <c r="O179" s="7" t="str">
        <f>VLOOKUP(E179,Mapping!$E$11:$I$96,5,0)</f>
        <v>SCS</v>
      </c>
      <c r="Q179" s="33">
        <v>106</v>
      </c>
      <c r="R179" s="33" t="s">
        <v>2119</v>
      </c>
      <c r="S179" s="33">
        <v>613298</v>
      </c>
      <c r="T179" s="33" t="s">
        <v>2122</v>
      </c>
      <c r="U179" s="34">
        <v>228.27884</v>
      </c>
      <c r="V179" s="7"/>
      <c r="W179" s="7" t="str">
        <f>VLOOKUP($Q179,Mapping!$E$11:$I$96,3,0)</f>
        <v>Connections</v>
      </c>
      <c r="X179" s="7" t="str">
        <f>VLOOKUP($S179,Mapping!$E$140:$K$2771,5,0)</f>
        <v>Labour</v>
      </c>
      <c r="Y179" s="7" t="str">
        <f>VLOOKUP($S179,Mapping!$E$140:$K$2771,7,0)</f>
        <v>ENDirect</v>
      </c>
      <c r="Z179" s="7" t="str">
        <f>IFERROR(HLOOKUP(X179,'Calc|Weightings'!$K$5:$M$5,1,0),"Excl")</f>
        <v>Labour</v>
      </c>
      <c r="AA179" s="7" t="str">
        <f>VLOOKUP(Q179,Mapping!$E$11:$I$96,5,0)</f>
        <v>SCS</v>
      </c>
      <c r="AC179" s="111">
        <v>106</v>
      </c>
      <c r="AD179" s="111" t="s">
        <v>2119</v>
      </c>
      <c r="AE179" s="111">
        <v>531468</v>
      </c>
      <c r="AF179" s="111" t="s">
        <v>260</v>
      </c>
      <c r="AG179" s="112">
        <v>668.01065000000006</v>
      </c>
      <c r="AI179" s="7" t="str">
        <f>VLOOKUP($AC179,Mapping!$E$11:$I$96,3,0)</f>
        <v>Connections</v>
      </c>
      <c r="AJ179" s="7" t="str">
        <f>VLOOKUP($AE179,Mapping!$E$140:$K$2771,5,0)</f>
        <v>Contracts</v>
      </c>
      <c r="AK179" s="7" t="str">
        <f>VLOOKUP($AE179,Mapping!$E$140:$K$2771,7,0)</f>
        <v>ENDirect</v>
      </c>
      <c r="AL179" s="7" t="str">
        <f>IFERROR(HLOOKUP(AJ179,'Calc|Weightings'!$K$5:$M$5,1,0),"Excl")</f>
        <v>Contracts</v>
      </c>
      <c r="AM179" s="7" t="str">
        <f>VLOOKUP(AC179,Mapping!$E$11:$I$96,5,0)</f>
        <v>SCS</v>
      </c>
      <c r="AO179" s="134">
        <v>106</v>
      </c>
      <c r="AP179" s="135" t="s">
        <v>2119</v>
      </c>
      <c r="AQ179" s="135">
        <v>613350</v>
      </c>
      <c r="AR179" s="135" t="s">
        <v>2096</v>
      </c>
      <c r="AS179" s="136">
        <v>5.9476500000000003</v>
      </c>
      <c r="AU179" s="7" t="str">
        <f>VLOOKUP($AO179,Mapping!$E$11:$I$96,3,0)</f>
        <v>Connections</v>
      </c>
      <c r="AV179" s="7" t="str">
        <f>VLOOKUP($AQ179,Mapping!$E$140:$K$2771,5,0)</f>
        <v>Labour</v>
      </c>
      <c r="AW179" s="7" t="str">
        <f>VLOOKUP($AQ179,Mapping!$E$140:$K$2771,7,0)</f>
        <v>ENDirect</v>
      </c>
      <c r="AX179" s="7" t="str">
        <f>IFERROR(HLOOKUP(AV179,'Calc|Weightings'!$K$5:$M$5,1,0),"Excl")</f>
        <v>Labour</v>
      </c>
      <c r="AY179" s="7" t="str">
        <f>VLOOKUP(AO179,Mapping!$E$11:$I$96,5,0)</f>
        <v>SCS</v>
      </c>
    </row>
    <row r="180" spans="1:51" x14ac:dyDescent="0.2">
      <c r="A180" s="7"/>
      <c r="B180" s="7"/>
      <c r="C180" s="7"/>
      <c r="D180" s="7"/>
      <c r="E180" s="36">
        <v>106</v>
      </c>
      <c r="F180" s="36" t="s">
        <v>2119</v>
      </c>
      <c r="G180" s="36">
        <v>531467</v>
      </c>
      <c r="H180" s="36" t="s">
        <v>259</v>
      </c>
      <c r="I180" s="37">
        <v>641.85753999999997</v>
      </c>
      <c r="J180" s="7"/>
      <c r="K180" s="7" t="str">
        <f>VLOOKUP($E180,Mapping!$E$11:$I$96,3,0)</f>
        <v>Connections</v>
      </c>
      <c r="L180" s="7" t="str">
        <f>VLOOKUP($G180,Mapping!$E$140:$K$2771,5,0)</f>
        <v>Contracts</v>
      </c>
      <c r="M180" s="7" t="str">
        <f>VLOOKUP($G180,Mapping!$E$140:$K$2771,7,0)</f>
        <v>ENDirect</v>
      </c>
      <c r="N180" s="7" t="str">
        <f>IFERROR(HLOOKUP(L180,'Calc|Weightings'!$K$5:$M$5,1,0),"Excl")</f>
        <v>Contracts</v>
      </c>
      <c r="O180" s="7" t="str">
        <f>VLOOKUP(E180,Mapping!$E$11:$I$96,5,0)</f>
        <v>SCS</v>
      </c>
      <c r="Q180" s="33">
        <v>106</v>
      </c>
      <c r="R180" s="33" t="s">
        <v>2119</v>
      </c>
      <c r="S180" s="33">
        <v>613299</v>
      </c>
      <c r="T180" s="33" t="s">
        <v>2385</v>
      </c>
      <c r="U180" s="34">
        <v>0.83765000000000001</v>
      </c>
      <c r="V180" s="7"/>
      <c r="W180" s="7" t="str">
        <f>VLOOKUP($Q180,Mapping!$E$11:$I$96,3,0)</f>
        <v>Connections</v>
      </c>
      <c r="X180" s="7" t="str">
        <f>VLOOKUP($S180,Mapping!$E$140:$K$2771,5,0)</f>
        <v>Labour</v>
      </c>
      <c r="Y180" s="7" t="str">
        <f>VLOOKUP($S180,Mapping!$E$140:$K$2771,7,0)</f>
        <v>ENDirect</v>
      </c>
      <c r="Z180" s="7" t="str">
        <f>IFERROR(HLOOKUP(X180,'Calc|Weightings'!$K$5:$M$5,1,0),"Excl")</f>
        <v>Labour</v>
      </c>
      <c r="AA180" s="7" t="str">
        <f>VLOOKUP(Q180,Mapping!$E$11:$I$96,5,0)</f>
        <v>SCS</v>
      </c>
      <c r="AC180" s="111">
        <v>106</v>
      </c>
      <c r="AD180" s="111" t="s">
        <v>2119</v>
      </c>
      <c r="AE180" s="111">
        <v>531469</v>
      </c>
      <c r="AF180" s="111" t="s">
        <v>261</v>
      </c>
      <c r="AG180" s="112">
        <v>4.492</v>
      </c>
      <c r="AI180" s="7" t="str">
        <f>VLOOKUP($AC180,Mapping!$E$11:$I$96,3,0)</f>
        <v>Connections</v>
      </c>
      <c r="AJ180" s="7" t="str">
        <f>VLOOKUP($AE180,Mapping!$E$140:$K$2771,5,0)</f>
        <v>Labour</v>
      </c>
      <c r="AK180" s="7" t="str">
        <f>VLOOKUP($AE180,Mapping!$E$140:$K$2771,7,0)</f>
        <v>ENDirect</v>
      </c>
      <c r="AL180" s="7" t="str">
        <f>IFERROR(HLOOKUP(AJ180,'Calc|Weightings'!$K$5:$M$5,1,0),"Excl")</f>
        <v>Labour</v>
      </c>
      <c r="AM180" s="7" t="str">
        <f>VLOOKUP(AC180,Mapping!$E$11:$I$96,5,0)</f>
        <v>SCS</v>
      </c>
      <c r="AO180" s="134">
        <v>106</v>
      </c>
      <c r="AP180" s="135" t="s">
        <v>2119</v>
      </c>
      <c r="AQ180" s="135">
        <v>613360</v>
      </c>
      <c r="AR180" s="135" t="s">
        <v>2097</v>
      </c>
      <c r="AS180" s="136">
        <v>80.358180000000004</v>
      </c>
      <c r="AU180" s="7" t="str">
        <f>VLOOKUP($AO180,Mapping!$E$11:$I$96,3,0)</f>
        <v>Connections</v>
      </c>
      <c r="AV180" s="7" t="str">
        <f>VLOOKUP($AQ180,Mapping!$E$140:$K$2771,5,0)</f>
        <v>Labour</v>
      </c>
      <c r="AW180" s="7" t="str">
        <f>VLOOKUP($AQ180,Mapping!$E$140:$K$2771,7,0)</f>
        <v>ENDirect</v>
      </c>
      <c r="AX180" s="7" t="str">
        <f>IFERROR(HLOOKUP(AV180,'Calc|Weightings'!$K$5:$M$5,1,0),"Excl")</f>
        <v>Labour</v>
      </c>
      <c r="AY180" s="7" t="str">
        <f>VLOOKUP(AO180,Mapping!$E$11:$I$96,5,0)</f>
        <v>SCS</v>
      </c>
    </row>
    <row r="181" spans="1:51" x14ac:dyDescent="0.2">
      <c r="A181" s="7"/>
      <c r="B181" s="7"/>
      <c r="C181" s="7"/>
      <c r="D181" s="7"/>
      <c r="E181" s="36">
        <v>106</v>
      </c>
      <c r="F181" s="36" t="s">
        <v>2119</v>
      </c>
      <c r="G181" s="36">
        <v>531468</v>
      </c>
      <c r="H181" s="36" t="s">
        <v>260</v>
      </c>
      <c r="I181" s="37">
        <v>623.73299999999995</v>
      </c>
      <c r="J181" s="7"/>
      <c r="K181" s="7" t="str">
        <f>VLOOKUP($E181,Mapping!$E$11:$I$96,3,0)</f>
        <v>Connections</v>
      </c>
      <c r="L181" s="7" t="str">
        <f>VLOOKUP($G181,Mapping!$E$140:$K$2771,5,0)</f>
        <v>Contracts</v>
      </c>
      <c r="M181" s="7" t="str">
        <f>VLOOKUP($G181,Mapping!$E$140:$K$2771,7,0)</f>
        <v>ENDirect</v>
      </c>
      <c r="N181" s="7" t="str">
        <f>IFERROR(HLOOKUP(L181,'Calc|Weightings'!$K$5:$M$5,1,0),"Excl")</f>
        <v>Contracts</v>
      </c>
      <c r="O181" s="7" t="str">
        <f>VLOOKUP(E181,Mapping!$E$11:$I$96,5,0)</f>
        <v>SCS</v>
      </c>
      <c r="Q181" s="33">
        <v>106</v>
      </c>
      <c r="R181" s="33" t="s">
        <v>2119</v>
      </c>
      <c r="S181" s="33">
        <v>613310</v>
      </c>
      <c r="T181" s="33" t="s">
        <v>2095</v>
      </c>
      <c r="U181" s="34">
        <v>62.371650000000002</v>
      </c>
      <c r="V181" s="7"/>
      <c r="W181" s="7" t="str">
        <f>VLOOKUP($Q181,Mapping!$E$11:$I$96,3,0)</f>
        <v>Connections</v>
      </c>
      <c r="X181" s="7" t="str">
        <f>VLOOKUP($S181,Mapping!$E$140:$K$2771,5,0)</f>
        <v>Labour</v>
      </c>
      <c r="Y181" s="7" t="str">
        <f>VLOOKUP($S181,Mapping!$E$140:$K$2771,7,0)</f>
        <v>ENDirect</v>
      </c>
      <c r="Z181" s="7" t="str">
        <f>IFERROR(HLOOKUP(X181,'Calc|Weightings'!$K$5:$M$5,1,0),"Excl")</f>
        <v>Labour</v>
      </c>
      <c r="AA181" s="7" t="str">
        <f>VLOOKUP(Q181,Mapping!$E$11:$I$96,5,0)</f>
        <v>SCS</v>
      </c>
      <c r="AC181" s="111">
        <v>106</v>
      </c>
      <c r="AD181" s="111" t="s">
        <v>2119</v>
      </c>
      <c r="AE181" s="111">
        <v>532050</v>
      </c>
      <c r="AF181" s="111" t="s">
        <v>279</v>
      </c>
      <c r="AG181" s="112">
        <v>2.5699000000000001</v>
      </c>
      <c r="AI181" s="7" t="str">
        <f>VLOOKUP($AC181,Mapping!$E$11:$I$96,3,0)</f>
        <v>Connections</v>
      </c>
      <c r="AJ181" s="7" t="str">
        <f>VLOOKUP($AE181,Mapping!$E$140:$K$2771,5,0)</f>
        <v>Contracts</v>
      </c>
      <c r="AK181" s="7" t="str">
        <f>VLOOKUP($AE181,Mapping!$E$140:$K$2771,7,0)</f>
        <v>ENDirect</v>
      </c>
      <c r="AL181" s="7" t="str">
        <f>IFERROR(HLOOKUP(AJ181,'Calc|Weightings'!$K$5:$M$5,1,0),"Excl")</f>
        <v>Contracts</v>
      </c>
      <c r="AM181" s="7" t="str">
        <f>VLOOKUP(AC181,Mapping!$E$11:$I$96,5,0)</f>
        <v>SCS</v>
      </c>
      <c r="AO181" s="134">
        <v>106</v>
      </c>
      <c r="AP181" s="135" t="s">
        <v>2119</v>
      </c>
      <c r="AQ181" s="135">
        <v>613370</v>
      </c>
      <c r="AR181" s="135" t="s">
        <v>1402</v>
      </c>
      <c r="AS181" s="136">
        <v>18.58081</v>
      </c>
      <c r="AU181" s="7" t="str">
        <f>VLOOKUP($AO181,Mapping!$E$11:$I$96,3,0)</f>
        <v>Connections</v>
      </c>
      <c r="AV181" s="7" t="str">
        <f>VLOOKUP($AQ181,Mapping!$E$140:$K$2771,5,0)</f>
        <v>Labour</v>
      </c>
      <c r="AW181" s="7" t="str">
        <f>VLOOKUP($AQ181,Mapping!$E$140:$K$2771,7,0)</f>
        <v>ENDirect</v>
      </c>
      <c r="AX181" s="7" t="str">
        <f>IFERROR(HLOOKUP(AV181,'Calc|Weightings'!$K$5:$M$5,1,0),"Excl")</f>
        <v>Labour</v>
      </c>
      <c r="AY181" s="7" t="str">
        <f>VLOOKUP(AO181,Mapping!$E$11:$I$96,5,0)</f>
        <v>SCS</v>
      </c>
    </row>
    <row r="182" spans="1:51" x14ac:dyDescent="0.2">
      <c r="A182" s="7"/>
      <c r="B182" s="7"/>
      <c r="C182" s="7"/>
      <c r="D182" s="7"/>
      <c r="E182" s="36">
        <v>106</v>
      </c>
      <c r="F182" s="36" t="s">
        <v>2119</v>
      </c>
      <c r="G182" s="36">
        <v>531469</v>
      </c>
      <c r="H182" s="36" t="s">
        <v>261</v>
      </c>
      <c r="I182" s="37">
        <v>1.2862800000000001</v>
      </c>
      <c r="J182" s="7"/>
      <c r="K182" s="7" t="str">
        <f>VLOOKUP($E182,Mapping!$E$11:$I$96,3,0)</f>
        <v>Connections</v>
      </c>
      <c r="L182" s="7" t="str">
        <f>VLOOKUP($G182,Mapping!$E$140:$K$2771,5,0)</f>
        <v>Labour</v>
      </c>
      <c r="M182" s="7" t="str">
        <f>VLOOKUP($G182,Mapping!$E$140:$K$2771,7,0)</f>
        <v>ENDirect</v>
      </c>
      <c r="N182" s="7" t="str">
        <f>IFERROR(HLOOKUP(L182,'Calc|Weightings'!$K$5:$M$5,1,0),"Excl")</f>
        <v>Labour</v>
      </c>
      <c r="O182" s="7" t="str">
        <f>VLOOKUP(E182,Mapping!$E$11:$I$96,5,0)</f>
        <v>SCS</v>
      </c>
      <c r="Q182" s="33">
        <v>106</v>
      </c>
      <c r="R182" s="33" t="s">
        <v>2119</v>
      </c>
      <c r="S182" s="33">
        <v>613311</v>
      </c>
      <c r="T182" s="33" t="s">
        <v>2116</v>
      </c>
      <c r="U182" s="34">
        <v>0.64888000000000001</v>
      </c>
      <c r="V182" s="7"/>
      <c r="W182" s="7" t="str">
        <f>VLOOKUP($Q182,Mapping!$E$11:$I$96,3,0)</f>
        <v>Connections</v>
      </c>
      <c r="X182" s="7" t="str">
        <f>VLOOKUP($S182,Mapping!$E$140:$K$2771,5,0)</f>
        <v>Labour</v>
      </c>
      <c r="Y182" s="7" t="str">
        <f>VLOOKUP($S182,Mapping!$E$140:$K$2771,7,0)</f>
        <v>ENDirect</v>
      </c>
      <c r="Z182" s="7" t="str">
        <f>IFERROR(HLOOKUP(X182,'Calc|Weightings'!$K$5:$M$5,1,0),"Excl")</f>
        <v>Labour</v>
      </c>
      <c r="AA182" s="7" t="str">
        <f>VLOOKUP(Q182,Mapping!$E$11:$I$96,5,0)</f>
        <v>SCS</v>
      </c>
      <c r="AC182" s="111">
        <v>106</v>
      </c>
      <c r="AD182" s="111" t="s">
        <v>2119</v>
      </c>
      <c r="AE182" s="111">
        <v>532200</v>
      </c>
      <c r="AF182" s="111" t="s">
        <v>291</v>
      </c>
      <c r="AG182" s="112">
        <v>0.82499999999999996</v>
      </c>
      <c r="AI182" s="7" t="str">
        <f>VLOOKUP($AC182,Mapping!$E$11:$I$96,3,0)</f>
        <v>Connections</v>
      </c>
      <c r="AJ182" s="7" t="str">
        <f>VLOOKUP($AE182,Mapping!$E$140:$K$2771,5,0)</f>
        <v>Contracts</v>
      </c>
      <c r="AK182" s="7" t="str">
        <f>VLOOKUP($AE182,Mapping!$E$140:$K$2771,7,0)</f>
        <v>ENDirect</v>
      </c>
      <c r="AL182" s="7" t="str">
        <f>IFERROR(HLOOKUP(AJ182,'Calc|Weightings'!$K$5:$M$5,1,0),"Excl")</f>
        <v>Contracts</v>
      </c>
      <c r="AM182" s="7" t="str">
        <f>VLOOKUP(AC182,Mapping!$E$11:$I$96,5,0)</f>
        <v>SCS</v>
      </c>
      <c r="AO182" s="134">
        <v>106</v>
      </c>
      <c r="AP182" s="135" t="s">
        <v>2119</v>
      </c>
      <c r="AQ182" s="135">
        <v>613371</v>
      </c>
      <c r="AR182" s="135" t="s">
        <v>1403</v>
      </c>
      <c r="AS182" s="136">
        <v>1.7910699999999999</v>
      </c>
      <c r="AU182" s="7" t="str">
        <f>VLOOKUP($AO182,Mapping!$E$11:$I$96,3,0)</f>
        <v>Connections</v>
      </c>
      <c r="AV182" s="7" t="str">
        <f>VLOOKUP($AQ182,Mapping!$E$140:$K$2771,5,0)</f>
        <v>Labour</v>
      </c>
      <c r="AW182" s="7" t="str">
        <f>VLOOKUP($AQ182,Mapping!$E$140:$K$2771,7,0)</f>
        <v>ENDirect</v>
      </c>
      <c r="AX182" s="7" t="str">
        <f>IFERROR(HLOOKUP(AV182,'Calc|Weightings'!$K$5:$M$5,1,0),"Excl")</f>
        <v>Labour</v>
      </c>
      <c r="AY182" s="7" t="str">
        <f>VLOOKUP(AO182,Mapping!$E$11:$I$96,5,0)</f>
        <v>SCS</v>
      </c>
    </row>
    <row r="183" spans="1:51" x14ac:dyDescent="0.2">
      <c r="A183" s="7"/>
      <c r="B183" s="7"/>
      <c r="C183" s="7"/>
      <c r="D183" s="7"/>
      <c r="E183" s="36">
        <v>106</v>
      </c>
      <c r="F183" s="36" t="s">
        <v>2119</v>
      </c>
      <c r="G183" s="36">
        <v>531472</v>
      </c>
      <c r="H183" s="36" t="s">
        <v>263</v>
      </c>
      <c r="I183" s="37">
        <v>0.38704</v>
      </c>
      <c r="J183" s="7"/>
      <c r="K183" s="7" t="str">
        <f>VLOOKUP($E183,Mapping!$E$11:$I$96,3,0)</f>
        <v>Connections</v>
      </c>
      <c r="L183" s="7" t="str">
        <f>VLOOKUP($G183,Mapping!$E$140:$K$2771,5,0)</f>
        <v>Contracts</v>
      </c>
      <c r="M183" s="7" t="str">
        <f>VLOOKUP($G183,Mapping!$E$140:$K$2771,7,0)</f>
        <v>ENDirect</v>
      </c>
      <c r="N183" s="7" t="str">
        <f>IFERROR(HLOOKUP(L183,'Calc|Weightings'!$K$5:$M$5,1,0),"Excl")</f>
        <v>Contracts</v>
      </c>
      <c r="O183" s="7" t="str">
        <f>VLOOKUP(E183,Mapping!$E$11:$I$96,5,0)</f>
        <v>SCS</v>
      </c>
      <c r="Q183" s="33">
        <v>106</v>
      </c>
      <c r="R183" s="33" t="s">
        <v>2119</v>
      </c>
      <c r="S183" s="33">
        <v>613350</v>
      </c>
      <c r="T183" s="33" t="s">
        <v>2096</v>
      </c>
      <c r="U183" s="34">
        <v>15.49455</v>
      </c>
      <c r="V183" s="7"/>
      <c r="W183" s="7" t="str">
        <f>VLOOKUP($Q183,Mapping!$E$11:$I$96,3,0)</f>
        <v>Connections</v>
      </c>
      <c r="X183" s="7" t="str">
        <f>VLOOKUP($S183,Mapping!$E$140:$K$2771,5,0)</f>
        <v>Labour</v>
      </c>
      <c r="Y183" s="7" t="str">
        <f>VLOOKUP($S183,Mapping!$E$140:$K$2771,7,0)</f>
        <v>ENDirect</v>
      </c>
      <c r="Z183" s="7" t="str">
        <f>IFERROR(HLOOKUP(X183,'Calc|Weightings'!$K$5:$M$5,1,0),"Excl")</f>
        <v>Labour</v>
      </c>
      <c r="AA183" s="7" t="str">
        <f>VLOOKUP(Q183,Mapping!$E$11:$I$96,5,0)</f>
        <v>SCS</v>
      </c>
      <c r="AC183" s="111">
        <v>106</v>
      </c>
      <c r="AD183" s="111" t="s">
        <v>2119</v>
      </c>
      <c r="AE183" s="111">
        <v>591997</v>
      </c>
      <c r="AF183" s="111" t="s">
        <v>2194</v>
      </c>
      <c r="AG183" s="112">
        <v>-51.923589999999997</v>
      </c>
      <c r="AI183" s="7" t="str">
        <f>VLOOKUP($AC183,Mapping!$E$11:$I$96,3,0)</f>
        <v>Connections</v>
      </c>
      <c r="AJ183" s="7" t="str">
        <f>VLOOKUP($AE183,Mapping!$E$140:$K$2771,5,0)</f>
        <v>Contracts</v>
      </c>
      <c r="AK183" s="7" t="str">
        <f>VLOOKUP($AE183,Mapping!$E$140:$K$2771,7,0)</f>
        <v>ENDirect</v>
      </c>
      <c r="AL183" s="7" t="str">
        <f>IFERROR(HLOOKUP(AJ183,'Calc|Weightings'!$K$5:$M$5,1,0),"Excl")</f>
        <v>Contracts</v>
      </c>
      <c r="AM183" s="7" t="str">
        <f>VLOOKUP(AC183,Mapping!$E$11:$I$96,5,0)</f>
        <v>SCS</v>
      </c>
      <c r="AO183" s="134">
        <v>106</v>
      </c>
      <c r="AP183" s="135" t="s">
        <v>2119</v>
      </c>
      <c r="AQ183" s="135">
        <v>613400</v>
      </c>
      <c r="AR183" s="135" t="s">
        <v>2099</v>
      </c>
      <c r="AS183" s="136">
        <v>14.21574</v>
      </c>
      <c r="AU183" s="7" t="str">
        <f>VLOOKUP($AO183,Mapping!$E$11:$I$96,3,0)</f>
        <v>Connections</v>
      </c>
      <c r="AV183" s="7" t="str">
        <f>VLOOKUP($AQ183,Mapping!$E$140:$K$2771,5,0)</f>
        <v>Labour</v>
      </c>
      <c r="AW183" s="7" t="str">
        <f>VLOOKUP($AQ183,Mapping!$E$140:$K$2771,7,0)</f>
        <v>ENDirect</v>
      </c>
      <c r="AX183" s="7" t="str">
        <f>IFERROR(HLOOKUP(AV183,'Calc|Weightings'!$K$5:$M$5,1,0),"Excl")</f>
        <v>Labour</v>
      </c>
      <c r="AY183" s="7" t="str">
        <f>VLOOKUP(AO183,Mapping!$E$11:$I$96,5,0)</f>
        <v>SCS</v>
      </c>
    </row>
    <row r="184" spans="1:51" x14ac:dyDescent="0.2">
      <c r="A184" s="7"/>
      <c r="B184" s="7"/>
      <c r="C184" s="7"/>
      <c r="D184" s="7"/>
      <c r="E184" s="36">
        <v>106</v>
      </c>
      <c r="F184" s="36" t="s">
        <v>2119</v>
      </c>
      <c r="G184" s="36">
        <v>531473</v>
      </c>
      <c r="H184" s="36" t="s">
        <v>264</v>
      </c>
      <c r="I184" s="37">
        <v>0.77256000000000002</v>
      </c>
      <c r="J184" s="7"/>
      <c r="K184" s="7" t="str">
        <f>VLOOKUP($E184,Mapping!$E$11:$I$96,3,0)</f>
        <v>Connections</v>
      </c>
      <c r="L184" s="7" t="str">
        <f>VLOOKUP($G184,Mapping!$E$140:$K$2771,5,0)</f>
        <v>Contracts</v>
      </c>
      <c r="M184" s="7" t="str">
        <f>VLOOKUP($G184,Mapping!$E$140:$K$2771,7,0)</f>
        <v>ENDirect</v>
      </c>
      <c r="N184" s="7" t="str">
        <f>IFERROR(HLOOKUP(L184,'Calc|Weightings'!$K$5:$M$5,1,0),"Excl")</f>
        <v>Contracts</v>
      </c>
      <c r="O184" s="7" t="str">
        <f>VLOOKUP(E184,Mapping!$E$11:$I$96,5,0)</f>
        <v>SCS</v>
      </c>
      <c r="Q184" s="33">
        <v>106</v>
      </c>
      <c r="R184" s="33" t="s">
        <v>2119</v>
      </c>
      <c r="S184" s="33">
        <v>613360</v>
      </c>
      <c r="T184" s="33" t="s">
        <v>2097</v>
      </c>
      <c r="U184" s="34">
        <v>228.82794000000001</v>
      </c>
      <c r="V184" s="7"/>
      <c r="W184" s="7" t="str">
        <f>VLOOKUP($Q184,Mapping!$E$11:$I$96,3,0)</f>
        <v>Connections</v>
      </c>
      <c r="X184" s="7" t="str">
        <f>VLOOKUP($S184,Mapping!$E$140:$K$2771,5,0)</f>
        <v>Labour</v>
      </c>
      <c r="Y184" s="7" t="str">
        <f>VLOOKUP($S184,Mapping!$E$140:$K$2771,7,0)</f>
        <v>ENDirect</v>
      </c>
      <c r="Z184" s="7" t="str">
        <f>IFERROR(HLOOKUP(X184,'Calc|Weightings'!$K$5:$M$5,1,0),"Excl")</f>
        <v>Labour</v>
      </c>
      <c r="AA184" s="7" t="str">
        <f>VLOOKUP(Q184,Mapping!$E$11:$I$96,5,0)</f>
        <v>SCS</v>
      </c>
      <c r="AC184" s="111">
        <v>106</v>
      </c>
      <c r="AD184" s="111" t="s">
        <v>2119</v>
      </c>
      <c r="AE184" s="111">
        <v>591998</v>
      </c>
      <c r="AF184" s="111" t="s">
        <v>2077</v>
      </c>
      <c r="AG184" s="112">
        <v>-148.3535</v>
      </c>
      <c r="AI184" s="7" t="str">
        <f>VLOOKUP($AC184,Mapping!$E$11:$I$96,3,0)</f>
        <v>Connections</v>
      </c>
      <c r="AJ184" s="7" t="str">
        <f>VLOOKUP($AE184,Mapping!$E$140:$K$2771,5,0)</f>
        <v>Contracts</v>
      </c>
      <c r="AK184" s="7" t="str">
        <f>VLOOKUP($AE184,Mapping!$E$140:$K$2771,7,0)</f>
        <v>ENDirect</v>
      </c>
      <c r="AL184" s="7" t="str">
        <f>IFERROR(HLOOKUP(AJ184,'Calc|Weightings'!$K$5:$M$5,1,0),"Excl")</f>
        <v>Contracts</v>
      </c>
      <c r="AM184" s="7" t="str">
        <f>VLOOKUP(AC184,Mapping!$E$11:$I$96,5,0)</f>
        <v>SCS</v>
      </c>
      <c r="AO184" s="134">
        <v>106</v>
      </c>
      <c r="AP184" s="135" t="s">
        <v>2119</v>
      </c>
      <c r="AQ184" s="135">
        <v>613401</v>
      </c>
      <c r="AR184" s="135" t="s">
        <v>2117</v>
      </c>
      <c r="AS184" s="136">
        <v>1.29904</v>
      </c>
      <c r="AU184" s="7" t="str">
        <f>VLOOKUP($AO184,Mapping!$E$11:$I$96,3,0)</f>
        <v>Connections</v>
      </c>
      <c r="AV184" s="7" t="str">
        <f>VLOOKUP($AQ184,Mapping!$E$140:$K$2771,5,0)</f>
        <v>Labour</v>
      </c>
      <c r="AW184" s="7" t="str">
        <f>VLOOKUP($AQ184,Mapping!$E$140:$K$2771,7,0)</f>
        <v>ENDirect</v>
      </c>
      <c r="AX184" s="7" t="str">
        <f>IFERROR(HLOOKUP(AV184,'Calc|Weightings'!$K$5:$M$5,1,0),"Excl")</f>
        <v>Labour</v>
      </c>
      <c r="AY184" s="7" t="str">
        <f>VLOOKUP(AO184,Mapping!$E$11:$I$96,5,0)</f>
        <v>SCS</v>
      </c>
    </row>
    <row r="185" spans="1:51" x14ac:dyDescent="0.2">
      <c r="A185" s="7"/>
      <c r="B185" s="7"/>
      <c r="C185" s="7"/>
      <c r="D185" s="7"/>
      <c r="E185" s="36">
        <v>106</v>
      </c>
      <c r="F185" s="36" t="s">
        <v>2119</v>
      </c>
      <c r="G185" s="36">
        <v>531475</v>
      </c>
      <c r="H185" s="36" t="s">
        <v>2355</v>
      </c>
      <c r="I185" s="37">
        <v>16.242069999999998</v>
      </c>
      <c r="J185" s="7"/>
      <c r="K185" s="7" t="str">
        <f>VLOOKUP($E185,Mapping!$E$11:$I$96,3,0)</f>
        <v>Connections</v>
      </c>
      <c r="L185" s="7" t="str">
        <f>VLOOKUP($G185,Mapping!$E$140:$K$2771,5,0)</f>
        <v>Contracts</v>
      </c>
      <c r="M185" s="7" t="str">
        <f>VLOOKUP($G185,Mapping!$E$140:$K$2771,7,0)</f>
        <v>ENDirect</v>
      </c>
      <c r="N185" s="7" t="str">
        <f>IFERROR(HLOOKUP(L185,'Calc|Weightings'!$K$5:$M$5,1,0),"Excl")</f>
        <v>Contracts</v>
      </c>
      <c r="O185" s="7" t="str">
        <f>VLOOKUP(E185,Mapping!$E$11:$I$96,5,0)</f>
        <v>SCS</v>
      </c>
      <c r="Q185" s="33">
        <v>106</v>
      </c>
      <c r="R185" s="33" t="s">
        <v>2119</v>
      </c>
      <c r="S185" s="33">
        <v>613361</v>
      </c>
      <c r="T185" s="33" t="s">
        <v>2098</v>
      </c>
      <c r="U185" s="34">
        <v>1.8784099999999999</v>
      </c>
      <c r="V185" s="7"/>
      <c r="W185" s="7" t="str">
        <f>VLOOKUP($Q185,Mapping!$E$11:$I$96,3,0)</f>
        <v>Connections</v>
      </c>
      <c r="X185" s="7" t="str">
        <f>VLOOKUP($S185,Mapping!$E$140:$K$2771,5,0)</f>
        <v>Labour</v>
      </c>
      <c r="Y185" s="7" t="str">
        <f>VLOOKUP($S185,Mapping!$E$140:$K$2771,7,0)</f>
        <v>ENDirect</v>
      </c>
      <c r="Z185" s="7" t="str">
        <f>IFERROR(HLOOKUP(X185,'Calc|Weightings'!$K$5:$M$5,1,0),"Excl")</f>
        <v>Labour</v>
      </c>
      <c r="AA185" s="7" t="str">
        <f>VLOOKUP(Q185,Mapping!$E$11:$I$96,5,0)</f>
        <v>SCS</v>
      </c>
      <c r="AC185" s="111">
        <v>106</v>
      </c>
      <c r="AD185" s="111" t="s">
        <v>2119</v>
      </c>
      <c r="AE185" s="111">
        <v>591999</v>
      </c>
      <c r="AF185" s="111" t="s">
        <v>2195</v>
      </c>
      <c r="AG185" s="112">
        <v>-235.03039999999999</v>
      </c>
      <c r="AI185" s="7" t="str">
        <f>VLOOKUP($AC185,Mapping!$E$11:$I$96,3,0)</f>
        <v>Connections</v>
      </c>
      <c r="AJ185" s="7" t="str">
        <f>VLOOKUP($AE185,Mapping!$E$140:$K$2771,5,0)</f>
        <v>Contracts</v>
      </c>
      <c r="AK185" s="7" t="str">
        <f>VLOOKUP($AE185,Mapping!$E$140:$K$2771,7,0)</f>
        <v>ENDirect</v>
      </c>
      <c r="AL185" s="7" t="str">
        <f>IFERROR(HLOOKUP(AJ185,'Calc|Weightings'!$K$5:$M$5,1,0),"Excl")</f>
        <v>Contracts</v>
      </c>
      <c r="AM185" s="7" t="str">
        <f>VLOOKUP(AC185,Mapping!$E$11:$I$96,5,0)</f>
        <v>SCS</v>
      </c>
      <c r="AO185" s="134">
        <v>106</v>
      </c>
      <c r="AP185" s="135" t="s">
        <v>2119</v>
      </c>
      <c r="AQ185" s="135">
        <v>613410</v>
      </c>
      <c r="AR185" s="135" t="s">
        <v>2100</v>
      </c>
      <c r="AS185" s="136">
        <v>25.2681</v>
      </c>
      <c r="AU185" s="7" t="str">
        <f>VLOOKUP($AO185,Mapping!$E$11:$I$96,3,0)</f>
        <v>Connections</v>
      </c>
      <c r="AV185" s="7" t="str">
        <f>VLOOKUP($AQ185,Mapping!$E$140:$K$2771,5,0)</f>
        <v>Labour</v>
      </c>
      <c r="AW185" s="7" t="str">
        <f>VLOOKUP($AQ185,Mapping!$E$140:$K$2771,7,0)</f>
        <v>ENDirect</v>
      </c>
      <c r="AX185" s="7" t="str">
        <f>IFERROR(HLOOKUP(AV185,'Calc|Weightings'!$K$5:$M$5,1,0),"Excl")</f>
        <v>Labour</v>
      </c>
      <c r="AY185" s="7" t="str">
        <f>VLOOKUP(AO185,Mapping!$E$11:$I$96,5,0)</f>
        <v>SCS</v>
      </c>
    </row>
    <row r="186" spans="1:51" x14ac:dyDescent="0.2">
      <c r="A186" s="7"/>
      <c r="B186" s="7"/>
      <c r="C186" s="7"/>
      <c r="D186" s="7"/>
      <c r="E186" s="36">
        <v>106</v>
      </c>
      <c r="F186" s="36" t="s">
        <v>2119</v>
      </c>
      <c r="G186" s="36">
        <v>531480</v>
      </c>
      <c r="H186" s="36" t="s">
        <v>2076</v>
      </c>
      <c r="I186" s="37">
        <v>0.98748999999999998</v>
      </c>
      <c r="J186" s="7"/>
      <c r="K186" s="7" t="str">
        <f>VLOOKUP($E186,Mapping!$E$11:$I$96,3,0)</f>
        <v>Connections</v>
      </c>
      <c r="L186" s="7" t="str">
        <f>VLOOKUP($G186,Mapping!$E$140:$K$2771,5,0)</f>
        <v>Labour</v>
      </c>
      <c r="M186" s="7" t="str">
        <f>VLOOKUP($G186,Mapping!$E$140:$K$2771,7,0)</f>
        <v>ENDirect</v>
      </c>
      <c r="N186" s="7" t="str">
        <f>IFERROR(HLOOKUP(L186,'Calc|Weightings'!$K$5:$M$5,1,0),"Excl")</f>
        <v>Labour</v>
      </c>
      <c r="O186" s="7" t="str">
        <f>VLOOKUP(E186,Mapping!$E$11:$I$96,5,0)</f>
        <v>SCS</v>
      </c>
      <c r="Q186" s="33">
        <v>106</v>
      </c>
      <c r="R186" s="33" t="s">
        <v>2119</v>
      </c>
      <c r="S186" s="33">
        <v>613366</v>
      </c>
      <c r="T186" s="33" t="s">
        <v>1400</v>
      </c>
      <c r="U186" s="34">
        <v>5.7369199999999996</v>
      </c>
      <c r="V186" s="7"/>
      <c r="W186" s="7" t="str">
        <f>VLOOKUP($Q186,Mapping!$E$11:$I$96,3,0)</f>
        <v>Connections</v>
      </c>
      <c r="X186" s="7" t="str">
        <f>VLOOKUP($S186,Mapping!$E$140:$K$2771,5,0)</f>
        <v>Labour</v>
      </c>
      <c r="Y186" s="7" t="str">
        <f>VLOOKUP($S186,Mapping!$E$140:$K$2771,7,0)</f>
        <v>ENDirect</v>
      </c>
      <c r="Z186" s="7" t="str">
        <f>IFERROR(HLOOKUP(X186,'Calc|Weightings'!$K$5:$M$5,1,0),"Excl")</f>
        <v>Labour</v>
      </c>
      <c r="AA186" s="7" t="str">
        <f>VLOOKUP(Q186,Mapping!$E$11:$I$96,5,0)</f>
        <v>SCS</v>
      </c>
      <c r="AC186" s="111">
        <v>106</v>
      </c>
      <c r="AD186" s="111" t="s">
        <v>2119</v>
      </c>
      <c r="AE186" s="111">
        <v>611900</v>
      </c>
      <c r="AF186" s="111" t="s">
        <v>2079</v>
      </c>
      <c r="AG186" s="112">
        <v>41.910980000000002</v>
      </c>
      <c r="AI186" s="7" t="str">
        <f>VLOOKUP($AC186,Mapping!$E$11:$I$96,3,0)</f>
        <v>Connections</v>
      </c>
      <c r="AJ186" s="7" t="str">
        <f>VLOOKUP($AE186,Mapping!$E$140:$K$2771,5,0)</f>
        <v>Contracts</v>
      </c>
      <c r="AK186" s="7" t="str">
        <f>VLOOKUP($AE186,Mapping!$E$140:$K$2771,7,0)</f>
        <v>ENDirect</v>
      </c>
      <c r="AL186" s="7" t="str">
        <f>IFERROR(HLOOKUP(AJ186,'Calc|Weightings'!$K$5:$M$5,1,0),"Excl")</f>
        <v>Contracts</v>
      </c>
      <c r="AM186" s="7" t="str">
        <f>VLOOKUP(AC186,Mapping!$E$11:$I$96,5,0)</f>
        <v>SCS</v>
      </c>
      <c r="AO186" s="134">
        <v>106</v>
      </c>
      <c r="AP186" s="135" t="s">
        <v>2119</v>
      </c>
      <c r="AQ186" s="135">
        <v>613420</v>
      </c>
      <c r="AR186" s="135" t="s">
        <v>2393</v>
      </c>
      <c r="AS186" s="136">
        <v>0.84540999999999999</v>
      </c>
      <c r="AU186" s="7" t="str">
        <f>VLOOKUP($AO186,Mapping!$E$11:$I$96,3,0)</f>
        <v>Connections</v>
      </c>
      <c r="AV186" s="7" t="str">
        <f>VLOOKUP($AQ186,Mapping!$E$140:$K$2771,5,0)</f>
        <v>Labour</v>
      </c>
      <c r="AW186" s="7" t="str">
        <f>VLOOKUP($AQ186,Mapping!$E$140:$K$2771,7,0)</f>
        <v>ENDirect</v>
      </c>
      <c r="AX186" s="7" t="str">
        <f>IFERROR(HLOOKUP(AV186,'Calc|Weightings'!$K$5:$M$5,1,0),"Excl")</f>
        <v>Labour</v>
      </c>
      <c r="AY186" s="7" t="str">
        <f>VLOOKUP(AO186,Mapping!$E$11:$I$96,5,0)</f>
        <v>SCS</v>
      </c>
    </row>
    <row r="187" spans="1:51" x14ac:dyDescent="0.2">
      <c r="A187" s="7"/>
      <c r="B187" s="7"/>
      <c r="C187" s="7"/>
      <c r="D187" s="7"/>
      <c r="E187" s="36">
        <v>106</v>
      </c>
      <c r="F187" s="36" t="s">
        <v>2119</v>
      </c>
      <c r="G187" s="36">
        <v>531485</v>
      </c>
      <c r="H187" s="36" t="s">
        <v>2350</v>
      </c>
      <c r="I187" s="37">
        <v>-25.260200000000001</v>
      </c>
      <c r="J187" s="7"/>
      <c r="K187" s="7" t="str">
        <f>VLOOKUP($E187,Mapping!$E$11:$I$96,3,0)</f>
        <v>Connections</v>
      </c>
      <c r="L187" s="7" t="str">
        <f>VLOOKUP($G187,Mapping!$E$140:$K$2771,5,0)</f>
        <v>Contracts</v>
      </c>
      <c r="M187" s="7" t="str">
        <f>VLOOKUP($G187,Mapping!$E$140:$K$2771,7,0)</f>
        <v>ENDirect</v>
      </c>
      <c r="N187" s="7" t="str">
        <f>IFERROR(HLOOKUP(L187,'Calc|Weightings'!$K$5:$M$5,1,0),"Excl")</f>
        <v>Contracts</v>
      </c>
      <c r="O187" s="7" t="str">
        <f>VLOOKUP(E187,Mapping!$E$11:$I$96,5,0)</f>
        <v>SCS</v>
      </c>
      <c r="Q187" s="33">
        <v>106</v>
      </c>
      <c r="R187" s="33" t="s">
        <v>2119</v>
      </c>
      <c r="S187" s="33">
        <v>613370</v>
      </c>
      <c r="T187" s="33" t="s">
        <v>1402</v>
      </c>
      <c r="U187" s="34">
        <v>4.4052499999999997</v>
      </c>
      <c r="V187" s="7"/>
      <c r="W187" s="7" t="str">
        <f>VLOOKUP($Q187,Mapping!$E$11:$I$96,3,0)</f>
        <v>Connections</v>
      </c>
      <c r="X187" s="7" t="str">
        <f>VLOOKUP($S187,Mapping!$E$140:$K$2771,5,0)</f>
        <v>Labour</v>
      </c>
      <c r="Y187" s="7" t="str">
        <f>VLOOKUP($S187,Mapping!$E$140:$K$2771,7,0)</f>
        <v>ENDirect</v>
      </c>
      <c r="Z187" s="7" t="str">
        <f>IFERROR(HLOOKUP(X187,'Calc|Weightings'!$K$5:$M$5,1,0),"Excl")</f>
        <v>Labour</v>
      </c>
      <c r="AA187" s="7" t="str">
        <f>VLOOKUP(Q187,Mapping!$E$11:$I$96,5,0)</f>
        <v>SCS</v>
      </c>
      <c r="AC187" s="111">
        <v>106</v>
      </c>
      <c r="AD187" s="111" t="s">
        <v>2119</v>
      </c>
      <c r="AE187" s="111">
        <v>611901</v>
      </c>
      <c r="AF187" s="111" t="s">
        <v>2080</v>
      </c>
      <c r="AG187" s="112">
        <v>-29.74776</v>
      </c>
      <c r="AI187" s="7" t="str">
        <f>VLOOKUP($AC187,Mapping!$E$11:$I$96,3,0)</f>
        <v>Connections</v>
      </c>
      <c r="AJ187" s="7" t="str">
        <f>VLOOKUP($AE187,Mapping!$E$140:$K$2771,5,0)</f>
        <v>Contracts</v>
      </c>
      <c r="AK187" s="7" t="str">
        <f>VLOOKUP($AE187,Mapping!$E$140:$K$2771,7,0)</f>
        <v>ENDirect</v>
      </c>
      <c r="AL187" s="7" t="str">
        <f>IFERROR(HLOOKUP(AJ187,'Calc|Weightings'!$K$5:$M$5,1,0),"Excl")</f>
        <v>Contracts</v>
      </c>
      <c r="AM187" s="7" t="str">
        <f>VLOOKUP(AC187,Mapping!$E$11:$I$96,5,0)</f>
        <v>SCS</v>
      </c>
      <c r="AO187" s="134">
        <v>106</v>
      </c>
      <c r="AP187" s="135" t="s">
        <v>2119</v>
      </c>
      <c r="AQ187" s="135">
        <v>613421</v>
      </c>
      <c r="AR187" s="135" t="s">
        <v>2419</v>
      </c>
      <c r="AS187" s="136">
        <v>1.1436900000000001</v>
      </c>
      <c r="AU187" s="7" t="str">
        <f>VLOOKUP($AO187,Mapping!$E$11:$I$96,3,0)</f>
        <v>Connections</v>
      </c>
      <c r="AV187" s="7" t="str">
        <f>VLOOKUP($AQ187,Mapping!$E$140:$K$2771,5,0)</f>
        <v>Labour</v>
      </c>
      <c r="AW187" s="7" t="str">
        <f>VLOOKUP($AQ187,Mapping!$E$140:$K$2771,7,0)</f>
        <v>ENDirect</v>
      </c>
      <c r="AX187" s="7" t="str">
        <f>IFERROR(HLOOKUP(AV187,'Calc|Weightings'!$K$5:$M$5,1,0),"Excl")</f>
        <v>Labour</v>
      </c>
      <c r="AY187" s="7" t="str">
        <f>VLOOKUP(AO187,Mapping!$E$11:$I$96,5,0)</f>
        <v>SCS</v>
      </c>
    </row>
    <row r="188" spans="1:51" x14ac:dyDescent="0.2">
      <c r="A188" s="7"/>
      <c r="B188" s="7"/>
      <c r="C188" s="7"/>
      <c r="D188" s="7"/>
      <c r="E188" s="36">
        <v>106</v>
      </c>
      <c r="F188" s="36" t="s">
        <v>2119</v>
      </c>
      <c r="G188" s="36">
        <v>531492</v>
      </c>
      <c r="H188" s="36" t="s">
        <v>2382</v>
      </c>
      <c r="I188" s="37">
        <v>1.7858400000000001</v>
      </c>
      <c r="J188" s="7"/>
      <c r="K188" s="7" t="str">
        <f>VLOOKUP($E188,Mapping!$E$11:$I$96,3,0)</f>
        <v>Connections</v>
      </c>
      <c r="L188" s="7" t="str">
        <f>VLOOKUP($G188,Mapping!$E$140:$K$2771,5,0)</f>
        <v>Contracts</v>
      </c>
      <c r="M188" s="7" t="str">
        <f>VLOOKUP($G188,Mapping!$E$140:$K$2771,7,0)</f>
        <v>ENDirect</v>
      </c>
      <c r="N188" s="7" t="str">
        <f>IFERROR(HLOOKUP(L188,'Calc|Weightings'!$K$5:$M$5,1,0),"Excl")</f>
        <v>Contracts</v>
      </c>
      <c r="O188" s="7" t="str">
        <f>VLOOKUP(E188,Mapping!$E$11:$I$96,5,0)</f>
        <v>SCS</v>
      </c>
      <c r="Q188" s="33">
        <v>106</v>
      </c>
      <c r="R188" s="33" t="s">
        <v>2119</v>
      </c>
      <c r="S188" s="33">
        <v>613371</v>
      </c>
      <c r="T188" s="33" t="s">
        <v>1403</v>
      </c>
      <c r="U188" s="34">
        <v>2.1652399999999998</v>
      </c>
      <c r="V188" s="7"/>
      <c r="W188" s="7" t="str">
        <f>VLOOKUP($Q188,Mapping!$E$11:$I$96,3,0)</f>
        <v>Connections</v>
      </c>
      <c r="X188" s="7" t="str">
        <f>VLOOKUP($S188,Mapping!$E$140:$K$2771,5,0)</f>
        <v>Labour</v>
      </c>
      <c r="Y188" s="7" t="str">
        <f>VLOOKUP($S188,Mapping!$E$140:$K$2771,7,0)</f>
        <v>ENDirect</v>
      </c>
      <c r="Z188" s="7" t="str">
        <f>IFERROR(HLOOKUP(X188,'Calc|Weightings'!$K$5:$M$5,1,0),"Excl")</f>
        <v>Labour</v>
      </c>
      <c r="AA188" s="7" t="str">
        <f>VLOOKUP(Q188,Mapping!$E$11:$I$96,5,0)</f>
        <v>SCS</v>
      </c>
      <c r="AC188" s="111">
        <v>106</v>
      </c>
      <c r="AD188" s="111" t="s">
        <v>2119</v>
      </c>
      <c r="AE188" s="111">
        <v>611902</v>
      </c>
      <c r="AF188" s="111" t="s">
        <v>2081</v>
      </c>
      <c r="AG188" s="112">
        <v>41.227420000000002</v>
      </c>
      <c r="AI188" s="7" t="str">
        <f>VLOOKUP($AC188,Mapping!$E$11:$I$96,3,0)</f>
        <v>Connections</v>
      </c>
      <c r="AJ188" s="7" t="str">
        <f>VLOOKUP($AE188,Mapping!$E$140:$K$2771,5,0)</f>
        <v>Contracts</v>
      </c>
      <c r="AK188" s="7" t="str">
        <f>VLOOKUP($AE188,Mapping!$E$140:$K$2771,7,0)</f>
        <v>ENDirect</v>
      </c>
      <c r="AL188" s="7" t="str">
        <f>IFERROR(HLOOKUP(AJ188,'Calc|Weightings'!$K$5:$M$5,1,0),"Excl")</f>
        <v>Contracts</v>
      </c>
      <c r="AM188" s="7" t="str">
        <f>VLOOKUP(AC188,Mapping!$E$11:$I$96,5,0)</f>
        <v>SCS</v>
      </c>
      <c r="AO188" s="134">
        <v>106</v>
      </c>
      <c r="AP188" s="135" t="s">
        <v>2119</v>
      </c>
      <c r="AQ188" s="135">
        <v>613434</v>
      </c>
      <c r="AR188" s="135" t="s">
        <v>2102</v>
      </c>
      <c r="AS188" s="136">
        <v>58.071779999999997</v>
      </c>
      <c r="AU188" s="7" t="str">
        <f>VLOOKUP($AO188,Mapping!$E$11:$I$96,3,0)</f>
        <v>Connections</v>
      </c>
      <c r="AV188" s="7" t="str">
        <f>VLOOKUP($AQ188,Mapping!$E$140:$K$2771,5,0)</f>
        <v>Labour</v>
      </c>
      <c r="AW188" s="7" t="str">
        <f>VLOOKUP($AQ188,Mapping!$E$140:$K$2771,7,0)</f>
        <v>ENDirect</v>
      </c>
      <c r="AX188" s="7" t="str">
        <f>IFERROR(HLOOKUP(AV188,'Calc|Weightings'!$K$5:$M$5,1,0),"Excl")</f>
        <v>Labour</v>
      </c>
      <c r="AY188" s="7" t="str">
        <f>VLOOKUP(AO188,Mapping!$E$11:$I$96,5,0)</f>
        <v>SCS</v>
      </c>
    </row>
    <row r="189" spans="1:51" x14ac:dyDescent="0.2">
      <c r="A189" s="7"/>
      <c r="B189" s="7"/>
      <c r="C189" s="7"/>
      <c r="D189" s="7"/>
      <c r="E189" s="36">
        <v>106</v>
      </c>
      <c r="F189" s="36" t="s">
        <v>2119</v>
      </c>
      <c r="G189" s="36">
        <v>531495</v>
      </c>
      <c r="H189" s="36" t="s">
        <v>2353</v>
      </c>
      <c r="I189" s="37">
        <v>71.816630000000004</v>
      </c>
      <c r="J189" s="7"/>
      <c r="K189" s="7" t="str">
        <f>VLOOKUP($E189,Mapping!$E$11:$I$96,3,0)</f>
        <v>Connections</v>
      </c>
      <c r="L189" s="7" t="str">
        <f>VLOOKUP($G189,Mapping!$E$140:$K$2771,5,0)</f>
        <v>Contracts</v>
      </c>
      <c r="M189" s="7" t="str">
        <f>VLOOKUP($G189,Mapping!$E$140:$K$2771,7,0)</f>
        <v>ENDirect</v>
      </c>
      <c r="N189" s="7" t="str">
        <f>IFERROR(HLOOKUP(L189,'Calc|Weightings'!$K$5:$M$5,1,0),"Excl")</f>
        <v>Contracts</v>
      </c>
      <c r="O189" s="7" t="str">
        <f>VLOOKUP(E189,Mapping!$E$11:$I$96,5,0)</f>
        <v>SCS</v>
      </c>
      <c r="Q189" s="33">
        <v>106</v>
      </c>
      <c r="R189" s="33" t="s">
        <v>2119</v>
      </c>
      <c r="S189" s="33">
        <v>613400</v>
      </c>
      <c r="T189" s="33" t="s">
        <v>2099</v>
      </c>
      <c r="U189" s="34">
        <v>37.473239999999997</v>
      </c>
      <c r="V189" s="7"/>
      <c r="W189" s="7" t="str">
        <f>VLOOKUP($Q189,Mapping!$E$11:$I$96,3,0)</f>
        <v>Connections</v>
      </c>
      <c r="X189" s="7" t="str">
        <f>VLOOKUP($S189,Mapping!$E$140:$K$2771,5,0)</f>
        <v>Labour</v>
      </c>
      <c r="Y189" s="7" t="str">
        <f>VLOOKUP($S189,Mapping!$E$140:$K$2771,7,0)</f>
        <v>ENDirect</v>
      </c>
      <c r="Z189" s="7" t="str">
        <f>IFERROR(HLOOKUP(X189,'Calc|Weightings'!$K$5:$M$5,1,0),"Excl")</f>
        <v>Labour</v>
      </c>
      <c r="AA189" s="7" t="str">
        <f>VLOOKUP(Q189,Mapping!$E$11:$I$96,5,0)</f>
        <v>SCS</v>
      </c>
      <c r="AC189" s="111">
        <v>106</v>
      </c>
      <c r="AD189" s="111" t="s">
        <v>2119</v>
      </c>
      <c r="AE189" s="111">
        <v>612210</v>
      </c>
      <c r="AF189" s="111" t="s">
        <v>1184</v>
      </c>
      <c r="AG189" s="112">
        <v>18.437639999999998</v>
      </c>
      <c r="AI189" s="7" t="str">
        <f>VLOOKUP($AC189,Mapping!$E$11:$I$96,3,0)</f>
        <v>Connections</v>
      </c>
      <c r="AJ189" s="7" t="str">
        <f>VLOOKUP($AE189,Mapping!$E$140:$K$2771,5,0)</f>
        <v>Labour</v>
      </c>
      <c r="AK189" s="7" t="str">
        <f>VLOOKUP($AE189,Mapping!$E$140:$K$2771,7,0)</f>
        <v>ENDirect</v>
      </c>
      <c r="AL189" s="7" t="str">
        <f>IFERROR(HLOOKUP(AJ189,'Calc|Weightings'!$K$5:$M$5,1,0),"Excl")</f>
        <v>Labour</v>
      </c>
      <c r="AM189" s="7" t="str">
        <f>VLOOKUP(AC189,Mapping!$E$11:$I$96,5,0)</f>
        <v>SCS</v>
      </c>
      <c r="AO189" s="134">
        <v>106</v>
      </c>
      <c r="AP189" s="135" t="s">
        <v>2119</v>
      </c>
      <c r="AQ189" s="135">
        <v>613440</v>
      </c>
      <c r="AR189" s="135" t="s">
        <v>2103</v>
      </c>
      <c r="AS189" s="136">
        <v>25.326429999999998</v>
      </c>
      <c r="AU189" s="7" t="str">
        <f>VLOOKUP($AO189,Mapping!$E$11:$I$96,3,0)</f>
        <v>Connections</v>
      </c>
      <c r="AV189" s="7" t="str">
        <f>VLOOKUP($AQ189,Mapping!$E$140:$K$2771,5,0)</f>
        <v>Labour</v>
      </c>
      <c r="AW189" s="7" t="str">
        <f>VLOOKUP($AQ189,Mapping!$E$140:$K$2771,7,0)</f>
        <v>ENDirect</v>
      </c>
      <c r="AX189" s="7" t="str">
        <f>IFERROR(HLOOKUP(AV189,'Calc|Weightings'!$K$5:$M$5,1,0),"Excl")</f>
        <v>Labour</v>
      </c>
      <c r="AY189" s="7" t="str">
        <f>VLOOKUP(AO189,Mapping!$E$11:$I$96,5,0)</f>
        <v>SCS</v>
      </c>
    </row>
    <row r="190" spans="1:51" x14ac:dyDescent="0.2">
      <c r="A190" s="7"/>
      <c r="B190" s="7"/>
      <c r="C190" s="7"/>
      <c r="D190" s="7"/>
      <c r="E190" s="36">
        <v>106</v>
      </c>
      <c r="F190" s="36" t="s">
        <v>2119</v>
      </c>
      <c r="G190" s="36">
        <v>532050</v>
      </c>
      <c r="H190" s="36" t="s">
        <v>279</v>
      </c>
      <c r="I190" s="37">
        <v>6.7016</v>
      </c>
      <c r="J190" s="7"/>
      <c r="K190" s="7" t="str">
        <f>VLOOKUP($E190,Mapping!$E$11:$I$96,3,0)</f>
        <v>Connections</v>
      </c>
      <c r="L190" s="7" t="str">
        <f>VLOOKUP($G190,Mapping!$E$140:$K$2771,5,0)</f>
        <v>Contracts</v>
      </c>
      <c r="M190" s="7" t="str">
        <f>VLOOKUP($G190,Mapping!$E$140:$K$2771,7,0)</f>
        <v>ENDirect</v>
      </c>
      <c r="N190" s="7" t="str">
        <f>IFERROR(HLOOKUP(L190,'Calc|Weightings'!$K$5:$M$5,1,0),"Excl")</f>
        <v>Contracts</v>
      </c>
      <c r="O190" s="7" t="str">
        <f>VLOOKUP(E190,Mapping!$E$11:$I$96,5,0)</f>
        <v>SCS</v>
      </c>
      <c r="Q190" s="33">
        <v>106</v>
      </c>
      <c r="R190" s="33" t="s">
        <v>2119</v>
      </c>
      <c r="S190" s="33">
        <v>613401</v>
      </c>
      <c r="T190" s="33" t="s">
        <v>2117</v>
      </c>
      <c r="U190" s="34">
        <v>28.729900000000001</v>
      </c>
      <c r="V190" s="7"/>
      <c r="W190" s="7" t="str">
        <f>VLOOKUP($Q190,Mapping!$E$11:$I$96,3,0)</f>
        <v>Connections</v>
      </c>
      <c r="X190" s="7" t="str">
        <f>VLOOKUP($S190,Mapping!$E$140:$K$2771,5,0)</f>
        <v>Labour</v>
      </c>
      <c r="Y190" s="7" t="str">
        <f>VLOOKUP($S190,Mapping!$E$140:$K$2771,7,0)</f>
        <v>ENDirect</v>
      </c>
      <c r="Z190" s="7" t="str">
        <f>IFERROR(HLOOKUP(X190,'Calc|Weightings'!$K$5:$M$5,1,0),"Excl")</f>
        <v>Labour</v>
      </c>
      <c r="AA190" s="7" t="str">
        <f>VLOOKUP(Q190,Mapping!$E$11:$I$96,5,0)</f>
        <v>SCS</v>
      </c>
      <c r="AC190" s="111">
        <v>106</v>
      </c>
      <c r="AD190" s="111" t="s">
        <v>2119</v>
      </c>
      <c r="AE190" s="111">
        <v>612212</v>
      </c>
      <c r="AF190" s="111" t="s">
        <v>1186</v>
      </c>
      <c r="AG190" s="112">
        <v>-2.1389999999999999E-2</v>
      </c>
      <c r="AI190" s="7" t="str">
        <f>VLOOKUP($AC190,Mapping!$E$11:$I$96,3,0)</f>
        <v>Connections</v>
      </c>
      <c r="AJ190" s="7" t="str">
        <f>VLOOKUP($AE190,Mapping!$E$140:$K$2771,5,0)</f>
        <v>Labour</v>
      </c>
      <c r="AK190" s="7" t="str">
        <f>VLOOKUP($AE190,Mapping!$E$140:$K$2771,7,0)</f>
        <v>ENDirect</v>
      </c>
      <c r="AL190" s="7" t="str">
        <f>IFERROR(HLOOKUP(AJ190,'Calc|Weightings'!$K$5:$M$5,1,0),"Excl")</f>
        <v>Labour</v>
      </c>
      <c r="AM190" s="7" t="str">
        <f>VLOOKUP(AC190,Mapping!$E$11:$I$96,5,0)</f>
        <v>SCS</v>
      </c>
      <c r="AO190" s="134">
        <v>106</v>
      </c>
      <c r="AP190" s="135" t="s">
        <v>2119</v>
      </c>
      <c r="AQ190" s="135">
        <v>613441</v>
      </c>
      <c r="AR190" s="135" t="s">
        <v>2104</v>
      </c>
      <c r="AS190" s="136">
        <v>3.0222799999999999</v>
      </c>
      <c r="AU190" s="7" t="str">
        <f>VLOOKUP($AO190,Mapping!$E$11:$I$96,3,0)</f>
        <v>Connections</v>
      </c>
      <c r="AV190" s="7" t="str">
        <f>VLOOKUP($AQ190,Mapping!$E$140:$K$2771,5,0)</f>
        <v>Labour</v>
      </c>
      <c r="AW190" s="7" t="str">
        <f>VLOOKUP($AQ190,Mapping!$E$140:$K$2771,7,0)</f>
        <v>ENDirect</v>
      </c>
      <c r="AX190" s="7" t="str">
        <f>IFERROR(HLOOKUP(AV190,'Calc|Weightings'!$K$5:$M$5,1,0),"Excl")</f>
        <v>Labour</v>
      </c>
      <c r="AY190" s="7" t="str">
        <f>VLOOKUP(AO190,Mapping!$E$11:$I$96,5,0)</f>
        <v>SCS</v>
      </c>
    </row>
    <row r="191" spans="1:51" x14ac:dyDescent="0.2">
      <c r="A191" s="7"/>
      <c r="B191" s="7"/>
      <c r="C191" s="7"/>
      <c r="D191" s="7"/>
      <c r="E191" s="36">
        <v>106</v>
      </c>
      <c r="F191" s="36" t="s">
        <v>2119</v>
      </c>
      <c r="G191" s="36">
        <v>532060</v>
      </c>
      <c r="H191" s="36" t="s">
        <v>281</v>
      </c>
      <c r="I191" s="37">
        <v>0.23699999999999999</v>
      </c>
      <c r="J191" s="7"/>
      <c r="K191" s="7" t="str">
        <f>VLOOKUP($E191,Mapping!$E$11:$I$96,3,0)</f>
        <v>Connections</v>
      </c>
      <c r="L191" s="7" t="str">
        <f>VLOOKUP($G191,Mapping!$E$140:$K$2771,5,0)</f>
        <v>Contracts</v>
      </c>
      <c r="M191" s="7" t="str">
        <f>VLOOKUP($G191,Mapping!$E$140:$K$2771,7,0)</f>
        <v>ENDirect</v>
      </c>
      <c r="N191" s="7" t="str">
        <f>IFERROR(HLOOKUP(L191,'Calc|Weightings'!$K$5:$M$5,1,0),"Excl")</f>
        <v>Contracts</v>
      </c>
      <c r="O191" s="7" t="str">
        <f>VLOOKUP(E191,Mapping!$E$11:$I$96,5,0)</f>
        <v>SCS</v>
      </c>
      <c r="Q191" s="33">
        <v>106</v>
      </c>
      <c r="R191" s="33" t="s">
        <v>2119</v>
      </c>
      <c r="S191" s="33">
        <v>613410</v>
      </c>
      <c r="T191" s="33" t="s">
        <v>2100</v>
      </c>
      <c r="U191" s="34">
        <v>42.798319999999997</v>
      </c>
      <c r="V191" s="7"/>
      <c r="W191" s="7" t="str">
        <f>VLOOKUP($Q191,Mapping!$E$11:$I$96,3,0)</f>
        <v>Connections</v>
      </c>
      <c r="X191" s="7" t="str">
        <f>VLOOKUP($S191,Mapping!$E$140:$K$2771,5,0)</f>
        <v>Labour</v>
      </c>
      <c r="Y191" s="7" t="str">
        <f>VLOOKUP($S191,Mapping!$E$140:$K$2771,7,0)</f>
        <v>ENDirect</v>
      </c>
      <c r="Z191" s="7" t="str">
        <f>IFERROR(HLOOKUP(X191,'Calc|Weightings'!$K$5:$M$5,1,0),"Excl")</f>
        <v>Labour</v>
      </c>
      <c r="AA191" s="7" t="str">
        <f>VLOOKUP(Q191,Mapping!$E$11:$I$96,5,0)</f>
        <v>SCS</v>
      </c>
      <c r="AC191" s="111">
        <v>106</v>
      </c>
      <c r="AD191" s="111" t="s">
        <v>2119</v>
      </c>
      <c r="AE191" s="111">
        <v>613240</v>
      </c>
      <c r="AF191" s="111" t="s">
        <v>2082</v>
      </c>
      <c r="AG191" s="112">
        <v>32.920389999999998</v>
      </c>
      <c r="AI191" s="7" t="str">
        <f>VLOOKUP($AC191,Mapping!$E$11:$I$96,3,0)</f>
        <v>Connections</v>
      </c>
      <c r="AJ191" s="7" t="str">
        <f>VLOOKUP($AE191,Mapping!$E$140:$K$2771,5,0)</f>
        <v>Labour</v>
      </c>
      <c r="AK191" s="7" t="str">
        <f>VLOOKUP($AE191,Mapping!$E$140:$K$2771,7,0)</f>
        <v>ENDirect</v>
      </c>
      <c r="AL191" s="7" t="str">
        <f>IFERROR(HLOOKUP(AJ191,'Calc|Weightings'!$K$5:$M$5,1,0),"Excl")</f>
        <v>Labour</v>
      </c>
      <c r="AM191" s="7" t="str">
        <f>VLOOKUP(AC191,Mapping!$E$11:$I$96,5,0)</f>
        <v>SCS</v>
      </c>
      <c r="AO191" s="134">
        <v>106</v>
      </c>
      <c r="AP191" s="135" t="s">
        <v>2119</v>
      </c>
      <c r="AQ191" s="135">
        <v>613450</v>
      </c>
      <c r="AR191" s="135" t="s">
        <v>2175</v>
      </c>
      <c r="AS191" s="136">
        <v>54.92409</v>
      </c>
      <c r="AU191" s="7" t="str">
        <f>VLOOKUP($AO191,Mapping!$E$11:$I$96,3,0)</f>
        <v>Connections</v>
      </c>
      <c r="AV191" s="7" t="str">
        <f>VLOOKUP($AQ191,Mapping!$E$140:$K$2771,5,0)</f>
        <v>Labour</v>
      </c>
      <c r="AW191" s="7" t="str">
        <f>VLOOKUP($AQ191,Mapping!$E$140:$K$2771,7,0)</f>
        <v>ENDirect</v>
      </c>
      <c r="AX191" s="7" t="str">
        <f>IFERROR(HLOOKUP(AV191,'Calc|Weightings'!$K$5:$M$5,1,0),"Excl")</f>
        <v>Labour</v>
      </c>
      <c r="AY191" s="7" t="str">
        <f>VLOOKUP(AO191,Mapping!$E$11:$I$96,5,0)</f>
        <v>SCS</v>
      </c>
    </row>
    <row r="192" spans="1:51" x14ac:dyDescent="0.2">
      <c r="A192" s="7"/>
      <c r="B192" s="7"/>
      <c r="C192" s="7"/>
      <c r="D192" s="7"/>
      <c r="E192" s="36">
        <v>106</v>
      </c>
      <c r="F192" s="36" t="s">
        <v>2119</v>
      </c>
      <c r="G192" s="36">
        <v>532200</v>
      </c>
      <c r="H192" s="36" t="s">
        <v>291</v>
      </c>
      <c r="I192" s="37">
        <v>26</v>
      </c>
      <c r="J192" s="7"/>
      <c r="K192" s="7" t="str">
        <f>VLOOKUP($E192,Mapping!$E$11:$I$96,3,0)</f>
        <v>Connections</v>
      </c>
      <c r="L192" s="7" t="str">
        <f>VLOOKUP($G192,Mapping!$E$140:$K$2771,5,0)</f>
        <v>Contracts</v>
      </c>
      <c r="M192" s="7" t="str">
        <f>VLOOKUP($G192,Mapping!$E$140:$K$2771,7,0)</f>
        <v>ENDirect</v>
      </c>
      <c r="N192" s="7" t="str">
        <f>IFERROR(HLOOKUP(L192,'Calc|Weightings'!$K$5:$M$5,1,0),"Excl")</f>
        <v>Contracts</v>
      </c>
      <c r="O192" s="7" t="str">
        <f>VLOOKUP(E192,Mapping!$E$11:$I$96,5,0)</f>
        <v>SCS</v>
      </c>
      <c r="Q192" s="33">
        <v>106</v>
      </c>
      <c r="R192" s="33" t="s">
        <v>2119</v>
      </c>
      <c r="S192" s="33">
        <v>613411</v>
      </c>
      <c r="T192" s="33" t="s">
        <v>2101</v>
      </c>
      <c r="U192" s="34">
        <v>33.317459999999997</v>
      </c>
      <c r="V192" s="7"/>
      <c r="W192" s="7" t="str">
        <f>VLOOKUP($Q192,Mapping!$E$11:$I$96,3,0)</f>
        <v>Connections</v>
      </c>
      <c r="X192" s="7" t="str">
        <f>VLOOKUP($S192,Mapping!$E$140:$K$2771,5,0)</f>
        <v>Labour</v>
      </c>
      <c r="Y192" s="7" t="str">
        <f>VLOOKUP($S192,Mapping!$E$140:$K$2771,7,0)</f>
        <v>ENDirect</v>
      </c>
      <c r="Z192" s="7" t="str">
        <f>IFERROR(HLOOKUP(X192,'Calc|Weightings'!$K$5:$M$5,1,0),"Excl")</f>
        <v>Labour</v>
      </c>
      <c r="AA192" s="7" t="str">
        <f>VLOOKUP(Q192,Mapping!$E$11:$I$96,5,0)</f>
        <v>SCS</v>
      </c>
      <c r="AC192" s="111">
        <v>106</v>
      </c>
      <c r="AD192" s="111" t="s">
        <v>2119</v>
      </c>
      <c r="AE192" s="111">
        <v>613241</v>
      </c>
      <c r="AF192" s="111" t="s">
        <v>2083</v>
      </c>
      <c r="AG192" s="112">
        <v>6.3685900000000002</v>
      </c>
      <c r="AI192" s="7" t="str">
        <f>VLOOKUP($AC192,Mapping!$E$11:$I$96,3,0)</f>
        <v>Connections</v>
      </c>
      <c r="AJ192" s="7" t="str">
        <f>VLOOKUP($AE192,Mapping!$E$140:$K$2771,5,0)</f>
        <v>Labour</v>
      </c>
      <c r="AK192" s="7" t="str">
        <f>VLOOKUP($AE192,Mapping!$E$140:$K$2771,7,0)</f>
        <v>ENDirect</v>
      </c>
      <c r="AL192" s="7" t="str">
        <f>IFERROR(HLOOKUP(AJ192,'Calc|Weightings'!$K$5:$M$5,1,0),"Excl")</f>
        <v>Labour</v>
      </c>
      <c r="AM192" s="7" t="str">
        <f>VLOOKUP(AC192,Mapping!$E$11:$I$96,5,0)</f>
        <v>SCS</v>
      </c>
      <c r="AO192" s="134">
        <v>106</v>
      </c>
      <c r="AP192" s="135" t="s">
        <v>2119</v>
      </c>
      <c r="AQ192" s="135">
        <v>613460</v>
      </c>
      <c r="AR192" s="135" t="s">
        <v>2167</v>
      </c>
      <c r="AS192" s="136">
        <v>19.574459999999998</v>
      </c>
      <c r="AU192" s="7" t="str">
        <f>VLOOKUP($AO192,Mapping!$E$11:$I$96,3,0)</f>
        <v>Connections</v>
      </c>
      <c r="AV192" s="7" t="str">
        <f>VLOOKUP($AQ192,Mapping!$E$140:$K$2771,5,0)</f>
        <v>Labour</v>
      </c>
      <c r="AW192" s="7" t="str">
        <f>VLOOKUP($AQ192,Mapping!$E$140:$K$2771,7,0)</f>
        <v>ENDirect</v>
      </c>
      <c r="AX192" s="7" t="str">
        <f>IFERROR(HLOOKUP(AV192,'Calc|Weightings'!$K$5:$M$5,1,0),"Excl")</f>
        <v>Labour</v>
      </c>
      <c r="AY192" s="7" t="str">
        <f>VLOOKUP(AO192,Mapping!$E$11:$I$96,5,0)</f>
        <v>SCS</v>
      </c>
    </row>
    <row r="193" spans="1:51" x14ac:dyDescent="0.2">
      <c r="A193" s="7"/>
      <c r="B193" s="7"/>
      <c r="C193" s="7"/>
      <c r="D193" s="7"/>
      <c r="E193" s="36">
        <v>106</v>
      </c>
      <c r="F193" s="36" t="s">
        <v>2119</v>
      </c>
      <c r="G193" s="36">
        <v>533000</v>
      </c>
      <c r="H193" s="36" t="s">
        <v>312</v>
      </c>
      <c r="I193" s="37">
        <v>2.36</v>
      </c>
      <c r="J193" s="7"/>
      <c r="K193" s="7" t="str">
        <f>VLOOKUP($E193,Mapping!$E$11:$I$96,3,0)</f>
        <v>Connections</v>
      </c>
      <c r="L193" s="7" t="str">
        <f>VLOOKUP($G193,Mapping!$E$140:$K$2771,5,0)</f>
        <v>Contracts</v>
      </c>
      <c r="M193" s="7" t="str">
        <f>VLOOKUP($G193,Mapping!$E$140:$K$2771,7,0)</f>
        <v>ENDirect</v>
      </c>
      <c r="N193" s="7" t="str">
        <f>IFERROR(HLOOKUP(L193,'Calc|Weightings'!$K$5:$M$5,1,0),"Excl")</f>
        <v>Contracts</v>
      </c>
      <c r="O193" s="7" t="str">
        <f>VLOOKUP(E193,Mapping!$E$11:$I$96,5,0)</f>
        <v>SCS</v>
      </c>
      <c r="Q193" s="33">
        <v>106</v>
      </c>
      <c r="R193" s="33" t="s">
        <v>2119</v>
      </c>
      <c r="S193" s="33">
        <v>613434</v>
      </c>
      <c r="T193" s="33" t="s">
        <v>2102</v>
      </c>
      <c r="U193" s="34">
        <v>83.268060000000006</v>
      </c>
      <c r="V193" s="7"/>
      <c r="W193" s="7" t="str">
        <f>VLOOKUP($Q193,Mapping!$E$11:$I$96,3,0)</f>
        <v>Connections</v>
      </c>
      <c r="X193" s="7" t="str">
        <f>VLOOKUP($S193,Mapping!$E$140:$K$2771,5,0)</f>
        <v>Labour</v>
      </c>
      <c r="Y193" s="7" t="str">
        <f>VLOOKUP($S193,Mapping!$E$140:$K$2771,7,0)</f>
        <v>ENDirect</v>
      </c>
      <c r="Z193" s="7" t="str">
        <f>IFERROR(HLOOKUP(X193,'Calc|Weightings'!$K$5:$M$5,1,0),"Excl")</f>
        <v>Labour</v>
      </c>
      <c r="AA193" s="7" t="str">
        <f>VLOOKUP(Q193,Mapping!$E$11:$I$96,5,0)</f>
        <v>SCS</v>
      </c>
      <c r="AC193" s="111">
        <v>106</v>
      </c>
      <c r="AD193" s="111" t="s">
        <v>2119</v>
      </c>
      <c r="AE193" s="111">
        <v>613250</v>
      </c>
      <c r="AF193" s="111" t="s">
        <v>2086</v>
      </c>
      <c r="AG193" s="112">
        <v>76.816270000000003</v>
      </c>
      <c r="AI193" s="7" t="str">
        <f>VLOOKUP($AC193,Mapping!$E$11:$I$96,3,0)</f>
        <v>Connections</v>
      </c>
      <c r="AJ193" s="7" t="str">
        <f>VLOOKUP($AE193,Mapping!$E$140:$K$2771,5,0)</f>
        <v>Labour</v>
      </c>
      <c r="AK193" s="7" t="str">
        <f>VLOOKUP($AE193,Mapping!$E$140:$K$2771,7,0)</f>
        <v>ENDirect</v>
      </c>
      <c r="AL193" s="7" t="str">
        <f>IFERROR(HLOOKUP(AJ193,'Calc|Weightings'!$K$5:$M$5,1,0),"Excl")</f>
        <v>Labour</v>
      </c>
      <c r="AM193" s="7" t="str">
        <f>VLOOKUP(AC193,Mapping!$E$11:$I$96,5,0)</f>
        <v>SCS</v>
      </c>
      <c r="AO193" s="134">
        <v>106</v>
      </c>
      <c r="AP193" s="135" t="s">
        <v>2119</v>
      </c>
      <c r="AQ193" s="135">
        <v>613461</v>
      </c>
      <c r="AR193" s="135" t="s">
        <v>2168</v>
      </c>
      <c r="AS193" s="136">
        <v>2.1676199999999999</v>
      </c>
      <c r="AU193" s="7" t="str">
        <f>VLOOKUP($AO193,Mapping!$E$11:$I$96,3,0)</f>
        <v>Connections</v>
      </c>
      <c r="AV193" s="7" t="str">
        <f>VLOOKUP($AQ193,Mapping!$E$140:$K$2771,5,0)</f>
        <v>Labour</v>
      </c>
      <c r="AW193" s="7" t="str">
        <f>VLOOKUP($AQ193,Mapping!$E$140:$K$2771,7,0)</f>
        <v>ENDirect</v>
      </c>
      <c r="AX193" s="7" t="str">
        <f>IFERROR(HLOOKUP(AV193,'Calc|Weightings'!$K$5:$M$5,1,0),"Excl")</f>
        <v>Labour</v>
      </c>
      <c r="AY193" s="7" t="str">
        <f>VLOOKUP(AO193,Mapping!$E$11:$I$96,5,0)</f>
        <v>SCS</v>
      </c>
    </row>
    <row r="194" spans="1:51" x14ac:dyDescent="0.2">
      <c r="A194" s="7"/>
      <c r="B194" s="7"/>
      <c r="C194" s="7"/>
      <c r="D194" s="7"/>
      <c r="E194" s="36">
        <v>106</v>
      </c>
      <c r="F194" s="36" t="s">
        <v>2119</v>
      </c>
      <c r="G194" s="36">
        <v>591997</v>
      </c>
      <c r="H194" s="36" t="s">
        <v>2194</v>
      </c>
      <c r="I194" s="37">
        <v>-110.98801</v>
      </c>
      <c r="J194" s="7"/>
      <c r="K194" s="7" t="str">
        <f>VLOOKUP($E194,Mapping!$E$11:$I$96,3,0)</f>
        <v>Connections</v>
      </c>
      <c r="L194" s="7" t="str">
        <f>VLOOKUP($G194,Mapping!$E$140:$K$2771,5,0)</f>
        <v>Contracts</v>
      </c>
      <c r="M194" s="7" t="str">
        <f>VLOOKUP($G194,Mapping!$E$140:$K$2771,7,0)</f>
        <v>ENDirect</v>
      </c>
      <c r="N194" s="7" t="str">
        <f>IFERROR(HLOOKUP(L194,'Calc|Weightings'!$K$5:$M$5,1,0),"Excl")</f>
        <v>Contracts</v>
      </c>
      <c r="O194" s="7" t="str">
        <f>VLOOKUP(E194,Mapping!$E$11:$I$96,5,0)</f>
        <v>SCS</v>
      </c>
      <c r="Q194" s="33">
        <v>106</v>
      </c>
      <c r="R194" s="33" t="s">
        <v>2119</v>
      </c>
      <c r="S194" s="33">
        <v>613440</v>
      </c>
      <c r="T194" s="33" t="s">
        <v>2103</v>
      </c>
      <c r="U194" s="34">
        <v>22.811620000000001</v>
      </c>
      <c r="V194" s="7"/>
      <c r="W194" s="7" t="str">
        <f>VLOOKUP($Q194,Mapping!$E$11:$I$96,3,0)</f>
        <v>Connections</v>
      </c>
      <c r="X194" s="7" t="str">
        <f>VLOOKUP($S194,Mapping!$E$140:$K$2771,5,0)</f>
        <v>Labour</v>
      </c>
      <c r="Y194" s="7" t="str">
        <f>VLOOKUP($S194,Mapping!$E$140:$K$2771,7,0)</f>
        <v>ENDirect</v>
      </c>
      <c r="Z194" s="7" t="str">
        <f>IFERROR(HLOOKUP(X194,'Calc|Weightings'!$K$5:$M$5,1,0),"Excl")</f>
        <v>Labour</v>
      </c>
      <c r="AA194" s="7" t="str">
        <f>VLOOKUP(Q194,Mapping!$E$11:$I$96,5,0)</f>
        <v>SCS</v>
      </c>
      <c r="AC194" s="111">
        <v>106</v>
      </c>
      <c r="AD194" s="111" t="s">
        <v>2119</v>
      </c>
      <c r="AE194" s="111">
        <v>613251</v>
      </c>
      <c r="AF194" s="111" t="s">
        <v>2087</v>
      </c>
      <c r="AG194" s="112">
        <v>15.263120000000001</v>
      </c>
      <c r="AI194" s="7" t="str">
        <f>VLOOKUP($AC194,Mapping!$E$11:$I$96,3,0)</f>
        <v>Connections</v>
      </c>
      <c r="AJ194" s="7" t="str">
        <f>VLOOKUP($AE194,Mapping!$E$140:$K$2771,5,0)</f>
        <v>Labour</v>
      </c>
      <c r="AK194" s="7" t="str">
        <f>VLOOKUP($AE194,Mapping!$E$140:$K$2771,7,0)</f>
        <v>ENDirect</v>
      </c>
      <c r="AL194" s="7" t="str">
        <f>IFERROR(HLOOKUP(AJ194,'Calc|Weightings'!$K$5:$M$5,1,0),"Excl")</f>
        <v>Labour</v>
      </c>
      <c r="AM194" s="7" t="str">
        <f>VLOOKUP(AC194,Mapping!$E$11:$I$96,5,0)</f>
        <v>SCS</v>
      </c>
      <c r="AO194" s="134">
        <v>106</v>
      </c>
      <c r="AP194" s="135" t="s">
        <v>2119</v>
      </c>
      <c r="AQ194" s="135">
        <v>613566</v>
      </c>
      <c r="AR194" s="135" t="s">
        <v>1482</v>
      </c>
      <c r="AS194" s="136">
        <v>37.427990000000001</v>
      </c>
      <c r="AU194" s="7" t="str">
        <f>VLOOKUP($AO194,Mapping!$E$11:$I$96,3,0)</f>
        <v>Connections</v>
      </c>
      <c r="AV194" s="7" t="str">
        <f>VLOOKUP($AQ194,Mapping!$E$140:$K$2771,5,0)</f>
        <v>Labour</v>
      </c>
      <c r="AW194" s="7" t="str">
        <f>VLOOKUP($AQ194,Mapping!$E$140:$K$2771,7,0)</f>
        <v>ENDirect</v>
      </c>
      <c r="AX194" s="7" t="str">
        <f>IFERROR(HLOOKUP(AV194,'Calc|Weightings'!$K$5:$M$5,1,0),"Excl")</f>
        <v>Labour</v>
      </c>
      <c r="AY194" s="7" t="str">
        <f>VLOOKUP(AO194,Mapping!$E$11:$I$96,5,0)</f>
        <v>SCS</v>
      </c>
    </row>
    <row r="195" spans="1:51" x14ac:dyDescent="0.2">
      <c r="A195" s="7"/>
      <c r="B195" s="7"/>
      <c r="C195" s="7"/>
      <c r="D195" s="7"/>
      <c r="E195" s="36">
        <v>106</v>
      </c>
      <c r="F195" s="36" t="s">
        <v>2119</v>
      </c>
      <c r="G195" s="36">
        <v>591998</v>
      </c>
      <c r="H195" s="36" t="s">
        <v>2077</v>
      </c>
      <c r="I195" s="37">
        <v>-109.91143</v>
      </c>
      <c r="J195" s="7"/>
      <c r="K195" s="7" t="str">
        <f>VLOOKUP($E195,Mapping!$E$11:$I$96,3,0)</f>
        <v>Connections</v>
      </c>
      <c r="L195" s="7" t="str">
        <f>VLOOKUP($G195,Mapping!$E$140:$K$2771,5,0)</f>
        <v>Contracts</v>
      </c>
      <c r="M195" s="7" t="str">
        <f>VLOOKUP($G195,Mapping!$E$140:$K$2771,7,0)</f>
        <v>ENDirect</v>
      </c>
      <c r="N195" s="7" t="str">
        <f>IFERROR(HLOOKUP(L195,'Calc|Weightings'!$K$5:$M$5,1,0),"Excl")</f>
        <v>Contracts</v>
      </c>
      <c r="O195" s="7" t="str">
        <f>VLOOKUP(E195,Mapping!$E$11:$I$96,5,0)</f>
        <v>SCS</v>
      </c>
      <c r="Q195" s="33">
        <v>106</v>
      </c>
      <c r="R195" s="33" t="s">
        <v>2119</v>
      </c>
      <c r="S195" s="33">
        <v>613441</v>
      </c>
      <c r="T195" s="33" t="s">
        <v>2104</v>
      </c>
      <c r="U195" s="34">
        <v>1.95974</v>
      </c>
      <c r="V195" s="7"/>
      <c r="W195" s="7" t="str">
        <f>VLOOKUP($Q195,Mapping!$E$11:$I$96,3,0)</f>
        <v>Connections</v>
      </c>
      <c r="X195" s="7" t="str">
        <f>VLOOKUP($S195,Mapping!$E$140:$K$2771,5,0)</f>
        <v>Labour</v>
      </c>
      <c r="Y195" s="7" t="str">
        <f>VLOOKUP($S195,Mapping!$E$140:$K$2771,7,0)</f>
        <v>ENDirect</v>
      </c>
      <c r="Z195" s="7" t="str">
        <f>IFERROR(HLOOKUP(X195,'Calc|Weightings'!$K$5:$M$5,1,0),"Excl")</f>
        <v>Labour</v>
      </c>
      <c r="AA195" s="7" t="str">
        <f>VLOOKUP(Q195,Mapping!$E$11:$I$96,5,0)</f>
        <v>SCS</v>
      </c>
      <c r="AC195" s="111">
        <v>106</v>
      </c>
      <c r="AD195" s="111" t="s">
        <v>2119</v>
      </c>
      <c r="AE195" s="111">
        <v>613260</v>
      </c>
      <c r="AF195" s="111" t="s">
        <v>2090</v>
      </c>
      <c r="AG195" s="112">
        <v>4.4185600000000003</v>
      </c>
      <c r="AI195" s="7" t="str">
        <f>VLOOKUP($AC195,Mapping!$E$11:$I$96,3,0)</f>
        <v>Connections</v>
      </c>
      <c r="AJ195" s="7" t="str">
        <f>VLOOKUP($AE195,Mapping!$E$140:$K$2771,5,0)</f>
        <v>Labour</v>
      </c>
      <c r="AK195" s="7" t="str">
        <f>VLOOKUP($AE195,Mapping!$E$140:$K$2771,7,0)</f>
        <v>ENDirect</v>
      </c>
      <c r="AL195" s="7" t="str">
        <f>IFERROR(HLOOKUP(AJ195,'Calc|Weightings'!$K$5:$M$5,1,0),"Excl")</f>
        <v>Labour</v>
      </c>
      <c r="AM195" s="7" t="str">
        <f>VLOOKUP(AC195,Mapping!$E$11:$I$96,5,0)</f>
        <v>SCS</v>
      </c>
      <c r="AO195" s="134">
        <v>106</v>
      </c>
      <c r="AP195" s="135" t="s">
        <v>2119</v>
      </c>
      <c r="AQ195" s="135">
        <v>613567</v>
      </c>
      <c r="AR195" s="135" t="s">
        <v>1483</v>
      </c>
      <c r="AS195" s="136">
        <v>4.0140799999999999</v>
      </c>
      <c r="AU195" s="7" t="str">
        <f>VLOOKUP($AO195,Mapping!$E$11:$I$96,3,0)</f>
        <v>Connections</v>
      </c>
      <c r="AV195" s="7" t="str">
        <f>VLOOKUP($AQ195,Mapping!$E$140:$K$2771,5,0)</f>
        <v>Labour</v>
      </c>
      <c r="AW195" s="7" t="str">
        <f>VLOOKUP($AQ195,Mapping!$E$140:$K$2771,7,0)</f>
        <v>ENDirect</v>
      </c>
      <c r="AX195" s="7" t="str">
        <f>IFERROR(HLOOKUP(AV195,'Calc|Weightings'!$K$5:$M$5,1,0),"Excl")</f>
        <v>Labour</v>
      </c>
      <c r="AY195" s="7" t="str">
        <f>VLOOKUP(AO195,Mapping!$E$11:$I$96,5,0)</f>
        <v>SCS</v>
      </c>
    </row>
    <row r="196" spans="1:51" x14ac:dyDescent="0.2">
      <c r="A196" s="7"/>
      <c r="B196" s="7"/>
      <c r="C196" s="7"/>
      <c r="D196" s="7"/>
      <c r="E196" s="36">
        <v>106</v>
      </c>
      <c r="F196" s="36" t="s">
        <v>2119</v>
      </c>
      <c r="G196" s="36">
        <v>591999</v>
      </c>
      <c r="H196" s="36" t="s">
        <v>2195</v>
      </c>
      <c r="I196" s="37">
        <v>-450.24360000000001</v>
      </c>
      <c r="J196" s="7"/>
      <c r="K196" s="7" t="str">
        <f>VLOOKUP($E196,Mapping!$E$11:$I$96,3,0)</f>
        <v>Connections</v>
      </c>
      <c r="L196" s="7" t="str">
        <f>VLOOKUP($G196,Mapping!$E$140:$K$2771,5,0)</f>
        <v>Contracts</v>
      </c>
      <c r="M196" s="7" t="str">
        <f>VLOOKUP($G196,Mapping!$E$140:$K$2771,7,0)</f>
        <v>ENDirect</v>
      </c>
      <c r="N196" s="7" t="str">
        <f>IFERROR(HLOOKUP(L196,'Calc|Weightings'!$K$5:$M$5,1,0),"Excl")</f>
        <v>Contracts</v>
      </c>
      <c r="O196" s="7" t="str">
        <f>VLOOKUP(E196,Mapping!$E$11:$I$96,5,0)</f>
        <v>SCS</v>
      </c>
      <c r="Q196" s="33">
        <v>106</v>
      </c>
      <c r="R196" s="33" t="s">
        <v>2119</v>
      </c>
      <c r="S196" s="33">
        <v>613448</v>
      </c>
      <c r="T196" s="33" t="s">
        <v>2105</v>
      </c>
      <c r="U196" s="34">
        <v>105.52875</v>
      </c>
      <c r="V196" s="7"/>
      <c r="W196" s="7" t="str">
        <f>VLOOKUP($Q196,Mapping!$E$11:$I$96,3,0)</f>
        <v>Connections</v>
      </c>
      <c r="X196" s="7" t="str">
        <f>VLOOKUP($S196,Mapping!$E$140:$K$2771,5,0)</f>
        <v>Labour</v>
      </c>
      <c r="Y196" s="7" t="str">
        <f>VLOOKUP($S196,Mapping!$E$140:$K$2771,7,0)</f>
        <v>ENDirect</v>
      </c>
      <c r="Z196" s="7" t="str">
        <f>IFERROR(HLOOKUP(X196,'Calc|Weightings'!$K$5:$M$5,1,0),"Excl")</f>
        <v>Labour</v>
      </c>
      <c r="AA196" s="7" t="str">
        <f>VLOOKUP(Q196,Mapping!$E$11:$I$96,5,0)</f>
        <v>SCS</v>
      </c>
      <c r="AC196" s="111">
        <v>106</v>
      </c>
      <c r="AD196" s="111" t="s">
        <v>2119</v>
      </c>
      <c r="AE196" s="111">
        <v>613280</v>
      </c>
      <c r="AF196" s="111" t="s">
        <v>1342</v>
      </c>
      <c r="AG196" s="112">
        <v>190.005</v>
      </c>
      <c r="AI196" s="7" t="str">
        <f>VLOOKUP($AC196,Mapping!$E$11:$I$96,3,0)</f>
        <v>Connections</v>
      </c>
      <c r="AJ196" s="7" t="str">
        <f>VLOOKUP($AE196,Mapping!$E$140:$K$2771,5,0)</f>
        <v>Labour</v>
      </c>
      <c r="AK196" s="7" t="str">
        <f>VLOOKUP($AE196,Mapping!$E$140:$K$2771,7,0)</f>
        <v>ENDirect</v>
      </c>
      <c r="AL196" s="7" t="str">
        <f>IFERROR(HLOOKUP(AJ196,'Calc|Weightings'!$K$5:$M$5,1,0),"Excl")</f>
        <v>Labour</v>
      </c>
      <c r="AM196" s="7" t="str">
        <f>VLOOKUP(AC196,Mapping!$E$11:$I$96,5,0)</f>
        <v>SCS</v>
      </c>
      <c r="AO196" s="134">
        <v>106</v>
      </c>
      <c r="AP196" s="135" t="s">
        <v>2119</v>
      </c>
      <c r="AQ196" s="135">
        <v>613570</v>
      </c>
      <c r="AR196" s="135" t="s">
        <v>1484</v>
      </c>
      <c r="AS196" s="136">
        <v>12.822039999999999</v>
      </c>
      <c r="AU196" s="7" t="str">
        <f>VLOOKUP($AO196,Mapping!$E$11:$I$96,3,0)</f>
        <v>Connections</v>
      </c>
      <c r="AV196" s="7" t="str">
        <f>VLOOKUP($AQ196,Mapping!$E$140:$K$2771,5,0)</f>
        <v>Labour</v>
      </c>
      <c r="AW196" s="7" t="str">
        <f>VLOOKUP($AQ196,Mapping!$E$140:$K$2771,7,0)</f>
        <v>ENDirect</v>
      </c>
      <c r="AX196" s="7" t="str">
        <f>IFERROR(HLOOKUP(AV196,'Calc|Weightings'!$K$5:$M$5,1,0),"Excl")</f>
        <v>Labour</v>
      </c>
      <c r="AY196" s="7" t="str">
        <f>VLOOKUP(AO196,Mapping!$E$11:$I$96,5,0)</f>
        <v>SCS</v>
      </c>
    </row>
    <row r="197" spans="1:51" x14ac:dyDescent="0.2">
      <c r="A197" s="7"/>
      <c r="B197" s="7"/>
      <c r="C197" s="7"/>
      <c r="D197" s="7"/>
      <c r="E197" s="36">
        <v>106</v>
      </c>
      <c r="F197" s="36" t="s">
        <v>2119</v>
      </c>
      <c r="G197" s="36">
        <v>611900</v>
      </c>
      <c r="H197" s="36" t="s">
        <v>2079</v>
      </c>
      <c r="I197" s="37">
        <v>51.179020000000001</v>
      </c>
      <c r="J197" s="7"/>
      <c r="K197" s="7" t="str">
        <f>VLOOKUP($E197,Mapping!$E$11:$I$96,3,0)</f>
        <v>Connections</v>
      </c>
      <c r="L197" s="7" t="str">
        <f>VLOOKUP($G197,Mapping!$E$140:$K$2771,5,0)</f>
        <v>Contracts</v>
      </c>
      <c r="M197" s="7" t="str">
        <f>VLOOKUP($G197,Mapping!$E$140:$K$2771,7,0)</f>
        <v>ENDirect</v>
      </c>
      <c r="N197" s="7" t="str">
        <f>IFERROR(HLOOKUP(L197,'Calc|Weightings'!$K$5:$M$5,1,0),"Excl")</f>
        <v>Contracts</v>
      </c>
      <c r="O197" s="7" t="str">
        <f>VLOOKUP(E197,Mapping!$E$11:$I$96,5,0)</f>
        <v>SCS</v>
      </c>
      <c r="Q197" s="33">
        <v>106</v>
      </c>
      <c r="R197" s="33" t="s">
        <v>2119</v>
      </c>
      <c r="S197" s="33">
        <v>613449</v>
      </c>
      <c r="T197" s="33" t="s">
        <v>2106</v>
      </c>
      <c r="U197" s="34">
        <v>2.59829</v>
      </c>
      <c r="V197" s="7"/>
      <c r="W197" s="7" t="str">
        <f>VLOOKUP($Q197,Mapping!$E$11:$I$96,3,0)</f>
        <v>Connections</v>
      </c>
      <c r="X197" s="7" t="str">
        <f>VLOOKUP($S197,Mapping!$E$140:$K$2771,5,0)</f>
        <v>Labour</v>
      </c>
      <c r="Y197" s="7" t="str">
        <f>VLOOKUP($S197,Mapping!$E$140:$K$2771,7,0)</f>
        <v>ENDirect</v>
      </c>
      <c r="Z197" s="7" t="str">
        <f>IFERROR(HLOOKUP(X197,'Calc|Weightings'!$K$5:$M$5,1,0),"Excl")</f>
        <v>Labour</v>
      </c>
      <c r="AA197" s="7" t="str">
        <f>VLOOKUP(Q197,Mapping!$E$11:$I$96,5,0)</f>
        <v>SCS</v>
      </c>
      <c r="AC197" s="111">
        <v>106</v>
      </c>
      <c r="AD197" s="111" t="s">
        <v>2119</v>
      </c>
      <c r="AE197" s="111">
        <v>613281</v>
      </c>
      <c r="AF197" s="111" t="s">
        <v>1343</v>
      </c>
      <c r="AG197" s="112">
        <v>21.914999999999999</v>
      </c>
      <c r="AI197" s="7" t="str">
        <f>VLOOKUP($AC197,Mapping!$E$11:$I$96,3,0)</f>
        <v>Connections</v>
      </c>
      <c r="AJ197" s="7" t="str">
        <f>VLOOKUP($AE197,Mapping!$E$140:$K$2771,5,0)</f>
        <v>Labour</v>
      </c>
      <c r="AK197" s="7" t="str">
        <f>VLOOKUP($AE197,Mapping!$E$140:$K$2771,7,0)</f>
        <v>ENDirect</v>
      </c>
      <c r="AL197" s="7" t="str">
        <f>IFERROR(HLOOKUP(AJ197,'Calc|Weightings'!$K$5:$M$5,1,0),"Excl")</f>
        <v>Labour</v>
      </c>
      <c r="AM197" s="7" t="str">
        <f>VLOOKUP(AC197,Mapping!$E$11:$I$96,5,0)</f>
        <v>SCS</v>
      </c>
      <c r="AO197" s="134">
        <v>106</v>
      </c>
      <c r="AP197" s="135" t="s">
        <v>2119</v>
      </c>
      <c r="AQ197" s="135">
        <v>613571</v>
      </c>
      <c r="AR197" s="135" t="s">
        <v>1485</v>
      </c>
      <c r="AS197" s="136">
        <v>3.5459000000000001</v>
      </c>
      <c r="AU197" s="7" t="str">
        <f>VLOOKUP($AO197,Mapping!$E$11:$I$96,3,0)</f>
        <v>Connections</v>
      </c>
      <c r="AV197" s="7" t="str">
        <f>VLOOKUP($AQ197,Mapping!$E$140:$K$2771,5,0)</f>
        <v>Labour</v>
      </c>
      <c r="AW197" s="7" t="str">
        <f>VLOOKUP($AQ197,Mapping!$E$140:$K$2771,7,0)</f>
        <v>ENDirect</v>
      </c>
      <c r="AX197" s="7" t="str">
        <f>IFERROR(HLOOKUP(AV197,'Calc|Weightings'!$K$5:$M$5,1,0),"Excl")</f>
        <v>Labour</v>
      </c>
      <c r="AY197" s="7" t="str">
        <f>VLOOKUP(AO197,Mapping!$E$11:$I$96,5,0)</f>
        <v>SCS</v>
      </c>
    </row>
    <row r="198" spans="1:51" x14ac:dyDescent="0.2">
      <c r="A198" s="7"/>
      <c r="B198" s="7"/>
      <c r="C198" s="7"/>
      <c r="D198" s="7"/>
      <c r="E198" s="36">
        <v>106</v>
      </c>
      <c r="F198" s="36" t="s">
        <v>2119</v>
      </c>
      <c r="G198" s="36">
        <v>611901</v>
      </c>
      <c r="H198" s="36" t="s">
        <v>2080</v>
      </c>
      <c r="I198" s="37">
        <v>117.01430999999999</v>
      </c>
      <c r="J198" s="7"/>
      <c r="K198" s="7" t="str">
        <f>VLOOKUP($E198,Mapping!$E$11:$I$96,3,0)</f>
        <v>Connections</v>
      </c>
      <c r="L198" s="7" t="str">
        <f>VLOOKUP($G198,Mapping!$E$140:$K$2771,5,0)</f>
        <v>Contracts</v>
      </c>
      <c r="M198" s="7" t="str">
        <f>VLOOKUP($G198,Mapping!$E$140:$K$2771,7,0)</f>
        <v>ENDirect</v>
      </c>
      <c r="N198" s="7" t="str">
        <f>IFERROR(HLOOKUP(L198,'Calc|Weightings'!$K$5:$M$5,1,0),"Excl")</f>
        <v>Contracts</v>
      </c>
      <c r="O198" s="7" t="str">
        <f>VLOOKUP(E198,Mapping!$E$11:$I$96,5,0)</f>
        <v>SCS</v>
      </c>
      <c r="Q198" s="33">
        <v>106</v>
      </c>
      <c r="R198" s="33" t="s">
        <v>2119</v>
      </c>
      <c r="S198" s="33">
        <v>613566</v>
      </c>
      <c r="T198" s="33" t="s">
        <v>1482</v>
      </c>
      <c r="U198" s="34">
        <v>50.838299999999997</v>
      </c>
      <c r="V198" s="7"/>
      <c r="W198" s="7" t="str">
        <f>VLOOKUP($Q198,Mapping!$E$11:$I$96,3,0)</f>
        <v>Connections</v>
      </c>
      <c r="X198" s="7" t="str">
        <f>VLOOKUP($S198,Mapping!$E$140:$K$2771,5,0)</f>
        <v>Labour</v>
      </c>
      <c r="Y198" s="7" t="str">
        <f>VLOOKUP($S198,Mapping!$E$140:$K$2771,7,0)</f>
        <v>ENDirect</v>
      </c>
      <c r="Z198" s="7" t="str">
        <f>IFERROR(HLOOKUP(X198,'Calc|Weightings'!$K$5:$M$5,1,0),"Excl")</f>
        <v>Labour</v>
      </c>
      <c r="AA198" s="7" t="str">
        <f>VLOOKUP(Q198,Mapping!$E$11:$I$96,5,0)</f>
        <v>SCS</v>
      </c>
      <c r="AC198" s="111">
        <v>106</v>
      </c>
      <c r="AD198" s="111" t="s">
        <v>2119</v>
      </c>
      <c r="AE198" s="111">
        <v>613290</v>
      </c>
      <c r="AF198" s="111" t="s">
        <v>2093</v>
      </c>
      <c r="AG198" s="112">
        <v>605.01320999999996</v>
      </c>
      <c r="AI198" s="7" t="str">
        <f>VLOOKUP($AC198,Mapping!$E$11:$I$96,3,0)</f>
        <v>Connections</v>
      </c>
      <c r="AJ198" s="7" t="str">
        <f>VLOOKUP($AE198,Mapping!$E$140:$K$2771,5,0)</f>
        <v>Labour</v>
      </c>
      <c r="AK198" s="7" t="str">
        <f>VLOOKUP($AE198,Mapping!$E$140:$K$2771,7,0)</f>
        <v>ENDirect</v>
      </c>
      <c r="AL198" s="7" t="str">
        <f>IFERROR(HLOOKUP(AJ198,'Calc|Weightings'!$K$5:$M$5,1,0),"Excl")</f>
        <v>Labour</v>
      </c>
      <c r="AM198" s="7" t="str">
        <f>VLOOKUP(AC198,Mapping!$E$11:$I$96,5,0)</f>
        <v>SCS</v>
      </c>
      <c r="AO198" s="134">
        <v>106</v>
      </c>
      <c r="AP198" s="135" t="s">
        <v>2119</v>
      </c>
      <c r="AQ198" s="135">
        <v>613574</v>
      </c>
      <c r="AR198" s="135" t="s">
        <v>1488</v>
      </c>
      <c r="AS198" s="136">
        <v>144.54058000000001</v>
      </c>
      <c r="AU198" s="7" t="str">
        <f>VLOOKUP($AO198,Mapping!$E$11:$I$96,3,0)</f>
        <v>Connections</v>
      </c>
      <c r="AV198" s="7" t="str">
        <f>VLOOKUP($AQ198,Mapping!$E$140:$K$2771,5,0)</f>
        <v>Labour</v>
      </c>
      <c r="AW198" s="7" t="str">
        <f>VLOOKUP($AQ198,Mapping!$E$140:$K$2771,7,0)</f>
        <v>ENDirect</v>
      </c>
      <c r="AX198" s="7" t="str">
        <f>IFERROR(HLOOKUP(AV198,'Calc|Weightings'!$K$5:$M$5,1,0),"Excl")</f>
        <v>Labour</v>
      </c>
      <c r="AY198" s="7" t="str">
        <f>VLOOKUP(AO198,Mapping!$E$11:$I$96,5,0)</f>
        <v>SCS</v>
      </c>
    </row>
    <row r="199" spans="1:51" x14ac:dyDescent="0.2">
      <c r="A199" s="7"/>
      <c r="B199" s="7"/>
      <c r="C199" s="7"/>
      <c r="D199" s="7"/>
      <c r="E199" s="36">
        <v>106</v>
      </c>
      <c r="F199" s="36" t="s">
        <v>2119</v>
      </c>
      <c r="G199" s="36">
        <v>611902</v>
      </c>
      <c r="H199" s="36" t="s">
        <v>2081</v>
      </c>
      <c r="I199" s="37">
        <v>34.4405</v>
      </c>
      <c r="J199" s="7"/>
      <c r="K199" s="7" t="str">
        <f>VLOOKUP($E199,Mapping!$E$11:$I$96,3,0)</f>
        <v>Connections</v>
      </c>
      <c r="L199" s="7" t="str">
        <f>VLOOKUP($G199,Mapping!$E$140:$K$2771,5,0)</f>
        <v>Contracts</v>
      </c>
      <c r="M199" s="7" t="str">
        <f>VLOOKUP($G199,Mapping!$E$140:$K$2771,7,0)</f>
        <v>ENDirect</v>
      </c>
      <c r="N199" s="7" t="str">
        <f>IFERROR(HLOOKUP(L199,'Calc|Weightings'!$K$5:$M$5,1,0),"Excl")</f>
        <v>Contracts</v>
      </c>
      <c r="O199" s="7" t="str">
        <f>VLOOKUP(E199,Mapping!$E$11:$I$96,5,0)</f>
        <v>SCS</v>
      </c>
      <c r="Q199" s="33">
        <v>106</v>
      </c>
      <c r="R199" s="33" t="s">
        <v>2119</v>
      </c>
      <c r="S199" s="33">
        <v>613567</v>
      </c>
      <c r="T199" s="33" t="s">
        <v>1483</v>
      </c>
      <c r="U199" s="34">
        <v>13.469900000000001</v>
      </c>
      <c r="V199" s="7"/>
      <c r="W199" s="7" t="str">
        <f>VLOOKUP($Q199,Mapping!$E$11:$I$96,3,0)</f>
        <v>Connections</v>
      </c>
      <c r="X199" s="7" t="str">
        <f>VLOOKUP($S199,Mapping!$E$140:$K$2771,5,0)</f>
        <v>Labour</v>
      </c>
      <c r="Y199" s="7" t="str">
        <f>VLOOKUP($S199,Mapping!$E$140:$K$2771,7,0)</f>
        <v>ENDirect</v>
      </c>
      <c r="Z199" s="7" t="str">
        <f>IFERROR(HLOOKUP(X199,'Calc|Weightings'!$K$5:$M$5,1,0),"Excl")</f>
        <v>Labour</v>
      </c>
      <c r="AA199" s="7" t="str">
        <f>VLOOKUP(Q199,Mapping!$E$11:$I$96,5,0)</f>
        <v>SCS</v>
      </c>
      <c r="AC199" s="111">
        <v>106</v>
      </c>
      <c r="AD199" s="111" t="s">
        <v>2119</v>
      </c>
      <c r="AE199" s="111">
        <v>613291</v>
      </c>
      <c r="AF199" s="111" t="s">
        <v>2094</v>
      </c>
      <c r="AG199" s="112">
        <v>6.4713099999999999</v>
      </c>
      <c r="AI199" s="7" t="str">
        <f>VLOOKUP($AC199,Mapping!$E$11:$I$96,3,0)</f>
        <v>Connections</v>
      </c>
      <c r="AJ199" s="7" t="str">
        <f>VLOOKUP($AE199,Mapping!$E$140:$K$2771,5,0)</f>
        <v>Labour</v>
      </c>
      <c r="AK199" s="7" t="str">
        <f>VLOOKUP($AE199,Mapping!$E$140:$K$2771,7,0)</f>
        <v>ENDirect</v>
      </c>
      <c r="AL199" s="7" t="str">
        <f>IFERROR(HLOOKUP(AJ199,'Calc|Weightings'!$K$5:$M$5,1,0),"Excl")</f>
        <v>Labour</v>
      </c>
      <c r="AM199" s="7" t="str">
        <f>VLOOKUP(AC199,Mapping!$E$11:$I$96,5,0)</f>
        <v>SCS</v>
      </c>
      <c r="AO199" s="134">
        <v>106</v>
      </c>
      <c r="AP199" s="135" t="s">
        <v>2119</v>
      </c>
      <c r="AQ199" s="135">
        <v>613575</v>
      </c>
      <c r="AR199" s="135" t="s">
        <v>1489</v>
      </c>
      <c r="AS199" s="136">
        <v>5.2068000000000003</v>
      </c>
      <c r="AU199" s="7" t="str">
        <f>VLOOKUP($AO199,Mapping!$E$11:$I$96,3,0)</f>
        <v>Connections</v>
      </c>
      <c r="AV199" s="7" t="str">
        <f>VLOOKUP($AQ199,Mapping!$E$140:$K$2771,5,0)</f>
        <v>Labour</v>
      </c>
      <c r="AW199" s="7" t="str">
        <f>VLOOKUP($AQ199,Mapping!$E$140:$K$2771,7,0)</f>
        <v>ENDirect</v>
      </c>
      <c r="AX199" s="7" t="str">
        <f>IFERROR(HLOOKUP(AV199,'Calc|Weightings'!$K$5:$M$5,1,0),"Excl")</f>
        <v>Labour</v>
      </c>
      <c r="AY199" s="7" t="str">
        <f>VLOOKUP(AO199,Mapping!$E$11:$I$96,5,0)</f>
        <v>SCS</v>
      </c>
    </row>
    <row r="200" spans="1:51" x14ac:dyDescent="0.2">
      <c r="A200" s="7"/>
      <c r="B200" s="7"/>
      <c r="C200" s="7"/>
      <c r="D200" s="7"/>
      <c r="E200" s="36">
        <v>106</v>
      </c>
      <c r="F200" s="36" t="s">
        <v>2119</v>
      </c>
      <c r="G200" s="36">
        <v>612210</v>
      </c>
      <c r="H200" s="36" t="s">
        <v>1184</v>
      </c>
      <c r="I200" s="37">
        <v>39.775849999999998</v>
      </c>
      <c r="J200" s="7"/>
      <c r="K200" s="7" t="str">
        <f>VLOOKUP($E200,Mapping!$E$11:$I$96,3,0)</f>
        <v>Connections</v>
      </c>
      <c r="L200" s="7" t="str">
        <f>VLOOKUP($G200,Mapping!$E$140:$K$2771,5,0)</f>
        <v>Labour</v>
      </c>
      <c r="M200" s="7" t="str">
        <f>VLOOKUP($G200,Mapping!$E$140:$K$2771,7,0)</f>
        <v>ENDirect</v>
      </c>
      <c r="N200" s="7" t="str">
        <f>IFERROR(HLOOKUP(L200,'Calc|Weightings'!$K$5:$M$5,1,0),"Excl")</f>
        <v>Labour</v>
      </c>
      <c r="O200" s="7" t="str">
        <f>VLOOKUP(E200,Mapping!$E$11:$I$96,5,0)</f>
        <v>SCS</v>
      </c>
      <c r="Q200" s="33">
        <v>106</v>
      </c>
      <c r="R200" s="33" t="s">
        <v>2119</v>
      </c>
      <c r="S200" s="33">
        <v>613570</v>
      </c>
      <c r="T200" s="33" t="s">
        <v>1484</v>
      </c>
      <c r="U200" s="34">
        <v>9.3045799999999996</v>
      </c>
      <c r="V200" s="7"/>
      <c r="W200" s="7" t="str">
        <f>VLOOKUP($Q200,Mapping!$E$11:$I$96,3,0)</f>
        <v>Connections</v>
      </c>
      <c r="X200" s="7" t="str">
        <f>VLOOKUP($S200,Mapping!$E$140:$K$2771,5,0)</f>
        <v>Labour</v>
      </c>
      <c r="Y200" s="7" t="str">
        <f>VLOOKUP($S200,Mapping!$E$140:$K$2771,7,0)</f>
        <v>ENDirect</v>
      </c>
      <c r="Z200" s="7" t="str">
        <f>IFERROR(HLOOKUP(X200,'Calc|Weightings'!$K$5:$M$5,1,0),"Excl")</f>
        <v>Labour</v>
      </c>
      <c r="AA200" s="7" t="str">
        <f>VLOOKUP(Q200,Mapping!$E$11:$I$96,5,0)</f>
        <v>SCS</v>
      </c>
      <c r="AC200" s="111">
        <v>106</v>
      </c>
      <c r="AD200" s="111" t="s">
        <v>2119</v>
      </c>
      <c r="AE200" s="111">
        <v>613298</v>
      </c>
      <c r="AF200" s="111" t="s">
        <v>2122</v>
      </c>
      <c r="AG200" s="112">
        <v>-0.80818000000000001</v>
      </c>
      <c r="AI200" s="7" t="str">
        <f>VLOOKUP($AC200,Mapping!$E$11:$I$96,3,0)</f>
        <v>Connections</v>
      </c>
      <c r="AJ200" s="7" t="str">
        <f>VLOOKUP($AE200,Mapping!$E$140:$K$2771,5,0)</f>
        <v>Labour</v>
      </c>
      <c r="AK200" s="7" t="str">
        <f>VLOOKUP($AE200,Mapping!$E$140:$K$2771,7,0)</f>
        <v>ENDirect</v>
      </c>
      <c r="AL200" s="7" t="str">
        <f>IFERROR(HLOOKUP(AJ200,'Calc|Weightings'!$K$5:$M$5,1,0),"Excl")</f>
        <v>Labour</v>
      </c>
      <c r="AM200" s="7" t="str">
        <f>VLOOKUP(AC200,Mapping!$E$11:$I$96,5,0)</f>
        <v>SCS</v>
      </c>
      <c r="AO200" s="134">
        <v>106</v>
      </c>
      <c r="AP200" s="135" t="s">
        <v>2119</v>
      </c>
      <c r="AQ200" s="135">
        <v>613576</v>
      </c>
      <c r="AR200" s="135" t="s">
        <v>1490</v>
      </c>
      <c r="AS200" s="136">
        <v>71.053200000000004</v>
      </c>
      <c r="AU200" s="7" t="str">
        <f>VLOOKUP($AO200,Mapping!$E$11:$I$96,3,0)</f>
        <v>Connections</v>
      </c>
      <c r="AV200" s="7" t="str">
        <f>VLOOKUP($AQ200,Mapping!$E$140:$K$2771,5,0)</f>
        <v>Labour</v>
      </c>
      <c r="AW200" s="7" t="str">
        <f>VLOOKUP($AQ200,Mapping!$E$140:$K$2771,7,0)</f>
        <v>ENDirect</v>
      </c>
      <c r="AX200" s="7" t="str">
        <f>IFERROR(HLOOKUP(AV200,'Calc|Weightings'!$K$5:$M$5,1,0),"Excl")</f>
        <v>Labour</v>
      </c>
      <c r="AY200" s="7" t="str">
        <f>VLOOKUP(AO200,Mapping!$E$11:$I$96,5,0)</f>
        <v>SCS</v>
      </c>
    </row>
    <row r="201" spans="1:51" x14ac:dyDescent="0.2">
      <c r="A201" s="7"/>
      <c r="B201" s="7"/>
      <c r="C201" s="7"/>
      <c r="D201" s="7"/>
      <c r="E201" s="36">
        <v>106</v>
      </c>
      <c r="F201" s="36" t="s">
        <v>2119</v>
      </c>
      <c r="G201" s="36">
        <v>612211</v>
      </c>
      <c r="H201" s="36" t="s">
        <v>1185</v>
      </c>
      <c r="I201" s="37">
        <v>0.58401999999999998</v>
      </c>
      <c r="J201" s="7"/>
      <c r="K201" s="7" t="str">
        <f>VLOOKUP($E201,Mapping!$E$11:$I$96,3,0)</f>
        <v>Connections</v>
      </c>
      <c r="L201" s="7" t="str">
        <f>VLOOKUP($G201,Mapping!$E$140:$K$2771,5,0)</f>
        <v>Labour</v>
      </c>
      <c r="M201" s="7" t="str">
        <f>VLOOKUP($G201,Mapping!$E$140:$K$2771,7,0)</f>
        <v>ENDirect</v>
      </c>
      <c r="N201" s="7" t="str">
        <f>IFERROR(HLOOKUP(L201,'Calc|Weightings'!$K$5:$M$5,1,0),"Excl")</f>
        <v>Labour</v>
      </c>
      <c r="O201" s="7" t="str">
        <f>VLOOKUP(E201,Mapping!$E$11:$I$96,5,0)</f>
        <v>SCS</v>
      </c>
      <c r="Q201" s="33">
        <v>106</v>
      </c>
      <c r="R201" s="33" t="s">
        <v>2119</v>
      </c>
      <c r="S201" s="33">
        <v>613571</v>
      </c>
      <c r="T201" s="33" t="s">
        <v>1485</v>
      </c>
      <c r="U201" s="34">
        <v>3.0826099999999999</v>
      </c>
      <c r="V201" s="7"/>
      <c r="W201" s="7" t="str">
        <f>VLOOKUP($Q201,Mapping!$E$11:$I$96,3,0)</f>
        <v>Connections</v>
      </c>
      <c r="X201" s="7" t="str">
        <f>VLOOKUP($S201,Mapping!$E$140:$K$2771,5,0)</f>
        <v>Labour</v>
      </c>
      <c r="Y201" s="7" t="str">
        <f>VLOOKUP($S201,Mapping!$E$140:$K$2771,7,0)</f>
        <v>ENDirect</v>
      </c>
      <c r="Z201" s="7" t="str">
        <f>IFERROR(HLOOKUP(X201,'Calc|Weightings'!$K$5:$M$5,1,0),"Excl")</f>
        <v>Labour</v>
      </c>
      <c r="AA201" s="7" t="str">
        <f>VLOOKUP(Q201,Mapping!$E$11:$I$96,5,0)</f>
        <v>SCS</v>
      </c>
      <c r="AC201" s="111">
        <v>106</v>
      </c>
      <c r="AD201" s="111" t="s">
        <v>2119</v>
      </c>
      <c r="AE201" s="111">
        <v>613310</v>
      </c>
      <c r="AF201" s="111" t="s">
        <v>2095</v>
      </c>
      <c r="AG201" s="112">
        <v>46.105269999999997</v>
      </c>
      <c r="AI201" s="7" t="str">
        <f>VLOOKUP($AC201,Mapping!$E$11:$I$96,3,0)</f>
        <v>Connections</v>
      </c>
      <c r="AJ201" s="7" t="str">
        <f>VLOOKUP($AE201,Mapping!$E$140:$K$2771,5,0)</f>
        <v>Labour</v>
      </c>
      <c r="AK201" s="7" t="str">
        <f>VLOOKUP($AE201,Mapping!$E$140:$K$2771,7,0)</f>
        <v>ENDirect</v>
      </c>
      <c r="AL201" s="7" t="str">
        <f>IFERROR(HLOOKUP(AJ201,'Calc|Weightings'!$K$5:$M$5,1,0),"Excl")</f>
        <v>Labour</v>
      </c>
      <c r="AM201" s="7" t="str">
        <f>VLOOKUP(AC201,Mapping!$E$11:$I$96,5,0)</f>
        <v>SCS</v>
      </c>
      <c r="AO201" s="134">
        <v>106</v>
      </c>
      <c r="AP201" s="135" t="s">
        <v>2119</v>
      </c>
      <c r="AQ201" s="135">
        <v>613577</v>
      </c>
      <c r="AR201" s="135" t="s">
        <v>1491</v>
      </c>
      <c r="AS201" s="136">
        <v>8.2536299999999994</v>
      </c>
      <c r="AU201" s="7" t="str">
        <f>VLOOKUP($AO201,Mapping!$E$11:$I$96,3,0)</f>
        <v>Connections</v>
      </c>
      <c r="AV201" s="7" t="str">
        <f>VLOOKUP($AQ201,Mapping!$E$140:$K$2771,5,0)</f>
        <v>Labour</v>
      </c>
      <c r="AW201" s="7" t="str">
        <f>VLOOKUP($AQ201,Mapping!$E$140:$K$2771,7,0)</f>
        <v>ENDirect</v>
      </c>
      <c r="AX201" s="7" t="str">
        <f>IFERROR(HLOOKUP(AV201,'Calc|Weightings'!$K$5:$M$5,1,0),"Excl")</f>
        <v>Labour</v>
      </c>
      <c r="AY201" s="7" t="str">
        <f>VLOOKUP(AO201,Mapping!$E$11:$I$96,5,0)</f>
        <v>SCS</v>
      </c>
    </row>
    <row r="202" spans="1:51" x14ac:dyDescent="0.2">
      <c r="A202" s="7"/>
      <c r="B202" s="7"/>
      <c r="C202" s="7"/>
      <c r="D202" s="7"/>
      <c r="E202" s="36">
        <v>106</v>
      </c>
      <c r="F202" s="36" t="s">
        <v>2119</v>
      </c>
      <c r="G202" s="36">
        <v>612221</v>
      </c>
      <c r="H202" s="36" t="s">
        <v>2354</v>
      </c>
      <c r="I202" s="37">
        <v>1.2908999999999999</v>
      </c>
      <c r="J202" s="7"/>
      <c r="K202" s="7" t="str">
        <f>VLOOKUP($E202,Mapping!$E$11:$I$96,3,0)</f>
        <v>Connections</v>
      </c>
      <c r="L202" s="7" t="str">
        <f>VLOOKUP($G202,Mapping!$E$140:$K$2771,5,0)</f>
        <v>Labour</v>
      </c>
      <c r="M202" s="7" t="str">
        <f>VLOOKUP($G202,Mapping!$E$140:$K$2771,7,0)</f>
        <v>ENDirect</v>
      </c>
      <c r="N202" s="7" t="str">
        <f>IFERROR(HLOOKUP(L202,'Calc|Weightings'!$K$5:$M$5,1,0),"Excl")</f>
        <v>Labour</v>
      </c>
      <c r="O202" s="7" t="str">
        <f>VLOOKUP(E202,Mapping!$E$11:$I$96,5,0)</f>
        <v>SCS</v>
      </c>
      <c r="Q202" s="33">
        <v>106</v>
      </c>
      <c r="R202" s="33" t="s">
        <v>2119</v>
      </c>
      <c r="S202" s="33">
        <v>613574</v>
      </c>
      <c r="T202" s="33" t="s">
        <v>1488</v>
      </c>
      <c r="U202" s="34">
        <v>184.39838</v>
      </c>
      <c r="V202" s="7"/>
      <c r="W202" s="7" t="str">
        <f>VLOOKUP($Q202,Mapping!$E$11:$I$96,3,0)</f>
        <v>Connections</v>
      </c>
      <c r="X202" s="7" t="str">
        <f>VLOOKUP($S202,Mapping!$E$140:$K$2771,5,0)</f>
        <v>Labour</v>
      </c>
      <c r="Y202" s="7" t="str">
        <f>VLOOKUP($S202,Mapping!$E$140:$K$2771,7,0)</f>
        <v>ENDirect</v>
      </c>
      <c r="Z202" s="7" t="str">
        <f>IFERROR(HLOOKUP(X202,'Calc|Weightings'!$K$5:$M$5,1,0),"Excl")</f>
        <v>Labour</v>
      </c>
      <c r="AA202" s="7" t="str">
        <f>VLOOKUP(Q202,Mapping!$E$11:$I$96,5,0)</f>
        <v>SCS</v>
      </c>
      <c r="AC202" s="111">
        <v>106</v>
      </c>
      <c r="AD202" s="111" t="s">
        <v>2119</v>
      </c>
      <c r="AE202" s="111">
        <v>613350</v>
      </c>
      <c r="AF202" s="111" t="s">
        <v>2096</v>
      </c>
      <c r="AG202" s="112">
        <v>10.32231</v>
      </c>
      <c r="AI202" s="7" t="str">
        <f>VLOOKUP($AC202,Mapping!$E$11:$I$96,3,0)</f>
        <v>Connections</v>
      </c>
      <c r="AJ202" s="7" t="str">
        <f>VLOOKUP($AE202,Mapping!$E$140:$K$2771,5,0)</f>
        <v>Labour</v>
      </c>
      <c r="AK202" s="7" t="str">
        <f>VLOOKUP($AE202,Mapping!$E$140:$K$2771,7,0)</f>
        <v>ENDirect</v>
      </c>
      <c r="AL202" s="7" t="str">
        <f>IFERROR(HLOOKUP(AJ202,'Calc|Weightings'!$K$5:$M$5,1,0),"Excl")</f>
        <v>Labour</v>
      </c>
      <c r="AM202" s="7" t="str">
        <f>VLOOKUP(AC202,Mapping!$E$11:$I$96,5,0)</f>
        <v>SCS</v>
      </c>
      <c r="AO202" s="134">
        <v>106</v>
      </c>
      <c r="AP202" s="135" t="s">
        <v>2119</v>
      </c>
      <c r="AQ202" s="135">
        <v>613602</v>
      </c>
      <c r="AR202" s="135" t="s">
        <v>1494</v>
      </c>
      <c r="AS202" s="136">
        <v>11.274089999999999</v>
      </c>
      <c r="AU202" s="7" t="str">
        <f>VLOOKUP($AO202,Mapping!$E$11:$I$96,3,0)</f>
        <v>Connections</v>
      </c>
      <c r="AV202" s="7" t="str">
        <f>VLOOKUP($AQ202,Mapping!$E$140:$K$2771,5,0)</f>
        <v>Labour</v>
      </c>
      <c r="AW202" s="7" t="str">
        <f>VLOOKUP($AQ202,Mapping!$E$140:$K$2771,7,0)</f>
        <v>ENDirect</v>
      </c>
      <c r="AX202" s="7" t="str">
        <f>IFERROR(HLOOKUP(AV202,'Calc|Weightings'!$K$5:$M$5,1,0),"Excl")</f>
        <v>Labour</v>
      </c>
      <c r="AY202" s="7" t="str">
        <f>VLOOKUP(AO202,Mapping!$E$11:$I$96,5,0)</f>
        <v>SCS</v>
      </c>
    </row>
    <row r="203" spans="1:51" x14ac:dyDescent="0.2">
      <c r="A203" s="7"/>
      <c r="B203" s="7"/>
      <c r="C203" s="7"/>
      <c r="D203" s="7"/>
      <c r="E203" s="36">
        <v>106</v>
      </c>
      <c r="F203" s="36" t="s">
        <v>2119</v>
      </c>
      <c r="G203" s="36">
        <v>612460</v>
      </c>
      <c r="H203" s="36" t="s">
        <v>1243</v>
      </c>
      <c r="I203" s="37">
        <v>17.089690000000001</v>
      </c>
      <c r="J203" s="7"/>
      <c r="K203" s="7" t="str">
        <f>VLOOKUP($E203,Mapping!$E$11:$I$96,3,0)</f>
        <v>Connections</v>
      </c>
      <c r="L203" s="7" t="str">
        <f>VLOOKUP($G203,Mapping!$E$140:$K$2771,5,0)</f>
        <v>Labour</v>
      </c>
      <c r="M203" s="7" t="str">
        <f>VLOOKUP($G203,Mapping!$E$140:$K$2771,7,0)</f>
        <v>ENDirect</v>
      </c>
      <c r="N203" s="7" t="str">
        <f>IFERROR(HLOOKUP(L203,'Calc|Weightings'!$K$5:$M$5,1,0),"Excl")</f>
        <v>Labour</v>
      </c>
      <c r="O203" s="7" t="str">
        <f>VLOOKUP(E203,Mapping!$E$11:$I$96,5,0)</f>
        <v>SCS</v>
      </c>
      <c r="Q203" s="33">
        <v>106</v>
      </c>
      <c r="R203" s="33" t="s">
        <v>2119</v>
      </c>
      <c r="S203" s="33">
        <v>613575</v>
      </c>
      <c r="T203" s="33" t="s">
        <v>1489</v>
      </c>
      <c r="U203" s="34">
        <v>4.1366100000000001</v>
      </c>
      <c r="V203" s="7"/>
      <c r="W203" s="7" t="str">
        <f>VLOOKUP($Q203,Mapping!$E$11:$I$96,3,0)</f>
        <v>Connections</v>
      </c>
      <c r="X203" s="7" t="str">
        <f>VLOOKUP($S203,Mapping!$E$140:$K$2771,5,0)</f>
        <v>Labour</v>
      </c>
      <c r="Y203" s="7" t="str">
        <f>VLOOKUP($S203,Mapping!$E$140:$K$2771,7,0)</f>
        <v>ENDirect</v>
      </c>
      <c r="Z203" s="7" t="str">
        <f>IFERROR(HLOOKUP(X203,'Calc|Weightings'!$K$5:$M$5,1,0),"Excl")</f>
        <v>Labour</v>
      </c>
      <c r="AA203" s="7" t="str">
        <f>VLOOKUP(Q203,Mapping!$E$11:$I$96,5,0)</f>
        <v>SCS</v>
      </c>
      <c r="AC203" s="111">
        <v>106</v>
      </c>
      <c r="AD203" s="111" t="s">
        <v>2119</v>
      </c>
      <c r="AE203" s="111">
        <v>613351</v>
      </c>
      <c r="AF203" s="111" t="s">
        <v>2151</v>
      </c>
      <c r="AG203" s="112">
        <v>7.1099999999999997E-2</v>
      </c>
      <c r="AI203" s="7" t="str">
        <f>VLOOKUP($AC203,Mapping!$E$11:$I$96,3,0)</f>
        <v>Connections</v>
      </c>
      <c r="AJ203" s="7" t="str">
        <f>VLOOKUP($AE203,Mapping!$E$140:$K$2771,5,0)</f>
        <v>Labour</v>
      </c>
      <c r="AK203" s="7" t="str">
        <f>VLOOKUP($AE203,Mapping!$E$140:$K$2771,7,0)</f>
        <v>ENDirect</v>
      </c>
      <c r="AL203" s="7" t="str">
        <f>IFERROR(HLOOKUP(AJ203,'Calc|Weightings'!$K$5:$M$5,1,0),"Excl")</f>
        <v>Labour</v>
      </c>
      <c r="AM203" s="7" t="str">
        <f>VLOOKUP(AC203,Mapping!$E$11:$I$96,5,0)</f>
        <v>SCS</v>
      </c>
      <c r="AO203" s="134">
        <v>106</v>
      </c>
      <c r="AP203" s="135" t="s">
        <v>2119</v>
      </c>
      <c r="AQ203" s="135">
        <v>613630</v>
      </c>
      <c r="AR203" s="135" t="s">
        <v>1498</v>
      </c>
      <c r="AS203" s="136">
        <v>48.717599999999997</v>
      </c>
      <c r="AU203" s="7" t="str">
        <f>VLOOKUP($AO203,Mapping!$E$11:$I$96,3,0)</f>
        <v>Connections</v>
      </c>
      <c r="AV203" s="7" t="str">
        <f>VLOOKUP($AQ203,Mapping!$E$140:$K$2771,5,0)</f>
        <v>Labour</v>
      </c>
      <c r="AW203" s="7" t="str">
        <f>VLOOKUP($AQ203,Mapping!$E$140:$K$2771,7,0)</f>
        <v>ENDirect</v>
      </c>
      <c r="AX203" s="7" t="str">
        <f>IFERROR(HLOOKUP(AV203,'Calc|Weightings'!$K$5:$M$5,1,0),"Excl")</f>
        <v>Labour</v>
      </c>
      <c r="AY203" s="7" t="str">
        <f>VLOOKUP(AO203,Mapping!$E$11:$I$96,5,0)</f>
        <v>SCS</v>
      </c>
    </row>
    <row r="204" spans="1:51" x14ac:dyDescent="0.2">
      <c r="A204" s="7"/>
      <c r="B204" s="7"/>
      <c r="C204" s="7"/>
      <c r="D204" s="7"/>
      <c r="E204" s="36">
        <v>106</v>
      </c>
      <c r="F204" s="36" t="s">
        <v>2119</v>
      </c>
      <c r="G204" s="36">
        <v>613240</v>
      </c>
      <c r="H204" s="36" t="s">
        <v>2082</v>
      </c>
      <c r="I204" s="37">
        <v>2.8601899999999998</v>
      </c>
      <c r="J204" s="7"/>
      <c r="K204" s="7" t="str">
        <f>VLOOKUP($E204,Mapping!$E$11:$I$96,3,0)</f>
        <v>Connections</v>
      </c>
      <c r="L204" s="7" t="str">
        <f>VLOOKUP($G204,Mapping!$E$140:$K$2771,5,0)</f>
        <v>Labour</v>
      </c>
      <c r="M204" s="7" t="str">
        <f>VLOOKUP($G204,Mapping!$E$140:$K$2771,7,0)</f>
        <v>ENDirect</v>
      </c>
      <c r="N204" s="7" t="str">
        <f>IFERROR(HLOOKUP(L204,'Calc|Weightings'!$K$5:$M$5,1,0),"Excl")</f>
        <v>Labour</v>
      </c>
      <c r="O204" s="7" t="str">
        <f>VLOOKUP(E204,Mapping!$E$11:$I$96,5,0)</f>
        <v>SCS</v>
      </c>
      <c r="Q204" s="33">
        <v>106</v>
      </c>
      <c r="R204" s="33" t="s">
        <v>2119</v>
      </c>
      <c r="S204" s="33">
        <v>613576</v>
      </c>
      <c r="T204" s="33" t="s">
        <v>1490</v>
      </c>
      <c r="U204" s="34">
        <v>1.2819</v>
      </c>
      <c r="V204" s="7"/>
      <c r="W204" s="7" t="str">
        <f>VLOOKUP($Q204,Mapping!$E$11:$I$96,3,0)</f>
        <v>Connections</v>
      </c>
      <c r="X204" s="7" t="str">
        <f>VLOOKUP($S204,Mapping!$E$140:$K$2771,5,0)</f>
        <v>Labour</v>
      </c>
      <c r="Y204" s="7" t="str">
        <f>VLOOKUP($S204,Mapping!$E$140:$K$2771,7,0)</f>
        <v>ENDirect</v>
      </c>
      <c r="Z204" s="7" t="str">
        <f>IFERROR(HLOOKUP(X204,'Calc|Weightings'!$K$5:$M$5,1,0),"Excl")</f>
        <v>Labour</v>
      </c>
      <c r="AA204" s="7" t="str">
        <f>VLOOKUP(Q204,Mapping!$E$11:$I$96,5,0)</f>
        <v>SCS</v>
      </c>
      <c r="AC204" s="111">
        <v>106</v>
      </c>
      <c r="AD204" s="111" t="s">
        <v>2119</v>
      </c>
      <c r="AE204" s="111">
        <v>613360</v>
      </c>
      <c r="AF204" s="111" t="s">
        <v>2097</v>
      </c>
      <c r="AG204" s="112">
        <v>146.28854999999999</v>
      </c>
      <c r="AI204" s="7" t="str">
        <f>VLOOKUP($AC204,Mapping!$E$11:$I$96,3,0)</f>
        <v>Connections</v>
      </c>
      <c r="AJ204" s="7" t="str">
        <f>VLOOKUP($AE204,Mapping!$E$140:$K$2771,5,0)</f>
        <v>Labour</v>
      </c>
      <c r="AK204" s="7" t="str">
        <f>VLOOKUP($AE204,Mapping!$E$140:$K$2771,7,0)</f>
        <v>ENDirect</v>
      </c>
      <c r="AL204" s="7" t="str">
        <f>IFERROR(HLOOKUP(AJ204,'Calc|Weightings'!$K$5:$M$5,1,0),"Excl")</f>
        <v>Labour</v>
      </c>
      <c r="AM204" s="7" t="str">
        <f>VLOOKUP(AC204,Mapping!$E$11:$I$96,5,0)</f>
        <v>SCS</v>
      </c>
      <c r="AO204" s="134">
        <v>106</v>
      </c>
      <c r="AP204" s="135" t="s">
        <v>2119</v>
      </c>
      <c r="AQ204" s="135">
        <v>613680</v>
      </c>
      <c r="AR204" s="135" t="s">
        <v>2107</v>
      </c>
      <c r="AS204" s="136">
        <v>57.837989999999998</v>
      </c>
      <c r="AU204" s="7" t="str">
        <f>VLOOKUP($AO204,Mapping!$E$11:$I$96,3,0)</f>
        <v>Connections</v>
      </c>
      <c r="AV204" s="7" t="str">
        <f>VLOOKUP($AQ204,Mapping!$E$140:$K$2771,5,0)</f>
        <v>Labour</v>
      </c>
      <c r="AW204" s="7" t="str">
        <f>VLOOKUP($AQ204,Mapping!$E$140:$K$2771,7,0)</f>
        <v>ENDirect</v>
      </c>
      <c r="AX204" s="7" t="str">
        <f>IFERROR(HLOOKUP(AV204,'Calc|Weightings'!$K$5:$M$5,1,0),"Excl")</f>
        <v>Labour</v>
      </c>
      <c r="AY204" s="7" t="str">
        <f>VLOOKUP(AO204,Mapping!$E$11:$I$96,5,0)</f>
        <v>SCS</v>
      </c>
    </row>
    <row r="205" spans="1:51" x14ac:dyDescent="0.2">
      <c r="A205" s="7"/>
      <c r="B205" s="7"/>
      <c r="C205" s="7"/>
      <c r="D205" s="7"/>
      <c r="E205" s="36">
        <v>106</v>
      </c>
      <c r="F205" s="36" t="s">
        <v>2119</v>
      </c>
      <c r="G205" s="36">
        <v>613241</v>
      </c>
      <c r="H205" s="36" t="s">
        <v>2083</v>
      </c>
      <c r="I205" s="37">
        <v>1.0101899999999999</v>
      </c>
      <c r="J205" s="7"/>
      <c r="K205" s="7" t="str">
        <f>VLOOKUP($E205,Mapping!$E$11:$I$96,3,0)</f>
        <v>Connections</v>
      </c>
      <c r="L205" s="7" t="str">
        <f>VLOOKUP($G205,Mapping!$E$140:$K$2771,5,0)</f>
        <v>Labour</v>
      </c>
      <c r="M205" s="7" t="str">
        <f>VLOOKUP($G205,Mapping!$E$140:$K$2771,7,0)</f>
        <v>ENDirect</v>
      </c>
      <c r="N205" s="7" t="str">
        <f>IFERROR(HLOOKUP(L205,'Calc|Weightings'!$K$5:$M$5,1,0),"Excl")</f>
        <v>Labour</v>
      </c>
      <c r="O205" s="7" t="str">
        <f>VLOOKUP(E205,Mapping!$E$11:$I$96,5,0)</f>
        <v>SCS</v>
      </c>
      <c r="Q205" s="33">
        <v>106</v>
      </c>
      <c r="R205" s="33" t="s">
        <v>2119</v>
      </c>
      <c r="S205" s="33">
        <v>613577</v>
      </c>
      <c r="T205" s="33" t="s">
        <v>1491</v>
      </c>
      <c r="U205" s="34">
        <v>0.91139999999999999</v>
      </c>
      <c r="V205" s="7"/>
      <c r="W205" s="7" t="str">
        <f>VLOOKUP($Q205,Mapping!$E$11:$I$96,3,0)</f>
        <v>Connections</v>
      </c>
      <c r="X205" s="7" t="str">
        <f>VLOOKUP($S205,Mapping!$E$140:$K$2771,5,0)</f>
        <v>Labour</v>
      </c>
      <c r="Y205" s="7" t="str">
        <f>VLOOKUP($S205,Mapping!$E$140:$K$2771,7,0)</f>
        <v>ENDirect</v>
      </c>
      <c r="Z205" s="7" t="str">
        <f>IFERROR(HLOOKUP(X205,'Calc|Weightings'!$K$5:$M$5,1,0),"Excl")</f>
        <v>Labour</v>
      </c>
      <c r="AA205" s="7" t="str">
        <f>VLOOKUP(Q205,Mapping!$E$11:$I$96,5,0)</f>
        <v>SCS</v>
      </c>
      <c r="AC205" s="111">
        <v>106</v>
      </c>
      <c r="AD205" s="111" t="s">
        <v>2119</v>
      </c>
      <c r="AE205" s="111">
        <v>613361</v>
      </c>
      <c r="AF205" s="111" t="s">
        <v>2098</v>
      </c>
      <c r="AG205" s="112">
        <v>3.2156799999999999</v>
      </c>
      <c r="AI205" s="7" t="str">
        <f>VLOOKUP($AC205,Mapping!$E$11:$I$96,3,0)</f>
        <v>Connections</v>
      </c>
      <c r="AJ205" s="7" t="str">
        <f>VLOOKUP($AE205,Mapping!$E$140:$K$2771,5,0)</f>
        <v>Labour</v>
      </c>
      <c r="AK205" s="7" t="str">
        <f>VLOOKUP($AE205,Mapping!$E$140:$K$2771,7,0)</f>
        <v>ENDirect</v>
      </c>
      <c r="AL205" s="7" t="str">
        <f>IFERROR(HLOOKUP(AJ205,'Calc|Weightings'!$K$5:$M$5,1,0),"Excl")</f>
        <v>Labour</v>
      </c>
      <c r="AM205" s="7" t="str">
        <f>VLOOKUP(AC205,Mapping!$E$11:$I$96,5,0)</f>
        <v>SCS</v>
      </c>
      <c r="AO205" s="134">
        <v>106</v>
      </c>
      <c r="AP205" s="135" t="s">
        <v>2119</v>
      </c>
      <c r="AQ205" s="135">
        <v>614115</v>
      </c>
      <c r="AR205" s="135" t="s">
        <v>2109</v>
      </c>
      <c r="AS205" s="136">
        <v>30.841049999999999</v>
      </c>
      <c r="AU205" s="7" t="str">
        <f>VLOOKUP($AO205,Mapping!$E$11:$I$96,3,0)</f>
        <v>Connections</v>
      </c>
      <c r="AV205" s="7" t="str">
        <f>VLOOKUP($AQ205,Mapping!$E$140:$K$2771,5,0)</f>
        <v>Labour</v>
      </c>
      <c r="AW205" s="7" t="str">
        <f>VLOOKUP($AQ205,Mapping!$E$140:$K$2771,7,0)</f>
        <v>ENDirect</v>
      </c>
      <c r="AX205" s="7" t="str">
        <f>IFERROR(HLOOKUP(AV205,'Calc|Weightings'!$K$5:$M$5,1,0),"Excl")</f>
        <v>Labour</v>
      </c>
      <c r="AY205" s="7" t="str">
        <f>VLOOKUP(AO205,Mapping!$E$11:$I$96,5,0)</f>
        <v>SCS</v>
      </c>
    </row>
    <row r="206" spans="1:51" x14ac:dyDescent="0.2">
      <c r="A206" s="7"/>
      <c r="B206" s="7"/>
      <c r="C206" s="7"/>
      <c r="D206" s="7"/>
      <c r="E206" s="36">
        <v>106</v>
      </c>
      <c r="F206" s="36" t="s">
        <v>2119</v>
      </c>
      <c r="G206" s="36">
        <v>613248</v>
      </c>
      <c r="H206" s="36" t="s">
        <v>2383</v>
      </c>
      <c r="I206" s="37">
        <v>76.166120000000006</v>
      </c>
      <c r="J206" s="7"/>
      <c r="K206" s="7" t="str">
        <f>VLOOKUP($E206,Mapping!$E$11:$I$96,3,0)</f>
        <v>Connections</v>
      </c>
      <c r="L206" s="7" t="str">
        <f>VLOOKUP($G206,Mapping!$E$140:$K$2771,5,0)</f>
        <v>Labour</v>
      </c>
      <c r="M206" s="7" t="str">
        <f>VLOOKUP($G206,Mapping!$E$140:$K$2771,7,0)</f>
        <v>ENDirect</v>
      </c>
      <c r="N206" s="7" t="str">
        <f>IFERROR(HLOOKUP(L206,'Calc|Weightings'!$K$5:$M$5,1,0),"Excl")</f>
        <v>Labour</v>
      </c>
      <c r="O206" s="7" t="str">
        <f>VLOOKUP(E206,Mapping!$E$11:$I$96,5,0)</f>
        <v>SCS</v>
      </c>
      <c r="Q206" s="33">
        <v>106</v>
      </c>
      <c r="R206" s="33" t="s">
        <v>2119</v>
      </c>
      <c r="S206" s="33">
        <v>613602</v>
      </c>
      <c r="T206" s="33" t="s">
        <v>1494</v>
      </c>
      <c r="U206" s="34">
        <v>1.7946599999999999</v>
      </c>
      <c r="V206" s="7"/>
      <c r="W206" s="7" t="str">
        <f>VLOOKUP($Q206,Mapping!$E$11:$I$96,3,0)</f>
        <v>Connections</v>
      </c>
      <c r="X206" s="7" t="str">
        <f>VLOOKUP($S206,Mapping!$E$140:$K$2771,5,0)</f>
        <v>Labour</v>
      </c>
      <c r="Y206" s="7" t="str">
        <f>VLOOKUP($S206,Mapping!$E$140:$K$2771,7,0)</f>
        <v>ENDirect</v>
      </c>
      <c r="Z206" s="7" t="str">
        <f>IFERROR(HLOOKUP(X206,'Calc|Weightings'!$K$5:$M$5,1,0),"Excl")</f>
        <v>Labour</v>
      </c>
      <c r="AA206" s="7" t="str">
        <f>VLOOKUP(Q206,Mapping!$E$11:$I$96,5,0)</f>
        <v>SCS</v>
      </c>
      <c r="AC206" s="111">
        <v>106</v>
      </c>
      <c r="AD206" s="111" t="s">
        <v>2119</v>
      </c>
      <c r="AE206" s="111">
        <v>613370</v>
      </c>
      <c r="AF206" s="111" t="s">
        <v>1402</v>
      </c>
      <c r="AG206" s="112">
        <v>23.966830000000002</v>
      </c>
      <c r="AI206" s="7" t="str">
        <f>VLOOKUP($AC206,Mapping!$E$11:$I$96,3,0)</f>
        <v>Connections</v>
      </c>
      <c r="AJ206" s="7" t="str">
        <f>VLOOKUP($AE206,Mapping!$E$140:$K$2771,5,0)</f>
        <v>Labour</v>
      </c>
      <c r="AK206" s="7" t="str">
        <f>VLOOKUP($AE206,Mapping!$E$140:$K$2771,7,0)</f>
        <v>ENDirect</v>
      </c>
      <c r="AL206" s="7" t="str">
        <f>IFERROR(HLOOKUP(AJ206,'Calc|Weightings'!$K$5:$M$5,1,0),"Excl")</f>
        <v>Labour</v>
      </c>
      <c r="AM206" s="7" t="str">
        <f>VLOOKUP(AC206,Mapping!$E$11:$I$96,5,0)</f>
        <v>SCS</v>
      </c>
      <c r="AO206" s="134">
        <v>106</v>
      </c>
      <c r="AP206" s="135" t="s">
        <v>2119</v>
      </c>
      <c r="AQ206" s="135">
        <v>634001</v>
      </c>
      <c r="AR206" s="135" t="s">
        <v>2110</v>
      </c>
      <c r="AS206" s="136">
        <v>593.77849000000003</v>
      </c>
      <c r="AU206" s="7" t="str">
        <f>VLOOKUP($AO206,Mapping!$E$11:$I$96,3,0)</f>
        <v>Connections</v>
      </c>
      <c r="AV206" s="7" t="str">
        <f>VLOOKUP($AQ206,Mapping!$E$140:$K$2771,5,0)</f>
        <v>Local OH</v>
      </c>
      <c r="AW206" s="7" t="str">
        <f>VLOOKUP($AQ206,Mapping!$E$140:$K$2771,7,0)</f>
        <v>OH</v>
      </c>
      <c r="AX206" s="7" t="str">
        <f>IFERROR(HLOOKUP(AV206,'Calc|Weightings'!$K$5:$M$5,1,0),"Excl")</f>
        <v>Excl</v>
      </c>
      <c r="AY206" s="7" t="str">
        <f>VLOOKUP(AO206,Mapping!$E$11:$I$96,5,0)</f>
        <v>SCS</v>
      </c>
    </row>
    <row r="207" spans="1:51" x14ac:dyDescent="0.2">
      <c r="A207" s="7"/>
      <c r="B207" s="7"/>
      <c r="C207" s="7"/>
      <c r="D207" s="7"/>
      <c r="E207" s="36">
        <v>106</v>
      </c>
      <c r="F207" s="36" t="s">
        <v>2119</v>
      </c>
      <c r="G207" s="36">
        <v>613249</v>
      </c>
      <c r="H207" s="36" t="s">
        <v>2384</v>
      </c>
      <c r="I207" s="37">
        <v>6.2680800000000003</v>
      </c>
      <c r="J207" s="7"/>
      <c r="K207" s="7" t="str">
        <f>VLOOKUP($E207,Mapping!$E$11:$I$96,3,0)</f>
        <v>Connections</v>
      </c>
      <c r="L207" s="7" t="str">
        <f>VLOOKUP($G207,Mapping!$E$140:$K$2771,5,0)</f>
        <v>Labour</v>
      </c>
      <c r="M207" s="7" t="str">
        <f>VLOOKUP($G207,Mapping!$E$140:$K$2771,7,0)</f>
        <v>ENDirect</v>
      </c>
      <c r="N207" s="7" t="str">
        <f>IFERROR(HLOOKUP(L207,'Calc|Weightings'!$K$5:$M$5,1,0),"Excl")</f>
        <v>Labour</v>
      </c>
      <c r="O207" s="7" t="str">
        <f>VLOOKUP(E207,Mapping!$E$11:$I$96,5,0)</f>
        <v>SCS</v>
      </c>
      <c r="Q207" s="33">
        <v>106</v>
      </c>
      <c r="R207" s="33" t="s">
        <v>2119</v>
      </c>
      <c r="S207" s="33">
        <v>613630</v>
      </c>
      <c r="T207" s="33" t="s">
        <v>1498</v>
      </c>
      <c r="U207" s="34">
        <v>7.3304799999999997</v>
      </c>
      <c r="V207" s="7"/>
      <c r="W207" s="7" t="str">
        <f>VLOOKUP($Q207,Mapping!$E$11:$I$96,3,0)</f>
        <v>Connections</v>
      </c>
      <c r="X207" s="7" t="str">
        <f>VLOOKUP($S207,Mapping!$E$140:$K$2771,5,0)</f>
        <v>Labour</v>
      </c>
      <c r="Y207" s="7" t="str">
        <f>VLOOKUP($S207,Mapping!$E$140:$K$2771,7,0)</f>
        <v>ENDirect</v>
      </c>
      <c r="Z207" s="7" t="str">
        <f>IFERROR(HLOOKUP(X207,'Calc|Weightings'!$K$5:$M$5,1,0),"Excl")</f>
        <v>Labour</v>
      </c>
      <c r="AA207" s="7" t="str">
        <f>VLOOKUP(Q207,Mapping!$E$11:$I$96,5,0)</f>
        <v>SCS</v>
      </c>
      <c r="AC207" s="111">
        <v>106</v>
      </c>
      <c r="AD207" s="111" t="s">
        <v>2119</v>
      </c>
      <c r="AE207" s="111">
        <v>613371</v>
      </c>
      <c r="AF207" s="111" t="s">
        <v>1403</v>
      </c>
      <c r="AG207" s="112">
        <v>2.5841799999999999</v>
      </c>
      <c r="AI207" s="7" t="str">
        <f>VLOOKUP($AC207,Mapping!$E$11:$I$96,3,0)</f>
        <v>Connections</v>
      </c>
      <c r="AJ207" s="7" t="str">
        <f>VLOOKUP($AE207,Mapping!$E$140:$K$2771,5,0)</f>
        <v>Labour</v>
      </c>
      <c r="AK207" s="7" t="str">
        <f>VLOOKUP($AE207,Mapping!$E$140:$K$2771,7,0)</f>
        <v>ENDirect</v>
      </c>
      <c r="AL207" s="7" t="str">
        <f>IFERROR(HLOOKUP(AJ207,'Calc|Weightings'!$K$5:$M$5,1,0),"Excl")</f>
        <v>Labour</v>
      </c>
      <c r="AM207" s="7" t="str">
        <f>VLOOKUP(AC207,Mapping!$E$11:$I$96,5,0)</f>
        <v>SCS</v>
      </c>
      <c r="AO207" s="134">
        <v>106</v>
      </c>
      <c r="AP207" s="135" t="s">
        <v>2119</v>
      </c>
      <c r="AQ207" s="135">
        <v>635001</v>
      </c>
      <c r="AR207" s="135" t="s">
        <v>1929</v>
      </c>
      <c r="AS207" s="136">
        <v>458.06101999999998</v>
      </c>
      <c r="AU207" s="7" t="str">
        <f>VLOOKUP($AO207,Mapping!$E$11:$I$96,3,0)</f>
        <v>Connections</v>
      </c>
      <c r="AV207" s="7" t="str">
        <f>VLOOKUP($AQ207,Mapping!$E$140:$K$2771,5,0)</f>
        <v>PNS MG</v>
      </c>
      <c r="AW207" s="7" t="str">
        <f>VLOOKUP($AQ207,Mapping!$E$140:$K$2771,7,0)</f>
        <v>ENDirect</v>
      </c>
      <c r="AX207" s="7" t="str">
        <f>IFERROR(HLOOKUP(AV207,'Calc|Weightings'!$K$5:$M$5,1,0),"Excl")</f>
        <v>Excl</v>
      </c>
      <c r="AY207" s="7" t="str">
        <f>VLOOKUP(AO207,Mapping!$E$11:$I$96,5,0)</f>
        <v>SCS</v>
      </c>
    </row>
    <row r="208" spans="1:51" x14ac:dyDescent="0.2">
      <c r="A208" s="7"/>
      <c r="B208" s="7"/>
      <c r="C208" s="7"/>
      <c r="D208" s="7"/>
      <c r="E208" s="36">
        <v>106</v>
      </c>
      <c r="F208" s="36" t="s">
        <v>2119</v>
      </c>
      <c r="G208" s="36">
        <v>613250</v>
      </c>
      <c r="H208" s="36" t="s">
        <v>2086</v>
      </c>
      <c r="I208" s="37">
        <v>3.3285</v>
      </c>
      <c r="J208" s="7"/>
      <c r="K208" s="7" t="str">
        <f>VLOOKUP($E208,Mapping!$E$11:$I$96,3,0)</f>
        <v>Connections</v>
      </c>
      <c r="L208" s="7" t="str">
        <f>VLOOKUP($G208,Mapping!$E$140:$K$2771,5,0)</f>
        <v>Labour</v>
      </c>
      <c r="M208" s="7" t="str">
        <f>VLOOKUP($G208,Mapping!$E$140:$K$2771,7,0)</f>
        <v>ENDirect</v>
      </c>
      <c r="N208" s="7" t="str">
        <f>IFERROR(HLOOKUP(L208,'Calc|Weightings'!$K$5:$M$5,1,0),"Excl")</f>
        <v>Labour</v>
      </c>
      <c r="O208" s="7" t="str">
        <f>VLOOKUP(E208,Mapping!$E$11:$I$96,5,0)</f>
        <v>SCS</v>
      </c>
      <c r="Q208" s="33">
        <v>106</v>
      </c>
      <c r="R208" s="33" t="s">
        <v>2119</v>
      </c>
      <c r="S208" s="33">
        <v>613680</v>
      </c>
      <c r="T208" s="33" t="s">
        <v>2107</v>
      </c>
      <c r="U208" s="34">
        <v>72.405060000000006</v>
      </c>
      <c r="V208" s="7"/>
      <c r="W208" s="7" t="str">
        <f>VLOOKUP($Q208,Mapping!$E$11:$I$96,3,0)</f>
        <v>Connections</v>
      </c>
      <c r="X208" s="7" t="str">
        <f>VLOOKUP($S208,Mapping!$E$140:$K$2771,5,0)</f>
        <v>Labour</v>
      </c>
      <c r="Y208" s="7" t="str">
        <f>VLOOKUP($S208,Mapping!$E$140:$K$2771,7,0)</f>
        <v>ENDirect</v>
      </c>
      <c r="Z208" s="7" t="str">
        <f>IFERROR(HLOOKUP(X208,'Calc|Weightings'!$K$5:$M$5,1,0),"Excl")</f>
        <v>Labour</v>
      </c>
      <c r="AA208" s="7" t="str">
        <f>VLOOKUP(Q208,Mapping!$E$11:$I$96,5,0)</f>
        <v>SCS</v>
      </c>
      <c r="AC208" s="111">
        <v>106</v>
      </c>
      <c r="AD208" s="111" t="s">
        <v>2119</v>
      </c>
      <c r="AE208" s="111">
        <v>613400</v>
      </c>
      <c r="AF208" s="111" t="s">
        <v>2099</v>
      </c>
      <c r="AG208" s="112">
        <v>64.301590000000004</v>
      </c>
      <c r="AI208" s="7" t="str">
        <f>VLOOKUP($AC208,Mapping!$E$11:$I$96,3,0)</f>
        <v>Connections</v>
      </c>
      <c r="AJ208" s="7" t="str">
        <f>VLOOKUP($AE208,Mapping!$E$140:$K$2771,5,0)</f>
        <v>Labour</v>
      </c>
      <c r="AK208" s="7" t="str">
        <f>VLOOKUP($AE208,Mapping!$E$140:$K$2771,7,0)</f>
        <v>ENDirect</v>
      </c>
      <c r="AL208" s="7" t="str">
        <f>IFERROR(HLOOKUP(AJ208,'Calc|Weightings'!$K$5:$M$5,1,0),"Excl")</f>
        <v>Labour</v>
      </c>
      <c r="AM208" s="7" t="str">
        <f>VLOOKUP(AC208,Mapping!$E$11:$I$96,5,0)</f>
        <v>SCS</v>
      </c>
      <c r="AO208" s="134">
        <v>106</v>
      </c>
      <c r="AP208" s="135" t="s">
        <v>2119</v>
      </c>
      <c r="AQ208" s="135">
        <v>636001</v>
      </c>
      <c r="AR208" s="135" t="s">
        <v>2111</v>
      </c>
      <c r="AS208" s="136">
        <v>397.19663000000003</v>
      </c>
      <c r="AU208" s="7" t="str">
        <f>VLOOKUP($AO208,Mapping!$E$11:$I$96,3,0)</f>
        <v>Connections</v>
      </c>
      <c r="AV208" s="7" t="str">
        <f>VLOOKUP($AQ208,Mapping!$E$140:$K$2771,5,0)</f>
        <v>System Control OH</v>
      </c>
      <c r="AW208" s="7" t="str">
        <f>VLOOKUP($AQ208,Mapping!$E$140:$K$2771,7,0)</f>
        <v>OH</v>
      </c>
      <c r="AX208" s="7" t="str">
        <f>IFERROR(HLOOKUP(AV208,'Calc|Weightings'!$K$5:$M$5,1,0),"Excl")</f>
        <v>Excl</v>
      </c>
      <c r="AY208" s="7" t="str">
        <f>VLOOKUP(AO208,Mapping!$E$11:$I$96,5,0)</f>
        <v>SCS</v>
      </c>
    </row>
    <row r="209" spans="1:51" x14ac:dyDescent="0.2">
      <c r="A209" s="7"/>
      <c r="B209" s="7"/>
      <c r="C209" s="7"/>
      <c r="D209" s="7"/>
      <c r="E209" s="36">
        <v>106</v>
      </c>
      <c r="F209" s="36" t="s">
        <v>2119</v>
      </c>
      <c r="G209" s="36">
        <v>613258</v>
      </c>
      <c r="H209" s="36" t="s">
        <v>2356</v>
      </c>
      <c r="I209" s="37">
        <v>35.961109999999998</v>
      </c>
      <c r="J209" s="7"/>
      <c r="K209" s="7" t="str">
        <f>VLOOKUP($E209,Mapping!$E$11:$I$96,3,0)</f>
        <v>Connections</v>
      </c>
      <c r="L209" s="7" t="str">
        <f>VLOOKUP($G209,Mapping!$E$140:$K$2771,5,0)</f>
        <v>Labour</v>
      </c>
      <c r="M209" s="7" t="str">
        <f>VLOOKUP($G209,Mapping!$E$140:$K$2771,7,0)</f>
        <v>ENDirect</v>
      </c>
      <c r="N209" s="7" t="str">
        <f>IFERROR(HLOOKUP(L209,'Calc|Weightings'!$K$5:$M$5,1,0),"Excl")</f>
        <v>Labour</v>
      </c>
      <c r="O209" s="7" t="str">
        <f>VLOOKUP(E209,Mapping!$E$11:$I$96,5,0)</f>
        <v>SCS</v>
      </c>
      <c r="Q209" s="33">
        <v>106</v>
      </c>
      <c r="R209" s="33" t="s">
        <v>2119</v>
      </c>
      <c r="S209" s="33">
        <v>613681</v>
      </c>
      <c r="T209" s="33" t="s">
        <v>2108</v>
      </c>
      <c r="U209" s="34">
        <v>1.405</v>
      </c>
      <c r="V209" s="7"/>
      <c r="W209" s="7" t="str">
        <f>VLOOKUP($Q209,Mapping!$E$11:$I$96,3,0)</f>
        <v>Connections</v>
      </c>
      <c r="X209" s="7" t="str">
        <f>VLOOKUP($S209,Mapping!$E$140:$K$2771,5,0)</f>
        <v>Labour</v>
      </c>
      <c r="Y209" s="7" t="str">
        <f>VLOOKUP($S209,Mapping!$E$140:$K$2771,7,0)</f>
        <v>ENDirect</v>
      </c>
      <c r="Z209" s="7" t="str">
        <f>IFERROR(HLOOKUP(X209,'Calc|Weightings'!$K$5:$M$5,1,0),"Excl")</f>
        <v>Labour</v>
      </c>
      <c r="AA209" s="7" t="str">
        <f>VLOOKUP(Q209,Mapping!$E$11:$I$96,5,0)</f>
        <v>SCS</v>
      </c>
      <c r="AC209" s="111">
        <v>106</v>
      </c>
      <c r="AD209" s="111" t="s">
        <v>2119</v>
      </c>
      <c r="AE209" s="111">
        <v>613401</v>
      </c>
      <c r="AF209" s="111" t="s">
        <v>2117</v>
      </c>
      <c r="AG209" s="112">
        <v>3.2993899999999998</v>
      </c>
      <c r="AI209" s="7" t="str">
        <f>VLOOKUP($AC209,Mapping!$E$11:$I$96,3,0)</f>
        <v>Connections</v>
      </c>
      <c r="AJ209" s="7" t="str">
        <f>VLOOKUP($AE209,Mapping!$E$140:$K$2771,5,0)</f>
        <v>Labour</v>
      </c>
      <c r="AK209" s="7" t="str">
        <f>VLOOKUP($AE209,Mapping!$E$140:$K$2771,7,0)</f>
        <v>ENDirect</v>
      </c>
      <c r="AL209" s="7" t="str">
        <f>IFERROR(HLOOKUP(AJ209,'Calc|Weightings'!$K$5:$M$5,1,0),"Excl")</f>
        <v>Labour</v>
      </c>
      <c r="AM209" s="7" t="str">
        <f>VLOOKUP(AC209,Mapping!$E$11:$I$96,5,0)</f>
        <v>SCS</v>
      </c>
      <c r="AO209" s="134">
        <v>106</v>
      </c>
      <c r="AP209" s="135" t="s">
        <v>2119</v>
      </c>
      <c r="AQ209" s="135">
        <v>636105</v>
      </c>
      <c r="AR209" s="135" t="s">
        <v>1937</v>
      </c>
      <c r="AS209" s="136">
        <v>2.4314499999999999</v>
      </c>
      <c r="AU209" s="7" t="str">
        <f>VLOOKUP($AO209,Mapping!$E$11:$I$96,3,0)</f>
        <v>Connections</v>
      </c>
      <c r="AV209" s="7" t="str">
        <f>VLOOKUP($AQ209,Mapping!$E$140:$K$2771,5,0)</f>
        <v>CSG MG</v>
      </c>
      <c r="AW209" s="7" t="str">
        <f>VLOOKUP($AQ209,Mapping!$E$140:$K$2771,7,0)</f>
        <v>ENDirect</v>
      </c>
      <c r="AX209" s="7" t="str">
        <f>IFERROR(HLOOKUP(AV209,'Calc|Weightings'!$K$5:$M$5,1,0),"Excl")</f>
        <v>Excl</v>
      </c>
      <c r="AY209" s="7" t="str">
        <f>VLOOKUP(AO209,Mapping!$E$11:$I$96,5,0)</f>
        <v>SCS</v>
      </c>
    </row>
    <row r="210" spans="1:51" x14ac:dyDescent="0.2">
      <c r="A210" s="7"/>
      <c r="B210" s="7"/>
      <c r="C210" s="7"/>
      <c r="D210" s="7"/>
      <c r="E210" s="36">
        <v>106</v>
      </c>
      <c r="F210" s="36" t="s">
        <v>2119</v>
      </c>
      <c r="G210" s="36">
        <v>613259</v>
      </c>
      <c r="H210" s="36" t="s">
        <v>2359</v>
      </c>
      <c r="I210" s="37">
        <v>1.66425</v>
      </c>
      <c r="J210" s="7"/>
      <c r="K210" s="7" t="str">
        <f>VLOOKUP($E210,Mapping!$E$11:$I$96,3,0)</f>
        <v>Connections</v>
      </c>
      <c r="L210" s="7" t="str">
        <f>VLOOKUP($G210,Mapping!$E$140:$K$2771,5,0)</f>
        <v>Labour</v>
      </c>
      <c r="M210" s="7" t="str">
        <f>VLOOKUP($G210,Mapping!$E$140:$K$2771,7,0)</f>
        <v>ENDirect</v>
      </c>
      <c r="N210" s="7" t="str">
        <f>IFERROR(HLOOKUP(L210,'Calc|Weightings'!$K$5:$M$5,1,0),"Excl")</f>
        <v>Labour</v>
      </c>
      <c r="O210" s="7" t="str">
        <f>VLOOKUP(E210,Mapping!$E$11:$I$96,5,0)</f>
        <v>SCS</v>
      </c>
      <c r="Q210" s="33">
        <v>106</v>
      </c>
      <c r="R210" s="33" t="s">
        <v>2119</v>
      </c>
      <c r="S210" s="33">
        <v>613962</v>
      </c>
      <c r="T210" s="33" t="s">
        <v>1648</v>
      </c>
      <c r="U210" s="34">
        <v>0.44691999999999998</v>
      </c>
      <c r="V210" s="7"/>
      <c r="W210" s="7" t="str">
        <f>VLOOKUP($Q210,Mapping!$E$11:$I$96,3,0)</f>
        <v>Connections</v>
      </c>
      <c r="X210" s="7" t="str">
        <f>VLOOKUP($S210,Mapping!$E$140:$K$2771,5,0)</f>
        <v>Contracts</v>
      </c>
      <c r="Y210" s="7" t="str">
        <f>VLOOKUP($S210,Mapping!$E$140:$K$2771,7,0)</f>
        <v>ENDirect</v>
      </c>
      <c r="Z210" s="7" t="str">
        <f>IFERROR(HLOOKUP(X210,'Calc|Weightings'!$K$5:$M$5,1,0),"Excl")</f>
        <v>Contracts</v>
      </c>
      <c r="AA210" s="7" t="str">
        <f>VLOOKUP(Q210,Mapping!$E$11:$I$96,5,0)</f>
        <v>SCS</v>
      </c>
      <c r="AC210" s="111">
        <v>106</v>
      </c>
      <c r="AD210" s="111" t="s">
        <v>2119</v>
      </c>
      <c r="AE210" s="111">
        <v>613410</v>
      </c>
      <c r="AF210" s="111" t="s">
        <v>2100</v>
      </c>
      <c r="AG210" s="112">
        <v>58.634419999999999</v>
      </c>
      <c r="AI210" s="7" t="str">
        <f>VLOOKUP($AC210,Mapping!$E$11:$I$96,3,0)</f>
        <v>Connections</v>
      </c>
      <c r="AJ210" s="7" t="str">
        <f>VLOOKUP($AE210,Mapping!$E$140:$K$2771,5,0)</f>
        <v>Labour</v>
      </c>
      <c r="AK210" s="7" t="str">
        <f>VLOOKUP($AE210,Mapping!$E$140:$K$2771,7,0)</f>
        <v>ENDirect</v>
      </c>
      <c r="AL210" s="7" t="str">
        <f>IFERROR(HLOOKUP(AJ210,'Calc|Weightings'!$K$5:$M$5,1,0),"Excl")</f>
        <v>Labour</v>
      </c>
      <c r="AM210" s="7" t="str">
        <f>VLOOKUP(AC210,Mapping!$E$11:$I$96,5,0)</f>
        <v>SCS</v>
      </c>
      <c r="AO210" s="134">
        <v>106</v>
      </c>
      <c r="AP210" s="135" t="s">
        <v>2119</v>
      </c>
      <c r="AQ210" s="135">
        <v>639000</v>
      </c>
      <c r="AR210" s="135" t="s">
        <v>2112</v>
      </c>
      <c r="AS210" s="136">
        <v>391.97874000000002</v>
      </c>
      <c r="AU210" s="7" t="str">
        <f>VLOOKUP($AO210,Mapping!$E$11:$I$96,3,0)</f>
        <v>Connections</v>
      </c>
      <c r="AV210" s="7" t="str">
        <f>VLOOKUP($AQ210,Mapping!$E$140:$K$2771,5,0)</f>
        <v>PNS Corporate OH</v>
      </c>
      <c r="AW210" s="7" t="str">
        <f>VLOOKUP($AQ210,Mapping!$E$140:$K$2771,7,0)</f>
        <v>OH</v>
      </c>
      <c r="AX210" s="7" t="str">
        <f>IFERROR(HLOOKUP(AV210,'Calc|Weightings'!$K$5:$M$5,1,0),"Excl")</f>
        <v>Excl</v>
      </c>
      <c r="AY210" s="7" t="str">
        <f>VLOOKUP(AO210,Mapping!$E$11:$I$96,5,0)</f>
        <v>SCS</v>
      </c>
    </row>
    <row r="211" spans="1:51" x14ac:dyDescent="0.2">
      <c r="A211" s="7"/>
      <c r="B211" s="7"/>
      <c r="C211" s="7"/>
      <c r="D211" s="7"/>
      <c r="E211" s="36">
        <v>106</v>
      </c>
      <c r="F211" s="36" t="s">
        <v>2119</v>
      </c>
      <c r="G211" s="36">
        <v>613268</v>
      </c>
      <c r="H211" s="36" t="s">
        <v>1335</v>
      </c>
      <c r="I211" s="37">
        <v>19.4221</v>
      </c>
      <c r="J211" s="7"/>
      <c r="K211" s="7" t="str">
        <f>VLOOKUP($E211,Mapping!$E$11:$I$96,3,0)</f>
        <v>Connections</v>
      </c>
      <c r="L211" s="7" t="str">
        <f>VLOOKUP($G211,Mapping!$E$140:$K$2771,5,0)</f>
        <v>Labour</v>
      </c>
      <c r="M211" s="7" t="str">
        <f>VLOOKUP($G211,Mapping!$E$140:$K$2771,7,0)</f>
        <v>ENDirect</v>
      </c>
      <c r="N211" s="7" t="str">
        <f>IFERROR(HLOOKUP(L211,'Calc|Weightings'!$K$5:$M$5,1,0),"Excl")</f>
        <v>Labour</v>
      </c>
      <c r="O211" s="7" t="str">
        <f>VLOOKUP(E211,Mapping!$E$11:$I$96,5,0)</f>
        <v>SCS</v>
      </c>
      <c r="Q211" s="33">
        <v>106</v>
      </c>
      <c r="R211" s="33" t="s">
        <v>2119</v>
      </c>
      <c r="S211" s="33">
        <v>614115</v>
      </c>
      <c r="T211" s="33" t="s">
        <v>2109</v>
      </c>
      <c r="U211" s="34">
        <v>7.0702499999999997</v>
      </c>
      <c r="V211" s="7"/>
      <c r="W211" s="7" t="str">
        <f>VLOOKUP($Q211,Mapping!$E$11:$I$96,3,0)</f>
        <v>Connections</v>
      </c>
      <c r="X211" s="7" t="str">
        <f>VLOOKUP($S211,Mapping!$E$140:$K$2771,5,0)</f>
        <v>Labour</v>
      </c>
      <c r="Y211" s="7" t="str">
        <f>VLOOKUP($S211,Mapping!$E$140:$K$2771,7,0)</f>
        <v>ENDirect</v>
      </c>
      <c r="Z211" s="7" t="str">
        <f>IFERROR(HLOOKUP(X211,'Calc|Weightings'!$K$5:$M$5,1,0),"Excl")</f>
        <v>Labour</v>
      </c>
      <c r="AA211" s="7" t="str">
        <f>VLOOKUP(Q211,Mapping!$E$11:$I$96,5,0)</f>
        <v>SCS</v>
      </c>
      <c r="AC211" s="111">
        <v>106</v>
      </c>
      <c r="AD211" s="111" t="s">
        <v>2119</v>
      </c>
      <c r="AE211" s="111">
        <v>613411</v>
      </c>
      <c r="AF211" s="111" t="s">
        <v>2101</v>
      </c>
      <c r="AG211" s="112">
        <v>3.8157899999999998</v>
      </c>
      <c r="AI211" s="7" t="str">
        <f>VLOOKUP($AC211,Mapping!$E$11:$I$96,3,0)</f>
        <v>Connections</v>
      </c>
      <c r="AJ211" s="7" t="str">
        <f>VLOOKUP($AE211,Mapping!$E$140:$K$2771,5,0)</f>
        <v>Labour</v>
      </c>
      <c r="AK211" s="7" t="str">
        <f>VLOOKUP($AE211,Mapping!$E$140:$K$2771,7,0)</f>
        <v>ENDirect</v>
      </c>
      <c r="AL211" s="7" t="str">
        <f>IFERROR(HLOOKUP(AJ211,'Calc|Weightings'!$K$5:$M$5,1,0),"Excl")</f>
        <v>Labour</v>
      </c>
      <c r="AM211" s="7" t="str">
        <f>VLOOKUP(AC211,Mapping!$E$11:$I$96,5,0)</f>
        <v>SCS</v>
      </c>
      <c r="AO211" s="134">
        <v>106</v>
      </c>
      <c r="AP211" s="135" t="s">
        <v>2119</v>
      </c>
      <c r="AQ211" s="135">
        <v>639050</v>
      </c>
      <c r="AR211" s="135" t="s">
        <v>2113</v>
      </c>
      <c r="AS211" s="136">
        <v>98.869190000000003</v>
      </c>
      <c r="AU211" s="7" t="str">
        <f>VLOOKUP($AO211,Mapping!$E$11:$I$96,3,0)</f>
        <v>Connections</v>
      </c>
      <c r="AV211" s="7" t="str">
        <f>VLOOKUP($AQ211,Mapping!$E$140:$K$2771,5,0)</f>
        <v>PNS Fleet &amp; Property OH</v>
      </c>
      <c r="AW211" s="7" t="str">
        <f>VLOOKUP($AQ211,Mapping!$E$140:$K$2771,7,0)</f>
        <v>OH</v>
      </c>
      <c r="AX211" s="7" t="str">
        <f>IFERROR(HLOOKUP(AV211,'Calc|Weightings'!$K$5:$M$5,1,0),"Excl")</f>
        <v>Excl</v>
      </c>
      <c r="AY211" s="7" t="str">
        <f>VLOOKUP(AO211,Mapping!$E$11:$I$96,5,0)</f>
        <v>SCS</v>
      </c>
    </row>
    <row r="212" spans="1:51" x14ac:dyDescent="0.2">
      <c r="A212" s="7"/>
      <c r="B212" s="7"/>
      <c r="C212" s="7"/>
      <c r="D212" s="7"/>
      <c r="E212" s="36">
        <v>106</v>
      </c>
      <c r="F212" s="36" t="s">
        <v>2119</v>
      </c>
      <c r="G212" s="36">
        <v>613269</v>
      </c>
      <c r="H212" s="36" t="s">
        <v>1336</v>
      </c>
      <c r="I212" s="37">
        <v>0.34889999999999999</v>
      </c>
      <c r="J212" s="7"/>
      <c r="K212" s="7" t="str">
        <f>VLOOKUP($E212,Mapping!$E$11:$I$96,3,0)</f>
        <v>Connections</v>
      </c>
      <c r="L212" s="7" t="str">
        <f>VLOOKUP($G212,Mapping!$E$140:$K$2771,5,0)</f>
        <v>Labour</v>
      </c>
      <c r="M212" s="7" t="str">
        <f>VLOOKUP($G212,Mapping!$E$140:$K$2771,7,0)</f>
        <v>ENDirect</v>
      </c>
      <c r="N212" s="7" t="str">
        <f>IFERROR(HLOOKUP(L212,'Calc|Weightings'!$K$5:$M$5,1,0),"Excl")</f>
        <v>Labour</v>
      </c>
      <c r="O212" s="7" t="str">
        <f>VLOOKUP(E212,Mapping!$E$11:$I$96,5,0)</f>
        <v>SCS</v>
      </c>
      <c r="Q212" s="33">
        <v>106</v>
      </c>
      <c r="R212" s="33" t="s">
        <v>2119</v>
      </c>
      <c r="S212" s="33">
        <v>615375</v>
      </c>
      <c r="T212" s="33" t="s">
        <v>1717</v>
      </c>
      <c r="U212" s="34">
        <v>0.6</v>
      </c>
      <c r="V212" s="7"/>
      <c r="W212" s="7" t="str">
        <f>VLOOKUP($Q212,Mapping!$E$11:$I$96,3,0)</f>
        <v>Connections</v>
      </c>
      <c r="X212" s="7" t="str">
        <f>VLOOKUP($S212,Mapping!$E$140:$K$2771,5,0)</f>
        <v>Labour</v>
      </c>
      <c r="Y212" s="7" t="str">
        <f>VLOOKUP($S212,Mapping!$E$140:$K$2771,7,0)</f>
        <v>ENDirect</v>
      </c>
      <c r="Z212" s="7" t="str">
        <f>IFERROR(HLOOKUP(X212,'Calc|Weightings'!$K$5:$M$5,1,0),"Excl")</f>
        <v>Labour</v>
      </c>
      <c r="AA212" s="7" t="str">
        <f>VLOOKUP(Q212,Mapping!$E$11:$I$96,5,0)</f>
        <v>SCS</v>
      </c>
      <c r="AC212" s="111">
        <v>106</v>
      </c>
      <c r="AD212" s="111" t="s">
        <v>2119</v>
      </c>
      <c r="AE212" s="111">
        <v>613420</v>
      </c>
      <c r="AF212" s="111" t="s">
        <v>2393</v>
      </c>
      <c r="AG212" s="112">
        <v>6.5124399999999998</v>
      </c>
      <c r="AI212" s="7" t="str">
        <f>VLOOKUP($AC212,Mapping!$E$11:$I$96,3,0)</f>
        <v>Connections</v>
      </c>
      <c r="AJ212" s="7" t="str">
        <f>VLOOKUP($AE212,Mapping!$E$140:$K$2771,5,0)</f>
        <v>Labour</v>
      </c>
      <c r="AK212" s="7" t="str">
        <f>VLOOKUP($AE212,Mapping!$E$140:$K$2771,7,0)</f>
        <v>ENDirect</v>
      </c>
      <c r="AL212" s="7" t="str">
        <f>IFERROR(HLOOKUP(AJ212,'Calc|Weightings'!$K$5:$M$5,1,0),"Excl")</f>
        <v>Labour</v>
      </c>
      <c r="AM212" s="7" t="str">
        <f>VLOOKUP(AC212,Mapping!$E$11:$I$96,5,0)</f>
        <v>SCS</v>
      </c>
      <c r="AO212" s="134">
        <v>107</v>
      </c>
      <c r="AP212" s="135" t="s">
        <v>2120</v>
      </c>
      <c r="AQ212" s="135">
        <v>503240</v>
      </c>
      <c r="AR212" s="135" t="s">
        <v>169</v>
      </c>
      <c r="AS212" s="136">
        <v>3.5000000000000003E-2</v>
      </c>
      <c r="AU212" s="7" t="str">
        <f>VLOOKUP($AO212,Mapping!$E$11:$I$96,3,0)</f>
        <v>Connections</v>
      </c>
      <c r="AV212" s="7" t="str">
        <f>VLOOKUP($AQ212,Mapping!$E$140:$K$2771,5,0)</f>
        <v>Contracts</v>
      </c>
      <c r="AW212" s="7" t="str">
        <f>VLOOKUP($AQ212,Mapping!$E$140:$K$2771,7,0)</f>
        <v>ENDirect</v>
      </c>
      <c r="AX212" s="7" t="str">
        <f>IFERROR(HLOOKUP(AV212,'Calc|Weightings'!$K$5:$M$5,1,0),"Excl")</f>
        <v>Contracts</v>
      </c>
      <c r="AY212" s="7" t="str">
        <f>VLOOKUP(AO212,Mapping!$E$11:$I$96,5,0)</f>
        <v>SCS</v>
      </c>
    </row>
    <row r="213" spans="1:51" x14ac:dyDescent="0.2">
      <c r="A213" s="7"/>
      <c r="B213" s="7"/>
      <c r="C213" s="7"/>
      <c r="D213" s="7"/>
      <c r="E213" s="36">
        <v>106</v>
      </c>
      <c r="F213" s="36" t="s">
        <v>2119</v>
      </c>
      <c r="G213" s="36">
        <v>613270</v>
      </c>
      <c r="H213" s="36" t="s">
        <v>2092</v>
      </c>
      <c r="I213" s="37">
        <v>0.13999</v>
      </c>
      <c r="J213" s="7"/>
      <c r="K213" s="7" t="str">
        <f>VLOOKUP($E213,Mapping!$E$11:$I$96,3,0)</f>
        <v>Connections</v>
      </c>
      <c r="L213" s="7" t="str">
        <f>VLOOKUP($G213,Mapping!$E$140:$K$2771,5,0)</f>
        <v>Labour</v>
      </c>
      <c r="M213" s="7" t="str">
        <f>VLOOKUP($G213,Mapping!$E$140:$K$2771,7,0)</f>
        <v>ENDirect</v>
      </c>
      <c r="N213" s="7" t="str">
        <f>IFERROR(HLOOKUP(L213,'Calc|Weightings'!$K$5:$M$5,1,0),"Excl")</f>
        <v>Labour</v>
      </c>
      <c r="O213" s="7" t="str">
        <f>VLOOKUP(E213,Mapping!$E$11:$I$96,5,0)</f>
        <v>SCS</v>
      </c>
      <c r="Q213" s="33">
        <v>106</v>
      </c>
      <c r="R213" s="33" t="s">
        <v>2119</v>
      </c>
      <c r="S213" s="33">
        <v>634001</v>
      </c>
      <c r="T213" s="33" t="s">
        <v>2110</v>
      </c>
      <c r="U213" s="34">
        <v>661.25930000000005</v>
      </c>
      <c r="V213" s="7"/>
      <c r="W213" s="7" t="str">
        <f>VLOOKUP($Q213,Mapping!$E$11:$I$96,3,0)</f>
        <v>Connections</v>
      </c>
      <c r="X213" s="7" t="str">
        <f>VLOOKUP($S213,Mapping!$E$140:$K$2771,5,0)</f>
        <v>Local OH</v>
      </c>
      <c r="Y213" s="7" t="str">
        <f>VLOOKUP($S213,Mapping!$E$140:$K$2771,7,0)</f>
        <v>OH</v>
      </c>
      <c r="Z213" s="7" t="str">
        <f>IFERROR(HLOOKUP(X213,'Calc|Weightings'!$K$5:$M$5,1,0),"Excl")</f>
        <v>Excl</v>
      </c>
      <c r="AA213" s="7" t="str">
        <f>VLOOKUP(Q213,Mapping!$E$11:$I$96,5,0)</f>
        <v>SCS</v>
      </c>
      <c r="AC213" s="111">
        <v>106</v>
      </c>
      <c r="AD213" s="111" t="s">
        <v>2119</v>
      </c>
      <c r="AE213" s="111">
        <v>613434</v>
      </c>
      <c r="AF213" s="111" t="s">
        <v>2102</v>
      </c>
      <c r="AG213" s="112">
        <v>90.277810000000002</v>
      </c>
      <c r="AI213" s="7" t="str">
        <f>VLOOKUP($AC213,Mapping!$E$11:$I$96,3,0)</f>
        <v>Connections</v>
      </c>
      <c r="AJ213" s="7" t="str">
        <f>VLOOKUP($AE213,Mapping!$E$140:$K$2771,5,0)</f>
        <v>Labour</v>
      </c>
      <c r="AK213" s="7" t="str">
        <f>VLOOKUP($AE213,Mapping!$E$140:$K$2771,7,0)</f>
        <v>ENDirect</v>
      </c>
      <c r="AL213" s="7" t="str">
        <f>IFERROR(HLOOKUP(AJ213,'Calc|Weightings'!$K$5:$M$5,1,0),"Excl")</f>
        <v>Labour</v>
      </c>
      <c r="AM213" s="7" t="str">
        <f>VLOOKUP(AC213,Mapping!$E$11:$I$96,5,0)</f>
        <v>SCS</v>
      </c>
      <c r="AO213" s="134">
        <v>107</v>
      </c>
      <c r="AP213" s="135" t="s">
        <v>2120</v>
      </c>
      <c r="AQ213" s="135">
        <v>503250</v>
      </c>
      <c r="AR213" s="135" t="s">
        <v>170</v>
      </c>
      <c r="AS213" s="136">
        <v>0.1368</v>
      </c>
      <c r="AU213" s="7" t="str">
        <f>VLOOKUP($AO213,Mapping!$E$11:$I$96,3,0)</f>
        <v>Connections</v>
      </c>
      <c r="AV213" s="7" t="str">
        <f>VLOOKUP($AQ213,Mapping!$E$140:$K$2771,5,0)</f>
        <v>Contracts</v>
      </c>
      <c r="AW213" s="7" t="str">
        <f>VLOOKUP($AQ213,Mapping!$E$140:$K$2771,7,0)</f>
        <v>ENDirect</v>
      </c>
      <c r="AX213" s="7" t="str">
        <f>IFERROR(HLOOKUP(AV213,'Calc|Weightings'!$K$5:$M$5,1,0),"Excl")</f>
        <v>Contracts</v>
      </c>
      <c r="AY213" s="7" t="str">
        <f>VLOOKUP(AO213,Mapping!$E$11:$I$96,5,0)</f>
        <v>SCS</v>
      </c>
    </row>
    <row r="214" spans="1:51" x14ac:dyDescent="0.2">
      <c r="A214" s="7"/>
      <c r="B214" s="7"/>
      <c r="C214" s="7"/>
      <c r="D214" s="7"/>
      <c r="E214" s="36">
        <v>106</v>
      </c>
      <c r="F214" s="36" t="s">
        <v>2119</v>
      </c>
      <c r="G214" s="36">
        <v>613278</v>
      </c>
      <c r="H214" s="36" t="s">
        <v>2357</v>
      </c>
      <c r="I214" s="37">
        <v>105.57013999999999</v>
      </c>
      <c r="J214" s="7"/>
      <c r="K214" s="7" t="str">
        <f>VLOOKUP($E214,Mapping!$E$11:$I$96,3,0)</f>
        <v>Connections</v>
      </c>
      <c r="L214" s="7" t="str">
        <f>VLOOKUP($G214,Mapping!$E$140:$K$2771,5,0)</f>
        <v>Labour</v>
      </c>
      <c r="M214" s="7" t="str">
        <f>VLOOKUP($G214,Mapping!$E$140:$K$2771,7,0)</f>
        <v>ENDirect</v>
      </c>
      <c r="N214" s="7" t="str">
        <f>IFERROR(HLOOKUP(L214,'Calc|Weightings'!$K$5:$M$5,1,0),"Excl")</f>
        <v>Labour</v>
      </c>
      <c r="O214" s="7" t="str">
        <f>VLOOKUP(E214,Mapping!$E$11:$I$96,5,0)</f>
        <v>SCS</v>
      </c>
      <c r="Q214" s="33">
        <v>106</v>
      </c>
      <c r="R214" s="33" t="s">
        <v>2119</v>
      </c>
      <c r="S214" s="33">
        <v>635001</v>
      </c>
      <c r="T214" s="33" t="s">
        <v>1929</v>
      </c>
      <c r="U214" s="34">
        <v>354.67707999999999</v>
      </c>
      <c r="V214" s="7"/>
      <c r="W214" s="7" t="str">
        <f>VLOOKUP($Q214,Mapping!$E$11:$I$96,3,0)</f>
        <v>Connections</v>
      </c>
      <c r="X214" s="7" t="str">
        <f>VLOOKUP($S214,Mapping!$E$140:$K$2771,5,0)</f>
        <v>PNS MG</v>
      </c>
      <c r="Y214" s="7" t="str">
        <f>VLOOKUP($S214,Mapping!$E$140:$K$2771,7,0)</f>
        <v>ENDirect</v>
      </c>
      <c r="Z214" s="7" t="str">
        <f>IFERROR(HLOOKUP(X214,'Calc|Weightings'!$K$5:$M$5,1,0),"Excl")</f>
        <v>Excl</v>
      </c>
      <c r="AA214" s="7" t="str">
        <f>VLOOKUP(Q214,Mapping!$E$11:$I$96,5,0)</f>
        <v>SCS</v>
      </c>
      <c r="AC214" s="111">
        <v>106</v>
      </c>
      <c r="AD214" s="111" t="s">
        <v>2119</v>
      </c>
      <c r="AE214" s="111">
        <v>613440</v>
      </c>
      <c r="AF214" s="111" t="s">
        <v>2103</v>
      </c>
      <c r="AG214" s="112">
        <v>10.52876</v>
      </c>
      <c r="AI214" s="7" t="str">
        <f>VLOOKUP($AC214,Mapping!$E$11:$I$96,3,0)</f>
        <v>Connections</v>
      </c>
      <c r="AJ214" s="7" t="str">
        <f>VLOOKUP($AE214,Mapping!$E$140:$K$2771,5,0)</f>
        <v>Labour</v>
      </c>
      <c r="AK214" s="7" t="str">
        <f>VLOOKUP($AE214,Mapping!$E$140:$K$2771,7,0)</f>
        <v>ENDirect</v>
      </c>
      <c r="AL214" s="7" t="str">
        <f>IFERROR(HLOOKUP(AJ214,'Calc|Weightings'!$K$5:$M$5,1,0),"Excl")</f>
        <v>Labour</v>
      </c>
      <c r="AM214" s="7" t="str">
        <f>VLOOKUP(AC214,Mapping!$E$11:$I$96,5,0)</f>
        <v>SCS</v>
      </c>
      <c r="AO214" s="134">
        <v>107</v>
      </c>
      <c r="AP214" s="135" t="s">
        <v>2120</v>
      </c>
      <c r="AQ214" s="135">
        <v>520100</v>
      </c>
      <c r="AR214" s="135" t="s">
        <v>2072</v>
      </c>
      <c r="AS214" s="136">
        <v>183.91037</v>
      </c>
      <c r="AU214" s="7" t="str">
        <f>VLOOKUP($AO214,Mapping!$E$11:$I$96,3,0)</f>
        <v>Connections</v>
      </c>
      <c r="AV214" s="7" t="str">
        <f>VLOOKUP($AQ214,Mapping!$E$140:$K$2771,5,0)</f>
        <v>Materials</v>
      </c>
      <c r="AW214" s="7" t="str">
        <f>VLOOKUP($AQ214,Mapping!$E$140:$K$2771,7,0)</f>
        <v>ENDirect</v>
      </c>
      <c r="AX214" s="7" t="str">
        <f>IFERROR(HLOOKUP(AV214,'Calc|Weightings'!$K$5:$M$5,1,0),"Excl")</f>
        <v>Materials</v>
      </c>
      <c r="AY214" s="7" t="str">
        <f>VLOOKUP(AO214,Mapping!$E$11:$I$96,5,0)</f>
        <v>SCS</v>
      </c>
    </row>
    <row r="215" spans="1:51" x14ac:dyDescent="0.2">
      <c r="A215" s="7"/>
      <c r="B215" s="7"/>
      <c r="C215" s="7"/>
      <c r="D215" s="7"/>
      <c r="E215" s="36">
        <v>106</v>
      </c>
      <c r="F215" s="36" t="s">
        <v>2119</v>
      </c>
      <c r="G215" s="36">
        <v>613279</v>
      </c>
      <c r="H215" s="36" t="s">
        <v>2360</v>
      </c>
      <c r="I215" s="37">
        <v>7.4194699999999996</v>
      </c>
      <c r="J215" s="7"/>
      <c r="K215" s="7" t="str">
        <f>VLOOKUP($E215,Mapping!$E$11:$I$96,3,0)</f>
        <v>Connections</v>
      </c>
      <c r="L215" s="7" t="str">
        <f>VLOOKUP($G215,Mapping!$E$140:$K$2771,5,0)</f>
        <v>Labour</v>
      </c>
      <c r="M215" s="7" t="str">
        <f>VLOOKUP($G215,Mapping!$E$140:$K$2771,7,0)</f>
        <v>ENDirect</v>
      </c>
      <c r="N215" s="7" t="str">
        <f>IFERROR(HLOOKUP(L215,'Calc|Weightings'!$K$5:$M$5,1,0),"Excl")</f>
        <v>Labour</v>
      </c>
      <c r="O215" s="7" t="str">
        <f>VLOOKUP(E215,Mapping!$E$11:$I$96,5,0)</f>
        <v>SCS</v>
      </c>
      <c r="Q215" s="33">
        <v>106</v>
      </c>
      <c r="R215" s="33" t="s">
        <v>2119</v>
      </c>
      <c r="S215" s="33">
        <v>636001</v>
      </c>
      <c r="T215" s="33" t="s">
        <v>2111</v>
      </c>
      <c r="U215" s="34">
        <v>194.21097</v>
      </c>
      <c r="V215" s="7"/>
      <c r="W215" s="7" t="str">
        <f>VLOOKUP($Q215,Mapping!$E$11:$I$96,3,0)</f>
        <v>Connections</v>
      </c>
      <c r="X215" s="7" t="str">
        <f>VLOOKUP($S215,Mapping!$E$140:$K$2771,5,0)</f>
        <v>System Control OH</v>
      </c>
      <c r="Y215" s="7" t="str">
        <f>VLOOKUP($S215,Mapping!$E$140:$K$2771,7,0)</f>
        <v>OH</v>
      </c>
      <c r="Z215" s="7" t="str">
        <f>IFERROR(HLOOKUP(X215,'Calc|Weightings'!$K$5:$M$5,1,0),"Excl")</f>
        <v>Excl</v>
      </c>
      <c r="AA215" s="7" t="str">
        <f>VLOOKUP(Q215,Mapping!$E$11:$I$96,5,0)</f>
        <v>SCS</v>
      </c>
      <c r="AC215" s="111">
        <v>106</v>
      </c>
      <c r="AD215" s="111" t="s">
        <v>2119</v>
      </c>
      <c r="AE215" s="111">
        <v>613441</v>
      </c>
      <c r="AF215" s="111" t="s">
        <v>2104</v>
      </c>
      <c r="AG215" s="112">
        <v>2.1967400000000001</v>
      </c>
      <c r="AI215" s="7" t="str">
        <f>VLOOKUP($AC215,Mapping!$E$11:$I$96,3,0)</f>
        <v>Connections</v>
      </c>
      <c r="AJ215" s="7" t="str">
        <f>VLOOKUP($AE215,Mapping!$E$140:$K$2771,5,0)</f>
        <v>Labour</v>
      </c>
      <c r="AK215" s="7" t="str">
        <f>VLOOKUP($AE215,Mapping!$E$140:$K$2771,7,0)</f>
        <v>ENDirect</v>
      </c>
      <c r="AL215" s="7" t="str">
        <f>IFERROR(HLOOKUP(AJ215,'Calc|Weightings'!$K$5:$M$5,1,0),"Excl")</f>
        <v>Labour</v>
      </c>
      <c r="AM215" s="7" t="str">
        <f>VLOOKUP(AC215,Mapping!$E$11:$I$96,5,0)</f>
        <v>SCS</v>
      </c>
      <c r="AO215" s="134">
        <v>107</v>
      </c>
      <c r="AP215" s="135" t="s">
        <v>2120</v>
      </c>
      <c r="AQ215" s="135">
        <v>520200</v>
      </c>
      <c r="AR215" s="135" t="s">
        <v>2073</v>
      </c>
      <c r="AS215" s="136">
        <v>0.70650999999999997</v>
      </c>
      <c r="AU215" s="7" t="str">
        <f>VLOOKUP($AO215,Mapping!$E$11:$I$96,3,0)</f>
        <v>Connections</v>
      </c>
      <c r="AV215" s="7" t="str">
        <f>VLOOKUP($AQ215,Mapping!$E$140:$K$2771,5,0)</f>
        <v>Materials</v>
      </c>
      <c r="AW215" s="7" t="str">
        <f>VLOOKUP($AQ215,Mapping!$E$140:$K$2771,7,0)</f>
        <v>ENDirect</v>
      </c>
      <c r="AX215" s="7" t="str">
        <f>IFERROR(HLOOKUP(AV215,'Calc|Weightings'!$K$5:$M$5,1,0),"Excl")</f>
        <v>Materials</v>
      </c>
      <c r="AY215" s="7" t="str">
        <f>VLOOKUP(AO215,Mapping!$E$11:$I$96,5,0)</f>
        <v>SCS</v>
      </c>
    </row>
    <row r="216" spans="1:51" x14ac:dyDescent="0.2">
      <c r="A216" s="7"/>
      <c r="B216" s="7"/>
      <c r="C216" s="7"/>
      <c r="D216" s="7"/>
      <c r="E216" s="36">
        <v>106</v>
      </c>
      <c r="F216" s="36" t="s">
        <v>2119</v>
      </c>
      <c r="G216" s="36">
        <v>613280</v>
      </c>
      <c r="H216" s="36" t="s">
        <v>1342</v>
      </c>
      <c r="I216" s="37">
        <v>282.66606000000002</v>
      </c>
      <c r="J216" s="7"/>
      <c r="K216" s="7" t="str">
        <f>VLOOKUP($E216,Mapping!$E$11:$I$96,3,0)</f>
        <v>Connections</v>
      </c>
      <c r="L216" s="7" t="str">
        <f>VLOOKUP($G216,Mapping!$E$140:$K$2771,5,0)</f>
        <v>Labour</v>
      </c>
      <c r="M216" s="7" t="str">
        <f>VLOOKUP($G216,Mapping!$E$140:$K$2771,7,0)</f>
        <v>ENDirect</v>
      </c>
      <c r="N216" s="7" t="str">
        <f>IFERROR(HLOOKUP(L216,'Calc|Weightings'!$K$5:$M$5,1,0),"Excl")</f>
        <v>Labour</v>
      </c>
      <c r="O216" s="7" t="str">
        <f>VLOOKUP(E216,Mapping!$E$11:$I$96,5,0)</f>
        <v>SCS</v>
      </c>
      <c r="Q216" s="33">
        <v>106</v>
      </c>
      <c r="R216" s="33" t="s">
        <v>2119</v>
      </c>
      <c r="S216" s="33">
        <v>636105</v>
      </c>
      <c r="T216" s="33" t="s">
        <v>1937</v>
      </c>
      <c r="U216" s="34">
        <v>0.74238999999999999</v>
      </c>
      <c r="V216" s="7"/>
      <c r="W216" s="7" t="str">
        <f>VLOOKUP($Q216,Mapping!$E$11:$I$96,3,0)</f>
        <v>Connections</v>
      </c>
      <c r="X216" s="7" t="str">
        <f>VLOOKUP($S216,Mapping!$E$140:$K$2771,5,0)</f>
        <v>CSG MG</v>
      </c>
      <c r="Y216" s="7" t="str">
        <f>VLOOKUP($S216,Mapping!$E$140:$K$2771,7,0)</f>
        <v>ENDirect</v>
      </c>
      <c r="Z216" s="7" t="str">
        <f>IFERROR(HLOOKUP(X216,'Calc|Weightings'!$K$5:$M$5,1,0),"Excl")</f>
        <v>Excl</v>
      </c>
      <c r="AA216" s="7" t="str">
        <f>VLOOKUP(Q216,Mapping!$E$11:$I$96,5,0)</f>
        <v>SCS</v>
      </c>
      <c r="AC216" s="111">
        <v>106</v>
      </c>
      <c r="AD216" s="111" t="s">
        <v>2119</v>
      </c>
      <c r="AE216" s="111">
        <v>613448</v>
      </c>
      <c r="AF216" s="111" t="s">
        <v>2105</v>
      </c>
      <c r="AG216" s="112">
        <v>31.165849999999999</v>
      </c>
      <c r="AI216" s="7" t="str">
        <f>VLOOKUP($AC216,Mapping!$E$11:$I$96,3,0)</f>
        <v>Connections</v>
      </c>
      <c r="AJ216" s="7" t="str">
        <f>VLOOKUP($AE216,Mapping!$E$140:$K$2771,5,0)</f>
        <v>Labour</v>
      </c>
      <c r="AK216" s="7" t="str">
        <f>VLOOKUP($AE216,Mapping!$E$140:$K$2771,7,0)</f>
        <v>ENDirect</v>
      </c>
      <c r="AL216" s="7" t="str">
        <f>IFERROR(HLOOKUP(AJ216,'Calc|Weightings'!$K$5:$M$5,1,0),"Excl")</f>
        <v>Labour</v>
      </c>
      <c r="AM216" s="7" t="str">
        <f>VLOOKUP(AC216,Mapping!$E$11:$I$96,5,0)</f>
        <v>SCS</v>
      </c>
      <c r="AO216" s="134">
        <v>107</v>
      </c>
      <c r="AP216" s="135" t="s">
        <v>2120</v>
      </c>
      <c r="AQ216" s="135">
        <v>523100</v>
      </c>
      <c r="AR216" s="135" t="s">
        <v>2074</v>
      </c>
      <c r="AS216" s="136">
        <v>1.0606500000000001</v>
      </c>
      <c r="AU216" s="7" t="str">
        <f>VLOOKUP($AO216,Mapping!$E$11:$I$96,3,0)</f>
        <v>Connections</v>
      </c>
      <c r="AV216" s="7" t="str">
        <f>VLOOKUP($AQ216,Mapping!$E$140:$K$2771,5,0)</f>
        <v>Materials</v>
      </c>
      <c r="AW216" s="7" t="str">
        <f>VLOOKUP($AQ216,Mapping!$E$140:$K$2771,7,0)</f>
        <v>ENDirect</v>
      </c>
      <c r="AX216" s="7" t="str">
        <f>IFERROR(HLOOKUP(AV216,'Calc|Weightings'!$K$5:$M$5,1,0),"Excl")</f>
        <v>Materials</v>
      </c>
      <c r="AY216" s="7" t="str">
        <f>VLOOKUP(AO216,Mapping!$E$11:$I$96,5,0)</f>
        <v>SCS</v>
      </c>
    </row>
    <row r="217" spans="1:51" x14ac:dyDescent="0.2">
      <c r="A217" s="7"/>
      <c r="B217" s="7"/>
      <c r="C217" s="7"/>
      <c r="D217" s="7"/>
      <c r="E217" s="36">
        <v>106</v>
      </c>
      <c r="F217" s="36" t="s">
        <v>2119</v>
      </c>
      <c r="G217" s="36">
        <v>613281</v>
      </c>
      <c r="H217" s="36" t="s">
        <v>1343</v>
      </c>
      <c r="I217" s="37">
        <v>25.40774</v>
      </c>
      <c r="J217" s="7"/>
      <c r="K217" s="7" t="str">
        <f>VLOOKUP($E217,Mapping!$E$11:$I$96,3,0)</f>
        <v>Connections</v>
      </c>
      <c r="L217" s="7" t="str">
        <f>VLOOKUP($G217,Mapping!$E$140:$K$2771,5,0)</f>
        <v>Labour</v>
      </c>
      <c r="M217" s="7" t="str">
        <f>VLOOKUP($G217,Mapping!$E$140:$K$2771,7,0)</f>
        <v>ENDirect</v>
      </c>
      <c r="N217" s="7" t="str">
        <f>IFERROR(HLOOKUP(L217,'Calc|Weightings'!$K$5:$M$5,1,0),"Excl")</f>
        <v>Labour</v>
      </c>
      <c r="O217" s="7" t="str">
        <f>VLOOKUP(E217,Mapping!$E$11:$I$96,5,0)</f>
        <v>SCS</v>
      </c>
      <c r="Q217" s="33">
        <v>106</v>
      </c>
      <c r="R217" s="33" t="s">
        <v>2119</v>
      </c>
      <c r="S217" s="33">
        <v>639000</v>
      </c>
      <c r="T217" s="33" t="s">
        <v>2112</v>
      </c>
      <c r="U217" s="34">
        <v>514.75332000000003</v>
      </c>
      <c r="V217" s="7"/>
      <c r="W217" s="7" t="str">
        <f>VLOOKUP($Q217,Mapping!$E$11:$I$96,3,0)</f>
        <v>Connections</v>
      </c>
      <c r="X217" s="7" t="str">
        <f>VLOOKUP($S217,Mapping!$E$140:$K$2771,5,0)</f>
        <v>PNS Corporate OH</v>
      </c>
      <c r="Y217" s="7" t="str">
        <f>VLOOKUP($S217,Mapping!$E$140:$K$2771,7,0)</f>
        <v>OH</v>
      </c>
      <c r="Z217" s="7" t="str">
        <f>IFERROR(HLOOKUP(X217,'Calc|Weightings'!$K$5:$M$5,1,0),"Excl")</f>
        <v>Excl</v>
      </c>
      <c r="AA217" s="7" t="str">
        <f>VLOOKUP(Q217,Mapping!$E$11:$I$96,5,0)</f>
        <v>SCS</v>
      </c>
      <c r="AC217" s="111">
        <v>106</v>
      </c>
      <c r="AD217" s="111" t="s">
        <v>2119</v>
      </c>
      <c r="AE217" s="111">
        <v>613449</v>
      </c>
      <c r="AF217" s="111" t="s">
        <v>2106</v>
      </c>
      <c r="AG217" s="112">
        <v>2.5094799999999999</v>
      </c>
      <c r="AI217" s="7" t="str">
        <f>VLOOKUP($AC217,Mapping!$E$11:$I$96,3,0)</f>
        <v>Connections</v>
      </c>
      <c r="AJ217" s="7" t="str">
        <f>VLOOKUP($AE217,Mapping!$E$140:$K$2771,5,0)</f>
        <v>Labour</v>
      </c>
      <c r="AK217" s="7" t="str">
        <f>VLOOKUP($AE217,Mapping!$E$140:$K$2771,7,0)</f>
        <v>ENDirect</v>
      </c>
      <c r="AL217" s="7" t="str">
        <f>IFERROR(HLOOKUP(AJ217,'Calc|Weightings'!$K$5:$M$5,1,0),"Excl")</f>
        <v>Labour</v>
      </c>
      <c r="AM217" s="7" t="str">
        <f>VLOOKUP(AC217,Mapping!$E$11:$I$96,5,0)</f>
        <v>SCS</v>
      </c>
      <c r="AO217" s="134">
        <v>107</v>
      </c>
      <c r="AP217" s="135" t="s">
        <v>2120</v>
      </c>
      <c r="AQ217" s="135">
        <v>531000</v>
      </c>
      <c r="AR217" s="135" t="s">
        <v>242</v>
      </c>
      <c r="AS217" s="136">
        <v>0.80203000000000002</v>
      </c>
      <c r="AU217" s="7" t="str">
        <f>VLOOKUP($AO217,Mapping!$E$11:$I$96,3,0)</f>
        <v>Connections</v>
      </c>
      <c r="AV217" s="7" t="str">
        <f>VLOOKUP($AQ217,Mapping!$E$140:$K$2771,5,0)</f>
        <v>Contracts</v>
      </c>
      <c r="AW217" s="7" t="str">
        <f>VLOOKUP($AQ217,Mapping!$E$140:$K$2771,7,0)</f>
        <v>ENDirect</v>
      </c>
      <c r="AX217" s="7" t="str">
        <f>IFERROR(HLOOKUP(AV217,'Calc|Weightings'!$K$5:$M$5,1,0),"Excl")</f>
        <v>Contracts</v>
      </c>
      <c r="AY217" s="7" t="str">
        <f>VLOOKUP(AO217,Mapping!$E$11:$I$96,5,0)</f>
        <v>SCS</v>
      </c>
    </row>
    <row r="218" spans="1:51" x14ac:dyDescent="0.2">
      <c r="A218" s="7"/>
      <c r="B218" s="7"/>
      <c r="C218" s="7"/>
      <c r="D218" s="7"/>
      <c r="E218" s="36">
        <v>106</v>
      </c>
      <c r="F218" s="36" t="s">
        <v>2119</v>
      </c>
      <c r="G218" s="36">
        <v>613290</v>
      </c>
      <c r="H218" s="36" t="s">
        <v>2093</v>
      </c>
      <c r="I218" s="37">
        <v>4.4886299999999997</v>
      </c>
      <c r="J218" s="7"/>
      <c r="K218" s="7" t="str">
        <f>VLOOKUP($E218,Mapping!$E$11:$I$96,3,0)</f>
        <v>Connections</v>
      </c>
      <c r="L218" s="7" t="str">
        <f>VLOOKUP($G218,Mapping!$E$140:$K$2771,5,0)</f>
        <v>Labour</v>
      </c>
      <c r="M218" s="7" t="str">
        <f>VLOOKUP($G218,Mapping!$E$140:$K$2771,7,0)</f>
        <v>ENDirect</v>
      </c>
      <c r="N218" s="7" t="str">
        <f>IFERROR(HLOOKUP(L218,'Calc|Weightings'!$K$5:$M$5,1,0),"Excl")</f>
        <v>Labour</v>
      </c>
      <c r="O218" s="7" t="str">
        <f>VLOOKUP(E218,Mapping!$E$11:$I$96,5,0)</f>
        <v>SCS</v>
      </c>
      <c r="Q218" s="33">
        <v>106</v>
      </c>
      <c r="R218" s="33" t="s">
        <v>2119</v>
      </c>
      <c r="S218" s="33">
        <v>639050</v>
      </c>
      <c r="T218" s="33" t="s">
        <v>2113</v>
      </c>
      <c r="U218" s="34">
        <v>73.921109999999999</v>
      </c>
      <c r="V218" s="7"/>
      <c r="W218" s="7" t="str">
        <f>VLOOKUP($Q218,Mapping!$E$11:$I$96,3,0)</f>
        <v>Connections</v>
      </c>
      <c r="X218" s="7" t="str">
        <f>VLOOKUP($S218,Mapping!$E$140:$K$2771,5,0)</f>
        <v>PNS Fleet &amp; Property OH</v>
      </c>
      <c r="Y218" s="7" t="str">
        <f>VLOOKUP($S218,Mapping!$E$140:$K$2771,7,0)</f>
        <v>OH</v>
      </c>
      <c r="Z218" s="7" t="str">
        <f>IFERROR(HLOOKUP(X218,'Calc|Weightings'!$K$5:$M$5,1,0),"Excl")</f>
        <v>Excl</v>
      </c>
      <c r="AA218" s="7" t="str">
        <f>VLOOKUP(Q218,Mapping!$E$11:$I$96,5,0)</f>
        <v>SCS</v>
      </c>
      <c r="AC218" s="111">
        <v>106</v>
      </c>
      <c r="AD218" s="111" t="s">
        <v>2119</v>
      </c>
      <c r="AE218" s="111">
        <v>613450</v>
      </c>
      <c r="AF218" s="111" t="s">
        <v>2175</v>
      </c>
      <c r="AG218" s="112">
        <v>70.39385</v>
      </c>
      <c r="AI218" s="7" t="str">
        <f>VLOOKUP($AC218,Mapping!$E$11:$I$96,3,0)</f>
        <v>Connections</v>
      </c>
      <c r="AJ218" s="7" t="str">
        <f>VLOOKUP($AE218,Mapping!$E$140:$K$2771,5,0)</f>
        <v>Labour</v>
      </c>
      <c r="AK218" s="7" t="str">
        <f>VLOOKUP($AE218,Mapping!$E$140:$K$2771,7,0)</f>
        <v>ENDirect</v>
      </c>
      <c r="AL218" s="7" t="str">
        <f>IFERROR(HLOOKUP(AJ218,'Calc|Weightings'!$K$5:$M$5,1,0),"Excl")</f>
        <v>Labour</v>
      </c>
      <c r="AM218" s="7" t="str">
        <f>VLOOKUP(AC218,Mapping!$E$11:$I$96,5,0)</f>
        <v>SCS</v>
      </c>
      <c r="AO218" s="134">
        <v>107</v>
      </c>
      <c r="AP218" s="135" t="s">
        <v>2120</v>
      </c>
      <c r="AQ218" s="135">
        <v>531464</v>
      </c>
      <c r="AR218" s="135" t="s">
        <v>256</v>
      </c>
      <c r="AS218" s="136">
        <v>7.8308200000000001</v>
      </c>
      <c r="AU218" s="7" t="str">
        <f>VLOOKUP($AO218,Mapping!$E$11:$I$96,3,0)</f>
        <v>Connections</v>
      </c>
      <c r="AV218" s="7" t="str">
        <f>VLOOKUP($AQ218,Mapping!$E$140:$K$2771,5,0)</f>
        <v>Contracts</v>
      </c>
      <c r="AW218" s="7" t="str">
        <f>VLOOKUP($AQ218,Mapping!$E$140:$K$2771,7,0)</f>
        <v>ENDirect</v>
      </c>
      <c r="AX218" s="7" t="str">
        <f>IFERROR(HLOOKUP(AV218,'Calc|Weightings'!$K$5:$M$5,1,0),"Excl")</f>
        <v>Contracts</v>
      </c>
      <c r="AY218" s="7" t="str">
        <f>VLOOKUP(AO218,Mapping!$E$11:$I$96,5,0)</f>
        <v>SCS</v>
      </c>
    </row>
    <row r="219" spans="1:51" x14ac:dyDescent="0.2">
      <c r="A219" s="7"/>
      <c r="B219" s="7"/>
      <c r="C219" s="7"/>
      <c r="D219" s="7"/>
      <c r="E219" s="36">
        <v>106</v>
      </c>
      <c r="F219" s="36" t="s">
        <v>2119</v>
      </c>
      <c r="G219" s="36">
        <v>613298</v>
      </c>
      <c r="H219" s="36" t="s">
        <v>2122</v>
      </c>
      <c r="I219" s="37">
        <v>933.03593999999998</v>
      </c>
      <c r="J219" s="7"/>
      <c r="K219" s="7" t="str">
        <f>VLOOKUP($E219,Mapping!$E$11:$I$96,3,0)</f>
        <v>Connections</v>
      </c>
      <c r="L219" s="7" t="str">
        <f>VLOOKUP($G219,Mapping!$E$140:$K$2771,5,0)</f>
        <v>Labour</v>
      </c>
      <c r="M219" s="7" t="str">
        <f>VLOOKUP($G219,Mapping!$E$140:$K$2771,7,0)</f>
        <v>ENDirect</v>
      </c>
      <c r="N219" s="7" t="str">
        <f>IFERROR(HLOOKUP(L219,'Calc|Weightings'!$K$5:$M$5,1,0),"Excl")</f>
        <v>Labour</v>
      </c>
      <c r="O219" s="7" t="str">
        <f>VLOOKUP(E219,Mapping!$E$11:$I$96,5,0)</f>
        <v>SCS</v>
      </c>
      <c r="Q219" s="33">
        <v>107</v>
      </c>
      <c r="R219" s="33" t="s">
        <v>2120</v>
      </c>
      <c r="S219" s="33">
        <v>503281</v>
      </c>
      <c r="T219" s="33" t="s">
        <v>174</v>
      </c>
      <c r="U219" s="34">
        <v>6.8729999999999999E-2</v>
      </c>
      <c r="V219" s="7"/>
      <c r="W219" s="7" t="str">
        <f>VLOOKUP($Q219,Mapping!$E$11:$I$96,3,0)</f>
        <v>Connections</v>
      </c>
      <c r="X219" s="7" t="str">
        <f>VLOOKUP($S219,Mapping!$E$140:$K$2771,5,0)</f>
        <v>Contracts</v>
      </c>
      <c r="Y219" s="7" t="str">
        <f>VLOOKUP($S219,Mapping!$E$140:$K$2771,7,0)</f>
        <v>ENDirect</v>
      </c>
      <c r="Z219" s="7" t="str">
        <f>IFERROR(HLOOKUP(X219,'Calc|Weightings'!$K$5:$M$5,1,0),"Excl")</f>
        <v>Contracts</v>
      </c>
      <c r="AA219" s="7" t="str">
        <f>VLOOKUP(Q219,Mapping!$E$11:$I$96,5,0)</f>
        <v>SCS</v>
      </c>
      <c r="AC219" s="111">
        <v>106</v>
      </c>
      <c r="AD219" s="111" t="s">
        <v>2119</v>
      </c>
      <c r="AE219" s="111">
        <v>613460</v>
      </c>
      <c r="AF219" s="111" t="s">
        <v>2167</v>
      </c>
      <c r="AG219" s="112">
        <v>0.27616000000000002</v>
      </c>
      <c r="AI219" s="7" t="str">
        <f>VLOOKUP($AC219,Mapping!$E$11:$I$96,3,0)</f>
        <v>Connections</v>
      </c>
      <c r="AJ219" s="7" t="str">
        <f>VLOOKUP($AE219,Mapping!$E$140:$K$2771,5,0)</f>
        <v>Labour</v>
      </c>
      <c r="AK219" s="7" t="str">
        <f>VLOOKUP($AE219,Mapping!$E$140:$K$2771,7,0)</f>
        <v>ENDirect</v>
      </c>
      <c r="AL219" s="7" t="str">
        <f>IFERROR(HLOOKUP(AJ219,'Calc|Weightings'!$K$5:$M$5,1,0),"Excl")</f>
        <v>Labour</v>
      </c>
      <c r="AM219" s="7" t="str">
        <f>VLOOKUP(AC219,Mapping!$E$11:$I$96,5,0)</f>
        <v>SCS</v>
      </c>
      <c r="AO219" s="134">
        <v>107</v>
      </c>
      <c r="AP219" s="135" t="s">
        <v>2120</v>
      </c>
      <c r="AQ219" s="135">
        <v>531466</v>
      </c>
      <c r="AR219" s="135" t="s">
        <v>258</v>
      </c>
      <c r="AS219" s="136">
        <v>3.8114699999999999</v>
      </c>
      <c r="AU219" s="7" t="str">
        <f>VLOOKUP($AO219,Mapping!$E$11:$I$96,3,0)</f>
        <v>Connections</v>
      </c>
      <c r="AV219" s="7" t="str">
        <f>VLOOKUP($AQ219,Mapping!$E$140:$K$2771,5,0)</f>
        <v>Contracts</v>
      </c>
      <c r="AW219" s="7" t="str">
        <f>VLOOKUP($AQ219,Mapping!$E$140:$K$2771,7,0)</f>
        <v>ENDirect</v>
      </c>
      <c r="AX219" s="7" t="str">
        <f>IFERROR(HLOOKUP(AV219,'Calc|Weightings'!$K$5:$M$5,1,0),"Excl")</f>
        <v>Contracts</v>
      </c>
      <c r="AY219" s="7" t="str">
        <f>VLOOKUP(AO219,Mapping!$E$11:$I$96,5,0)</f>
        <v>SCS</v>
      </c>
    </row>
    <row r="220" spans="1:51" x14ac:dyDescent="0.2">
      <c r="A220" s="7"/>
      <c r="B220" s="7"/>
      <c r="C220" s="7"/>
      <c r="D220" s="7"/>
      <c r="E220" s="36">
        <v>106</v>
      </c>
      <c r="F220" s="36" t="s">
        <v>2119</v>
      </c>
      <c r="G220" s="36">
        <v>613299</v>
      </c>
      <c r="H220" s="36" t="s">
        <v>2385</v>
      </c>
      <c r="I220" s="37">
        <v>1.5585100000000001</v>
      </c>
      <c r="J220" s="7"/>
      <c r="K220" s="7" t="str">
        <f>VLOOKUP($E220,Mapping!$E$11:$I$96,3,0)</f>
        <v>Connections</v>
      </c>
      <c r="L220" s="7" t="str">
        <f>VLOOKUP($G220,Mapping!$E$140:$K$2771,5,0)</f>
        <v>Labour</v>
      </c>
      <c r="M220" s="7" t="str">
        <f>VLOOKUP($G220,Mapping!$E$140:$K$2771,7,0)</f>
        <v>ENDirect</v>
      </c>
      <c r="N220" s="7" t="str">
        <f>IFERROR(HLOOKUP(L220,'Calc|Weightings'!$K$5:$M$5,1,0),"Excl")</f>
        <v>Labour</v>
      </c>
      <c r="O220" s="7" t="str">
        <f>VLOOKUP(E220,Mapping!$E$11:$I$96,5,0)</f>
        <v>SCS</v>
      </c>
      <c r="Q220" s="33">
        <v>107</v>
      </c>
      <c r="R220" s="33" t="s">
        <v>2120</v>
      </c>
      <c r="S220" s="33">
        <v>520100</v>
      </c>
      <c r="T220" s="33" t="s">
        <v>2072</v>
      </c>
      <c r="U220" s="34">
        <v>339.61036000000001</v>
      </c>
      <c r="V220" s="7"/>
      <c r="W220" s="7" t="str">
        <f>VLOOKUP($Q220,Mapping!$E$11:$I$96,3,0)</f>
        <v>Connections</v>
      </c>
      <c r="X220" s="7" t="str">
        <f>VLOOKUP($S220,Mapping!$E$140:$K$2771,5,0)</f>
        <v>Materials</v>
      </c>
      <c r="Y220" s="7" t="str">
        <f>VLOOKUP($S220,Mapping!$E$140:$K$2771,7,0)</f>
        <v>ENDirect</v>
      </c>
      <c r="Z220" s="7" t="str">
        <f>IFERROR(HLOOKUP(X220,'Calc|Weightings'!$K$5:$M$5,1,0),"Excl")</f>
        <v>Materials</v>
      </c>
      <c r="AA220" s="7" t="str">
        <f>VLOOKUP(Q220,Mapping!$E$11:$I$96,5,0)</f>
        <v>SCS</v>
      </c>
      <c r="AC220" s="111">
        <v>106</v>
      </c>
      <c r="AD220" s="111" t="s">
        <v>2119</v>
      </c>
      <c r="AE220" s="111">
        <v>613566</v>
      </c>
      <c r="AF220" s="111" t="s">
        <v>1482</v>
      </c>
      <c r="AG220" s="112">
        <v>34.366059999999997</v>
      </c>
      <c r="AI220" s="7" t="str">
        <f>VLOOKUP($AC220,Mapping!$E$11:$I$96,3,0)</f>
        <v>Connections</v>
      </c>
      <c r="AJ220" s="7" t="str">
        <f>VLOOKUP($AE220,Mapping!$E$140:$K$2771,5,0)</f>
        <v>Labour</v>
      </c>
      <c r="AK220" s="7" t="str">
        <f>VLOOKUP($AE220,Mapping!$E$140:$K$2771,7,0)</f>
        <v>ENDirect</v>
      </c>
      <c r="AL220" s="7" t="str">
        <f>IFERROR(HLOOKUP(AJ220,'Calc|Weightings'!$K$5:$M$5,1,0),"Excl")</f>
        <v>Labour</v>
      </c>
      <c r="AM220" s="7" t="str">
        <f>VLOOKUP(AC220,Mapping!$E$11:$I$96,5,0)</f>
        <v>SCS</v>
      </c>
      <c r="AO220" s="134">
        <v>107</v>
      </c>
      <c r="AP220" s="135" t="s">
        <v>2120</v>
      </c>
      <c r="AQ220" s="135">
        <v>531467</v>
      </c>
      <c r="AR220" s="135" t="s">
        <v>259</v>
      </c>
      <c r="AS220" s="136">
        <v>25.098369999999999</v>
      </c>
      <c r="AU220" s="7" t="str">
        <f>VLOOKUP($AO220,Mapping!$E$11:$I$96,3,0)</f>
        <v>Connections</v>
      </c>
      <c r="AV220" s="7" t="str">
        <f>VLOOKUP($AQ220,Mapping!$E$140:$K$2771,5,0)</f>
        <v>Contracts</v>
      </c>
      <c r="AW220" s="7" t="str">
        <f>VLOOKUP($AQ220,Mapping!$E$140:$K$2771,7,0)</f>
        <v>ENDirect</v>
      </c>
      <c r="AX220" s="7" t="str">
        <f>IFERROR(HLOOKUP(AV220,'Calc|Weightings'!$K$5:$M$5,1,0),"Excl")</f>
        <v>Contracts</v>
      </c>
      <c r="AY220" s="7" t="str">
        <f>VLOOKUP(AO220,Mapping!$E$11:$I$96,5,0)</f>
        <v>SCS</v>
      </c>
    </row>
    <row r="221" spans="1:51" x14ac:dyDescent="0.2">
      <c r="A221" s="7"/>
      <c r="B221" s="7"/>
      <c r="C221" s="7"/>
      <c r="D221" s="7"/>
      <c r="E221" s="36">
        <v>106</v>
      </c>
      <c r="F221" s="36" t="s">
        <v>2119</v>
      </c>
      <c r="G221" s="36">
        <v>613310</v>
      </c>
      <c r="H221" s="36" t="s">
        <v>2095</v>
      </c>
      <c r="I221" s="37">
        <v>38.627420000000001</v>
      </c>
      <c r="J221" s="7"/>
      <c r="K221" s="7" t="str">
        <f>VLOOKUP($E221,Mapping!$E$11:$I$96,3,0)</f>
        <v>Connections</v>
      </c>
      <c r="L221" s="7" t="str">
        <f>VLOOKUP($G221,Mapping!$E$140:$K$2771,5,0)</f>
        <v>Labour</v>
      </c>
      <c r="M221" s="7" t="str">
        <f>VLOOKUP($G221,Mapping!$E$140:$K$2771,7,0)</f>
        <v>ENDirect</v>
      </c>
      <c r="N221" s="7" t="str">
        <f>IFERROR(HLOOKUP(L221,'Calc|Weightings'!$K$5:$M$5,1,0),"Excl")</f>
        <v>Labour</v>
      </c>
      <c r="O221" s="7" t="str">
        <f>VLOOKUP(E221,Mapping!$E$11:$I$96,5,0)</f>
        <v>SCS</v>
      </c>
      <c r="Q221" s="33">
        <v>107</v>
      </c>
      <c r="R221" s="33" t="s">
        <v>2120</v>
      </c>
      <c r="S221" s="33">
        <v>520200</v>
      </c>
      <c r="T221" s="33" t="s">
        <v>2073</v>
      </c>
      <c r="U221" s="34">
        <v>45.683079999999997</v>
      </c>
      <c r="V221" s="7"/>
      <c r="W221" s="7" t="str">
        <f>VLOOKUP($Q221,Mapping!$E$11:$I$96,3,0)</f>
        <v>Connections</v>
      </c>
      <c r="X221" s="7" t="str">
        <f>VLOOKUP($S221,Mapping!$E$140:$K$2771,5,0)</f>
        <v>Materials</v>
      </c>
      <c r="Y221" s="7" t="str">
        <f>VLOOKUP($S221,Mapping!$E$140:$K$2771,7,0)</f>
        <v>ENDirect</v>
      </c>
      <c r="Z221" s="7" t="str">
        <f>IFERROR(HLOOKUP(X221,'Calc|Weightings'!$K$5:$M$5,1,0),"Excl")</f>
        <v>Materials</v>
      </c>
      <c r="AA221" s="7" t="str">
        <f>VLOOKUP(Q221,Mapping!$E$11:$I$96,5,0)</f>
        <v>SCS</v>
      </c>
      <c r="AC221" s="111">
        <v>106</v>
      </c>
      <c r="AD221" s="111" t="s">
        <v>2119</v>
      </c>
      <c r="AE221" s="111">
        <v>613567</v>
      </c>
      <c r="AF221" s="111" t="s">
        <v>1483</v>
      </c>
      <c r="AG221" s="112">
        <v>4.8761999999999999</v>
      </c>
      <c r="AI221" s="7" t="str">
        <f>VLOOKUP($AC221,Mapping!$E$11:$I$96,3,0)</f>
        <v>Connections</v>
      </c>
      <c r="AJ221" s="7" t="str">
        <f>VLOOKUP($AE221,Mapping!$E$140:$K$2771,5,0)</f>
        <v>Labour</v>
      </c>
      <c r="AK221" s="7" t="str">
        <f>VLOOKUP($AE221,Mapping!$E$140:$K$2771,7,0)</f>
        <v>ENDirect</v>
      </c>
      <c r="AL221" s="7" t="str">
        <f>IFERROR(HLOOKUP(AJ221,'Calc|Weightings'!$K$5:$M$5,1,0),"Excl")</f>
        <v>Labour</v>
      </c>
      <c r="AM221" s="7" t="str">
        <f>VLOOKUP(AC221,Mapping!$E$11:$I$96,5,0)</f>
        <v>SCS</v>
      </c>
      <c r="AO221" s="134">
        <v>107</v>
      </c>
      <c r="AP221" s="135" t="s">
        <v>2120</v>
      </c>
      <c r="AQ221" s="135">
        <v>531468</v>
      </c>
      <c r="AR221" s="135" t="s">
        <v>260</v>
      </c>
      <c r="AS221" s="136">
        <v>690.02404999999999</v>
      </c>
      <c r="AU221" s="7" t="str">
        <f>VLOOKUP($AO221,Mapping!$E$11:$I$96,3,0)</f>
        <v>Connections</v>
      </c>
      <c r="AV221" s="7" t="str">
        <f>VLOOKUP($AQ221,Mapping!$E$140:$K$2771,5,0)</f>
        <v>Contracts</v>
      </c>
      <c r="AW221" s="7" t="str">
        <f>VLOOKUP($AQ221,Mapping!$E$140:$K$2771,7,0)</f>
        <v>ENDirect</v>
      </c>
      <c r="AX221" s="7" t="str">
        <f>IFERROR(HLOOKUP(AV221,'Calc|Weightings'!$K$5:$M$5,1,0),"Excl")</f>
        <v>Contracts</v>
      </c>
      <c r="AY221" s="7" t="str">
        <f>VLOOKUP(AO221,Mapping!$E$11:$I$96,5,0)</f>
        <v>SCS</v>
      </c>
    </row>
    <row r="222" spans="1:51" x14ac:dyDescent="0.2">
      <c r="A222" s="7"/>
      <c r="B222" s="7"/>
      <c r="C222" s="7"/>
      <c r="D222" s="7"/>
      <c r="E222" s="36">
        <v>106</v>
      </c>
      <c r="F222" s="36" t="s">
        <v>2119</v>
      </c>
      <c r="G222" s="36">
        <v>613318</v>
      </c>
      <c r="H222" s="36" t="s">
        <v>1360</v>
      </c>
      <c r="I222" s="37">
        <v>96.600059999999999</v>
      </c>
      <c r="J222" s="7"/>
      <c r="K222" s="7" t="str">
        <f>VLOOKUP($E222,Mapping!$E$11:$I$96,3,0)</f>
        <v>Connections</v>
      </c>
      <c r="L222" s="7" t="str">
        <f>VLOOKUP($G222,Mapping!$E$140:$K$2771,5,0)</f>
        <v>Labour</v>
      </c>
      <c r="M222" s="7" t="str">
        <f>VLOOKUP($G222,Mapping!$E$140:$K$2771,7,0)</f>
        <v>ENDirect</v>
      </c>
      <c r="N222" s="7" t="str">
        <f>IFERROR(HLOOKUP(L222,'Calc|Weightings'!$K$5:$M$5,1,0),"Excl")</f>
        <v>Labour</v>
      </c>
      <c r="O222" s="7" t="str">
        <f>VLOOKUP(E222,Mapping!$E$11:$I$96,5,0)</f>
        <v>SCS</v>
      </c>
      <c r="Q222" s="33">
        <v>107</v>
      </c>
      <c r="R222" s="33" t="s">
        <v>2120</v>
      </c>
      <c r="S222" s="33">
        <v>523100</v>
      </c>
      <c r="T222" s="33" t="s">
        <v>2074</v>
      </c>
      <c r="U222" s="34">
        <v>3.50637</v>
      </c>
      <c r="V222" s="7"/>
      <c r="W222" s="7" t="str">
        <f>VLOOKUP($Q222,Mapping!$E$11:$I$96,3,0)</f>
        <v>Connections</v>
      </c>
      <c r="X222" s="7" t="str">
        <f>VLOOKUP($S222,Mapping!$E$140:$K$2771,5,0)</f>
        <v>Materials</v>
      </c>
      <c r="Y222" s="7" t="str">
        <f>VLOOKUP($S222,Mapping!$E$140:$K$2771,7,0)</f>
        <v>ENDirect</v>
      </c>
      <c r="Z222" s="7" t="str">
        <f>IFERROR(HLOOKUP(X222,'Calc|Weightings'!$K$5:$M$5,1,0),"Excl")</f>
        <v>Materials</v>
      </c>
      <c r="AA222" s="7" t="str">
        <f>VLOOKUP(Q222,Mapping!$E$11:$I$96,5,0)</f>
        <v>SCS</v>
      </c>
      <c r="AC222" s="111">
        <v>106</v>
      </c>
      <c r="AD222" s="111" t="s">
        <v>2119</v>
      </c>
      <c r="AE222" s="111">
        <v>613570</v>
      </c>
      <c r="AF222" s="111" t="s">
        <v>1484</v>
      </c>
      <c r="AG222" s="112">
        <v>8.0277499999999993</v>
      </c>
      <c r="AI222" s="7" t="str">
        <f>VLOOKUP($AC222,Mapping!$E$11:$I$96,3,0)</f>
        <v>Connections</v>
      </c>
      <c r="AJ222" s="7" t="str">
        <f>VLOOKUP($AE222,Mapping!$E$140:$K$2771,5,0)</f>
        <v>Labour</v>
      </c>
      <c r="AK222" s="7" t="str">
        <f>VLOOKUP($AE222,Mapping!$E$140:$K$2771,7,0)</f>
        <v>ENDirect</v>
      </c>
      <c r="AL222" s="7" t="str">
        <f>IFERROR(HLOOKUP(AJ222,'Calc|Weightings'!$K$5:$M$5,1,0),"Excl")</f>
        <v>Labour</v>
      </c>
      <c r="AM222" s="7" t="str">
        <f>VLOOKUP(AC222,Mapping!$E$11:$I$96,5,0)</f>
        <v>SCS</v>
      </c>
      <c r="AO222" s="134">
        <v>107</v>
      </c>
      <c r="AP222" s="135" t="s">
        <v>2120</v>
      </c>
      <c r="AQ222" s="135">
        <v>531469</v>
      </c>
      <c r="AR222" s="135" t="s">
        <v>261</v>
      </c>
      <c r="AS222" s="136">
        <v>15.939</v>
      </c>
      <c r="AU222" s="7" t="str">
        <f>VLOOKUP($AO222,Mapping!$E$11:$I$96,3,0)</f>
        <v>Connections</v>
      </c>
      <c r="AV222" s="7" t="str">
        <f>VLOOKUP($AQ222,Mapping!$E$140:$K$2771,5,0)</f>
        <v>Labour</v>
      </c>
      <c r="AW222" s="7" t="str">
        <f>VLOOKUP($AQ222,Mapping!$E$140:$K$2771,7,0)</f>
        <v>ENDirect</v>
      </c>
      <c r="AX222" s="7" t="str">
        <f>IFERROR(HLOOKUP(AV222,'Calc|Weightings'!$K$5:$M$5,1,0),"Excl")</f>
        <v>Labour</v>
      </c>
      <c r="AY222" s="7" t="str">
        <f>VLOOKUP(AO222,Mapping!$E$11:$I$96,5,0)</f>
        <v>SCS</v>
      </c>
    </row>
    <row r="223" spans="1:51" x14ac:dyDescent="0.2">
      <c r="A223" s="7"/>
      <c r="B223" s="7"/>
      <c r="C223" s="7"/>
      <c r="D223" s="7"/>
      <c r="E223" s="36">
        <v>106</v>
      </c>
      <c r="F223" s="36" t="s">
        <v>2119</v>
      </c>
      <c r="G223" s="36">
        <v>613319</v>
      </c>
      <c r="H223" s="36" t="s">
        <v>2358</v>
      </c>
      <c r="I223" s="37">
        <v>14.294040000000001</v>
      </c>
      <c r="J223" s="7"/>
      <c r="K223" s="7" t="str">
        <f>VLOOKUP($E223,Mapping!$E$11:$I$96,3,0)</f>
        <v>Connections</v>
      </c>
      <c r="L223" s="7" t="str">
        <f>VLOOKUP($G223,Mapping!$E$140:$K$2771,5,0)</f>
        <v>Labour</v>
      </c>
      <c r="M223" s="7" t="str">
        <f>VLOOKUP($G223,Mapping!$E$140:$K$2771,7,0)</f>
        <v>ENDirect</v>
      </c>
      <c r="N223" s="7" t="str">
        <f>IFERROR(HLOOKUP(L223,'Calc|Weightings'!$K$5:$M$5,1,0),"Excl")</f>
        <v>Labour</v>
      </c>
      <c r="O223" s="7" t="str">
        <f>VLOOKUP(E223,Mapping!$E$11:$I$96,5,0)</f>
        <v>SCS</v>
      </c>
      <c r="Q223" s="33">
        <v>107</v>
      </c>
      <c r="R223" s="33" t="s">
        <v>2120</v>
      </c>
      <c r="S223" s="33">
        <v>523300</v>
      </c>
      <c r="T223" s="33" t="s">
        <v>2075</v>
      </c>
      <c r="U223" s="34">
        <v>0.2772</v>
      </c>
      <c r="V223" s="7"/>
      <c r="W223" s="7" t="str">
        <f>VLOOKUP($Q223,Mapping!$E$11:$I$96,3,0)</f>
        <v>Connections</v>
      </c>
      <c r="X223" s="7" t="str">
        <f>VLOOKUP($S223,Mapping!$E$140:$K$2771,5,0)</f>
        <v>Materials</v>
      </c>
      <c r="Y223" s="7" t="str">
        <f>VLOOKUP($S223,Mapping!$E$140:$K$2771,7,0)</f>
        <v>ENDirect</v>
      </c>
      <c r="Z223" s="7" t="str">
        <f>IFERROR(HLOOKUP(X223,'Calc|Weightings'!$K$5:$M$5,1,0),"Excl")</f>
        <v>Materials</v>
      </c>
      <c r="AA223" s="7" t="str">
        <f>VLOOKUP(Q223,Mapping!$E$11:$I$96,5,0)</f>
        <v>SCS</v>
      </c>
      <c r="AC223" s="111">
        <v>106</v>
      </c>
      <c r="AD223" s="111" t="s">
        <v>2119</v>
      </c>
      <c r="AE223" s="111">
        <v>613574</v>
      </c>
      <c r="AF223" s="111" t="s">
        <v>1488</v>
      </c>
      <c r="AG223" s="112">
        <v>143.64373000000001</v>
      </c>
      <c r="AI223" s="7" t="str">
        <f>VLOOKUP($AC223,Mapping!$E$11:$I$96,3,0)</f>
        <v>Connections</v>
      </c>
      <c r="AJ223" s="7" t="str">
        <f>VLOOKUP($AE223,Mapping!$E$140:$K$2771,5,0)</f>
        <v>Labour</v>
      </c>
      <c r="AK223" s="7" t="str">
        <f>VLOOKUP($AE223,Mapping!$E$140:$K$2771,7,0)</f>
        <v>ENDirect</v>
      </c>
      <c r="AL223" s="7" t="str">
        <f>IFERROR(HLOOKUP(AJ223,'Calc|Weightings'!$K$5:$M$5,1,0),"Excl")</f>
        <v>Labour</v>
      </c>
      <c r="AM223" s="7" t="str">
        <f>VLOOKUP(AC223,Mapping!$E$11:$I$96,5,0)</f>
        <v>SCS</v>
      </c>
      <c r="AO223" s="134">
        <v>107</v>
      </c>
      <c r="AP223" s="135" t="s">
        <v>2120</v>
      </c>
      <c r="AQ223" s="135">
        <v>532050</v>
      </c>
      <c r="AR223" s="135" t="s">
        <v>279</v>
      </c>
      <c r="AS223" s="136">
        <v>9.1050000000000004</v>
      </c>
      <c r="AU223" s="7" t="str">
        <f>VLOOKUP($AO223,Mapping!$E$11:$I$96,3,0)</f>
        <v>Connections</v>
      </c>
      <c r="AV223" s="7" t="str">
        <f>VLOOKUP($AQ223,Mapping!$E$140:$K$2771,5,0)</f>
        <v>Contracts</v>
      </c>
      <c r="AW223" s="7" t="str">
        <f>VLOOKUP($AQ223,Mapping!$E$140:$K$2771,7,0)</f>
        <v>ENDirect</v>
      </c>
      <c r="AX223" s="7" t="str">
        <f>IFERROR(HLOOKUP(AV223,'Calc|Weightings'!$K$5:$M$5,1,0),"Excl")</f>
        <v>Contracts</v>
      </c>
      <c r="AY223" s="7" t="str">
        <f>VLOOKUP(AO223,Mapping!$E$11:$I$96,5,0)</f>
        <v>SCS</v>
      </c>
    </row>
    <row r="224" spans="1:51" x14ac:dyDescent="0.2">
      <c r="A224" s="7"/>
      <c r="B224" s="7"/>
      <c r="C224" s="7"/>
      <c r="D224" s="7"/>
      <c r="E224" s="36">
        <v>106</v>
      </c>
      <c r="F224" s="36" t="s">
        <v>2119</v>
      </c>
      <c r="G224" s="36">
        <v>613350</v>
      </c>
      <c r="H224" s="36" t="s">
        <v>2096</v>
      </c>
      <c r="I224" s="37">
        <v>32.176490000000001</v>
      </c>
      <c r="J224" s="7"/>
      <c r="K224" s="7" t="str">
        <f>VLOOKUP($E224,Mapping!$E$11:$I$96,3,0)</f>
        <v>Connections</v>
      </c>
      <c r="L224" s="7" t="str">
        <f>VLOOKUP($G224,Mapping!$E$140:$K$2771,5,0)</f>
        <v>Labour</v>
      </c>
      <c r="M224" s="7" t="str">
        <f>VLOOKUP($G224,Mapping!$E$140:$K$2771,7,0)</f>
        <v>ENDirect</v>
      </c>
      <c r="N224" s="7" t="str">
        <f>IFERROR(HLOOKUP(L224,'Calc|Weightings'!$K$5:$M$5,1,0),"Excl")</f>
        <v>Labour</v>
      </c>
      <c r="O224" s="7" t="str">
        <f>VLOOKUP(E224,Mapping!$E$11:$I$96,5,0)</f>
        <v>SCS</v>
      </c>
      <c r="Q224" s="33">
        <v>107</v>
      </c>
      <c r="R224" s="33" t="s">
        <v>2120</v>
      </c>
      <c r="S224" s="33">
        <v>531000</v>
      </c>
      <c r="T224" s="33" t="s">
        <v>242</v>
      </c>
      <c r="U224" s="34">
        <v>1.9E-2</v>
      </c>
      <c r="V224" s="7"/>
      <c r="W224" s="7" t="str">
        <f>VLOOKUP($Q224,Mapping!$E$11:$I$96,3,0)</f>
        <v>Connections</v>
      </c>
      <c r="X224" s="7" t="str">
        <f>VLOOKUP($S224,Mapping!$E$140:$K$2771,5,0)</f>
        <v>Contracts</v>
      </c>
      <c r="Y224" s="7" t="str">
        <f>VLOOKUP($S224,Mapping!$E$140:$K$2771,7,0)</f>
        <v>ENDirect</v>
      </c>
      <c r="Z224" s="7" t="str">
        <f>IFERROR(HLOOKUP(X224,'Calc|Weightings'!$K$5:$M$5,1,0),"Excl")</f>
        <v>Contracts</v>
      </c>
      <c r="AA224" s="7" t="str">
        <f>VLOOKUP(Q224,Mapping!$E$11:$I$96,5,0)</f>
        <v>SCS</v>
      </c>
      <c r="AC224" s="111">
        <v>106</v>
      </c>
      <c r="AD224" s="111" t="s">
        <v>2119</v>
      </c>
      <c r="AE224" s="111">
        <v>613575</v>
      </c>
      <c r="AF224" s="111" t="s">
        <v>1489</v>
      </c>
      <c r="AG224" s="112">
        <v>2.1348799999999999</v>
      </c>
      <c r="AI224" s="7" t="str">
        <f>VLOOKUP($AC224,Mapping!$E$11:$I$96,3,0)</f>
        <v>Connections</v>
      </c>
      <c r="AJ224" s="7" t="str">
        <f>VLOOKUP($AE224,Mapping!$E$140:$K$2771,5,0)</f>
        <v>Labour</v>
      </c>
      <c r="AK224" s="7" t="str">
        <f>VLOOKUP($AE224,Mapping!$E$140:$K$2771,7,0)</f>
        <v>ENDirect</v>
      </c>
      <c r="AL224" s="7" t="str">
        <f>IFERROR(HLOOKUP(AJ224,'Calc|Weightings'!$K$5:$M$5,1,0),"Excl")</f>
        <v>Labour</v>
      </c>
      <c r="AM224" s="7" t="str">
        <f>VLOOKUP(AC224,Mapping!$E$11:$I$96,5,0)</f>
        <v>SCS</v>
      </c>
      <c r="AO224" s="134">
        <v>107</v>
      </c>
      <c r="AP224" s="135" t="s">
        <v>2120</v>
      </c>
      <c r="AQ224" s="135">
        <v>532140</v>
      </c>
      <c r="AR224" s="135" t="s">
        <v>288</v>
      </c>
      <c r="AS224" s="136">
        <v>4.5410000000000004</v>
      </c>
      <c r="AU224" s="7" t="str">
        <f>VLOOKUP($AO224,Mapping!$E$11:$I$96,3,0)</f>
        <v>Connections</v>
      </c>
      <c r="AV224" s="7" t="str">
        <f>VLOOKUP($AQ224,Mapping!$E$140:$K$2771,5,0)</f>
        <v>Contracts</v>
      </c>
      <c r="AW224" s="7" t="str">
        <f>VLOOKUP($AQ224,Mapping!$E$140:$K$2771,7,0)</f>
        <v>ENDirect</v>
      </c>
      <c r="AX224" s="7" t="str">
        <f>IFERROR(HLOOKUP(AV224,'Calc|Weightings'!$K$5:$M$5,1,0),"Excl")</f>
        <v>Contracts</v>
      </c>
      <c r="AY224" s="7" t="str">
        <f>VLOOKUP(AO224,Mapping!$E$11:$I$96,5,0)</f>
        <v>SCS</v>
      </c>
    </row>
    <row r="225" spans="1:51" x14ac:dyDescent="0.2">
      <c r="A225" s="7"/>
      <c r="B225" s="7"/>
      <c r="C225" s="7"/>
      <c r="D225" s="7"/>
      <c r="E225" s="36">
        <v>106</v>
      </c>
      <c r="F225" s="36" t="s">
        <v>2119</v>
      </c>
      <c r="G225" s="36">
        <v>613360</v>
      </c>
      <c r="H225" s="36" t="s">
        <v>2097</v>
      </c>
      <c r="I225" s="37">
        <v>205.87018</v>
      </c>
      <c r="J225" s="7"/>
      <c r="K225" s="7" t="str">
        <f>VLOOKUP($E225,Mapping!$E$11:$I$96,3,0)</f>
        <v>Connections</v>
      </c>
      <c r="L225" s="7" t="str">
        <f>VLOOKUP($G225,Mapping!$E$140:$K$2771,5,0)</f>
        <v>Labour</v>
      </c>
      <c r="M225" s="7" t="str">
        <f>VLOOKUP($G225,Mapping!$E$140:$K$2771,7,0)</f>
        <v>ENDirect</v>
      </c>
      <c r="N225" s="7" t="str">
        <f>IFERROR(HLOOKUP(L225,'Calc|Weightings'!$K$5:$M$5,1,0),"Excl")</f>
        <v>Labour</v>
      </c>
      <c r="O225" s="7" t="str">
        <f>VLOOKUP(E225,Mapping!$E$11:$I$96,5,0)</f>
        <v>SCS</v>
      </c>
      <c r="Q225" s="33">
        <v>107</v>
      </c>
      <c r="R225" s="33" t="s">
        <v>2120</v>
      </c>
      <c r="S225" s="33">
        <v>531020</v>
      </c>
      <c r="T225" s="33" t="s">
        <v>219</v>
      </c>
      <c r="U225" s="34">
        <v>0.7</v>
      </c>
      <c r="V225" s="7"/>
      <c r="W225" s="7" t="str">
        <f>VLOOKUP($Q225,Mapping!$E$11:$I$96,3,0)</f>
        <v>Connections</v>
      </c>
      <c r="X225" s="7" t="str">
        <f>VLOOKUP($S225,Mapping!$E$140:$K$2771,5,0)</f>
        <v>Labour</v>
      </c>
      <c r="Y225" s="7" t="str">
        <f>VLOOKUP($S225,Mapping!$E$140:$K$2771,7,0)</f>
        <v>ENDirect</v>
      </c>
      <c r="Z225" s="7" t="str">
        <f>IFERROR(HLOOKUP(X225,'Calc|Weightings'!$K$5:$M$5,1,0),"Excl")</f>
        <v>Labour</v>
      </c>
      <c r="AA225" s="7" t="str">
        <f>VLOOKUP(Q225,Mapping!$E$11:$I$96,5,0)</f>
        <v>SCS</v>
      </c>
      <c r="AC225" s="111">
        <v>106</v>
      </c>
      <c r="AD225" s="111" t="s">
        <v>2119</v>
      </c>
      <c r="AE225" s="111">
        <v>613576</v>
      </c>
      <c r="AF225" s="111" t="s">
        <v>1490</v>
      </c>
      <c r="AG225" s="112">
        <v>98.589119999999994</v>
      </c>
      <c r="AI225" s="7" t="str">
        <f>VLOOKUP($AC225,Mapping!$E$11:$I$96,3,0)</f>
        <v>Connections</v>
      </c>
      <c r="AJ225" s="7" t="str">
        <f>VLOOKUP($AE225,Mapping!$E$140:$K$2771,5,0)</f>
        <v>Labour</v>
      </c>
      <c r="AK225" s="7" t="str">
        <f>VLOOKUP($AE225,Mapping!$E$140:$K$2771,7,0)</f>
        <v>ENDirect</v>
      </c>
      <c r="AL225" s="7" t="str">
        <f>IFERROR(HLOOKUP(AJ225,'Calc|Weightings'!$K$5:$M$5,1,0),"Excl")</f>
        <v>Labour</v>
      </c>
      <c r="AM225" s="7" t="str">
        <f>VLOOKUP(AC225,Mapping!$E$11:$I$96,5,0)</f>
        <v>SCS</v>
      </c>
      <c r="AO225" s="134">
        <v>107</v>
      </c>
      <c r="AP225" s="135" t="s">
        <v>2120</v>
      </c>
      <c r="AQ225" s="135">
        <v>532200</v>
      </c>
      <c r="AR225" s="135" t="s">
        <v>291</v>
      </c>
      <c r="AS225" s="136">
        <v>2.2284999999999999</v>
      </c>
      <c r="AU225" s="7" t="str">
        <f>VLOOKUP($AO225,Mapping!$E$11:$I$96,3,0)</f>
        <v>Connections</v>
      </c>
      <c r="AV225" s="7" t="str">
        <f>VLOOKUP($AQ225,Mapping!$E$140:$K$2771,5,0)</f>
        <v>Contracts</v>
      </c>
      <c r="AW225" s="7" t="str">
        <f>VLOOKUP($AQ225,Mapping!$E$140:$K$2771,7,0)</f>
        <v>ENDirect</v>
      </c>
      <c r="AX225" s="7" t="str">
        <f>IFERROR(HLOOKUP(AV225,'Calc|Weightings'!$K$5:$M$5,1,0),"Excl")</f>
        <v>Contracts</v>
      </c>
      <c r="AY225" s="7" t="str">
        <f>VLOOKUP(AO225,Mapping!$E$11:$I$96,5,0)</f>
        <v>SCS</v>
      </c>
    </row>
    <row r="226" spans="1:51" x14ac:dyDescent="0.2">
      <c r="A226" s="7"/>
      <c r="B226" s="7"/>
      <c r="C226" s="7"/>
      <c r="D226" s="7"/>
      <c r="E226" s="36">
        <v>106</v>
      </c>
      <c r="F226" s="36" t="s">
        <v>2119</v>
      </c>
      <c r="G226" s="36">
        <v>613361</v>
      </c>
      <c r="H226" s="36" t="s">
        <v>2098</v>
      </c>
      <c r="I226" s="37">
        <v>7.3395700000000001</v>
      </c>
      <c r="J226" s="7"/>
      <c r="K226" s="7" t="str">
        <f>VLOOKUP($E226,Mapping!$E$11:$I$96,3,0)</f>
        <v>Connections</v>
      </c>
      <c r="L226" s="7" t="str">
        <f>VLOOKUP($G226,Mapping!$E$140:$K$2771,5,0)</f>
        <v>Labour</v>
      </c>
      <c r="M226" s="7" t="str">
        <f>VLOOKUP($G226,Mapping!$E$140:$K$2771,7,0)</f>
        <v>ENDirect</v>
      </c>
      <c r="N226" s="7" t="str">
        <f>IFERROR(HLOOKUP(L226,'Calc|Weightings'!$K$5:$M$5,1,0),"Excl")</f>
        <v>Labour</v>
      </c>
      <c r="O226" s="7" t="str">
        <f>VLOOKUP(E226,Mapping!$E$11:$I$96,5,0)</f>
        <v>SCS</v>
      </c>
      <c r="Q226" s="33">
        <v>107</v>
      </c>
      <c r="R226" s="33" t="s">
        <v>2120</v>
      </c>
      <c r="S226" s="33">
        <v>531035</v>
      </c>
      <c r="T226" s="33" t="s">
        <v>244</v>
      </c>
      <c r="U226" s="34">
        <v>9.9339999999999993</v>
      </c>
      <c r="V226" s="7"/>
      <c r="W226" s="7" t="str">
        <f>VLOOKUP($Q226,Mapping!$E$11:$I$96,3,0)</f>
        <v>Connections</v>
      </c>
      <c r="X226" s="7" t="str">
        <f>VLOOKUP($S226,Mapping!$E$140:$K$2771,5,0)</f>
        <v>Labour</v>
      </c>
      <c r="Y226" s="7" t="str">
        <f>VLOOKUP($S226,Mapping!$E$140:$K$2771,7,0)</f>
        <v>ENDirect</v>
      </c>
      <c r="Z226" s="7" t="str">
        <f>IFERROR(HLOOKUP(X226,'Calc|Weightings'!$K$5:$M$5,1,0),"Excl")</f>
        <v>Labour</v>
      </c>
      <c r="AA226" s="7" t="str">
        <f>VLOOKUP(Q226,Mapping!$E$11:$I$96,5,0)</f>
        <v>SCS</v>
      </c>
      <c r="AC226" s="111">
        <v>106</v>
      </c>
      <c r="AD226" s="111" t="s">
        <v>2119</v>
      </c>
      <c r="AE226" s="111">
        <v>613577</v>
      </c>
      <c r="AF226" s="111" t="s">
        <v>1491</v>
      </c>
      <c r="AG226" s="112">
        <v>5.5895000000000001</v>
      </c>
      <c r="AI226" s="7" t="str">
        <f>VLOOKUP($AC226,Mapping!$E$11:$I$96,3,0)</f>
        <v>Connections</v>
      </c>
      <c r="AJ226" s="7" t="str">
        <f>VLOOKUP($AE226,Mapping!$E$140:$K$2771,5,0)</f>
        <v>Labour</v>
      </c>
      <c r="AK226" s="7" t="str">
        <f>VLOOKUP($AE226,Mapping!$E$140:$K$2771,7,0)</f>
        <v>ENDirect</v>
      </c>
      <c r="AL226" s="7" t="str">
        <f>IFERROR(HLOOKUP(AJ226,'Calc|Weightings'!$K$5:$M$5,1,0),"Excl")</f>
        <v>Labour</v>
      </c>
      <c r="AM226" s="7" t="str">
        <f>VLOOKUP(AC226,Mapping!$E$11:$I$96,5,0)</f>
        <v>SCS</v>
      </c>
      <c r="AO226" s="134">
        <v>107</v>
      </c>
      <c r="AP226" s="135" t="s">
        <v>2120</v>
      </c>
      <c r="AQ226" s="135">
        <v>545150</v>
      </c>
      <c r="AR226" s="135" t="s">
        <v>345</v>
      </c>
      <c r="AS226" s="136">
        <v>0.48485</v>
      </c>
      <c r="AU226" s="7" t="str">
        <f>VLOOKUP($AO226,Mapping!$E$11:$I$96,3,0)</f>
        <v>Connections</v>
      </c>
      <c r="AV226" s="7" t="str">
        <f>VLOOKUP($AQ226,Mapping!$E$140:$K$2771,5,0)</f>
        <v>Contracts</v>
      </c>
      <c r="AW226" s="7" t="str">
        <f>VLOOKUP($AQ226,Mapping!$E$140:$K$2771,7,0)</f>
        <v>ENDirect</v>
      </c>
      <c r="AX226" s="7" t="str">
        <f>IFERROR(HLOOKUP(AV226,'Calc|Weightings'!$K$5:$M$5,1,0),"Excl")</f>
        <v>Contracts</v>
      </c>
      <c r="AY226" s="7" t="str">
        <f>VLOOKUP(AO226,Mapping!$E$11:$I$96,5,0)</f>
        <v>SCS</v>
      </c>
    </row>
    <row r="227" spans="1:51" x14ac:dyDescent="0.2">
      <c r="A227" s="7"/>
      <c r="B227" s="7"/>
      <c r="C227" s="7"/>
      <c r="D227" s="7"/>
      <c r="E227" s="36">
        <v>106</v>
      </c>
      <c r="F227" s="36" t="s">
        <v>2119</v>
      </c>
      <c r="G227" s="36">
        <v>613370</v>
      </c>
      <c r="H227" s="36" t="s">
        <v>1402</v>
      </c>
      <c r="I227" s="37">
        <v>3.4003100000000002</v>
      </c>
      <c r="J227" s="7"/>
      <c r="K227" s="7" t="str">
        <f>VLOOKUP($E227,Mapping!$E$11:$I$96,3,0)</f>
        <v>Connections</v>
      </c>
      <c r="L227" s="7" t="str">
        <f>VLOOKUP($G227,Mapping!$E$140:$K$2771,5,0)</f>
        <v>Labour</v>
      </c>
      <c r="M227" s="7" t="str">
        <f>VLOOKUP($G227,Mapping!$E$140:$K$2771,7,0)</f>
        <v>ENDirect</v>
      </c>
      <c r="N227" s="7" t="str">
        <f>IFERROR(HLOOKUP(L227,'Calc|Weightings'!$K$5:$M$5,1,0),"Excl")</f>
        <v>Labour</v>
      </c>
      <c r="O227" s="7" t="str">
        <f>VLOOKUP(E227,Mapping!$E$11:$I$96,5,0)</f>
        <v>SCS</v>
      </c>
      <c r="Q227" s="33">
        <v>107</v>
      </c>
      <c r="R227" s="33" t="s">
        <v>2120</v>
      </c>
      <c r="S227" s="33">
        <v>531200</v>
      </c>
      <c r="T227" s="33" t="s">
        <v>250</v>
      </c>
      <c r="U227" s="34">
        <v>77.673330000000007</v>
      </c>
      <c r="V227" s="7"/>
      <c r="W227" s="7" t="str">
        <f>VLOOKUP($Q227,Mapping!$E$11:$I$96,3,0)</f>
        <v>Connections</v>
      </c>
      <c r="X227" s="7" t="str">
        <f>VLOOKUP($S227,Mapping!$E$140:$K$2771,5,0)</f>
        <v>Contracts</v>
      </c>
      <c r="Y227" s="7" t="str">
        <f>VLOOKUP($S227,Mapping!$E$140:$K$2771,7,0)</f>
        <v>ENDirect</v>
      </c>
      <c r="Z227" s="7" t="str">
        <f>IFERROR(HLOOKUP(X227,'Calc|Weightings'!$K$5:$M$5,1,0),"Excl")</f>
        <v>Contracts</v>
      </c>
      <c r="AA227" s="7" t="str">
        <f>VLOOKUP(Q227,Mapping!$E$11:$I$96,5,0)</f>
        <v>SCS</v>
      </c>
      <c r="AC227" s="111">
        <v>106</v>
      </c>
      <c r="AD227" s="111" t="s">
        <v>2119</v>
      </c>
      <c r="AE227" s="111">
        <v>613602</v>
      </c>
      <c r="AF227" s="111" t="s">
        <v>1494</v>
      </c>
      <c r="AG227" s="112">
        <v>9.6655999999999995</v>
      </c>
      <c r="AI227" s="7" t="str">
        <f>VLOOKUP($AC227,Mapping!$E$11:$I$96,3,0)</f>
        <v>Connections</v>
      </c>
      <c r="AJ227" s="7" t="str">
        <f>VLOOKUP($AE227,Mapping!$E$140:$K$2771,5,0)</f>
        <v>Labour</v>
      </c>
      <c r="AK227" s="7" t="str">
        <f>VLOOKUP($AE227,Mapping!$E$140:$K$2771,7,0)</f>
        <v>ENDirect</v>
      </c>
      <c r="AL227" s="7" t="str">
        <f>IFERROR(HLOOKUP(AJ227,'Calc|Weightings'!$K$5:$M$5,1,0),"Excl")</f>
        <v>Labour</v>
      </c>
      <c r="AM227" s="7" t="str">
        <f>VLOOKUP(AC227,Mapping!$E$11:$I$96,5,0)</f>
        <v>SCS</v>
      </c>
      <c r="AO227" s="134">
        <v>107</v>
      </c>
      <c r="AP227" s="135" t="s">
        <v>2120</v>
      </c>
      <c r="AQ227" s="135">
        <v>611900</v>
      </c>
      <c r="AR227" s="135" t="s">
        <v>2079</v>
      </c>
      <c r="AS227" s="136">
        <v>1.9596</v>
      </c>
      <c r="AU227" s="7" t="str">
        <f>VLOOKUP($AO227,Mapping!$E$11:$I$96,3,0)</f>
        <v>Connections</v>
      </c>
      <c r="AV227" s="7" t="str">
        <f>VLOOKUP($AQ227,Mapping!$E$140:$K$2771,5,0)</f>
        <v>Contracts</v>
      </c>
      <c r="AW227" s="7" t="str">
        <f>VLOOKUP($AQ227,Mapping!$E$140:$K$2771,7,0)</f>
        <v>ENDirect</v>
      </c>
      <c r="AX227" s="7" t="str">
        <f>IFERROR(HLOOKUP(AV227,'Calc|Weightings'!$K$5:$M$5,1,0),"Excl")</f>
        <v>Contracts</v>
      </c>
      <c r="AY227" s="7" t="str">
        <f>VLOOKUP(AO227,Mapping!$E$11:$I$96,5,0)</f>
        <v>SCS</v>
      </c>
    </row>
    <row r="228" spans="1:51" x14ac:dyDescent="0.2">
      <c r="A228" s="7"/>
      <c r="B228" s="7"/>
      <c r="C228" s="7"/>
      <c r="D228" s="7"/>
      <c r="E228" s="36">
        <v>106</v>
      </c>
      <c r="F228" s="36" t="s">
        <v>2119</v>
      </c>
      <c r="G228" s="36">
        <v>613400</v>
      </c>
      <c r="H228" s="36" t="s">
        <v>2099</v>
      </c>
      <c r="I228" s="37">
        <v>3.89472</v>
      </c>
      <c r="J228" s="7"/>
      <c r="K228" s="7" t="str">
        <f>VLOOKUP($E228,Mapping!$E$11:$I$96,3,0)</f>
        <v>Connections</v>
      </c>
      <c r="L228" s="7" t="str">
        <f>VLOOKUP($G228,Mapping!$E$140:$K$2771,5,0)</f>
        <v>Labour</v>
      </c>
      <c r="M228" s="7" t="str">
        <f>VLOOKUP($G228,Mapping!$E$140:$K$2771,7,0)</f>
        <v>ENDirect</v>
      </c>
      <c r="N228" s="7" t="str">
        <f>IFERROR(HLOOKUP(L228,'Calc|Weightings'!$K$5:$M$5,1,0),"Excl")</f>
        <v>Labour</v>
      </c>
      <c r="O228" s="7" t="str">
        <f>VLOOKUP(E228,Mapping!$E$11:$I$96,5,0)</f>
        <v>SCS</v>
      </c>
      <c r="Q228" s="33">
        <v>107</v>
      </c>
      <c r="R228" s="33" t="s">
        <v>2120</v>
      </c>
      <c r="S228" s="33">
        <v>531201</v>
      </c>
      <c r="T228" s="33" t="s">
        <v>251</v>
      </c>
      <c r="U228" s="34">
        <v>3.99</v>
      </c>
      <c r="V228" s="7"/>
      <c r="W228" s="7" t="str">
        <f>VLOOKUP($Q228,Mapping!$E$11:$I$96,3,0)</f>
        <v>Connections</v>
      </c>
      <c r="X228" s="7" t="str">
        <f>VLOOKUP($S228,Mapping!$E$140:$K$2771,5,0)</f>
        <v>Contracts</v>
      </c>
      <c r="Y228" s="7" t="str">
        <f>VLOOKUP($S228,Mapping!$E$140:$K$2771,7,0)</f>
        <v>ENDirect</v>
      </c>
      <c r="Z228" s="7" t="str">
        <f>IFERROR(HLOOKUP(X228,'Calc|Weightings'!$K$5:$M$5,1,0),"Excl")</f>
        <v>Contracts</v>
      </c>
      <c r="AA228" s="7" t="str">
        <f>VLOOKUP(Q228,Mapping!$E$11:$I$96,5,0)</f>
        <v>SCS</v>
      </c>
      <c r="AC228" s="111">
        <v>106</v>
      </c>
      <c r="AD228" s="111" t="s">
        <v>2119</v>
      </c>
      <c r="AE228" s="111">
        <v>613603</v>
      </c>
      <c r="AF228" s="111" t="s">
        <v>1495</v>
      </c>
      <c r="AG228" s="112">
        <v>0.15970000000000001</v>
      </c>
      <c r="AI228" s="7" t="str">
        <f>VLOOKUP($AC228,Mapping!$E$11:$I$96,3,0)</f>
        <v>Connections</v>
      </c>
      <c r="AJ228" s="7" t="str">
        <f>VLOOKUP($AE228,Mapping!$E$140:$K$2771,5,0)</f>
        <v>Labour</v>
      </c>
      <c r="AK228" s="7" t="str">
        <f>VLOOKUP($AE228,Mapping!$E$140:$K$2771,7,0)</f>
        <v>ENDirect</v>
      </c>
      <c r="AL228" s="7" t="str">
        <f>IFERROR(HLOOKUP(AJ228,'Calc|Weightings'!$K$5:$M$5,1,0),"Excl")</f>
        <v>Labour</v>
      </c>
      <c r="AM228" s="7" t="str">
        <f>VLOOKUP(AC228,Mapping!$E$11:$I$96,5,0)</f>
        <v>SCS</v>
      </c>
      <c r="AO228" s="134">
        <v>107</v>
      </c>
      <c r="AP228" s="135" t="s">
        <v>2120</v>
      </c>
      <c r="AQ228" s="135">
        <v>611901</v>
      </c>
      <c r="AR228" s="135" t="s">
        <v>2080</v>
      </c>
      <c r="AS228" s="136">
        <v>1.48092</v>
      </c>
      <c r="AU228" s="7" t="str">
        <f>VLOOKUP($AO228,Mapping!$E$11:$I$96,3,0)</f>
        <v>Connections</v>
      </c>
      <c r="AV228" s="7" t="str">
        <f>VLOOKUP($AQ228,Mapping!$E$140:$K$2771,5,0)</f>
        <v>Contracts</v>
      </c>
      <c r="AW228" s="7" t="str">
        <f>VLOOKUP($AQ228,Mapping!$E$140:$K$2771,7,0)</f>
        <v>ENDirect</v>
      </c>
      <c r="AX228" s="7" t="str">
        <f>IFERROR(HLOOKUP(AV228,'Calc|Weightings'!$K$5:$M$5,1,0),"Excl")</f>
        <v>Contracts</v>
      </c>
      <c r="AY228" s="7" t="str">
        <f>VLOOKUP(AO228,Mapping!$E$11:$I$96,5,0)</f>
        <v>SCS</v>
      </c>
    </row>
    <row r="229" spans="1:51" x14ac:dyDescent="0.2">
      <c r="A229" s="7"/>
      <c r="B229" s="7"/>
      <c r="C229" s="7"/>
      <c r="D229" s="7"/>
      <c r="E229" s="36">
        <v>106</v>
      </c>
      <c r="F229" s="36" t="s">
        <v>2119</v>
      </c>
      <c r="G229" s="36">
        <v>613401</v>
      </c>
      <c r="H229" s="36" t="s">
        <v>2117</v>
      </c>
      <c r="I229" s="37">
        <v>1.03454</v>
      </c>
      <c r="J229" s="7"/>
      <c r="K229" s="7" t="str">
        <f>VLOOKUP($E229,Mapping!$E$11:$I$96,3,0)</f>
        <v>Connections</v>
      </c>
      <c r="L229" s="7" t="str">
        <f>VLOOKUP($G229,Mapping!$E$140:$K$2771,5,0)</f>
        <v>Labour</v>
      </c>
      <c r="M229" s="7" t="str">
        <f>VLOOKUP($G229,Mapping!$E$140:$K$2771,7,0)</f>
        <v>ENDirect</v>
      </c>
      <c r="N229" s="7" t="str">
        <f>IFERROR(HLOOKUP(L229,'Calc|Weightings'!$K$5:$M$5,1,0),"Excl")</f>
        <v>Labour</v>
      </c>
      <c r="O229" s="7" t="str">
        <f>VLOOKUP(E229,Mapping!$E$11:$I$96,5,0)</f>
        <v>SCS</v>
      </c>
      <c r="Q229" s="33">
        <v>107</v>
      </c>
      <c r="R229" s="33" t="s">
        <v>2120</v>
      </c>
      <c r="S229" s="33">
        <v>531464</v>
      </c>
      <c r="T229" s="33" t="s">
        <v>256</v>
      </c>
      <c r="U229" s="34">
        <v>1769.64761</v>
      </c>
      <c r="V229" s="7"/>
      <c r="W229" s="7" t="str">
        <f>VLOOKUP($Q229,Mapping!$E$11:$I$96,3,0)</f>
        <v>Connections</v>
      </c>
      <c r="X229" s="7" t="str">
        <f>VLOOKUP($S229,Mapping!$E$140:$K$2771,5,0)</f>
        <v>Contracts</v>
      </c>
      <c r="Y229" s="7" t="str">
        <f>VLOOKUP($S229,Mapping!$E$140:$K$2771,7,0)</f>
        <v>ENDirect</v>
      </c>
      <c r="Z229" s="7" t="str">
        <f>IFERROR(HLOOKUP(X229,'Calc|Weightings'!$K$5:$M$5,1,0),"Excl")</f>
        <v>Contracts</v>
      </c>
      <c r="AA229" s="7" t="str">
        <f>VLOOKUP(Q229,Mapping!$E$11:$I$96,5,0)</f>
        <v>SCS</v>
      </c>
      <c r="AC229" s="111">
        <v>106</v>
      </c>
      <c r="AD229" s="111" t="s">
        <v>2119</v>
      </c>
      <c r="AE229" s="111">
        <v>613630</v>
      </c>
      <c r="AF229" s="111" t="s">
        <v>1498</v>
      </c>
      <c r="AG229" s="112">
        <v>26.496580000000002</v>
      </c>
      <c r="AI229" s="7" t="str">
        <f>VLOOKUP($AC229,Mapping!$E$11:$I$96,3,0)</f>
        <v>Connections</v>
      </c>
      <c r="AJ229" s="7" t="str">
        <f>VLOOKUP($AE229,Mapping!$E$140:$K$2771,5,0)</f>
        <v>Labour</v>
      </c>
      <c r="AK229" s="7" t="str">
        <f>VLOOKUP($AE229,Mapping!$E$140:$K$2771,7,0)</f>
        <v>ENDirect</v>
      </c>
      <c r="AL229" s="7" t="str">
        <f>IFERROR(HLOOKUP(AJ229,'Calc|Weightings'!$K$5:$M$5,1,0),"Excl")</f>
        <v>Labour</v>
      </c>
      <c r="AM229" s="7" t="str">
        <f>VLOOKUP(AC229,Mapping!$E$11:$I$96,5,0)</f>
        <v>SCS</v>
      </c>
      <c r="AO229" s="134">
        <v>107</v>
      </c>
      <c r="AP229" s="135" t="s">
        <v>2120</v>
      </c>
      <c r="AQ229" s="135">
        <v>611902</v>
      </c>
      <c r="AR229" s="135" t="s">
        <v>2081</v>
      </c>
      <c r="AS229" s="136">
        <v>4.7351299999999998</v>
      </c>
      <c r="AU229" s="7" t="str">
        <f>VLOOKUP($AO229,Mapping!$E$11:$I$96,3,0)</f>
        <v>Connections</v>
      </c>
      <c r="AV229" s="7" t="str">
        <f>VLOOKUP($AQ229,Mapping!$E$140:$K$2771,5,0)</f>
        <v>Contracts</v>
      </c>
      <c r="AW229" s="7" t="str">
        <f>VLOOKUP($AQ229,Mapping!$E$140:$K$2771,7,0)</f>
        <v>ENDirect</v>
      </c>
      <c r="AX229" s="7" t="str">
        <f>IFERROR(HLOOKUP(AV229,'Calc|Weightings'!$K$5:$M$5,1,0),"Excl")</f>
        <v>Contracts</v>
      </c>
      <c r="AY229" s="7" t="str">
        <f>VLOOKUP(AO229,Mapping!$E$11:$I$96,5,0)</f>
        <v>SCS</v>
      </c>
    </row>
    <row r="230" spans="1:51" x14ac:dyDescent="0.2">
      <c r="A230" s="7"/>
      <c r="B230" s="7"/>
      <c r="C230" s="7"/>
      <c r="D230" s="7"/>
      <c r="E230" s="36">
        <v>106</v>
      </c>
      <c r="F230" s="36" t="s">
        <v>2119</v>
      </c>
      <c r="G230" s="36">
        <v>613408</v>
      </c>
      <c r="H230" s="36" t="s">
        <v>1418</v>
      </c>
      <c r="I230" s="37">
        <v>72.478319999999997</v>
      </c>
      <c r="J230" s="7"/>
      <c r="K230" s="7" t="str">
        <f>VLOOKUP($E230,Mapping!$E$11:$I$96,3,0)</f>
        <v>Connections</v>
      </c>
      <c r="L230" s="7" t="str">
        <f>VLOOKUP($G230,Mapping!$E$140:$K$2771,5,0)</f>
        <v>Labour</v>
      </c>
      <c r="M230" s="7" t="str">
        <f>VLOOKUP($G230,Mapping!$E$140:$K$2771,7,0)</f>
        <v>ENDirect</v>
      </c>
      <c r="N230" s="7" t="str">
        <f>IFERROR(HLOOKUP(L230,'Calc|Weightings'!$K$5:$M$5,1,0),"Excl")</f>
        <v>Labour</v>
      </c>
      <c r="O230" s="7" t="str">
        <f>VLOOKUP(E230,Mapping!$E$11:$I$96,5,0)</f>
        <v>SCS</v>
      </c>
      <c r="Q230" s="33">
        <v>107</v>
      </c>
      <c r="R230" s="33" t="s">
        <v>2120</v>
      </c>
      <c r="S230" s="33">
        <v>531466</v>
      </c>
      <c r="T230" s="33" t="s">
        <v>258</v>
      </c>
      <c r="U230" s="34">
        <v>29.237480000000001</v>
      </c>
      <c r="V230" s="7"/>
      <c r="W230" s="7" t="str">
        <f>VLOOKUP($Q230,Mapping!$E$11:$I$96,3,0)</f>
        <v>Connections</v>
      </c>
      <c r="X230" s="7" t="str">
        <f>VLOOKUP($S230,Mapping!$E$140:$K$2771,5,0)</f>
        <v>Contracts</v>
      </c>
      <c r="Y230" s="7" t="str">
        <f>VLOOKUP($S230,Mapping!$E$140:$K$2771,7,0)</f>
        <v>ENDirect</v>
      </c>
      <c r="Z230" s="7" t="str">
        <f>IFERROR(HLOOKUP(X230,'Calc|Weightings'!$K$5:$M$5,1,0),"Excl")</f>
        <v>Contracts</v>
      </c>
      <c r="AA230" s="7" t="str">
        <f>VLOOKUP(Q230,Mapping!$E$11:$I$96,5,0)</f>
        <v>SCS</v>
      </c>
      <c r="AC230" s="111">
        <v>106</v>
      </c>
      <c r="AD230" s="111" t="s">
        <v>2119</v>
      </c>
      <c r="AE230" s="111">
        <v>613680</v>
      </c>
      <c r="AF230" s="111" t="s">
        <v>2107</v>
      </c>
      <c r="AG230" s="112">
        <v>65.289320000000004</v>
      </c>
      <c r="AI230" s="7" t="str">
        <f>VLOOKUP($AC230,Mapping!$E$11:$I$96,3,0)</f>
        <v>Connections</v>
      </c>
      <c r="AJ230" s="7" t="str">
        <f>VLOOKUP($AE230,Mapping!$E$140:$K$2771,5,0)</f>
        <v>Labour</v>
      </c>
      <c r="AK230" s="7" t="str">
        <f>VLOOKUP($AE230,Mapping!$E$140:$K$2771,7,0)</f>
        <v>ENDirect</v>
      </c>
      <c r="AL230" s="7" t="str">
        <f>IFERROR(HLOOKUP(AJ230,'Calc|Weightings'!$K$5:$M$5,1,0),"Excl")</f>
        <v>Labour</v>
      </c>
      <c r="AM230" s="7" t="str">
        <f>VLOOKUP(AC230,Mapping!$E$11:$I$96,5,0)</f>
        <v>SCS</v>
      </c>
      <c r="AO230" s="134">
        <v>107</v>
      </c>
      <c r="AP230" s="135" t="s">
        <v>2120</v>
      </c>
      <c r="AQ230" s="135">
        <v>612210</v>
      </c>
      <c r="AR230" s="135" t="s">
        <v>1184</v>
      </c>
      <c r="AS230" s="136">
        <v>8.3567099999999996</v>
      </c>
      <c r="AU230" s="7" t="str">
        <f>VLOOKUP($AO230,Mapping!$E$11:$I$96,3,0)</f>
        <v>Connections</v>
      </c>
      <c r="AV230" s="7" t="str">
        <f>VLOOKUP($AQ230,Mapping!$E$140:$K$2771,5,0)</f>
        <v>Labour</v>
      </c>
      <c r="AW230" s="7" t="str">
        <f>VLOOKUP($AQ230,Mapping!$E$140:$K$2771,7,0)</f>
        <v>ENDirect</v>
      </c>
      <c r="AX230" s="7" t="str">
        <f>IFERROR(HLOOKUP(AV230,'Calc|Weightings'!$K$5:$M$5,1,0),"Excl")</f>
        <v>Labour</v>
      </c>
      <c r="AY230" s="7" t="str">
        <f>VLOOKUP(AO230,Mapping!$E$11:$I$96,5,0)</f>
        <v>SCS</v>
      </c>
    </row>
    <row r="231" spans="1:51" x14ac:dyDescent="0.2">
      <c r="A231" s="7"/>
      <c r="B231" s="7"/>
      <c r="C231" s="7"/>
      <c r="D231" s="7"/>
      <c r="E231" s="36">
        <v>106</v>
      </c>
      <c r="F231" s="36" t="s">
        <v>2119</v>
      </c>
      <c r="G231" s="36">
        <v>613409</v>
      </c>
      <c r="H231" s="36" t="s">
        <v>1419</v>
      </c>
      <c r="I231" s="37">
        <v>26.03378</v>
      </c>
      <c r="J231" s="7"/>
      <c r="K231" s="7" t="str">
        <f>VLOOKUP($E231,Mapping!$E$11:$I$96,3,0)</f>
        <v>Connections</v>
      </c>
      <c r="L231" s="7" t="str">
        <f>VLOOKUP($G231,Mapping!$E$140:$K$2771,5,0)</f>
        <v>Labour</v>
      </c>
      <c r="M231" s="7" t="str">
        <f>VLOOKUP($G231,Mapping!$E$140:$K$2771,7,0)</f>
        <v>ENDirect</v>
      </c>
      <c r="N231" s="7" t="str">
        <f>IFERROR(HLOOKUP(L231,'Calc|Weightings'!$K$5:$M$5,1,0),"Excl")</f>
        <v>Labour</v>
      </c>
      <c r="O231" s="7" t="str">
        <f>VLOOKUP(E231,Mapping!$E$11:$I$96,5,0)</f>
        <v>SCS</v>
      </c>
      <c r="Q231" s="33">
        <v>107</v>
      </c>
      <c r="R231" s="33" t="s">
        <v>2120</v>
      </c>
      <c r="S231" s="33">
        <v>531467</v>
      </c>
      <c r="T231" s="33" t="s">
        <v>259</v>
      </c>
      <c r="U231" s="34">
        <v>401.09089999999998</v>
      </c>
      <c r="V231" s="7"/>
      <c r="W231" s="7" t="str">
        <f>VLOOKUP($Q231,Mapping!$E$11:$I$96,3,0)</f>
        <v>Connections</v>
      </c>
      <c r="X231" s="7" t="str">
        <f>VLOOKUP($S231,Mapping!$E$140:$K$2771,5,0)</f>
        <v>Contracts</v>
      </c>
      <c r="Y231" s="7" t="str">
        <f>VLOOKUP($S231,Mapping!$E$140:$K$2771,7,0)</f>
        <v>ENDirect</v>
      </c>
      <c r="Z231" s="7" t="str">
        <f>IFERROR(HLOOKUP(X231,'Calc|Weightings'!$K$5:$M$5,1,0),"Excl")</f>
        <v>Contracts</v>
      </c>
      <c r="AA231" s="7" t="str">
        <f>VLOOKUP(Q231,Mapping!$E$11:$I$96,5,0)</f>
        <v>SCS</v>
      </c>
      <c r="AC231" s="111">
        <v>106</v>
      </c>
      <c r="AD231" s="111" t="s">
        <v>2119</v>
      </c>
      <c r="AE231" s="111">
        <v>613681</v>
      </c>
      <c r="AF231" s="111" t="s">
        <v>2108</v>
      </c>
      <c r="AG231" s="112">
        <v>0.63427</v>
      </c>
      <c r="AI231" s="7" t="str">
        <f>VLOOKUP($AC231,Mapping!$E$11:$I$96,3,0)</f>
        <v>Connections</v>
      </c>
      <c r="AJ231" s="7" t="str">
        <f>VLOOKUP($AE231,Mapping!$E$140:$K$2771,5,0)</f>
        <v>Labour</v>
      </c>
      <c r="AK231" s="7" t="str">
        <f>VLOOKUP($AE231,Mapping!$E$140:$K$2771,7,0)</f>
        <v>ENDirect</v>
      </c>
      <c r="AL231" s="7" t="str">
        <f>IFERROR(HLOOKUP(AJ231,'Calc|Weightings'!$K$5:$M$5,1,0),"Excl")</f>
        <v>Labour</v>
      </c>
      <c r="AM231" s="7" t="str">
        <f>VLOOKUP(AC231,Mapping!$E$11:$I$96,5,0)</f>
        <v>SCS</v>
      </c>
      <c r="AO231" s="134">
        <v>107</v>
      </c>
      <c r="AP231" s="135" t="s">
        <v>2120</v>
      </c>
      <c r="AQ231" s="135">
        <v>613240</v>
      </c>
      <c r="AR231" s="135" t="s">
        <v>2082</v>
      </c>
      <c r="AS231" s="136">
        <v>3.9023599999999998</v>
      </c>
      <c r="AU231" s="7" t="str">
        <f>VLOOKUP($AO231,Mapping!$E$11:$I$96,3,0)</f>
        <v>Connections</v>
      </c>
      <c r="AV231" s="7" t="str">
        <f>VLOOKUP($AQ231,Mapping!$E$140:$K$2771,5,0)</f>
        <v>Labour</v>
      </c>
      <c r="AW231" s="7" t="str">
        <f>VLOOKUP($AQ231,Mapping!$E$140:$K$2771,7,0)</f>
        <v>ENDirect</v>
      </c>
      <c r="AX231" s="7" t="str">
        <f>IFERROR(HLOOKUP(AV231,'Calc|Weightings'!$K$5:$M$5,1,0),"Excl")</f>
        <v>Labour</v>
      </c>
      <c r="AY231" s="7" t="str">
        <f>VLOOKUP(AO231,Mapping!$E$11:$I$96,5,0)</f>
        <v>SCS</v>
      </c>
    </row>
    <row r="232" spans="1:51" x14ac:dyDescent="0.2">
      <c r="A232" s="7"/>
      <c r="B232" s="7"/>
      <c r="C232" s="7"/>
      <c r="D232" s="7"/>
      <c r="E232" s="36">
        <v>106</v>
      </c>
      <c r="F232" s="36" t="s">
        <v>2119</v>
      </c>
      <c r="G232" s="36">
        <v>613410</v>
      </c>
      <c r="H232" s="36" t="s">
        <v>2100</v>
      </c>
      <c r="I232" s="37">
        <v>7.1895600000000002</v>
      </c>
      <c r="J232" s="7"/>
      <c r="K232" s="7" t="str">
        <f>VLOOKUP($E232,Mapping!$E$11:$I$96,3,0)</f>
        <v>Connections</v>
      </c>
      <c r="L232" s="7" t="str">
        <f>VLOOKUP($G232,Mapping!$E$140:$K$2771,5,0)</f>
        <v>Labour</v>
      </c>
      <c r="M232" s="7" t="str">
        <f>VLOOKUP($G232,Mapping!$E$140:$K$2771,7,0)</f>
        <v>ENDirect</v>
      </c>
      <c r="N232" s="7" t="str">
        <f>IFERROR(HLOOKUP(L232,'Calc|Weightings'!$K$5:$M$5,1,0),"Excl")</f>
        <v>Labour</v>
      </c>
      <c r="O232" s="7" t="str">
        <f>VLOOKUP(E232,Mapping!$E$11:$I$96,5,0)</f>
        <v>SCS</v>
      </c>
      <c r="Q232" s="33">
        <v>107</v>
      </c>
      <c r="R232" s="33" t="s">
        <v>2120</v>
      </c>
      <c r="S232" s="33">
        <v>531468</v>
      </c>
      <c r="T232" s="33" t="s">
        <v>260</v>
      </c>
      <c r="U232" s="34">
        <v>413.69618000000003</v>
      </c>
      <c r="V232" s="7"/>
      <c r="W232" s="7" t="str">
        <f>VLOOKUP($Q232,Mapping!$E$11:$I$96,3,0)</f>
        <v>Connections</v>
      </c>
      <c r="X232" s="7" t="str">
        <f>VLOOKUP($S232,Mapping!$E$140:$K$2771,5,0)</f>
        <v>Contracts</v>
      </c>
      <c r="Y232" s="7" t="str">
        <f>VLOOKUP($S232,Mapping!$E$140:$K$2771,7,0)</f>
        <v>ENDirect</v>
      </c>
      <c r="Z232" s="7" t="str">
        <f>IFERROR(HLOOKUP(X232,'Calc|Weightings'!$K$5:$M$5,1,0),"Excl")</f>
        <v>Contracts</v>
      </c>
      <c r="AA232" s="7" t="str">
        <f>VLOOKUP(Q232,Mapping!$E$11:$I$96,5,0)</f>
        <v>SCS</v>
      </c>
      <c r="AC232" s="111">
        <v>106</v>
      </c>
      <c r="AD232" s="111" t="s">
        <v>2119</v>
      </c>
      <c r="AE232" s="111">
        <v>614115</v>
      </c>
      <c r="AF232" s="111" t="s">
        <v>2109</v>
      </c>
      <c r="AG232" s="112">
        <v>17.062180000000001</v>
      </c>
      <c r="AI232" s="7" t="str">
        <f>VLOOKUP($AC232,Mapping!$E$11:$I$96,3,0)</f>
        <v>Connections</v>
      </c>
      <c r="AJ232" s="7" t="str">
        <f>VLOOKUP($AE232,Mapping!$E$140:$K$2771,5,0)</f>
        <v>Labour</v>
      </c>
      <c r="AK232" s="7" t="str">
        <f>VLOOKUP($AE232,Mapping!$E$140:$K$2771,7,0)</f>
        <v>ENDirect</v>
      </c>
      <c r="AL232" s="7" t="str">
        <f>IFERROR(HLOOKUP(AJ232,'Calc|Weightings'!$K$5:$M$5,1,0),"Excl")</f>
        <v>Labour</v>
      </c>
      <c r="AM232" s="7" t="str">
        <f>VLOOKUP(AC232,Mapping!$E$11:$I$96,5,0)</f>
        <v>SCS</v>
      </c>
      <c r="AO232" s="134">
        <v>107</v>
      </c>
      <c r="AP232" s="135" t="s">
        <v>2120</v>
      </c>
      <c r="AQ232" s="135">
        <v>613241</v>
      </c>
      <c r="AR232" s="135" t="s">
        <v>2083</v>
      </c>
      <c r="AS232" s="136">
        <v>2.5980799999999999</v>
      </c>
      <c r="AU232" s="7" t="str">
        <f>VLOOKUP($AO232,Mapping!$E$11:$I$96,3,0)</f>
        <v>Connections</v>
      </c>
      <c r="AV232" s="7" t="str">
        <f>VLOOKUP($AQ232,Mapping!$E$140:$K$2771,5,0)</f>
        <v>Labour</v>
      </c>
      <c r="AW232" s="7" t="str">
        <f>VLOOKUP($AQ232,Mapping!$E$140:$K$2771,7,0)</f>
        <v>ENDirect</v>
      </c>
      <c r="AX232" s="7" t="str">
        <f>IFERROR(HLOOKUP(AV232,'Calc|Weightings'!$K$5:$M$5,1,0),"Excl")</f>
        <v>Labour</v>
      </c>
      <c r="AY232" s="7" t="str">
        <f>VLOOKUP(AO232,Mapping!$E$11:$I$96,5,0)</f>
        <v>SCS</v>
      </c>
    </row>
    <row r="233" spans="1:51" x14ac:dyDescent="0.2">
      <c r="A233" s="7"/>
      <c r="B233" s="7"/>
      <c r="C233" s="7"/>
      <c r="D233" s="7"/>
      <c r="E233" s="36">
        <v>106</v>
      </c>
      <c r="F233" s="36" t="s">
        <v>2119</v>
      </c>
      <c r="G233" s="36">
        <v>613411</v>
      </c>
      <c r="H233" s="36" t="s">
        <v>2101</v>
      </c>
      <c r="I233" s="37">
        <v>0.59913000000000005</v>
      </c>
      <c r="J233" s="7"/>
      <c r="K233" s="7" t="str">
        <f>VLOOKUP($E233,Mapping!$E$11:$I$96,3,0)</f>
        <v>Connections</v>
      </c>
      <c r="L233" s="7" t="str">
        <f>VLOOKUP($G233,Mapping!$E$140:$K$2771,5,0)</f>
        <v>Labour</v>
      </c>
      <c r="M233" s="7" t="str">
        <f>VLOOKUP($G233,Mapping!$E$140:$K$2771,7,0)</f>
        <v>ENDirect</v>
      </c>
      <c r="N233" s="7" t="str">
        <f>IFERROR(HLOOKUP(L233,'Calc|Weightings'!$K$5:$M$5,1,0),"Excl")</f>
        <v>Labour</v>
      </c>
      <c r="O233" s="7" t="str">
        <f>VLOOKUP(E233,Mapping!$E$11:$I$96,5,0)</f>
        <v>SCS</v>
      </c>
      <c r="Q233" s="33">
        <v>107</v>
      </c>
      <c r="R233" s="33" t="s">
        <v>2120</v>
      </c>
      <c r="S233" s="33">
        <v>531469</v>
      </c>
      <c r="T233" s="33" t="s">
        <v>261</v>
      </c>
      <c r="U233" s="34">
        <v>13.379</v>
      </c>
      <c r="V233" s="7"/>
      <c r="W233" s="7" t="str">
        <f>VLOOKUP($Q233,Mapping!$E$11:$I$96,3,0)</f>
        <v>Connections</v>
      </c>
      <c r="X233" s="7" t="str">
        <f>VLOOKUP($S233,Mapping!$E$140:$K$2771,5,0)</f>
        <v>Labour</v>
      </c>
      <c r="Y233" s="7" t="str">
        <f>VLOOKUP($S233,Mapping!$E$140:$K$2771,7,0)</f>
        <v>ENDirect</v>
      </c>
      <c r="Z233" s="7" t="str">
        <f>IFERROR(HLOOKUP(X233,'Calc|Weightings'!$K$5:$M$5,1,0),"Excl")</f>
        <v>Labour</v>
      </c>
      <c r="AA233" s="7" t="str">
        <f>VLOOKUP(Q233,Mapping!$E$11:$I$96,5,0)</f>
        <v>SCS</v>
      </c>
      <c r="AC233" s="111">
        <v>106</v>
      </c>
      <c r="AD233" s="111" t="s">
        <v>2119</v>
      </c>
      <c r="AE233" s="111">
        <v>634001</v>
      </c>
      <c r="AF233" s="111" t="s">
        <v>2110</v>
      </c>
      <c r="AG233" s="112">
        <v>574.94480999999996</v>
      </c>
      <c r="AI233" s="7" t="str">
        <f>VLOOKUP($AC233,Mapping!$E$11:$I$96,3,0)</f>
        <v>Connections</v>
      </c>
      <c r="AJ233" s="7" t="str">
        <f>VLOOKUP($AE233,Mapping!$E$140:$K$2771,5,0)</f>
        <v>Local OH</v>
      </c>
      <c r="AK233" s="7" t="str">
        <f>VLOOKUP($AE233,Mapping!$E$140:$K$2771,7,0)</f>
        <v>OH</v>
      </c>
      <c r="AL233" s="7" t="str">
        <f>IFERROR(HLOOKUP(AJ233,'Calc|Weightings'!$K$5:$M$5,1,0),"Excl")</f>
        <v>Excl</v>
      </c>
      <c r="AM233" s="7" t="str">
        <f>VLOOKUP(AC233,Mapping!$E$11:$I$96,5,0)</f>
        <v>SCS</v>
      </c>
      <c r="AO233" s="134">
        <v>107</v>
      </c>
      <c r="AP233" s="135" t="s">
        <v>2120</v>
      </c>
      <c r="AQ233" s="135">
        <v>613250</v>
      </c>
      <c r="AR233" s="135" t="s">
        <v>2086</v>
      </c>
      <c r="AS233" s="136">
        <v>11.86835</v>
      </c>
      <c r="AU233" s="7" t="str">
        <f>VLOOKUP($AO233,Mapping!$E$11:$I$96,3,0)</f>
        <v>Connections</v>
      </c>
      <c r="AV233" s="7" t="str">
        <f>VLOOKUP($AQ233,Mapping!$E$140:$K$2771,5,0)</f>
        <v>Labour</v>
      </c>
      <c r="AW233" s="7" t="str">
        <f>VLOOKUP($AQ233,Mapping!$E$140:$K$2771,7,0)</f>
        <v>ENDirect</v>
      </c>
      <c r="AX233" s="7" t="str">
        <f>IFERROR(HLOOKUP(AV233,'Calc|Weightings'!$K$5:$M$5,1,0),"Excl")</f>
        <v>Labour</v>
      </c>
      <c r="AY233" s="7" t="str">
        <f>VLOOKUP(AO233,Mapping!$E$11:$I$96,5,0)</f>
        <v>SCS</v>
      </c>
    </row>
    <row r="234" spans="1:51" x14ac:dyDescent="0.2">
      <c r="A234" s="7"/>
      <c r="B234" s="7"/>
      <c r="C234" s="7"/>
      <c r="D234" s="7"/>
      <c r="E234" s="36">
        <v>106</v>
      </c>
      <c r="F234" s="36" t="s">
        <v>2119</v>
      </c>
      <c r="G234" s="36">
        <v>613418</v>
      </c>
      <c r="H234" s="36" t="s">
        <v>1424</v>
      </c>
      <c r="I234" s="37">
        <v>19.371870000000001</v>
      </c>
      <c r="J234" s="7"/>
      <c r="K234" s="7" t="str">
        <f>VLOOKUP($E234,Mapping!$E$11:$I$96,3,0)</f>
        <v>Connections</v>
      </c>
      <c r="L234" s="7" t="str">
        <f>VLOOKUP($G234,Mapping!$E$140:$K$2771,5,0)</f>
        <v>Labour</v>
      </c>
      <c r="M234" s="7" t="str">
        <f>VLOOKUP($G234,Mapping!$E$140:$K$2771,7,0)</f>
        <v>ENDirect</v>
      </c>
      <c r="N234" s="7" t="str">
        <f>IFERROR(HLOOKUP(L234,'Calc|Weightings'!$K$5:$M$5,1,0),"Excl")</f>
        <v>Labour</v>
      </c>
      <c r="O234" s="7" t="str">
        <f>VLOOKUP(E234,Mapping!$E$11:$I$96,5,0)</f>
        <v>SCS</v>
      </c>
      <c r="Q234" s="33">
        <v>107</v>
      </c>
      <c r="R234" s="33" t="s">
        <v>2120</v>
      </c>
      <c r="S234" s="33">
        <v>532050</v>
      </c>
      <c r="T234" s="33" t="s">
        <v>279</v>
      </c>
      <c r="U234" s="34">
        <v>4.6300000000000001E-2</v>
      </c>
      <c r="V234" s="7"/>
      <c r="W234" s="7" t="str">
        <f>VLOOKUP($Q234,Mapping!$E$11:$I$96,3,0)</f>
        <v>Connections</v>
      </c>
      <c r="X234" s="7" t="str">
        <f>VLOOKUP($S234,Mapping!$E$140:$K$2771,5,0)</f>
        <v>Contracts</v>
      </c>
      <c r="Y234" s="7" t="str">
        <f>VLOOKUP($S234,Mapping!$E$140:$K$2771,7,0)</f>
        <v>ENDirect</v>
      </c>
      <c r="Z234" s="7" t="str">
        <f>IFERROR(HLOOKUP(X234,'Calc|Weightings'!$K$5:$M$5,1,0),"Excl")</f>
        <v>Contracts</v>
      </c>
      <c r="AA234" s="7" t="str">
        <f>VLOOKUP(Q234,Mapping!$E$11:$I$96,5,0)</f>
        <v>SCS</v>
      </c>
      <c r="AC234" s="111">
        <v>106</v>
      </c>
      <c r="AD234" s="111" t="s">
        <v>2119</v>
      </c>
      <c r="AE234" s="111">
        <v>635001</v>
      </c>
      <c r="AF234" s="111" t="s">
        <v>1929</v>
      </c>
      <c r="AG234" s="112">
        <v>337.81720999999999</v>
      </c>
      <c r="AI234" s="7" t="str">
        <f>VLOOKUP($AC234,Mapping!$E$11:$I$96,3,0)</f>
        <v>Connections</v>
      </c>
      <c r="AJ234" s="7" t="str">
        <f>VLOOKUP($AE234,Mapping!$E$140:$K$2771,5,0)</f>
        <v>PNS MG</v>
      </c>
      <c r="AK234" s="7" t="str">
        <f>VLOOKUP($AE234,Mapping!$E$140:$K$2771,7,0)</f>
        <v>ENDirect</v>
      </c>
      <c r="AL234" s="7" t="str">
        <f>IFERROR(HLOOKUP(AJ234,'Calc|Weightings'!$K$5:$M$5,1,0),"Excl")</f>
        <v>Excl</v>
      </c>
      <c r="AM234" s="7" t="str">
        <f>VLOOKUP(AC234,Mapping!$E$11:$I$96,5,0)</f>
        <v>SCS</v>
      </c>
      <c r="AO234" s="134">
        <v>107</v>
      </c>
      <c r="AP234" s="135" t="s">
        <v>2120</v>
      </c>
      <c r="AQ234" s="135">
        <v>613251</v>
      </c>
      <c r="AR234" s="135" t="s">
        <v>2087</v>
      </c>
      <c r="AS234" s="136">
        <v>2.8220800000000001</v>
      </c>
      <c r="AU234" s="7" t="str">
        <f>VLOOKUP($AO234,Mapping!$E$11:$I$96,3,0)</f>
        <v>Connections</v>
      </c>
      <c r="AV234" s="7" t="str">
        <f>VLOOKUP($AQ234,Mapping!$E$140:$K$2771,5,0)</f>
        <v>Labour</v>
      </c>
      <c r="AW234" s="7" t="str">
        <f>VLOOKUP($AQ234,Mapping!$E$140:$K$2771,7,0)</f>
        <v>ENDirect</v>
      </c>
      <c r="AX234" s="7" t="str">
        <f>IFERROR(HLOOKUP(AV234,'Calc|Weightings'!$K$5:$M$5,1,0),"Excl")</f>
        <v>Labour</v>
      </c>
      <c r="AY234" s="7" t="str">
        <f>VLOOKUP(AO234,Mapping!$E$11:$I$96,5,0)</f>
        <v>SCS</v>
      </c>
    </row>
    <row r="235" spans="1:51" x14ac:dyDescent="0.2">
      <c r="A235" s="7"/>
      <c r="B235" s="7"/>
      <c r="C235" s="7"/>
      <c r="D235" s="7"/>
      <c r="E235" s="36">
        <v>106</v>
      </c>
      <c r="F235" s="36" t="s">
        <v>2119</v>
      </c>
      <c r="G235" s="36">
        <v>613419</v>
      </c>
      <c r="H235" s="36" t="s">
        <v>1425</v>
      </c>
      <c r="I235" s="37">
        <v>6.1910100000000003</v>
      </c>
      <c r="J235" s="7"/>
      <c r="K235" s="7" t="str">
        <f>VLOOKUP($E235,Mapping!$E$11:$I$96,3,0)</f>
        <v>Connections</v>
      </c>
      <c r="L235" s="7" t="str">
        <f>VLOOKUP($G235,Mapping!$E$140:$K$2771,5,0)</f>
        <v>Labour</v>
      </c>
      <c r="M235" s="7" t="str">
        <f>VLOOKUP($G235,Mapping!$E$140:$K$2771,7,0)</f>
        <v>ENDirect</v>
      </c>
      <c r="N235" s="7" t="str">
        <f>IFERROR(HLOOKUP(L235,'Calc|Weightings'!$K$5:$M$5,1,0),"Excl")</f>
        <v>Labour</v>
      </c>
      <c r="O235" s="7" t="str">
        <f>VLOOKUP(E235,Mapping!$E$11:$I$96,5,0)</f>
        <v>SCS</v>
      </c>
      <c r="Q235" s="33">
        <v>107</v>
      </c>
      <c r="R235" s="33" t="s">
        <v>2120</v>
      </c>
      <c r="S235" s="33">
        <v>545150</v>
      </c>
      <c r="T235" s="33" t="s">
        <v>345</v>
      </c>
      <c r="U235" s="34">
        <v>0.12504999999999999</v>
      </c>
      <c r="V235" s="7"/>
      <c r="W235" s="7" t="str">
        <f>VLOOKUP($Q235,Mapping!$E$11:$I$96,3,0)</f>
        <v>Connections</v>
      </c>
      <c r="X235" s="7" t="str">
        <f>VLOOKUP($S235,Mapping!$E$140:$K$2771,5,0)</f>
        <v>Contracts</v>
      </c>
      <c r="Y235" s="7" t="str">
        <f>VLOOKUP($S235,Mapping!$E$140:$K$2771,7,0)</f>
        <v>ENDirect</v>
      </c>
      <c r="Z235" s="7" t="str">
        <f>IFERROR(HLOOKUP(X235,'Calc|Weightings'!$K$5:$M$5,1,0),"Excl")</f>
        <v>Contracts</v>
      </c>
      <c r="AA235" s="7" t="str">
        <f>VLOOKUP(Q235,Mapping!$E$11:$I$96,5,0)</f>
        <v>SCS</v>
      </c>
      <c r="AC235" s="111">
        <v>106</v>
      </c>
      <c r="AD235" s="111" t="s">
        <v>2119</v>
      </c>
      <c r="AE235" s="111">
        <v>636001</v>
      </c>
      <c r="AF235" s="111" t="s">
        <v>2111</v>
      </c>
      <c r="AG235" s="112">
        <v>278.75144999999998</v>
      </c>
      <c r="AI235" s="7" t="str">
        <f>VLOOKUP($AC235,Mapping!$E$11:$I$96,3,0)</f>
        <v>Connections</v>
      </c>
      <c r="AJ235" s="7" t="str">
        <f>VLOOKUP($AE235,Mapping!$E$140:$K$2771,5,0)</f>
        <v>System Control OH</v>
      </c>
      <c r="AK235" s="7" t="str">
        <f>VLOOKUP($AE235,Mapping!$E$140:$K$2771,7,0)</f>
        <v>OH</v>
      </c>
      <c r="AL235" s="7" t="str">
        <f>IFERROR(HLOOKUP(AJ235,'Calc|Weightings'!$K$5:$M$5,1,0),"Excl")</f>
        <v>Excl</v>
      </c>
      <c r="AM235" s="7" t="str">
        <f>VLOOKUP(AC235,Mapping!$E$11:$I$96,5,0)</f>
        <v>SCS</v>
      </c>
      <c r="AO235" s="134">
        <v>107</v>
      </c>
      <c r="AP235" s="135" t="s">
        <v>2120</v>
      </c>
      <c r="AQ235" s="135">
        <v>613260</v>
      </c>
      <c r="AR235" s="135" t="s">
        <v>2090</v>
      </c>
      <c r="AS235" s="136">
        <v>12.747780000000001</v>
      </c>
      <c r="AU235" s="7" t="str">
        <f>VLOOKUP($AO235,Mapping!$E$11:$I$96,3,0)</f>
        <v>Connections</v>
      </c>
      <c r="AV235" s="7" t="str">
        <f>VLOOKUP($AQ235,Mapping!$E$140:$K$2771,5,0)</f>
        <v>Labour</v>
      </c>
      <c r="AW235" s="7" t="str">
        <f>VLOOKUP($AQ235,Mapping!$E$140:$K$2771,7,0)</f>
        <v>ENDirect</v>
      </c>
      <c r="AX235" s="7" t="str">
        <f>IFERROR(HLOOKUP(AV235,'Calc|Weightings'!$K$5:$M$5,1,0),"Excl")</f>
        <v>Labour</v>
      </c>
      <c r="AY235" s="7" t="str">
        <f>VLOOKUP(AO235,Mapping!$E$11:$I$96,5,0)</f>
        <v>SCS</v>
      </c>
    </row>
    <row r="236" spans="1:51" x14ac:dyDescent="0.2">
      <c r="A236" s="7"/>
      <c r="B236" s="7"/>
      <c r="C236" s="7"/>
      <c r="D236" s="7"/>
      <c r="E236" s="36">
        <v>106</v>
      </c>
      <c r="F236" s="36" t="s">
        <v>2119</v>
      </c>
      <c r="G236" s="36">
        <v>613428</v>
      </c>
      <c r="H236" s="36" t="s">
        <v>1430</v>
      </c>
      <c r="I236" s="37">
        <v>25.540880000000001</v>
      </c>
      <c r="J236" s="7"/>
      <c r="K236" s="7" t="str">
        <f>VLOOKUP($E236,Mapping!$E$11:$I$96,3,0)</f>
        <v>Connections</v>
      </c>
      <c r="L236" s="7" t="str">
        <f>VLOOKUP($G236,Mapping!$E$140:$K$2771,5,0)</f>
        <v>Labour</v>
      </c>
      <c r="M236" s="7" t="str">
        <f>VLOOKUP($G236,Mapping!$E$140:$K$2771,7,0)</f>
        <v>ENDirect</v>
      </c>
      <c r="N236" s="7" t="str">
        <f>IFERROR(HLOOKUP(L236,'Calc|Weightings'!$K$5:$M$5,1,0),"Excl")</f>
        <v>Labour</v>
      </c>
      <c r="O236" s="7" t="str">
        <f>VLOOKUP(E236,Mapping!$E$11:$I$96,5,0)</f>
        <v>SCS</v>
      </c>
      <c r="Q236" s="33">
        <v>107</v>
      </c>
      <c r="R236" s="33" t="s">
        <v>2120</v>
      </c>
      <c r="S236" s="33">
        <v>591997</v>
      </c>
      <c r="T236" s="33" t="s">
        <v>399</v>
      </c>
      <c r="U236" s="34">
        <v>-0.54337999999999997</v>
      </c>
      <c r="V236" s="7"/>
      <c r="W236" s="7" t="str">
        <f>VLOOKUP($Q236,Mapping!$E$11:$I$96,3,0)</f>
        <v>Connections</v>
      </c>
      <c r="X236" s="7" t="str">
        <f>VLOOKUP($S236,Mapping!$E$140:$K$2771,5,0)</f>
        <v>Contracts</v>
      </c>
      <c r="Y236" s="7" t="str">
        <f>VLOOKUP($S236,Mapping!$E$140:$K$2771,7,0)</f>
        <v>ENDirect</v>
      </c>
      <c r="Z236" s="7" t="str">
        <f>IFERROR(HLOOKUP(X236,'Calc|Weightings'!$K$5:$M$5,1,0),"Excl")</f>
        <v>Contracts</v>
      </c>
      <c r="AA236" s="7" t="str">
        <f>VLOOKUP(Q236,Mapping!$E$11:$I$96,5,0)</f>
        <v>SCS</v>
      </c>
      <c r="AC236" s="111">
        <v>106</v>
      </c>
      <c r="AD236" s="111" t="s">
        <v>2119</v>
      </c>
      <c r="AE236" s="111">
        <v>636105</v>
      </c>
      <c r="AF236" s="111" t="s">
        <v>1937</v>
      </c>
      <c r="AG236" s="112">
        <v>1.79121</v>
      </c>
      <c r="AI236" s="7" t="str">
        <f>VLOOKUP($AC236,Mapping!$E$11:$I$96,3,0)</f>
        <v>Connections</v>
      </c>
      <c r="AJ236" s="7" t="str">
        <f>VLOOKUP($AE236,Mapping!$E$140:$K$2771,5,0)</f>
        <v>CSG MG</v>
      </c>
      <c r="AK236" s="7" t="str">
        <f>VLOOKUP($AE236,Mapping!$E$140:$K$2771,7,0)</f>
        <v>ENDirect</v>
      </c>
      <c r="AL236" s="7" t="str">
        <f>IFERROR(HLOOKUP(AJ236,'Calc|Weightings'!$K$5:$M$5,1,0),"Excl")</f>
        <v>Excl</v>
      </c>
      <c r="AM236" s="7" t="str">
        <f>VLOOKUP(AC236,Mapping!$E$11:$I$96,5,0)</f>
        <v>SCS</v>
      </c>
      <c r="AO236" s="134">
        <v>107</v>
      </c>
      <c r="AP236" s="135" t="s">
        <v>2120</v>
      </c>
      <c r="AQ236" s="135">
        <v>613280</v>
      </c>
      <c r="AR236" s="135" t="s">
        <v>1342</v>
      </c>
      <c r="AS236" s="136">
        <v>14.60234</v>
      </c>
      <c r="AU236" s="7" t="str">
        <f>VLOOKUP($AO236,Mapping!$E$11:$I$96,3,0)</f>
        <v>Connections</v>
      </c>
      <c r="AV236" s="7" t="str">
        <f>VLOOKUP($AQ236,Mapping!$E$140:$K$2771,5,0)</f>
        <v>Labour</v>
      </c>
      <c r="AW236" s="7" t="str">
        <f>VLOOKUP($AQ236,Mapping!$E$140:$K$2771,7,0)</f>
        <v>ENDirect</v>
      </c>
      <c r="AX236" s="7" t="str">
        <f>IFERROR(HLOOKUP(AV236,'Calc|Weightings'!$K$5:$M$5,1,0),"Excl")</f>
        <v>Labour</v>
      </c>
      <c r="AY236" s="7" t="str">
        <f>VLOOKUP(AO236,Mapping!$E$11:$I$96,5,0)</f>
        <v>SCS</v>
      </c>
    </row>
    <row r="237" spans="1:51" x14ac:dyDescent="0.2">
      <c r="A237" s="7"/>
      <c r="B237" s="7"/>
      <c r="C237" s="7"/>
      <c r="D237" s="7"/>
      <c r="E237" s="36">
        <v>106</v>
      </c>
      <c r="F237" s="36" t="s">
        <v>2119</v>
      </c>
      <c r="G237" s="36">
        <v>613429</v>
      </c>
      <c r="H237" s="36" t="s">
        <v>1431</v>
      </c>
      <c r="I237" s="37">
        <v>0.37931999999999999</v>
      </c>
      <c r="J237" s="7"/>
      <c r="K237" s="7" t="str">
        <f>VLOOKUP($E237,Mapping!$E$11:$I$96,3,0)</f>
        <v>Connections</v>
      </c>
      <c r="L237" s="7" t="str">
        <f>VLOOKUP($G237,Mapping!$E$140:$K$2771,5,0)</f>
        <v>Labour</v>
      </c>
      <c r="M237" s="7" t="str">
        <f>VLOOKUP($G237,Mapping!$E$140:$K$2771,7,0)</f>
        <v>ENDirect</v>
      </c>
      <c r="N237" s="7" t="str">
        <f>IFERROR(HLOOKUP(L237,'Calc|Weightings'!$K$5:$M$5,1,0),"Excl")</f>
        <v>Labour</v>
      </c>
      <c r="O237" s="7" t="str">
        <f>VLOOKUP(E237,Mapping!$E$11:$I$96,5,0)</f>
        <v>SCS</v>
      </c>
      <c r="Q237" s="33">
        <v>107</v>
      </c>
      <c r="R237" s="33" t="s">
        <v>2120</v>
      </c>
      <c r="S237" s="33">
        <v>591998</v>
      </c>
      <c r="T237" s="33" t="s">
        <v>2077</v>
      </c>
      <c r="U237" s="34">
        <v>10.08831</v>
      </c>
      <c r="V237" s="7"/>
      <c r="W237" s="7" t="str">
        <f>VLOOKUP($Q237,Mapping!$E$11:$I$96,3,0)</f>
        <v>Connections</v>
      </c>
      <c r="X237" s="7" t="str">
        <f>VLOOKUP($S237,Mapping!$E$140:$K$2771,5,0)</f>
        <v>Contracts</v>
      </c>
      <c r="Y237" s="7" t="str">
        <f>VLOOKUP($S237,Mapping!$E$140:$K$2771,7,0)</f>
        <v>ENDirect</v>
      </c>
      <c r="Z237" s="7" t="str">
        <f>IFERROR(HLOOKUP(X237,'Calc|Weightings'!$K$5:$M$5,1,0),"Excl")</f>
        <v>Contracts</v>
      </c>
      <c r="AA237" s="7" t="str">
        <f>VLOOKUP(Q237,Mapping!$E$11:$I$96,5,0)</f>
        <v>SCS</v>
      </c>
      <c r="AC237" s="111">
        <v>106</v>
      </c>
      <c r="AD237" s="111" t="s">
        <v>2119</v>
      </c>
      <c r="AE237" s="111">
        <v>639000</v>
      </c>
      <c r="AF237" s="111" t="s">
        <v>2112</v>
      </c>
      <c r="AG237" s="112">
        <v>383.71373999999997</v>
      </c>
      <c r="AI237" s="7" t="str">
        <f>VLOOKUP($AC237,Mapping!$E$11:$I$96,3,0)</f>
        <v>Connections</v>
      </c>
      <c r="AJ237" s="7" t="str">
        <f>VLOOKUP($AE237,Mapping!$E$140:$K$2771,5,0)</f>
        <v>PNS Corporate OH</v>
      </c>
      <c r="AK237" s="7" t="str">
        <f>VLOOKUP($AE237,Mapping!$E$140:$K$2771,7,0)</f>
        <v>OH</v>
      </c>
      <c r="AL237" s="7" t="str">
        <f>IFERROR(HLOOKUP(AJ237,'Calc|Weightings'!$K$5:$M$5,1,0),"Excl")</f>
        <v>Excl</v>
      </c>
      <c r="AM237" s="7" t="str">
        <f>VLOOKUP(AC237,Mapping!$E$11:$I$96,5,0)</f>
        <v>SCS</v>
      </c>
      <c r="AO237" s="134">
        <v>107</v>
      </c>
      <c r="AP237" s="135" t="s">
        <v>2120</v>
      </c>
      <c r="AQ237" s="135">
        <v>613290</v>
      </c>
      <c r="AR237" s="135" t="s">
        <v>2093</v>
      </c>
      <c r="AS237" s="136">
        <v>154.24355</v>
      </c>
      <c r="AU237" s="7" t="str">
        <f>VLOOKUP($AO237,Mapping!$E$11:$I$96,3,0)</f>
        <v>Connections</v>
      </c>
      <c r="AV237" s="7" t="str">
        <f>VLOOKUP($AQ237,Mapping!$E$140:$K$2771,5,0)</f>
        <v>Labour</v>
      </c>
      <c r="AW237" s="7" t="str">
        <f>VLOOKUP($AQ237,Mapping!$E$140:$K$2771,7,0)</f>
        <v>ENDirect</v>
      </c>
      <c r="AX237" s="7" t="str">
        <f>IFERROR(HLOOKUP(AV237,'Calc|Weightings'!$K$5:$M$5,1,0),"Excl")</f>
        <v>Labour</v>
      </c>
      <c r="AY237" s="7" t="str">
        <f>VLOOKUP(AO237,Mapping!$E$11:$I$96,5,0)</f>
        <v>SCS</v>
      </c>
    </row>
    <row r="238" spans="1:51" x14ac:dyDescent="0.2">
      <c r="A238" s="7"/>
      <c r="B238" s="7"/>
      <c r="C238" s="7"/>
      <c r="D238" s="7"/>
      <c r="E238" s="36">
        <v>106</v>
      </c>
      <c r="F238" s="36" t="s">
        <v>2119</v>
      </c>
      <c r="G238" s="36">
        <v>613438</v>
      </c>
      <c r="H238" s="36" t="s">
        <v>1436</v>
      </c>
      <c r="I238" s="37">
        <v>2.7997999999999998</v>
      </c>
      <c r="J238" s="7"/>
      <c r="K238" s="7" t="str">
        <f>VLOOKUP($E238,Mapping!$E$11:$I$96,3,0)</f>
        <v>Connections</v>
      </c>
      <c r="L238" s="7" t="str">
        <f>VLOOKUP($G238,Mapping!$E$140:$K$2771,5,0)</f>
        <v>Labour</v>
      </c>
      <c r="M238" s="7" t="str">
        <f>VLOOKUP($G238,Mapping!$E$140:$K$2771,7,0)</f>
        <v>ENDirect</v>
      </c>
      <c r="N238" s="7" t="str">
        <f>IFERROR(HLOOKUP(L238,'Calc|Weightings'!$K$5:$M$5,1,0),"Excl")</f>
        <v>Labour</v>
      </c>
      <c r="O238" s="7" t="str">
        <f>VLOOKUP(E238,Mapping!$E$11:$I$96,5,0)</f>
        <v>SCS</v>
      </c>
      <c r="Q238" s="33">
        <v>107</v>
      </c>
      <c r="R238" s="33" t="s">
        <v>2120</v>
      </c>
      <c r="S238" s="33">
        <v>591999</v>
      </c>
      <c r="T238" s="33" t="s">
        <v>2078</v>
      </c>
      <c r="U238" s="34">
        <v>-8.8368900000000004</v>
      </c>
      <c r="V238" s="7"/>
      <c r="W238" s="7" t="str">
        <f>VLOOKUP($Q238,Mapping!$E$11:$I$96,3,0)</f>
        <v>Connections</v>
      </c>
      <c r="X238" s="7" t="str">
        <f>VLOOKUP($S238,Mapping!$E$140:$K$2771,5,0)</f>
        <v>Contracts</v>
      </c>
      <c r="Y238" s="7" t="str">
        <f>VLOOKUP($S238,Mapping!$E$140:$K$2771,7,0)</f>
        <v>ENDirect</v>
      </c>
      <c r="Z238" s="7" t="str">
        <f>IFERROR(HLOOKUP(X238,'Calc|Weightings'!$K$5:$M$5,1,0),"Excl")</f>
        <v>Contracts</v>
      </c>
      <c r="AA238" s="7" t="str">
        <f>VLOOKUP(Q238,Mapping!$E$11:$I$96,5,0)</f>
        <v>SCS</v>
      </c>
      <c r="AC238" s="111">
        <v>106</v>
      </c>
      <c r="AD238" s="111" t="s">
        <v>2119</v>
      </c>
      <c r="AE238" s="111">
        <v>639050</v>
      </c>
      <c r="AF238" s="111" t="s">
        <v>2113</v>
      </c>
      <c r="AG238" s="112">
        <v>48.531390000000002</v>
      </c>
      <c r="AI238" s="7" t="str">
        <f>VLOOKUP($AC238,Mapping!$E$11:$I$96,3,0)</f>
        <v>Connections</v>
      </c>
      <c r="AJ238" s="7" t="str">
        <f>VLOOKUP($AE238,Mapping!$E$140:$K$2771,5,0)</f>
        <v>PNS Fleet &amp; Property OH</v>
      </c>
      <c r="AK238" s="7" t="str">
        <f>VLOOKUP($AE238,Mapping!$E$140:$K$2771,7,0)</f>
        <v>OH</v>
      </c>
      <c r="AL238" s="7" t="str">
        <f>IFERROR(HLOOKUP(AJ238,'Calc|Weightings'!$K$5:$M$5,1,0),"Excl")</f>
        <v>Excl</v>
      </c>
      <c r="AM238" s="7" t="str">
        <f>VLOOKUP(AC238,Mapping!$E$11:$I$96,5,0)</f>
        <v>SCS</v>
      </c>
      <c r="AO238" s="134">
        <v>107</v>
      </c>
      <c r="AP238" s="135" t="s">
        <v>2120</v>
      </c>
      <c r="AQ238" s="135">
        <v>613291</v>
      </c>
      <c r="AR238" s="135" t="s">
        <v>2094</v>
      </c>
      <c r="AS238" s="136">
        <v>8.6480000000000001E-2</v>
      </c>
      <c r="AU238" s="7" t="str">
        <f>VLOOKUP($AO238,Mapping!$E$11:$I$96,3,0)</f>
        <v>Connections</v>
      </c>
      <c r="AV238" s="7" t="str">
        <f>VLOOKUP($AQ238,Mapping!$E$140:$K$2771,5,0)</f>
        <v>Labour</v>
      </c>
      <c r="AW238" s="7" t="str">
        <f>VLOOKUP($AQ238,Mapping!$E$140:$K$2771,7,0)</f>
        <v>ENDirect</v>
      </c>
      <c r="AX238" s="7" t="str">
        <f>IFERROR(HLOOKUP(AV238,'Calc|Weightings'!$K$5:$M$5,1,0),"Excl")</f>
        <v>Labour</v>
      </c>
      <c r="AY238" s="7" t="str">
        <f>VLOOKUP(AO238,Mapping!$E$11:$I$96,5,0)</f>
        <v>SCS</v>
      </c>
    </row>
    <row r="239" spans="1:51" x14ac:dyDescent="0.2">
      <c r="A239" s="7"/>
      <c r="B239" s="7"/>
      <c r="C239" s="7"/>
      <c r="D239" s="7"/>
      <c r="E239" s="36">
        <v>106</v>
      </c>
      <c r="F239" s="36" t="s">
        <v>2119</v>
      </c>
      <c r="G239" s="36">
        <v>613439</v>
      </c>
      <c r="H239" s="36" t="s">
        <v>1437</v>
      </c>
      <c r="I239" s="37">
        <v>1.8198700000000001</v>
      </c>
      <c r="J239" s="7"/>
      <c r="K239" s="7" t="str">
        <f>VLOOKUP($E239,Mapping!$E$11:$I$96,3,0)</f>
        <v>Connections</v>
      </c>
      <c r="L239" s="7" t="str">
        <f>VLOOKUP($G239,Mapping!$E$140:$K$2771,5,0)</f>
        <v>Labour</v>
      </c>
      <c r="M239" s="7" t="str">
        <f>VLOOKUP($G239,Mapping!$E$140:$K$2771,7,0)</f>
        <v>ENDirect</v>
      </c>
      <c r="N239" s="7" t="str">
        <f>IFERROR(HLOOKUP(L239,'Calc|Weightings'!$K$5:$M$5,1,0),"Excl")</f>
        <v>Labour</v>
      </c>
      <c r="O239" s="7" t="str">
        <f>VLOOKUP(E239,Mapping!$E$11:$I$96,5,0)</f>
        <v>SCS</v>
      </c>
      <c r="Q239" s="33">
        <v>107</v>
      </c>
      <c r="R239" s="33" t="s">
        <v>2120</v>
      </c>
      <c r="S239" s="33">
        <v>611900</v>
      </c>
      <c r="T239" s="33" t="s">
        <v>2079</v>
      </c>
      <c r="U239" s="34">
        <v>4.7383199999999999</v>
      </c>
      <c r="V239" s="7"/>
      <c r="W239" s="7" t="str">
        <f>VLOOKUP($Q239,Mapping!$E$11:$I$96,3,0)</f>
        <v>Connections</v>
      </c>
      <c r="X239" s="7" t="str">
        <f>VLOOKUP($S239,Mapping!$E$140:$K$2771,5,0)</f>
        <v>Contracts</v>
      </c>
      <c r="Y239" s="7" t="str">
        <f>VLOOKUP($S239,Mapping!$E$140:$K$2771,7,0)</f>
        <v>ENDirect</v>
      </c>
      <c r="Z239" s="7" t="str">
        <f>IFERROR(HLOOKUP(X239,'Calc|Weightings'!$K$5:$M$5,1,0),"Excl")</f>
        <v>Contracts</v>
      </c>
      <c r="AA239" s="7" t="str">
        <f>VLOOKUP(Q239,Mapping!$E$11:$I$96,5,0)</f>
        <v>SCS</v>
      </c>
      <c r="AC239" s="111">
        <v>107</v>
      </c>
      <c r="AD239" s="111" t="s">
        <v>2120</v>
      </c>
      <c r="AE239" s="111">
        <v>520100</v>
      </c>
      <c r="AF239" s="111" t="s">
        <v>2072</v>
      </c>
      <c r="AG239" s="112">
        <v>670.11302000000001</v>
      </c>
      <c r="AI239" s="7" t="str">
        <f>VLOOKUP($AC239,Mapping!$E$11:$I$96,3,0)</f>
        <v>Connections</v>
      </c>
      <c r="AJ239" s="7" t="str">
        <f>VLOOKUP($AE239,Mapping!$E$140:$K$2771,5,0)</f>
        <v>Materials</v>
      </c>
      <c r="AK239" s="7" t="str">
        <f>VLOOKUP($AE239,Mapping!$E$140:$K$2771,7,0)</f>
        <v>ENDirect</v>
      </c>
      <c r="AL239" s="7" t="str">
        <f>IFERROR(HLOOKUP(AJ239,'Calc|Weightings'!$K$5:$M$5,1,0),"Excl")</f>
        <v>Materials</v>
      </c>
      <c r="AM239" s="7" t="str">
        <f>VLOOKUP(AC239,Mapping!$E$11:$I$96,5,0)</f>
        <v>SCS</v>
      </c>
      <c r="AO239" s="134">
        <v>107</v>
      </c>
      <c r="AP239" s="135" t="s">
        <v>2120</v>
      </c>
      <c r="AQ239" s="135">
        <v>613298</v>
      </c>
      <c r="AR239" s="135" t="s">
        <v>2122</v>
      </c>
      <c r="AS239" s="136">
        <v>2.6859999999999999</v>
      </c>
      <c r="AU239" s="7" t="str">
        <f>VLOOKUP($AO239,Mapping!$E$11:$I$96,3,0)</f>
        <v>Connections</v>
      </c>
      <c r="AV239" s="7" t="str">
        <f>VLOOKUP($AQ239,Mapping!$E$140:$K$2771,5,0)</f>
        <v>Labour</v>
      </c>
      <c r="AW239" s="7" t="str">
        <f>VLOOKUP($AQ239,Mapping!$E$140:$K$2771,7,0)</f>
        <v>ENDirect</v>
      </c>
      <c r="AX239" s="7" t="str">
        <f>IFERROR(HLOOKUP(AV239,'Calc|Weightings'!$K$5:$M$5,1,0),"Excl")</f>
        <v>Labour</v>
      </c>
      <c r="AY239" s="7" t="str">
        <f>VLOOKUP(AO239,Mapping!$E$11:$I$96,5,0)</f>
        <v>SCS</v>
      </c>
    </row>
    <row r="240" spans="1:51" x14ac:dyDescent="0.2">
      <c r="A240" s="7"/>
      <c r="B240" s="7"/>
      <c r="C240" s="7"/>
      <c r="D240" s="7"/>
      <c r="E240" s="36">
        <v>106</v>
      </c>
      <c r="F240" s="36" t="s">
        <v>2119</v>
      </c>
      <c r="G240" s="36">
        <v>613566</v>
      </c>
      <c r="H240" s="36" t="s">
        <v>1482</v>
      </c>
      <c r="I240" s="37">
        <v>5.1118199999999998</v>
      </c>
      <c r="J240" s="7"/>
      <c r="K240" s="7" t="str">
        <f>VLOOKUP($E240,Mapping!$E$11:$I$96,3,0)</f>
        <v>Connections</v>
      </c>
      <c r="L240" s="7" t="str">
        <f>VLOOKUP($G240,Mapping!$E$140:$K$2771,5,0)</f>
        <v>Labour</v>
      </c>
      <c r="M240" s="7" t="str">
        <f>VLOOKUP($G240,Mapping!$E$140:$K$2771,7,0)</f>
        <v>ENDirect</v>
      </c>
      <c r="N240" s="7" t="str">
        <f>IFERROR(HLOOKUP(L240,'Calc|Weightings'!$K$5:$M$5,1,0),"Excl")</f>
        <v>Labour</v>
      </c>
      <c r="O240" s="7" t="str">
        <f>VLOOKUP(E240,Mapping!$E$11:$I$96,5,0)</f>
        <v>SCS</v>
      </c>
      <c r="Q240" s="33">
        <v>107</v>
      </c>
      <c r="R240" s="33" t="s">
        <v>2120</v>
      </c>
      <c r="S240" s="33">
        <v>611901</v>
      </c>
      <c r="T240" s="33" t="s">
        <v>2080</v>
      </c>
      <c r="U240" s="34">
        <v>17.114350000000002</v>
      </c>
      <c r="V240" s="7"/>
      <c r="W240" s="7" t="str">
        <f>VLOOKUP($Q240,Mapping!$E$11:$I$96,3,0)</f>
        <v>Connections</v>
      </c>
      <c r="X240" s="7" t="str">
        <f>VLOOKUP($S240,Mapping!$E$140:$K$2771,5,0)</f>
        <v>Contracts</v>
      </c>
      <c r="Y240" s="7" t="str">
        <f>VLOOKUP($S240,Mapping!$E$140:$K$2771,7,0)</f>
        <v>ENDirect</v>
      </c>
      <c r="Z240" s="7" t="str">
        <f>IFERROR(HLOOKUP(X240,'Calc|Weightings'!$K$5:$M$5,1,0),"Excl")</f>
        <v>Contracts</v>
      </c>
      <c r="AA240" s="7" t="str">
        <f>VLOOKUP(Q240,Mapping!$E$11:$I$96,5,0)</f>
        <v>SCS</v>
      </c>
      <c r="AC240" s="111">
        <v>107</v>
      </c>
      <c r="AD240" s="111" t="s">
        <v>2120</v>
      </c>
      <c r="AE240" s="111">
        <v>520150</v>
      </c>
      <c r="AF240" s="111" t="s">
        <v>2205</v>
      </c>
      <c r="AG240" s="112">
        <v>1.265E-2</v>
      </c>
      <c r="AI240" s="7" t="str">
        <f>VLOOKUP($AC240,Mapping!$E$11:$I$96,3,0)</f>
        <v>Connections</v>
      </c>
      <c r="AJ240" s="7" t="str">
        <f>VLOOKUP($AE240,Mapping!$E$140:$K$2771,5,0)</f>
        <v>Materials</v>
      </c>
      <c r="AK240" s="7" t="str">
        <f>VLOOKUP($AE240,Mapping!$E$140:$K$2771,7,0)</f>
        <v>ENDirect</v>
      </c>
      <c r="AL240" s="7" t="str">
        <f>IFERROR(HLOOKUP(AJ240,'Calc|Weightings'!$K$5:$M$5,1,0),"Excl")</f>
        <v>Materials</v>
      </c>
      <c r="AM240" s="7" t="str">
        <f>VLOOKUP(AC240,Mapping!$E$11:$I$96,5,0)</f>
        <v>SCS</v>
      </c>
      <c r="AO240" s="134">
        <v>107</v>
      </c>
      <c r="AP240" s="135" t="s">
        <v>2120</v>
      </c>
      <c r="AQ240" s="135">
        <v>613310</v>
      </c>
      <c r="AR240" s="135" t="s">
        <v>2095</v>
      </c>
      <c r="AS240" s="136">
        <v>13.449669999999999</v>
      </c>
      <c r="AU240" s="7" t="str">
        <f>VLOOKUP($AO240,Mapping!$E$11:$I$96,3,0)</f>
        <v>Connections</v>
      </c>
      <c r="AV240" s="7" t="str">
        <f>VLOOKUP($AQ240,Mapping!$E$140:$K$2771,5,0)</f>
        <v>Labour</v>
      </c>
      <c r="AW240" s="7" t="str">
        <f>VLOOKUP($AQ240,Mapping!$E$140:$K$2771,7,0)</f>
        <v>ENDirect</v>
      </c>
      <c r="AX240" s="7" t="str">
        <f>IFERROR(HLOOKUP(AV240,'Calc|Weightings'!$K$5:$M$5,1,0),"Excl")</f>
        <v>Labour</v>
      </c>
      <c r="AY240" s="7" t="str">
        <f>VLOOKUP(AO240,Mapping!$E$11:$I$96,5,0)</f>
        <v>SCS</v>
      </c>
    </row>
    <row r="241" spans="1:51" x14ac:dyDescent="0.2">
      <c r="A241" s="7"/>
      <c r="B241" s="7"/>
      <c r="C241" s="7"/>
      <c r="D241" s="7"/>
      <c r="E241" s="36">
        <v>106</v>
      </c>
      <c r="F241" s="36" t="s">
        <v>2119</v>
      </c>
      <c r="G241" s="36">
        <v>613567</v>
      </c>
      <c r="H241" s="36" t="s">
        <v>1483</v>
      </c>
      <c r="I241" s="37">
        <v>0.36513000000000001</v>
      </c>
      <c r="J241" s="7"/>
      <c r="K241" s="7" t="str">
        <f>VLOOKUP($E241,Mapping!$E$11:$I$96,3,0)</f>
        <v>Connections</v>
      </c>
      <c r="L241" s="7" t="str">
        <f>VLOOKUP($G241,Mapping!$E$140:$K$2771,5,0)</f>
        <v>Labour</v>
      </c>
      <c r="M241" s="7" t="str">
        <f>VLOOKUP($G241,Mapping!$E$140:$K$2771,7,0)</f>
        <v>ENDirect</v>
      </c>
      <c r="N241" s="7" t="str">
        <f>IFERROR(HLOOKUP(L241,'Calc|Weightings'!$K$5:$M$5,1,0),"Excl")</f>
        <v>Labour</v>
      </c>
      <c r="O241" s="7" t="str">
        <f>VLOOKUP(E241,Mapping!$E$11:$I$96,5,0)</f>
        <v>SCS</v>
      </c>
      <c r="Q241" s="33">
        <v>107</v>
      </c>
      <c r="R241" s="33" t="s">
        <v>2120</v>
      </c>
      <c r="S241" s="33">
        <v>611902</v>
      </c>
      <c r="T241" s="33" t="s">
        <v>2081</v>
      </c>
      <c r="U241" s="34">
        <v>18.46414</v>
      </c>
      <c r="V241" s="7"/>
      <c r="W241" s="7" t="str">
        <f>VLOOKUP($Q241,Mapping!$E$11:$I$96,3,0)</f>
        <v>Connections</v>
      </c>
      <c r="X241" s="7" t="str">
        <f>VLOOKUP($S241,Mapping!$E$140:$K$2771,5,0)</f>
        <v>Contracts</v>
      </c>
      <c r="Y241" s="7" t="str">
        <f>VLOOKUP($S241,Mapping!$E$140:$K$2771,7,0)</f>
        <v>ENDirect</v>
      </c>
      <c r="Z241" s="7" t="str">
        <f>IFERROR(HLOOKUP(X241,'Calc|Weightings'!$K$5:$M$5,1,0),"Excl")</f>
        <v>Contracts</v>
      </c>
      <c r="AA241" s="7" t="str">
        <f>VLOOKUP(Q241,Mapping!$E$11:$I$96,5,0)</f>
        <v>SCS</v>
      </c>
      <c r="AC241" s="111">
        <v>107</v>
      </c>
      <c r="AD241" s="111" t="s">
        <v>2120</v>
      </c>
      <c r="AE241" s="111">
        <v>520200</v>
      </c>
      <c r="AF241" s="111" t="s">
        <v>2073</v>
      </c>
      <c r="AG241" s="112">
        <v>3.2521399999999998</v>
      </c>
      <c r="AI241" s="7" t="str">
        <f>VLOOKUP($AC241,Mapping!$E$11:$I$96,3,0)</f>
        <v>Connections</v>
      </c>
      <c r="AJ241" s="7" t="str">
        <f>VLOOKUP($AE241,Mapping!$E$140:$K$2771,5,0)</f>
        <v>Materials</v>
      </c>
      <c r="AK241" s="7" t="str">
        <f>VLOOKUP($AE241,Mapping!$E$140:$K$2771,7,0)</f>
        <v>ENDirect</v>
      </c>
      <c r="AL241" s="7" t="str">
        <f>IFERROR(HLOOKUP(AJ241,'Calc|Weightings'!$K$5:$M$5,1,0),"Excl")</f>
        <v>Materials</v>
      </c>
      <c r="AM241" s="7" t="str">
        <f>VLOOKUP(AC241,Mapping!$E$11:$I$96,5,0)</f>
        <v>SCS</v>
      </c>
      <c r="AO241" s="134">
        <v>107</v>
      </c>
      <c r="AP241" s="135" t="s">
        <v>2120</v>
      </c>
      <c r="AQ241" s="135">
        <v>613360</v>
      </c>
      <c r="AR241" s="135" t="s">
        <v>2097</v>
      </c>
      <c r="AS241" s="136">
        <v>2.2411799999999999</v>
      </c>
      <c r="AU241" s="7" t="str">
        <f>VLOOKUP($AO241,Mapping!$E$11:$I$96,3,0)</f>
        <v>Connections</v>
      </c>
      <c r="AV241" s="7" t="str">
        <f>VLOOKUP($AQ241,Mapping!$E$140:$K$2771,5,0)</f>
        <v>Labour</v>
      </c>
      <c r="AW241" s="7" t="str">
        <f>VLOOKUP($AQ241,Mapping!$E$140:$K$2771,7,0)</f>
        <v>ENDirect</v>
      </c>
      <c r="AX241" s="7" t="str">
        <f>IFERROR(HLOOKUP(AV241,'Calc|Weightings'!$K$5:$M$5,1,0),"Excl")</f>
        <v>Labour</v>
      </c>
      <c r="AY241" s="7" t="str">
        <f>VLOOKUP(AO241,Mapping!$E$11:$I$96,5,0)</f>
        <v>SCS</v>
      </c>
    </row>
    <row r="242" spans="1:51" x14ac:dyDescent="0.2">
      <c r="A242" s="7"/>
      <c r="B242" s="7"/>
      <c r="C242" s="7"/>
      <c r="D242" s="7"/>
      <c r="E242" s="36">
        <v>106</v>
      </c>
      <c r="F242" s="36" t="s">
        <v>2119</v>
      </c>
      <c r="G242" s="36">
        <v>613574</v>
      </c>
      <c r="H242" s="36" t="s">
        <v>1488</v>
      </c>
      <c r="I242" s="37">
        <v>5.8162399999999996</v>
      </c>
      <c r="J242" s="7"/>
      <c r="K242" s="7" t="str">
        <f>VLOOKUP($E242,Mapping!$E$11:$I$96,3,0)</f>
        <v>Connections</v>
      </c>
      <c r="L242" s="7" t="str">
        <f>VLOOKUP($G242,Mapping!$E$140:$K$2771,5,0)</f>
        <v>Labour</v>
      </c>
      <c r="M242" s="7" t="str">
        <f>VLOOKUP($G242,Mapping!$E$140:$K$2771,7,0)</f>
        <v>ENDirect</v>
      </c>
      <c r="N242" s="7" t="str">
        <f>IFERROR(HLOOKUP(L242,'Calc|Weightings'!$K$5:$M$5,1,0),"Excl")</f>
        <v>Labour</v>
      </c>
      <c r="O242" s="7" t="str">
        <f>VLOOKUP(E242,Mapping!$E$11:$I$96,5,0)</f>
        <v>SCS</v>
      </c>
      <c r="Q242" s="33">
        <v>107</v>
      </c>
      <c r="R242" s="33" t="s">
        <v>2120</v>
      </c>
      <c r="S242" s="33">
        <v>612210</v>
      </c>
      <c r="T242" s="33" t="s">
        <v>1184</v>
      </c>
      <c r="U242" s="34">
        <v>20.264240000000001</v>
      </c>
      <c r="V242" s="7"/>
      <c r="W242" s="7" t="str">
        <f>VLOOKUP($Q242,Mapping!$E$11:$I$96,3,0)</f>
        <v>Connections</v>
      </c>
      <c r="X242" s="7" t="str">
        <f>VLOOKUP($S242,Mapping!$E$140:$K$2771,5,0)</f>
        <v>Labour</v>
      </c>
      <c r="Y242" s="7" t="str">
        <f>VLOOKUP($S242,Mapping!$E$140:$K$2771,7,0)</f>
        <v>ENDirect</v>
      </c>
      <c r="Z242" s="7" t="str">
        <f>IFERROR(HLOOKUP(X242,'Calc|Weightings'!$K$5:$M$5,1,0),"Excl")</f>
        <v>Labour</v>
      </c>
      <c r="AA242" s="7" t="str">
        <f>VLOOKUP(Q242,Mapping!$E$11:$I$96,5,0)</f>
        <v>SCS</v>
      </c>
      <c r="AC242" s="111">
        <v>107</v>
      </c>
      <c r="AD242" s="111" t="s">
        <v>2120</v>
      </c>
      <c r="AE242" s="111">
        <v>523100</v>
      </c>
      <c r="AF242" s="111" t="s">
        <v>2074</v>
      </c>
      <c r="AG242" s="112">
        <v>-19.073329999999999</v>
      </c>
      <c r="AI242" s="7" t="str">
        <f>VLOOKUP($AC242,Mapping!$E$11:$I$96,3,0)</f>
        <v>Connections</v>
      </c>
      <c r="AJ242" s="7" t="str">
        <f>VLOOKUP($AE242,Mapping!$E$140:$K$2771,5,0)</f>
        <v>Materials</v>
      </c>
      <c r="AK242" s="7" t="str">
        <f>VLOOKUP($AE242,Mapping!$E$140:$K$2771,7,0)</f>
        <v>ENDirect</v>
      </c>
      <c r="AL242" s="7" t="str">
        <f>IFERROR(HLOOKUP(AJ242,'Calc|Weightings'!$K$5:$M$5,1,0),"Excl")</f>
        <v>Materials</v>
      </c>
      <c r="AM242" s="7" t="str">
        <f>VLOOKUP(AC242,Mapping!$E$11:$I$96,5,0)</f>
        <v>SCS</v>
      </c>
      <c r="AO242" s="134">
        <v>107</v>
      </c>
      <c r="AP242" s="135" t="s">
        <v>2120</v>
      </c>
      <c r="AQ242" s="135">
        <v>613370</v>
      </c>
      <c r="AR242" s="135" t="s">
        <v>1402</v>
      </c>
      <c r="AS242" s="136">
        <v>6.1104000000000003</v>
      </c>
      <c r="AU242" s="7" t="str">
        <f>VLOOKUP($AO242,Mapping!$E$11:$I$96,3,0)</f>
        <v>Connections</v>
      </c>
      <c r="AV242" s="7" t="str">
        <f>VLOOKUP($AQ242,Mapping!$E$140:$K$2771,5,0)</f>
        <v>Labour</v>
      </c>
      <c r="AW242" s="7" t="str">
        <f>VLOOKUP($AQ242,Mapping!$E$140:$K$2771,7,0)</f>
        <v>ENDirect</v>
      </c>
      <c r="AX242" s="7" t="str">
        <f>IFERROR(HLOOKUP(AV242,'Calc|Weightings'!$K$5:$M$5,1,0),"Excl")</f>
        <v>Labour</v>
      </c>
      <c r="AY242" s="7" t="str">
        <f>VLOOKUP(AO242,Mapping!$E$11:$I$96,5,0)</f>
        <v>SCS</v>
      </c>
    </row>
    <row r="243" spans="1:51" x14ac:dyDescent="0.2">
      <c r="A243" s="7"/>
      <c r="B243" s="7"/>
      <c r="C243" s="7"/>
      <c r="D243" s="7"/>
      <c r="E243" s="36">
        <v>106</v>
      </c>
      <c r="F243" s="36" t="s">
        <v>2119</v>
      </c>
      <c r="G243" s="36">
        <v>613576</v>
      </c>
      <c r="H243" s="36" t="s">
        <v>1490</v>
      </c>
      <c r="I243" s="37">
        <v>3.6053000000000002</v>
      </c>
      <c r="J243" s="7"/>
      <c r="K243" s="7" t="str">
        <f>VLOOKUP($E243,Mapping!$E$11:$I$96,3,0)</f>
        <v>Connections</v>
      </c>
      <c r="L243" s="7" t="str">
        <f>VLOOKUP($G243,Mapping!$E$140:$K$2771,5,0)</f>
        <v>Labour</v>
      </c>
      <c r="M243" s="7" t="str">
        <f>VLOOKUP($G243,Mapping!$E$140:$K$2771,7,0)</f>
        <v>ENDirect</v>
      </c>
      <c r="N243" s="7" t="str">
        <f>IFERROR(HLOOKUP(L243,'Calc|Weightings'!$K$5:$M$5,1,0),"Excl")</f>
        <v>Labour</v>
      </c>
      <c r="O243" s="7" t="str">
        <f>VLOOKUP(E243,Mapping!$E$11:$I$96,5,0)</f>
        <v>SCS</v>
      </c>
      <c r="Q243" s="33">
        <v>107</v>
      </c>
      <c r="R243" s="33" t="s">
        <v>2120</v>
      </c>
      <c r="S243" s="33">
        <v>613240</v>
      </c>
      <c r="T243" s="33" t="s">
        <v>2082</v>
      </c>
      <c r="U243" s="34">
        <v>11.98124</v>
      </c>
      <c r="V243" s="7"/>
      <c r="W243" s="7" t="str">
        <f>VLOOKUP($Q243,Mapping!$E$11:$I$96,3,0)</f>
        <v>Connections</v>
      </c>
      <c r="X243" s="7" t="str">
        <f>VLOOKUP($S243,Mapping!$E$140:$K$2771,5,0)</f>
        <v>Labour</v>
      </c>
      <c r="Y243" s="7" t="str">
        <f>VLOOKUP($S243,Mapping!$E$140:$K$2771,7,0)</f>
        <v>ENDirect</v>
      </c>
      <c r="Z243" s="7" t="str">
        <f>IFERROR(HLOOKUP(X243,'Calc|Weightings'!$K$5:$M$5,1,0),"Excl")</f>
        <v>Labour</v>
      </c>
      <c r="AA243" s="7" t="str">
        <f>VLOOKUP(Q243,Mapping!$E$11:$I$96,5,0)</f>
        <v>SCS</v>
      </c>
      <c r="AC243" s="111">
        <v>107</v>
      </c>
      <c r="AD243" s="111" t="s">
        <v>2120</v>
      </c>
      <c r="AE243" s="111">
        <v>523300</v>
      </c>
      <c r="AF243" s="111" t="s">
        <v>2075</v>
      </c>
      <c r="AG243" s="112">
        <v>1.21417</v>
      </c>
      <c r="AI243" s="7" t="str">
        <f>VLOOKUP($AC243,Mapping!$E$11:$I$96,3,0)</f>
        <v>Connections</v>
      </c>
      <c r="AJ243" s="7" t="str">
        <f>VLOOKUP($AE243,Mapping!$E$140:$K$2771,5,0)</f>
        <v>Materials</v>
      </c>
      <c r="AK243" s="7" t="str">
        <f>VLOOKUP($AE243,Mapping!$E$140:$K$2771,7,0)</f>
        <v>ENDirect</v>
      </c>
      <c r="AL243" s="7" t="str">
        <f>IFERROR(HLOOKUP(AJ243,'Calc|Weightings'!$K$5:$M$5,1,0),"Excl")</f>
        <v>Materials</v>
      </c>
      <c r="AM243" s="7" t="str">
        <f>VLOOKUP(AC243,Mapping!$E$11:$I$96,5,0)</f>
        <v>SCS</v>
      </c>
      <c r="AO243" s="134">
        <v>107</v>
      </c>
      <c r="AP243" s="135" t="s">
        <v>2120</v>
      </c>
      <c r="AQ243" s="135">
        <v>613371</v>
      </c>
      <c r="AR243" s="135" t="s">
        <v>1403</v>
      </c>
      <c r="AS243" s="136">
        <v>2.27894</v>
      </c>
      <c r="AU243" s="7" t="str">
        <f>VLOOKUP($AO243,Mapping!$E$11:$I$96,3,0)</f>
        <v>Connections</v>
      </c>
      <c r="AV243" s="7" t="str">
        <f>VLOOKUP($AQ243,Mapping!$E$140:$K$2771,5,0)</f>
        <v>Labour</v>
      </c>
      <c r="AW243" s="7" t="str">
        <f>VLOOKUP($AQ243,Mapping!$E$140:$K$2771,7,0)</f>
        <v>ENDirect</v>
      </c>
      <c r="AX243" s="7" t="str">
        <f>IFERROR(HLOOKUP(AV243,'Calc|Weightings'!$K$5:$M$5,1,0),"Excl")</f>
        <v>Labour</v>
      </c>
      <c r="AY243" s="7" t="str">
        <f>VLOOKUP(AO243,Mapping!$E$11:$I$96,5,0)</f>
        <v>SCS</v>
      </c>
    </row>
    <row r="244" spans="1:51" x14ac:dyDescent="0.2">
      <c r="A244" s="7"/>
      <c r="B244" s="7"/>
      <c r="C244" s="7"/>
      <c r="D244" s="7"/>
      <c r="E244" s="36">
        <v>106</v>
      </c>
      <c r="F244" s="36" t="s">
        <v>2119</v>
      </c>
      <c r="G244" s="36">
        <v>613577</v>
      </c>
      <c r="H244" s="36" t="s">
        <v>1491</v>
      </c>
      <c r="I244" s="37">
        <v>0.2326</v>
      </c>
      <c r="J244" s="7"/>
      <c r="K244" s="7" t="str">
        <f>VLOOKUP($E244,Mapping!$E$11:$I$96,3,0)</f>
        <v>Connections</v>
      </c>
      <c r="L244" s="7" t="str">
        <f>VLOOKUP($G244,Mapping!$E$140:$K$2771,5,0)</f>
        <v>Labour</v>
      </c>
      <c r="M244" s="7" t="str">
        <f>VLOOKUP($G244,Mapping!$E$140:$K$2771,7,0)</f>
        <v>ENDirect</v>
      </c>
      <c r="N244" s="7" t="str">
        <f>IFERROR(HLOOKUP(L244,'Calc|Weightings'!$K$5:$M$5,1,0),"Excl")</f>
        <v>Labour</v>
      </c>
      <c r="O244" s="7" t="str">
        <f>VLOOKUP(E244,Mapping!$E$11:$I$96,5,0)</f>
        <v>SCS</v>
      </c>
      <c r="Q244" s="33">
        <v>107</v>
      </c>
      <c r="R244" s="33" t="s">
        <v>2120</v>
      </c>
      <c r="S244" s="33">
        <v>613250</v>
      </c>
      <c r="T244" s="33" t="s">
        <v>2086</v>
      </c>
      <c r="U244" s="34">
        <v>60.27373</v>
      </c>
      <c r="V244" s="7"/>
      <c r="W244" s="7" t="str">
        <f>VLOOKUP($Q244,Mapping!$E$11:$I$96,3,0)</f>
        <v>Connections</v>
      </c>
      <c r="X244" s="7" t="str">
        <f>VLOOKUP($S244,Mapping!$E$140:$K$2771,5,0)</f>
        <v>Labour</v>
      </c>
      <c r="Y244" s="7" t="str">
        <f>VLOOKUP($S244,Mapping!$E$140:$K$2771,7,0)</f>
        <v>ENDirect</v>
      </c>
      <c r="Z244" s="7" t="str">
        <f>IFERROR(HLOOKUP(X244,'Calc|Weightings'!$K$5:$M$5,1,0),"Excl")</f>
        <v>Labour</v>
      </c>
      <c r="AA244" s="7" t="str">
        <f>VLOOKUP(Q244,Mapping!$E$11:$I$96,5,0)</f>
        <v>SCS</v>
      </c>
      <c r="AC244" s="111">
        <v>107</v>
      </c>
      <c r="AD244" s="111" t="s">
        <v>2120</v>
      </c>
      <c r="AE244" s="111">
        <v>531000</v>
      </c>
      <c r="AF244" s="111" t="s">
        <v>242</v>
      </c>
      <c r="AG244" s="112">
        <v>0.17804</v>
      </c>
      <c r="AI244" s="7" t="str">
        <f>VLOOKUP($AC244,Mapping!$E$11:$I$96,3,0)</f>
        <v>Connections</v>
      </c>
      <c r="AJ244" s="7" t="str">
        <f>VLOOKUP($AE244,Mapping!$E$140:$K$2771,5,0)</f>
        <v>Contracts</v>
      </c>
      <c r="AK244" s="7" t="str">
        <f>VLOOKUP($AE244,Mapping!$E$140:$K$2771,7,0)</f>
        <v>ENDirect</v>
      </c>
      <c r="AL244" s="7" t="str">
        <f>IFERROR(HLOOKUP(AJ244,'Calc|Weightings'!$K$5:$M$5,1,0),"Excl")</f>
        <v>Contracts</v>
      </c>
      <c r="AM244" s="7" t="str">
        <f>VLOOKUP(AC244,Mapping!$E$11:$I$96,5,0)</f>
        <v>SCS</v>
      </c>
      <c r="AO244" s="134">
        <v>107</v>
      </c>
      <c r="AP244" s="135" t="s">
        <v>2120</v>
      </c>
      <c r="AQ244" s="135">
        <v>613400</v>
      </c>
      <c r="AR244" s="135" t="s">
        <v>2099</v>
      </c>
      <c r="AS244" s="136">
        <v>3.3448799999999999</v>
      </c>
      <c r="AU244" s="7" t="str">
        <f>VLOOKUP($AO244,Mapping!$E$11:$I$96,3,0)</f>
        <v>Connections</v>
      </c>
      <c r="AV244" s="7" t="str">
        <f>VLOOKUP($AQ244,Mapping!$E$140:$K$2771,5,0)</f>
        <v>Labour</v>
      </c>
      <c r="AW244" s="7" t="str">
        <f>VLOOKUP($AQ244,Mapping!$E$140:$K$2771,7,0)</f>
        <v>ENDirect</v>
      </c>
      <c r="AX244" s="7" t="str">
        <f>IFERROR(HLOOKUP(AV244,'Calc|Weightings'!$K$5:$M$5,1,0),"Excl")</f>
        <v>Labour</v>
      </c>
      <c r="AY244" s="7" t="str">
        <f>VLOOKUP(AO244,Mapping!$E$11:$I$96,5,0)</f>
        <v>SCS</v>
      </c>
    </row>
    <row r="245" spans="1:51" x14ac:dyDescent="0.2">
      <c r="A245" s="7"/>
      <c r="B245" s="7"/>
      <c r="C245" s="7"/>
      <c r="D245" s="7"/>
      <c r="E245" s="36">
        <v>106</v>
      </c>
      <c r="F245" s="36" t="s">
        <v>2119</v>
      </c>
      <c r="G245" s="36">
        <v>613630</v>
      </c>
      <c r="H245" s="36" t="s">
        <v>1498</v>
      </c>
      <c r="I245" s="37">
        <v>1.10958</v>
      </c>
      <c r="J245" s="7"/>
      <c r="K245" s="7" t="str">
        <f>VLOOKUP($E245,Mapping!$E$11:$I$96,3,0)</f>
        <v>Connections</v>
      </c>
      <c r="L245" s="7" t="str">
        <f>VLOOKUP($G245,Mapping!$E$140:$K$2771,5,0)</f>
        <v>Labour</v>
      </c>
      <c r="M245" s="7" t="str">
        <f>VLOOKUP($G245,Mapping!$E$140:$K$2771,7,0)</f>
        <v>ENDirect</v>
      </c>
      <c r="N245" s="7" t="str">
        <f>IFERROR(HLOOKUP(L245,'Calc|Weightings'!$K$5:$M$5,1,0),"Excl")</f>
        <v>Labour</v>
      </c>
      <c r="O245" s="7" t="str">
        <f>VLOOKUP(E245,Mapping!$E$11:$I$96,5,0)</f>
        <v>SCS</v>
      </c>
      <c r="Q245" s="33">
        <v>107</v>
      </c>
      <c r="R245" s="33" t="s">
        <v>2120</v>
      </c>
      <c r="S245" s="33">
        <v>613251</v>
      </c>
      <c r="T245" s="33" t="s">
        <v>2087</v>
      </c>
      <c r="U245" s="34">
        <v>1.3615299999999999</v>
      </c>
      <c r="V245" s="7"/>
      <c r="W245" s="7" t="str">
        <f>VLOOKUP($Q245,Mapping!$E$11:$I$96,3,0)</f>
        <v>Connections</v>
      </c>
      <c r="X245" s="7" t="str">
        <f>VLOOKUP($S245,Mapping!$E$140:$K$2771,5,0)</f>
        <v>Labour</v>
      </c>
      <c r="Y245" s="7" t="str">
        <f>VLOOKUP($S245,Mapping!$E$140:$K$2771,7,0)</f>
        <v>ENDirect</v>
      </c>
      <c r="Z245" s="7" t="str">
        <f>IFERROR(HLOOKUP(X245,'Calc|Weightings'!$K$5:$M$5,1,0),"Excl")</f>
        <v>Labour</v>
      </c>
      <c r="AA245" s="7" t="str">
        <f>VLOOKUP(Q245,Mapping!$E$11:$I$96,5,0)</f>
        <v>SCS</v>
      </c>
      <c r="AC245" s="111">
        <v>107</v>
      </c>
      <c r="AD245" s="111" t="s">
        <v>2120</v>
      </c>
      <c r="AE245" s="111">
        <v>531020</v>
      </c>
      <c r="AF245" s="111" t="s">
        <v>219</v>
      </c>
      <c r="AG245" s="112">
        <v>-0.7</v>
      </c>
      <c r="AI245" s="7" t="str">
        <f>VLOOKUP($AC245,Mapping!$E$11:$I$96,3,0)</f>
        <v>Connections</v>
      </c>
      <c r="AJ245" s="7" t="str">
        <f>VLOOKUP($AE245,Mapping!$E$140:$K$2771,5,0)</f>
        <v>Labour</v>
      </c>
      <c r="AK245" s="7" t="str">
        <f>VLOOKUP($AE245,Mapping!$E$140:$K$2771,7,0)</f>
        <v>ENDirect</v>
      </c>
      <c r="AL245" s="7" t="str">
        <f>IFERROR(HLOOKUP(AJ245,'Calc|Weightings'!$K$5:$M$5,1,0),"Excl")</f>
        <v>Labour</v>
      </c>
      <c r="AM245" s="7" t="str">
        <f>VLOOKUP(AC245,Mapping!$E$11:$I$96,5,0)</f>
        <v>SCS</v>
      </c>
      <c r="AO245" s="134">
        <v>107</v>
      </c>
      <c r="AP245" s="135" t="s">
        <v>2120</v>
      </c>
      <c r="AQ245" s="135">
        <v>613401</v>
      </c>
      <c r="AR245" s="135" t="s">
        <v>2117</v>
      </c>
      <c r="AS245" s="136">
        <v>3.8971200000000001</v>
      </c>
      <c r="AU245" s="7" t="str">
        <f>VLOOKUP($AO245,Mapping!$E$11:$I$96,3,0)</f>
        <v>Connections</v>
      </c>
      <c r="AV245" s="7" t="str">
        <f>VLOOKUP($AQ245,Mapping!$E$140:$K$2771,5,0)</f>
        <v>Labour</v>
      </c>
      <c r="AW245" s="7" t="str">
        <f>VLOOKUP($AQ245,Mapping!$E$140:$K$2771,7,0)</f>
        <v>ENDirect</v>
      </c>
      <c r="AX245" s="7" t="str">
        <f>IFERROR(HLOOKUP(AV245,'Calc|Weightings'!$K$5:$M$5,1,0),"Excl")</f>
        <v>Labour</v>
      </c>
      <c r="AY245" s="7" t="str">
        <f>VLOOKUP(AO245,Mapping!$E$11:$I$96,5,0)</f>
        <v>SCS</v>
      </c>
    </row>
    <row r="246" spans="1:51" x14ac:dyDescent="0.2">
      <c r="A246" s="7"/>
      <c r="B246" s="7"/>
      <c r="C246" s="7"/>
      <c r="D246" s="7"/>
      <c r="E246" s="36">
        <v>106</v>
      </c>
      <c r="F246" s="36" t="s">
        <v>2119</v>
      </c>
      <c r="G246" s="36">
        <v>613680</v>
      </c>
      <c r="H246" s="36" t="s">
        <v>2107</v>
      </c>
      <c r="I246" s="37">
        <v>108.7362</v>
      </c>
      <c r="J246" s="7"/>
      <c r="K246" s="7" t="str">
        <f>VLOOKUP($E246,Mapping!$E$11:$I$96,3,0)</f>
        <v>Connections</v>
      </c>
      <c r="L246" s="7" t="str">
        <f>VLOOKUP($G246,Mapping!$E$140:$K$2771,5,0)</f>
        <v>Labour</v>
      </c>
      <c r="M246" s="7" t="str">
        <f>VLOOKUP($G246,Mapping!$E$140:$K$2771,7,0)</f>
        <v>ENDirect</v>
      </c>
      <c r="N246" s="7" t="str">
        <f>IFERROR(HLOOKUP(L246,'Calc|Weightings'!$K$5:$M$5,1,0),"Excl")</f>
        <v>Labour</v>
      </c>
      <c r="O246" s="7" t="str">
        <f>VLOOKUP(E246,Mapping!$E$11:$I$96,5,0)</f>
        <v>SCS</v>
      </c>
      <c r="Q246" s="33">
        <v>107</v>
      </c>
      <c r="R246" s="33" t="s">
        <v>2120</v>
      </c>
      <c r="S246" s="33">
        <v>613260</v>
      </c>
      <c r="T246" s="33" t="s">
        <v>2090</v>
      </c>
      <c r="U246" s="34">
        <v>11.02434</v>
      </c>
      <c r="V246" s="7"/>
      <c r="W246" s="7" t="str">
        <f>VLOOKUP($Q246,Mapping!$E$11:$I$96,3,0)</f>
        <v>Connections</v>
      </c>
      <c r="X246" s="7" t="str">
        <f>VLOOKUP($S246,Mapping!$E$140:$K$2771,5,0)</f>
        <v>Labour</v>
      </c>
      <c r="Y246" s="7" t="str">
        <f>VLOOKUP($S246,Mapping!$E$140:$K$2771,7,0)</f>
        <v>ENDirect</v>
      </c>
      <c r="Z246" s="7" t="str">
        <f>IFERROR(HLOOKUP(X246,'Calc|Weightings'!$K$5:$M$5,1,0),"Excl")</f>
        <v>Labour</v>
      </c>
      <c r="AA246" s="7" t="str">
        <f>VLOOKUP(Q246,Mapping!$E$11:$I$96,5,0)</f>
        <v>SCS</v>
      </c>
      <c r="AC246" s="111">
        <v>107</v>
      </c>
      <c r="AD246" s="111" t="s">
        <v>2120</v>
      </c>
      <c r="AE246" s="111">
        <v>531200</v>
      </c>
      <c r="AF246" s="111" t="s">
        <v>250</v>
      </c>
      <c r="AG246" s="112">
        <v>-9.75</v>
      </c>
      <c r="AI246" s="7" t="str">
        <f>VLOOKUP($AC246,Mapping!$E$11:$I$96,3,0)</f>
        <v>Connections</v>
      </c>
      <c r="AJ246" s="7" t="str">
        <f>VLOOKUP($AE246,Mapping!$E$140:$K$2771,5,0)</f>
        <v>Contracts</v>
      </c>
      <c r="AK246" s="7" t="str">
        <f>VLOOKUP($AE246,Mapping!$E$140:$K$2771,7,0)</f>
        <v>ENDirect</v>
      </c>
      <c r="AL246" s="7" t="str">
        <f>IFERROR(HLOOKUP(AJ246,'Calc|Weightings'!$K$5:$M$5,1,0),"Excl")</f>
        <v>Contracts</v>
      </c>
      <c r="AM246" s="7" t="str">
        <f>VLOOKUP(AC246,Mapping!$E$11:$I$96,5,0)</f>
        <v>SCS</v>
      </c>
      <c r="AO246" s="134">
        <v>107</v>
      </c>
      <c r="AP246" s="135" t="s">
        <v>2120</v>
      </c>
      <c r="AQ246" s="135">
        <v>613410</v>
      </c>
      <c r="AR246" s="135" t="s">
        <v>2100</v>
      </c>
      <c r="AS246" s="136">
        <v>3.67536</v>
      </c>
      <c r="AU246" s="7" t="str">
        <f>VLOOKUP($AO246,Mapping!$E$11:$I$96,3,0)</f>
        <v>Connections</v>
      </c>
      <c r="AV246" s="7" t="str">
        <f>VLOOKUP($AQ246,Mapping!$E$140:$K$2771,5,0)</f>
        <v>Labour</v>
      </c>
      <c r="AW246" s="7" t="str">
        <f>VLOOKUP($AQ246,Mapping!$E$140:$K$2771,7,0)</f>
        <v>ENDirect</v>
      </c>
      <c r="AX246" s="7" t="str">
        <f>IFERROR(HLOOKUP(AV246,'Calc|Weightings'!$K$5:$M$5,1,0),"Excl")</f>
        <v>Labour</v>
      </c>
      <c r="AY246" s="7" t="str">
        <f>VLOOKUP(AO246,Mapping!$E$11:$I$96,5,0)</f>
        <v>SCS</v>
      </c>
    </row>
    <row r="247" spans="1:51" x14ac:dyDescent="0.2">
      <c r="A247" s="7"/>
      <c r="B247" s="7"/>
      <c r="C247" s="7"/>
      <c r="D247" s="7"/>
      <c r="E247" s="36">
        <v>106</v>
      </c>
      <c r="F247" s="36" t="s">
        <v>2119</v>
      </c>
      <c r="G247" s="36">
        <v>613681</v>
      </c>
      <c r="H247" s="36" t="s">
        <v>2108</v>
      </c>
      <c r="I247" s="37">
        <v>0.63390999999999997</v>
      </c>
      <c r="J247" s="7"/>
      <c r="K247" s="7" t="str">
        <f>VLOOKUP($E247,Mapping!$E$11:$I$96,3,0)</f>
        <v>Connections</v>
      </c>
      <c r="L247" s="7" t="str">
        <f>VLOOKUP($G247,Mapping!$E$140:$K$2771,5,0)</f>
        <v>Labour</v>
      </c>
      <c r="M247" s="7" t="str">
        <f>VLOOKUP($G247,Mapping!$E$140:$K$2771,7,0)</f>
        <v>ENDirect</v>
      </c>
      <c r="N247" s="7" t="str">
        <f>IFERROR(HLOOKUP(L247,'Calc|Weightings'!$K$5:$M$5,1,0),"Excl")</f>
        <v>Labour</v>
      </c>
      <c r="O247" s="7" t="str">
        <f>VLOOKUP(E247,Mapping!$E$11:$I$96,5,0)</f>
        <v>SCS</v>
      </c>
      <c r="Q247" s="33">
        <v>107</v>
      </c>
      <c r="R247" s="33" t="s">
        <v>2120</v>
      </c>
      <c r="S247" s="33">
        <v>613280</v>
      </c>
      <c r="T247" s="33" t="s">
        <v>1342</v>
      </c>
      <c r="U247" s="34">
        <v>36.739539999999998</v>
      </c>
      <c r="V247" s="7"/>
      <c r="W247" s="7" t="str">
        <f>VLOOKUP($Q247,Mapping!$E$11:$I$96,3,0)</f>
        <v>Connections</v>
      </c>
      <c r="X247" s="7" t="str">
        <f>VLOOKUP($S247,Mapping!$E$140:$K$2771,5,0)</f>
        <v>Labour</v>
      </c>
      <c r="Y247" s="7" t="str">
        <f>VLOOKUP($S247,Mapping!$E$140:$K$2771,7,0)</f>
        <v>ENDirect</v>
      </c>
      <c r="Z247" s="7" t="str">
        <f>IFERROR(HLOOKUP(X247,'Calc|Weightings'!$K$5:$M$5,1,0),"Excl")</f>
        <v>Labour</v>
      </c>
      <c r="AA247" s="7" t="str">
        <f>VLOOKUP(Q247,Mapping!$E$11:$I$96,5,0)</f>
        <v>SCS</v>
      </c>
      <c r="AC247" s="111">
        <v>107</v>
      </c>
      <c r="AD247" s="111" t="s">
        <v>2120</v>
      </c>
      <c r="AE247" s="111">
        <v>531464</v>
      </c>
      <c r="AF247" s="111" t="s">
        <v>256</v>
      </c>
      <c r="AG247" s="112">
        <v>840.72222999999997</v>
      </c>
      <c r="AI247" s="7" t="str">
        <f>VLOOKUP($AC247,Mapping!$E$11:$I$96,3,0)</f>
        <v>Connections</v>
      </c>
      <c r="AJ247" s="7" t="str">
        <f>VLOOKUP($AE247,Mapping!$E$140:$K$2771,5,0)</f>
        <v>Contracts</v>
      </c>
      <c r="AK247" s="7" t="str">
        <f>VLOOKUP($AE247,Mapping!$E$140:$K$2771,7,0)</f>
        <v>ENDirect</v>
      </c>
      <c r="AL247" s="7" t="str">
        <f>IFERROR(HLOOKUP(AJ247,'Calc|Weightings'!$K$5:$M$5,1,0),"Excl")</f>
        <v>Contracts</v>
      </c>
      <c r="AM247" s="7" t="str">
        <f>VLOOKUP(AC247,Mapping!$E$11:$I$96,5,0)</f>
        <v>SCS</v>
      </c>
      <c r="AO247" s="134">
        <v>107</v>
      </c>
      <c r="AP247" s="135" t="s">
        <v>2120</v>
      </c>
      <c r="AQ247" s="135">
        <v>613434</v>
      </c>
      <c r="AR247" s="135" t="s">
        <v>2102</v>
      </c>
      <c r="AS247" s="136">
        <v>16.315110000000001</v>
      </c>
      <c r="AU247" s="7" t="str">
        <f>VLOOKUP($AO247,Mapping!$E$11:$I$96,3,0)</f>
        <v>Connections</v>
      </c>
      <c r="AV247" s="7" t="str">
        <f>VLOOKUP($AQ247,Mapping!$E$140:$K$2771,5,0)</f>
        <v>Labour</v>
      </c>
      <c r="AW247" s="7" t="str">
        <f>VLOOKUP($AQ247,Mapping!$E$140:$K$2771,7,0)</f>
        <v>ENDirect</v>
      </c>
      <c r="AX247" s="7" t="str">
        <f>IFERROR(HLOOKUP(AV247,'Calc|Weightings'!$K$5:$M$5,1,0),"Excl")</f>
        <v>Labour</v>
      </c>
      <c r="AY247" s="7" t="str">
        <f>VLOOKUP(AO247,Mapping!$E$11:$I$96,5,0)</f>
        <v>SCS</v>
      </c>
    </row>
    <row r="248" spans="1:51" x14ac:dyDescent="0.2">
      <c r="A248" s="7"/>
      <c r="B248" s="7"/>
      <c r="C248" s="7"/>
      <c r="D248" s="7"/>
      <c r="E248" s="36">
        <v>106</v>
      </c>
      <c r="F248" s="36" t="s">
        <v>2119</v>
      </c>
      <c r="G248" s="36">
        <v>613964</v>
      </c>
      <c r="H248" s="36" t="s">
        <v>1650</v>
      </c>
      <c r="I248" s="37">
        <v>0.52</v>
      </c>
      <c r="J248" s="7"/>
      <c r="K248" s="7" t="str">
        <f>VLOOKUP($E248,Mapping!$E$11:$I$96,3,0)</f>
        <v>Connections</v>
      </c>
      <c r="L248" s="7" t="str">
        <f>VLOOKUP($G248,Mapping!$E$140:$K$2771,5,0)</f>
        <v>Contracts</v>
      </c>
      <c r="M248" s="7" t="str">
        <f>VLOOKUP($G248,Mapping!$E$140:$K$2771,7,0)</f>
        <v>ENDirect</v>
      </c>
      <c r="N248" s="7" t="str">
        <f>IFERROR(HLOOKUP(L248,'Calc|Weightings'!$K$5:$M$5,1,0),"Excl")</f>
        <v>Contracts</v>
      </c>
      <c r="O248" s="7" t="str">
        <f>VLOOKUP(E248,Mapping!$E$11:$I$96,5,0)</f>
        <v>SCS</v>
      </c>
      <c r="Q248" s="33">
        <v>107</v>
      </c>
      <c r="R248" s="33" t="s">
        <v>2120</v>
      </c>
      <c r="S248" s="33">
        <v>613281</v>
      </c>
      <c r="T248" s="33" t="s">
        <v>1343</v>
      </c>
      <c r="U248" s="34">
        <v>4.72262</v>
      </c>
      <c r="V248" s="7"/>
      <c r="W248" s="7" t="str">
        <f>VLOOKUP($Q248,Mapping!$E$11:$I$96,3,0)</f>
        <v>Connections</v>
      </c>
      <c r="X248" s="7" t="str">
        <f>VLOOKUP($S248,Mapping!$E$140:$K$2771,5,0)</f>
        <v>Labour</v>
      </c>
      <c r="Y248" s="7" t="str">
        <f>VLOOKUP($S248,Mapping!$E$140:$K$2771,7,0)</f>
        <v>ENDirect</v>
      </c>
      <c r="Z248" s="7" t="str">
        <f>IFERROR(HLOOKUP(X248,'Calc|Weightings'!$K$5:$M$5,1,0),"Excl")</f>
        <v>Labour</v>
      </c>
      <c r="AA248" s="7" t="str">
        <f>VLOOKUP(Q248,Mapping!$E$11:$I$96,5,0)</f>
        <v>SCS</v>
      </c>
      <c r="AC248" s="111">
        <v>107</v>
      </c>
      <c r="AD248" s="111" t="s">
        <v>2120</v>
      </c>
      <c r="AE248" s="111">
        <v>531466</v>
      </c>
      <c r="AF248" s="111" t="s">
        <v>258</v>
      </c>
      <c r="AG248" s="112">
        <v>34.524929999999998</v>
      </c>
      <c r="AI248" s="7" t="str">
        <f>VLOOKUP($AC248,Mapping!$E$11:$I$96,3,0)</f>
        <v>Connections</v>
      </c>
      <c r="AJ248" s="7" t="str">
        <f>VLOOKUP($AE248,Mapping!$E$140:$K$2771,5,0)</f>
        <v>Contracts</v>
      </c>
      <c r="AK248" s="7" t="str">
        <f>VLOOKUP($AE248,Mapping!$E$140:$K$2771,7,0)</f>
        <v>ENDirect</v>
      </c>
      <c r="AL248" s="7" t="str">
        <f>IFERROR(HLOOKUP(AJ248,'Calc|Weightings'!$K$5:$M$5,1,0),"Excl")</f>
        <v>Contracts</v>
      </c>
      <c r="AM248" s="7" t="str">
        <f>VLOOKUP(AC248,Mapping!$E$11:$I$96,5,0)</f>
        <v>SCS</v>
      </c>
      <c r="AO248" s="134">
        <v>107</v>
      </c>
      <c r="AP248" s="135" t="s">
        <v>2120</v>
      </c>
      <c r="AQ248" s="135">
        <v>613440</v>
      </c>
      <c r="AR248" s="135" t="s">
        <v>2103</v>
      </c>
      <c r="AS248" s="136">
        <v>3.47715</v>
      </c>
      <c r="AU248" s="7" t="str">
        <f>VLOOKUP($AO248,Mapping!$E$11:$I$96,3,0)</f>
        <v>Connections</v>
      </c>
      <c r="AV248" s="7" t="str">
        <f>VLOOKUP($AQ248,Mapping!$E$140:$K$2771,5,0)</f>
        <v>Labour</v>
      </c>
      <c r="AW248" s="7" t="str">
        <f>VLOOKUP($AQ248,Mapping!$E$140:$K$2771,7,0)</f>
        <v>ENDirect</v>
      </c>
      <c r="AX248" s="7" t="str">
        <f>IFERROR(HLOOKUP(AV248,'Calc|Weightings'!$K$5:$M$5,1,0),"Excl")</f>
        <v>Labour</v>
      </c>
      <c r="AY248" s="7" t="str">
        <f>VLOOKUP(AO248,Mapping!$E$11:$I$96,5,0)</f>
        <v>SCS</v>
      </c>
    </row>
    <row r="249" spans="1:51" x14ac:dyDescent="0.2">
      <c r="A249" s="7"/>
      <c r="B249" s="7"/>
      <c r="C249" s="7"/>
      <c r="D249" s="7"/>
      <c r="E249" s="36">
        <v>106</v>
      </c>
      <c r="F249" s="36" t="s">
        <v>2119</v>
      </c>
      <c r="G249" s="36">
        <v>633000</v>
      </c>
      <c r="H249" s="36" t="s">
        <v>2202</v>
      </c>
      <c r="I249" s="37">
        <v>1737.5164600000001</v>
      </c>
      <c r="J249" s="7"/>
      <c r="K249" s="7" t="str">
        <f>VLOOKUP($E249,Mapping!$E$11:$I$96,3,0)</f>
        <v>Connections</v>
      </c>
      <c r="L249" s="7" t="str">
        <f>VLOOKUP($G249,Mapping!$E$140:$K$2771,5,0)</f>
        <v>Contracts</v>
      </c>
      <c r="M249" s="7" t="str">
        <f>VLOOKUP($G249,Mapping!$E$140:$K$2771,7,0)</f>
        <v>OH</v>
      </c>
      <c r="N249" s="7" t="str">
        <f>IFERROR(HLOOKUP(L249,'Calc|Weightings'!$K$5:$M$5,1,0),"Excl")</f>
        <v>Contracts</v>
      </c>
      <c r="O249" s="7" t="str">
        <f>VLOOKUP(E249,Mapping!$E$11:$I$96,5,0)</f>
        <v>SCS</v>
      </c>
      <c r="Q249" s="33">
        <v>107</v>
      </c>
      <c r="R249" s="33" t="s">
        <v>2120</v>
      </c>
      <c r="S249" s="33">
        <v>613290</v>
      </c>
      <c r="T249" s="33" t="s">
        <v>2093</v>
      </c>
      <c r="U249" s="34">
        <v>21.756820000000001</v>
      </c>
      <c r="V249" s="7"/>
      <c r="W249" s="7" t="str">
        <f>VLOOKUP($Q249,Mapping!$E$11:$I$96,3,0)</f>
        <v>Connections</v>
      </c>
      <c r="X249" s="7" t="str">
        <f>VLOOKUP($S249,Mapping!$E$140:$K$2771,5,0)</f>
        <v>Labour</v>
      </c>
      <c r="Y249" s="7" t="str">
        <f>VLOOKUP($S249,Mapping!$E$140:$K$2771,7,0)</f>
        <v>ENDirect</v>
      </c>
      <c r="Z249" s="7" t="str">
        <f>IFERROR(HLOOKUP(X249,'Calc|Weightings'!$K$5:$M$5,1,0),"Excl")</f>
        <v>Labour</v>
      </c>
      <c r="AA249" s="7" t="str">
        <f>VLOOKUP(Q249,Mapping!$E$11:$I$96,5,0)</f>
        <v>SCS</v>
      </c>
      <c r="AC249" s="111">
        <v>107</v>
      </c>
      <c r="AD249" s="111" t="s">
        <v>2120</v>
      </c>
      <c r="AE249" s="111">
        <v>531467</v>
      </c>
      <c r="AF249" s="111" t="s">
        <v>259</v>
      </c>
      <c r="AG249" s="112">
        <v>75.788579999999996</v>
      </c>
      <c r="AI249" s="7" t="str">
        <f>VLOOKUP($AC249,Mapping!$E$11:$I$96,3,0)</f>
        <v>Connections</v>
      </c>
      <c r="AJ249" s="7" t="str">
        <f>VLOOKUP($AE249,Mapping!$E$140:$K$2771,5,0)</f>
        <v>Contracts</v>
      </c>
      <c r="AK249" s="7" t="str">
        <f>VLOOKUP($AE249,Mapping!$E$140:$K$2771,7,0)</f>
        <v>ENDirect</v>
      </c>
      <c r="AL249" s="7" t="str">
        <f>IFERROR(HLOOKUP(AJ249,'Calc|Weightings'!$K$5:$M$5,1,0),"Excl")</f>
        <v>Contracts</v>
      </c>
      <c r="AM249" s="7" t="str">
        <f>VLOOKUP(AC249,Mapping!$E$11:$I$96,5,0)</f>
        <v>SCS</v>
      </c>
      <c r="AO249" s="134">
        <v>107</v>
      </c>
      <c r="AP249" s="135" t="s">
        <v>2120</v>
      </c>
      <c r="AQ249" s="135">
        <v>613441</v>
      </c>
      <c r="AR249" s="135" t="s">
        <v>2104</v>
      </c>
      <c r="AS249" s="136">
        <v>0.23247999999999999</v>
      </c>
      <c r="AU249" s="7" t="str">
        <f>VLOOKUP($AO249,Mapping!$E$11:$I$96,3,0)</f>
        <v>Connections</v>
      </c>
      <c r="AV249" s="7" t="str">
        <f>VLOOKUP($AQ249,Mapping!$E$140:$K$2771,5,0)</f>
        <v>Labour</v>
      </c>
      <c r="AW249" s="7" t="str">
        <f>VLOOKUP($AQ249,Mapping!$E$140:$K$2771,7,0)</f>
        <v>ENDirect</v>
      </c>
      <c r="AX249" s="7" t="str">
        <f>IFERROR(HLOOKUP(AV249,'Calc|Weightings'!$K$5:$M$5,1,0),"Excl")</f>
        <v>Labour</v>
      </c>
      <c r="AY249" s="7" t="str">
        <f>VLOOKUP(AO249,Mapping!$E$11:$I$96,5,0)</f>
        <v>SCS</v>
      </c>
    </row>
    <row r="250" spans="1:51" x14ac:dyDescent="0.2">
      <c r="A250" s="7"/>
      <c r="B250" s="7"/>
      <c r="C250" s="7"/>
      <c r="D250" s="7"/>
      <c r="E250" s="36">
        <v>106</v>
      </c>
      <c r="F250" s="36" t="s">
        <v>2119</v>
      </c>
      <c r="G250" s="36">
        <v>634001</v>
      </c>
      <c r="H250" s="36" t="s">
        <v>2110</v>
      </c>
      <c r="I250" s="37">
        <v>701.69399999999996</v>
      </c>
      <c r="J250" s="7"/>
      <c r="K250" s="7" t="str">
        <f>VLOOKUP($E250,Mapping!$E$11:$I$96,3,0)</f>
        <v>Connections</v>
      </c>
      <c r="L250" s="7" t="str">
        <f>VLOOKUP($G250,Mapping!$E$140:$K$2771,5,0)</f>
        <v>Local OH</v>
      </c>
      <c r="M250" s="7" t="str">
        <f>VLOOKUP($G250,Mapping!$E$140:$K$2771,7,0)</f>
        <v>OH</v>
      </c>
      <c r="N250" s="7" t="str">
        <f>IFERROR(HLOOKUP(L250,'Calc|Weightings'!$K$5:$M$5,1,0),"Excl")</f>
        <v>Excl</v>
      </c>
      <c r="O250" s="7" t="str">
        <f>VLOOKUP(E250,Mapping!$E$11:$I$96,5,0)</f>
        <v>SCS</v>
      </c>
      <c r="Q250" s="33">
        <v>107</v>
      </c>
      <c r="R250" s="33" t="s">
        <v>2120</v>
      </c>
      <c r="S250" s="33">
        <v>613298</v>
      </c>
      <c r="T250" s="33" t="s">
        <v>2122</v>
      </c>
      <c r="U250" s="34">
        <v>189.55911</v>
      </c>
      <c r="V250" s="7"/>
      <c r="W250" s="7" t="str">
        <f>VLOOKUP($Q250,Mapping!$E$11:$I$96,3,0)</f>
        <v>Connections</v>
      </c>
      <c r="X250" s="7" t="str">
        <f>VLOOKUP($S250,Mapping!$E$140:$K$2771,5,0)</f>
        <v>Labour</v>
      </c>
      <c r="Y250" s="7" t="str">
        <f>VLOOKUP($S250,Mapping!$E$140:$K$2771,7,0)</f>
        <v>ENDirect</v>
      </c>
      <c r="Z250" s="7" t="str">
        <f>IFERROR(HLOOKUP(X250,'Calc|Weightings'!$K$5:$M$5,1,0),"Excl")</f>
        <v>Labour</v>
      </c>
      <c r="AA250" s="7" t="str">
        <f>VLOOKUP(Q250,Mapping!$E$11:$I$96,5,0)</f>
        <v>SCS</v>
      </c>
      <c r="AC250" s="111">
        <v>107</v>
      </c>
      <c r="AD250" s="111" t="s">
        <v>2120</v>
      </c>
      <c r="AE250" s="111">
        <v>531468</v>
      </c>
      <c r="AF250" s="111" t="s">
        <v>260</v>
      </c>
      <c r="AG250" s="112">
        <v>78.464699999999993</v>
      </c>
      <c r="AI250" s="7" t="str">
        <f>VLOOKUP($AC250,Mapping!$E$11:$I$96,3,0)</f>
        <v>Connections</v>
      </c>
      <c r="AJ250" s="7" t="str">
        <f>VLOOKUP($AE250,Mapping!$E$140:$K$2771,5,0)</f>
        <v>Contracts</v>
      </c>
      <c r="AK250" s="7" t="str">
        <f>VLOOKUP($AE250,Mapping!$E$140:$K$2771,7,0)</f>
        <v>ENDirect</v>
      </c>
      <c r="AL250" s="7" t="str">
        <f>IFERROR(HLOOKUP(AJ250,'Calc|Weightings'!$K$5:$M$5,1,0),"Excl")</f>
        <v>Contracts</v>
      </c>
      <c r="AM250" s="7" t="str">
        <f>VLOOKUP(AC250,Mapping!$E$11:$I$96,5,0)</f>
        <v>SCS</v>
      </c>
      <c r="AO250" s="134">
        <v>107</v>
      </c>
      <c r="AP250" s="135" t="s">
        <v>2120</v>
      </c>
      <c r="AQ250" s="135">
        <v>613450</v>
      </c>
      <c r="AR250" s="135" t="s">
        <v>2175</v>
      </c>
      <c r="AS250" s="136">
        <v>21.0045</v>
      </c>
      <c r="AU250" s="7" t="str">
        <f>VLOOKUP($AO250,Mapping!$E$11:$I$96,3,0)</f>
        <v>Connections</v>
      </c>
      <c r="AV250" s="7" t="str">
        <f>VLOOKUP($AQ250,Mapping!$E$140:$K$2771,5,0)</f>
        <v>Labour</v>
      </c>
      <c r="AW250" s="7" t="str">
        <f>VLOOKUP($AQ250,Mapping!$E$140:$K$2771,7,0)</f>
        <v>ENDirect</v>
      </c>
      <c r="AX250" s="7" t="str">
        <f>IFERROR(HLOOKUP(AV250,'Calc|Weightings'!$K$5:$M$5,1,0),"Excl")</f>
        <v>Labour</v>
      </c>
      <c r="AY250" s="7" t="str">
        <f>VLOOKUP(AO250,Mapping!$E$11:$I$96,5,0)</f>
        <v>SCS</v>
      </c>
    </row>
    <row r="251" spans="1:51" x14ac:dyDescent="0.2">
      <c r="A251" s="7"/>
      <c r="B251" s="7"/>
      <c r="C251" s="7"/>
      <c r="D251" s="7"/>
      <c r="E251" s="36">
        <v>106</v>
      </c>
      <c r="F251" s="36" t="s">
        <v>2119</v>
      </c>
      <c r="G251" s="36">
        <v>635001</v>
      </c>
      <c r="H251" s="36" t="s">
        <v>1929</v>
      </c>
      <c r="I251" s="37">
        <v>403.40271000000001</v>
      </c>
      <c r="J251" s="7"/>
      <c r="K251" s="7" t="str">
        <f>VLOOKUP($E251,Mapping!$E$11:$I$96,3,0)</f>
        <v>Connections</v>
      </c>
      <c r="L251" s="7" t="str">
        <f>VLOOKUP($G251,Mapping!$E$140:$K$2771,5,0)</f>
        <v>PNS MG</v>
      </c>
      <c r="M251" s="7" t="str">
        <f>VLOOKUP($G251,Mapping!$E$140:$K$2771,7,0)</f>
        <v>ENDirect</v>
      </c>
      <c r="N251" s="7" t="str">
        <f>IFERROR(HLOOKUP(L251,'Calc|Weightings'!$K$5:$M$5,1,0),"Excl")</f>
        <v>Excl</v>
      </c>
      <c r="O251" s="7" t="str">
        <f>VLOOKUP(E251,Mapping!$E$11:$I$96,5,0)</f>
        <v>SCS</v>
      </c>
      <c r="Q251" s="33">
        <v>107</v>
      </c>
      <c r="R251" s="33" t="s">
        <v>2120</v>
      </c>
      <c r="S251" s="33">
        <v>613310</v>
      </c>
      <c r="T251" s="33" t="s">
        <v>2095</v>
      </c>
      <c r="U251" s="34">
        <v>47.327759999999998</v>
      </c>
      <c r="V251" s="7"/>
      <c r="W251" s="7" t="str">
        <f>VLOOKUP($Q251,Mapping!$E$11:$I$96,3,0)</f>
        <v>Connections</v>
      </c>
      <c r="X251" s="7" t="str">
        <f>VLOOKUP($S251,Mapping!$E$140:$K$2771,5,0)</f>
        <v>Labour</v>
      </c>
      <c r="Y251" s="7" t="str">
        <f>VLOOKUP($S251,Mapping!$E$140:$K$2771,7,0)</f>
        <v>ENDirect</v>
      </c>
      <c r="Z251" s="7" t="str">
        <f>IFERROR(HLOOKUP(X251,'Calc|Weightings'!$K$5:$M$5,1,0),"Excl")</f>
        <v>Labour</v>
      </c>
      <c r="AA251" s="7" t="str">
        <f>VLOOKUP(Q251,Mapping!$E$11:$I$96,5,0)</f>
        <v>SCS</v>
      </c>
      <c r="AC251" s="111">
        <v>107</v>
      </c>
      <c r="AD251" s="111" t="s">
        <v>2120</v>
      </c>
      <c r="AE251" s="111">
        <v>531469</v>
      </c>
      <c r="AF251" s="111" t="s">
        <v>261</v>
      </c>
      <c r="AG251" s="112">
        <v>46.438000000000002</v>
      </c>
      <c r="AI251" s="7" t="str">
        <f>VLOOKUP($AC251,Mapping!$E$11:$I$96,3,0)</f>
        <v>Connections</v>
      </c>
      <c r="AJ251" s="7" t="str">
        <f>VLOOKUP($AE251,Mapping!$E$140:$K$2771,5,0)</f>
        <v>Labour</v>
      </c>
      <c r="AK251" s="7" t="str">
        <f>VLOOKUP($AE251,Mapping!$E$140:$K$2771,7,0)</f>
        <v>ENDirect</v>
      </c>
      <c r="AL251" s="7" t="str">
        <f>IFERROR(HLOOKUP(AJ251,'Calc|Weightings'!$K$5:$M$5,1,0),"Excl")</f>
        <v>Labour</v>
      </c>
      <c r="AM251" s="7" t="str">
        <f>VLOOKUP(AC251,Mapping!$E$11:$I$96,5,0)</f>
        <v>SCS</v>
      </c>
      <c r="AO251" s="134">
        <v>107</v>
      </c>
      <c r="AP251" s="135" t="s">
        <v>2120</v>
      </c>
      <c r="AQ251" s="135">
        <v>613460</v>
      </c>
      <c r="AR251" s="135" t="s">
        <v>2167</v>
      </c>
      <c r="AS251" s="136">
        <v>4.45824</v>
      </c>
      <c r="AU251" s="7" t="str">
        <f>VLOOKUP($AO251,Mapping!$E$11:$I$96,3,0)</f>
        <v>Connections</v>
      </c>
      <c r="AV251" s="7" t="str">
        <f>VLOOKUP($AQ251,Mapping!$E$140:$K$2771,5,0)</f>
        <v>Labour</v>
      </c>
      <c r="AW251" s="7" t="str">
        <f>VLOOKUP($AQ251,Mapping!$E$140:$K$2771,7,0)</f>
        <v>ENDirect</v>
      </c>
      <c r="AX251" s="7" t="str">
        <f>IFERROR(HLOOKUP(AV251,'Calc|Weightings'!$K$5:$M$5,1,0),"Excl")</f>
        <v>Labour</v>
      </c>
      <c r="AY251" s="7" t="str">
        <f>VLOOKUP(AO251,Mapping!$E$11:$I$96,5,0)</f>
        <v>SCS</v>
      </c>
    </row>
    <row r="252" spans="1:51" x14ac:dyDescent="0.2">
      <c r="A252" s="7"/>
      <c r="B252" s="7"/>
      <c r="C252" s="7"/>
      <c r="D252" s="7"/>
      <c r="E252" s="36">
        <v>106</v>
      </c>
      <c r="F252" s="36" t="s">
        <v>2119</v>
      </c>
      <c r="G252" s="36">
        <v>636001</v>
      </c>
      <c r="H252" s="36" t="s">
        <v>2111</v>
      </c>
      <c r="I252" s="37">
        <v>220.52369999999999</v>
      </c>
      <c r="J252" s="7"/>
      <c r="K252" s="7" t="str">
        <f>VLOOKUP($E252,Mapping!$E$11:$I$96,3,0)</f>
        <v>Connections</v>
      </c>
      <c r="L252" s="7" t="str">
        <f>VLOOKUP($G252,Mapping!$E$140:$K$2771,5,0)</f>
        <v>System Control OH</v>
      </c>
      <c r="M252" s="7" t="str">
        <f>VLOOKUP($G252,Mapping!$E$140:$K$2771,7,0)</f>
        <v>OH</v>
      </c>
      <c r="N252" s="7" t="str">
        <f>IFERROR(HLOOKUP(L252,'Calc|Weightings'!$K$5:$M$5,1,0),"Excl")</f>
        <v>Excl</v>
      </c>
      <c r="O252" s="7" t="str">
        <f>VLOOKUP(E252,Mapping!$E$11:$I$96,5,0)</f>
        <v>SCS</v>
      </c>
      <c r="Q252" s="33">
        <v>107</v>
      </c>
      <c r="R252" s="33" t="s">
        <v>2120</v>
      </c>
      <c r="S252" s="33">
        <v>613311</v>
      </c>
      <c r="T252" s="33" t="s">
        <v>2116</v>
      </c>
      <c r="U252" s="34">
        <v>4.1366100000000001</v>
      </c>
      <c r="V252" s="7"/>
      <c r="W252" s="7" t="str">
        <f>VLOOKUP($Q252,Mapping!$E$11:$I$96,3,0)</f>
        <v>Connections</v>
      </c>
      <c r="X252" s="7" t="str">
        <f>VLOOKUP($S252,Mapping!$E$140:$K$2771,5,0)</f>
        <v>Labour</v>
      </c>
      <c r="Y252" s="7" t="str">
        <f>VLOOKUP($S252,Mapping!$E$140:$K$2771,7,0)</f>
        <v>ENDirect</v>
      </c>
      <c r="Z252" s="7" t="str">
        <f>IFERROR(HLOOKUP(X252,'Calc|Weightings'!$K$5:$M$5,1,0),"Excl")</f>
        <v>Labour</v>
      </c>
      <c r="AA252" s="7" t="str">
        <f>VLOOKUP(Q252,Mapping!$E$11:$I$96,5,0)</f>
        <v>SCS</v>
      </c>
      <c r="AC252" s="111">
        <v>107</v>
      </c>
      <c r="AD252" s="111" t="s">
        <v>2120</v>
      </c>
      <c r="AE252" s="111">
        <v>532050</v>
      </c>
      <c r="AF252" s="111" t="s">
        <v>279</v>
      </c>
      <c r="AG252" s="112">
        <v>54.842460000000003</v>
      </c>
      <c r="AI252" s="7" t="str">
        <f>VLOOKUP($AC252,Mapping!$E$11:$I$96,3,0)</f>
        <v>Connections</v>
      </c>
      <c r="AJ252" s="7" t="str">
        <f>VLOOKUP($AE252,Mapping!$E$140:$K$2771,5,0)</f>
        <v>Contracts</v>
      </c>
      <c r="AK252" s="7" t="str">
        <f>VLOOKUP($AE252,Mapping!$E$140:$K$2771,7,0)</f>
        <v>ENDirect</v>
      </c>
      <c r="AL252" s="7" t="str">
        <f>IFERROR(HLOOKUP(AJ252,'Calc|Weightings'!$K$5:$M$5,1,0),"Excl")</f>
        <v>Contracts</v>
      </c>
      <c r="AM252" s="7" t="str">
        <f>VLOOKUP(AC252,Mapping!$E$11:$I$96,5,0)</f>
        <v>SCS</v>
      </c>
      <c r="AO252" s="134">
        <v>107</v>
      </c>
      <c r="AP252" s="135" t="s">
        <v>2120</v>
      </c>
      <c r="AQ252" s="135">
        <v>613566</v>
      </c>
      <c r="AR252" s="135" t="s">
        <v>1482</v>
      </c>
      <c r="AS252" s="136">
        <v>2.3355999999999999</v>
      </c>
      <c r="AU252" s="7" t="str">
        <f>VLOOKUP($AO252,Mapping!$E$11:$I$96,3,0)</f>
        <v>Connections</v>
      </c>
      <c r="AV252" s="7" t="str">
        <f>VLOOKUP($AQ252,Mapping!$E$140:$K$2771,5,0)</f>
        <v>Labour</v>
      </c>
      <c r="AW252" s="7" t="str">
        <f>VLOOKUP($AQ252,Mapping!$E$140:$K$2771,7,0)</f>
        <v>ENDirect</v>
      </c>
      <c r="AX252" s="7" t="str">
        <f>IFERROR(HLOOKUP(AV252,'Calc|Weightings'!$K$5:$M$5,1,0),"Excl")</f>
        <v>Labour</v>
      </c>
      <c r="AY252" s="7" t="str">
        <f>VLOOKUP(AO252,Mapping!$E$11:$I$96,5,0)</f>
        <v>SCS</v>
      </c>
    </row>
    <row r="253" spans="1:51" x14ac:dyDescent="0.2">
      <c r="A253" s="7"/>
      <c r="B253" s="7"/>
      <c r="C253" s="7"/>
      <c r="D253" s="7"/>
      <c r="E253" s="36">
        <v>106</v>
      </c>
      <c r="F253" s="36" t="s">
        <v>2119</v>
      </c>
      <c r="G253" s="36">
        <v>639000</v>
      </c>
      <c r="H253" s="36" t="s">
        <v>2112</v>
      </c>
      <c r="I253" s="37">
        <v>443.67921000000001</v>
      </c>
      <c r="J253" s="7"/>
      <c r="K253" s="7" t="str">
        <f>VLOOKUP($E253,Mapping!$E$11:$I$96,3,0)</f>
        <v>Connections</v>
      </c>
      <c r="L253" s="7" t="str">
        <f>VLOOKUP($G253,Mapping!$E$140:$K$2771,5,0)</f>
        <v>PNS Corporate OH</v>
      </c>
      <c r="M253" s="7" t="str">
        <f>VLOOKUP($G253,Mapping!$E$140:$K$2771,7,0)</f>
        <v>OH</v>
      </c>
      <c r="N253" s="7" t="str">
        <f>IFERROR(HLOOKUP(L253,'Calc|Weightings'!$K$5:$M$5,1,0),"Excl")</f>
        <v>Excl</v>
      </c>
      <c r="O253" s="7" t="str">
        <f>VLOOKUP(E253,Mapping!$E$11:$I$96,5,0)</f>
        <v>SCS</v>
      </c>
      <c r="Q253" s="33">
        <v>107</v>
      </c>
      <c r="R253" s="33" t="s">
        <v>2120</v>
      </c>
      <c r="S253" s="33">
        <v>613360</v>
      </c>
      <c r="T253" s="33" t="s">
        <v>2097</v>
      </c>
      <c r="U253" s="34">
        <v>8.5790299999999995</v>
      </c>
      <c r="V253" s="7"/>
      <c r="W253" s="7" t="str">
        <f>VLOOKUP($Q253,Mapping!$E$11:$I$96,3,0)</f>
        <v>Connections</v>
      </c>
      <c r="X253" s="7" t="str">
        <f>VLOOKUP($S253,Mapping!$E$140:$K$2771,5,0)</f>
        <v>Labour</v>
      </c>
      <c r="Y253" s="7" t="str">
        <f>VLOOKUP($S253,Mapping!$E$140:$K$2771,7,0)</f>
        <v>ENDirect</v>
      </c>
      <c r="Z253" s="7" t="str">
        <f>IFERROR(HLOOKUP(X253,'Calc|Weightings'!$K$5:$M$5,1,0),"Excl")</f>
        <v>Labour</v>
      </c>
      <c r="AA253" s="7" t="str">
        <f>VLOOKUP(Q253,Mapping!$E$11:$I$96,5,0)</f>
        <v>SCS</v>
      </c>
      <c r="AC253" s="111">
        <v>107</v>
      </c>
      <c r="AD253" s="111" t="s">
        <v>2120</v>
      </c>
      <c r="AE253" s="111">
        <v>591997</v>
      </c>
      <c r="AF253" s="111" t="s">
        <v>2194</v>
      </c>
      <c r="AG253" s="112">
        <v>-0.61453999999999998</v>
      </c>
      <c r="AI253" s="7" t="str">
        <f>VLOOKUP($AC253,Mapping!$E$11:$I$96,3,0)</f>
        <v>Connections</v>
      </c>
      <c r="AJ253" s="7" t="str">
        <f>VLOOKUP($AE253,Mapping!$E$140:$K$2771,5,0)</f>
        <v>Contracts</v>
      </c>
      <c r="AK253" s="7" t="str">
        <f>VLOOKUP($AE253,Mapping!$E$140:$K$2771,7,0)</f>
        <v>ENDirect</v>
      </c>
      <c r="AL253" s="7" t="str">
        <f>IFERROR(HLOOKUP(AJ253,'Calc|Weightings'!$K$5:$M$5,1,0),"Excl")</f>
        <v>Contracts</v>
      </c>
      <c r="AM253" s="7" t="str">
        <f>VLOOKUP(AC253,Mapping!$E$11:$I$96,5,0)</f>
        <v>SCS</v>
      </c>
      <c r="AO253" s="134">
        <v>107</v>
      </c>
      <c r="AP253" s="135" t="s">
        <v>2120</v>
      </c>
      <c r="AQ253" s="135">
        <v>613570</v>
      </c>
      <c r="AR253" s="135" t="s">
        <v>1484</v>
      </c>
      <c r="AS253" s="136">
        <v>3.0661399999999999</v>
      </c>
      <c r="AU253" s="7" t="str">
        <f>VLOOKUP($AO253,Mapping!$E$11:$I$96,3,0)</f>
        <v>Connections</v>
      </c>
      <c r="AV253" s="7" t="str">
        <f>VLOOKUP($AQ253,Mapping!$E$140:$K$2771,5,0)</f>
        <v>Labour</v>
      </c>
      <c r="AW253" s="7" t="str">
        <f>VLOOKUP($AQ253,Mapping!$E$140:$K$2771,7,0)</f>
        <v>ENDirect</v>
      </c>
      <c r="AX253" s="7" t="str">
        <f>IFERROR(HLOOKUP(AV253,'Calc|Weightings'!$K$5:$M$5,1,0),"Excl")</f>
        <v>Labour</v>
      </c>
      <c r="AY253" s="7" t="str">
        <f>VLOOKUP(AO253,Mapping!$E$11:$I$96,5,0)</f>
        <v>SCS</v>
      </c>
    </row>
    <row r="254" spans="1:51" x14ac:dyDescent="0.2">
      <c r="A254" s="7"/>
      <c r="B254" s="7"/>
      <c r="C254" s="7"/>
      <c r="D254" s="7"/>
      <c r="E254" s="36">
        <v>106</v>
      </c>
      <c r="F254" s="36" t="s">
        <v>2119</v>
      </c>
      <c r="G254" s="36">
        <v>639050</v>
      </c>
      <c r="H254" s="36" t="s">
        <v>2113</v>
      </c>
      <c r="I254" s="37">
        <v>54.238190000000003</v>
      </c>
      <c r="J254" s="7"/>
      <c r="K254" s="7" t="str">
        <f>VLOOKUP($E254,Mapping!$E$11:$I$96,3,0)</f>
        <v>Connections</v>
      </c>
      <c r="L254" s="7" t="str">
        <f>VLOOKUP($G254,Mapping!$E$140:$K$2771,5,0)</f>
        <v>PNS Fleet &amp; Property OH</v>
      </c>
      <c r="M254" s="7" t="str">
        <f>VLOOKUP($G254,Mapping!$E$140:$K$2771,7,0)</f>
        <v>OH</v>
      </c>
      <c r="N254" s="7" t="str">
        <f>IFERROR(HLOOKUP(L254,'Calc|Weightings'!$K$5:$M$5,1,0),"Excl")</f>
        <v>Excl</v>
      </c>
      <c r="O254" s="7" t="str">
        <f>VLOOKUP(E254,Mapping!$E$11:$I$96,5,0)</f>
        <v>SCS</v>
      </c>
      <c r="Q254" s="33">
        <v>107</v>
      </c>
      <c r="R254" s="33" t="s">
        <v>2120</v>
      </c>
      <c r="S254" s="33">
        <v>613370</v>
      </c>
      <c r="T254" s="33" t="s">
        <v>1402</v>
      </c>
      <c r="U254" s="34">
        <v>37.158479999999997</v>
      </c>
      <c r="V254" s="7"/>
      <c r="W254" s="7" t="str">
        <f>VLOOKUP($Q254,Mapping!$E$11:$I$96,3,0)</f>
        <v>Connections</v>
      </c>
      <c r="X254" s="7" t="str">
        <f>VLOOKUP($S254,Mapping!$E$140:$K$2771,5,0)</f>
        <v>Labour</v>
      </c>
      <c r="Y254" s="7" t="str">
        <f>VLOOKUP($S254,Mapping!$E$140:$K$2771,7,0)</f>
        <v>ENDirect</v>
      </c>
      <c r="Z254" s="7" t="str">
        <f>IFERROR(HLOOKUP(X254,'Calc|Weightings'!$K$5:$M$5,1,0),"Excl")</f>
        <v>Labour</v>
      </c>
      <c r="AA254" s="7" t="str">
        <f>VLOOKUP(Q254,Mapping!$E$11:$I$96,5,0)</f>
        <v>SCS</v>
      </c>
      <c r="AC254" s="111">
        <v>107</v>
      </c>
      <c r="AD254" s="111" t="s">
        <v>2120</v>
      </c>
      <c r="AE254" s="111">
        <v>591998</v>
      </c>
      <c r="AF254" s="111" t="s">
        <v>2077</v>
      </c>
      <c r="AG254" s="112">
        <v>0.3049</v>
      </c>
      <c r="AI254" s="7" t="str">
        <f>VLOOKUP($AC254,Mapping!$E$11:$I$96,3,0)</f>
        <v>Connections</v>
      </c>
      <c r="AJ254" s="7" t="str">
        <f>VLOOKUP($AE254,Mapping!$E$140:$K$2771,5,0)</f>
        <v>Contracts</v>
      </c>
      <c r="AK254" s="7" t="str">
        <f>VLOOKUP($AE254,Mapping!$E$140:$K$2771,7,0)</f>
        <v>ENDirect</v>
      </c>
      <c r="AL254" s="7" t="str">
        <f>IFERROR(HLOOKUP(AJ254,'Calc|Weightings'!$K$5:$M$5,1,0),"Excl")</f>
        <v>Contracts</v>
      </c>
      <c r="AM254" s="7" t="str">
        <f>VLOOKUP(AC254,Mapping!$E$11:$I$96,5,0)</f>
        <v>SCS</v>
      </c>
      <c r="AO254" s="134">
        <v>107</v>
      </c>
      <c r="AP254" s="135" t="s">
        <v>2120</v>
      </c>
      <c r="AQ254" s="135">
        <v>613571</v>
      </c>
      <c r="AR254" s="135" t="s">
        <v>1485</v>
      </c>
      <c r="AS254" s="136">
        <v>2.5168900000000001</v>
      </c>
      <c r="AU254" s="7" t="str">
        <f>VLOOKUP($AO254,Mapping!$E$11:$I$96,3,0)</f>
        <v>Connections</v>
      </c>
      <c r="AV254" s="7" t="str">
        <f>VLOOKUP($AQ254,Mapping!$E$140:$K$2771,5,0)</f>
        <v>Labour</v>
      </c>
      <c r="AW254" s="7" t="str">
        <f>VLOOKUP($AQ254,Mapping!$E$140:$K$2771,7,0)</f>
        <v>ENDirect</v>
      </c>
      <c r="AX254" s="7" t="str">
        <f>IFERROR(HLOOKUP(AV254,'Calc|Weightings'!$K$5:$M$5,1,0),"Excl")</f>
        <v>Labour</v>
      </c>
      <c r="AY254" s="7" t="str">
        <f>VLOOKUP(AO254,Mapping!$E$11:$I$96,5,0)</f>
        <v>SCS</v>
      </c>
    </row>
    <row r="255" spans="1:51" x14ac:dyDescent="0.2">
      <c r="A255" s="7"/>
      <c r="B255" s="7"/>
      <c r="C255" s="7"/>
      <c r="D255" s="7"/>
      <c r="E255" s="36">
        <v>107</v>
      </c>
      <c r="F255" s="36" t="s">
        <v>2120</v>
      </c>
      <c r="G255" s="36">
        <v>503240</v>
      </c>
      <c r="H255" s="36" t="s">
        <v>169</v>
      </c>
      <c r="I255" s="37">
        <v>2.9090000000000001E-2</v>
      </c>
      <c r="J255" s="7"/>
      <c r="K255" s="7" t="str">
        <f>VLOOKUP($E255,Mapping!$E$11:$I$96,3,0)</f>
        <v>Connections</v>
      </c>
      <c r="L255" s="7" t="str">
        <f>VLOOKUP($G255,Mapping!$E$140:$K$2771,5,0)</f>
        <v>Contracts</v>
      </c>
      <c r="M255" s="7" t="str">
        <f>VLOOKUP($G255,Mapping!$E$140:$K$2771,7,0)</f>
        <v>ENDirect</v>
      </c>
      <c r="N255" s="7" t="str">
        <f>IFERROR(HLOOKUP(L255,'Calc|Weightings'!$K$5:$M$5,1,0),"Excl")</f>
        <v>Contracts</v>
      </c>
      <c r="O255" s="7" t="str">
        <f>VLOOKUP(E255,Mapping!$E$11:$I$96,5,0)</f>
        <v>SCS</v>
      </c>
      <c r="Q255" s="33">
        <v>107</v>
      </c>
      <c r="R255" s="33" t="s">
        <v>2120</v>
      </c>
      <c r="S255" s="33">
        <v>613371</v>
      </c>
      <c r="T255" s="33" t="s">
        <v>1403</v>
      </c>
      <c r="U255" s="34">
        <v>1.2143900000000001</v>
      </c>
      <c r="V255" s="7"/>
      <c r="W255" s="7" t="str">
        <f>VLOOKUP($Q255,Mapping!$E$11:$I$96,3,0)</f>
        <v>Connections</v>
      </c>
      <c r="X255" s="7" t="str">
        <f>VLOOKUP($S255,Mapping!$E$140:$K$2771,5,0)</f>
        <v>Labour</v>
      </c>
      <c r="Y255" s="7" t="str">
        <f>VLOOKUP($S255,Mapping!$E$140:$K$2771,7,0)</f>
        <v>ENDirect</v>
      </c>
      <c r="Z255" s="7" t="str">
        <f>IFERROR(HLOOKUP(X255,'Calc|Weightings'!$K$5:$M$5,1,0),"Excl")</f>
        <v>Labour</v>
      </c>
      <c r="AA255" s="7" t="str">
        <f>VLOOKUP(Q255,Mapping!$E$11:$I$96,5,0)</f>
        <v>SCS</v>
      </c>
      <c r="AC255" s="111">
        <v>107</v>
      </c>
      <c r="AD255" s="111" t="s">
        <v>2120</v>
      </c>
      <c r="AE255" s="111">
        <v>591999</v>
      </c>
      <c r="AF255" s="111" t="s">
        <v>2195</v>
      </c>
      <c r="AG255" s="112">
        <v>-2.9102800000000002</v>
      </c>
      <c r="AI255" s="7" t="str">
        <f>VLOOKUP($AC255,Mapping!$E$11:$I$96,3,0)</f>
        <v>Connections</v>
      </c>
      <c r="AJ255" s="7" t="str">
        <f>VLOOKUP($AE255,Mapping!$E$140:$K$2771,5,0)</f>
        <v>Contracts</v>
      </c>
      <c r="AK255" s="7" t="str">
        <f>VLOOKUP($AE255,Mapping!$E$140:$K$2771,7,0)</f>
        <v>ENDirect</v>
      </c>
      <c r="AL255" s="7" t="str">
        <f>IFERROR(HLOOKUP(AJ255,'Calc|Weightings'!$K$5:$M$5,1,0),"Excl")</f>
        <v>Contracts</v>
      </c>
      <c r="AM255" s="7" t="str">
        <f>VLOOKUP(AC255,Mapping!$E$11:$I$96,5,0)</f>
        <v>SCS</v>
      </c>
      <c r="AO255" s="134">
        <v>107</v>
      </c>
      <c r="AP255" s="135" t="s">
        <v>2120</v>
      </c>
      <c r="AQ255" s="135">
        <v>613574</v>
      </c>
      <c r="AR255" s="135" t="s">
        <v>1488</v>
      </c>
      <c r="AS255" s="136">
        <v>9.6837300000000006</v>
      </c>
      <c r="AU255" s="7" t="str">
        <f>VLOOKUP($AO255,Mapping!$E$11:$I$96,3,0)</f>
        <v>Connections</v>
      </c>
      <c r="AV255" s="7" t="str">
        <f>VLOOKUP($AQ255,Mapping!$E$140:$K$2771,5,0)</f>
        <v>Labour</v>
      </c>
      <c r="AW255" s="7" t="str">
        <f>VLOOKUP($AQ255,Mapping!$E$140:$K$2771,7,0)</f>
        <v>ENDirect</v>
      </c>
      <c r="AX255" s="7" t="str">
        <f>IFERROR(HLOOKUP(AV255,'Calc|Weightings'!$K$5:$M$5,1,0),"Excl")</f>
        <v>Labour</v>
      </c>
      <c r="AY255" s="7" t="str">
        <f>VLOOKUP(AO255,Mapping!$E$11:$I$96,5,0)</f>
        <v>SCS</v>
      </c>
    </row>
    <row r="256" spans="1:51" x14ac:dyDescent="0.2">
      <c r="A256" s="7"/>
      <c r="B256" s="7"/>
      <c r="C256" s="7"/>
      <c r="D256" s="7"/>
      <c r="E256" s="36">
        <v>107</v>
      </c>
      <c r="F256" s="36" t="s">
        <v>2120</v>
      </c>
      <c r="G256" s="36">
        <v>520100</v>
      </c>
      <c r="H256" s="36" t="s">
        <v>2072</v>
      </c>
      <c r="I256" s="37">
        <v>105.71812</v>
      </c>
      <c r="J256" s="7"/>
      <c r="K256" s="7" t="str">
        <f>VLOOKUP($E256,Mapping!$E$11:$I$96,3,0)</f>
        <v>Connections</v>
      </c>
      <c r="L256" s="7" t="str">
        <f>VLOOKUP($G256,Mapping!$E$140:$K$2771,5,0)</f>
        <v>Materials</v>
      </c>
      <c r="M256" s="7" t="str">
        <f>VLOOKUP($G256,Mapping!$E$140:$K$2771,7,0)</f>
        <v>ENDirect</v>
      </c>
      <c r="N256" s="7" t="str">
        <f>IFERROR(HLOOKUP(L256,'Calc|Weightings'!$K$5:$M$5,1,0),"Excl")</f>
        <v>Materials</v>
      </c>
      <c r="O256" s="7" t="str">
        <f>VLOOKUP(E256,Mapping!$E$11:$I$96,5,0)</f>
        <v>SCS</v>
      </c>
      <c r="Q256" s="33">
        <v>107</v>
      </c>
      <c r="R256" s="33" t="s">
        <v>2120</v>
      </c>
      <c r="S256" s="33">
        <v>613400</v>
      </c>
      <c r="T256" s="33" t="s">
        <v>2099</v>
      </c>
      <c r="U256" s="34">
        <v>13.3833</v>
      </c>
      <c r="V256" s="7"/>
      <c r="W256" s="7" t="str">
        <f>VLOOKUP($Q256,Mapping!$E$11:$I$96,3,0)</f>
        <v>Connections</v>
      </c>
      <c r="X256" s="7" t="str">
        <f>VLOOKUP($S256,Mapping!$E$140:$K$2771,5,0)</f>
        <v>Labour</v>
      </c>
      <c r="Y256" s="7" t="str">
        <f>VLOOKUP($S256,Mapping!$E$140:$K$2771,7,0)</f>
        <v>ENDirect</v>
      </c>
      <c r="Z256" s="7" t="str">
        <f>IFERROR(HLOOKUP(X256,'Calc|Weightings'!$K$5:$M$5,1,0),"Excl")</f>
        <v>Labour</v>
      </c>
      <c r="AA256" s="7" t="str">
        <f>VLOOKUP(Q256,Mapping!$E$11:$I$96,5,0)</f>
        <v>SCS</v>
      </c>
      <c r="AC256" s="111">
        <v>107</v>
      </c>
      <c r="AD256" s="111" t="s">
        <v>2120</v>
      </c>
      <c r="AE256" s="111">
        <v>611900</v>
      </c>
      <c r="AF256" s="111" t="s">
        <v>2079</v>
      </c>
      <c r="AG256" s="112">
        <v>0.47542000000000001</v>
      </c>
      <c r="AI256" s="7" t="str">
        <f>VLOOKUP($AC256,Mapping!$E$11:$I$96,3,0)</f>
        <v>Connections</v>
      </c>
      <c r="AJ256" s="7" t="str">
        <f>VLOOKUP($AE256,Mapping!$E$140:$K$2771,5,0)</f>
        <v>Contracts</v>
      </c>
      <c r="AK256" s="7" t="str">
        <f>VLOOKUP($AE256,Mapping!$E$140:$K$2771,7,0)</f>
        <v>ENDirect</v>
      </c>
      <c r="AL256" s="7" t="str">
        <f>IFERROR(HLOOKUP(AJ256,'Calc|Weightings'!$K$5:$M$5,1,0),"Excl")</f>
        <v>Contracts</v>
      </c>
      <c r="AM256" s="7" t="str">
        <f>VLOOKUP(AC256,Mapping!$E$11:$I$96,5,0)</f>
        <v>SCS</v>
      </c>
      <c r="AO256" s="134">
        <v>107</v>
      </c>
      <c r="AP256" s="135" t="s">
        <v>2120</v>
      </c>
      <c r="AQ256" s="135">
        <v>613575</v>
      </c>
      <c r="AR256" s="135" t="s">
        <v>1489</v>
      </c>
      <c r="AS256" s="136">
        <v>0.54896999999999996</v>
      </c>
      <c r="AU256" s="7" t="str">
        <f>VLOOKUP($AO256,Mapping!$E$11:$I$96,3,0)</f>
        <v>Connections</v>
      </c>
      <c r="AV256" s="7" t="str">
        <f>VLOOKUP($AQ256,Mapping!$E$140:$K$2771,5,0)</f>
        <v>Labour</v>
      </c>
      <c r="AW256" s="7" t="str">
        <f>VLOOKUP($AQ256,Mapping!$E$140:$K$2771,7,0)</f>
        <v>ENDirect</v>
      </c>
      <c r="AX256" s="7" t="str">
        <f>IFERROR(HLOOKUP(AV256,'Calc|Weightings'!$K$5:$M$5,1,0),"Excl")</f>
        <v>Labour</v>
      </c>
      <c r="AY256" s="7" t="str">
        <f>VLOOKUP(AO256,Mapping!$E$11:$I$96,5,0)</f>
        <v>SCS</v>
      </c>
    </row>
    <row r="257" spans="1:51" x14ac:dyDescent="0.2">
      <c r="A257" s="7"/>
      <c r="B257" s="7"/>
      <c r="C257" s="7"/>
      <c r="D257" s="7"/>
      <c r="E257" s="36">
        <v>107</v>
      </c>
      <c r="F257" s="36" t="s">
        <v>2120</v>
      </c>
      <c r="G257" s="36">
        <v>520200</v>
      </c>
      <c r="H257" s="36" t="s">
        <v>2073</v>
      </c>
      <c r="I257" s="37">
        <v>8.4029999999999994E-2</v>
      </c>
      <c r="J257" s="7"/>
      <c r="K257" s="7" t="str">
        <f>VLOOKUP($E257,Mapping!$E$11:$I$96,3,0)</f>
        <v>Connections</v>
      </c>
      <c r="L257" s="7" t="str">
        <f>VLOOKUP($G257,Mapping!$E$140:$K$2771,5,0)</f>
        <v>Materials</v>
      </c>
      <c r="M257" s="7" t="str">
        <f>VLOOKUP($G257,Mapping!$E$140:$K$2771,7,0)</f>
        <v>ENDirect</v>
      </c>
      <c r="N257" s="7" t="str">
        <f>IFERROR(HLOOKUP(L257,'Calc|Weightings'!$K$5:$M$5,1,0),"Excl")</f>
        <v>Materials</v>
      </c>
      <c r="O257" s="7" t="str">
        <f>VLOOKUP(E257,Mapping!$E$11:$I$96,5,0)</f>
        <v>SCS</v>
      </c>
      <c r="Q257" s="33">
        <v>107</v>
      </c>
      <c r="R257" s="33" t="s">
        <v>2120</v>
      </c>
      <c r="S257" s="33">
        <v>613401</v>
      </c>
      <c r="T257" s="33" t="s">
        <v>2117</v>
      </c>
      <c r="U257" s="34">
        <v>3.3908800000000001</v>
      </c>
      <c r="V257" s="7"/>
      <c r="W257" s="7" t="str">
        <f>VLOOKUP($Q257,Mapping!$E$11:$I$96,3,0)</f>
        <v>Connections</v>
      </c>
      <c r="X257" s="7" t="str">
        <f>VLOOKUP($S257,Mapping!$E$140:$K$2771,5,0)</f>
        <v>Labour</v>
      </c>
      <c r="Y257" s="7" t="str">
        <f>VLOOKUP($S257,Mapping!$E$140:$K$2771,7,0)</f>
        <v>ENDirect</v>
      </c>
      <c r="Z257" s="7" t="str">
        <f>IFERROR(HLOOKUP(X257,'Calc|Weightings'!$K$5:$M$5,1,0),"Excl")</f>
        <v>Labour</v>
      </c>
      <c r="AA257" s="7" t="str">
        <f>VLOOKUP(Q257,Mapping!$E$11:$I$96,5,0)</f>
        <v>SCS</v>
      </c>
      <c r="AC257" s="111">
        <v>107</v>
      </c>
      <c r="AD257" s="111" t="s">
        <v>2120</v>
      </c>
      <c r="AE257" s="111">
        <v>611901</v>
      </c>
      <c r="AF257" s="111" t="s">
        <v>2080</v>
      </c>
      <c r="AG257" s="112">
        <v>53.229799999999997</v>
      </c>
      <c r="AI257" s="7" t="str">
        <f>VLOOKUP($AC257,Mapping!$E$11:$I$96,3,0)</f>
        <v>Connections</v>
      </c>
      <c r="AJ257" s="7" t="str">
        <f>VLOOKUP($AE257,Mapping!$E$140:$K$2771,5,0)</f>
        <v>Contracts</v>
      </c>
      <c r="AK257" s="7" t="str">
        <f>VLOOKUP($AE257,Mapping!$E$140:$K$2771,7,0)</f>
        <v>ENDirect</v>
      </c>
      <c r="AL257" s="7" t="str">
        <f>IFERROR(HLOOKUP(AJ257,'Calc|Weightings'!$K$5:$M$5,1,0),"Excl")</f>
        <v>Contracts</v>
      </c>
      <c r="AM257" s="7" t="str">
        <f>VLOOKUP(AC257,Mapping!$E$11:$I$96,5,0)</f>
        <v>SCS</v>
      </c>
      <c r="AO257" s="134">
        <v>107</v>
      </c>
      <c r="AP257" s="135" t="s">
        <v>2120</v>
      </c>
      <c r="AQ257" s="135">
        <v>613576</v>
      </c>
      <c r="AR257" s="135" t="s">
        <v>1490</v>
      </c>
      <c r="AS257" s="136">
        <v>20.062080000000002</v>
      </c>
      <c r="AU257" s="7" t="str">
        <f>VLOOKUP($AO257,Mapping!$E$11:$I$96,3,0)</f>
        <v>Connections</v>
      </c>
      <c r="AV257" s="7" t="str">
        <f>VLOOKUP($AQ257,Mapping!$E$140:$K$2771,5,0)</f>
        <v>Labour</v>
      </c>
      <c r="AW257" s="7" t="str">
        <f>VLOOKUP($AQ257,Mapping!$E$140:$K$2771,7,0)</f>
        <v>ENDirect</v>
      </c>
      <c r="AX257" s="7" t="str">
        <f>IFERROR(HLOOKUP(AV257,'Calc|Weightings'!$K$5:$M$5,1,0),"Excl")</f>
        <v>Labour</v>
      </c>
      <c r="AY257" s="7" t="str">
        <f>VLOOKUP(AO257,Mapping!$E$11:$I$96,5,0)</f>
        <v>SCS</v>
      </c>
    </row>
    <row r="258" spans="1:51" x14ac:dyDescent="0.2">
      <c r="A258" s="7"/>
      <c r="B258" s="7"/>
      <c r="C258" s="7"/>
      <c r="D258" s="7"/>
      <c r="E258" s="36">
        <v>107</v>
      </c>
      <c r="F258" s="36" t="s">
        <v>2120</v>
      </c>
      <c r="G258" s="36">
        <v>523100</v>
      </c>
      <c r="H258" s="36" t="s">
        <v>2074</v>
      </c>
      <c r="I258" s="37">
        <v>0.93030999999999997</v>
      </c>
      <c r="J258" s="7"/>
      <c r="K258" s="7" t="str">
        <f>VLOOKUP($E258,Mapping!$E$11:$I$96,3,0)</f>
        <v>Connections</v>
      </c>
      <c r="L258" s="7" t="str">
        <f>VLOOKUP($G258,Mapping!$E$140:$K$2771,5,0)</f>
        <v>Materials</v>
      </c>
      <c r="M258" s="7" t="str">
        <f>VLOOKUP($G258,Mapping!$E$140:$K$2771,7,0)</f>
        <v>ENDirect</v>
      </c>
      <c r="N258" s="7" t="str">
        <f>IFERROR(HLOOKUP(L258,'Calc|Weightings'!$K$5:$M$5,1,0),"Excl")</f>
        <v>Materials</v>
      </c>
      <c r="O258" s="7" t="str">
        <f>VLOOKUP(E258,Mapping!$E$11:$I$96,5,0)</f>
        <v>SCS</v>
      </c>
      <c r="Q258" s="33">
        <v>107</v>
      </c>
      <c r="R258" s="33" t="s">
        <v>2120</v>
      </c>
      <c r="S258" s="33">
        <v>613410</v>
      </c>
      <c r="T258" s="33" t="s">
        <v>2100</v>
      </c>
      <c r="U258" s="34">
        <v>37.654600000000002</v>
      </c>
      <c r="V258" s="7"/>
      <c r="W258" s="7" t="str">
        <f>VLOOKUP($Q258,Mapping!$E$11:$I$96,3,0)</f>
        <v>Connections</v>
      </c>
      <c r="X258" s="7" t="str">
        <f>VLOOKUP($S258,Mapping!$E$140:$K$2771,5,0)</f>
        <v>Labour</v>
      </c>
      <c r="Y258" s="7" t="str">
        <f>VLOOKUP($S258,Mapping!$E$140:$K$2771,7,0)</f>
        <v>ENDirect</v>
      </c>
      <c r="Z258" s="7" t="str">
        <f>IFERROR(HLOOKUP(X258,'Calc|Weightings'!$K$5:$M$5,1,0),"Excl")</f>
        <v>Labour</v>
      </c>
      <c r="AA258" s="7" t="str">
        <f>VLOOKUP(Q258,Mapping!$E$11:$I$96,5,0)</f>
        <v>SCS</v>
      </c>
      <c r="AC258" s="111">
        <v>107</v>
      </c>
      <c r="AD258" s="111" t="s">
        <v>2120</v>
      </c>
      <c r="AE258" s="111">
        <v>611902</v>
      </c>
      <c r="AF258" s="111" t="s">
        <v>2081</v>
      </c>
      <c r="AG258" s="112">
        <v>13.8979</v>
      </c>
      <c r="AI258" s="7" t="str">
        <f>VLOOKUP($AC258,Mapping!$E$11:$I$96,3,0)</f>
        <v>Connections</v>
      </c>
      <c r="AJ258" s="7" t="str">
        <f>VLOOKUP($AE258,Mapping!$E$140:$K$2771,5,0)</f>
        <v>Contracts</v>
      </c>
      <c r="AK258" s="7" t="str">
        <f>VLOOKUP($AE258,Mapping!$E$140:$K$2771,7,0)</f>
        <v>ENDirect</v>
      </c>
      <c r="AL258" s="7" t="str">
        <f>IFERROR(HLOOKUP(AJ258,'Calc|Weightings'!$K$5:$M$5,1,0),"Excl")</f>
        <v>Contracts</v>
      </c>
      <c r="AM258" s="7" t="str">
        <f>VLOOKUP(AC258,Mapping!$E$11:$I$96,5,0)</f>
        <v>SCS</v>
      </c>
      <c r="AO258" s="134">
        <v>107</v>
      </c>
      <c r="AP258" s="135" t="s">
        <v>2120</v>
      </c>
      <c r="AQ258" s="135">
        <v>613630</v>
      </c>
      <c r="AR258" s="135" t="s">
        <v>1498</v>
      </c>
      <c r="AS258" s="136">
        <v>0.76519999999999999</v>
      </c>
      <c r="AU258" s="7" t="str">
        <f>VLOOKUP($AO258,Mapping!$E$11:$I$96,3,0)</f>
        <v>Connections</v>
      </c>
      <c r="AV258" s="7" t="str">
        <f>VLOOKUP($AQ258,Mapping!$E$140:$K$2771,5,0)</f>
        <v>Labour</v>
      </c>
      <c r="AW258" s="7" t="str">
        <f>VLOOKUP($AQ258,Mapping!$E$140:$K$2771,7,0)</f>
        <v>ENDirect</v>
      </c>
      <c r="AX258" s="7" t="str">
        <f>IFERROR(HLOOKUP(AV258,'Calc|Weightings'!$K$5:$M$5,1,0),"Excl")</f>
        <v>Labour</v>
      </c>
      <c r="AY258" s="7" t="str">
        <f>VLOOKUP(AO258,Mapping!$E$11:$I$96,5,0)</f>
        <v>SCS</v>
      </c>
    </row>
    <row r="259" spans="1:51" x14ac:dyDescent="0.2">
      <c r="A259" s="7"/>
      <c r="B259" s="7"/>
      <c r="C259" s="7"/>
      <c r="D259" s="7"/>
      <c r="E259" s="36">
        <v>107</v>
      </c>
      <c r="F259" s="36" t="s">
        <v>2120</v>
      </c>
      <c r="G259" s="36">
        <v>531020</v>
      </c>
      <c r="H259" s="36" t="s">
        <v>219</v>
      </c>
      <c r="I259" s="37">
        <v>10.404999999999999</v>
      </c>
      <c r="J259" s="7"/>
      <c r="K259" s="7" t="str">
        <f>VLOOKUP($E259,Mapping!$E$11:$I$96,3,0)</f>
        <v>Connections</v>
      </c>
      <c r="L259" s="7" t="str">
        <f>VLOOKUP($G259,Mapping!$E$140:$K$2771,5,0)</f>
        <v>Labour</v>
      </c>
      <c r="M259" s="7" t="str">
        <f>VLOOKUP($G259,Mapping!$E$140:$K$2771,7,0)</f>
        <v>ENDirect</v>
      </c>
      <c r="N259" s="7" t="str">
        <f>IFERROR(HLOOKUP(L259,'Calc|Weightings'!$K$5:$M$5,1,0),"Excl")</f>
        <v>Labour</v>
      </c>
      <c r="O259" s="7" t="str">
        <f>VLOOKUP(E259,Mapping!$E$11:$I$96,5,0)</f>
        <v>SCS</v>
      </c>
      <c r="Q259" s="33">
        <v>107</v>
      </c>
      <c r="R259" s="33" t="s">
        <v>2120</v>
      </c>
      <c r="S259" s="33">
        <v>613411</v>
      </c>
      <c r="T259" s="33" t="s">
        <v>2101</v>
      </c>
      <c r="U259" s="34">
        <v>7.6886400000000004</v>
      </c>
      <c r="V259" s="7"/>
      <c r="W259" s="7" t="str">
        <f>VLOOKUP($Q259,Mapping!$E$11:$I$96,3,0)</f>
        <v>Connections</v>
      </c>
      <c r="X259" s="7" t="str">
        <f>VLOOKUP($S259,Mapping!$E$140:$K$2771,5,0)</f>
        <v>Labour</v>
      </c>
      <c r="Y259" s="7" t="str">
        <f>VLOOKUP($S259,Mapping!$E$140:$K$2771,7,0)</f>
        <v>ENDirect</v>
      </c>
      <c r="Z259" s="7" t="str">
        <f>IFERROR(HLOOKUP(X259,'Calc|Weightings'!$K$5:$M$5,1,0),"Excl")</f>
        <v>Labour</v>
      </c>
      <c r="AA259" s="7" t="str">
        <f>VLOOKUP(Q259,Mapping!$E$11:$I$96,5,0)</f>
        <v>SCS</v>
      </c>
      <c r="AC259" s="111">
        <v>107</v>
      </c>
      <c r="AD259" s="111" t="s">
        <v>2120</v>
      </c>
      <c r="AE259" s="111">
        <v>612210</v>
      </c>
      <c r="AF259" s="111" t="s">
        <v>1184</v>
      </c>
      <c r="AG259" s="112">
        <v>5.1298700000000004</v>
      </c>
      <c r="AI259" s="7" t="str">
        <f>VLOOKUP($AC259,Mapping!$E$11:$I$96,3,0)</f>
        <v>Connections</v>
      </c>
      <c r="AJ259" s="7" t="str">
        <f>VLOOKUP($AE259,Mapping!$E$140:$K$2771,5,0)</f>
        <v>Labour</v>
      </c>
      <c r="AK259" s="7" t="str">
        <f>VLOOKUP($AE259,Mapping!$E$140:$K$2771,7,0)</f>
        <v>ENDirect</v>
      </c>
      <c r="AL259" s="7" t="str">
        <f>IFERROR(HLOOKUP(AJ259,'Calc|Weightings'!$K$5:$M$5,1,0),"Excl")</f>
        <v>Labour</v>
      </c>
      <c r="AM259" s="7" t="str">
        <f>VLOOKUP(AC259,Mapping!$E$11:$I$96,5,0)</f>
        <v>SCS</v>
      </c>
      <c r="AO259" s="134">
        <v>107</v>
      </c>
      <c r="AP259" s="135" t="s">
        <v>2120</v>
      </c>
      <c r="AQ259" s="135">
        <v>613680</v>
      </c>
      <c r="AR259" s="135" t="s">
        <v>2107</v>
      </c>
      <c r="AS259" s="136">
        <v>18.862159999999999</v>
      </c>
      <c r="AU259" s="7" t="str">
        <f>VLOOKUP($AO259,Mapping!$E$11:$I$96,3,0)</f>
        <v>Connections</v>
      </c>
      <c r="AV259" s="7" t="str">
        <f>VLOOKUP($AQ259,Mapping!$E$140:$K$2771,5,0)</f>
        <v>Labour</v>
      </c>
      <c r="AW259" s="7" t="str">
        <f>VLOOKUP($AQ259,Mapping!$E$140:$K$2771,7,0)</f>
        <v>ENDirect</v>
      </c>
      <c r="AX259" s="7" t="str">
        <f>IFERROR(HLOOKUP(AV259,'Calc|Weightings'!$K$5:$M$5,1,0),"Excl")</f>
        <v>Labour</v>
      </c>
      <c r="AY259" s="7" t="str">
        <f>VLOOKUP(AO259,Mapping!$E$11:$I$96,5,0)</f>
        <v>SCS</v>
      </c>
    </row>
    <row r="260" spans="1:51" x14ac:dyDescent="0.2">
      <c r="A260" s="7"/>
      <c r="B260" s="7"/>
      <c r="C260" s="7"/>
      <c r="D260" s="7"/>
      <c r="E260" s="36">
        <v>107</v>
      </c>
      <c r="F260" s="36" t="s">
        <v>2120</v>
      </c>
      <c r="G260" s="36">
        <v>531035</v>
      </c>
      <c r="H260" s="36" t="s">
        <v>244</v>
      </c>
      <c r="I260" s="37">
        <v>41.841160000000002</v>
      </c>
      <c r="J260" s="7"/>
      <c r="K260" s="7" t="str">
        <f>VLOOKUP($E260,Mapping!$E$11:$I$96,3,0)</f>
        <v>Connections</v>
      </c>
      <c r="L260" s="7" t="str">
        <f>VLOOKUP($G260,Mapping!$E$140:$K$2771,5,0)</f>
        <v>Labour</v>
      </c>
      <c r="M260" s="7" t="str">
        <f>VLOOKUP($G260,Mapping!$E$140:$K$2771,7,0)</f>
        <v>ENDirect</v>
      </c>
      <c r="N260" s="7" t="str">
        <f>IFERROR(HLOOKUP(L260,'Calc|Weightings'!$K$5:$M$5,1,0),"Excl")</f>
        <v>Labour</v>
      </c>
      <c r="O260" s="7" t="str">
        <f>VLOOKUP(E260,Mapping!$E$11:$I$96,5,0)</f>
        <v>SCS</v>
      </c>
      <c r="Q260" s="33">
        <v>107</v>
      </c>
      <c r="R260" s="33" t="s">
        <v>2120</v>
      </c>
      <c r="S260" s="33">
        <v>613440</v>
      </c>
      <c r="T260" s="33" t="s">
        <v>2103</v>
      </c>
      <c r="U260" s="34">
        <v>2.37338</v>
      </c>
      <c r="V260" s="7"/>
      <c r="W260" s="7" t="str">
        <f>VLOOKUP($Q260,Mapping!$E$11:$I$96,3,0)</f>
        <v>Connections</v>
      </c>
      <c r="X260" s="7" t="str">
        <f>VLOOKUP($S260,Mapping!$E$140:$K$2771,5,0)</f>
        <v>Labour</v>
      </c>
      <c r="Y260" s="7" t="str">
        <f>VLOOKUP($S260,Mapping!$E$140:$K$2771,7,0)</f>
        <v>ENDirect</v>
      </c>
      <c r="Z260" s="7" t="str">
        <f>IFERROR(HLOOKUP(X260,'Calc|Weightings'!$K$5:$M$5,1,0),"Excl")</f>
        <v>Labour</v>
      </c>
      <c r="AA260" s="7" t="str">
        <f>VLOOKUP(Q260,Mapping!$E$11:$I$96,5,0)</f>
        <v>SCS</v>
      </c>
      <c r="AC260" s="111">
        <v>107</v>
      </c>
      <c r="AD260" s="111" t="s">
        <v>2120</v>
      </c>
      <c r="AE260" s="111">
        <v>613260</v>
      </c>
      <c r="AF260" s="111" t="s">
        <v>2090</v>
      </c>
      <c r="AG260" s="112">
        <v>14.36032</v>
      </c>
      <c r="AI260" s="7" t="str">
        <f>VLOOKUP($AC260,Mapping!$E$11:$I$96,3,0)</f>
        <v>Connections</v>
      </c>
      <c r="AJ260" s="7" t="str">
        <f>VLOOKUP($AE260,Mapping!$E$140:$K$2771,5,0)</f>
        <v>Labour</v>
      </c>
      <c r="AK260" s="7" t="str">
        <f>VLOOKUP($AE260,Mapping!$E$140:$K$2771,7,0)</f>
        <v>ENDirect</v>
      </c>
      <c r="AL260" s="7" t="str">
        <f>IFERROR(HLOOKUP(AJ260,'Calc|Weightings'!$K$5:$M$5,1,0),"Excl")</f>
        <v>Labour</v>
      </c>
      <c r="AM260" s="7" t="str">
        <f>VLOOKUP(AC260,Mapping!$E$11:$I$96,5,0)</f>
        <v>SCS</v>
      </c>
      <c r="AO260" s="134">
        <v>107</v>
      </c>
      <c r="AP260" s="135" t="s">
        <v>2120</v>
      </c>
      <c r="AQ260" s="135">
        <v>613962</v>
      </c>
      <c r="AR260" s="135" t="s">
        <v>1648</v>
      </c>
      <c r="AS260" s="136">
        <v>1.1768400000000001</v>
      </c>
      <c r="AU260" s="7" t="str">
        <f>VLOOKUP($AO260,Mapping!$E$11:$I$96,3,0)</f>
        <v>Connections</v>
      </c>
      <c r="AV260" s="7" t="str">
        <f>VLOOKUP($AQ260,Mapping!$E$140:$K$2771,5,0)</f>
        <v>Contracts</v>
      </c>
      <c r="AW260" s="7" t="str">
        <f>VLOOKUP($AQ260,Mapping!$E$140:$K$2771,7,0)</f>
        <v>ENDirect</v>
      </c>
      <c r="AX260" s="7" t="str">
        <f>IFERROR(HLOOKUP(AV260,'Calc|Weightings'!$K$5:$M$5,1,0),"Excl")</f>
        <v>Contracts</v>
      </c>
      <c r="AY260" s="7" t="str">
        <f>VLOOKUP(AO260,Mapping!$E$11:$I$96,5,0)</f>
        <v>SCS</v>
      </c>
    </row>
    <row r="261" spans="1:51" x14ac:dyDescent="0.2">
      <c r="A261" s="7"/>
      <c r="B261" s="7"/>
      <c r="C261" s="7"/>
      <c r="D261" s="7"/>
      <c r="E261" s="36">
        <v>107</v>
      </c>
      <c r="F261" s="36" t="s">
        <v>2120</v>
      </c>
      <c r="G261" s="36">
        <v>531200</v>
      </c>
      <c r="H261" s="36" t="s">
        <v>250</v>
      </c>
      <c r="I261" s="37">
        <v>99.370549999999994</v>
      </c>
      <c r="J261" s="7"/>
      <c r="K261" s="7" t="str">
        <f>VLOOKUP($E261,Mapping!$E$11:$I$96,3,0)</f>
        <v>Connections</v>
      </c>
      <c r="L261" s="7" t="str">
        <f>VLOOKUP($G261,Mapping!$E$140:$K$2771,5,0)</f>
        <v>Contracts</v>
      </c>
      <c r="M261" s="7" t="str">
        <f>VLOOKUP($G261,Mapping!$E$140:$K$2771,7,0)</f>
        <v>ENDirect</v>
      </c>
      <c r="N261" s="7" t="str">
        <f>IFERROR(HLOOKUP(L261,'Calc|Weightings'!$K$5:$M$5,1,0),"Excl")</f>
        <v>Contracts</v>
      </c>
      <c r="O261" s="7" t="str">
        <f>VLOOKUP(E261,Mapping!$E$11:$I$96,5,0)</f>
        <v>SCS</v>
      </c>
      <c r="Q261" s="33">
        <v>107</v>
      </c>
      <c r="R261" s="33" t="s">
        <v>2120</v>
      </c>
      <c r="S261" s="33">
        <v>613441</v>
      </c>
      <c r="T261" s="33" t="s">
        <v>2104</v>
      </c>
      <c r="U261" s="34">
        <v>0.13561999999999999</v>
      </c>
      <c r="V261" s="7"/>
      <c r="W261" s="7" t="str">
        <f>VLOOKUP($Q261,Mapping!$E$11:$I$96,3,0)</f>
        <v>Connections</v>
      </c>
      <c r="X261" s="7" t="str">
        <f>VLOOKUP($S261,Mapping!$E$140:$K$2771,5,0)</f>
        <v>Labour</v>
      </c>
      <c r="Y261" s="7" t="str">
        <f>VLOOKUP($S261,Mapping!$E$140:$K$2771,7,0)</f>
        <v>ENDirect</v>
      </c>
      <c r="Z261" s="7" t="str">
        <f>IFERROR(HLOOKUP(X261,'Calc|Weightings'!$K$5:$M$5,1,0),"Excl")</f>
        <v>Labour</v>
      </c>
      <c r="AA261" s="7" t="str">
        <f>VLOOKUP(Q261,Mapping!$E$11:$I$96,5,0)</f>
        <v>SCS</v>
      </c>
      <c r="AC261" s="111">
        <v>107</v>
      </c>
      <c r="AD261" s="111" t="s">
        <v>2120</v>
      </c>
      <c r="AE261" s="111">
        <v>613261</v>
      </c>
      <c r="AF261" s="111" t="s">
        <v>2091</v>
      </c>
      <c r="AG261" s="112">
        <v>4.39175</v>
      </c>
      <c r="AI261" s="7" t="str">
        <f>VLOOKUP($AC261,Mapping!$E$11:$I$96,3,0)</f>
        <v>Connections</v>
      </c>
      <c r="AJ261" s="7" t="str">
        <f>VLOOKUP($AE261,Mapping!$E$140:$K$2771,5,0)</f>
        <v>Labour</v>
      </c>
      <c r="AK261" s="7" t="str">
        <f>VLOOKUP($AE261,Mapping!$E$140:$K$2771,7,0)</f>
        <v>ENDirect</v>
      </c>
      <c r="AL261" s="7" t="str">
        <f>IFERROR(HLOOKUP(AJ261,'Calc|Weightings'!$K$5:$M$5,1,0),"Excl")</f>
        <v>Labour</v>
      </c>
      <c r="AM261" s="7" t="str">
        <f>VLOOKUP(AC261,Mapping!$E$11:$I$96,5,0)</f>
        <v>SCS</v>
      </c>
      <c r="AO261" s="134">
        <v>107</v>
      </c>
      <c r="AP261" s="135" t="s">
        <v>2120</v>
      </c>
      <c r="AQ261" s="135">
        <v>613964</v>
      </c>
      <c r="AR261" s="135" t="s">
        <v>1650</v>
      </c>
      <c r="AS261" s="136">
        <v>0.58316000000000001</v>
      </c>
      <c r="AU261" s="7" t="str">
        <f>VLOOKUP($AO261,Mapping!$E$11:$I$96,3,0)</f>
        <v>Connections</v>
      </c>
      <c r="AV261" s="7" t="str">
        <f>VLOOKUP($AQ261,Mapping!$E$140:$K$2771,5,0)</f>
        <v>Contracts</v>
      </c>
      <c r="AW261" s="7" t="str">
        <f>VLOOKUP($AQ261,Mapping!$E$140:$K$2771,7,0)</f>
        <v>ENDirect</v>
      </c>
      <c r="AX261" s="7" t="str">
        <f>IFERROR(HLOOKUP(AV261,'Calc|Weightings'!$K$5:$M$5,1,0),"Excl")</f>
        <v>Contracts</v>
      </c>
      <c r="AY261" s="7" t="str">
        <f>VLOOKUP(AO261,Mapping!$E$11:$I$96,5,0)</f>
        <v>SCS</v>
      </c>
    </row>
    <row r="262" spans="1:51" x14ac:dyDescent="0.2">
      <c r="A262" s="7"/>
      <c r="B262" s="7"/>
      <c r="C262" s="7"/>
      <c r="D262" s="7"/>
      <c r="E262" s="36">
        <v>107</v>
      </c>
      <c r="F262" s="36" t="s">
        <v>2120</v>
      </c>
      <c r="G262" s="36">
        <v>531464</v>
      </c>
      <c r="H262" s="36" t="s">
        <v>256</v>
      </c>
      <c r="I262" s="37">
        <v>955.18960000000004</v>
      </c>
      <c r="J262" s="7"/>
      <c r="K262" s="7" t="str">
        <f>VLOOKUP($E262,Mapping!$E$11:$I$96,3,0)</f>
        <v>Connections</v>
      </c>
      <c r="L262" s="7" t="str">
        <f>VLOOKUP($G262,Mapping!$E$140:$K$2771,5,0)</f>
        <v>Contracts</v>
      </c>
      <c r="M262" s="7" t="str">
        <f>VLOOKUP($G262,Mapping!$E$140:$K$2771,7,0)</f>
        <v>ENDirect</v>
      </c>
      <c r="N262" s="7" t="str">
        <f>IFERROR(HLOOKUP(L262,'Calc|Weightings'!$K$5:$M$5,1,0),"Excl")</f>
        <v>Contracts</v>
      </c>
      <c r="O262" s="7" t="str">
        <f>VLOOKUP(E262,Mapping!$E$11:$I$96,5,0)</f>
        <v>SCS</v>
      </c>
      <c r="Q262" s="33">
        <v>107</v>
      </c>
      <c r="R262" s="33" t="s">
        <v>2120</v>
      </c>
      <c r="S262" s="33">
        <v>613448</v>
      </c>
      <c r="T262" s="33" t="s">
        <v>2105</v>
      </c>
      <c r="U262" s="34">
        <v>51.482250000000001</v>
      </c>
      <c r="V262" s="7"/>
      <c r="W262" s="7" t="str">
        <f>VLOOKUP($Q262,Mapping!$E$11:$I$96,3,0)</f>
        <v>Connections</v>
      </c>
      <c r="X262" s="7" t="str">
        <f>VLOOKUP($S262,Mapping!$E$140:$K$2771,5,0)</f>
        <v>Labour</v>
      </c>
      <c r="Y262" s="7" t="str">
        <f>VLOOKUP($S262,Mapping!$E$140:$K$2771,7,0)</f>
        <v>ENDirect</v>
      </c>
      <c r="Z262" s="7" t="str">
        <f>IFERROR(HLOOKUP(X262,'Calc|Weightings'!$K$5:$M$5,1,0),"Excl")</f>
        <v>Labour</v>
      </c>
      <c r="AA262" s="7" t="str">
        <f>VLOOKUP(Q262,Mapping!$E$11:$I$96,5,0)</f>
        <v>SCS</v>
      </c>
      <c r="AC262" s="111">
        <v>107</v>
      </c>
      <c r="AD262" s="111" t="s">
        <v>2120</v>
      </c>
      <c r="AE262" s="111">
        <v>613280</v>
      </c>
      <c r="AF262" s="111" t="s">
        <v>1342</v>
      </c>
      <c r="AG262" s="112">
        <v>15.692159999999999</v>
      </c>
      <c r="AI262" s="7" t="str">
        <f>VLOOKUP($AC262,Mapping!$E$11:$I$96,3,0)</f>
        <v>Connections</v>
      </c>
      <c r="AJ262" s="7" t="str">
        <f>VLOOKUP($AE262,Mapping!$E$140:$K$2771,5,0)</f>
        <v>Labour</v>
      </c>
      <c r="AK262" s="7" t="str">
        <f>VLOOKUP($AE262,Mapping!$E$140:$K$2771,7,0)</f>
        <v>ENDirect</v>
      </c>
      <c r="AL262" s="7" t="str">
        <f>IFERROR(HLOOKUP(AJ262,'Calc|Weightings'!$K$5:$M$5,1,0),"Excl")</f>
        <v>Labour</v>
      </c>
      <c r="AM262" s="7" t="str">
        <f>VLOOKUP(AC262,Mapping!$E$11:$I$96,5,0)</f>
        <v>SCS</v>
      </c>
      <c r="AO262" s="134">
        <v>107</v>
      </c>
      <c r="AP262" s="135" t="s">
        <v>2120</v>
      </c>
      <c r="AQ262" s="135">
        <v>614115</v>
      </c>
      <c r="AR262" s="135" t="s">
        <v>2109</v>
      </c>
      <c r="AS262" s="136">
        <v>0.315</v>
      </c>
      <c r="AU262" s="7" t="str">
        <f>VLOOKUP($AO262,Mapping!$E$11:$I$96,3,0)</f>
        <v>Connections</v>
      </c>
      <c r="AV262" s="7" t="str">
        <f>VLOOKUP($AQ262,Mapping!$E$140:$K$2771,5,0)</f>
        <v>Labour</v>
      </c>
      <c r="AW262" s="7" t="str">
        <f>VLOOKUP($AQ262,Mapping!$E$140:$K$2771,7,0)</f>
        <v>ENDirect</v>
      </c>
      <c r="AX262" s="7" t="str">
        <f>IFERROR(HLOOKUP(AV262,'Calc|Weightings'!$K$5:$M$5,1,0),"Excl")</f>
        <v>Labour</v>
      </c>
      <c r="AY262" s="7" t="str">
        <f>VLOOKUP(AO262,Mapping!$E$11:$I$96,5,0)</f>
        <v>SCS</v>
      </c>
    </row>
    <row r="263" spans="1:51" x14ac:dyDescent="0.2">
      <c r="A263" s="7"/>
      <c r="B263" s="7"/>
      <c r="C263" s="7"/>
      <c r="D263" s="7"/>
      <c r="E263" s="36">
        <v>107</v>
      </c>
      <c r="F263" s="36" t="s">
        <v>2120</v>
      </c>
      <c r="G263" s="36">
        <v>531467</v>
      </c>
      <c r="H263" s="36" t="s">
        <v>259</v>
      </c>
      <c r="I263" s="37">
        <v>42.541840000000001</v>
      </c>
      <c r="J263" s="7"/>
      <c r="K263" s="7" t="str">
        <f>VLOOKUP($E263,Mapping!$E$11:$I$96,3,0)</f>
        <v>Connections</v>
      </c>
      <c r="L263" s="7" t="str">
        <f>VLOOKUP($G263,Mapping!$E$140:$K$2771,5,0)</f>
        <v>Contracts</v>
      </c>
      <c r="M263" s="7" t="str">
        <f>VLOOKUP($G263,Mapping!$E$140:$K$2771,7,0)</f>
        <v>ENDirect</v>
      </c>
      <c r="N263" s="7" t="str">
        <f>IFERROR(HLOOKUP(L263,'Calc|Weightings'!$K$5:$M$5,1,0),"Excl")</f>
        <v>Contracts</v>
      </c>
      <c r="O263" s="7" t="str">
        <f>VLOOKUP(E263,Mapping!$E$11:$I$96,5,0)</f>
        <v>SCS</v>
      </c>
      <c r="Q263" s="33">
        <v>107</v>
      </c>
      <c r="R263" s="33" t="s">
        <v>2120</v>
      </c>
      <c r="S263" s="33">
        <v>613449</v>
      </c>
      <c r="T263" s="33" t="s">
        <v>2106</v>
      </c>
      <c r="U263" s="34">
        <v>5.8770800000000003</v>
      </c>
      <c r="V263" s="7"/>
      <c r="W263" s="7" t="str">
        <f>VLOOKUP($Q263,Mapping!$E$11:$I$96,3,0)</f>
        <v>Connections</v>
      </c>
      <c r="X263" s="7" t="str">
        <f>VLOOKUP($S263,Mapping!$E$140:$K$2771,5,0)</f>
        <v>Labour</v>
      </c>
      <c r="Y263" s="7" t="str">
        <f>VLOOKUP($S263,Mapping!$E$140:$K$2771,7,0)</f>
        <v>ENDirect</v>
      </c>
      <c r="Z263" s="7" t="str">
        <f>IFERROR(HLOOKUP(X263,'Calc|Weightings'!$K$5:$M$5,1,0),"Excl")</f>
        <v>Labour</v>
      </c>
      <c r="AA263" s="7" t="str">
        <f>VLOOKUP(Q263,Mapping!$E$11:$I$96,5,0)</f>
        <v>SCS</v>
      </c>
      <c r="AC263" s="111">
        <v>107</v>
      </c>
      <c r="AD263" s="111" t="s">
        <v>2120</v>
      </c>
      <c r="AE263" s="111">
        <v>613281</v>
      </c>
      <c r="AF263" s="111" t="s">
        <v>1343</v>
      </c>
      <c r="AG263" s="112">
        <v>0.68915000000000004</v>
      </c>
      <c r="AI263" s="7" t="str">
        <f>VLOOKUP($AC263,Mapping!$E$11:$I$96,3,0)</f>
        <v>Connections</v>
      </c>
      <c r="AJ263" s="7" t="str">
        <f>VLOOKUP($AE263,Mapping!$E$140:$K$2771,5,0)</f>
        <v>Labour</v>
      </c>
      <c r="AK263" s="7" t="str">
        <f>VLOOKUP($AE263,Mapping!$E$140:$K$2771,7,0)</f>
        <v>ENDirect</v>
      </c>
      <c r="AL263" s="7" t="str">
        <f>IFERROR(HLOOKUP(AJ263,'Calc|Weightings'!$K$5:$M$5,1,0),"Excl")</f>
        <v>Labour</v>
      </c>
      <c r="AM263" s="7" t="str">
        <f>VLOOKUP(AC263,Mapping!$E$11:$I$96,5,0)</f>
        <v>SCS</v>
      </c>
      <c r="AO263" s="134">
        <v>107</v>
      </c>
      <c r="AP263" s="135" t="s">
        <v>2120</v>
      </c>
      <c r="AQ263" s="135">
        <v>615395</v>
      </c>
      <c r="AR263" s="135" t="s">
        <v>2196</v>
      </c>
      <c r="AS263" s="136">
        <v>1.2995000000000001</v>
      </c>
      <c r="AU263" s="7" t="str">
        <f>VLOOKUP($AO263,Mapping!$E$11:$I$96,3,0)</f>
        <v>Connections</v>
      </c>
      <c r="AV263" s="7" t="str">
        <f>VLOOKUP($AQ263,Mapping!$E$140:$K$2771,5,0)</f>
        <v>Labour</v>
      </c>
      <c r="AW263" s="7" t="str">
        <f>VLOOKUP($AQ263,Mapping!$E$140:$K$2771,7,0)</f>
        <v>ENDirect</v>
      </c>
      <c r="AX263" s="7" t="str">
        <f>IFERROR(HLOOKUP(AV263,'Calc|Weightings'!$K$5:$M$5,1,0),"Excl")</f>
        <v>Labour</v>
      </c>
      <c r="AY263" s="7" t="str">
        <f>VLOOKUP(AO263,Mapping!$E$11:$I$96,5,0)</f>
        <v>SCS</v>
      </c>
    </row>
    <row r="264" spans="1:51" x14ac:dyDescent="0.2">
      <c r="A264" s="7"/>
      <c r="B264" s="7"/>
      <c r="C264" s="7"/>
      <c r="D264" s="7"/>
      <c r="E264" s="36">
        <v>107</v>
      </c>
      <c r="F264" s="36" t="s">
        <v>2120</v>
      </c>
      <c r="G264" s="36">
        <v>531468</v>
      </c>
      <c r="H264" s="36" t="s">
        <v>260</v>
      </c>
      <c r="I264" s="37">
        <v>81.303370000000001</v>
      </c>
      <c r="J264" s="7"/>
      <c r="K264" s="7" t="str">
        <f>VLOOKUP($E264,Mapping!$E$11:$I$96,3,0)</f>
        <v>Connections</v>
      </c>
      <c r="L264" s="7" t="str">
        <f>VLOOKUP($G264,Mapping!$E$140:$K$2771,5,0)</f>
        <v>Contracts</v>
      </c>
      <c r="M264" s="7" t="str">
        <f>VLOOKUP($G264,Mapping!$E$140:$K$2771,7,0)</f>
        <v>ENDirect</v>
      </c>
      <c r="N264" s="7" t="str">
        <f>IFERROR(HLOOKUP(L264,'Calc|Weightings'!$K$5:$M$5,1,0),"Excl")</f>
        <v>Contracts</v>
      </c>
      <c r="O264" s="7" t="str">
        <f>VLOOKUP(E264,Mapping!$E$11:$I$96,5,0)</f>
        <v>SCS</v>
      </c>
      <c r="Q264" s="33">
        <v>107</v>
      </c>
      <c r="R264" s="33" t="s">
        <v>2120</v>
      </c>
      <c r="S264" s="33">
        <v>613566</v>
      </c>
      <c r="T264" s="33" t="s">
        <v>1482</v>
      </c>
      <c r="U264" s="34">
        <v>34.853470000000002</v>
      </c>
      <c r="V264" s="7"/>
      <c r="W264" s="7" t="str">
        <f>VLOOKUP($Q264,Mapping!$E$11:$I$96,3,0)</f>
        <v>Connections</v>
      </c>
      <c r="X264" s="7" t="str">
        <f>VLOOKUP($S264,Mapping!$E$140:$K$2771,5,0)</f>
        <v>Labour</v>
      </c>
      <c r="Y264" s="7" t="str">
        <f>VLOOKUP($S264,Mapping!$E$140:$K$2771,7,0)</f>
        <v>ENDirect</v>
      </c>
      <c r="Z264" s="7" t="str">
        <f>IFERROR(HLOOKUP(X264,'Calc|Weightings'!$K$5:$M$5,1,0),"Excl")</f>
        <v>Labour</v>
      </c>
      <c r="AA264" s="7" t="str">
        <f>VLOOKUP(Q264,Mapping!$E$11:$I$96,5,0)</f>
        <v>SCS</v>
      </c>
      <c r="AC264" s="111">
        <v>107</v>
      </c>
      <c r="AD264" s="111" t="s">
        <v>2120</v>
      </c>
      <c r="AE264" s="111">
        <v>613290</v>
      </c>
      <c r="AF264" s="111" t="s">
        <v>2093</v>
      </c>
      <c r="AG264" s="112">
        <v>238.60639</v>
      </c>
      <c r="AI264" s="7" t="str">
        <f>VLOOKUP($AC264,Mapping!$E$11:$I$96,3,0)</f>
        <v>Connections</v>
      </c>
      <c r="AJ264" s="7" t="str">
        <f>VLOOKUP($AE264,Mapping!$E$140:$K$2771,5,0)</f>
        <v>Labour</v>
      </c>
      <c r="AK264" s="7" t="str">
        <f>VLOOKUP($AE264,Mapping!$E$140:$K$2771,7,0)</f>
        <v>ENDirect</v>
      </c>
      <c r="AL264" s="7" t="str">
        <f>IFERROR(HLOOKUP(AJ264,'Calc|Weightings'!$K$5:$M$5,1,0),"Excl")</f>
        <v>Labour</v>
      </c>
      <c r="AM264" s="7" t="str">
        <f>VLOOKUP(AC264,Mapping!$E$11:$I$96,5,0)</f>
        <v>SCS</v>
      </c>
      <c r="AO264" s="134">
        <v>107</v>
      </c>
      <c r="AP264" s="135" t="s">
        <v>2120</v>
      </c>
      <c r="AQ264" s="135">
        <v>634001</v>
      </c>
      <c r="AR264" s="135" t="s">
        <v>2110</v>
      </c>
      <c r="AS264" s="136">
        <v>73.724180000000004</v>
      </c>
      <c r="AU264" s="7" t="str">
        <f>VLOOKUP($AO264,Mapping!$E$11:$I$96,3,0)</f>
        <v>Connections</v>
      </c>
      <c r="AV264" s="7" t="str">
        <f>VLOOKUP($AQ264,Mapping!$E$140:$K$2771,5,0)</f>
        <v>Local OH</v>
      </c>
      <c r="AW264" s="7" t="str">
        <f>VLOOKUP($AQ264,Mapping!$E$140:$K$2771,7,0)</f>
        <v>OH</v>
      </c>
      <c r="AX264" s="7" t="str">
        <f>IFERROR(HLOOKUP(AV264,'Calc|Weightings'!$K$5:$M$5,1,0),"Excl")</f>
        <v>Excl</v>
      </c>
      <c r="AY264" s="7" t="str">
        <f>VLOOKUP(AO264,Mapping!$E$11:$I$96,5,0)</f>
        <v>SCS</v>
      </c>
    </row>
    <row r="265" spans="1:51" x14ac:dyDescent="0.2">
      <c r="A265" s="7"/>
      <c r="B265" s="7"/>
      <c r="C265" s="7"/>
      <c r="D265" s="7"/>
      <c r="E265" s="36">
        <v>107</v>
      </c>
      <c r="F265" s="36" t="s">
        <v>2120</v>
      </c>
      <c r="G265" s="36">
        <v>531495</v>
      </c>
      <c r="H265" s="36" t="s">
        <v>2353</v>
      </c>
      <c r="I265" s="37">
        <v>4.1787200000000002</v>
      </c>
      <c r="J265" s="7"/>
      <c r="K265" s="7" t="str">
        <f>VLOOKUP($E265,Mapping!$E$11:$I$96,3,0)</f>
        <v>Connections</v>
      </c>
      <c r="L265" s="7" t="str">
        <f>VLOOKUP($G265,Mapping!$E$140:$K$2771,5,0)</f>
        <v>Contracts</v>
      </c>
      <c r="M265" s="7" t="str">
        <f>VLOOKUP($G265,Mapping!$E$140:$K$2771,7,0)</f>
        <v>ENDirect</v>
      </c>
      <c r="N265" s="7" t="str">
        <f>IFERROR(HLOOKUP(L265,'Calc|Weightings'!$K$5:$M$5,1,0),"Excl")</f>
        <v>Contracts</v>
      </c>
      <c r="O265" s="7" t="str">
        <f>VLOOKUP(E265,Mapping!$E$11:$I$96,5,0)</f>
        <v>SCS</v>
      </c>
      <c r="Q265" s="33">
        <v>107</v>
      </c>
      <c r="R265" s="33" t="s">
        <v>2120</v>
      </c>
      <c r="S265" s="33">
        <v>613567</v>
      </c>
      <c r="T265" s="33" t="s">
        <v>1483</v>
      </c>
      <c r="U265" s="34">
        <v>2.0183900000000001</v>
      </c>
      <c r="V265" s="7"/>
      <c r="W265" s="7" t="str">
        <f>VLOOKUP($Q265,Mapping!$E$11:$I$96,3,0)</f>
        <v>Connections</v>
      </c>
      <c r="X265" s="7" t="str">
        <f>VLOOKUP($S265,Mapping!$E$140:$K$2771,5,0)</f>
        <v>Labour</v>
      </c>
      <c r="Y265" s="7" t="str">
        <f>VLOOKUP($S265,Mapping!$E$140:$K$2771,7,0)</f>
        <v>ENDirect</v>
      </c>
      <c r="Z265" s="7" t="str">
        <f>IFERROR(HLOOKUP(X265,'Calc|Weightings'!$K$5:$M$5,1,0),"Excl")</f>
        <v>Labour</v>
      </c>
      <c r="AA265" s="7" t="str">
        <f>VLOOKUP(Q265,Mapping!$E$11:$I$96,5,0)</f>
        <v>SCS</v>
      </c>
      <c r="AC265" s="111">
        <v>107</v>
      </c>
      <c r="AD265" s="111" t="s">
        <v>2120</v>
      </c>
      <c r="AE265" s="111">
        <v>613298</v>
      </c>
      <c r="AF265" s="111" t="s">
        <v>2122</v>
      </c>
      <c r="AG265" s="112">
        <v>-2.4547099999999999</v>
      </c>
      <c r="AI265" s="7" t="str">
        <f>VLOOKUP($AC265,Mapping!$E$11:$I$96,3,0)</f>
        <v>Connections</v>
      </c>
      <c r="AJ265" s="7" t="str">
        <f>VLOOKUP($AE265,Mapping!$E$140:$K$2771,5,0)</f>
        <v>Labour</v>
      </c>
      <c r="AK265" s="7" t="str">
        <f>VLOOKUP($AE265,Mapping!$E$140:$K$2771,7,0)</f>
        <v>ENDirect</v>
      </c>
      <c r="AL265" s="7" t="str">
        <f>IFERROR(HLOOKUP(AJ265,'Calc|Weightings'!$K$5:$M$5,1,0),"Excl")</f>
        <v>Labour</v>
      </c>
      <c r="AM265" s="7" t="str">
        <f>VLOOKUP(AC265,Mapping!$E$11:$I$96,5,0)</f>
        <v>SCS</v>
      </c>
      <c r="AO265" s="134">
        <v>107</v>
      </c>
      <c r="AP265" s="135" t="s">
        <v>2120</v>
      </c>
      <c r="AQ265" s="135">
        <v>635001</v>
      </c>
      <c r="AR265" s="135" t="s">
        <v>1929</v>
      </c>
      <c r="AS265" s="136">
        <v>60.004620000000003</v>
      </c>
      <c r="AU265" s="7" t="str">
        <f>VLOOKUP($AO265,Mapping!$E$11:$I$96,3,0)</f>
        <v>Connections</v>
      </c>
      <c r="AV265" s="7" t="str">
        <f>VLOOKUP($AQ265,Mapping!$E$140:$K$2771,5,0)</f>
        <v>PNS MG</v>
      </c>
      <c r="AW265" s="7" t="str">
        <f>VLOOKUP($AQ265,Mapping!$E$140:$K$2771,7,0)</f>
        <v>ENDirect</v>
      </c>
      <c r="AX265" s="7" t="str">
        <f>IFERROR(HLOOKUP(AV265,'Calc|Weightings'!$K$5:$M$5,1,0),"Excl")</f>
        <v>Excl</v>
      </c>
      <c r="AY265" s="7" t="str">
        <f>VLOOKUP(AO265,Mapping!$E$11:$I$96,5,0)</f>
        <v>SCS</v>
      </c>
    </row>
    <row r="266" spans="1:51" x14ac:dyDescent="0.2">
      <c r="A266" s="7"/>
      <c r="B266" s="7"/>
      <c r="C266" s="7"/>
      <c r="D266" s="7"/>
      <c r="E266" s="36">
        <v>107</v>
      </c>
      <c r="F266" s="36" t="s">
        <v>2120</v>
      </c>
      <c r="G266" s="36">
        <v>591997</v>
      </c>
      <c r="H266" s="36" t="s">
        <v>2194</v>
      </c>
      <c r="I266" s="37">
        <v>-4.40001</v>
      </c>
      <c r="J266" s="7"/>
      <c r="K266" s="7" t="str">
        <f>VLOOKUP($E266,Mapping!$E$11:$I$96,3,0)</f>
        <v>Connections</v>
      </c>
      <c r="L266" s="7" t="str">
        <f>VLOOKUP($G266,Mapping!$E$140:$K$2771,5,0)</f>
        <v>Contracts</v>
      </c>
      <c r="M266" s="7" t="str">
        <f>VLOOKUP($G266,Mapping!$E$140:$K$2771,7,0)</f>
        <v>ENDirect</v>
      </c>
      <c r="N266" s="7" t="str">
        <f>IFERROR(HLOOKUP(L266,'Calc|Weightings'!$K$5:$M$5,1,0),"Excl")</f>
        <v>Contracts</v>
      </c>
      <c r="O266" s="7" t="str">
        <f>VLOOKUP(E266,Mapping!$E$11:$I$96,5,0)</f>
        <v>SCS</v>
      </c>
      <c r="Q266" s="33">
        <v>107</v>
      </c>
      <c r="R266" s="33" t="s">
        <v>2120</v>
      </c>
      <c r="S266" s="33">
        <v>613570</v>
      </c>
      <c r="T266" s="33" t="s">
        <v>1484</v>
      </c>
      <c r="U266" s="34">
        <v>2.0393599999999998</v>
      </c>
      <c r="V266" s="7"/>
      <c r="W266" s="7" t="str">
        <f>VLOOKUP($Q266,Mapping!$E$11:$I$96,3,0)</f>
        <v>Connections</v>
      </c>
      <c r="X266" s="7" t="str">
        <f>VLOOKUP($S266,Mapping!$E$140:$K$2771,5,0)</f>
        <v>Labour</v>
      </c>
      <c r="Y266" s="7" t="str">
        <f>VLOOKUP($S266,Mapping!$E$140:$K$2771,7,0)</f>
        <v>ENDirect</v>
      </c>
      <c r="Z266" s="7" t="str">
        <f>IFERROR(HLOOKUP(X266,'Calc|Weightings'!$K$5:$M$5,1,0),"Excl")</f>
        <v>Labour</v>
      </c>
      <c r="AA266" s="7" t="str">
        <f>VLOOKUP(Q266,Mapping!$E$11:$I$96,5,0)</f>
        <v>SCS</v>
      </c>
      <c r="AC266" s="111">
        <v>107</v>
      </c>
      <c r="AD266" s="111" t="s">
        <v>2120</v>
      </c>
      <c r="AE266" s="111">
        <v>613310</v>
      </c>
      <c r="AF266" s="111" t="s">
        <v>2095</v>
      </c>
      <c r="AG266" s="112">
        <v>41.072859999999999</v>
      </c>
      <c r="AI266" s="7" t="str">
        <f>VLOOKUP($AC266,Mapping!$E$11:$I$96,3,0)</f>
        <v>Connections</v>
      </c>
      <c r="AJ266" s="7" t="str">
        <f>VLOOKUP($AE266,Mapping!$E$140:$K$2771,5,0)</f>
        <v>Labour</v>
      </c>
      <c r="AK266" s="7" t="str">
        <f>VLOOKUP($AE266,Mapping!$E$140:$K$2771,7,0)</f>
        <v>ENDirect</v>
      </c>
      <c r="AL266" s="7" t="str">
        <f>IFERROR(HLOOKUP(AJ266,'Calc|Weightings'!$K$5:$M$5,1,0),"Excl")</f>
        <v>Labour</v>
      </c>
      <c r="AM266" s="7" t="str">
        <f>VLOOKUP(AC266,Mapping!$E$11:$I$96,5,0)</f>
        <v>SCS</v>
      </c>
      <c r="AO266" s="134">
        <v>107</v>
      </c>
      <c r="AP266" s="135" t="s">
        <v>2120</v>
      </c>
      <c r="AQ266" s="135">
        <v>636001</v>
      </c>
      <c r="AR266" s="135" t="s">
        <v>2111</v>
      </c>
      <c r="AS266" s="136">
        <v>41.655889999999999</v>
      </c>
      <c r="AU266" s="7" t="str">
        <f>VLOOKUP($AO266,Mapping!$E$11:$I$96,3,0)</f>
        <v>Connections</v>
      </c>
      <c r="AV266" s="7" t="str">
        <f>VLOOKUP($AQ266,Mapping!$E$140:$K$2771,5,0)</f>
        <v>System Control OH</v>
      </c>
      <c r="AW266" s="7" t="str">
        <f>VLOOKUP($AQ266,Mapping!$E$140:$K$2771,7,0)</f>
        <v>OH</v>
      </c>
      <c r="AX266" s="7" t="str">
        <f>IFERROR(HLOOKUP(AV266,'Calc|Weightings'!$K$5:$M$5,1,0),"Excl")</f>
        <v>Excl</v>
      </c>
      <c r="AY266" s="7" t="str">
        <f>VLOOKUP(AO266,Mapping!$E$11:$I$96,5,0)</f>
        <v>SCS</v>
      </c>
    </row>
    <row r="267" spans="1:51" x14ac:dyDescent="0.2">
      <c r="A267" s="7"/>
      <c r="B267" s="7"/>
      <c r="C267" s="7"/>
      <c r="D267" s="7"/>
      <c r="E267" s="36">
        <v>107</v>
      </c>
      <c r="F267" s="36" t="s">
        <v>2120</v>
      </c>
      <c r="G267" s="36">
        <v>591998</v>
      </c>
      <c r="H267" s="36" t="s">
        <v>2077</v>
      </c>
      <c r="I267" s="37">
        <v>2.0000000000000002E-5</v>
      </c>
      <c r="J267" s="7"/>
      <c r="K267" s="7" t="str">
        <f>VLOOKUP($E267,Mapping!$E$11:$I$96,3,0)</f>
        <v>Connections</v>
      </c>
      <c r="L267" s="7" t="str">
        <f>VLOOKUP($G267,Mapping!$E$140:$K$2771,5,0)</f>
        <v>Contracts</v>
      </c>
      <c r="M267" s="7" t="str">
        <f>VLOOKUP($G267,Mapping!$E$140:$K$2771,7,0)</f>
        <v>ENDirect</v>
      </c>
      <c r="N267" s="7" t="str">
        <f>IFERROR(HLOOKUP(L267,'Calc|Weightings'!$K$5:$M$5,1,0),"Excl")</f>
        <v>Contracts</v>
      </c>
      <c r="O267" s="7" t="str">
        <f>VLOOKUP(E267,Mapping!$E$11:$I$96,5,0)</f>
        <v>SCS</v>
      </c>
      <c r="Q267" s="33">
        <v>107</v>
      </c>
      <c r="R267" s="33" t="s">
        <v>2120</v>
      </c>
      <c r="S267" s="33">
        <v>613571</v>
      </c>
      <c r="T267" s="33" t="s">
        <v>1485</v>
      </c>
      <c r="U267" s="34">
        <v>1.07891</v>
      </c>
      <c r="V267" s="7"/>
      <c r="W267" s="7" t="str">
        <f>VLOOKUP($Q267,Mapping!$E$11:$I$96,3,0)</f>
        <v>Connections</v>
      </c>
      <c r="X267" s="7" t="str">
        <f>VLOOKUP($S267,Mapping!$E$140:$K$2771,5,0)</f>
        <v>Labour</v>
      </c>
      <c r="Y267" s="7" t="str">
        <f>VLOOKUP($S267,Mapping!$E$140:$K$2771,7,0)</f>
        <v>ENDirect</v>
      </c>
      <c r="Z267" s="7" t="str">
        <f>IFERROR(HLOOKUP(X267,'Calc|Weightings'!$K$5:$M$5,1,0),"Excl")</f>
        <v>Labour</v>
      </c>
      <c r="AA267" s="7" t="str">
        <f>VLOOKUP(Q267,Mapping!$E$11:$I$96,5,0)</f>
        <v>SCS</v>
      </c>
      <c r="AC267" s="111">
        <v>107</v>
      </c>
      <c r="AD267" s="111" t="s">
        <v>2120</v>
      </c>
      <c r="AE267" s="111">
        <v>613311</v>
      </c>
      <c r="AF267" s="111" t="s">
        <v>2116</v>
      </c>
      <c r="AG267" s="112">
        <v>0.42698000000000003</v>
      </c>
      <c r="AI267" s="7" t="str">
        <f>VLOOKUP($AC267,Mapping!$E$11:$I$96,3,0)</f>
        <v>Connections</v>
      </c>
      <c r="AJ267" s="7" t="str">
        <f>VLOOKUP($AE267,Mapping!$E$140:$K$2771,5,0)</f>
        <v>Labour</v>
      </c>
      <c r="AK267" s="7" t="str">
        <f>VLOOKUP($AE267,Mapping!$E$140:$K$2771,7,0)</f>
        <v>ENDirect</v>
      </c>
      <c r="AL267" s="7" t="str">
        <f>IFERROR(HLOOKUP(AJ267,'Calc|Weightings'!$K$5:$M$5,1,0),"Excl")</f>
        <v>Labour</v>
      </c>
      <c r="AM267" s="7" t="str">
        <f>VLOOKUP(AC267,Mapping!$E$11:$I$96,5,0)</f>
        <v>SCS</v>
      </c>
      <c r="AO267" s="134">
        <v>107</v>
      </c>
      <c r="AP267" s="135" t="s">
        <v>2120</v>
      </c>
      <c r="AQ267" s="135">
        <v>636105</v>
      </c>
      <c r="AR267" s="135" t="s">
        <v>1937</v>
      </c>
      <c r="AS267" s="136">
        <v>3.3070000000000002E-2</v>
      </c>
      <c r="AU267" s="7" t="str">
        <f>VLOOKUP($AO267,Mapping!$E$11:$I$96,3,0)</f>
        <v>Connections</v>
      </c>
      <c r="AV267" s="7" t="str">
        <f>VLOOKUP($AQ267,Mapping!$E$140:$K$2771,5,0)</f>
        <v>CSG MG</v>
      </c>
      <c r="AW267" s="7" t="str">
        <f>VLOOKUP($AQ267,Mapping!$E$140:$K$2771,7,0)</f>
        <v>ENDirect</v>
      </c>
      <c r="AX267" s="7" t="str">
        <f>IFERROR(HLOOKUP(AV267,'Calc|Weightings'!$K$5:$M$5,1,0),"Excl")</f>
        <v>Excl</v>
      </c>
      <c r="AY267" s="7" t="str">
        <f>VLOOKUP(AO267,Mapping!$E$11:$I$96,5,0)</f>
        <v>SCS</v>
      </c>
    </row>
    <row r="268" spans="1:51" x14ac:dyDescent="0.2">
      <c r="A268" s="7"/>
      <c r="B268" s="7"/>
      <c r="C268" s="7"/>
      <c r="D268" s="7"/>
      <c r="E268" s="36">
        <v>107</v>
      </c>
      <c r="F268" s="36" t="s">
        <v>2120</v>
      </c>
      <c r="G268" s="36">
        <v>591999</v>
      </c>
      <c r="H268" s="36" t="s">
        <v>2195</v>
      </c>
      <c r="I268" s="37">
        <v>-23.9588</v>
      </c>
      <c r="J268" s="7"/>
      <c r="K268" s="7" t="str">
        <f>VLOOKUP($E268,Mapping!$E$11:$I$96,3,0)</f>
        <v>Connections</v>
      </c>
      <c r="L268" s="7" t="str">
        <f>VLOOKUP($G268,Mapping!$E$140:$K$2771,5,0)</f>
        <v>Contracts</v>
      </c>
      <c r="M268" s="7" t="str">
        <f>VLOOKUP($G268,Mapping!$E$140:$K$2771,7,0)</f>
        <v>ENDirect</v>
      </c>
      <c r="N268" s="7" t="str">
        <f>IFERROR(HLOOKUP(L268,'Calc|Weightings'!$K$5:$M$5,1,0),"Excl")</f>
        <v>Contracts</v>
      </c>
      <c r="O268" s="7" t="str">
        <f>VLOOKUP(E268,Mapping!$E$11:$I$96,5,0)</f>
        <v>SCS</v>
      </c>
      <c r="Q268" s="33">
        <v>107</v>
      </c>
      <c r="R268" s="33" t="s">
        <v>2120</v>
      </c>
      <c r="S268" s="33">
        <v>613574</v>
      </c>
      <c r="T268" s="33" t="s">
        <v>1488</v>
      </c>
      <c r="U268" s="34">
        <v>32.150910000000003</v>
      </c>
      <c r="V268" s="7"/>
      <c r="W268" s="7" t="str">
        <f>VLOOKUP($Q268,Mapping!$E$11:$I$96,3,0)</f>
        <v>Connections</v>
      </c>
      <c r="X268" s="7" t="str">
        <f>VLOOKUP($S268,Mapping!$E$140:$K$2771,5,0)</f>
        <v>Labour</v>
      </c>
      <c r="Y268" s="7" t="str">
        <f>VLOOKUP($S268,Mapping!$E$140:$K$2771,7,0)</f>
        <v>ENDirect</v>
      </c>
      <c r="Z268" s="7" t="str">
        <f>IFERROR(HLOOKUP(X268,'Calc|Weightings'!$K$5:$M$5,1,0),"Excl")</f>
        <v>Labour</v>
      </c>
      <c r="AA268" s="7" t="str">
        <f>VLOOKUP(Q268,Mapping!$E$11:$I$96,5,0)</f>
        <v>SCS</v>
      </c>
      <c r="AC268" s="111">
        <v>107</v>
      </c>
      <c r="AD268" s="111" t="s">
        <v>2120</v>
      </c>
      <c r="AE268" s="111">
        <v>613360</v>
      </c>
      <c r="AF268" s="111" t="s">
        <v>2097</v>
      </c>
      <c r="AG268" s="112">
        <v>2.6529600000000002</v>
      </c>
      <c r="AI268" s="7" t="str">
        <f>VLOOKUP($AC268,Mapping!$E$11:$I$96,3,0)</f>
        <v>Connections</v>
      </c>
      <c r="AJ268" s="7" t="str">
        <f>VLOOKUP($AE268,Mapping!$E$140:$K$2771,5,0)</f>
        <v>Labour</v>
      </c>
      <c r="AK268" s="7" t="str">
        <f>VLOOKUP($AE268,Mapping!$E$140:$K$2771,7,0)</f>
        <v>ENDirect</v>
      </c>
      <c r="AL268" s="7" t="str">
        <f>IFERROR(HLOOKUP(AJ268,'Calc|Weightings'!$K$5:$M$5,1,0),"Excl")</f>
        <v>Labour</v>
      </c>
      <c r="AM268" s="7" t="str">
        <f>VLOOKUP(AC268,Mapping!$E$11:$I$96,5,0)</f>
        <v>SCS</v>
      </c>
      <c r="AO268" s="134">
        <v>107</v>
      </c>
      <c r="AP268" s="135" t="s">
        <v>2120</v>
      </c>
      <c r="AQ268" s="135">
        <v>639000</v>
      </c>
      <c r="AR268" s="135" t="s">
        <v>2112</v>
      </c>
      <c r="AS268" s="136">
        <v>50.943260000000002</v>
      </c>
      <c r="AU268" s="7" t="str">
        <f>VLOOKUP($AO268,Mapping!$E$11:$I$96,3,0)</f>
        <v>Connections</v>
      </c>
      <c r="AV268" s="7" t="str">
        <f>VLOOKUP($AQ268,Mapping!$E$140:$K$2771,5,0)</f>
        <v>PNS Corporate OH</v>
      </c>
      <c r="AW268" s="7" t="str">
        <f>VLOOKUP($AQ268,Mapping!$E$140:$K$2771,7,0)</f>
        <v>OH</v>
      </c>
      <c r="AX268" s="7" t="str">
        <f>IFERROR(HLOOKUP(AV268,'Calc|Weightings'!$K$5:$M$5,1,0),"Excl")</f>
        <v>Excl</v>
      </c>
      <c r="AY268" s="7" t="str">
        <f>VLOOKUP(AO268,Mapping!$E$11:$I$96,5,0)</f>
        <v>SCS</v>
      </c>
    </row>
    <row r="269" spans="1:51" x14ac:dyDescent="0.2">
      <c r="A269" s="7"/>
      <c r="B269" s="7"/>
      <c r="C269" s="7"/>
      <c r="D269" s="7"/>
      <c r="E269" s="36">
        <v>107</v>
      </c>
      <c r="F269" s="36" t="s">
        <v>2120</v>
      </c>
      <c r="G269" s="36">
        <v>611900</v>
      </c>
      <c r="H269" s="36" t="s">
        <v>2079</v>
      </c>
      <c r="I269" s="37">
        <v>1.3106</v>
      </c>
      <c r="J269" s="7"/>
      <c r="K269" s="7" t="str">
        <f>VLOOKUP($E269,Mapping!$E$11:$I$96,3,0)</f>
        <v>Connections</v>
      </c>
      <c r="L269" s="7" t="str">
        <f>VLOOKUP($G269,Mapping!$E$140:$K$2771,5,0)</f>
        <v>Contracts</v>
      </c>
      <c r="M269" s="7" t="str">
        <f>VLOOKUP($G269,Mapping!$E$140:$K$2771,7,0)</f>
        <v>ENDirect</v>
      </c>
      <c r="N269" s="7" t="str">
        <f>IFERROR(HLOOKUP(L269,'Calc|Weightings'!$K$5:$M$5,1,0),"Excl")</f>
        <v>Contracts</v>
      </c>
      <c r="O269" s="7" t="str">
        <f>VLOOKUP(E269,Mapping!$E$11:$I$96,5,0)</f>
        <v>SCS</v>
      </c>
      <c r="Q269" s="33">
        <v>107</v>
      </c>
      <c r="R269" s="33" t="s">
        <v>2120</v>
      </c>
      <c r="S269" s="33">
        <v>613575</v>
      </c>
      <c r="T269" s="33" t="s">
        <v>1489</v>
      </c>
      <c r="U269" s="34">
        <v>2.7739699999999998</v>
      </c>
      <c r="V269" s="7"/>
      <c r="W269" s="7" t="str">
        <f>VLOOKUP($Q269,Mapping!$E$11:$I$96,3,0)</f>
        <v>Connections</v>
      </c>
      <c r="X269" s="7" t="str">
        <f>VLOOKUP($S269,Mapping!$E$140:$K$2771,5,0)</f>
        <v>Labour</v>
      </c>
      <c r="Y269" s="7" t="str">
        <f>VLOOKUP($S269,Mapping!$E$140:$K$2771,7,0)</f>
        <v>ENDirect</v>
      </c>
      <c r="Z269" s="7" t="str">
        <f>IFERROR(HLOOKUP(X269,'Calc|Weightings'!$K$5:$M$5,1,0),"Excl")</f>
        <v>Labour</v>
      </c>
      <c r="AA269" s="7" t="str">
        <f>VLOOKUP(Q269,Mapping!$E$11:$I$96,5,0)</f>
        <v>SCS</v>
      </c>
      <c r="AC269" s="111">
        <v>107</v>
      </c>
      <c r="AD269" s="111" t="s">
        <v>2120</v>
      </c>
      <c r="AE269" s="111">
        <v>613361</v>
      </c>
      <c r="AF269" s="111" t="s">
        <v>2098</v>
      </c>
      <c r="AG269" s="112">
        <v>7.9600000000000004E-2</v>
      </c>
      <c r="AI269" s="7" t="str">
        <f>VLOOKUP($AC269,Mapping!$E$11:$I$96,3,0)</f>
        <v>Connections</v>
      </c>
      <c r="AJ269" s="7" t="str">
        <f>VLOOKUP($AE269,Mapping!$E$140:$K$2771,5,0)</f>
        <v>Labour</v>
      </c>
      <c r="AK269" s="7" t="str">
        <f>VLOOKUP($AE269,Mapping!$E$140:$K$2771,7,0)</f>
        <v>ENDirect</v>
      </c>
      <c r="AL269" s="7" t="str">
        <f>IFERROR(HLOOKUP(AJ269,'Calc|Weightings'!$K$5:$M$5,1,0),"Excl")</f>
        <v>Labour</v>
      </c>
      <c r="AM269" s="7" t="str">
        <f>VLOOKUP(AC269,Mapping!$E$11:$I$96,5,0)</f>
        <v>SCS</v>
      </c>
      <c r="AO269" s="134">
        <v>107</v>
      </c>
      <c r="AP269" s="135" t="s">
        <v>2120</v>
      </c>
      <c r="AQ269" s="135">
        <v>639050</v>
      </c>
      <c r="AR269" s="135" t="s">
        <v>2113</v>
      </c>
      <c r="AS269" s="136">
        <v>12.66028</v>
      </c>
      <c r="AU269" s="7" t="str">
        <f>VLOOKUP($AO269,Mapping!$E$11:$I$96,3,0)</f>
        <v>Connections</v>
      </c>
      <c r="AV269" s="7" t="str">
        <f>VLOOKUP($AQ269,Mapping!$E$140:$K$2771,5,0)</f>
        <v>PNS Fleet &amp; Property OH</v>
      </c>
      <c r="AW269" s="7" t="str">
        <f>VLOOKUP($AQ269,Mapping!$E$140:$K$2771,7,0)</f>
        <v>OH</v>
      </c>
      <c r="AX269" s="7" t="str">
        <f>IFERROR(HLOOKUP(AV269,'Calc|Weightings'!$K$5:$M$5,1,0),"Excl")</f>
        <v>Excl</v>
      </c>
      <c r="AY269" s="7" t="str">
        <f>VLOOKUP(AO269,Mapping!$E$11:$I$96,5,0)</f>
        <v>SCS</v>
      </c>
    </row>
    <row r="270" spans="1:51" x14ac:dyDescent="0.2">
      <c r="A270" s="7"/>
      <c r="B270" s="7"/>
      <c r="C270" s="7"/>
      <c r="D270" s="7"/>
      <c r="E270" s="36">
        <v>107</v>
      </c>
      <c r="F270" s="36" t="s">
        <v>2120</v>
      </c>
      <c r="G270" s="36">
        <v>611901</v>
      </c>
      <c r="H270" s="36" t="s">
        <v>2080</v>
      </c>
      <c r="I270" s="37">
        <v>0.76158999999999999</v>
      </c>
      <c r="J270" s="7"/>
      <c r="K270" s="7" t="str">
        <f>VLOOKUP($E270,Mapping!$E$11:$I$96,3,0)</f>
        <v>Connections</v>
      </c>
      <c r="L270" s="7" t="str">
        <f>VLOOKUP($G270,Mapping!$E$140:$K$2771,5,0)</f>
        <v>Contracts</v>
      </c>
      <c r="M270" s="7" t="str">
        <f>VLOOKUP($G270,Mapping!$E$140:$K$2771,7,0)</f>
        <v>ENDirect</v>
      </c>
      <c r="N270" s="7" t="str">
        <f>IFERROR(HLOOKUP(L270,'Calc|Weightings'!$K$5:$M$5,1,0),"Excl")</f>
        <v>Contracts</v>
      </c>
      <c r="O270" s="7" t="str">
        <f>VLOOKUP(E270,Mapping!$E$11:$I$96,5,0)</f>
        <v>SCS</v>
      </c>
      <c r="Q270" s="33">
        <v>107</v>
      </c>
      <c r="R270" s="33" t="s">
        <v>2120</v>
      </c>
      <c r="S270" s="33">
        <v>613576</v>
      </c>
      <c r="T270" s="33" t="s">
        <v>1490</v>
      </c>
      <c r="U270" s="34">
        <v>5.2557900000000002</v>
      </c>
      <c r="V270" s="7"/>
      <c r="W270" s="7" t="str">
        <f>VLOOKUP($Q270,Mapping!$E$11:$I$96,3,0)</f>
        <v>Connections</v>
      </c>
      <c r="X270" s="7" t="str">
        <f>VLOOKUP($S270,Mapping!$E$140:$K$2771,5,0)</f>
        <v>Labour</v>
      </c>
      <c r="Y270" s="7" t="str">
        <f>VLOOKUP($S270,Mapping!$E$140:$K$2771,7,0)</f>
        <v>ENDirect</v>
      </c>
      <c r="Z270" s="7" t="str">
        <f>IFERROR(HLOOKUP(X270,'Calc|Weightings'!$K$5:$M$5,1,0),"Excl")</f>
        <v>Labour</v>
      </c>
      <c r="AA270" s="7" t="str">
        <f>VLOOKUP(Q270,Mapping!$E$11:$I$96,5,0)</f>
        <v>SCS</v>
      </c>
      <c r="AC270" s="111">
        <v>107</v>
      </c>
      <c r="AD270" s="111" t="s">
        <v>2120</v>
      </c>
      <c r="AE270" s="111">
        <v>613370</v>
      </c>
      <c r="AF270" s="111" t="s">
        <v>1402</v>
      </c>
      <c r="AG270" s="112">
        <v>1.59779</v>
      </c>
      <c r="AI270" s="7" t="str">
        <f>VLOOKUP($AC270,Mapping!$E$11:$I$96,3,0)</f>
        <v>Connections</v>
      </c>
      <c r="AJ270" s="7" t="str">
        <f>VLOOKUP($AE270,Mapping!$E$140:$K$2771,5,0)</f>
        <v>Labour</v>
      </c>
      <c r="AK270" s="7" t="str">
        <f>VLOOKUP($AE270,Mapping!$E$140:$K$2771,7,0)</f>
        <v>ENDirect</v>
      </c>
      <c r="AL270" s="7" t="str">
        <f>IFERROR(HLOOKUP(AJ270,'Calc|Weightings'!$K$5:$M$5,1,0),"Excl")</f>
        <v>Labour</v>
      </c>
      <c r="AM270" s="7" t="str">
        <f>VLOOKUP(AC270,Mapping!$E$11:$I$96,5,0)</f>
        <v>SCS</v>
      </c>
      <c r="AO270" s="134">
        <v>109</v>
      </c>
      <c r="AP270" s="135" t="s">
        <v>2124</v>
      </c>
      <c r="AQ270" s="135">
        <v>503191</v>
      </c>
      <c r="AR270" s="135" t="s">
        <v>159</v>
      </c>
      <c r="AS270" s="136">
        <v>0.26651999999999998</v>
      </c>
      <c r="AU270" s="7" t="str">
        <f>VLOOKUP($AO270,Mapping!$E$11:$I$96,3,0)</f>
        <v>Connections</v>
      </c>
      <c r="AV270" s="7" t="str">
        <f>VLOOKUP($AQ270,Mapping!$E$140:$K$2771,5,0)</f>
        <v>Contracts</v>
      </c>
      <c r="AW270" s="7" t="str">
        <f>VLOOKUP($AQ270,Mapping!$E$140:$K$2771,7,0)</f>
        <v>ENDirect</v>
      </c>
      <c r="AX270" s="7" t="str">
        <f>IFERROR(HLOOKUP(AV270,'Calc|Weightings'!$K$5:$M$5,1,0),"Excl")</f>
        <v>Contracts</v>
      </c>
      <c r="AY270" s="7" t="str">
        <f>VLOOKUP(AO270,Mapping!$E$11:$I$96,5,0)</f>
        <v>SCS</v>
      </c>
    </row>
    <row r="271" spans="1:51" x14ac:dyDescent="0.2">
      <c r="A271" s="7"/>
      <c r="B271" s="7"/>
      <c r="C271" s="7"/>
      <c r="D271" s="7"/>
      <c r="E271" s="36">
        <v>107</v>
      </c>
      <c r="F271" s="36" t="s">
        <v>2120</v>
      </c>
      <c r="G271" s="36">
        <v>611902</v>
      </c>
      <c r="H271" s="36" t="s">
        <v>2081</v>
      </c>
      <c r="I271" s="37">
        <v>2.9846699999999999</v>
      </c>
      <c r="J271" s="7"/>
      <c r="K271" s="7" t="str">
        <f>VLOOKUP($E271,Mapping!$E$11:$I$96,3,0)</f>
        <v>Connections</v>
      </c>
      <c r="L271" s="7" t="str">
        <f>VLOOKUP($G271,Mapping!$E$140:$K$2771,5,0)</f>
        <v>Contracts</v>
      </c>
      <c r="M271" s="7" t="str">
        <f>VLOOKUP($G271,Mapping!$E$140:$K$2771,7,0)</f>
        <v>ENDirect</v>
      </c>
      <c r="N271" s="7" t="str">
        <f>IFERROR(HLOOKUP(L271,'Calc|Weightings'!$K$5:$M$5,1,0),"Excl")</f>
        <v>Contracts</v>
      </c>
      <c r="O271" s="7" t="str">
        <f>VLOOKUP(E271,Mapping!$E$11:$I$96,5,0)</f>
        <v>SCS</v>
      </c>
      <c r="Q271" s="33">
        <v>107</v>
      </c>
      <c r="R271" s="33" t="s">
        <v>2120</v>
      </c>
      <c r="S271" s="33">
        <v>613602</v>
      </c>
      <c r="T271" s="33" t="s">
        <v>1494</v>
      </c>
      <c r="U271" s="34">
        <v>3.0765600000000002</v>
      </c>
      <c r="V271" s="7"/>
      <c r="W271" s="7" t="str">
        <f>VLOOKUP($Q271,Mapping!$E$11:$I$96,3,0)</f>
        <v>Connections</v>
      </c>
      <c r="X271" s="7" t="str">
        <f>VLOOKUP($S271,Mapping!$E$140:$K$2771,5,0)</f>
        <v>Labour</v>
      </c>
      <c r="Y271" s="7" t="str">
        <f>VLOOKUP($S271,Mapping!$E$140:$K$2771,7,0)</f>
        <v>ENDirect</v>
      </c>
      <c r="Z271" s="7" t="str">
        <f>IFERROR(HLOOKUP(X271,'Calc|Weightings'!$K$5:$M$5,1,0),"Excl")</f>
        <v>Labour</v>
      </c>
      <c r="AA271" s="7" t="str">
        <f>VLOOKUP(Q271,Mapping!$E$11:$I$96,5,0)</f>
        <v>SCS</v>
      </c>
      <c r="AC271" s="111">
        <v>107</v>
      </c>
      <c r="AD271" s="111" t="s">
        <v>2120</v>
      </c>
      <c r="AE271" s="111">
        <v>613434</v>
      </c>
      <c r="AF271" s="111" t="s">
        <v>2102</v>
      </c>
      <c r="AG271" s="112">
        <v>24.07574</v>
      </c>
      <c r="AI271" s="7" t="str">
        <f>VLOOKUP($AC271,Mapping!$E$11:$I$96,3,0)</f>
        <v>Connections</v>
      </c>
      <c r="AJ271" s="7" t="str">
        <f>VLOOKUP($AE271,Mapping!$E$140:$K$2771,5,0)</f>
        <v>Labour</v>
      </c>
      <c r="AK271" s="7" t="str">
        <f>VLOOKUP($AE271,Mapping!$E$140:$K$2771,7,0)</f>
        <v>ENDirect</v>
      </c>
      <c r="AL271" s="7" t="str">
        <f>IFERROR(HLOOKUP(AJ271,'Calc|Weightings'!$K$5:$M$5,1,0),"Excl")</f>
        <v>Labour</v>
      </c>
      <c r="AM271" s="7" t="str">
        <f>VLOOKUP(AC271,Mapping!$E$11:$I$96,5,0)</f>
        <v>SCS</v>
      </c>
      <c r="AO271" s="134">
        <v>109</v>
      </c>
      <c r="AP271" s="135" t="s">
        <v>2124</v>
      </c>
      <c r="AQ271" s="135">
        <v>520100</v>
      </c>
      <c r="AR271" s="135" t="s">
        <v>2072</v>
      </c>
      <c r="AS271" s="136">
        <v>13.601800000000001</v>
      </c>
      <c r="AU271" s="7" t="str">
        <f>VLOOKUP($AO271,Mapping!$E$11:$I$96,3,0)</f>
        <v>Connections</v>
      </c>
      <c r="AV271" s="7" t="str">
        <f>VLOOKUP($AQ271,Mapping!$E$140:$K$2771,5,0)</f>
        <v>Materials</v>
      </c>
      <c r="AW271" s="7" t="str">
        <f>VLOOKUP($AQ271,Mapping!$E$140:$K$2771,7,0)</f>
        <v>ENDirect</v>
      </c>
      <c r="AX271" s="7" t="str">
        <f>IFERROR(HLOOKUP(AV271,'Calc|Weightings'!$K$5:$M$5,1,0),"Excl")</f>
        <v>Materials</v>
      </c>
      <c r="AY271" s="7" t="str">
        <f>VLOOKUP(AO271,Mapping!$E$11:$I$96,5,0)</f>
        <v>SCS</v>
      </c>
    </row>
    <row r="272" spans="1:51" x14ac:dyDescent="0.2">
      <c r="A272" s="7"/>
      <c r="B272" s="7"/>
      <c r="C272" s="7"/>
      <c r="D272" s="7"/>
      <c r="E272" s="36">
        <v>107</v>
      </c>
      <c r="F272" s="36" t="s">
        <v>2120</v>
      </c>
      <c r="G272" s="36">
        <v>612210</v>
      </c>
      <c r="H272" s="36" t="s">
        <v>1184</v>
      </c>
      <c r="I272" s="37">
        <v>4.2172499999999999</v>
      </c>
      <c r="J272" s="7"/>
      <c r="K272" s="7" t="str">
        <f>VLOOKUP($E272,Mapping!$E$11:$I$96,3,0)</f>
        <v>Connections</v>
      </c>
      <c r="L272" s="7" t="str">
        <f>VLOOKUP($G272,Mapping!$E$140:$K$2771,5,0)</f>
        <v>Labour</v>
      </c>
      <c r="M272" s="7" t="str">
        <f>VLOOKUP($G272,Mapping!$E$140:$K$2771,7,0)</f>
        <v>ENDirect</v>
      </c>
      <c r="N272" s="7" t="str">
        <f>IFERROR(HLOOKUP(L272,'Calc|Weightings'!$K$5:$M$5,1,0),"Excl")</f>
        <v>Labour</v>
      </c>
      <c r="O272" s="7" t="str">
        <f>VLOOKUP(E272,Mapping!$E$11:$I$96,5,0)</f>
        <v>SCS</v>
      </c>
      <c r="Q272" s="33">
        <v>107</v>
      </c>
      <c r="R272" s="33" t="s">
        <v>2120</v>
      </c>
      <c r="S272" s="33">
        <v>613630</v>
      </c>
      <c r="T272" s="33" t="s">
        <v>1498</v>
      </c>
      <c r="U272" s="34">
        <v>5.1858300000000002</v>
      </c>
      <c r="V272" s="7"/>
      <c r="W272" s="7" t="str">
        <f>VLOOKUP($Q272,Mapping!$E$11:$I$96,3,0)</f>
        <v>Connections</v>
      </c>
      <c r="X272" s="7" t="str">
        <f>VLOOKUP($S272,Mapping!$E$140:$K$2771,5,0)</f>
        <v>Labour</v>
      </c>
      <c r="Y272" s="7" t="str">
        <f>VLOOKUP($S272,Mapping!$E$140:$K$2771,7,0)</f>
        <v>ENDirect</v>
      </c>
      <c r="Z272" s="7" t="str">
        <f>IFERROR(HLOOKUP(X272,'Calc|Weightings'!$K$5:$M$5,1,0),"Excl")</f>
        <v>Labour</v>
      </c>
      <c r="AA272" s="7" t="str">
        <f>VLOOKUP(Q272,Mapping!$E$11:$I$96,5,0)</f>
        <v>SCS</v>
      </c>
      <c r="AC272" s="111">
        <v>107</v>
      </c>
      <c r="AD272" s="111" t="s">
        <v>2120</v>
      </c>
      <c r="AE272" s="111">
        <v>613440</v>
      </c>
      <c r="AF272" s="111" t="s">
        <v>2103</v>
      </c>
      <c r="AG272" s="112">
        <v>3.3483700000000001</v>
      </c>
      <c r="AI272" s="7" t="str">
        <f>VLOOKUP($AC272,Mapping!$E$11:$I$96,3,0)</f>
        <v>Connections</v>
      </c>
      <c r="AJ272" s="7" t="str">
        <f>VLOOKUP($AE272,Mapping!$E$140:$K$2771,5,0)</f>
        <v>Labour</v>
      </c>
      <c r="AK272" s="7" t="str">
        <f>VLOOKUP($AE272,Mapping!$E$140:$K$2771,7,0)</f>
        <v>ENDirect</v>
      </c>
      <c r="AL272" s="7" t="str">
        <f>IFERROR(HLOOKUP(AJ272,'Calc|Weightings'!$K$5:$M$5,1,0),"Excl")</f>
        <v>Labour</v>
      </c>
      <c r="AM272" s="7" t="str">
        <f>VLOOKUP(AC272,Mapping!$E$11:$I$96,5,0)</f>
        <v>SCS</v>
      </c>
      <c r="AO272" s="134">
        <v>109</v>
      </c>
      <c r="AP272" s="135" t="s">
        <v>2124</v>
      </c>
      <c r="AQ272" s="135">
        <v>523100</v>
      </c>
      <c r="AR272" s="135" t="s">
        <v>2074</v>
      </c>
      <c r="AS272" s="136">
        <v>7.5590000000000004E-2</v>
      </c>
      <c r="AU272" s="7" t="str">
        <f>VLOOKUP($AO272,Mapping!$E$11:$I$96,3,0)</f>
        <v>Connections</v>
      </c>
      <c r="AV272" s="7" t="str">
        <f>VLOOKUP($AQ272,Mapping!$E$140:$K$2771,5,0)</f>
        <v>Materials</v>
      </c>
      <c r="AW272" s="7" t="str">
        <f>VLOOKUP($AQ272,Mapping!$E$140:$K$2771,7,0)</f>
        <v>ENDirect</v>
      </c>
      <c r="AX272" s="7" t="str">
        <f>IFERROR(HLOOKUP(AV272,'Calc|Weightings'!$K$5:$M$5,1,0),"Excl")</f>
        <v>Materials</v>
      </c>
      <c r="AY272" s="7" t="str">
        <f>VLOOKUP(AO272,Mapping!$E$11:$I$96,5,0)</f>
        <v>SCS</v>
      </c>
    </row>
    <row r="273" spans="1:51" x14ac:dyDescent="0.2">
      <c r="A273" s="7"/>
      <c r="B273" s="7"/>
      <c r="C273" s="7"/>
      <c r="D273" s="7"/>
      <c r="E273" s="36">
        <v>107</v>
      </c>
      <c r="F273" s="36" t="s">
        <v>2120</v>
      </c>
      <c r="G273" s="36">
        <v>612211</v>
      </c>
      <c r="H273" s="36" t="s">
        <v>1185</v>
      </c>
      <c r="I273" s="37">
        <v>4.3389999999999998E-2</v>
      </c>
      <c r="J273" s="7"/>
      <c r="K273" s="7" t="str">
        <f>VLOOKUP($E273,Mapping!$E$11:$I$96,3,0)</f>
        <v>Connections</v>
      </c>
      <c r="L273" s="7" t="str">
        <f>VLOOKUP($G273,Mapping!$E$140:$K$2771,5,0)</f>
        <v>Labour</v>
      </c>
      <c r="M273" s="7" t="str">
        <f>VLOOKUP($G273,Mapping!$E$140:$K$2771,7,0)</f>
        <v>ENDirect</v>
      </c>
      <c r="N273" s="7" t="str">
        <f>IFERROR(HLOOKUP(L273,'Calc|Weightings'!$K$5:$M$5,1,0),"Excl")</f>
        <v>Labour</v>
      </c>
      <c r="O273" s="7" t="str">
        <f>VLOOKUP(E273,Mapping!$E$11:$I$96,5,0)</f>
        <v>SCS</v>
      </c>
      <c r="Q273" s="33">
        <v>107</v>
      </c>
      <c r="R273" s="33" t="s">
        <v>2120</v>
      </c>
      <c r="S273" s="33">
        <v>613680</v>
      </c>
      <c r="T273" s="33" t="s">
        <v>2107</v>
      </c>
      <c r="U273" s="34">
        <v>41.202579999999998</v>
      </c>
      <c r="V273" s="7"/>
      <c r="W273" s="7" t="str">
        <f>VLOOKUP($Q273,Mapping!$E$11:$I$96,3,0)</f>
        <v>Connections</v>
      </c>
      <c r="X273" s="7" t="str">
        <f>VLOOKUP($S273,Mapping!$E$140:$K$2771,5,0)</f>
        <v>Labour</v>
      </c>
      <c r="Y273" s="7" t="str">
        <f>VLOOKUP($S273,Mapping!$E$140:$K$2771,7,0)</f>
        <v>ENDirect</v>
      </c>
      <c r="Z273" s="7" t="str">
        <f>IFERROR(HLOOKUP(X273,'Calc|Weightings'!$K$5:$M$5,1,0),"Excl")</f>
        <v>Labour</v>
      </c>
      <c r="AA273" s="7" t="str">
        <f>VLOOKUP(Q273,Mapping!$E$11:$I$96,5,0)</f>
        <v>SCS</v>
      </c>
      <c r="AC273" s="111">
        <v>107</v>
      </c>
      <c r="AD273" s="111" t="s">
        <v>2120</v>
      </c>
      <c r="AE273" s="111">
        <v>613448</v>
      </c>
      <c r="AF273" s="111" t="s">
        <v>2105</v>
      </c>
      <c r="AG273" s="112">
        <v>31.962060000000001</v>
      </c>
      <c r="AI273" s="7" t="str">
        <f>VLOOKUP($AC273,Mapping!$E$11:$I$96,3,0)</f>
        <v>Connections</v>
      </c>
      <c r="AJ273" s="7" t="str">
        <f>VLOOKUP($AE273,Mapping!$E$140:$K$2771,5,0)</f>
        <v>Labour</v>
      </c>
      <c r="AK273" s="7" t="str">
        <f>VLOOKUP($AE273,Mapping!$E$140:$K$2771,7,0)</f>
        <v>ENDirect</v>
      </c>
      <c r="AL273" s="7" t="str">
        <f>IFERROR(HLOOKUP(AJ273,'Calc|Weightings'!$K$5:$M$5,1,0),"Excl")</f>
        <v>Labour</v>
      </c>
      <c r="AM273" s="7" t="str">
        <f>VLOOKUP(AC273,Mapping!$E$11:$I$96,5,0)</f>
        <v>SCS</v>
      </c>
      <c r="AO273" s="134">
        <v>109</v>
      </c>
      <c r="AP273" s="135" t="s">
        <v>2124</v>
      </c>
      <c r="AQ273" s="135">
        <v>531020</v>
      </c>
      <c r="AR273" s="135" t="s">
        <v>219</v>
      </c>
      <c r="AS273" s="136">
        <v>3.1</v>
      </c>
      <c r="AU273" s="7" t="str">
        <f>VLOOKUP($AO273,Mapping!$E$11:$I$96,3,0)</f>
        <v>Connections</v>
      </c>
      <c r="AV273" s="7" t="str">
        <f>VLOOKUP($AQ273,Mapping!$E$140:$K$2771,5,0)</f>
        <v>Labour</v>
      </c>
      <c r="AW273" s="7" t="str">
        <f>VLOOKUP($AQ273,Mapping!$E$140:$K$2771,7,0)</f>
        <v>ENDirect</v>
      </c>
      <c r="AX273" s="7" t="str">
        <f>IFERROR(HLOOKUP(AV273,'Calc|Weightings'!$K$5:$M$5,1,0),"Excl")</f>
        <v>Labour</v>
      </c>
      <c r="AY273" s="7" t="str">
        <f>VLOOKUP(AO273,Mapping!$E$11:$I$96,5,0)</f>
        <v>SCS</v>
      </c>
    </row>
    <row r="274" spans="1:51" x14ac:dyDescent="0.2">
      <c r="A274" s="7"/>
      <c r="B274" s="7"/>
      <c r="C274" s="7"/>
      <c r="D274" s="7"/>
      <c r="E274" s="36">
        <v>107</v>
      </c>
      <c r="F274" s="36" t="s">
        <v>2120</v>
      </c>
      <c r="G274" s="36">
        <v>612460</v>
      </c>
      <c r="H274" s="36" t="s">
        <v>1243</v>
      </c>
      <c r="I274" s="37">
        <v>2.0754199999999998</v>
      </c>
      <c r="J274" s="7"/>
      <c r="K274" s="7" t="str">
        <f>VLOOKUP($E274,Mapping!$E$11:$I$96,3,0)</f>
        <v>Connections</v>
      </c>
      <c r="L274" s="7" t="str">
        <f>VLOOKUP($G274,Mapping!$E$140:$K$2771,5,0)</f>
        <v>Labour</v>
      </c>
      <c r="M274" s="7" t="str">
        <f>VLOOKUP($G274,Mapping!$E$140:$K$2771,7,0)</f>
        <v>ENDirect</v>
      </c>
      <c r="N274" s="7" t="str">
        <f>IFERROR(HLOOKUP(L274,'Calc|Weightings'!$K$5:$M$5,1,0),"Excl")</f>
        <v>Labour</v>
      </c>
      <c r="O274" s="7" t="str">
        <f>VLOOKUP(E274,Mapping!$E$11:$I$96,5,0)</f>
        <v>SCS</v>
      </c>
      <c r="Q274" s="33">
        <v>107</v>
      </c>
      <c r="R274" s="33" t="s">
        <v>2120</v>
      </c>
      <c r="S274" s="33">
        <v>613681</v>
      </c>
      <c r="T274" s="33" t="s">
        <v>2108</v>
      </c>
      <c r="U274" s="34">
        <v>3.0578799999999999</v>
      </c>
      <c r="V274" s="7"/>
      <c r="W274" s="7" t="str">
        <f>VLOOKUP($Q274,Mapping!$E$11:$I$96,3,0)</f>
        <v>Connections</v>
      </c>
      <c r="X274" s="7" t="str">
        <f>VLOOKUP($S274,Mapping!$E$140:$K$2771,5,0)</f>
        <v>Labour</v>
      </c>
      <c r="Y274" s="7" t="str">
        <f>VLOOKUP($S274,Mapping!$E$140:$K$2771,7,0)</f>
        <v>ENDirect</v>
      </c>
      <c r="Z274" s="7" t="str">
        <f>IFERROR(HLOOKUP(X274,'Calc|Weightings'!$K$5:$M$5,1,0),"Excl")</f>
        <v>Labour</v>
      </c>
      <c r="AA274" s="7" t="str">
        <f>VLOOKUP(Q274,Mapping!$E$11:$I$96,5,0)</f>
        <v>SCS</v>
      </c>
      <c r="AC274" s="111">
        <v>107</v>
      </c>
      <c r="AD274" s="111" t="s">
        <v>2120</v>
      </c>
      <c r="AE274" s="111">
        <v>613449</v>
      </c>
      <c r="AF274" s="111" t="s">
        <v>2106</v>
      </c>
      <c r="AG274" s="112">
        <v>8.1255900000000008</v>
      </c>
      <c r="AI274" s="7" t="str">
        <f>VLOOKUP($AC274,Mapping!$E$11:$I$96,3,0)</f>
        <v>Connections</v>
      </c>
      <c r="AJ274" s="7" t="str">
        <f>VLOOKUP($AE274,Mapping!$E$140:$K$2771,5,0)</f>
        <v>Labour</v>
      </c>
      <c r="AK274" s="7" t="str">
        <f>VLOOKUP($AE274,Mapping!$E$140:$K$2771,7,0)</f>
        <v>ENDirect</v>
      </c>
      <c r="AL274" s="7" t="str">
        <f>IFERROR(HLOOKUP(AJ274,'Calc|Weightings'!$K$5:$M$5,1,0),"Excl")</f>
        <v>Labour</v>
      </c>
      <c r="AM274" s="7" t="str">
        <f>VLOOKUP(AC274,Mapping!$E$11:$I$96,5,0)</f>
        <v>SCS</v>
      </c>
      <c r="AO274" s="134">
        <v>109</v>
      </c>
      <c r="AP274" s="135" t="s">
        <v>2124</v>
      </c>
      <c r="AQ274" s="135">
        <v>531200</v>
      </c>
      <c r="AR274" s="135" t="s">
        <v>250</v>
      </c>
      <c r="AS274" s="136">
        <v>7.0501500000000004</v>
      </c>
      <c r="AU274" s="7" t="str">
        <f>VLOOKUP($AO274,Mapping!$E$11:$I$96,3,0)</f>
        <v>Connections</v>
      </c>
      <c r="AV274" s="7" t="str">
        <f>VLOOKUP($AQ274,Mapping!$E$140:$K$2771,5,0)</f>
        <v>Contracts</v>
      </c>
      <c r="AW274" s="7" t="str">
        <f>VLOOKUP($AQ274,Mapping!$E$140:$K$2771,7,0)</f>
        <v>ENDirect</v>
      </c>
      <c r="AX274" s="7" t="str">
        <f>IFERROR(HLOOKUP(AV274,'Calc|Weightings'!$K$5:$M$5,1,0),"Excl")</f>
        <v>Contracts</v>
      </c>
      <c r="AY274" s="7" t="str">
        <f>VLOOKUP(AO274,Mapping!$E$11:$I$96,5,0)</f>
        <v>SCS</v>
      </c>
    </row>
    <row r="275" spans="1:51" x14ac:dyDescent="0.2">
      <c r="A275" s="7"/>
      <c r="B275" s="7"/>
      <c r="C275" s="7"/>
      <c r="D275" s="7"/>
      <c r="E275" s="36">
        <v>107</v>
      </c>
      <c r="F275" s="36" t="s">
        <v>2120</v>
      </c>
      <c r="G275" s="36">
        <v>612462</v>
      </c>
      <c r="H275" s="36" t="s">
        <v>1244</v>
      </c>
      <c r="I275" s="37">
        <v>13.365729999999999</v>
      </c>
      <c r="J275" s="7"/>
      <c r="K275" s="7" t="str">
        <f>VLOOKUP($E275,Mapping!$E$11:$I$96,3,0)</f>
        <v>Connections</v>
      </c>
      <c r="L275" s="7" t="str">
        <f>VLOOKUP($G275,Mapping!$E$140:$K$2771,5,0)</f>
        <v>Labour</v>
      </c>
      <c r="M275" s="7" t="str">
        <f>VLOOKUP($G275,Mapping!$E$140:$K$2771,7,0)</f>
        <v>ENDirect</v>
      </c>
      <c r="N275" s="7" t="str">
        <f>IFERROR(HLOOKUP(L275,'Calc|Weightings'!$K$5:$M$5,1,0),"Excl")</f>
        <v>Labour</v>
      </c>
      <c r="O275" s="7" t="str">
        <f>VLOOKUP(E275,Mapping!$E$11:$I$96,5,0)</f>
        <v>SCS</v>
      </c>
      <c r="Q275" s="33">
        <v>107</v>
      </c>
      <c r="R275" s="33" t="s">
        <v>2120</v>
      </c>
      <c r="S275" s="33">
        <v>614115</v>
      </c>
      <c r="T275" s="33" t="s">
        <v>2109</v>
      </c>
      <c r="U275" s="34">
        <v>0.11809</v>
      </c>
      <c r="V275" s="7"/>
      <c r="W275" s="7" t="str">
        <f>VLOOKUP($Q275,Mapping!$E$11:$I$96,3,0)</f>
        <v>Connections</v>
      </c>
      <c r="X275" s="7" t="str">
        <f>VLOOKUP($S275,Mapping!$E$140:$K$2771,5,0)</f>
        <v>Labour</v>
      </c>
      <c r="Y275" s="7" t="str">
        <f>VLOOKUP($S275,Mapping!$E$140:$K$2771,7,0)</f>
        <v>ENDirect</v>
      </c>
      <c r="Z275" s="7" t="str">
        <f>IFERROR(HLOOKUP(X275,'Calc|Weightings'!$K$5:$M$5,1,0),"Excl")</f>
        <v>Labour</v>
      </c>
      <c r="AA275" s="7" t="str">
        <f>VLOOKUP(Q275,Mapping!$E$11:$I$96,5,0)</f>
        <v>SCS</v>
      </c>
      <c r="AC275" s="111">
        <v>107</v>
      </c>
      <c r="AD275" s="111" t="s">
        <v>2120</v>
      </c>
      <c r="AE275" s="111">
        <v>613450</v>
      </c>
      <c r="AF275" s="111" t="s">
        <v>2175</v>
      </c>
      <c r="AG275" s="112">
        <v>1.5217000000000001</v>
      </c>
      <c r="AI275" s="7" t="str">
        <f>VLOOKUP($AC275,Mapping!$E$11:$I$96,3,0)</f>
        <v>Connections</v>
      </c>
      <c r="AJ275" s="7" t="str">
        <f>VLOOKUP($AE275,Mapping!$E$140:$K$2771,5,0)</f>
        <v>Labour</v>
      </c>
      <c r="AK275" s="7" t="str">
        <f>VLOOKUP($AE275,Mapping!$E$140:$K$2771,7,0)</f>
        <v>ENDirect</v>
      </c>
      <c r="AL275" s="7" t="str">
        <f>IFERROR(HLOOKUP(AJ275,'Calc|Weightings'!$K$5:$M$5,1,0),"Excl")</f>
        <v>Labour</v>
      </c>
      <c r="AM275" s="7" t="str">
        <f>VLOOKUP(AC275,Mapping!$E$11:$I$96,5,0)</f>
        <v>SCS</v>
      </c>
      <c r="AO275" s="134">
        <v>109</v>
      </c>
      <c r="AP275" s="135" t="s">
        <v>2124</v>
      </c>
      <c r="AQ275" s="135">
        <v>531464</v>
      </c>
      <c r="AR275" s="135" t="s">
        <v>256</v>
      </c>
      <c r="AS275" s="136">
        <v>90.569190000000006</v>
      </c>
      <c r="AU275" s="7" t="str">
        <f>VLOOKUP($AO275,Mapping!$E$11:$I$96,3,0)</f>
        <v>Connections</v>
      </c>
      <c r="AV275" s="7" t="str">
        <f>VLOOKUP($AQ275,Mapping!$E$140:$K$2771,5,0)</f>
        <v>Contracts</v>
      </c>
      <c r="AW275" s="7" t="str">
        <f>VLOOKUP($AQ275,Mapping!$E$140:$K$2771,7,0)</f>
        <v>ENDirect</v>
      </c>
      <c r="AX275" s="7" t="str">
        <f>IFERROR(HLOOKUP(AV275,'Calc|Weightings'!$K$5:$M$5,1,0),"Excl")</f>
        <v>Contracts</v>
      </c>
      <c r="AY275" s="7" t="str">
        <f>VLOOKUP(AO275,Mapping!$E$11:$I$96,5,0)</f>
        <v>SCS</v>
      </c>
    </row>
    <row r="276" spans="1:51" x14ac:dyDescent="0.2">
      <c r="A276" s="7"/>
      <c r="B276" s="7"/>
      <c r="C276" s="7"/>
      <c r="D276" s="7"/>
      <c r="E276" s="36">
        <v>107</v>
      </c>
      <c r="F276" s="36" t="s">
        <v>2120</v>
      </c>
      <c r="G276" s="36">
        <v>613240</v>
      </c>
      <c r="H276" s="36" t="s">
        <v>2082</v>
      </c>
      <c r="I276" s="37">
        <v>0.97367999999999999</v>
      </c>
      <c r="J276" s="7"/>
      <c r="K276" s="7" t="str">
        <f>VLOOKUP($E276,Mapping!$E$11:$I$96,3,0)</f>
        <v>Connections</v>
      </c>
      <c r="L276" s="7" t="str">
        <f>VLOOKUP($G276,Mapping!$E$140:$K$2771,5,0)</f>
        <v>Labour</v>
      </c>
      <c r="M276" s="7" t="str">
        <f>VLOOKUP($G276,Mapping!$E$140:$K$2771,7,0)</f>
        <v>ENDirect</v>
      </c>
      <c r="N276" s="7" t="str">
        <f>IFERROR(HLOOKUP(L276,'Calc|Weightings'!$K$5:$M$5,1,0),"Excl")</f>
        <v>Labour</v>
      </c>
      <c r="O276" s="7" t="str">
        <f>VLOOKUP(E276,Mapping!$E$11:$I$96,5,0)</f>
        <v>SCS</v>
      </c>
      <c r="Q276" s="33">
        <v>107</v>
      </c>
      <c r="R276" s="33" t="s">
        <v>2120</v>
      </c>
      <c r="S276" s="33">
        <v>615375</v>
      </c>
      <c r="T276" s="33" t="s">
        <v>1717</v>
      </c>
      <c r="U276" s="34">
        <v>6.4649999999999999</v>
      </c>
      <c r="V276" s="7"/>
      <c r="W276" s="7" t="str">
        <f>VLOOKUP($Q276,Mapping!$E$11:$I$96,3,0)</f>
        <v>Connections</v>
      </c>
      <c r="X276" s="7" t="str">
        <f>VLOOKUP($S276,Mapping!$E$140:$K$2771,5,0)</f>
        <v>Labour</v>
      </c>
      <c r="Y276" s="7" t="str">
        <f>VLOOKUP($S276,Mapping!$E$140:$K$2771,7,0)</f>
        <v>ENDirect</v>
      </c>
      <c r="Z276" s="7" t="str">
        <f>IFERROR(HLOOKUP(X276,'Calc|Weightings'!$K$5:$M$5,1,0),"Excl")</f>
        <v>Labour</v>
      </c>
      <c r="AA276" s="7" t="str">
        <f>VLOOKUP(Q276,Mapping!$E$11:$I$96,5,0)</f>
        <v>SCS</v>
      </c>
      <c r="AC276" s="111">
        <v>107</v>
      </c>
      <c r="AD276" s="111" t="s">
        <v>2120</v>
      </c>
      <c r="AE276" s="111">
        <v>613566</v>
      </c>
      <c r="AF276" s="111" t="s">
        <v>1482</v>
      </c>
      <c r="AG276" s="112">
        <v>13.42798</v>
      </c>
      <c r="AI276" s="7" t="str">
        <f>VLOOKUP($AC276,Mapping!$E$11:$I$96,3,0)</f>
        <v>Connections</v>
      </c>
      <c r="AJ276" s="7" t="str">
        <f>VLOOKUP($AE276,Mapping!$E$140:$K$2771,5,0)</f>
        <v>Labour</v>
      </c>
      <c r="AK276" s="7" t="str">
        <f>VLOOKUP($AE276,Mapping!$E$140:$K$2771,7,0)</f>
        <v>ENDirect</v>
      </c>
      <c r="AL276" s="7" t="str">
        <f>IFERROR(HLOOKUP(AJ276,'Calc|Weightings'!$K$5:$M$5,1,0),"Excl")</f>
        <v>Labour</v>
      </c>
      <c r="AM276" s="7" t="str">
        <f>VLOOKUP(AC276,Mapping!$E$11:$I$96,5,0)</f>
        <v>SCS</v>
      </c>
      <c r="AO276" s="134">
        <v>109</v>
      </c>
      <c r="AP276" s="135" t="s">
        <v>2124</v>
      </c>
      <c r="AQ276" s="135">
        <v>531465</v>
      </c>
      <c r="AR276" s="135" t="s">
        <v>257</v>
      </c>
      <c r="AS276" s="136">
        <v>4169.8319000000001</v>
      </c>
      <c r="AU276" s="7" t="str">
        <f>VLOOKUP($AO276,Mapping!$E$11:$I$96,3,0)</f>
        <v>Connections</v>
      </c>
      <c r="AV276" s="7" t="str">
        <f>VLOOKUP($AQ276,Mapping!$E$140:$K$2771,5,0)</f>
        <v>Contracts</v>
      </c>
      <c r="AW276" s="7" t="str">
        <f>VLOOKUP($AQ276,Mapping!$E$140:$K$2771,7,0)</f>
        <v>ENDirect</v>
      </c>
      <c r="AX276" s="7" t="str">
        <f>IFERROR(HLOOKUP(AV276,'Calc|Weightings'!$K$5:$M$5,1,0),"Excl")</f>
        <v>Contracts</v>
      </c>
      <c r="AY276" s="7" t="str">
        <f>VLOOKUP(AO276,Mapping!$E$11:$I$96,5,0)</f>
        <v>SCS</v>
      </c>
    </row>
    <row r="277" spans="1:51" x14ac:dyDescent="0.2">
      <c r="A277" s="7"/>
      <c r="B277" s="7"/>
      <c r="C277" s="7"/>
      <c r="D277" s="7"/>
      <c r="E277" s="36">
        <v>107</v>
      </c>
      <c r="F277" s="36" t="s">
        <v>2120</v>
      </c>
      <c r="G277" s="36">
        <v>613250</v>
      </c>
      <c r="H277" s="36" t="s">
        <v>2086</v>
      </c>
      <c r="I277" s="37">
        <v>0.79883999999999999</v>
      </c>
      <c r="J277" s="7"/>
      <c r="K277" s="7" t="str">
        <f>VLOOKUP($E277,Mapping!$E$11:$I$96,3,0)</f>
        <v>Connections</v>
      </c>
      <c r="L277" s="7" t="str">
        <f>VLOOKUP($G277,Mapping!$E$140:$K$2771,5,0)</f>
        <v>Labour</v>
      </c>
      <c r="M277" s="7" t="str">
        <f>VLOOKUP($G277,Mapping!$E$140:$K$2771,7,0)</f>
        <v>ENDirect</v>
      </c>
      <c r="N277" s="7" t="str">
        <f>IFERROR(HLOOKUP(L277,'Calc|Weightings'!$K$5:$M$5,1,0),"Excl")</f>
        <v>Labour</v>
      </c>
      <c r="O277" s="7" t="str">
        <f>VLOOKUP(E277,Mapping!$E$11:$I$96,5,0)</f>
        <v>SCS</v>
      </c>
      <c r="Q277" s="33">
        <v>107</v>
      </c>
      <c r="R277" s="33" t="s">
        <v>2120</v>
      </c>
      <c r="S277" s="33">
        <v>634001</v>
      </c>
      <c r="T277" s="33" t="s">
        <v>2110</v>
      </c>
      <c r="U277" s="34">
        <v>303.77776999999998</v>
      </c>
      <c r="V277" s="7"/>
      <c r="W277" s="7" t="str">
        <f>VLOOKUP($Q277,Mapping!$E$11:$I$96,3,0)</f>
        <v>Connections</v>
      </c>
      <c r="X277" s="7" t="str">
        <f>VLOOKUP($S277,Mapping!$E$140:$K$2771,5,0)</f>
        <v>Local OH</v>
      </c>
      <c r="Y277" s="7" t="str">
        <f>VLOOKUP($S277,Mapping!$E$140:$K$2771,7,0)</f>
        <v>OH</v>
      </c>
      <c r="Z277" s="7" t="str">
        <f>IFERROR(HLOOKUP(X277,'Calc|Weightings'!$K$5:$M$5,1,0),"Excl")</f>
        <v>Excl</v>
      </c>
      <c r="AA277" s="7" t="str">
        <f>VLOOKUP(Q277,Mapping!$E$11:$I$96,5,0)</f>
        <v>SCS</v>
      </c>
      <c r="AC277" s="111">
        <v>107</v>
      </c>
      <c r="AD277" s="111" t="s">
        <v>2120</v>
      </c>
      <c r="AE277" s="111">
        <v>613567</v>
      </c>
      <c r="AF277" s="111" t="s">
        <v>1483</v>
      </c>
      <c r="AG277" s="112">
        <v>0.2268</v>
      </c>
      <c r="AI277" s="7" t="str">
        <f>VLOOKUP($AC277,Mapping!$E$11:$I$96,3,0)</f>
        <v>Connections</v>
      </c>
      <c r="AJ277" s="7" t="str">
        <f>VLOOKUP($AE277,Mapping!$E$140:$K$2771,5,0)</f>
        <v>Labour</v>
      </c>
      <c r="AK277" s="7" t="str">
        <f>VLOOKUP($AE277,Mapping!$E$140:$K$2771,7,0)</f>
        <v>ENDirect</v>
      </c>
      <c r="AL277" s="7" t="str">
        <f>IFERROR(HLOOKUP(AJ277,'Calc|Weightings'!$K$5:$M$5,1,0),"Excl")</f>
        <v>Labour</v>
      </c>
      <c r="AM277" s="7" t="str">
        <f>VLOOKUP(AC277,Mapping!$E$11:$I$96,5,0)</f>
        <v>SCS</v>
      </c>
      <c r="AO277" s="134">
        <v>109</v>
      </c>
      <c r="AP277" s="135" t="s">
        <v>2124</v>
      </c>
      <c r="AQ277" s="135">
        <v>531466</v>
      </c>
      <c r="AR277" s="135" t="s">
        <v>258</v>
      </c>
      <c r="AS277" s="136">
        <v>2.5959599999999998</v>
      </c>
      <c r="AU277" s="7" t="str">
        <f>VLOOKUP($AO277,Mapping!$E$11:$I$96,3,0)</f>
        <v>Connections</v>
      </c>
      <c r="AV277" s="7" t="str">
        <f>VLOOKUP($AQ277,Mapping!$E$140:$K$2771,5,0)</f>
        <v>Contracts</v>
      </c>
      <c r="AW277" s="7" t="str">
        <f>VLOOKUP($AQ277,Mapping!$E$140:$K$2771,7,0)</f>
        <v>ENDirect</v>
      </c>
      <c r="AX277" s="7" t="str">
        <f>IFERROR(HLOOKUP(AV277,'Calc|Weightings'!$K$5:$M$5,1,0),"Excl")</f>
        <v>Contracts</v>
      </c>
      <c r="AY277" s="7" t="str">
        <f>VLOOKUP(AO277,Mapping!$E$11:$I$96,5,0)</f>
        <v>SCS</v>
      </c>
    </row>
    <row r="278" spans="1:51" x14ac:dyDescent="0.2">
      <c r="A278" s="7"/>
      <c r="B278" s="7"/>
      <c r="C278" s="7"/>
      <c r="D278" s="7"/>
      <c r="E278" s="36">
        <v>107</v>
      </c>
      <c r="F278" s="36" t="s">
        <v>2120</v>
      </c>
      <c r="G278" s="36">
        <v>613268</v>
      </c>
      <c r="H278" s="36" t="s">
        <v>1335</v>
      </c>
      <c r="I278" s="37">
        <v>2.9656500000000001</v>
      </c>
      <c r="J278" s="7"/>
      <c r="K278" s="7" t="str">
        <f>VLOOKUP($E278,Mapping!$E$11:$I$96,3,0)</f>
        <v>Connections</v>
      </c>
      <c r="L278" s="7" t="str">
        <f>VLOOKUP($G278,Mapping!$E$140:$K$2771,5,0)</f>
        <v>Labour</v>
      </c>
      <c r="M278" s="7" t="str">
        <f>VLOOKUP($G278,Mapping!$E$140:$K$2771,7,0)</f>
        <v>ENDirect</v>
      </c>
      <c r="N278" s="7" t="str">
        <f>IFERROR(HLOOKUP(L278,'Calc|Weightings'!$K$5:$M$5,1,0),"Excl")</f>
        <v>Labour</v>
      </c>
      <c r="O278" s="7" t="str">
        <f>VLOOKUP(E278,Mapping!$E$11:$I$96,5,0)</f>
        <v>SCS</v>
      </c>
      <c r="Q278" s="33">
        <v>107</v>
      </c>
      <c r="R278" s="33" t="s">
        <v>2120</v>
      </c>
      <c r="S278" s="33">
        <v>635001</v>
      </c>
      <c r="T278" s="33" t="s">
        <v>1929</v>
      </c>
      <c r="U278" s="34">
        <v>181.97824</v>
      </c>
      <c r="V278" s="7"/>
      <c r="W278" s="7" t="str">
        <f>VLOOKUP($Q278,Mapping!$E$11:$I$96,3,0)</f>
        <v>Connections</v>
      </c>
      <c r="X278" s="7" t="str">
        <f>VLOOKUP($S278,Mapping!$E$140:$K$2771,5,0)</f>
        <v>PNS MG</v>
      </c>
      <c r="Y278" s="7" t="str">
        <f>VLOOKUP($S278,Mapping!$E$140:$K$2771,7,0)</f>
        <v>ENDirect</v>
      </c>
      <c r="Z278" s="7" t="str">
        <f>IFERROR(HLOOKUP(X278,'Calc|Weightings'!$K$5:$M$5,1,0),"Excl")</f>
        <v>Excl</v>
      </c>
      <c r="AA278" s="7" t="str">
        <f>VLOOKUP(Q278,Mapping!$E$11:$I$96,5,0)</f>
        <v>SCS</v>
      </c>
      <c r="AC278" s="111">
        <v>107</v>
      </c>
      <c r="AD278" s="111" t="s">
        <v>2120</v>
      </c>
      <c r="AE278" s="111">
        <v>613570</v>
      </c>
      <c r="AF278" s="111" t="s">
        <v>1484</v>
      </c>
      <c r="AG278" s="112">
        <v>0.79613999999999996</v>
      </c>
      <c r="AI278" s="7" t="str">
        <f>VLOOKUP($AC278,Mapping!$E$11:$I$96,3,0)</f>
        <v>Connections</v>
      </c>
      <c r="AJ278" s="7" t="str">
        <f>VLOOKUP($AE278,Mapping!$E$140:$K$2771,5,0)</f>
        <v>Labour</v>
      </c>
      <c r="AK278" s="7" t="str">
        <f>VLOOKUP($AE278,Mapping!$E$140:$K$2771,7,0)</f>
        <v>ENDirect</v>
      </c>
      <c r="AL278" s="7" t="str">
        <f>IFERROR(HLOOKUP(AJ278,'Calc|Weightings'!$K$5:$M$5,1,0),"Excl")</f>
        <v>Labour</v>
      </c>
      <c r="AM278" s="7" t="str">
        <f>VLOOKUP(AC278,Mapping!$E$11:$I$96,5,0)</f>
        <v>SCS</v>
      </c>
      <c r="AO278" s="134">
        <v>109</v>
      </c>
      <c r="AP278" s="135" t="s">
        <v>2124</v>
      </c>
      <c r="AQ278" s="135">
        <v>531467</v>
      </c>
      <c r="AR278" s="135" t="s">
        <v>259</v>
      </c>
      <c r="AS278" s="136">
        <v>14.23706</v>
      </c>
      <c r="AU278" s="7" t="str">
        <f>VLOOKUP($AO278,Mapping!$E$11:$I$96,3,0)</f>
        <v>Connections</v>
      </c>
      <c r="AV278" s="7" t="str">
        <f>VLOOKUP($AQ278,Mapping!$E$140:$K$2771,5,0)</f>
        <v>Contracts</v>
      </c>
      <c r="AW278" s="7" t="str">
        <f>VLOOKUP($AQ278,Mapping!$E$140:$K$2771,7,0)</f>
        <v>ENDirect</v>
      </c>
      <c r="AX278" s="7" t="str">
        <f>IFERROR(HLOOKUP(AV278,'Calc|Weightings'!$K$5:$M$5,1,0),"Excl")</f>
        <v>Contracts</v>
      </c>
      <c r="AY278" s="7" t="str">
        <f>VLOOKUP(AO278,Mapping!$E$11:$I$96,5,0)</f>
        <v>SCS</v>
      </c>
    </row>
    <row r="279" spans="1:51" x14ac:dyDescent="0.2">
      <c r="A279" s="7"/>
      <c r="B279" s="7"/>
      <c r="C279" s="7"/>
      <c r="D279" s="7"/>
      <c r="E279" s="36">
        <v>107</v>
      </c>
      <c r="F279" s="36" t="s">
        <v>2120</v>
      </c>
      <c r="G279" s="36">
        <v>613278</v>
      </c>
      <c r="H279" s="36" t="s">
        <v>2357</v>
      </c>
      <c r="I279" s="37">
        <v>39.057209999999998</v>
      </c>
      <c r="J279" s="7"/>
      <c r="K279" s="7" t="str">
        <f>VLOOKUP($E279,Mapping!$E$11:$I$96,3,0)</f>
        <v>Connections</v>
      </c>
      <c r="L279" s="7" t="str">
        <f>VLOOKUP($G279,Mapping!$E$140:$K$2771,5,0)</f>
        <v>Labour</v>
      </c>
      <c r="M279" s="7" t="str">
        <f>VLOOKUP($G279,Mapping!$E$140:$K$2771,7,0)</f>
        <v>ENDirect</v>
      </c>
      <c r="N279" s="7" t="str">
        <f>IFERROR(HLOOKUP(L279,'Calc|Weightings'!$K$5:$M$5,1,0),"Excl")</f>
        <v>Labour</v>
      </c>
      <c r="O279" s="7" t="str">
        <f>VLOOKUP(E279,Mapping!$E$11:$I$96,5,0)</f>
        <v>SCS</v>
      </c>
      <c r="Q279" s="33">
        <v>107</v>
      </c>
      <c r="R279" s="33" t="s">
        <v>2120</v>
      </c>
      <c r="S279" s="33">
        <v>636001</v>
      </c>
      <c r="T279" s="33" t="s">
        <v>2111</v>
      </c>
      <c r="U279" s="34">
        <v>97.240780000000001</v>
      </c>
      <c r="V279" s="7"/>
      <c r="W279" s="7" t="str">
        <f>VLOOKUP($Q279,Mapping!$E$11:$I$96,3,0)</f>
        <v>Connections</v>
      </c>
      <c r="X279" s="7" t="str">
        <f>VLOOKUP($S279,Mapping!$E$140:$K$2771,5,0)</f>
        <v>System Control OH</v>
      </c>
      <c r="Y279" s="7" t="str">
        <f>VLOOKUP($S279,Mapping!$E$140:$K$2771,7,0)</f>
        <v>OH</v>
      </c>
      <c r="Z279" s="7" t="str">
        <f>IFERROR(HLOOKUP(X279,'Calc|Weightings'!$K$5:$M$5,1,0),"Excl")</f>
        <v>Excl</v>
      </c>
      <c r="AA279" s="7" t="str">
        <f>VLOOKUP(Q279,Mapping!$E$11:$I$96,5,0)</f>
        <v>SCS</v>
      </c>
      <c r="AC279" s="111">
        <v>107</v>
      </c>
      <c r="AD279" s="111" t="s">
        <v>2120</v>
      </c>
      <c r="AE279" s="111">
        <v>613574</v>
      </c>
      <c r="AF279" s="111" t="s">
        <v>1488</v>
      </c>
      <c r="AG279" s="112">
        <v>27.455870000000001</v>
      </c>
      <c r="AI279" s="7" t="str">
        <f>VLOOKUP($AC279,Mapping!$E$11:$I$96,3,0)</f>
        <v>Connections</v>
      </c>
      <c r="AJ279" s="7" t="str">
        <f>VLOOKUP($AE279,Mapping!$E$140:$K$2771,5,0)</f>
        <v>Labour</v>
      </c>
      <c r="AK279" s="7" t="str">
        <f>VLOOKUP($AE279,Mapping!$E$140:$K$2771,7,0)</f>
        <v>ENDirect</v>
      </c>
      <c r="AL279" s="7" t="str">
        <f>IFERROR(HLOOKUP(AJ279,'Calc|Weightings'!$K$5:$M$5,1,0),"Excl")</f>
        <v>Labour</v>
      </c>
      <c r="AM279" s="7" t="str">
        <f>VLOOKUP(AC279,Mapping!$E$11:$I$96,5,0)</f>
        <v>SCS</v>
      </c>
      <c r="AO279" s="134">
        <v>109</v>
      </c>
      <c r="AP279" s="135" t="s">
        <v>2124</v>
      </c>
      <c r="AQ279" s="135">
        <v>531468</v>
      </c>
      <c r="AR279" s="135" t="s">
        <v>260</v>
      </c>
      <c r="AS279" s="136">
        <v>4.5334599999999998</v>
      </c>
      <c r="AU279" s="7" t="str">
        <f>VLOOKUP($AO279,Mapping!$E$11:$I$96,3,0)</f>
        <v>Connections</v>
      </c>
      <c r="AV279" s="7" t="str">
        <f>VLOOKUP($AQ279,Mapping!$E$140:$K$2771,5,0)</f>
        <v>Contracts</v>
      </c>
      <c r="AW279" s="7" t="str">
        <f>VLOOKUP($AQ279,Mapping!$E$140:$K$2771,7,0)</f>
        <v>ENDirect</v>
      </c>
      <c r="AX279" s="7" t="str">
        <f>IFERROR(HLOOKUP(AV279,'Calc|Weightings'!$K$5:$M$5,1,0),"Excl")</f>
        <v>Contracts</v>
      </c>
      <c r="AY279" s="7" t="str">
        <f>VLOOKUP(AO279,Mapping!$E$11:$I$96,5,0)</f>
        <v>SCS</v>
      </c>
    </row>
    <row r="280" spans="1:51" x14ac:dyDescent="0.2">
      <c r="A280" s="7"/>
      <c r="B280" s="7"/>
      <c r="C280" s="7"/>
      <c r="D280" s="7"/>
      <c r="E280" s="36">
        <v>107</v>
      </c>
      <c r="F280" s="36" t="s">
        <v>2120</v>
      </c>
      <c r="G280" s="36">
        <v>613280</v>
      </c>
      <c r="H280" s="36" t="s">
        <v>1342</v>
      </c>
      <c r="I280" s="37">
        <v>29.53388</v>
      </c>
      <c r="J280" s="7"/>
      <c r="K280" s="7" t="str">
        <f>VLOOKUP($E280,Mapping!$E$11:$I$96,3,0)</f>
        <v>Connections</v>
      </c>
      <c r="L280" s="7" t="str">
        <f>VLOOKUP($G280,Mapping!$E$140:$K$2771,5,0)</f>
        <v>Labour</v>
      </c>
      <c r="M280" s="7" t="str">
        <f>VLOOKUP($G280,Mapping!$E$140:$K$2771,7,0)</f>
        <v>ENDirect</v>
      </c>
      <c r="N280" s="7" t="str">
        <f>IFERROR(HLOOKUP(L280,'Calc|Weightings'!$K$5:$M$5,1,0),"Excl")</f>
        <v>Labour</v>
      </c>
      <c r="O280" s="7" t="str">
        <f>VLOOKUP(E280,Mapping!$E$11:$I$96,5,0)</f>
        <v>SCS</v>
      </c>
      <c r="Q280" s="33">
        <v>107</v>
      </c>
      <c r="R280" s="33" t="s">
        <v>2120</v>
      </c>
      <c r="S280" s="33">
        <v>636105</v>
      </c>
      <c r="T280" s="33" t="s">
        <v>1937</v>
      </c>
      <c r="U280" s="34">
        <v>1.24E-2</v>
      </c>
      <c r="V280" s="7"/>
      <c r="W280" s="7" t="str">
        <f>VLOOKUP($Q280,Mapping!$E$11:$I$96,3,0)</f>
        <v>Connections</v>
      </c>
      <c r="X280" s="7" t="str">
        <f>VLOOKUP($S280,Mapping!$E$140:$K$2771,5,0)</f>
        <v>CSG MG</v>
      </c>
      <c r="Y280" s="7" t="str">
        <f>VLOOKUP($S280,Mapping!$E$140:$K$2771,7,0)</f>
        <v>ENDirect</v>
      </c>
      <c r="Z280" s="7" t="str">
        <f>IFERROR(HLOOKUP(X280,'Calc|Weightings'!$K$5:$M$5,1,0),"Excl")</f>
        <v>Excl</v>
      </c>
      <c r="AA280" s="7" t="str">
        <f>VLOOKUP(Q280,Mapping!$E$11:$I$96,5,0)</f>
        <v>SCS</v>
      </c>
      <c r="AC280" s="111">
        <v>107</v>
      </c>
      <c r="AD280" s="111" t="s">
        <v>2120</v>
      </c>
      <c r="AE280" s="111">
        <v>613575</v>
      </c>
      <c r="AF280" s="111" t="s">
        <v>1489</v>
      </c>
      <c r="AG280" s="112">
        <v>0.64900000000000002</v>
      </c>
      <c r="AI280" s="7" t="str">
        <f>VLOOKUP($AC280,Mapping!$E$11:$I$96,3,0)</f>
        <v>Connections</v>
      </c>
      <c r="AJ280" s="7" t="str">
        <f>VLOOKUP($AE280,Mapping!$E$140:$K$2771,5,0)</f>
        <v>Labour</v>
      </c>
      <c r="AK280" s="7" t="str">
        <f>VLOOKUP($AE280,Mapping!$E$140:$K$2771,7,0)</f>
        <v>ENDirect</v>
      </c>
      <c r="AL280" s="7" t="str">
        <f>IFERROR(HLOOKUP(AJ280,'Calc|Weightings'!$K$5:$M$5,1,0),"Excl")</f>
        <v>Labour</v>
      </c>
      <c r="AM280" s="7" t="str">
        <f>VLOOKUP(AC280,Mapping!$E$11:$I$96,5,0)</f>
        <v>SCS</v>
      </c>
      <c r="AO280" s="134">
        <v>109</v>
      </c>
      <c r="AP280" s="135" t="s">
        <v>2124</v>
      </c>
      <c r="AQ280" s="135">
        <v>532200</v>
      </c>
      <c r="AR280" s="135" t="s">
        <v>291</v>
      </c>
      <c r="AS280" s="136">
        <v>1.9328000000000001</v>
      </c>
      <c r="AU280" s="7" t="str">
        <f>VLOOKUP($AO280,Mapping!$E$11:$I$96,3,0)</f>
        <v>Connections</v>
      </c>
      <c r="AV280" s="7" t="str">
        <f>VLOOKUP($AQ280,Mapping!$E$140:$K$2771,5,0)</f>
        <v>Contracts</v>
      </c>
      <c r="AW280" s="7" t="str">
        <f>VLOOKUP($AQ280,Mapping!$E$140:$K$2771,7,0)</f>
        <v>ENDirect</v>
      </c>
      <c r="AX280" s="7" t="str">
        <f>IFERROR(HLOOKUP(AV280,'Calc|Weightings'!$K$5:$M$5,1,0),"Excl")</f>
        <v>Contracts</v>
      </c>
      <c r="AY280" s="7" t="str">
        <f>VLOOKUP(AO280,Mapping!$E$11:$I$96,5,0)</f>
        <v>SCS</v>
      </c>
    </row>
    <row r="281" spans="1:51" x14ac:dyDescent="0.2">
      <c r="A281" s="7"/>
      <c r="B281" s="7"/>
      <c r="C281" s="7"/>
      <c r="D281" s="7"/>
      <c r="E281" s="36">
        <v>107</v>
      </c>
      <c r="F281" s="36" t="s">
        <v>2120</v>
      </c>
      <c r="G281" s="36">
        <v>613281</v>
      </c>
      <c r="H281" s="36" t="s">
        <v>1343</v>
      </c>
      <c r="I281" s="37">
        <v>0.90559999999999996</v>
      </c>
      <c r="J281" s="7"/>
      <c r="K281" s="7" t="str">
        <f>VLOOKUP($E281,Mapping!$E$11:$I$96,3,0)</f>
        <v>Connections</v>
      </c>
      <c r="L281" s="7" t="str">
        <f>VLOOKUP($G281,Mapping!$E$140:$K$2771,5,0)</f>
        <v>Labour</v>
      </c>
      <c r="M281" s="7" t="str">
        <f>VLOOKUP($G281,Mapping!$E$140:$K$2771,7,0)</f>
        <v>ENDirect</v>
      </c>
      <c r="N281" s="7" t="str">
        <f>IFERROR(HLOOKUP(L281,'Calc|Weightings'!$K$5:$M$5,1,0),"Excl")</f>
        <v>Labour</v>
      </c>
      <c r="O281" s="7" t="str">
        <f>VLOOKUP(E281,Mapping!$E$11:$I$96,5,0)</f>
        <v>SCS</v>
      </c>
      <c r="Q281" s="33">
        <v>107</v>
      </c>
      <c r="R281" s="33" t="s">
        <v>2120</v>
      </c>
      <c r="S281" s="33">
        <v>639000</v>
      </c>
      <c r="T281" s="33" t="s">
        <v>2112</v>
      </c>
      <c r="U281" s="34">
        <v>238.21475000000001</v>
      </c>
      <c r="V281" s="7"/>
      <c r="W281" s="7" t="str">
        <f>VLOOKUP($Q281,Mapping!$E$11:$I$96,3,0)</f>
        <v>Connections</v>
      </c>
      <c r="X281" s="7" t="str">
        <f>VLOOKUP($S281,Mapping!$E$140:$K$2771,5,0)</f>
        <v>PNS Corporate OH</v>
      </c>
      <c r="Y281" s="7" t="str">
        <f>VLOOKUP($S281,Mapping!$E$140:$K$2771,7,0)</f>
        <v>OH</v>
      </c>
      <c r="Z281" s="7" t="str">
        <f>IFERROR(HLOOKUP(X281,'Calc|Weightings'!$K$5:$M$5,1,0),"Excl")</f>
        <v>Excl</v>
      </c>
      <c r="AA281" s="7" t="str">
        <f>VLOOKUP(Q281,Mapping!$E$11:$I$96,5,0)</f>
        <v>SCS</v>
      </c>
      <c r="AC281" s="111">
        <v>107</v>
      </c>
      <c r="AD281" s="111" t="s">
        <v>2120</v>
      </c>
      <c r="AE281" s="111">
        <v>613576</v>
      </c>
      <c r="AF281" s="111" t="s">
        <v>1490</v>
      </c>
      <c r="AG281" s="112">
        <v>15.188800000000001</v>
      </c>
      <c r="AI281" s="7" t="str">
        <f>VLOOKUP($AC281,Mapping!$E$11:$I$96,3,0)</f>
        <v>Connections</v>
      </c>
      <c r="AJ281" s="7" t="str">
        <f>VLOOKUP($AE281,Mapping!$E$140:$K$2771,5,0)</f>
        <v>Labour</v>
      </c>
      <c r="AK281" s="7" t="str">
        <f>VLOOKUP($AE281,Mapping!$E$140:$K$2771,7,0)</f>
        <v>ENDirect</v>
      </c>
      <c r="AL281" s="7" t="str">
        <f>IFERROR(HLOOKUP(AJ281,'Calc|Weightings'!$K$5:$M$5,1,0),"Excl")</f>
        <v>Labour</v>
      </c>
      <c r="AM281" s="7" t="str">
        <f>VLOOKUP(AC281,Mapping!$E$11:$I$96,5,0)</f>
        <v>SCS</v>
      </c>
      <c r="AO281" s="134">
        <v>109</v>
      </c>
      <c r="AP281" s="135" t="s">
        <v>2124</v>
      </c>
      <c r="AQ281" s="135">
        <v>532410</v>
      </c>
      <c r="AR281" s="135" t="s">
        <v>305</v>
      </c>
      <c r="AS281" s="136">
        <v>25.270209999999999</v>
      </c>
      <c r="AU281" s="7" t="str">
        <f>VLOOKUP($AO281,Mapping!$E$11:$I$96,3,0)</f>
        <v>Connections</v>
      </c>
      <c r="AV281" s="7" t="str">
        <f>VLOOKUP($AQ281,Mapping!$E$140:$K$2771,5,0)</f>
        <v>Labour</v>
      </c>
      <c r="AW281" s="7" t="str">
        <f>VLOOKUP($AQ281,Mapping!$E$140:$K$2771,7,0)</f>
        <v>ENDirect</v>
      </c>
      <c r="AX281" s="7" t="str">
        <f>IFERROR(HLOOKUP(AV281,'Calc|Weightings'!$K$5:$M$5,1,0),"Excl")</f>
        <v>Labour</v>
      </c>
      <c r="AY281" s="7" t="str">
        <f>VLOOKUP(AO281,Mapping!$E$11:$I$96,5,0)</f>
        <v>SCS</v>
      </c>
    </row>
    <row r="282" spans="1:51" x14ac:dyDescent="0.2">
      <c r="A282" s="7"/>
      <c r="B282" s="7"/>
      <c r="C282" s="7"/>
      <c r="D282" s="7"/>
      <c r="E282" s="36">
        <v>107</v>
      </c>
      <c r="F282" s="36" t="s">
        <v>2120</v>
      </c>
      <c r="G282" s="36">
        <v>613290</v>
      </c>
      <c r="H282" s="36" t="s">
        <v>2093</v>
      </c>
      <c r="I282" s="37">
        <v>-2.2249500000000002</v>
      </c>
      <c r="J282" s="7"/>
      <c r="K282" s="7" t="str">
        <f>VLOOKUP($E282,Mapping!$E$11:$I$96,3,0)</f>
        <v>Connections</v>
      </c>
      <c r="L282" s="7" t="str">
        <f>VLOOKUP($G282,Mapping!$E$140:$K$2771,5,0)</f>
        <v>Labour</v>
      </c>
      <c r="M282" s="7" t="str">
        <f>VLOOKUP($G282,Mapping!$E$140:$K$2771,7,0)</f>
        <v>ENDirect</v>
      </c>
      <c r="N282" s="7" t="str">
        <f>IFERROR(HLOOKUP(L282,'Calc|Weightings'!$K$5:$M$5,1,0),"Excl")</f>
        <v>Labour</v>
      </c>
      <c r="O282" s="7" t="str">
        <f>VLOOKUP(E282,Mapping!$E$11:$I$96,5,0)</f>
        <v>SCS</v>
      </c>
      <c r="Q282" s="33">
        <v>107</v>
      </c>
      <c r="R282" s="33" t="s">
        <v>2120</v>
      </c>
      <c r="S282" s="33">
        <v>639050</v>
      </c>
      <c r="T282" s="33" t="s">
        <v>2113</v>
      </c>
      <c r="U282" s="34">
        <v>40.444609999999997</v>
      </c>
      <c r="V282" s="7"/>
      <c r="W282" s="7" t="str">
        <f>VLOOKUP($Q282,Mapping!$E$11:$I$96,3,0)</f>
        <v>Connections</v>
      </c>
      <c r="X282" s="7" t="str">
        <f>VLOOKUP($S282,Mapping!$E$140:$K$2771,5,0)</f>
        <v>PNS Fleet &amp; Property OH</v>
      </c>
      <c r="Y282" s="7" t="str">
        <f>VLOOKUP($S282,Mapping!$E$140:$K$2771,7,0)</f>
        <v>OH</v>
      </c>
      <c r="Z282" s="7" t="str">
        <f>IFERROR(HLOOKUP(X282,'Calc|Weightings'!$K$5:$M$5,1,0),"Excl")</f>
        <v>Excl</v>
      </c>
      <c r="AA282" s="7" t="str">
        <f>VLOOKUP(Q282,Mapping!$E$11:$I$96,5,0)</f>
        <v>SCS</v>
      </c>
      <c r="AC282" s="111">
        <v>107</v>
      </c>
      <c r="AD282" s="111" t="s">
        <v>2120</v>
      </c>
      <c r="AE282" s="111">
        <v>613577</v>
      </c>
      <c r="AF282" s="111" t="s">
        <v>1491</v>
      </c>
      <c r="AG282" s="112">
        <v>19.6431</v>
      </c>
      <c r="AI282" s="7" t="str">
        <f>VLOOKUP($AC282,Mapping!$E$11:$I$96,3,0)</f>
        <v>Connections</v>
      </c>
      <c r="AJ282" s="7" t="str">
        <f>VLOOKUP($AE282,Mapping!$E$140:$K$2771,5,0)</f>
        <v>Labour</v>
      </c>
      <c r="AK282" s="7" t="str">
        <f>VLOOKUP($AE282,Mapping!$E$140:$K$2771,7,0)</f>
        <v>ENDirect</v>
      </c>
      <c r="AL282" s="7" t="str">
        <f>IFERROR(HLOOKUP(AJ282,'Calc|Weightings'!$K$5:$M$5,1,0),"Excl")</f>
        <v>Labour</v>
      </c>
      <c r="AM282" s="7" t="str">
        <f>VLOOKUP(AC282,Mapping!$E$11:$I$96,5,0)</f>
        <v>SCS</v>
      </c>
      <c r="AO282" s="134">
        <v>109</v>
      </c>
      <c r="AP282" s="135" t="s">
        <v>2124</v>
      </c>
      <c r="AQ282" s="135">
        <v>591997</v>
      </c>
      <c r="AR282" s="135" t="s">
        <v>2194</v>
      </c>
      <c r="AS282" s="136">
        <v>-1.5194700000000001</v>
      </c>
      <c r="AU282" s="7" t="str">
        <f>VLOOKUP($AO282,Mapping!$E$11:$I$96,3,0)</f>
        <v>Connections</v>
      </c>
      <c r="AV282" s="7" t="str">
        <f>VLOOKUP($AQ282,Mapping!$E$140:$K$2771,5,0)</f>
        <v>Contracts</v>
      </c>
      <c r="AW282" s="7" t="str">
        <f>VLOOKUP($AQ282,Mapping!$E$140:$K$2771,7,0)</f>
        <v>ENDirect</v>
      </c>
      <c r="AX282" s="7" t="str">
        <f>IFERROR(HLOOKUP(AV282,'Calc|Weightings'!$K$5:$M$5,1,0),"Excl")</f>
        <v>Contracts</v>
      </c>
      <c r="AY282" s="7" t="str">
        <f>VLOOKUP(AO282,Mapping!$E$11:$I$96,5,0)</f>
        <v>SCS</v>
      </c>
    </row>
    <row r="283" spans="1:51" x14ac:dyDescent="0.2">
      <c r="A283" s="7"/>
      <c r="B283" s="7"/>
      <c r="C283" s="7"/>
      <c r="D283" s="7"/>
      <c r="E283" s="36">
        <v>107</v>
      </c>
      <c r="F283" s="36" t="s">
        <v>2120</v>
      </c>
      <c r="G283" s="36">
        <v>613298</v>
      </c>
      <c r="H283" s="36" t="s">
        <v>2122</v>
      </c>
      <c r="I283" s="37">
        <v>53.549590000000002</v>
      </c>
      <c r="J283" s="7"/>
      <c r="K283" s="7" t="str">
        <f>VLOOKUP($E283,Mapping!$E$11:$I$96,3,0)</f>
        <v>Connections</v>
      </c>
      <c r="L283" s="7" t="str">
        <f>VLOOKUP($G283,Mapping!$E$140:$K$2771,5,0)</f>
        <v>Labour</v>
      </c>
      <c r="M283" s="7" t="str">
        <f>VLOOKUP($G283,Mapping!$E$140:$K$2771,7,0)</f>
        <v>ENDirect</v>
      </c>
      <c r="N283" s="7" t="str">
        <f>IFERROR(HLOOKUP(L283,'Calc|Weightings'!$K$5:$M$5,1,0),"Excl")</f>
        <v>Labour</v>
      </c>
      <c r="O283" s="7" t="str">
        <f>VLOOKUP(E283,Mapping!$E$11:$I$96,5,0)</f>
        <v>SCS</v>
      </c>
      <c r="Q283" s="33">
        <v>109</v>
      </c>
      <c r="R283" s="33" t="s">
        <v>2124</v>
      </c>
      <c r="S283" s="33">
        <v>500200</v>
      </c>
      <c r="T283" s="33" t="s">
        <v>136</v>
      </c>
      <c r="U283" s="34">
        <v>0.28050000000000003</v>
      </c>
      <c r="V283" s="7"/>
      <c r="W283" s="7" t="str">
        <f>VLOOKUP($Q283,Mapping!$E$11:$I$96,3,0)</f>
        <v>Connections</v>
      </c>
      <c r="X283" s="7" t="str">
        <f>VLOOKUP($S283,Mapping!$E$140:$K$2771,5,0)</f>
        <v>Labour</v>
      </c>
      <c r="Y283" s="7" t="str">
        <f>VLOOKUP($S283,Mapping!$E$140:$K$2771,7,0)</f>
        <v>ENDirect</v>
      </c>
      <c r="Z283" s="7" t="str">
        <f>IFERROR(HLOOKUP(X283,'Calc|Weightings'!$K$5:$M$5,1,0),"Excl")</f>
        <v>Labour</v>
      </c>
      <c r="AA283" s="7" t="str">
        <f>VLOOKUP(Q283,Mapping!$E$11:$I$96,5,0)</f>
        <v>SCS</v>
      </c>
      <c r="AC283" s="111">
        <v>107</v>
      </c>
      <c r="AD283" s="111" t="s">
        <v>2120</v>
      </c>
      <c r="AE283" s="111">
        <v>613602</v>
      </c>
      <c r="AF283" s="111" t="s">
        <v>1494</v>
      </c>
      <c r="AG283" s="112">
        <v>2.2092800000000001</v>
      </c>
      <c r="AI283" s="7" t="str">
        <f>VLOOKUP($AC283,Mapping!$E$11:$I$96,3,0)</f>
        <v>Connections</v>
      </c>
      <c r="AJ283" s="7" t="str">
        <f>VLOOKUP($AE283,Mapping!$E$140:$K$2771,5,0)</f>
        <v>Labour</v>
      </c>
      <c r="AK283" s="7" t="str">
        <f>VLOOKUP($AE283,Mapping!$E$140:$K$2771,7,0)</f>
        <v>ENDirect</v>
      </c>
      <c r="AL283" s="7" t="str">
        <f>IFERROR(HLOOKUP(AJ283,'Calc|Weightings'!$K$5:$M$5,1,0),"Excl")</f>
        <v>Labour</v>
      </c>
      <c r="AM283" s="7" t="str">
        <f>VLOOKUP(AC283,Mapping!$E$11:$I$96,5,0)</f>
        <v>SCS</v>
      </c>
      <c r="AO283" s="134">
        <v>109</v>
      </c>
      <c r="AP283" s="135" t="s">
        <v>2124</v>
      </c>
      <c r="AQ283" s="135">
        <v>591998</v>
      </c>
      <c r="AR283" s="135" t="s">
        <v>2077</v>
      </c>
      <c r="AS283" s="136">
        <v>-67.12491</v>
      </c>
      <c r="AU283" s="7" t="str">
        <f>VLOOKUP($AO283,Mapping!$E$11:$I$96,3,0)</f>
        <v>Connections</v>
      </c>
      <c r="AV283" s="7" t="str">
        <f>VLOOKUP($AQ283,Mapping!$E$140:$K$2771,5,0)</f>
        <v>Contracts</v>
      </c>
      <c r="AW283" s="7" t="str">
        <f>VLOOKUP($AQ283,Mapping!$E$140:$K$2771,7,0)</f>
        <v>ENDirect</v>
      </c>
      <c r="AX283" s="7" t="str">
        <f>IFERROR(HLOOKUP(AV283,'Calc|Weightings'!$K$5:$M$5,1,0),"Excl")</f>
        <v>Contracts</v>
      </c>
      <c r="AY283" s="7" t="str">
        <f>VLOOKUP(AO283,Mapping!$E$11:$I$96,5,0)</f>
        <v>SCS</v>
      </c>
    </row>
    <row r="284" spans="1:51" x14ac:dyDescent="0.2">
      <c r="A284" s="7"/>
      <c r="B284" s="7"/>
      <c r="C284" s="7"/>
      <c r="D284" s="7"/>
      <c r="E284" s="36">
        <v>107</v>
      </c>
      <c r="F284" s="36" t="s">
        <v>2120</v>
      </c>
      <c r="G284" s="36">
        <v>613299</v>
      </c>
      <c r="H284" s="36" t="s">
        <v>2385</v>
      </c>
      <c r="I284" s="37">
        <v>1.7510000000000001E-2</v>
      </c>
      <c r="J284" s="7"/>
      <c r="K284" s="7" t="str">
        <f>VLOOKUP($E284,Mapping!$E$11:$I$96,3,0)</f>
        <v>Connections</v>
      </c>
      <c r="L284" s="7" t="str">
        <f>VLOOKUP($G284,Mapping!$E$140:$K$2771,5,0)</f>
        <v>Labour</v>
      </c>
      <c r="M284" s="7" t="str">
        <f>VLOOKUP($G284,Mapping!$E$140:$K$2771,7,0)</f>
        <v>ENDirect</v>
      </c>
      <c r="N284" s="7" t="str">
        <f>IFERROR(HLOOKUP(L284,'Calc|Weightings'!$K$5:$M$5,1,0),"Excl")</f>
        <v>Labour</v>
      </c>
      <c r="O284" s="7" t="str">
        <f>VLOOKUP(E284,Mapping!$E$11:$I$96,5,0)</f>
        <v>SCS</v>
      </c>
      <c r="Q284" s="33">
        <v>109</v>
      </c>
      <c r="R284" s="33" t="s">
        <v>2124</v>
      </c>
      <c r="S284" s="33">
        <v>520100</v>
      </c>
      <c r="T284" s="33" t="s">
        <v>2072</v>
      </c>
      <c r="U284" s="34">
        <v>40.852969999999999</v>
      </c>
      <c r="V284" s="7"/>
      <c r="W284" s="7" t="str">
        <f>VLOOKUP($Q284,Mapping!$E$11:$I$96,3,0)</f>
        <v>Connections</v>
      </c>
      <c r="X284" s="7" t="str">
        <f>VLOOKUP($S284,Mapping!$E$140:$K$2771,5,0)</f>
        <v>Materials</v>
      </c>
      <c r="Y284" s="7" t="str">
        <f>VLOOKUP($S284,Mapping!$E$140:$K$2771,7,0)</f>
        <v>ENDirect</v>
      </c>
      <c r="Z284" s="7" t="str">
        <f>IFERROR(HLOOKUP(X284,'Calc|Weightings'!$K$5:$M$5,1,0),"Excl")</f>
        <v>Materials</v>
      </c>
      <c r="AA284" s="7" t="str">
        <f>VLOOKUP(Q284,Mapping!$E$11:$I$96,5,0)</f>
        <v>SCS</v>
      </c>
      <c r="AC284" s="111">
        <v>107</v>
      </c>
      <c r="AD284" s="111" t="s">
        <v>2120</v>
      </c>
      <c r="AE284" s="111">
        <v>613603</v>
      </c>
      <c r="AF284" s="111" t="s">
        <v>1495</v>
      </c>
      <c r="AG284" s="112">
        <v>2.3955000000000002</v>
      </c>
      <c r="AI284" s="7" t="str">
        <f>VLOOKUP($AC284,Mapping!$E$11:$I$96,3,0)</f>
        <v>Connections</v>
      </c>
      <c r="AJ284" s="7" t="str">
        <f>VLOOKUP($AE284,Mapping!$E$140:$K$2771,5,0)</f>
        <v>Labour</v>
      </c>
      <c r="AK284" s="7" t="str">
        <f>VLOOKUP($AE284,Mapping!$E$140:$K$2771,7,0)</f>
        <v>ENDirect</v>
      </c>
      <c r="AL284" s="7" t="str">
        <f>IFERROR(HLOOKUP(AJ284,'Calc|Weightings'!$K$5:$M$5,1,0),"Excl")</f>
        <v>Labour</v>
      </c>
      <c r="AM284" s="7" t="str">
        <f>VLOOKUP(AC284,Mapping!$E$11:$I$96,5,0)</f>
        <v>SCS</v>
      </c>
      <c r="AO284" s="134">
        <v>109</v>
      </c>
      <c r="AP284" s="135" t="s">
        <v>2124</v>
      </c>
      <c r="AQ284" s="135">
        <v>591999</v>
      </c>
      <c r="AR284" s="135" t="s">
        <v>2195</v>
      </c>
      <c r="AS284" s="136">
        <v>-14.90765</v>
      </c>
      <c r="AU284" s="7" t="str">
        <f>VLOOKUP($AO284,Mapping!$E$11:$I$96,3,0)</f>
        <v>Connections</v>
      </c>
      <c r="AV284" s="7" t="str">
        <f>VLOOKUP($AQ284,Mapping!$E$140:$K$2771,5,0)</f>
        <v>Contracts</v>
      </c>
      <c r="AW284" s="7" t="str">
        <f>VLOOKUP($AQ284,Mapping!$E$140:$K$2771,7,0)</f>
        <v>ENDirect</v>
      </c>
      <c r="AX284" s="7" t="str">
        <f>IFERROR(HLOOKUP(AV284,'Calc|Weightings'!$K$5:$M$5,1,0),"Excl")</f>
        <v>Contracts</v>
      </c>
      <c r="AY284" s="7" t="str">
        <f>VLOOKUP(AO284,Mapping!$E$11:$I$96,5,0)</f>
        <v>SCS</v>
      </c>
    </row>
    <row r="285" spans="1:51" x14ac:dyDescent="0.2">
      <c r="A285" s="7"/>
      <c r="B285" s="7"/>
      <c r="C285" s="7"/>
      <c r="D285" s="7"/>
      <c r="E285" s="36">
        <v>107</v>
      </c>
      <c r="F285" s="36" t="s">
        <v>2120</v>
      </c>
      <c r="G285" s="36">
        <v>613310</v>
      </c>
      <c r="H285" s="36" t="s">
        <v>2095</v>
      </c>
      <c r="I285" s="37">
        <v>13.845179999999999</v>
      </c>
      <c r="J285" s="7"/>
      <c r="K285" s="7" t="str">
        <f>VLOOKUP($E285,Mapping!$E$11:$I$96,3,0)</f>
        <v>Connections</v>
      </c>
      <c r="L285" s="7" t="str">
        <f>VLOOKUP($G285,Mapping!$E$140:$K$2771,5,0)</f>
        <v>Labour</v>
      </c>
      <c r="M285" s="7" t="str">
        <f>VLOOKUP($G285,Mapping!$E$140:$K$2771,7,0)</f>
        <v>ENDirect</v>
      </c>
      <c r="N285" s="7" t="str">
        <f>IFERROR(HLOOKUP(L285,'Calc|Weightings'!$K$5:$M$5,1,0),"Excl")</f>
        <v>Labour</v>
      </c>
      <c r="O285" s="7" t="str">
        <f>VLOOKUP(E285,Mapping!$E$11:$I$96,5,0)</f>
        <v>SCS</v>
      </c>
      <c r="Q285" s="33">
        <v>109</v>
      </c>
      <c r="R285" s="33" t="s">
        <v>2124</v>
      </c>
      <c r="S285" s="33">
        <v>523100</v>
      </c>
      <c r="T285" s="33" t="s">
        <v>2074</v>
      </c>
      <c r="U285" s="34">
        <v>2.0742799999999999</v>
      </c>
      <c r="V285" s="7"/>
      <c r="W285" s="7" t="str">
        <f>VLOOKUP($Q285,Mapping!$E$11:$I$96,3,0)</f>
        <v>Connections</v>
      </c>
      <c r="X285" s="7" t="str">
        <f>VLOOKUP($S285,Mapping!$E$140:$K$2771,5,0)</f>
        <v>Materials</v>
      </c>
      <c r="Y285" s="7" t="str">
        <f>VLOOKUP($S285,Mapping!$E$140:$K$2771,7,0)</f>
        <v>ENDirect</v>
      </c>
      <c r="Z285" s="7" t="str">
        <f>IFERROR(HLOOKUP(X285,'Calc|Weightings'!$K$5:$M$5,1,0),"Excl")</f>
        <v>Materials</v>
      </c>
      <c r="AA285" s="7" t="str">
        <f>VLOOKUP(Q285,Mapping!$E$11:$I$96,5,0)</f>
        <v>SCS</v>
      </c>
      <c r="AC285" s="111">
        <v>107</v>
      </c>
      <c r="AD285" s="111" t="s">
        <v>2120</v>
      </c>
      <c r="AE285" s="111">
        <v>613630</v>
      </c>
      <c r="AF285" s="111" t="s">
        <v>1498</v>
      </c>
      <c r="AG285" s="112">
        <v>8.0117700000000003</v>
      </c>
      <c r="AI285" s="7" t="str">
        <f>VLOOKUP($AC285,Mapping!$E$11:$I$96,3,0)</f>
        <v>Connections</v>
      </c>
      <c r="AJ285" s="7" t="str">
        <f>VLOOKUP($AE285,Mapping!$E$140:$K$2771,5,0)</f>
        <v>Labour</v>
      </c>
      <c r="AK285" s="7" t="str">
        <f>VLOOKUP($AE285,Mapping!$E$140:$K$2771,7,0)</f>
        <v>ENDirect</v>
      </c>
      <c r="AL285" s="7" t="str">
        <f>IFERROR(HLOOKUP(AJ285,'Calc|Weightings'!$K$5:$M$5,1,0),"Excl")</f>
        <v>Labour</v>
      </c>
      <c r="AM285" s="7" t="str">
        <f>VLOOKUP(AC285,Mapping!$E$11:$I$96,5,0)</f>
        <v>SCS</v>
      </c>
      <c r="AO285" s="134">
        <v>109</v>
      </c>
      <c r="AP285" s="135" t="s">
        <v>2124</v>
      </c>
      <c r="AQ285" s="135">
        <v>611900</v>
      </c>
      <c r="AR285" s="135" t="s">
        <v>2079</v>
      </c>
      <c r="AS285" s="136">
        <v>0.32285999999999998</v>
      </c>
      <c r="AU285" s="7" t="str">
        <f>VLOOKUP($AO285,Mapping!$E$11:$I$96,3,0)</f>
        <v>Connections</v>
      </c>
      <c r="AV285" s="7" t="str">
        <f>VLOOKUP($AQ285,Mapping!$E$140:$K$2771,5,0)</f>
        <v>Contracts</v>
      </c>
      <c r="AW285" s="7" t="str">
        <f>VLOOKUP($AQ285,Mapping!$E$140:$K$2771,7,0)</f>
        <v>ENDirect</v>
      </c>
      <c r="AX285" s="7" t="str">
        <f>IFERROR(HLOOKUP(AV285,'Calc|Weightings'!$K$5:$M$5,1,0),"Excl")</f>
        <v>Contracts</v>
      </c>
      <c r="AY285" s="7" t="str">
        <f>VLOOKUP(AO285,Mapping!$E$11:$I$96,5,0)</f>
        <v>SCS</v>
      </c>
    </row>
    <row r="286" spans="1:51" x14ac:dyDescent="0.2">
      <c r="A286" s="7"/>
      <c r="B286" s="7"/>
      <c r="C286" s="7"/>
      <c r="D286" s="7"/>
      <c r="E286" s="36">
        <v>107</v>
      </c>
      <c r="F286" s="36" t="s">
        <v>2120</v>
      </c>
      <c r="G286" s="36">
        <v>613311</v>
      </c>
      <c r="H286" s="36" t="s">
        <v>2116</v>
      </c>
      <c r="I286" s="37">
        <v>1.2644</v>
      </c>
      <c r="J286" s="7"/>
      <c r="K286" s="7" t="str">
        <f>VLOOKUP($E286,Mapping!$E$11:$I$96,3,0)</f>
        <v>Connections</v>
      </c>
      <c r="L286" s="7" t="str">
        <f>VLOOKUP($G286,Mapping!$E$140:$K$2771,5,0)</f>
        <v>Labour</v>
      </c>
      <c r="M286" s="7" t="str">
        <f>VLOOKUP($G286,Mapping!$E$140:$K$2771,7,0)</f>
        <v>ENDirect</v>
      </c>
      <c r="N286" s="7" t="str">
        <f>IFERROR(HLOOKUP(L286,'Calc|Weightings'!$K$5:$M$5,1,0),"Excl")</f>
        <v>Labour</v>
      </c>
      <c r="O286" s="7" t="str">
        <f>VLOOKUP(E286,Mapping!$E$11:$I$96,5,0)</f>
        <v>SCS</v>
      </c>
      <c r="Q286" s="33">
        <v>109</v>
      </c>
      <c r="R286" s="33" t="s">
        <v>2124</v>
      </c>
      <c r="S286" s="33">
        <v>531020</v>
      </c>
      <c r="T286" s="33" t="s">
        <v>219</v>
      </c>
      <c r="U286" s="34">
        <v>2.2919700000000001</v>
      </c>
      <c r="V286" s="7"/>
      <c r="W286" s="7" t="str">
        <f>VLOOKUP($Q286,Mapping!$E$11:$I$96,3,0)</f>
        <v>Connections</v>
      </c>
      <c r="X286" s="7" t="str">
        <f>VLOOKUP($S286,Mapping!$E$140:$K$2771,5,0)</f>
        <v>Labour</v>
      </c>
      <c r="Y286" s="7" t="str">
        <f>VLOOKUP($S286,Mapping!$E$140:$K$2771,7,0)</f>
        <v>ENDirect</v>
      </c>
      <c r="Z286" s="7" t="str">
        <f>IFERROR(HLOOKUP(X286,'Calc|Weightings'!$K$5:$M$5,1,0),"Excl")</f>
        <v>Labour</v>
      </c>
      <c r="AA286" s="7" t="str">
        <f>VLOOKUP(Q286,Mapping!$E$11:$I$96,5,0)</f>
        <v>SCS</v>
      </c>
      <c r="AC286" s="111">
        <v>107</v>
      </c>
      <c r="AD286" s="111" t="s">
        <v>2120</v>
      </c>
      <c r="AE286" s="111">
        <v>613680</v>
      </c>
      <c r="AF286" s="111" t="s">
        <v>2107</v>
      </c>
      <c r="AG286" s="112">
        <v>5.1688000000000001</v>
      </c>
      <c r="AI286" s="7" t="str">
        <f>VLOOKUP($AC286,Mapping!$E$11:$I$96,3,0)</f>
        <v>Connections</v>
      </c>
      <c r="AJ286" s="7" t="str">
        <f>VLOOKUP($AE286,Mapping!$E$140:$K$2771,5,0)</f>
        <v>Labour</v>
      </c>
      <c r="AK286" s="7" t="str">
        <f>VLOOKUP($AE286,Mapping!$E$140:$K$2771,7,0)</f>
        <v>ENDirect</v>
      </c>
      <c r="AL286" s="7" t="str">
        <f>IFERROR(HLOOKUP(AJ286,'Calc|Weightings'!$K$5:$M$5,1,0),"Excl")</f>
        <v>Labour</v>
      </c>
      <c r="AM286" s="7" t="str">
        <f>VLOOKUP(AC286,Mapping!$E$11:$I$96,5,0)</f>
        <v>SCS</v>
      </c>
      <c r="AO286" s="134">
        <v>109</v>
      </c>
      <c r="AP286" s="135" t="s">
        <v>2124</v>
      </c>
      <c r="AQ286" s="135">
        <v>611901</v>
      </c>
      <c r="AR286" s="135" t="s">
        <v>2080</v>
      </c>
      <c r="AS286" s="136">
        <v>0.29960999999999999</v>
      </c>
      <c r="AU286" s="7" t="str">
        <f>VLOOKUP($AO286,Mapping!$E$11:$I$96,3,0)</f>
        <v>Connections</v>
      </c>
      <c r="AV286" s="7" t="str">
        <f>VLOOKUP($AQ286,Mapping!$E$140:$K$2771,5,0)</f>
        <v>Contracts</v>
      </c>
      <c r="AW286" s="7" t="str">
        <f>VLOOKUP($AQ286,Mapping!$E$140:$K$2771,7,0)</f>
        <v>ENDirect</v>
      </c>
      <c r="AX286" s="7" t="str">
        <f>IFERROR(HLOOKUP(AV286,'Calc|Weightings'!$K$5:$M$5,1,0),"Excl")</f>
        <v>Contracts</v>
      </c>
      <c r="AY286" s="7" t="str">
        <f>VLOOKUP(AO286,Mapping!$E$11:$I$96,5,0)</f>
        <v>SCS</v>
      </c>
    </row>
    <row r="287" spans="1:51" x14ac:dyDescent="0.2">
      <c r="A287" s="7"/>
      <c r="B287" s="7"/>
      <c r="C287" s="7"/>
      <c r="D287" s="7"/>
      <c r="E287" s="36">
        <v>107</v>
      </c>
      <c r="F287" s="36" t="s">
        <v>2120</v>
      </c>
      <c r="G287" s="36">
        <v>613318</v>
      </c>
      <c r="H287" s="36" t="s">
        <v>1360</v>
      </c>
      <c r="I287" s="37">
        <v>1.51728</v>
      </c>
      <c r="J287" s="7"/>
      <c r="K287" s="7" t="str">
        <f>VLOOKUP($E287,Mapping!$E$11:$I$96,3,0)</f>
        <v>Connections</v>
      </c>
      <c r="L287" s="7" t="str">
        <f>VLOOKUP($G287,Mapping!$E$140:$K$2771,5,0)</f>
        <v>Labour</v>
      </c>
      <c r="M287" s="7" t="str">
        <f>VLOOKUP($G287,Mapping!$E$140:$K$2771,7,0)</f>
        <v>ENDirect</v>
      </c>
      <c r="N287" s="7" t="str">
        <f>IFERROR(HLOOKUP(L287,'Calc|Weightings'!$K$5:$M$5,1,0),"Excl")</f>
        <v>Labour</v>
      </c>
      <c r="O287" s="7" t="str">
        <f>VLOOKUP(E287,Mapping!$E$11:$I$96,5,0)</f>
        <v>SCS</v>
      </c>
      <c r="Q287" s="33">
        <v>109</v>
      </c>
      <c r="R287" s="33" t="s">
        <v>2124</v>
      </c>
      <c r="S287" s="33">
        <v>531464</v>
      </c>
      <c r="T287" s="33" t="s">
        <v>256</v>
      </c>
      <c r="U287" s="34">
        <v>408.80507</v>
      </c>
      <c r="V287" s="7"/>
      <c r="W287" s="7" t="str">
        <f>VLOOKUP($Q287,Mapping!$E$11:$I$96,3,0)</f>
        <v>Connections</v>
      </c>
      <c r="X287" s="7" t="str">
        <f>VLOOKUP($S287,Mapping!$E$140:$K$2771,5,0)</f>
        <v>Contracts</v>
      </c>
      <c r="Y287" s="7" t="str">
        <f>VLOOKUP($S287,Mapping!$E$140:$K$2771,7,0)</f>
        <v>ENDirect</v>
      </c>
      <c r="Z287" s="7" t="str">
        <f>IFERROR(HLOOKUP(X287,'Calc|Weightings'!$K$5:$M$5,1,0),"Excl")</f>
        <v>Contracts</v>
      </c>
      <c r="AA287" s="7" t="str">
        <f>VLOOKUP(Q287,Mapping!$E$11:$I$96,5,0)</f>
        <v>SCS</v>
      </c>
      <c r="AC287" s="111">
        <v>107</v>
      </c>
      <c r="AD287" s="111" t="s">
        <v>2120</v>
      </c>
      <c r="AE287" s="111">
        <v>615395</v>
      </c>
      <c r="AF287" s="111" t="s">
        <v>2196</v>
      </c>
      <c r="AG287" s="112">
        <v>6.1604999999999999</v>
      </c>
      <c r="AI287" s="7" t="str">
        <f>VLOOKUP($AC287,Mapping!$E$11:$I$96,3,0)</f>
        <v>Connections</v>
      </c>
      <c r="AJ287" s="7" t="str">
        <f>VLOOKUP($AE287,Mapping!$E$140:$K$2771,5,0)</f>
        <v>Labour</v>
      </c>
      <c r="AK287" s="7" t="str">
        <f>VLOOKUP($AE287,Mapping!$E$140:$K$2771,7,0)</f>
        <v>ENDirect</v>
      </c>
      <c r="AL287" s="7" t="str">
        <f>IFERROR(HLOOKUP(AJ287,'Calc|Weightings'!$K$5:$M$5,1,0),"Excl")</f>
        <v>Labour</v>
      </c>
      <c r="AM287" s="7" t="str">
        <f>VLOOKUP(AC287,Mapping!$E$11:$I$96,5,0)</f>
        <v>SCS</v>
      </c>
      <c r="AO287" s="134">
        <v>109</v>
      </c>
      <c r="AP287" s="135" t="s">
        <v>2124</v>
      </c>
      <c r="AQ287" s="135">
        <v>611902</v>
      </c>
      <c r="AR287" s="135" t="s">
        <v>2081</v>
      </c>
      <c r="AS287" s="136">
        <v>0.14479</v>
      </c>
      <c r="AU287" s="7" t="str">
        <f>VLOOKUP($AO287,Mapping!$E$11:$I$96,3,0)</f>
        <v>Connections</v>
      </c>
      <c r="AV287" s="7" t="str">
        <f>VLOOKUP($AQ287,Mapping!$E$140:$K$2771,5,0)</f>
        <v>Contracts</v>
      </c>
      <c r="AW287" s="7" t="str">
        <f>VLOOKUP($AQ287,Mapping!$E$140:$K$2771,7,0)</f>
        <v>ENDirect</v>
      </c>
      <c r="AX287" s="7" t="str">
        <f>IFERROR(HLOOKUP(AV287,'Calc|Weightings'!$K$5:$M$5,1,0),"Excl")</f>
        <v>Contracts</v>
      </c>
      <c r="AY287" s="7" t="str">
        <f>VLOOKUP(AO287,Mapping!$E$11:$I$96,5,0)</f>
        <v>SCS</v>
      </c>
    </row>
    <row r="288" spans="1:51" x14ac:dyDescent="0.2">
      <c r="A288" s="7"/>
      <c r="B288" s="7"/>
      <c r="C288" s="7"/>
      <c r="D288" s="7"/>
      <c r="E288" s="36">
        <v>107</v>
      </c>
      <c r="F288" s="36" t="s">
        <v>2120</v>
      </c>
      <c r="G288" s="36">
        <v>613319</v>
      </c>
      <c r="H288" s="36" t="s">
        <v>2358</v>
      </c>
      <c r="I288" s="37">
        <v>0.37931999999999999</v>
      </c>
      <c r="J288" s="7"/>
      <c r="K288" s="7" t="str">
        <f>VLOOKUP($E288,Mapping!$E$11:$I$96,3,0)</f>
        <v>Connections</v>
      </c>
      <c r="L288" s="7" t="str">
        <f>VLOOKUP($G288,Mapping!$E$140:$K$2771,5,0)</f>
        <v>Labour</v>
      </c>
      <c r="M288" s="7" t="str">
        <f>VLOOKUP($G288,Mapping!$E$140:$K$2771,7,0)</f>
        <v>ENDirect</v>
      </c>
      <c r="N288" s="7" t="str">
        <f>IFERROR(HLOOKUP(L288,'Calc|Weightings'!$K$5:$M$5,1,0),"Excl")</f>
        <v>Labour</v>
      </c>
      <c r="O288" s="7" t="str">
        <f>VLOOKUP(E288,Mapping!$E$11:$I$96,5,0)</f>
        <v>SCS</v>
      </c>
      <c r="Q288" s="33">
        <v>109</v>
      </c>
      <c r="R288" s="33" t="s">
        <v>2124</v>
      </c>
      <c r="S288" s="33">
        <v>531465</v>
      </c>
      <c r="T288" s="33" t="s">
        <v>257</v>
      </c>
      <c r="U288" s="34">
        <v>2450.1093500000002</v>
      </c>
      <c r="V288" s="7"/>
      <c r="W288" s="7" t="str">
        <f>VLOOKUP($Q288,Mapping!$E$11:$I$96,3,0)</f>
        <v>Connections</v>
      </c>
      <c r="X288" s="7" t="str">
        <f>VLOOKUP($S288,Mapping!$E$140:$K$2771,5,0)</f>
        <v>Contracts</v>
      </c>
      <c r="Y288" s="7" t="str">
        <f>VLOOKUP($S288,Mapping!$E$140:$K$2771,7,0)</f>
        <v>ENDirect</v>
      </c>
      <c r="Z288" s="7" t="str">
        <f>IFERROR(HLOOKUP(X288,'Calc|Weightings'!$K$5:$M$5,1,0),"Excl")</f>
        <v>Contracts</v>
      </c>
      <c r="AA288" s="7" t="str">
        <f>VLOOKUP(Q288,Mapping!$E$11:$I$96,5,0)</f>
        <v>SCS</v>
      </c>
      <c r="AC288" s="111">
        <v>107</v>
      </c>
      <c r="AD288" s="111" t="s">
        <v>2120</v>
      </c>
      <c r="AE288" s="111">
        <v>634001</v>
      </c>
      <c r="AF288" s="111" t="s">
        <v>2110</v>
      </c>
      <c r="AG288" s="112">
        <v>177.96887000000001</v>
      </c>
      <c r="AI288" s="7" t="str">
        <f>VLOOKUP($AC288,Mapping!$E$11:$I$96,3,0)</f>
        <v>Connections</v>
      </c>
      <c r="AJ288" s="7" t="str">
        <f>VLOOKUP($AE288,Mapping!$E$140:$K$2771,5,0)</f>
        <v>Local OH</v>
      </c>
      <c r="AK288" s="7" t="str">
        <f>VLOOKUP($AE288,Mapping!$E$140:$K$2771,7,0)</f>
        <v>OH</v>
      </c>
      <c r="AL288" s="7" t="str">
        <f>IFERROR(HLOOKUP(AJ288,'Calc|Weightings'!$K$5:$M$5,1,0),"Excl")</f>
        <v>Excl</v>
      </c>
      <c r="AM288" s="7" t="str">
        <f>VLOOKUP(AC288,Mapping!$E$11:$I$96,5,0)</f>
        <v>SCS</v>
      </c>
      <c r="AO288" s="134">
        <v>109</v>
      </c>
      <c r="AP288" s="135" t="s">
        <v>2124</v>
      </c>
      <c r="AQ288" s="135">
        <v>612210</v>
      </c>
      <c r="AR288" s="135" t="s">
        <v>1184</v>
      </c>
      <c r="AS288" s="136">
        <v>2.3357299999999999</v>
      </c>
      <c r="AU288" s="7" t="str">
        <f>VLOOKUP($AO288,Mapping!$E$11:$I$96,3,0)</f>
        <v>Connections</v>
      </c>
      <c r="AV288" s="7" t="str">
        <f>VLOOKUP($AQ288,Mapping!$E$140:$K$2771,5,0)</f>
        <v>Labour</v>
      </c>
      <c r="AW288" s="7" t="str">
        <f>VLOOKUP($AQ288,Mapping!$E$140:$K$2771,7,0)</f>
        <v>ENDirect</v>
      </c>
      <c r="AX288" s="7" t="str">
        <f>IFERROR(HLOOKUP(AV288,'Calc|Weightings'!$K$5:$M$5,1,0),"Excl")</f>
        <v>Labour</v>
      </c>
      <c r="AY288" s="7" t="str">
        <f>VLOOKUP(AO288,Mapping!$E$11:$I$96,5,0)</f>
        <v>SCS</v>
      </c>
    </row>
    <row r="289" spans="1:51" x14ac:dyDescent="0.2">
      <c r="A289" s="7"/>
      <c r="B289" s="7"/>
      <c r="C289" s="7"/>
      <c r="D289" s="7"/>
      <c r="E289" s="36">
        <v>107</v>
      </c>
      <c r="F289" s="36" t="s">
        <v>2120</v>
      </c>
      <c r="G289" s="36">
        <v>613350</v>
      </c>
      <c r="H289" s="36" t="s">
        <v>2096</v>
      </c>
      <c r="I289" s="37">
        <v>8.0223099999999992</v>
      </c>
      <c r="J289" s="7"/>
      <c r="K289" s="7" t="str">
        <f>VLOOKUP($E289,Mapping!$E$11:$I$96,3,0)</f>
        <v>Connections</v>
      </c>
      <c r="L289" s="7" t="str">
        <f>VLOOKUP($G289,Mapping!$E$140:$K$2771,5,0)</f>
        <v>Labour</v>
      </c>
      <c r="M289" s="7" t="str">
        <f>VLOOKUP($G289,Mapping!$E$140:$K$2771,7,0)</f>
        <v>ENDirect</v>
      </c>
      <c r="N289" s="7" t="str">
        <f>IFERROR(HLOOKUP(L289,'Calc|Weightings'!$K$5:$M$5,1,0),"Excl")</f>
        <v>Labour</v>
      </c>
      <c r="O289" s="7" t="str">
        <f>VLOOKUP(E289,Mapping!$E$11:$I$96,5,0)</f>
        <v>SCS</v>
      </c>
      <c r="Q289" s="33">
        <v>109</v>
      </c>
      <c r="R289" s="33" t="s">
        <v>2124</v>
      </c>
      <c r="S289" s="33">
        <v>531466</v>
      </c>
      <c r="T289" s="33" t="s">
        <v>258</v>
      </c>
      <c r="U289" s="34">
        <v>15.53392</v>
      </c>
      <c r="V289" s="7"/>
      <c r="W289" s="7" t="str">
        <f>VLOOKUP($Q289,Mapping!$E$11:$I$96,3,0)</f>
        <v>Connections</v>
      </c>
      <c r="X289" s="7" t="str">
        <f>VLOOKUP($S289,Mapping!$E$140:$K$2771,5,0)</f>
        <v>Contracts</v>
      </c>
      <c r="Y289" s="7" t="str">
        <f>VLOOKUP($S289,Mapping!$E$140:$K$2771,7,0)</f>
        <v>ENDirect</v>
      </c>
      <c r="Z289" s="7" t="str">
        <f>IFERROR(HLOOKUP(X289,'Calc|Weightings'!$K$5:$M$5,1,0),"Excl")</f>
        <v>Contracts</v>
      </c>
      <c r="AA289" s="7" t="str">
        <f>VLOOKUP(Q289,Mapping!$E$11:$I$96,5,0)</f>
        <v>SCS</v>
      </c>
      <c r="AC289" s="111">
        <v>107</v>
      </c>
      <c r="AD289" s="111" t="s">
        <v>2120</v>
      </c>
      <c r="AE289" s="111">
        <v>635001</v>
      </c>
      <c r="AF289" s="111" t="s">
        <v>1929</v>
      </c>
      <c r="AG289" s="112">
        <v>95.167490000000001</v>
      </c>
      <c r="AI289" s="7" t="str">
        <f>VLOOKUP($AC289,Mapping!$E$11:$I$96,3,0)</f>
        <v>Connections</v>
      </c>
      <c r="AJ289" s="7" t="str">
        <f>VLOOKUP($AE289,Mapping!$E$140:$K$2771,5,0)</f>
        <v>PNS MG</v>
      </c>
      <c r="AK289" s="7" t="str">
        <f>VLOOKUP($AE289,Mapping!$E$140:$K$2771,7,0)</f>
        <v>ENDirect</v>
      </c>
      <c r="AL289" s="7" t="str">
        <f>IFERROR(HLOOKUP(AJ289,'Calc|Weightings'!$K$5:$M$5,1,0),"Excl")</f>
        <v>Excl</v>
      </c>
      <c r="AM289" s="7" t="str">
        <f>VLOOKUP(AC289,Mapping!$E$11:$I$96,5,0)</f>
        <v>SCS</v>
      </c>
      <c r="AO289" s="134">
        <v>109</v>
      </c>
      <c r="AP289" s="135" t="s">
        <v>2124</v>
      </c>
      <c r="AQ289" s="135">
        <v>613236</v>
      </c>
      <c r="AR289" s="135" t="s">
        <v>2420</v>
      </c>
      <c r="AS289" s="136">
        <v>1.83768</v>
      </c>
      <c r="AU289" s="7" t="str">
        <f>VLOOKUP($AO289,Mapping!$E$11:$I$96,3,0)</f>
        <v>Connections</v>
      </c>
      <c r="AV289" s="7" t="str">
        <f>VLOOKUP($AQ289,Mapping!$E$140:$K$2771,5,0)</f>
        <v>Labour</v>
      </c>
      <c r="AW289" s="7" t="str">
        <f>VLOOKUP($AQ289,Mapping!$E$140:$K$2771,7,0)</f>
        <v>ENDirect</v>
      </c>
      <c r="AX289" s="7" t="str">
        <f>IFERROR(HLOOKUP(AV289,'Calc|Weightings'!$K$5:$M$5,1,0),"Excl")</f>
        <v>Labour</v>
      </c>
      <c r="AY289" s="7" t="str">
        <f>VLOOKUP(AO289,Mapping!$E$11:$I$96,5,0)</f>
        <v>SCS</v>
      </c>
    </row>
    <row r="290" spans="1:51" x14ac:dyDescent="0.2">
      <c r="A290" s="7"/>
      <c r="B290" s="7"/>
      <c r="C290" s="7"/>
      <c r="D290" s="7"/>
      <c r="E290" s="36">
        <v>107</v>
      </c>
      <c r="F290" s="36" t="s">
        <v>2120</v>
      </c>
      <c r="G290" s="36">
        <v>613360</v>
      </c>
      <c r="H290" s="36" t="s">
        <v>2097</v>
      </c>
      <c r="I290" s="37">
        <v>23.80555</v>
      </c>
      <c r="J290" s="7"/>
      <c r="K290" s="7" t="str">
        <f>VLOOKUP($E290,Mapping!$E$11:$I$96,3,0)</f>
        <v>Connections</v>
      </c>
      <c r="L290" s="7" t="str">
        <f>VLOOKUP($G290,Mapping!$E$140:$K$2771,5,0)</f>
        <v>Labour</v>
      </c>
      <c r="M290" s="7" t="str">
        <f>VLOOKUP($G290,Mapping!$E$140:$K$2771,7,0)</f>
        <v>ENDirect</v>
      </c>
      <c r="N290" s="7" t="str">
        <f>IFERROR(HLOOKUP(L290,'Calc|Weightings'!$K$5:$M$5,1,0),"Excl")</f>
        <v>Labour</v>
      </c>
      <c r="O290" s="7" t="str">
        <f>VLOOKUP(E290,Mapping!$E$11:$I$96,5,0)</f>
        <v>SCS</v>
      </c>
      <c r="Q290" s="33">
        <v>109</v>
      </c>
      <c r="R290" s="33" t="s">
        <v>2124</v>
      </c>
      <c r="S290" s="33">
        <v>531467</v>
      </c>
      <c r="T290" s="33" t="s">
        <v>259</v>
      </c>
      <c r="U290" s="34">
        <v>4.45261</v>
      </c>
      <c r="V290" s="7"/>
      <c r="W290" s="7" t="str">
        <f>VLOOKUP($Q290,Mapping!$E$11:$I$96,3,0)</f>
        <v>Connections</v>
      </c>
      <c r="X290" s="7" t="str">
        <f>VLOOKUP($S290,Mapping!$E$140:$K$2771,5,0)</f>
        <v>Contracts</v>
      </c>
      <c r="Y290" s="7" t="str">
        <f>VLOOKUP($S290,Mapping!$E$140:$K$2771,7,0)</f>
        <v>ENDirect</v>
      </c>
      <c r="Z290" s="7" t="str">
        <f>IFERROR(HLOOKUP(X290,'Calc|Weightings'!$K$5:$M$5,1,0),"Excl")</f>
        <v>Contracts</v>
      </c>
      <c r="AA290" s="7" t="str">
        <f>VLOOKUP(Q290,Mapping!$E$11:$I$96,5,0)</f>
        <v>SCS</v>
      </c>
      <c r="AC290" s="111">
        <v>107</v>
      </c>
      <c r="AD290" s="111" t="s">
        <v>2120</v>
      </c>
      <c r="AE290" s="111">
        <v>636001</v>
      </c>
      <c r="AF290" s="111" t="s">
        <v>2111</v>
      </c>
      <c r="AG290" s="112">
        <v>93.12724</v>
      </c>
      <c r="AI290" s="7" t="str">
        <f>VLOOKUP($AC290,Mapping!$E$11:$I$96,3,0)</f>
        <v>Connections</v>
      </c>
      <c r="AJ290" s="7" t="str">
        <f>VLOOKUP($AE290,Mapping!$E$140:$K$2771,5,0)</f>
        <v>System Control OH</v>
      </c>
      <c r="AK290" s="7" t="str">
        <f>VLOOKUP($AE290,Mapping!$E$140:$K$2771,7,0)</f>
        <v>OH</v>
      </c>
      <c r="AL290" s="7" t="str">
        <f>IFERROR(HLOOKUP(AJ290,'Calc|Weightings'!$K$5:$M$5,1,0),"Excl")</f>
        <v>Excl</v>
      </c>
      <c r="AM290" s="7" t="str">
        <f>VLOOKUP(AC290,Mapping!$E$11:$I$96,5,0)</f>
        <v>SCS</v>
      </c>
      <c r="AO290" s="134">
        <v>109</v>
      </c>
      <c r="AP290" s="135" t="s">
        <v>2124</v>
      </c>
      <c r="AQ290" s="135">
        <v>613240</v>
      </c>
      <c r="AR290" s="135" t="s">
        <v>2082</v>
      </c>
      <c r="AS290" s="136">
        <v>7.9440999999999997</v>
      </c>
      <c r="AU290" s="7" t="str">
        <f>VLOOKUP($AO290,Mapping!$E$11:$I$96,3,0)</f>
        <v>Connections</v>
      </c>
      <c r="AV290" s="7" t="str">
        <f>VLOOKUP($AQ290,Mapping!$E$140:$K$2771,5,0)</f>
        <v>Labour</v>
      </c>
      <c r="AW290" s="7" t="str">
        <f>VLOOKUP($AQ290,Mapping!$E$140:$K$2771,7,0)</f>
        <v>ENDirect</v>
      </c>
      <c r="AX290" s="7" t="str">
        <f>IFERROR(HLOOKUP(AV290,'Calc|Weightings'!$K$5:$M$5,1,0),"Excl")</f>
        <v>Labour</v>
      </c>
      <c r="AY290" s="7" t="str">
        <f>VLOOKUP(AO290,Mapping!$E$11:$I$96,5,0)</f>
        <v>SCS</v>
      </c>
    </row>
    <row r="291" spans="1:51" x14ac:dyDescent="0.2">
      <c r="A291" s="7"/>
      <c r="B291" s="7"/>
      <c r="C291" s="7"/>
      <c r="D291" s="7"/>
      <c r="E291" s="36">
        <v>107</v>
      </c>
      <c r="F291" s="36" t="s">
        <v>2120</v>
      </c>
      <c r="G291" s="36">
        <v>613370</v>
      </c>
      <c r="H291" s="36" t="s">
        <v>1402</v>
      </c>
      <c r="I291" s="37">
        <v>13.006220000000001</v>
      </c>
      <c r="J291" s="7"/>
      <c r="K291" s="7" t="str">
        <f>VLOOKUP($E291,Mapping!$E$11:$I$96,3,0)</f>
        <v>Connections</v>
      </c>
      <c r="L291" s="7" t="str">
        <f>VLOOKUP($G291,Mapping!$E$140:$K$2771,5,0)</f>
        <v>Labour</v>
      </c>
      <c r="M291" s="7" t="str">
        <f>VLOOKUP($G291,Mapping!$E$140:$K$2771,7,0)</f>
        <v>ENDirect</v>
      </c>
      <c r="N291" s="7" t="str">
        <f>IFERROR(HLOOKUP(L291,'Calc|Weightings'!$K$5:$M$5,1,0),"Excl")</f>
        <v>Labour</v>
      </c>
      <c r="O291" s="7" t="str">
        <f>VLOOKUP(E291,Mapping!$E$11:$I$96,5,0)</f>
        <v>SCS</v>
      </c>
      <c r="Q291" s="33">
        <v>109</v>
      </c>
      <c r="R291" s="33" t="s">
        <v>2124</v>
      </c>
      <c r="S291" s="33">
        <v>531469</v>
      </c>
      <c r="T291" s="33" t="s">
        <v>261</v>
      </c>
      <c r="U291" s="34">
        <v>2</v>
      </c>
      <c r="V291" s="7"/>
      <c r="W291" s="7" t="str">
        <f>VLOOKUP($Q291,Mapping!$E$11:$I$96,3,0)</f>
        <v>Connections</v>
      </c>
      <c r="X291" s="7" t="str">
        <f>VLOOKUP($S291,Mapping!$E$140:$K$2771,5,0)</f>
        <v>Labour</v>
      </c>
      <c r="Y291" s="7" t="str">
        <f>VLOOKUP($S291,Mapping!$E$140:$K$2771,7,0)</f>
        <v>ENDirect</v>
      </c>
      <c r="Z291" s="7" t="str">
        <f>IFERROR(HLOOKUP(X291,'Calc|Weightings'!$K$5:$M$5,1,0),"Excl")</f>
        <v>Labour</v>
      </c>
      <c r="AA291" s="7" t="str">
        <f>VLOOKUP(Q291,Mapping!$E$11:$I$96,5,0)</f>
        <v>SCS</v>
      </c>
      <c r="AC291" s="111">
        <v>107</v>
      </c>
      <c r="AD291" s="111" t="s">
        <v>2120</v>
      </c>
      <c r="AE291" s="111">
        <v>639000</v>
      </c>
      <c r="AF291" s="111" t="s">
        <v>2112</v>
      </c>
      <c r="AG291" s="112">
        <v>123.81262</v>
      </c>
      <c r="AI291" s="7" t="str">
        <f>VLOOKUP($AC291,Mapping!$E$11:$I$96,3,0)</f>
        <v>Connections</v>
      </c>
      <c r="AJ291" s="7" t="str">
        <f>VLOOKUP($AE291,Mapping!$E$140:$K$2771,5,0)</f>
        <v>PNS Corporate OH</v>
      </c>
      <c r="AK291" s="7" t="str">
        <f>VLOOKUP($AE291,Mapping!$E$140:$K$2771,7,0)</f>
        <v>OH</v>
      </c>
      <c r="AL291" s="7" t="str">
        <f>IFERROR(HLOOKUP(AJ291,'Calc|Weightings'!$K$5:$M$5,1,0),"Excl")</f>
        <v>Excl</v>
      </c>
      <c r="AM291" s="7" t="str">
        <f>VLOOKUP(AC291,Mapping!$E$11:$I$96,5,0)</f>
        <v>SCS</v>
      </c>
      <c r="AO291" s="134">
        <v>109</v>
      </c>
      <c r="AP291" s="135" t="s">
        <v>2124</v>
      </c>
      <c r="AQ291" s="135">
        <v>613244</v>
      </c>
      <c r="AR291" s="135" t="s">
        <v>2084</v>
      </c>
      <c r="AS291" s="136">
        <v>0.27873999999999999</v>
      </c>
      <c r="AU291" s="7" t="str">
        <f>VLOOKUP($AO291,Mapping!$E$11:$I$96,3,0)</f>
        <v>Connections</v>
      </c>
      <c r="AV291" s="7" t="str">
        <f>VLOOKUP($AQ291,Mapping!$E$140:$K$2771,5,0)</f>
        <v>Labour</v>
      </c>
      <c r="AW291" s="7" t="str">
        <f>VLOOKUP($AQ291,Mapping!$E$140:$K$2771,7,0)</f>
        <v>ENDirect</v>
      </c>
      <c r="AX291" s="7" t="str">
        <f>IFERROR(HLOOKUP(AV291,'Calc|Weightings'!$K$5:$M$5,1,0),"Excl")</f>
        <v>Labour</v>
      </c>
      <c r="AY291" s="7" t="str">
        <f>VLOOKUP(AO291,Mapping!$E$11:$I$96,5,0)</f>
        <v>SCS</v>
      </c>
    </row>
    <row r="292" spans="1:51" x14ac:dyDescent="0.2">
      <c r="A292" s="7"/>
      <c r="B292" s="7"/>
      <c r="C292" s="7"/>
      <c r="D292" s="7"/>
      <c r="E292" s="36">
        <v>107</v>
      </c>
      <c r="F292" s="36" t="s">
        <v>2120</v>
      </c>
      <c r="G292" s="36">
        <v>613400</v>
      </c>
      <c r="H292" s="36" t="s">
        <v>2099</v>
      </c>
      <c r="I292" s="37">
        <v>1.27796</v>
      </c>
      <c r="J292" s="7"/>
      <c r="K292" s="7" t="str">
        <f>VLOOKUP($E292,Mapping!$E$11:$I$96,3,0)</f>
        <v>Connections</v>
      </c>
      <c r="L292" s="7" t="str">
        <f>VLOOKUP($G292,Mapping!$E$140:$K$2771,5,0)</f>
        <v>Labour</v>
      </c>
      <c r="M292" s="7" t="str">
        <f>VLOOKUP($G292,Mapping!$E$140:$K$2771,7,0)</f>
        <v>ENDirect</v>
      </c>
      <c r="N292" s="7" t="str">
        <f>IFERROR(HLOOKUP(L292,'Calc|Weightings'!$K$5:$M$5,1,0),"Excl")</f>
        <v>Labour</v>
      </c>
      <c r="O292" s="7" t="str">
        <f>VLOOKUP(E292,Mapping!$E$11:$I$96,5,0)</f>
        <v>SCS</v>
      </c>
      <c r="Q292" s="33">
        <v>109</v>
      </c>
      <c r="R292" s="33" t="s">
        <v>2124</v>
      </c>
      <c r="S292" s="33">
        <v>591997</v>
      </c>
      <c r="T292" s="33" t="s">
        <v>399</v>
      </c>
      <c r="U292" s="34">
        <v>-8.0647699999999993</v>
      </c>
      <c r="V292" s="7"/>
      <c r="W292" s="7" t="str">
        <f>VLOOKUP($Q292,Mapping!$E$11:$I$96,3,0)</f>
        <v>Connections</v>
      </c>
      <c r="X292" s="7" t="str">
        <f>VLOOKUP($S292,Mapping!$E$140:$K$2771,5,0)</f>
        <v>Contracts</v>
      </c>
      <c r="Y292" s="7" t="str">
        <f>VLOOKUP($S292,Mapping!$E$140:$K$2771,7,0)</f>
        <v>ENDirect</v>
      </c>
      <c r="Z292" s="7" t="str">
        <f>IFERROR(HLOOKUP(X292,'Calc|Weightings'!$K$5:$M$5,1,0),"Excl")</f>
        <v>Contracts</v>
      </c>
      <c r="AA292" s="7" t="str">
        <f>VLOOKUP(Q292,Mapping!$E$11:$I$96,5,0)</f>
        <v>SCS</v>
      </c>
      <c r="AC292" s="111">
        <v>107</v>
      </c>
      <c r="AD292" s="111" t="s">
        <v>2120</v>
      </c>
      <c r="AE292" s="111">
        <v>639050</v>
      </c>
      <c r="AF292" s="111" t="s">
        <v>2113</v>
      </c>
      <c r="AG292" s="112">
        <v>14.14137</v>
      </c>
      <c r="AI292" s="7" t="str">
        <f>VLOOKUP($AC292,Mapping!$E$11:$I$96,3,0)</f>
        <v>Connections</v>
      </c>
      <c r="AJ292" s="7" t="str">
        <f>VLOOKUP($AE292,Mapping!$E$140:$K$2771,5,0)</f>
        <v>PNS Fleet &amp; Property OH</v>
      </c>
      <c r="AK292" s="7" t="str">
        <f>VLOOKUP($AE292,Mapping!$E$140:$K$2771,7,0)</f>
        <v>OH</v>
      </c>
      <c r="AL292" s="7" t="str">
        <f>IFERROR(HLOOKUP(AJ292,'Calc|Weightings'!$K$5:$M$5,1,0),"Excl")</f>
        <v>Excl</v>
      </c>
      <c r="AM292" s="7" t="str">
        <f>VLOOKUP(AC292,Mapping!$E$11:$I$96,5,0)</f>
        <v>SCS</v>
      </c>
      <c r="AO292" s="134">
        <v>109</v>
      </c>
      <c r="AP292" s="135" t="s">
        <v>2124</v>
      </c>
      <c r="AQ292" s="135">
        <v>613250</v>
      </c>
      <c r="AR292" s="135" t="s">
        <v>2086</v>
      </c>
      <c r="AS292" s="136">
        <v>8.1164199999999997</v>
      </c>
      <c r="AU292" s="7" t="str">
        <f>VLOOKUP($AO292,Mapping!$E$11:$I$96,3,0)</f>
        <v>Connections</v>
      </c>
      <c r="AV292" s="7" t="str">
        <f>VLOOKUP($AQ292,Mapping!$E$140:$K$2771,5,0)</f>
        <v>Labour</v>
      </c>
      <c r="AW292" s="7" t="str">
        <f>VLOOKUP($AQ292,Mapping!$E$140:$K$2771,7,0)</f>
        <v>ENDirect</v>
      </c>
      <c r="AX292" s="7" t="str">
        <f>IFERROR(HLOOKUP(AV292,'Calc|Weightings'!$K$5:$M$5,1,0),"Excl")</f>
        <v>Labour</v>
      </c>
      <c r="AY292" s="7" t="str">
        <f>VLOOKUP(AO292,Mapping!$E$11:$I$96,5,0)</f>
        <v>SCS</v>
      </c>
    </row>
    <row r="293" spans="1:51" x14ac:dyDescent="0.2">
      <c r="A293" s="7"/>
      <c r="B293" s="7"/>
      <c r="C293" s="7"/>
      <c r="D293" s="7"/>
      <c r="E293" s="36">
        <v>107</v>
      </c>
      <c r="F293" s="36" t="s">
        <v>2120</v>
      </c>
      <c r="G293" s="36">
        <v>613566</v>
      </c>
      <c r="H293" s="36" t="s">
        <v>1482</v>
      </c>
      <c r="I293" s="37">
        <v>1.94736</v>
      </c>
      <c r="J293" s="7"/>
      <c r="K293" s="7" t="str">
        <f>VLOOKUP($E293,Mapping!$E$11:$I$96,3,0)</f>
        <v>Connections</v>
      </c>
      <c r="L293" s="7" t="str">
        <f>VLOOKUP($G293,Mapping!$E$140:$K$2771,5,0)</f>
        <v>Labour</v>
      </c>
      <c r="M293" s="7" t="str">
        <f>VLOOKUP($G293,Mapping!$E$140:$K$2771,7,0)</f>
        <v>ENDirect</v>
      </c>
      <c r="N293" s="7" t="str">
        <f>IFERROR(HLOOKUP(L293,'Calc|Weightings'!$K$5:$M$5,1,0),"Excl")</f>
        <v>Labour</v>
      </c>
      <c r="O293" s="7" t="str">
        <f>VLOOKUP(E293,Mapping!$E$11:$I$96,5,0)</f>
        <v>SCS</v>
      </c>
      <c r="Q293" s="33">
        <v>109</v>
      </c>
      <c r="R293" s="33" t="s">
        <v>2124</v>
      </c>
      <c r="S293" s="33">
        <v>591998</v>
      </c>
      <c r="T293" s="33" t="s">
        <v>2077</v>
      </c>
      <c r="U293" s="34">
        <v>-1.8468500000000001</v>
      </c>
      <c r="V293" s="7"/>
      <c r="W293" s="7" t="str">
        <f>VLOOKUP($Q293,Mapping!$E$11:$I$96,3,0)</f>
        <v>Connections</v>
      </c>
      <c r="X293" s="7" t="str">
        <f>VLOOKUP($S293,Mapping!$E$140:$K$2771,5,0)</f>
        <v>Contracts</v>
      </c>
      <c r="Y293" s="7" t="str">
        <f>VLOOKUP($S293,Mapping!$E$140:$K$2771,7,0)</f>
        <v>ENDirect</v>
      </c>
      <c r="Z293" s="7" t="str">
        <f>IFERROR(HLOOKUP(X293,'Calc|Weightings'!$K$5:$M$5,1,0),"Excl")</f>
        <v>Contracts</v>
      </c>
      <c r="AA293" s="7" t="str">
        <f>VLOOKUP(Q293,Mapping!$E$11:$I$96,5,0)</f>
        <v>SCS</v>
      </c>
      <c r="AC293" s="111">
        <v>109</v>
      </c>
      <c r="AD293" s="111" t="s">
        <v>2124</v>
      </c>
      <c r="AE293" s="111">
        <v>503350</v>
      </c>
      <c r="AF293" s="111" t="s">
        <v>182</v>
      </c>
      <c r="AG293" s="112">
        <v>2.9382100000000002</v>
      </c>
      <c r="AI293" s="7" t="str">
        <f>VLOOKUP($AC293,Mapping!$E$11:$I$96,3,0)</f>
        <v>Connections</v>
      </c>
      <c r="AJ293" s="7" t="str">
        <f>VLOOKUP($AE293,Mapping!$E$140:$K$2771,5,0)</f>
        <v>Contracts</v>
      </c>
      <c r="AK293" s="7" t="str">
        <f>VLOOKUP($AE293,Mapping!$E$140:$K$2771,7,0)</f>
        <v>ENDirect</v>
      </c>
      <c r="AL293" s="7" t="str">
        <f>IFERROR(HLOOKUP(AJ293,'Calc|Weightings'!$K$5:$M$5,1,0),"Excl")</f>
        <v>Contracts</v>
      </c>
      <c r="AM293" s="7" t="str">
        <f>VLOOKUP(AC293,Mapping!$E$11:$I$96,5,0)</f>
        <v>SCS</v>
      </c>
      <c r="AO293" s="134">
        <v>109</v>
      </c>
      <c r="AP293" s="135" t="s">
        <v>2124</v>
      </c>
      <c r="AQ293" s="135">
        <v>613254</v>
      </c>
      <c r="AR293" s="135" t="s">
        <v>2088</v>
      </c>
      <c r="AS293" s="136">
        <v>1.22512</v>
      </c>
      <c r="AU293" s="7" t="str">
        <f>VLOOKUP($AO293,Mapping!$E$11:$I$96,3,0)</f>
        <v>Connections</v>
      </c>
      <c r="AV293" s="7" t="str">
        <f>VLOOKUP($AQ293,Mapping!$E$140:$K$2771,5,0)</f>
        <v>Labour</v>
      </c>
      <c r="AW293" s="7" t="str">
        <f>VLOOKUP($AQ293,Mapping!$E$140:$K$2771,7,0)</f>
        <v>ENDirect</v>
      </c>
      <c r="AX293" s="7" t="str">
        <f>IFERROR(HLOOKUP(AV293,'Calc|Weightings'!$K$5:$M$5,1,0),"Excl")</f>
        <v>Labour</v>
      </c>
      <c r="AY293" s="7" t="str">
        <f>VLOOKUP(AO293,Mapping!$E$11:$I$96,5,0)</f>
        <v>SCS</v>
      </c>
    </row>
    <row r="294" spans="1:51" x14ac:dyDescent="0.2">
      <c r="A294" s="7"/>
      <c r="B294" s="7"/>
      <c r="C294" s="7"/>
      <c r="D294" s="7"/>
      <c r="E294" s="36">
        <v>107</v>
      </c>
      <c r="F294" s="36" t="s">
        <v>2120</v>
      </c>
      <c r="G294" s="36">
        <v>613567</v>
      </c>
      <c r="H294" s="36" t="s">
        <v>1483</v>
      </c>
      <c r="I294" s="37">
        <v>0.60855000000000004</v>
      </c>
      <c r="J294" s="7"/>
      <c r="K294" s="7" t="str">
        <f>VLOOKUP($E294,Mapping!$E$11:$I$96,3,0)</f>
        <v>Connections</v>
      </c>
      <c r="L294" s="7" t="str">
        <f>VLOOKUP($G294,Mapping!$E$140:$K$2771,5,0)</f>
        <v>Labour</v>
      </c>
      <c r="M294" s="7" t="str">
        <f>VLOOKUP($G294,Mapping!$E$140:$K$2771,7,0)</f>
        <v>ENDirect</v>
      </c>
      <c r="N294" s="7" t="str">
        <f>IFERROR(HLOOKUP(L294,'Calc|Weightings'!$K$5:$M$5,1,0),"Excl")</f>
        <v>Labour</v>
      </c>
      <c r="O294" s="7" t="str">
        <f>VLOOKUP(E294,Mapping!$E$11:$I$96,5,0)</f>
        <v>SCS</v>
      </c>
      <c r="Q294" s="33">
        <v>109</v>
      </c>
      <c r="R294" s="33" t="s">
        <v>2124</v>
      </c>
      <c r="S294" s="33">
        <v>591999</v>
      </c>
      <c r="T294" s="33" t="s">
        <v>2078</v>
      </c>
      <c r="U294" s="34">
        <v>-56.490960000000001</v>
      </c>
      <c r="V294" s="7"/>
      <c r="W294" s="7" t="str">
        <f>VLOOKUP($Q294,Mapping!$E$11:$I$96,3,0)</f>
        <v>Connections</v>
      </c>
      <c r="X294" s="7" t="str">
        <f>VLOOKUP($S294,Mapping!$E$140:$K$2771,5,0)</f>
        <v>Contracts</v>
      </c>
      <c r="Y294" s="7" t="str">
        <f>VLOOKUP($S294,Mapping!$E$140:$K$2771,7,0)</f>
        <v>ENDirect</v>
      </c>
      <c r="Z294" s="7" t="str">
        <f>IFERROR(HLOOKUP(X294,'Calc|Weightings'!$K$5:$M$5,1,0),"Excl")</f>
        <v>Contracts</v>
      </c>
      <c r="AA294" s="7" t="str">
        <f>VLOOKUP(Q294,Mapping!$E$11:$I$96,5,0)</f>
        <v>SCS</v>
      </c>
      <c r="AC294" s="111">
        <v>109</v>
      </c>
      <c r="AD294" s="111" t="s">
        <v>2124</v>
      </c>
      <c r="AE294" s="111">
        <v>520100</v>
      </c>
      <c r="AF294" s="111" t="s">
        <v>2072</v>
      </c>
      <c r="AG294" s="112">
        <v>13.98658</v>
      </c>
      <c r="AI294" s="7" t="str">
        <f>VLOOKUP($AC294,Mapping!$E$11:$I$96,3,0)</f>
        <v>Connections</v>
      </c>
      <c r="AJ294" s="7" t="str">
        <f>VLOOKUP($AE294,Mapping!$E$140:$K$2771,5,0)</f>
        <v>Materials</v>
      </c>
      <c r="AK294" s="7" t="str">
        <f>VLOOKUP($AE294,Mapping!$E$140:$K$2771,7,0)</f>
        <v>ENDirect</v>
      </c>
      <c r="AL294" s="7" t="str">
        <f>IFERROR(HLOOKUP(AJ294,'Calc|Weightings'!$K$5:$M$5,1,0),"Excl")</f>
        <v>Materials</v>
      </c>
      <c r="AM294" s="7" t="str">
        <f>VLOOKUP(AC294,Mapping!$E$11:$I$96,5,0)</f>
        <v>SCS</v>
      </c>
      <c r="AO294" s="134">
        <v>109</v>
      </c>
      <c r="AP294" s="135" t="s">
        <v>2124</v>
      </c>
      <c r="AQ294" s="135">
        <v>613280</v>
      </c>
      <c r="AR294" s="135" t="s">
        <v>1342</v>
      </c>
      <c r="AS294" s="136">
        <v>5.9759599999999997</v>
      </c>
      <c r="AU294" s="7" t="str">
        <f>VLOOKUP($AO294,Mapping!$E$11:$I$96,3,0)</f>
        <v>Connections</v>
      </c>
      <c r="AV294" s="7" t="str">
        <f>VLOOKUP($AQ294,Mapping!$E$140:$K$2771,5,0)</f>
        <v>Labour</v>
      </c>
      <c r="AW294" s="7" t="str">
        <f>VLOOKUP($AQ294,Mapping!$E$140:$K$2771,7,0)</f>
        <v>ENDirect</v>
      </c>
      <c r="AX294" s="7" t="str">
        <f>IFERROR(HLOOKUP(AV294,'Calc|Weightings'!$K$5:$M$5,1,0),"Excl")</f>
        <v>Labour</v>
      </c>
      <c r="AY294" s="7" t="str">
        <f>VLOOKUP(AO294,Mapping!$E$11:$I$96,5,0)</f>
        <v>SCS</v>
      </c>
    </row>
    <row r="295" spans="1:51" x14ac:dyDescent="0.2">
      <c r="A295" s="7"/>
      <c r="B295" s="7"/>
      <c r="C295" s="7"/>
      <c r="D295" s="7"/>
      <c r="E295" s="36">
        <v>107</v>
      </c>
      <c r="F295" s="36" t="s">
        <v>2120</v>
      </c>
      <c r="G295" s="36">
        <v>613570</v>
      </c>
      <c r="H295" s="36" t="s">
        <v>1484</v>
      </c>
      <c r="I295" s="37">
        <v>1.2171000000000001</v>
      </c>
      <c r="J295" s="7"/>
      <c r="K295" s="7" t="str">
        <f>VLOOKUP($E295,Mapping!$E$11:$I$96,3,0)</f>
        <v>Connections</v>
      </c>
      <c r="L295" s="7" t="str">
        <f>VLOOKUP($G295,Mapping!$E$140:$K$2771,5,0)</f>
        <v>Labour</v>
      </c>
      <c r="M295" s="7" t="str">
        <f>VLOOKUP($G295,Mapping!$E$140:$K$2771,7,0)</f>
        <v>ENDirect</v>
      </c>
      <c r="N295" s="7" t="str">
        <f>IFERROR(HLOOKUP(L295,'Calc|Weightings'!$K$5:$M$5,1,0),"Excl")</f>
        <v>Labour</v>
      </c>
      <c r="O295" s="7" t="str">
        <f>VLOOKUP(E295,Mapping!$E$11:$I$96,5,0)</f>
        <v>SCS</v>
      </c>
      <c r="Q295" s="33">
        <v>109</v>
      </c>
      <c r="R295" s="33" t="s">
        <v>2124</v>
      </c>
      <c r="S295" s="33">
        <v>611900</v>
      </c>
      <c r="T295" s="33" t="s">
        <v>2079</v>
      </c>
      <c r="U295" s="34">
        <v>0.17967</v>
      </c>
      <c r="V295" s="7"/>
      <c r="W295" s="7" t="str">
        <f>VLOOKUP($Q295,Mapping!$E$11:$I$96,3,0)</f>
        <v>Connections</v>
      </c>
      <c r="X295" s="7" t="str">
        <f>VLOOKUP($S295,Mapping!$E$140:$K$2771,5,0)</f>
        <v>Contracts</v>
      </c>
      <c r="Y295" s="7" t="str">
        <f>VLOOKUP($S295,Mapping!$E$140:$K$2771,7,0)</f>
        <v>ENDirect</v>
      </c>
      <c r="Z295" s="7" t="str">
        <f>IFERROR(HLOOKUP(X295,'Calc|Weightings'!$K$5:$M$5,1,0),"Excl")</f>
        <v>Contracts</v>
      </c>
      <c r="AA295" s="7" t="str">
        <f>VLOOKUP(Q295,Mapping!$E$11:$I$96,5,0)</f>
        <v>SCS</v>
      </c>
      <c r="AC295" s="111">
        <v>109</v>
      </c>
      <c r="AD295" s="111" t="s">
        <v>2124</v>
      </c>
      <c r="AE295" s="111">
        <v>523100</v>
      </c>
      <c r="AF295" s="111" t="s">
        <v>2074</v>
      </c>
      <c r="AG295" s="112">
        <v>0.20258999999999999</v>
      </c>
      <c r="AI295" s="7" t="str">
        <f>VLOOKUP($AC295,Mapping!$E$11:$I$96,3,0)</f>
        <v>Connections</v>
      </c>
      <c r="AJ295" s="7" t="str">
        <f>VLOOKUP($AE295,Mapping!$E$140:$K$2771,5,0)</f>
        <v>Materials</v>
      </c>
      <c r="AK295" s="7" t="str">
        <f>VLOOKUP($AE295,Mapping!$E$140:$K$2771,7,0)</f>
        <v>ENDirect</v>
      </c>
      <c r="AL295" s="7" t="str">
        <f>IFERROR(HLOOKUP(AJ295,'Calc|Weightings'!$K$5:$M$5,1,0),"Excl")</f>
        <v>Materials</v>
      </c>
      <c r="AM295" s="7" t="str">
        <f>VLOOKUP(AC295,Mapping!$E$11:$I$96,5,0)</f>
        <v>SCS</v>
      </c>
      <c r="AO295" s="134">
        <v>109</v>
      </c>
      <c r="AP295" s="135" t="s">
        <v>2124</v>
      </c>
      <c r="AQ295" s="135">
        <v>613281</v>
      </c>
      <c r="AR295" s="135" t="s">
        <v>1343</v>
      </c>
      <c r="AS295" s="136">
        <v>0.55335999999999996</v>
      </c>
      <c r="AU295" s="7" t="str">
        <f>VLOOKUP($AO295,Mapping!$E$11:$I$96,3,0)</f>
        <v>Connections</v>
      </c>
      <c r="AV295" s="7" t="str">
        <f>VLOOKUP($AQ295,Mapping!$E$140:$K$2771,5,0)</f>
        <v>Labour</v>
      </c>
      <c r="AW295" s="7" t="str">
        <f>VLOOKUP($AQ295,Mapping!$E$140:$K$2771,7,0)</f>
        <v>ENDirect</v>
      </c>
      <c r="AX295" s="7" t="str">
        <f>IFERROR(HLOOKUP(AV295,'Calc|Weightings'!$K$5:$M$5,1,0),"Excl")</f>
        <v>Labour</v>
      </c>
      <c r="AY295" s="7" t="str">
        <f>VLOOKUP(AO295,Mapping!$E$11:$I$96,5,0)</f>
        <v>SCS</v>
      </c>
    </row>
    <row r="296" spans="1:51" x14ac:dyDescent="0.2">
      <c r="A296" s="7"/>
      <c r="B296" s="7"/>
      <c r="C296" s="7"/>
      <c r="D296" s="7"/>
      <c r="E296" s="36">
        <v>107</v>
      </c>
      <c r="F296" s="36" t="s">
        <v>2120</v>
      </c>
      <c r="G296" s="36">
        <v>613571</v>
      </c>
      <c r="H296" s="36" t="s">
        <v>1485</v>
      </c>
      <c r="I296" s="37">
        <v>0.54769999999999996</v>
      </c>
      <c r="J296" s="7"/>
      <c r="K296" s="7" t="str">
        <f>VLOOKUP($E296,Mapping!$E$11:$I$96,3,0)</f>
        <v>Connections</v>
      </c>
      <c r="L296" s="7" t="str">
        <f>VLOOKUP($G296,Mapping!$E$140:$K$2771,5,0)</f>
        <v>Labour</v>
      </c>
      <c r="M296" s="7" t="str">
        <f>VLOOKUP($G296,Mapping!$E$140:$K$2771,7,0)</f>
        <v>ENDirect</v>
      </c>
      <c r="N296" s="7" t="str">
        <f>IFERROR(HLOOKUP(L296,'Calc|Weightings'!$K$5:$M$5,1,0),"Excl")</f>
        <v>Labour</v>
      </c>
      <c r="O296" s="7" t="str">
        <f>VLOOKUP(E296,Mapping!$E$11:$I$96,5,0)</f>
        <v>SCS</v>
      </c>
      <c r="Q296" s="33">
        <v>109</v>
      </c>
      <c r="R296" s="33" t="s">
        <v>2124</v>
      </c>
      <c r="S296" s="33">
        <v>611901</v>
      </c>
      <c r="T296" s="33" t="s">
        <v>2080</v>
      </c>
      <c r="U296" s="34">
        <v>2.6410800000000001</v>
      </c>
      <c r="V296" s="7"/>
      <c r="W296" s="7" t="str">
        <f>VLOOKUP($Q296,Mapping!$E$11:$I$96,3,0)</f>
        <v>Connections</v>
      </c>
      <c r="X296" s="7" t="str">
        <f>VLOOKUP($S296,Mapping!$E$140:$K$2771,5,0)</f>
        <v>Contracts</v>
      </c>
      <c r="Y296" s="7" t="str">
        <f>VLOOKUP($S296,Mapping!$E$140:$K$2771,7,0)</f>
        <v>ENDirect</v>
      </c>
      <c r="Z296" s="7" t="str">
        <f>IFERROR(HLOOKUP(X296,'Calc|Weightings'!$K$5:$M$5,1,0),"Excl")</f>
        <v>Contracts</v>
      </c>
      <c r="AA296" s="7" t="str">
        <f>VLOOKUP(Q296,Mapping!$E$11:$I$96,5,0)</f>
        <v>SCS</v>
      </c>
      <c r="AC296" s="111">
        <v>109</v>
      </c>
      <c r="AD296" s="111" t="s">
        <v>2124</v>
      </c>
      <c r="AE296" s="111">
        <v>531200</v>
      </c>
      <c r="AF296" s="111" t="s">
        <v>250</v>
      </c>
      <c r="AG296" s="112">
        <v>4.0871500000000003</v>
      </c>
      <c r="AI296" s="7" t="str">
        <f>VLOOKUP($AC296,Mapping!$E$11:$I$96,3,0)</f>
        <v>Connections</v>
      </c>
      <c r="AJ296" s="7" t="str">
        <f>VLOOKUP($AE296,Mapping!$E$140:$K$2771,5,0)</f>
        <v>Contracts</v>
      </c>
      <c r="AK296" s="7" t="str">
        <f>VLOOKUP($AE296,Mapping!$E$140:$K$2771,7,0)</f>
        <v>ENDirect</v>
      </c>
      <c r="AL296" s="7" t="str">
        <f>IFERROR(HLOOKUP(AJ296,'Calc|Weightings'!$K$5:$M$5,1,0),"Excl")</f>
        <v>Contracts</v>
      </c>
      <c r="AM296" s="7" t="str">
        <f>VLOOKUP(AC296,Mapping!$E$11:$I$96,5,0)</f>
        <v>SCS</v>
      </c>
      <c r="AO296" s="134">
        <v>109</v>
      </c>
      <c r="AP296" s="135" t="s">
        <v>2124</v>
      </c>
      <c r="AQ296" s="135">
        <v>613290</v>
      </c>
      <c r="AR296" s="135" t="s">
        <v>2093</v>
      </c>
      <c r="AS296" s="136">
        <v>49.580390000000001</v>
      </c>
      <c r="AU296" s="7" t="str">
        <f>VLOOKUP($AO296,Mapping!$E$11:$I$96,3,0)</f>
        <v>Connections</v>
      </c>
      <c r="AV296" s="7" t="str">
        <f>VLOOKUP($AQ296,Mapping!$E$140:$K$2771,5,0)</f>
        <v>Labour</v>
      </c>
      <c r="AW296" s="7" t="str">
        <f>VLOOKUP($AQ296,Mapping!$E$140:$K$2771,7,0)</f>
        <v>ENDirect</v>
      </c>
      <c r="AX296" s="7" t="str">
        <f>IFERROR(HLOOKUP(AV296,'Calc|Weightings'!$K$5:$M$5,1,0),"Excl")</f>
        <v>Labour</v>
      </c>
      <c r="AY296" s="7" t="str">
        <f>VLOOKUP(AO296,Mapping!$E$11:$I$96,5,0)</f>
        <v>SCS</v>
      </c>
    </row>
    <row r="297" spans="1:51" x14ac:dyDescent="0.2">
      <c r="A297" s="7"/>
      <c r="B297" s="7"/>
      <c r="C297" s="7"/>
      <c r="D297" s="7"/>
      <c r="E297" s="36">
        <v>107</v>
      </c>
      <c r="F297" s="36" t="s">
        <v>2120</v>
      </c>
      <c r="G297" s="36">
        <v>613574</v>
      </c>
      <c r="H297" s="36" t="s">
        <v>1488</v>
      </c>
      <c r="I297" s="37">
        <v>6.0691199999999998</v>
      </c>
      <c r="J297" s="7"/>
      <c r="K297" s="7" t="str">
        <f>VLOOKUP($E297,Mapping!$E$11:$I$96,3,0)</f>
        <v>Connections</v>
      </c>
      <c r="L297" s="7" t="str">
        <f>VLOOKUP($G297,Mapping!$E$140:$K$2771,5,0)</f>
        <v>Labour</v>
      </c>
      <c r="M297" s="7" t="str">
        <f>VLOOKUP($G297,Mapping!$E$140:$K$2771,7,0)</f>
        <v>ENDirect</v>
      </c>
      <c r="N297" s="7" t="str">
        <f>IFERROR(HLOOKUP(L297,'Calc|Weightings'!$K$5:$M$5,1,0),"Excl")</f>
        <v>Labour</v>
      </c>
      <c r="O297" s="7" t="str">
        <f>VLOOKUP(E297,Mapping!$E$11:$I$96,5,0)</f>
        <v>SCS</v>
      </c>
      <c r="Q297" s="33">
        <v>109</v>
      </c>
      <c r="R297" s="33" t="s">
        <v>2124</v>
      </c>
      <c r="S297" s="33">
        <v>611902</v>
      </c>
      <c r="T297" s="33" t="s">
        <v>2081</v>
      </c>
      <c r="U297" s="34">
        <v>0.72667999999999999</v>
      </c>
      <c r="V297" s="7"/>
      <c r="W297" s="7" t="str">
        <f>VLOOKUP($Q297,Mapping!$E$11:$I$96,3,0)</f>
        <v>Connections</v>
      </c>
      <c r="X297" s="7" t="str">
        <f>VLOOKUP($S297,Mapping!$E$140:$K$2771,5,0)</f>
        <v>Contracts</v>
      </c>
      <c r="Y297" s="7" t="str">
        <f>VLOOKUP($S297,Mapping!$E$140:$K$2771,7,0)</f>
        <v>ENDirect</v>
      </c>
      <c r="Z297" s="7" t="str">
        <f>IFERROR(HLOOKUP(X297,'Calc|Weightings'!$K$5:$M$5,1,0),"Excl")</f>
        <v>Contracts</v>
      </c>
      <c r="AA297" s="7" t="str">
        <f>VLOOKUP(Q297,Mapping!$E$11:$I$96,5,0)</f>
        <v>SCS</v>
      </c>
      <c r="AC297" s="111">
        <v>109</v>
      </c>
      <c r="AD297" s="111" t="s">
        <v>2124</v>
      </c>
      <c r="AE297" s="111">
        <v>531201</v>
      </c>
      <c r="AF297" s="111" t="s">
        <v>251</v>
      </c>
      <c r="AG297" s="112">
        <v>47.593879999999999</v>
      </c>
      <c r="AI297" s="7" t="str">
        <f>VLOOKUP($AC297,Mapping!$E$11:$I$96,3,0)</f>
        <v>Connections</v>
      </c>
      <c r="AJ297" s="7" t="str">
        <f>VLOOKUP($AE297,Mapping!$E$140:$K$2771,5,0)</f>
        <v>Contracts</v>
      </c>
      <c r="AK297" s="7" t="str">
        <f>VLOOKUP($AE297,Mapping!$E$140:$K$2771,7,0)</f>
        <v>ENDirect</v>
      </c>
      <c r="AL297" s="7" t="str">
        <f>IFERROR(HLOOKUP(AJ297,'Calc|Weightings'!$K$5:$M$5,1,0),"Excl")</f>
        <v>Contracts</v>
      </c>
      <c r="AM297" s="7" t="str">
        <f>VLOOKUP(AC297,Mapping!$E$11:$I$96,5,0)</f>
        <v>SCS</v>
      </c>
      <c r="AO297" s="134">
        <v>109</v>
      </c>
      <c r="AP297" s="135" t="s">
        <v>2124</v>
      </c>
      <c r="AQ297" s="135">
        <v>613291</v>
      </c>
      <c r="AR297" s="135" t="s">
        <v>2094</v>
      </c>
      <c r="AS297" s="136">
        <v>1.2971999999999999</v>
      </c>
      <c r="AU297" s="7" t="str">
        <f>VLOOKUP($AO297,Mapping!$E$11:$I$96,3,0)</f>
        <v>Connections</v>
      </c>
      <c r="AV297" s="7" t="str">
        <f>VLOOKUP($AQ297,Mapping!$E$140:$K$2771,5,0)</f>
        <v>Labour</v>
      </c>
      <c r="AW297" s="7" t="str">
        <f>VLOOKUP($AQ297,Mapping!$E$140:$K$2771,7,0)</f>
        <v>ENDirect</v>
      </c>
      <c r="AX297" s="7" t="str">
        <f>IFERROR(HLOOKUP(AV297,'Calc|Weightings'!$K$5:$M$5,1,0),"Excl")</f>
        <v>Labour</v>
      </c>
      <c r="AY297" s="7" t="str">
        <f>VLOOKUP(AO297,Mapping!$E$11:$I$96,5,0)</f>
        <v>SCS</v>
      </c>
    </row>
    <row r="298" spans="1:51" x14ac:dyDescent="0.2">
      <c r="A298" s="7"/>
      <c r="B298" s="7"/>
      <c r="C298" s="7"/>
      <c r="D298" s="7"/>
      <c r="E298" s="36">
        <v>107</v>
      </c>
      <c r="F298" s="36" t="s">
        <v>2120</v>
      </c>
      <c r="G298" s="36">
        <v>613575</v>
      </c>
      <c r="H298" s="36" t="s">
        <v>1489</v>
      </c>
      <c r="I298" s="37">
        <v>0.65749000000000002</v>
      </c>
      <c r="J298" s="7"/>
      <c r="K298" s="7" t="str">
        <f>VLOOKUP($E298,Mapping!$E$11:$I$96,3,0)</f>
        <v>Connections</v>
      </c>
      <c r="L298" s="7" t="str">
        <f>VLOOKUP($G298,Mapping!$E$140:$K$2771,5,0)</f>
        <v>Labour</v>
      </c>
      <c r="M298" s="7" t="str">
        <f>VLOOKUP($G298,Mapping!$E$140:$K$2771,7,0)</f>
        <v>ENDirect</v>
      </c>
      <c r="N298" s="7" t="str">
        <f>IFERROR(HLOOKUP(L298,'Calc|Weightings'!$K$5:$M$5,1,0),"Excl")</f>
        <v>Labour</v>
      </c>
      <c r="O298" s="7" t="str">
        <f>VLOOKUP(E298,Mapping!$E$11:$I$96,5,0)</f>
        <v>SCS</v>
      </c>
      <c r="Q298" s="33">
        <v>109</v>
      </c>
      <c r="R298" s="33" t="s">
        <v>2124</v>
      </c>
      <c r="S298" s="33">
        <v>612210</v>
      </c>
      <c r="T298" s="33" t="s">
        <v>1184</v>
      </c>
      <c r="U298" s="34">
        <v>0.43064999999999998</v>
      </c>
      <c r="V298" s="7"/>
      <c r="W298" s="7" t="str">
        <f>VLOOKUP($Q298,Mapping!$E$11:$I$96,3,0)</f>
        <v>Connections</v>
      </c>
      <c r="X298" s="7" t="str">
        <f>VLOOKUP($S298,Mapping!$E$140:$K$2771,5,0)</f>
        <v>Labour</v>
      </c>
      <c r="Y298" s="7" t="str">
        <f>VLOOKUP($S298,Mapping!$E$140:$K$2771,7,0)</f>
        <v>ENDirect</v>
      </c>
      <c r="Z298" s="7" t="str">
        <f>IFERROR(HLOOKUP(X298,'Calc|Weightings'!$K$5:$M$5,1,0),"Excl")</f>
        <v>Labour</v>
      </c>
      <c r="AA298" s="7" t="str">
        <f>VLOOKUP(Q298,Mapping!$E$11:$I$96,5,0)</f>
        <v>SCS</v>
      </c>
      <c r="AC298" s="111">
        <v>109</v>
      </c>
      <c r="AD298" s="111" t="s">
        <v>2124</v>
      </c>
      <c r="AE298" s="111">
        <v>531464</v>
      </c>
      <c r="AF298" s="111" t="s">
        <v>256</v>
      </c>
      <c r="AG298" s="112">
        <v>113.97487</v>
      </c>
      <c r="AI298" s="7" t="str">
        <f>VLOOKUP($AC298,Mapping!$E$11:$I$96,3,0)</f>
        <v>Connections</v>
      </c>
      <c r="AJ298" s="7" t="str">
        <f>VLOOKUP($AE298,Mapping!$E$140:$K$2771,5,0)</f>
        <v>Contracts</v>
      </c>
      <c r="AK298" s="7" t="str">
        <f>VLOOKUP($AE298,Mapping!$E$140:$K$2771,7,0)</f>
        <v>ENDirect</v>
      </c>
      <c r="AL298" s="7" t="str">
        <f>IFERROR(HLOOKUP(AJ298,'Calc|Weightings'!$K$5:$M$5,1,0),"Excl")</f>
        <v>Contracts</v>
      </c>
      <c r="AM298" s="7" t="str">
        <f>VLOOKUP(AC298,Mapping!$E$11:$I$96,5,0)</f>
        <v>SCS</v>
      </c>
      <c r="AO298" s="134">
        <v>109</v>
      </c>
      <c r="AP298" s="135" t="s">
        <v>2124</v>
      </c>
      <c r="AQ298" s="135">
        <v>613310</v>
      </c>
      <c r="AR298" s="135" t="s">
        <v>2095</v>
      </c>
      <c r="AS298" s="136">
        <v>1.5370999999999999</v>
      </c>
      <c r="AU298" s="7" t="str">
        <f>VLOOKUP($AO298,Mapping!$E$11:$I$96,3,0)</f>
        <v>Connections</v>
      </c>
      <c r="AV298" s="7" t="str">
        <f>VLOOKUP($AQ298,Mapping!$E$140:$K$2771,5,0)</f>
        <v>Labour</v>
      </c>
      <c r="AW298" s="7" t="str">
        <f>VLOOKUP($AQ298,Mapping!$E$140:$K$2771,7,0)</f>
        <v>ENDirect</v>
      </c>
      <c r="AX298" s="7" t="str">
        <f>IFERROR(HLOOKUP(AV298,'Calc|Weightings'!$K$5:$M$5,1,0),"Excl")</f>
        <v>Labour</v>
      </c>
      <c r="AY298" s="7" t="str">
        <f>VLOOKUP(AO298,Mapping!$E$11:$I$96,5,0)</f>
        <v>SCS</v>
      </c>
    </row>
    <row r="299" spans="1:51" x14ac:dyDescent="0.2">
      <c r="A299" s="7"/>
      <c r="B299" s="7"/>
      <c r="C299" s="7"/>
      <c r="D299" s="7"/>
      <c r="E299" s="36">
        <v>107</v>
      </c>
      <c r="F299" s="36" t="s">
        <v>2120</v>
      </c>
      <c r="G299" s="36">
        <v>613630</v>
      </c>
      <c r="H299" s="36" t="s">
        <v>1498</v>
      </c>
      <c r="I299" s="37">
        <v>0.39628000000000002</v>
      </c>
      <c r="J299" s="7"/>
      <c r="K299" s="7" t="str">
        <f>VLOOKUP($E299,Mapping!$E$11:$I$96,3,0)</f>
        <v>Connections</v>
      </c>
      <c r="L299" s="7" t="str">
        <f>VLOOKUP($G299,Mapping!$E$140:$K$2771,5,0)</f>
        <v>Labour</v>
      </c>
      <c r="M299" s="7" t="str">
        <f>VLOOKUP($G299,Mapping!$E$140:$K$2771,7,0)</f>
        <v>ENDirect</v>
      </c>
      <c r="N299" s="7" t="str">
        <f>IFERROR(HLOOKUP(L299,'Calc|Weightings'!$K$5:$M$5,1,0),"Excl")</f>
        <v>Labour</v>
      </c>
      <c r="O299" s="7" t="str">
        <f>VLOOKUP(E299,Mapping!$E$11:$I$96,5,0)</f>
        <v>SCS</v>
      </c>
      <c r="Q299" s="33">
        <v>109</v>
      </c>
      <c r="R299" s="33" t="s">
        <v>2124</v>
      </c>
      <c r="S299" s="33">
        <v>613240</v>
      </c>
      <c r="T299" s="33" t="s">
        <v>2082</v>
      </c>
      <c r="U299" s="34">
        <v>-1.1826000000000001</v>
      </c>
      <c r="V299" s="7"/>
      <c r="W299" s="7" t="str">
        <f>VLOOKUP($Q299,Mapping!$E$11:$I$96,3,0)</f>
        <v>Connections</v>
      </c>
      <c r="X299" s="7" t="str">
        <f>VLOOKUP($S299,Mapping!$E$140:$K$2771,5,0)</f>
        <v>Labour</v>
      </c>
      <c r="Y299" s="7" t="str">
        <f>VLOOKUP($S299,Mapping!$E$140:$K$2771,7,0)</f>
        <v>ENDirect</v>
      </c>
      <c r="Z299" s="7" t="str">
        <f>IFERROR(HLOOKUP(X299,'Calc|Weightings'!$K$5:$M$5,1,0),"Excl")</f>
        <v>Labour</v>
      </c>
      <c r="AA299" s="7" t="str">
        <f>VLOOKUP(Q299,Mapping!$E$11:$I$96,5,0)</f>
        <v>SCS</v>
      </c>
      <c r="AC299" s="111">
        <v>109</v>
      </c>
      <c r="AD299" s="111" t="s">
        <v>2124</v>
      </c>
      <c r="AE299" s="111">
        <v>531465</v>
      </c>
      <c r="AF299" s="111" t="s">
        <v>257</v>
      </c>
      <c r="AG299" s="112">
        <v>4860.5598399999999</v>
      </c>
      <c r="AI299" s="7" t="str">
        <f>VLOOKUP($AC299,Mapping!$E$11:$I$96,3,0)</f>
        <v>Connections</v>
      </c>
      <c r="AJ299" s="7" t="str">
        <f>VLOOKUP($AE299,Mapping!$E$140:$K$2771,5,0)</f>
        <v>Contracts</v>
      </c>
      <c r="AK299" s="7" t="str">
        <f>VLOOKUP($AE299,Mapping!$E$140:$K$2771,7,0)</f>
        <v>ENDirect</v>
      </c>
      <c r="AL299" s="7" t="str">
        <f>IFERROR(HLOOKUP(AJ299,'Calc|Weightings'!$K$5:$M$5,1,0),"Excl")</f>
        <v>Contracts</v>
      </c>
      <c r="AM299" s="7" t="str">
        <f>VLOOKUP(AC299,Mapping!$E$11:$I$96,5,0)</f>
        <v>SCS</v>
      </c>
      <c r="AO299" s="134">
        <v>109</v>
      </c>
      <c r="AP299" s="135" t="s">
        <v>2124</v>
      </c>
      <c r="AQ299" s="135">
        <v>613311</v>
      </c>
      <c r="AR299" s="135" t="s">
        <v>2116</v>
      </c>
      <c r="AS299" s="136">
        <v>0.18299000000000001</v>
      </c>
      <c r="AU299" s="7" t="str">
        <f>VLOOKUP($AO299,Mapping!$E$11:$I$96,3,0)</f>
        <v>Connections</v>
      </c>
      <c r="AV299" s="7" t="str">
        <f>VLOOKUP($AQ299,Mapping!$E$140:$K$2771,5,0)</f>
        <v>Labour</v>
      </c>
      <c r="AW299" s="7" t="str">
        <f>VLOOKUP($AQ299,Mapping!$E$140:$K$2771,7,0)</f>
        <v>ENDirect</v>
      </c>
      <c r="AX299" s="7" t="str">
        <f>IFERROR(HLOOKUP(AV299,'Calc|Weightings'!$K$5:$M$5,1,0),"Excl")</f>
        <v>Labour</v>
      </c>
      <c r="AY299" s="7" t="str">
        <f>VLOOKUP(AO299,Mapping!$E$11:$I$96,5,0)</f>
        <v>SCS</v>
      </c>
    </row>
    <row r="300" spans="1:51" x14ac:dyDescent="0.2">
      <c r="A300" s="7"/>
      <c r="B300" s="7"/>
      <c r="C300" s="7"/>
      <c r="D300" s="7"/>
      <c r="E300" s="36">
        <v>107</v>
      </c>
      <c r="F300" s="36" t="s">
        <v>2120</v>
      </c>
      <c r="G300" s="36">
        <v>613680</v>
      </c>
      <c r="H300" s="36" t="s">
        <v>2107</v>
      </c>
      <c r="I300" s="37">
        <v>44.98207</v>
      </c>
      <c r="J300" s="7"/>
      <c r="K300" s="7" t="str">
        <f>VLOOKUP($E300,Mapping!$E$11:$I$96,3,0)</f>
        <v>Connections</v>
      </c>
      <c r="L300" s="7" t="str">
        <f>VLOOKUP($G300,Mapping!$E$140:$K$2771,5,0)</f>
        <v>Labour</v>
      </c>
      <c r="M300" s="7" t="str">
        <f>VLOOKUP($G300,Mapping!$E$140:$K$2771,7,0)</f>
        <v>ENDirect</v>
      </c>
      <c r="N300" s="7" t="str">
        <f>IFERROR(HLOOKUP(L300,'Calc|Weightings'!$K$5:$M$5,1,0),"Excl")</f>
        <v>Labour</v>
      </c>
      <c r="O300" s="7" t="str">
        <f>VLOOKUP(E300,Mapping!$E$11:$I$96,5,0)</f>
        <v>SCS</v>
      </c>
      <c r="Q300" s="33">
        <v>109</v>
      </c>
      <c r="R300" s="33" t="s">
        <v>2124</v>
      </c>
      <c r="S300" s="33">
        <v>613241</v>
      </c>
      <c r="T300" s="33" t="s">
        <v>2083</v>
      </c>
      <c r="U300" s="34">
        <v>0.46239000000000002</v>
      </c>
      <c r="V300" s="7"/>
      <c r="W300" s="7" t="str">
        <f>VLOOKUP($Q300,Mapping!$E$11:$I$96,3,0)</f>
        <v>Connections</v>
      </c>
      <c r="X300" s="7" t="str">
        <f>VLOOKUP($S300,Mapping!$E$140:$K$2771,5,0)</f>
        <v>Labour</v>
      </c>
      <c r="Y300" s="7" t="str">
        <f>VLOOKUP($S300,Mapping!$E$140:$K$2771,7,0)</f>
        <v>ENDirect</v>
      </c>
      <c r="Z300" s="7" t="str">
        <f>IFERROR(HLOOKUP(X300,'Calc|Weightings'!$K$5:$M$5,1,0),"Excl")</f>
        <v>Labour</v>
      </c>
      <c r="AA300" s="7" t="str">
        <f>VLOOKUP(Q300,Mapping!$E$11:$I$96,5,0)</f>
        <v>SCS</v>
      </c>
      <c r="AC300" s="111">
        <v>109</v>
      </c>
      <c r="AD300" s="111" t="s">
        <v>2124</v>
      </c>
      <c r="AE300" s="111">
        <v>531466</v>
      </c>
      <c r="AF300" s="111" t="s">
        <v>258</v>
      </c>
      <c r="AG300" s="112">
        <v>7.0393499999999998</v>
      </c>
      <c r="AI300" s="7" t="str">
        <f>VLOOKUP($AC300,Mapping!$E$11:$I$96,3,0)</f>
        <v>Connections</v>
      </c>
      <c r="AJ300" s="7" t="str">
        <f>VLOOKUP($AE300,Mapping!$E$140:$K$2771,5,0)</f>
        <v>Contracts</v>
      </c>
      <c r="AK300" s="7" t="str">
        <f>VLOOKUP($AE300,Mapping!$E$140:$K$2771,7,0)</f>
        <v>ENDirect</v>
      </c>
      <c r="AL300" s="7" t="str">
        <f>IFERROR(HLOOKUP(AJ300,'Calc|Weightings'!$K$5:$M$5,1,0),"Excl")</f>
        <v>Contracts</v>
      </c>
      <c r="AM300" s="7" t="str">
        <f>VLOOKUP(AC300,Mapping!$E$11:$I$96,5,0)</f>
        <v>SCS</v>
      </c>
      <c r="AO300" s="134">
        <v>109</v>
      </c>
      <c r="AP300" s="135" t="s">
        <v>2124</v>
      </c>
      <c r="AQ300" s="135">
        <v>613360</v>
      </c>
      <c r="AR300" s="135" t="s">
        <v>2097</v>
      </c>
      <c r="AS300" s="136">
        <v>12.619300000000001</v>
      </c>
      <c r="AU300" s="7" t="str">
        <f>VLOOKUP($AO300,Mapping!$E$11:$I$96,3,0)</f>
        <v>Connections</v>
      </c>
      <c r="AV300" s="7" t="str">
        <f>VLOOKUP($AQ300,Mapping!$E$140:$K$2771,5,0)</f>
        <v>Labour</v>
      </c>
      <c r="AW300" s="7" t="str">
        <f>VLOOKUP($AQ300,Mapping!$E$140:$K$2771,7,0)</f>
        <v>ENDirect</v>
      </c>
      <c r="AX300" s="7" t="str">
        <f>IFERROR(HLOOKUP(AV300,'Calc|Weightings'!$K$5:$M$5,1,0),"Excl")</f>
        <v>Labour</v>
      </c>
      <c r="AY300" s="7" t="str">
        <f>VLOOKUP(AO300,Mapping!$E$11:$I$96,5,0)</f>
        <v>SCS</v>
      </c>
    </row>
    <row r="301" spans="1:51" x14ac:dyDescent="0.2">
      <c r="A301" s="7"/>
      <c r="B301" s="7"/>
      <c r="C301" s="7"/>
      <c r="D301" s="7"/>
      <c r="E301" s="36">
        <v>107</v>
      </c>
      <c r="F301" s="36" t="s">
        <v>2120</v>
      </c>
      <c r="G301" s="36">
        <v>633000</v>
      </c>
      <c r="H301" s="36" t="s">
        <v>2202</v>
      </c>
      <c r="I301" s="37">
        <v>285.59377000000001</v>
      </c>
      <c r="J301" s="7"/>
      <c r="K301" s="7" t="str">
        <f>VLOOKUP($E301,Mapping!$E$11:$I$96,3,0)</f>
        <v>Connections</v>
      </c>
      <c r="L301" s="7" t="str">
        <f>VLOOKUP($G301,Mapping!$E$140:$K$2771,5,0)</f>
        <v>Contracts</v>
      </c>
      <c r="M301" s="7" t="str">
        <f>VLOOKUP($G301,Mapping!$E$140:$K$2771,7,0)</f>
        <v>OH</v>
      </c>
      <c r="N301" s="7" t="str">
        <f>IFERROR(HLOOKUP(L301,'Calc|Weightings'!$K$5:$M$5,1,0),"Excl")</f>
        <v>Contracts</v>
      </c>
      <c r="O301" s="7" t="str">
        <f>VLOOKUP(E301,Mapping!$E$11:$I$96,5,0)</f>
        <v>SCS</v>
      </c>
      <c r="Q301" s="33">
        <v>109</v>
      </c>
      <c r="R301" s="33" t="s">
        <v>2124</v>
      </c>
      <c r="S301" s="33">
        <v>613250</v>
      </c>
      <c r="T301" s="33" t="s">
        <v>2086</v>
      </c>
      <c r="U301" s="34">
        <v>-1.8080099999999999</v>
      </c>
      <c r="V301" s="7"/>
      <c r="W301" s="7" t="str">
        <f>VLOOKUP($Q301,Mapping!$E$11:$I$96,3,0)</f>
        <v>Connections</v>
      </c>
      <c r="X301" s="7" t="str">
        <f>VLOOKUP($S301,Mapping!$E$140:$K$2771,5,0)</f>
        <v>Labour</v>
      </c>
      <c r="Y301" s="7" t="str">
        <f>VLOOKUP($S301,Mapping!$E$140:$K$2771,7,0)</f>
        <v>ENDirect</v>
      </c>
      <c r="Z301" s="7" t="str">
        <f>IFERROR(HLOOKUP(X301,'Calc|Weightings'!$K$5:$M$5,1,0),"Excl")</f>
        <v>Labour</v>
      </c>
      <c r="AA301" s="7" t="str">
        <f>VLOOKUP(Q301,Mapping!$E$11:$I$96,5,0)</f>
        <v>SCS</v>
      </c>
      <c r="AC301" s="111">
        <v>109</v>
      </c>
      <c r="AD301" s="111" t="s">
        <v>2124</v>
      </c>
      <c r="AE301" s="111">
        <v>531467</v>
      </c>
      <c r="AF301" s="111" t="s">
        <v>259</v>
      </c>
      <c r="AG301" s="112">
        <v>6.5285099999999998</v>
      </c>
      <c r="AI301" s="7" t="str">
        <f>VLOOKUP($AC301,Mapping!$E$11:$I$96,3,0)</f>
        <v>Connections</v>
      </c>
      <c r="AJ301" s="7" t="str">
        <f>VLOOKUP($AE301,Mapping!$E$140:$K$2771,5,0)</f>
        <v>Contracts</v>
      </c>
      <c r="AK301" s="7" t="str">
        <f>VLOOKUP($AE301,Mapping!$E$140:$K$2771,7,0)</f>
        <v>ENDirect</v>
      </c>
      <c r="AL301" s="7" t="str">
        <f>IFERROR(HLOOKUP(AJ301,'Calc|Weightings'!$K$5:$M$5,1,0),"Excl")</f>
        <v>Contracts</v>
      </c>
      <c r="AM301" s="7" t="str">
        <f>VLOOKUP(AC301,Mapping!$E$11:$I$96,5,0)</f>
        <v>SCS</v>
      </c>
      <c r="AO301" s="134">
        <v>109</v>
      </c>
      <c r="AP301" s="135" t="s">
        <v>2124</v>
      </c>
      <c r="AQ301" s="135">
        <v>613400</v>
      </c>
      <c r="AR301" s="135" t="s">
        <v>2099</v>
      </c>
      <c r="AS301" s="136">
        <v>3.9023599999999998</v>
      </c>
      <c r="AU301" s="7" t="str">
        <f>VLOOKUP($AO301,Mapping!$E$11:$I$96,3,0)</f>
        <v>Connections</v>
      </c>
      <c r="AV301" s="7" t="str">
        <f>VLOOKUP($AQ301,Mapping!$E$140:$K$2771,5,0)</f>
        <v>Labour</v>
      </c>
      <c r="AW301" s="7" t="str">
        <f>VLOOKUP($AQ301,Mapping!$E$140:$K$2771,7,0)</f>
        <v>ENDirect</v>
      </c>
      <c r="AX301" s="7" t="str">
        <f>IFERROR(HLOOKUP(AV301,'Calc|Weightings'!$K$5:$M$5,1,0),"Excl")</f>
        <v>Labour</v>
      </c>
      <c r="AY301" s="7" t="str">
        <f>VLOOKUP(AO301,Mapping!$E$11:$I$96,5,0)</f>
        <v>SCS</v>
      </c>
    </row>
    <row r="302" spans="1:51" x14ac:dyDescent="0.2">
      <c r="A302" s="7"/>
      <c r="B302" s="7"/>
      <c r="C302" s="7"/>
      <c r="D302" s="7"/>
      <c r="E302" s="36">
        <v>107</v>
      </c>
      <c r="F302" s="36" t="s">
        <v>2120</v>
      </c>
      <c r="G302" s="36">
        <v>634001</v>
      </c>
      <c r="H302" s="36" t="s">
        <v>2110</v>
      </c>
      <c r="I302" s="37">
        <v>111.05191000000001</v>
      </c>
      <c r="J302" s="7"/>
      <c r="K302" s="7" t="str">
        <f>VLOOKUP($E302,Mapping!$E$11:$I$96,3,0)</f>
        <v>Connections</v>
      </c>
      <c r="L302" s="7" t="str">
        <f>VLOOKUP($G302,Mapping!$E$140:$K$2771,5,0)</f>
        <v>Local OH</v>
      </c>
      <c r="M302" s="7" t="str">
        <f>VLOOKUP($G302,Mapping!$E$140:$K$2771,7,0)</f>
        <v>OH</v>
      </c>
      <c r="N302" s="7" t="str">
        <f>IFERROR(HLOOKUP(L302,'Calc|Weightings'!$K$5:$M$5,1,0),"Excl")</f>
        <v>Excl</v>
      </c>
      <c r="O302" s="7" t="str">
        <f>VLOOKUP(E302,Mapping!$E$11:$I$96,5,0)</f>
        <v>SCS</v>
      </c>
      <c r="Q302" s="33">
        <v>109</v>
      </c>
      <c r="R302" s="33" t="s">
        <v>2124</v>
      </c>
      <c r="S302" s="33">
        <v>613251</v>
      </c>
      <c r="T302" s="33" t="s">
        <v>2087</v>
      </c>
      <c r="U302" s="34">
        <v>1.2814399999999999</v>
      </c>
      <c r="V302" s="7"/>
      <c r="W302" s="7" t="str">
        <f>VLOOKUP($Q302,Mapping!$E$11:$I$96,3,0)</f>
        <v>Connections</v>
      </c>
      <c r="X302" s="7" t="str">
        <f>VLOOKUP($S302,Mapping!$E$140:$K$2771,5,0)</f>
        <v>Labour</v>
      </c>
      <c r="Y302" s="7" t="str">
        <f>VLOOKUP($S302,Mapping!$E$140:$K$2771,7,0)</f>
        <v>ENDirect</v>
      </c>
      <c r="Z302" s="7" t="str">
        <f>IFERROR(HLOOKUP(X302,'Calc|Weightings'!$K$5:$M$5,1,0),"Excl")</f>
        <v>Labour</v>
      </c>
      <c r="AA302" s="7" t="str">
        <f>VLOOKUP(Q302,Mapping!$E$11:$I$96,5,0)</f>
        <v>SCS</v>
      </c>
      <c r="AC302" s="111">
        <v>109</v>
      </c>
      <c r="AD302" s="111" t="s">
        <v>2124</v>
      </c>
      <c r="AE302" s="111">
        <v>531468</v>
      </c>
      <c r="AF302" s="111" t="s">
        <v>260</v>
      </c>
      <c r="AG302" s="112">
        <v>42.633510000000001</v>
      </c>
      <c r="AI302" s="7" t="str">
        <f>VLOOKUP($AC302,Mapping!$E$11:$I$96,3,0)</f>
        <v>Connections</v>
      </c>
      <c r="AJ302" s="7" t="str">
        <f>VLOOKUP($AE302,Mapping!$E$140:$K$2771,5,0)</f>
        <v>Contracts</v>
      </c>
      <c r="AK302" s="7" t="str">
        <f>VLOOKUP($AE302,Mapping!$E$140:$K$2771,7,0)</f>
        <v>ENDirect</v>
      </c>
      <c r="AL302" s="7" t="str">
        <f>IFERROR(HLOOKUP(AJ302,'Calc|Weightings'!$K$5:$M$5,1,0),"Excl")</f>
        <v>Contracts</v>
      </c>
      <c r="AM302" s="7" t="str">
        <f>VLOOKUP(AC302,Mapping!$E$11:$I$96,5,0)</f>
        <v>SCS</v>
      </c>
      <c r="AO302" s="134">
        <v>109</v>
      </c>
      <c r="AP302" s="135" t="s">
        <v>2124</v>
      </c>
      <c r="AQ302" s="135">
        <v>613410</v>
      </c>
      <c r="AR302" s="135" t="s">
        <v>2100</v>
      </c>
      <c r="AS302" s="136">
        <v>4.5719900000000004</v>
      </c>
      <c r="AU302" s="7" t="str">
        <f>VLOOKUP($AO302,Mapping!$E$11:$I$96,3,0)</f>
        <v>Connections</v>
      </c>
      <c r="AV302" s="7" t="str">
        <f>VLOOKUP($AQ302,Mapping!$E$140:$K$2771,5,0)</f>
        <v>Labour</v>
      </c>
      <c r="AW302" s="7" t="str">
        <f>VLOOKUP($AQ302,Mapping!$E$140:$K$2771,7,0)</f>
        <v>ENDirect</v>
      </c>
      <c r="AX302" s="7" t="str">
        <f>IFERROR(HLOOKUP(AV302,'Calc|Weightings'!$K$5:$M$5,1,0),"Excl")</f>
        <v>Labour</v>
      </c>
      <c r="AY302" s="7" t="str">
        <f>VLOOKUP(AO302,Mapping!$E$11:$I$96,5,0)</f>
        <v>SCS</v>
      </c>
    </row>
    <row r="303" spans="1:51" x14ac:dyDescent="0.2">
      <c r="A303" s="7"/>
      <c r="B303" s="7"/>
      <c r="C303" s="7"/>
      <c r="D303" s="7"/>
      <c r="E303" s="36">
        <v>107</v>
      </c>
      <c r="F303" s="36" t="s">
        <v>2120</v>
      </c>
      <c r="G303" s="36">
        <v>635001</v>
      </c>
      <c r="H303" s="36" t="s">
        <v>1929</v>
      </c>
      <c r="I303" s="37">
        <v>73.744870000000006</v>
      </c>
      <c r="J303" s="7"/>
      <c r="K303" s="7" t="str">
        <f>VLOOKUP($E303,Mapping!$E$11:$I$96,3,0)</f>
        <v>Connections</v>
      </c>
      <c r="L303" s="7" t="str">
        <f>VLOOKUP($G303,Mapping!$E$140:$K$2771,5,0)</f>
        <v>PNS MG</v>
      </c>
      <c r="M303" s="7" t="str">
        <f>VLOOKUP($G303,Mapping!$E$140:$K$2771,7,0)</f>
        <v>ENDirect</v>
      </c>
      <c r="N303" s="7" t="str">
        <f>IFERROR(HLOOKUP(L303,'Calc|Weightings'!$K$5:$M$5,1,0),"Excl")</f>
        <v>Excl</v>
      </c>
      <c r="O303" s="7" t="str">
        <f>VLOOKUP(E303,Mapping!$E$11:$I$96,5,0)</f>
        <v>SCS</v>
      </c>
      <c r="Q303" s="33">
        <v>109</v>
      </c>
      <c r="R303" s="33" t="s">
        <v>2124</v>
      </c>
      <c r="S303" s="33">
        <v>613280</v>
      </c>
      <c r="T303" s="33" t="s">
        <v>1342</v>
      </c>
      <c r="U303" s="34">
        <v>3.0017800000000001</v>
      </c>
      <c r="V303" s="7"/>
      <c r="W303" s="7" t="str">
        <f>VLOOKUP($Q303,Mapping!$E$11:$I$96,3,0)</f>
        <v>Connections</v>
      </c>
      <c r="X303" s="7" t="str">
        <f>VLOOKUP($S303,Mapping!$E$140:$K$2771,5,0)</f>
        <v>Labour</v>
      </c>
      <c r="Y303" s="7" t="str">
        <f>VLOOKUP($S303,Mapping!$E$140:$K$2771,7,0)</f>
        <v>ENDirect</v>
      </c>
      <c r="Z303" s="7" t="str">
        <f>IFERROR(HLOOKUP(X303,'Calc|Weightings'!$K$5:$M$5,1,0),"Excl")</f>
        <v>Labour</v>
      </c>
      <c r="AA303" s="7" t="str">
        <f>VLOOKUP(Q303,Mapping!$E$11:$I$96,5,0)</f>
        <v>SCS</v>
      </c>
      <c r="AC303" s="111">
        <v>109</v>
      </c>
      <c r="AD303" s="111" t="s">
        <v>2124</v>
      </c>
      <c r="AE303" s="111">
        <v>532050</v>
      </c>
      <c r="AF303" s="111" t="s">
        <v>279</v>
      </c>
      <c r="AG303" s="112">
        <v>0.56000000000000005</v>
      </c>
      <c r="AI303" s="7" t="str">
        <f>VLOOKUP($AC303,Mapping!$E$11:$I$96,3,0)</f>
        <v>Connections</v>
      </c>
      <c r="AJ303" s="7" t="str">
        <f>VLOOKUP($AE303,Mapping!$E$140:$K$2771,5,0)</f>
        <v>Contracts</v>
      </c>
      <c r="AK303" s="7" t="str">
        <f>VLOOKUP($AE303,Mapping!$E$140:$K$2771,7,0)</f>
        <v>ENDirect</v>
      </c>
      <c r="AL303" s="7" t="str">
        <f>IFERROR(HLOOKUP(AJ303,'Calc|Weightings'!$K$5:$M$5,1,0),"Excl")</f>
        <v>Contracts</v>
      </c>
      <c r="AM303" s="7" t="str">
        <f>VLOOKUP(AC303,Mapping!$E$11:$I$96,5,0)</f>
        <v>SCS</v>
      </c>
      <c r="AO303" s="134">
        <v>109</v>
      </c>
      <c r="AP303" s="135" t="s">
        <v>2124</v>
      </c>
      <c r="AQ303" s="135">
        <v>613434</v>
      </c>
      <c r="AR303" s="135" t="s">
        <v>2102</v>
      </c>
      <c r="AS303" s="136">
        <v>6.0134600000000002</v>
      </c>
      <c r="AU303" s="7" t="str">
        <f>VLOOKUP($AO303,Mapping!$E$11:$I$96,3,0)</f>
        <v>Connections</v>
      </c>
      <c r="AV303" s="7" t="str">
        <f>VLOOKUP($AQ303,Mapping!$E$140:$K$2771,5,0)</f>
        <v>Labour</v>
      </c>
      <c r="AW303" s="7" t="str">
        <f>VLOOKUP($AQ303,Mapping!$E$140:$K$2771,7,0)</f>
        <v>ENDirect</v>
      </c>
      <c r="AX303" s="7" t="str">
        <f>IFERROR(HLOOKUP(AV303,'Calc|Weightings'!$K$5:$M$5,1,0),"Excl")</f>
        <v>Labour</v>
      </c>
      <c r="AY303" s="7" t="str">
        <f>VLOOKUP(AO303,Mapping!$E$11:$I$96,5,0)</f>
        <v>SCS</v>
      </c>
    </row>
    <row r="304" spans="1:51" x14ac:dyDescent="0.2">
      <c r="A304" s="7"/>
      <c r="B304" s="7"/>
      <c r="C304" s="7"/>
      <c r="D304" s="7"/>
      <c r="E304" s="36">
        <v>107</v>
      </c>
      <c r="F304" s="36" t="s">
        <v>2120</v>
      </c>
      <c r="G304" s="36">
        <v>636001</v>
      </c>
      <c r="H304" s="36" t="s">
        <v>2111</v>
      </c>
      <c r="I304" s="37">
        <v>35.973379999999999</v>
      </c>
      <c r="J304" s="7"/>
      <c r="K304" s="7" t="str">
        <f>VLOOKUP($E304,Mapping!$E$11:$I$96,3,0)</f>
        <v>Connections</v>
      </c>
      <c r="L304" s="7" t="str">
        <f>VLOOKUP($G304,Mapping!$E$140:$K$2771,5,0)</f>
        <v>System Control OH</v>
      </c>
      <c r="M304" s="7" t="str">
        <f>VLOOKUP($G304,Mapping!$E$140:$K$2771,7,0)</f>
        <v>OH</v>
      </c>
      <c r="N304" s="7" t="str">
        <f>IFERROR(HLOOKUP(L304,'Calc|Weightings'!$K$5:$M$5,1,0),"Excl")</f>
        <v>Excl</v>
      </c>
      <c r="O304" s="7" t="str">
        <f>VLOOKUP(E304,Mapping!$E$11:$I$96,5,0)</f>
        <v>SCS</v>
      </c>
      <c r="Q304" s="33">
        <v>109</v>
      </c>
      <c r="R304" s="33" t="s">
        <v>2124</v>
      </c>
      <c r="S304" s="33">
        <v>613281</v>
      </c>
      <c r="T304" s="33" t="s">
        <v>1343</v>
      </c>
      <c r="U304" s="34">
        <v>3.1886899999999998</v>
      </c>
      <c r="V304" s="7"/>
      <c r="W304" s="7" t="str">
        <f>VLOOKUP($Q304,Mapping!$E$11:$I$96,3,0)</f>
        <v>Connections</v>
      </c>
      <c r="X304" s="7" t="str">
        <f>VLOOKUP($S304,Mapping!$E$140:$K$2771,5,0)</f>
        <v>Labour</v>
      </c>
      <c r="Y304" s="7" t="str">
        <f>VLOOKUP($S304,Mapping!$E$140:$K$2771,7,0)</f>
        <v>ENDirect</v>
      </c>
      <c r="Z304" s="7" t="str">
        <f>IFERROR(HLOOKUP(X304,'Calc|Weightings'!$K$5:$M$5,1,0),"Excl")</f>
        <v>Labour</v>
      </c>
      <c r="AA304" s="7" t="str">
        <f>VLOOKUP(Q304,Mapping!$E$11:$I$96,5,0)</f>
        <v>SCS</v>
      </c>
      <c r="AC304" s="111">
        <v>109</v>
      </c>
      <c r="AD304" s="111" t="s">
        <v>2124</v>
      </c>
      <c r="AE304" s="111">
        <v>532100</v>
      </c>
      <c r="AF304" s="111" t="s">
        <v>286</v>
      </c>
      <c r="AG304" s="112">
        <v>57.8</v>
      </c>
      <c r="AI304" s="7" t="str">
        <f>VLOOKUP($AC304,Mapping!$E$11:$I$96,3,0)</f>
        <v>Connections</v>
      </c>
      <c r="AJ304" s="7" t="str">
        <f>VLOOKUP($AE304,Mapping!$E$140:$K$2771,5,0)</f>
        <v>Contracts</v>
      </c>
      <c r="AK304" s="7" t="str">
        <f>VLOOKUP($AE304,Mapping!$E$140:$K$2771,7,0)</f>
        <v>ENDirect</v>
      </c>
      <c r="AL304" s="7" t="str">
        <f>IFERROR(HLOOKUP(AJ304,'Calc|Weightings'!$K$5:$M$5,1,0),"Excl")</f>
        <v>Contracts</v>
      </c>
      <c r="AM304" s="7" t="str">
        <f>VLOOKUP(AC304,Mapping!$E$11:$I$96,5,0)</f>
        <v>SCS</v>
      </c>
      <c r="AO304" s="134">
        <v>109</v>
      </c>
      <c r="AP304" s="135" t="s">
        <v>2124</v>
      </c>
      <c r="AQ304" s="135">
        <v>613440</v>
      </c>
      <c r="AR304" s="135" t="s">
        <v>2103</v>
      </c>
      <c r="AS304" s="136">
        <v>102.46659</v>
      </c>
      <c r="AU304" s="7" t="str">
        <f>VLOOKUP($AO304,Mapping!$E$11:$I$96,3,0)</f>
        <v>Connections</v>
      </c>
      <c r="AV304" s="7" t="str">
        <f>VLOOKUP($AQ304,Mapping!$E$140:$K$2771,5,0)</f>
        <v>Labour</v>
      </c>
      <c r="AW304" s="7" t="str">
        <f>VLOOKUP($AQ304,Mapping!$E$140:$K$2771,7,0)</f>
        <v>ENDirect</v>
      </c>
      <c r="AX304" s="7" t="str">
        <f>IFERROR(HLOOKUP(AV304,'Calc|Weightings'!$K$5:$M$5,1,0),"Excl")</f>
        <v>Labour</v>
      </c>
      <c r="AY304" s="7" t="str">
        <f>VLOOKUP(AO304,Mapping!$E$11:$I$96,5,0)</f>
        <v>SCS</v>
      </c>
    </row>
    <row r="305" spans="1:51" x14ac:dyDescent="0.2">
      <c r="A305" s="7"/>
      <c r="B305" s="7"/>
      <c r="C305" s="7"/>
      <c r="D305" s="7"/>
      <c r="E305" s="36">
        <v>107</v>
      </c>
      <c r="F305" s="36" t="s">
        <v>2120</v>
      </c>
      <c r="G305" s="36">
        <v>639000</v>
      </c>
      <c r="H305" s="36" t="s">
        <v>2112</v>
      </c>
      <c r="I305" s="37">
        <v>67.605710000000002</v>
      </c>
      <c r="J305" s="7"/>
      <c r="K305" s="7" t="str">
        <f>VLOOKUP($E305,Mapping!$E$11:$I$96,3,0)</f>
        <v>Connections</v>
      </c>
      <c r="L305" s="7" t="str">
        <f>VLOOKUP($G305,Mapping!$E$140:$K$2771,5,0)</f>
        <v>PNS Corporate OH</v>
      </c>
      <c r="M305" s="7" t="str">
        <f>VLOOKUP($G305,Mapping!$E$140:$K$2771,7,0)</f>
        <v>OH</v>
      </c>
      <c r="N305" s="7" t="str">
        <f>IFERROR(HLOOKUP(L305,'Calc|Weightings'!$K$5:$M$5,1,0),"Excl")</f>
        <v>Excl</v>
      </c>
      <c r="O305" s="7" t="str">
        <f>VLOOKUP(E305,Mapping!$E$11:$I$96,5,0)</f>
        <v>SCS</v>
      </c>
      <c r="Q305" s="33">
        <v>109</v>
      </c>
      <c r="R305" s="33" t="s">
        <v>2124</v>
      </c>
      <c r="S305" s="33">
        <v>613290</v>
      </c>
      <c r="T305" s="33" t="s">
        <v>2093</v>
      </c>
      <c r="U305" s="34">
        <v>281.94216</v>
      </c>
      <c r="V305" s="7"/>
      <c r="W305" s="7" t="str">
        <f>VLOOKUP($Q305,Mapping!$E$11:$I$96,3,0)</f>
        <v>Connections</v>
      </c>
      <c r="X305" s="7" t="str">
        <f>VLOOKUP($S305,Mapping!$E$140:$K$2771,5,0)</f>
        <v>Labour</v>
      </c>
      <c r="Y305" s="7" t="str">
        <f>VLOOKUP($S305,Mapping!$E$140:$K$2771,7,0)</f>
        <v>ENDirect</v>
      </c>
      <c r="Z305" s="7" t="str">
        <f>IFERROR(HLOOKUP(X305,'Calc|Weightings'!$K$5:$M$5,1,0),"Excl")</f>
        <v>Labour</v>
      </c>
      <c r="AA305" s="7" t="str">
        <f>VLOOKUP(Q305,Mapping!$E$11:$I$96,5,0)</f>
        <v>SCS</v>
      </c>
      <c r="AC305" s="111">
        <v>109</v>
      </c>
      <c r="AD305" s="111" t="s">
        <v>2124</v>
      </c>
      <c r="AE305" s="111">
        <v>532160</v>
      </c>
      <c r="AF305" s="111" t="s">
        <v>289</v>
      </c>
      <c r="AG305" s="112">
        <v>3.9945200000000001</v>
      </c>
      <c r="AI305" s="7" t="str">
        <f>VLOOKUP($AC305,Mapping!$E$11:$I$96,3,0)</f>
        <v>Connections</v>
      </c>
      <c r="AJ305" s="7" t="str">
        <f>VLOOKUP($AE305,Mapping!$E$140:$K$2771,5,0)</f>
        <v>Contracts</v>
      </c>
      <c r="AK305" s="7" t="str">
        <f>VLOOKUP($AE305,Mapping!$E$140:$K$2771,7,0)</f>
        <v>ENDirect</v>
      </c>
      <c r="AL305" s="7" t="str">
        <f>IFERROR(HLOOKUP(AJ305,'Calc|Weightings'!$K$5:$M$5,1,0),"Excl")</f>
        <v>Contracts</v>
      </c>
      <c r="AM305" s="7" t="str">
        <f>VLOOKUP(AC305,Mapping!$E$11:$I$96,5,0)</f>
        <v>SCS</v>
      </c>
      <c r="AO305" s="134">
        <v>109</v>
      </c>
      <c r="AP305" s="135" t="s">
        <v>2124</v>
      </c>
      <c r="AQ305" s="135">
        <v>613441</v>
      </c>
      <c r="AR305" s="135" t="s">
        <v>2104</v>
      </c>
      <c r="AS305" s="136">
        <v>0.67732999999999999</v>
      </c>
      <c r="AU305" s="7" t="str">
        <f>VLOOKUP($AO305,Mapping!$E$11:$I$96,3,0)</f>
        <v>Connections</v>
      </c>
      <c r="AV305" s="7" t="str">
        <f>VLOOKUP($AQ305,Mapping!$E$140:$K$2771,5,0)</f>
        <v>Labour</v>
      </c>
      <c r="AW305" s="7" t="str">
        <f>VLOOKUP($AQ305,Mapping!$E$140:$K$2771,7,0)</f>
        <v>ENDirect</v>
      </c>
      <c r="AX305" s="7" t="str">
        <f>IFERROR(HLOOKUP(AV305,'Calc|Weightings'!$K$5:$M$5,1,0),"Excl")</f>
        <v>Labour</v>
      </c>
      <c r="AY305" s="7" t="str">
        <f>VLOOKUP(AO305,Mapping!$E$11:$I$96,5,0)</f>
        <v>SCS</v>
      </c>
    </row>
    <row r="306" spans="1:51" x14ac:dyDescent="0.2">
      <c r="A306" s="7"/>
      <c r="B306" s="7"/>
      <c r="C306" s="7"/>
      <c r="D306" s="7"/>
      <c r="E306" s="36">
        <v>107</v>
      </c>
      <c r="F306" s="36" t="s">
        <v>2120</v>
      </c>
      <c r="G306" s="36">
        <v>639050</v>
      </c>
      <c r="H306" s="36" t="s">
        <v>2113</v>
      </c>
      <c r="I306" s="37">
        <v>10.6883</v>
      </c>
      <c r="J306" s="7"/>
      <c r="K306" s="7" t="str">
        <f>VLOOKUP($E306,Mapping!$E$11:$I$96,3,0)</f>
        <v>Connections</v>
      </c>
      <c r="L306" s="7" t="str">
        <f>VLOOKUP($G306,Mapping!$E$140:$K$2771,5,0)</f>
        <v>PNS Fleet &amp; Property OH</v>
      </c>
      <c r="M306" s="7" t="str">
        <f>VLOOKUP($G306,Mapping!$E$140:$K$2771,7,0)</f>
        <v>OH</v>
      </c>
      <c r="N306" s="7" t="str">
        <f>IFERROR(HLOOKUP(L306,'Calc|Weightings'!$K$5:$M$5,1,0),"Excl")</f>
        <v>Excl</v>
      </c>
      <c r="O306" s="7" t="str">
        <f>VLOOKUP(E306,Mapping!$E$11:$I$96,5,0)</f>
        <v>SCS</v>
      </c>
      <c r="Q306" s="33">
        <v>109</v>
      </c>
      <c r="R306" s="33" t="s">
        <v>2124</v>
      </c>
      <c r="S306" s="33">
        <v>613291</v>
      </c>
      <c r="T306" s="33" t="s">
        <v>2094</v>
      </c>
      <c r="U306" s="34">
        <v>55.209409999999998</v>
      </c>
      <c r="V306" s="7"/>
      <c r="W306" s="7" t="str">
        <f>VLOOKUP($Q306,Mapping!$E$11:$I$96,3,0)</f>
        <v>Connections</v>
      </c>
      <c r="X306" s="7" t="str">
        <f>VLOOKUP($S306,Mapping!$E$140:$K$2771,5,0)</f>
        <v>Labour</v>
      </c>
      <c r="Y306" s="7" t="str">
        <f>VLOOKUP($S306,Mapping!$E$140:$K$2771,7,0)</f>
        <v>ENDirect</v>
      </c>
      <c r="Z306" s="7" t="str">
        <f>IFERROR(HLOOKUP(X306,'Calc|Weightings'!$K$5:$M$5,1,0),"Excl")</f>
        <v>Labour</v>
      </c>
      <c r="AA306" s="7" t="str">
        <f>VLOOKUP(Q306,Mapping!$E$11:$I$96,5,0)</f>
        <v>SCS</v>
      </c>
      <c r="AC306" s="111">
        <v>109</v>
      </c>
      <c r="AD306" s="111" t="s">
        <v>2124</v>
      </c>
      <c r="AE306" s="111">
        <v>591997</v>
      </c>
      <c r="AF306" s="111" t="s">
        <v>2194</v>
      </c>
      <c r="AG306" s="112">
        <v>-8.6022999999999996</v>
      </c>
      <c r="AI306" s="7" t="str">
        <f>VLOOKUP($AC306,Mapping!$E$11:$I$96,3,0)</f>
        <v>Connections</v>
      </c>
      <c r="AJ306" s="7" t="str">
        <f>VLOOKUP($AE306,Mapping!$E$140:$K$2771,5,0)</f>
        <v>Contracts</v>
      </c>
      <c r="AK306" s="7" t="str">
        <f>VLOOKUP($AE306,Mapping!$E$140:$K$2771,7,0)</f>
        <v>ENDirect</v>
      </c>
      <c r="AL306" s="7" t="str">
        <f>IFERROR(HLOOKUP(AJ306,'Calc|Weightings'!$K$5:$M$5,1,0),"Excl")</f>
        <v>Contracts</v>
      </c>
      <c r="AM306" s="7" t="str">
        <f>VLOOKUP(AC306,Mapping!$E$11:$I$96,5,0)</f>
        <v>SCS</v>
      </c>
      <c r="AO306" s="134">
        <v>109</v>
      </c>
      <c r="AP306" s="135" t="s">
        <v>2124</v>
      </c>
      <c r="AQ306" s="135">
        <v>613450</v>
      </c>
      <c r="AR306" s="135" t="s">
        <v>2175</v>
      </c>
      <c r="AS306" s="136">
        <v>5.6012000000000004</v>
      </c>
      <c r="AU306" s="7" t="str">
        <f>VLOOKUP($AO306,Mapping!$E$11:$I$96,3,0)</f>
        <v>Connections</v>
      </c>
      <c r="AV306" s="7" t="str">
        <f>VLOOKUP($AQ306,Mapping!$E$140:$K$2771,5,0)</f>
        <v>Labour</v>
      </c>
      <c r="AW306" s="7" t="str">
        <f>VLOOKUP($AQ306,Mapping!$E$140:$K$2771,7,0)</f>
        <v>ENDirect</v>
      </c>
      <c r="AX306" s="7" t="str">
        <f>IFERROR(HLOOKUP(AV306,'Calc|Weightings'!$K$5:$M$5,1,0),"Excl")</f>
        <v>Labour</v>
      </c>
      <c r="AY306" s="7" t="str">
        <f>VLOOKUP(AO306,Mapping!$E$11:$I$96,5,0)</f>
        <v>SCS</v>
      </c>
    </row>
    <row r="307" spans="1:51" x14ac:dyDescent="0.2">
      <c r="A307" s="7"/>
      <c r="B307" s="7"/>
      <c r="C307" s="7"/>
      <c r="D307" s="7"/>
      <c r="E307" s="36">
        <v>108</v>
      </c>
      <c r="F307" s="36" t="s">
        <v>2123</v>
      </c>
      <c r="G307" s="36">
        <v>531035</v>
      </c>
      <c r="H307" s="36" t="s">
        <v>244</v>
      </c>
      <c r="I307" s="37">
        <v>-7.569</v>
      </c>
      <c r="J307" s="7"/>
      <c r="K307" s="7" t="str">
        <f>VLOOKUP($E307,Mapping!$E$11:$I$96,3,0)</f>
        <v>Connections</v>
      </c>
      <c r="L307" s="7" t="str">
        <f>VLOOKUP($G307,Mapping!$E$140:$K$2771,5,0)</f>
        <v>Labour</v>
      </c>
      <c r="M307" s="7" t="str">
        <f>VLOOKUP($G307,Mapping!$E$140:$K$2771,7,0)</f>
        <v>ENDirect</v>
      </c>
      <c r="N307" s="7" t="str">
        <f>IFERROR(HLOOKUP(L307,'Calc|Weightings'!$K$5:$M$5,1,0),"Excl")</f>
        <v>Labour</v>
      </c>
      <c r="O307" s="7" t="str">
        <f>VLOOKUP(E307,Mapping!$E$11:$I$96,5,0)</f>
        <v>SCS</v>
      </c>
      <c r="Q307" s="33">
        <v>109</v>
      </c>
      <c r="R307" s="33" t="s">
        <v>2124</v>
      </c>
      <c r="S307" s="33">
        <v>613298</v>
      </c>
      <c r="T307" s="33" t="s">
        <v>2122</v>
      </c>
      <c r="U307" s="34">
        <v>73.242570000000001</v>
      </c>
      <c r="V307" s="7"/>
      <c r="W307" s="7" t="str">
        <f>VLOOKUP($Q307,Mapping!$E$11:$I$96,3,0)</f>
        <v>Connections</v>
      </c>
      <c r="X307" s="7" t="str">
        <f>VLOOKUP($S307,Mapping!$E$140:$K$2771,5,0)</f>
        <v>Labour</v>
      </c>
      <c r="Y307" s="7" t="str">
        <f>VLOOKUP($S307,Mapping!$E$140:$K$2771,7,0)</f>
        <v>ENDirect</v>
      </c>
      <c r="Z307" s="7" t="str">
        <f>IFERROR(HLOOKUP(X307,'Calc|Weightings'!$K$5:$M$5,1,0),"Excl")</f>
        <v>Labour</v>
      </c>
      <c r="AA307" s="7" t="str">
        <f>VLOOKUP(Q307,Mapping!$E$11:$I$96,5,0)</f>
        <v>SCS</v>
      </c>
      <c r="AC307" s="111">
        <v>109</v>
      </c>
      <c r="AD307" s="111" t="s">
        <v>2124</v>
      </c>
      <c r="AE307" s="111">
        <v>591998</v>
      </c>
      <c r="AF307" s="111" t="s">
        <v>2077</v>
      </c>
      <c r="AG307" s="112">
        <v>-36.430239999999998</v>
      </c>
      <c r="AI307" s="7" t="str">
        <f>VLOOKUP($AC307,Mapping!$E$11:$I$96,3,0)</f>
        <v>Connections</v>
      </c>
      <c r="AJ307" s="7" t="str">
        <f>VLOOKUP($AE307,Mapping!$E$140:$K$2771,5,0)</f>
        <v>Contracts</v>
      </c>
      <c r="AK307" s="7" t="str">
        <f>VLOOKUP($AE307,Mapping!$E$140:$K$2771,7,0)</f>
        <v>ENDirect</v>
      </c>
      <c r="AL307" s="7" t="str">
        <f>IFERROR(HLOOKUP(AJ307,'Calc|Weightings'!$K$5:$M$5,1,0),"Excl")</f>
        <v>Contracts</v>
      </c>
      <c r="AM307" s="7" t="str">
        <f>VLOOKUP(AC307,Mapping!$E$11:$I$96,5,0)</f>
        <v>SCS</v>
      </c>
      <c r="AO307" s="134">
        <v>109</v>
      </c>
      <c r="AP307" s="135" t="s">
        <v>2124</v>
      </c>
      <c r="AQ307" s="135">
        <v>613566</v>
      </c>
      <c r="AR307" s="135" t="s">
        <v>1482</v>
      </c>
      <c r="AS307" s="136">
        <v>0.23355999999999999</v>
      </c>
      <c r="AU307" s="7" t="str">
        <f>VLOOKUP($AO307,Mapping!$E$11:$I$96,3,0)</f>
        <v>Connections</v>
      </c>
      <c r="AV307" s="7" t="str">
        <f>VLOOKUP($AQ307,Mapping!$E$140:$K$2771,5,0)</f>
        <v>Labour</v>
      </c>
      <c r="AW307" s="7" t="str">
        <f>VLOOKUP($AQ307,Mapping!$E$140:$K$2771,7,0)</f>
        <v>ENDirect</v>
      </c>
      <c r="AX307" s="7" t="str">
        <f>IFERROR(HLOOKUP(AV307,'Calc|Weightings'!$K$5:$M$5,1,0),"Excl")</f>
        <v>Labour</v>
      </c>
      <c r="AY307" s="7" t="str">
        <f>VLOOKUP(AO307,Mapping!$E$11:$I$96,5,0)</f>
        <v>SCS</v>
      </c>
    </row>
    <row r="308" spans="1:51" x14ac:dyDescent="0.2">
      <c r="A308" s="7"/>
      <c r="B308" s="7"/>
      <c r="C308" s="7"/>
      <c r="D308" s="7"/>
      <c r="E308" s="36">
        <v>108</v>
      </c>
      <c r="F308" s="36" t="s">
        <v>2123</v>
      </c>
      <c r="G308" s="36">
        <v>531495</v>
      </c>
      <c r="H308" s="36" t="s">
        <v>2353</v>
      </c>
      <c r="I308" s="37">
        <v>-1.0962000000000001</v>
      </c>
      <c r="J308" s="7"/>
      <c r="K308" s="7" t="str">
        <f>VLOOKUP($E308,Mapping!$E$11:$I$96,3,0)</f>
        <v>Connections</v>
      </c>
      <c r="L308" s="7" t="str">
        <f>VLOOKUP($G308,Mapping!$E$140:$K$2771,5,0)</f>
        <v>Contracts</v>
      </c>
      <c r="M308" s="7" t="str">
        <f>VLOOKUP($G308,Mapping!$E$140:$K$2771,7,0)</f>
        <v>ENDirect</v>
      </c>
      <c r="N308" s="7" t="str">
        <f>IFERROR(HLOOKUP(L308,'Calc|Weightings'!$K$5:$M$5,1,0),"Excl")</f>
        <v>Contracts</v>
      </c>
      <c r="O308" s="7" t="str">
        <f>VLOOKUP(E308,Mapping!$E$11:$I$96,5,0)</f>
        <v>SCS</v>
      </c>
      <c r="Q308" s="33">
        <v>109</v>
      </c>
      <c r="R308" s="33" t="s">
        <v>2124</v>
      </c>
      <c r="S308" s="33">
        <v>613299</v>
      </c>
      <c r="T308" s="33" t="s">
        <v>2385</v>
      </c>
      <c r="U308" s="34">
        <v>3.8080000000000003E-2</v>
      </c>
      <c r="V308" s="7"/>
      <c r="W308" s="7" t="str">
        <f>VLOOKUP($Q308,Mapping!$E$11:$I$96,3,0)</f>
        <v>Connections</v>
      </c>
      <c r="X308" s="7" t="str">
        <f>VLOOKUP($S308,Mapping!$E$140:$K$2771,5,0)</f>
        <v>Labour</v>
      </c>
      <c r="Y308" s="7" t="str">
        <f>VLOOKUP($S308,Mapping!$E$140:$K$2771,7,0)</f>
        <v>ENDirect</v>
      </c>
      <c r="Z308" s="7" t="str">
        <f>IFERROR(HLOOKUP(X308,'Calc|Weightings'!$K$5:$M$5,1,0),"Excl")</f>
        <v>Labour</v>
      </c>
      <c r="AA308" s="7" t="str">
        <f>VLOOKUP(Q308,Mapping!$E$11:$I$96,5,0)</f>
        <v>SCS</v>
      </c>
      <c r="AC308" s="111">
        <v>109</v>
      </c>
      <c r="AD308" s="111" t="s">
        <v>2124</v>
      </c>
      <c r="AE308" s="111">
        <v>591999</v>
      </c>
      <c r="AF308" s="111" t="s">
        <v>2195</v>
      </c>
      <c r="AG308" s="112">
        <v>-85.050359999999998</v>
      </c>
      <c r="AI308" s="7" t="str">
        <f>VLOOKUP($AC308,Mapping!$E$11:$I$96,3,0)</f>
        <v>Connections</v>
      </c>
      <c r="AJ308" s="7" t="str">
        <f>VLOOKUP($AE308,Mapping!$E$140:$K$2771,5,0)</f>
        <v>Contracts</v>
      </c>
      <c r="AK308" s="7" t="str">
        <f>VLOOKUP($AE308,Mapping!$E$140:$K$2771,7,0)</f>
        <v>ENDirect</v>
      </c>
      <c r="AL308" s="7" t="str">
        <f>IFERROR(HLOOKUP(AJ308,'Calc|Weightings'!$K$5:$M$5,1,0),"Excl")</f>
        <v>Contracts</v>
      </c>
      <c r="AM308" s="7" t="str">
        <f>VLOOKUP(AC308,Mapping!$E$11:$I$96,5,0)</f>
        <v>SCS</v>
      </c>
      <c r="AO308" s="134">
        <v>109</v>
      </c>
      <c r="AP308" s="135" t="s">
        <v>2124</v>
      </c>
      <c r="AQ308" s="135">
        <v>613570</v>
      </c>
      <c r="AR308" s="135" t="s">
        <v>1484</v>
      </c>
      <c r="AS308" s="136">
        <v>0.27873999999999999</v>
      </c>
      <c r="AU308" s="7" t="str">
        <f>VLOOKUP($AO308,Mapping!$E$11:$I$96,3,0)</f>
        <v>Connections</v>
      </c>
      <c r="AV308" s="7" t="str">
        <f>VLOOKUP($AQ308,Mapping!$E$140:$K$2771,5,0)</f>
        <v>Labour</v>
      </c>
      <c r="AW308" s="7" t="str">
        <f>VLOOKUP($AQ308,Mapping!$E$140:$K$2771,7,0)</f>
        <v>ENDirect</v>
      </c>
      <c r="AX308" s="7" t="str">
        <f>IFERROR(HLOOKUP(AV308,'Calc|Weightings'!$K$5:$M$5,1,0),"Excl")</f>
        <v>Labour</v>
      </c>
      <c r="AY308" s="7" t="str">
        <f>VLOOKUP(AO308,Mapping!$E$11:$I$96,5,0)</f>
        <v>SCS</v>
      </c>
    </row>
    <row r="309" spans="1:51" x14ac:dyDescent="0.2">
      <c r="A309" s="7"/>
      <c r="B309" s="7"/>
      <c r="C309" s="7"/>
      <c r="D309" s="7"/>
      <c r="E309" s="36">
        <v>108</v>
      </c>
      <c r="F309" s="36" t="s">
        <v>2123</v>
      </c>
      <c r="G309" s="36">
        <v>532050</v>
      </c>
      <c r="H309" s="36" t="s">
        <v>279</v>
      </c>
      <c r="I309" s="37">
        <v>9.2069999999999999E-2</v>
      </c>
      <c r="J309" s="7"/>
      <c r="K309" s="7" t="str">
        <f>VLOOKUP($E309,Mapping!$E$11:$I$96,3,0)</f>
        <v>Connections</v>
      </c>
      <c r="L309" s="7" t="str">
        <f>VLOOKUP($G309,Mapping!$E$140:$K$2771,5,0)</f>
        <v>Contracts</v>
      </c>
      <c r="M309" s="7" t="str">
        <f>VLOOKUP($G309,Mapping!$E$140:$K$2771,7,0)</f>
        <v>ENDirect</v>
      </c>
      <c r="N309" s="7" t="str">
        <f>IFERROR(HLOOKUP(L309,'Calc|Weightings'!$K$5:$M$5,1,0),"Excl")</f>
        <v>Contracts</v>
      </c>
      <c r="O309" s="7" t="str">
        <f>VLOOKUP(E309,Mapping!$E$11:$I$96,5,0)</f>
        <v>SCS</v>
      </c>
      <c r="Q309" s="33">
        <v>109</v>
      </c>
      <c r="R309" s="33" t="s">
        <v>2124</v>
      </c>
      <c r="S309" s="33">
        <v>613350</v>
      </c>
      <c r="T309" s="33" t="s">
        <v>2096</v>
      </c>
      <c r="U309" s="34">
        <v>3.0785900000000002</v>
      </c>
      <c r="V309" s="7"/>
      <c r="W309" s="7" t="str">
        <f>VLOOKUP($Q309,Mapping!$E$11:$I$96,3,0)</f>
        <v>Connections</v>
      </c>
      <c r="X309" s="7" t="str">
        <f>VLOOKUP($S309,Mapping!$E$140:$K$2771,5,0)</f>
        <v>Labour</v>
      </c>
      <c r="Y309" s="7" t="str">
        <f>VLOOKUP($S309,Mapping!$E$140:$K$2771,7,0)</f>
        <v>ENDirect</v>
      </c>
      <c r="Z309" s="7" t="str">
        <f>IFERROR(HLOOKUP(X309,'Calc|Weightings'!$K$5:$M$5,1,0),"Excl")</f>
        <v>Labour</v>
      </c>
      <c r="AA309" s="7" t="str">
        <f>VLOOKUP(Q309,Mapping!$E$11:$I$96,5,0)</f>
        <v>SCS</v>
      </c>
      <c r="AC309" s="111">
        <v>109</v>
      </c>
      <c r="AD309" s="111" t="s">
        <v>2124</v>
      </c>
      <c r="AE309" s="111">
        <v>611900</v>
      </c>
      <c r="AF309" s="111" t="s">
        <v>2079</v>
      </c>
      <c r="AG309" s="112">
        <v>0.70813999999999999</v>
      </c>
      <c r="AI309" s="7" t="str">
        <f>VLOOKUP($AC309,Mapping!$E$11:$I$96,3,0)</f>
        <v>Connections</v>
      </c>
      <c r="AJ309" s="7" t="str">
        <f>VLOOKUP($AE309,Mapping!$E$140:$K$2771,5,0)</f>
        <v>Contracts</v>
      </c>
      <c r="AK309" s="7" t="str">
        <f>VLOOKUP($AE309,Mapping!$E$140:$K$2771,7,0)</f>
        <v>ENDirect</v>
      </c>
      <c r="AL309" s="7" t="str">
        <f>IFERROR(HLOOKUP(AJ309,'Calc|Weightings'!$K$5:$M$5,1,0),"Excl")</f>
        <v>Contracts</v>
      </c>
      <c r="AM309" s="7" t="str">
        <f>VLOOKUP(AC309,Mapping!$E$11:$I$96,5,0)</f>
        <v>SCS</v>
      </c>
      <c r="AO309" s="134">
        <v>109</v>
      </c>
      <c r="AP309" s="135" t="s">
        <v>2124</v>
      </c>
      <c r="AQ309" s="135">
        <v>613571</v>
      </c>
      <c r="AR309" s="135" t="s">
        <v>1485</v>
      </c>
      <c r="AS309" s="136">
        <v>0.32475999999999999</v>
      </c>
      <c r="AU309" s="7" t="str">
        <f>VLOOKUP($AO309,Mapping!$E$11:$I$96,3,0)</f>
        <v>Connections</v>
      </c>
      <c r="AV309" s="7" t="str">
        <f>VLOOKUP($AQ309,Mapping!$E$140:$K$2771,5,0)</f>
        <v>Labour</v>
      </c>
      <c r="AW309" s="7" t="str">
        <f>VLOOKUP($AQ309,Mapping!$E$140:$K$2771,7,0)</f>
        <v>ENDirect</v>
      </c>
      <c r="AX309" s="7" t="str">
        <f>IFERROR(HLOOKUP(AV309,'Calc|Weightings'!$K$5:$M$5,1,0),"Excl")</f>
        <v>Labour</v>
      </c>
      <c r="AY309" s="7" t="str">
        <f>VLOOKUP(AO309,Mapping!$E$11:$I$96,5,0)</f>
        <v>SCS</v>
      </c>
    </row>
    <row r="310" spans="1:51" x14ac:dyDescent="0.2">
      <c r="A310" s="7"/>
      <c r="B310" s="7"/>
      <c r="C310" s="7"/>
      <c r="D310" s="7"/>
      <c r="E310" s="36">
        <v>108</v>
      </c>
      <c r="F310" s="36" t="s">
        <v>2123</v>
      </c>
      <c r="G310" s="36">
        <v>591998</v>
      </c>
      <c r="H310" s="36" t="s">
        <v>2077</v>
      </c>
      <c r="I310" s="37">
        <v>-0.42077999999999999</v>
      </c>
      <c r="J310" s="7"/>
      <c r="K310" s="7" t="str">
        <f>VLOOKUP($E310,Mapping!$E$11:$I$96,3,0)</f>
        <v>Connections</v>
      </c>
      <c r="L310" s="7" t="str">
        <f>VLOOKUP($G310,Mapping!$E$140:$K$2771,5,0)</f>
        <v>Contracts</v>
      </c>
      <c r="M310" s="7" t="str">
        <f>VLOOKUP($G310,Mapping!$E$140:$K$2771,7,0)</f>
        <v>ENDirect</v>
      </c>
      <c r="N310" s="7" t="str">
        <f>IFERROR(HLOOKUP(L310,'Calc|Weightings'!$K$5:$M$5,1,0),"Excl")</f>
        <v>Contracts</v>
      </c>
      <c r="O310" s="7" t="str">
        <f>VLOOKUP(E310,Mapping!$E$11:$I$96,5,0)</f>
        <v>SCS</v>
      </c>
      <c r="Q310" s="33">
        <v>109</v>
      </c>
      <c r="R310" s="33" t="s">
        <v>2124</v>
      </c>
      <c r="S310" s="33">
        <v>613360</v>
      </c>
      <c r="T310" s="33" t="s">
        <v>2097</v>
      </c>
      <c r="U310" s="34">
        <v>44.110340000000001</v>
      </c>
      <c r="V310" s="7"/>
      <c r="W310" s="7" t="str">
        <f>VLOOKUP($Q310,Mapping!$E$11:$I$96,3,0)</f>
        <v>Connections</v>
      </c>
      <c r="X310" s="7" t="str">
        <f>VLOOKUP($S310,Mapping!$E$140:$K$2771,5,0)</f>
        <v>Labour</v>
      </c>
      <c r="Y310" s="7" t="str">
        <f>VLOOKUP($S310,Mapping!$E$140:$K$2771,7,0)</f>
        <v>ENDirect</v>
      </c>
      <c r="Z310" s="7" t="str">
        <f>IFERROR(HLOOKUP(X310,'Calc|Weightings'!$K$5:$M$5,1,0),"Excl")</f>
        <v>Labour</v>
      </c>
      <c r="AA310" s="7" t="str">
        <f>VLOOKUP(Q310,Mapping!$E$11:$I$96,5,0)</f>
        <v>SCS</v>
      </c>
      <c r="AC310" s="111">
        <v>109</v>
      </c>
      <c r="AD310" s="111" t="s">
        <v>2124</v>
      </c>
      <c r="AE310" s="111">
        <v>611901</v>
      </c>
      <c r="AF310" s="111" t="s">
        <v>2080</v>
      </c>
      <c r="AG310" s="112">
        <v>9.3710000000000002E-2</v>
      </c>
      <c r="AI310" s="7" t="str">
        <f>VLOOKUP($AC310,Mapping!$E$11:$I$96,3,0)</f>
        <v>Connections</v>
      </c>
      <c r="AJ310" s="7" t="str">
        <f>VLOOKUP($AE310,Mapping!$E$140:$K$2771,5,0)</f>
        <v>Contracts</v>
      </c>
      <c r="AK310" s="7" t="str">
        <f>VLOOKUP($AE310,Mapping!$E$140:$K$2771,7,0)</f>
        <v>ENDirect</v>
      </c>
      <c r="AL310" s="7" t="str">
        <f>IFERROR(HLOOKUP(AJ310,'Calc|Weightings'!$K$5:$M$5,1,0),"Excl")</f>
        <v>Contracts</v>
      </c>
      <c r="AM310" s="7" t="str">
        <f>VLOOKUP(AC310,Mapping!$E$11:$I$96,5,0)</f>
        <v>SCS</v>
      </c>
      <c r="AO310" s="134">
        <v>109</v>
      </c>
      <c r="AP310" s="135" t="s">
        <v>2124</v>
      </c>
      <c r="AQ310" s="135">
        <v>613574</v>
      </c>
      <c r="AR310" s="135" t="s">
        <v>1488</v>
      </c>
      <c r="AS310" s="136">
        <v>4.4575899999999997</v>
      </c>
      <c r="AU310" s="7" t="str">
        <f>VLOOKUP($AO310,Mapping!$E$11:$I$96,3,0)</f>
        <v>Connections</v>
      </c>
      <c r="AV310" s="7" t="str">
        <f>VLOOKUP($AQ310,Mapping!$E$140:$K$2771,5,0)</f>
        <v>Labour</v>
      </c>
      <c r="AW310" s="7" t="str">
        <f>VLOOKUP($AQ310,Mapping!$E$140:$K$2771,7,0)</f>
        <v>ENDirect</v>
      </c>
      <c r="AX310" s="7" t="str">
        <f>IFERROR(HLOOKUP(AV310,'Calc|Weightings'!$K$5:$M$5,1,0),"Excl")</f>
        <v>Labour</v>
      </c>
      <c r="AY310" s="7" t="str">
        <f>VLOOKUP(AO310,Mapping!$E$11:$I$96,5,0)</f>
        <v>SCS</v>
      </c>
    </row>
    <row r="311" spans="1:51" x14ac:dyDescent="0.2">
      <c r="A311" s="7"/>
      <c r="B311" s="7"/>
      <c r="C311" s="7"/>
      <c r="D311" s="7"/>
      <c r="E311" s="36">
        <v>108</v>
      </c>
      <c r="F311" s="36" t="s">
        <v>2123</v>
      </c>
      <c r="G311" s="36">
        <v>591999</v>
      </c>
      <c r="H311" s="36" t="s">
        <v>2195</v>
      </c>
      <c r="I311" s="37">
        <v>-0.48287000000000002</v>
      </c>
      <c r="J311" s="7"/>
      <c r="K311" s="7" t="str">
        <f>VLOOKUP($E311,Mapping!$E$11:$I$96,3,0)</f>
        <v>Connections</v>
      </c>
      <c r="L311" s="7" t="str">
        <f>VLOOKUP($G311,Mapping!$E$140:$K$2771,5,0)</f>
        <v>Contracts</v>
      </c>
      <c r="M311" s="7" t="str">
        <f>VLOOKUP($G311,Mapping!$E$140:$K$2771,7,0)</f>
        <v>ENDirect</v>
      </c>
      <c r="N311" s="7" t="str">
        <f>IFERROR(HLOOKUP(L311,'Calc|Weightings'!$K$5:$M$5,1,0),"Excl")</f>
        <v>Contracts</v>
      </c>
      <c r="O311" s="7" t="str">
        <f>VLOOKUP(E311,Mapping!$E$11:$I$96,5,0)</f>
        <v>SCS</v>
      </c>
      <c r="Q311" s="33">
        <v>109</v>
      </c>
      <c r="R311" s="33" t="s">
        <v>2124</v>
      </c>
      <c r="S311" s="33">
        <v>613361</v>
      </c>
      <c r="T311" s="33" t="s">
        <v>2098</v>
      </c>
      <c r="U311" s="34">
        <v>0.73377000000000003</v>
      </c>
      <c r="V311" s="7"/>
      <c r="W311" s="7" t="str">
        <f>VLOOKUP($Q311,Mapping!$E$11:$I$96,3,0)</f>
        <v>Connections</v>
      </c>
      <c r="X311" s="7" t="str">
        <f>VLOOKUP($S311,Mapping!$E$140:$K$2771,5,0)</f>
        <v>Labour</v>
      </c>
      <c r="Y311" s="7" t="str">
        <f>VLOOKUP($S311,Mapping!$E$140:$K$2771,7,0)</f>
        <v>ENDirect</v>
      </c>
      <c r="Z311" s="7" t="str">
        <f>IFERROR(HLOOKUP(X311,'Calc|Weightings'!$K$5:$M$5,1,0),"Excl")</f>
        <v>Labour</v>
      </c>
      <c r="AA311" s="7" t="str">
        <f>VLOOKUP(Q311,Mapping!$E$11:$I$96,5,0)</f>
        <v>SCS</v>
      </c>
      <c r="AC311" s="111">
        <v>109</v>
      </c>
      <c r="AD311" s="111" t="s">
        <v>2124</v>
      </c>
      <c r="AE311" s="111">
        <v>612210</v>
      </c>
      <c r="AF311" s="111" t="s">
        <v>1184</v>
      </c>
      <c r="AG311" s="112">
        <v>0.34448000000000001</v>
      </c>
      <c r="AI311" s="7" t="str">
        <f>VLOOKUP($AC311,Mapping!$E$11:$I$96,3,0)</f>
        <v>Connections</v>
      </c>
      <c r="AJ311" s="7" t="str">
        <f>VLOOKUP($AE311,Mapping!$E$140:$K$2771,5,0)</f>
        <v>Labour</v>
      </c>
      <c r="AK311" s="7" t="str">
        <f>VLOOKUP($AE311,Mapping!$E$140:$K$2771,7,0)</f>
        <v>ENDirect</v>
      </c>
      <c r="AL311" s="7" t="str">
        <f>IFERROR(HLOOKUP(AJ311,'Calc|Weightings'!$K$5:$M$5,1,0),"Excl")</f>
        <v>Labour</v>
      </c>
      <c r="AM311" s="7" t="str">
        <f>VLOOKUP(AC311,Mapping!$E$11:$I$96,5,0)</f>
        <v>SCS</v>
      </c>
      <c r="AO311" s="134">
        <v>109</v>
      </c>
      <c r="AP311" s="135" t="s">
        <v>2124</v>
      </c>
      <c r="AQ311" s="135">
        <v>613575</v>
      </c>
      <c r="AR311" s="135" t="s">
        <v>1489</v>
      </c>
      <c r="AS311" s="136">
        <v>0.73196000000000006</v>
      </c>
      <c r="AU311" s="7" t="str">
        <f>VLOOKUP($AO311,Mapping!$E$11:$I$96,3,0)</f>
        <v>Connections</v>
      </c>
      <c r="AV311" s="7" t="str">
        <f>VLOOKUP($AQ311,Mapping!$E$140:$K$2771,5,0)</f>
        <v>Labour</v>
      </c>
      <c r="AW311" s="7" t="str">
        <f>VLOOKUP($AQ311,Mapping!$E$140:$K$2771,7,0)</f>
        <v>ENDirect</v>
      </c>
      <c r="AX311" s="7" t="str">
        <f>IFERROR(HLOOKUP(AV311,'Calc|Weightings'!$K$5:$M$5,1,0),"Excl")</f>
        <v>Labour</v>
      </c>
      <c r="AY311" s="7" t="str">
        <f>VLOOKUP(AO311,Mapping!$E$11:$I$96,5,0)</f>
        <v>SCS</v>
      </c>
    </row>
    <row r="312" spans="1:51" x14ac:dyDescent="0.2">
      <c r="A312" s="7"/>
      <c r="B312" s="7"/>
      <c r="C312" s="7"/>
      <c r="D312" s="7"/>
      <c r="E312" s="36">
        <v>108</v>
      </c>
      <c r="F312" s="36" t="s">
        <v>2123</v>
      </c>
      <c r="G312" s="36">
        <v>612211</v>
      </c>
      <c r="H312" s="36" t="s">
        <v>1185</v>
      </c>
      <c r="I312" s="37">
        <v>-0.73824999999999996</v>
      </c>
      <c r="J312" s="7"/>
      <c r="K312" s="7" t="str">
        <f>VLOOKUP($E312,Mapping!$E$11:$I$96,3,0)</f>
        <v>Connections</v>
      </c>
      <c r="L312" s="7" t="str">
        <f>VLOOKUP($G312,Mapping!$E$140:$K$2771,5,0)</f>
        <v>Labour</v>
      </c>
      <c r="M312" s="7" t="str">
        <f>VLOOKUP($G312,Mapping!$E$140:$K$2771,7,0)</f>
        <v>ENDirect</v>
      </c>
      <c r="N312" s="7" t="str">
        <f>IFERROR(HLOOKUP(L312,'Calc|Weightings'!$K$5:$M$5,1,0),"Excl")</f>
        <v>Labour</v>
      </c>
      <c r="O312" s="7" t="str">
        <f>VLOOKUP(E312,Mapping!$E$11:$I$96,5,0)</f>
        <v>SCS</v>
      </c>
      <c r="Q312" s="33">
        <v>109</v>
      </c>
      <c r="R312" s="33" t="s">
        <v>2124</v>
      </c>
      <c r="S312" s="33">
        <v>613366</v>
      </c>
      <c r="T312" s="33" t="s">
        <v>1400</v>
      </c>
      <c r="U312" s="34">
        <v>2.8684599999999998</v>
      </c>
      <c r="V312" s="7"/>
      <c r="W312" s="7" t="str">
        <f>VLOOKUP($Q312,Mapping!$E$11:$I$96,3,0)</f>
        <v>Connections</v>
      </c>
      <c r="X312" s="7" t="str">
        <f>VLOOKUP($S312,Mapping!$E$140:$K$2771,5,0)</f>
        <v>Labour</v>
      </c>
      <c r="Y312" s="7" t="str">
        <f>VLOOKUP($S312,Mapping!$E$140:$K$2771,7,0)</f>
        <v>ENDirect</v>
      </c>
      <c r="Z312" s="7" t="str">
        <f>IFERROR(HLOOKUP(X312,'Calc|Weightings'!$K$5:$M$5,1,0),"Excl")</f>
        <v>Labour</v>
      </c>
      <c r="AA312" s="7" t="str">
        <f>VLOOKUP(Q312,Mapping!$E$11:$I$96,5,0)</f>
        <v>SCS</v>
      </c>
      <c r="AC312" s="111">
        <v>109</v>
      </c>
      <c r="AD312" s="111" t="s">
        <v>2124</v>
      </c>
      <c r="AE312" s="111">
        <v>613240</v>
      </c>
      <c r="AF312" s="111" t="s">
        <v>2082</v>
      </c>
      <c r="AG312" s="112">
        <v>14.20851</v>
      </c>
      <c r="AI312" s="7" t="str">
        <f>VLOOKUP($AC312,Mapping!$E$11:$I$96,3,0)</f>
        <v>Connections</v>
      </c>
      <c r="AJ312" s="7" t="str">
        <f>VLOOKUP($AE312,Mapping!$E$140:$K$2771,5,0)</f>
        <v>Labour</v>
      </c>
      <c r="AK312" s="7" t="str">
        <f>VLOOKUP($AE312,Mapping!$E$140:$K$2771,7,0)</f>
        <v>ENDirect</v>
      </c>
      <c r="AL312" s="7" t="str">
        <f>IFERROR(HLOOKUP(AJ312,'Calc|Weightings'!$K$5:$M$5,1,0),"Excl")</f>
        <v>Labour</v>
      </c>
      <c r="AM312" s="7" t="str">
        <f>VLOOKUP(AC312,Mapping!$E$11:$I$96,5,0)</f>
        <v>SCS</v>
      </c>
      <c r="AO312" s="134">
        <v>109</v>
      </c>
      <c r="AP312" s="135" t="s">
        <v>2124</v>
      </c>
      <c r="AQ312" s="135">
        <v>613680</v>
      </c>
      <c r="AR312" s="135" t="s">
        <v>2107</v>
      </c>
      <c r="AS312" s="136">
        <v>1.3768</v>
      </c>
      <c r="AU312" s="7" t="str">
        <f>VLOOKUP($AO312,Mapping!$E$11:$I$96,3,0)</f>
        <v>Connections</v>
      </c>
      <c r="AV312" s="7" t="str">
        <f>VLOOKUP($AQ312,Mapping!$E$140:$K$2771,5,0)</f>
        <v>Labour</v>
      </c>
      <c r="AW312" s="7" t="str">
        <f>VLOOKUP($AQ312,Mapping!$E$140:$K$2771,7,0)</f>
        <v>ENDirect</v>
      </c>
      <c r="AX312" s="7" t="str">
        <f>IFERROR(HLOOKUP(AV312,'Calc|Weightings'!$K$5:$M$5,1,0),"Excl")</f>
        <v>Labour</v>
      </c>
      <c r="AY312" s="7" t="str">
        <f>VLOOKUP(AO312,Mapping!$E$11:$I$96,5,0)</f>
        <v>SCS</v>
      </c>
    </row>
    <row r="313" spans="1:51" x14ac:dyDescent="0.2">
      <c r="A313" s="7"/>
      <c r="B313" s="7"/>
      <c r="C313" s="7"/>
      <c r="D313" s="7"/>
      <c r="E313" s="36">
        <v>108</v>
      </c>
      <c r="F313" s="36" t="s">
        <v>2123</v>
      </c>
      <c r="G313" s="36">
        <v>612460</v>
      </c>
      <c r="H313" s="36" t="s">
        <v>1243</v>
      </c>
      <c r="I313" s="37">
        <v>-7.0661300000000002</v>
      </c>
      <c r="J313" s="7"/>
      <c r="K313" s="7" t="str">
        <f>VLOOKUP($E313,Mapping!$E$11:$I$96,3,0)</f>
        <v>Connections</v>
      </c>
      <c r="L313" s="7" t="str">
        <f>VLOOKUP($G313,Mapping!$E$140:$K$2771,5,0)</f>
        <v>Labour</v>
      </c>
      <c r="M313" s="7" t="str">
        <f>VLOOKUP($G313,Mapping!$E$140:$K$2771,7,0)</f>
        <v>ENDirect</v>
      </c>
      <c r="N313" s="7" t="str">
        <f>IFERROR(HLOOKUP(L313,'Calc|Weightings'!$K$5:$M$5,1,0),"Excl")</f>
        <v>Labour</v>
      </c>
      <c r="O313" s="7" t="str">
        <f>VLOOKUP(E313,Mapping!$E$11:$I$96,5,0)</f>
        <v>SCS</v>
      </c>
      <c r="Q313" s="33">
        <v>109</v>
      </c>
      <c r="R313" s="33" t="s">
        <v>2124</v>
      </c>
      <c r="S313" s="33">
        <v>613371</v>
      </c>
      <c r="T313" s="33" t="s">
        <v>1403</v>
      </c>
      <c r="U313" s="34">
        <v>0.23199</v>
      </c>
      <c r="V313" s="7"/>
      <c r="W313" s="7" t="str">
        <f>VLOOKUP($Q313,Mapping!$E$11:$I$96,3,0)</f>
        <v>Connections</v>
      </c>
      <c r="X313" s="7" t="str">
        <f>VLOOKUP($S313,Mapping!$E$140:$K$2771,5,0)</f>
        <v>Labour</v>
      </c>
      <c r="Y313" s="7" t="str">
        <f>VLOOKUP($S313,Mapping!$E$140:$K$2771,7,0)</f>
        <v>ENDirect</v>
      </c>
      <c r="Z313" s="7" t="str">
        <f>IFERROR(HLOOKUP(X313,'Calc|Weightings'!$K$5:$M$5,1,0),"Excl")</f>
        <v>Labour</v>
      </c>
      <c r="AA313" s="7" t="str">
        <f>VLOOKUP(Q313,Mapping!$E$11:$I$96,5,0)</f>
        <v>SCS</v>
      </c>
      <c r="AC313" s="111">
        <v>109</v>
      </c>
      <c r="AD313" s="111" t="s">
        <v>2124</v>
      </c>
      <c r="AE313" s="111">
        <v>613250</v>
      </c>
      <c r="AF313" s="111" t="s">
        <v>2086</v>
      </c>
      <c r="AG313" s="112">
        <v>22.662610000000001</v>
      </c>
      <c r="AI313" s="7" t="str">
        <f>VLOOKUP($AC313,Mapping!$E$11:$I$96,3,0)</f>
        <v>Connections</v>
      </c>
      <c r="AJ313" s="7" t="str">
        <f>VLOOKUP($AE313,Mapping!$E$140:$K$2771,5,0)</f>
        <v>Labour</v>
      </c>
      <c r="AK313" s="7" t="str">
        <f>VLOOKUP($AE313,Mapping!$E$140:$K$2771,7,0)</f>
        <v>ENDirect</v>
      </c>
      <c r="AL313" s="7" t="str">
        <f>IFERROR(HLOOKUP(AJ313,'Calc|Weightings'!$K$5:$M$5,1,0),"Excl")</f>
        <v>Labour</v>
      </c>
      <c r="AM313" s="7" t="str">
        <f>VLOOKUP(AC313,Mapping!$E$11:$I$96,5,0)</f>
        <v>SCS</v>
      </c>
      <c r="AO313" s="134">
        <v>109</v>
      </c>
      <c r="AP313" s="135" t="s">
        <v>2124</v>
      </c>
      <c r="AQ313" s="135">
        <v>614115</v>
      </c>
      <c r="AR313" s="135" t="s">
        <v>2109</v>
      </c>
      <c r="AS313" s="136">
        <v>343.00153999999998</v>
      </c>
      <c r="AU313" s="7" t="str">
        <f>VLOOKUP($AO313,Mapping!$E$11:$I$96,3,0)</f>
        <v>Connections</v>
      </c>
      <c r="AV313" s="7" t="str">
        <f>VLOOKUP($AQ313,Mapping!$E$140:$K$2771,5,0)</f>
        <v>Labour</v>
      </c>
      <c r="AW313" s="7" t="str">
        <f>VLOOKUP($AQ313,Mapping!$E$140:$K$2771,7,0)</f>
        <v>ENDirect</v>
      </c>
      <c r="AX313" s="7" t="str">
        <f>IFERROR(HLOOKUP(AV313,'Calc|Weightings'!$K$5:$M$5,1,0),"Excl")</f>
        <v>Labour</v>
      </c>
      <c r="AY313" s="7" t="str">
        <f>VLOOKUP(AO313,Mapping!$E$11:$I$96,5,0)</f>
        <v>SCS</v>
      </c>
    </row>
    <row r="314" spans="1:51" x14ac:dyDescent="0.2">
      <c r="A314" s="7"/>
      <c r="B314" s="7"/>
      <c r="C314" s="7"/>
      <c r="D314" s="7"/>
      <c r="E314" s="36">
        <v>108</v>
      </c>
      <c r="F314" s="36" t="s">
        <v>2123</v>
      </c>
      <c r="G314" s="36">
        <v>613290</v>
      </c>
      <c r="H314" s="36" t="s">
        <v>2093</v>
      </c>
      <c r="I314" s="37">
        <v>-1.11849</v>
      </c>
      <c r="J314" s="7"/>
      <c r="K314" s="7" t="str">
        <f>VLOOKUP($E314,Mapping!$E$11:$I$96,3,0)</f>
        <v>Connections</v>
      </c>
      <c r="L314" s="7" t="str">
        <f>VLOOKUP($G314,Mapping!$E$140:$K$2771,5,0)</f>
        <v>Labour</v>
      </c>
      <c r="M314" s="7" t="str">
        <f>VLOOKUP($G314,Mapping!$E$140:$K$2771,7,0)</f>
        <v>ENDirect</v>
      </c>
      <c r="N314" s="7" t="str">
        <f>IFERROR(HLOOKUP(L314,'Calc|Weightings'!$K$5:$M$5,1,0),"Excl")</f>
        <v>Labour</v>
      </c>
      <c r="O314" s="7" t="str">
        <f>VLOOKUP(E314,Mapping!$E$11:$I$96,5,0)</f>
        <v>SCS</v>
      </c>
      <c r="Q314" s="33">
        <v>109</v>
      </c>
      <c r="R314" s="33" t="s">
        <v>2124</v>
      </c>
      <c r="S314" s="33">
        <v>613401</v>
      </c>
      <c r="T314" s="33" t="s">
        <v>2117</v>
      </c>
      <c r="U314" s="34">
        <v>0.69359000000000004</v>
      </c>
      <c r="V314" s="7"/>
      <c r="W314" s="7" t="str">
        <f>VLOOKUP($Q314,Mapping!$E$11:$I$96,3,0)</f>
        <v>Connections</v>
      </c>
      <c r="X314" s="7" t="str">
        <f>VLOOKUP($S314,Mapping!$E$140:$K$2771,5,0)</f>
        <v>Labour</v>
      </c>
      <c r="Y314" s="7" t="str">
        <f>VLOOKUP($S314,Mapping!$E$140:$K$2771,7,0)</f>
        <v>ENDirect</v>
      </c>
      <c r="Z314" s="7" t="str">
        <f>IFERROR(HLOOKUP(X314,'Calc|Weightings'!$K$5:$M$5,1,0),"Excl")</f>
        <v>Labour</v>
      </c>
      <c r="AA314" s="7" t="str">
        <f>VLOOKUP(Q314,Mapping!$E$11:$I$96,5,0)</f>
        <v>SCS</v>
      </c>
      <c r="AC314" s="111">
        <v>109</v>
      </c>
      <c r="AD314" s="111" t="s">
        <v>2124</v>
      </c>
      <c r="AE314" s="111">
        <v>613254</v>
      </c>
      <c r="AF314" s="111" t="s">
        <v>2088</v>
      </c>
      <c r="AG314" s="112">
        <v>0.14788000000000001</v>
      </c>
      <c r="AI314" s="7" t="str">
        <f>VLOOKUP($AC314,Mapping!$E$11:$I$96,3,0)</f>
        <v>Connections</v>
      </c>
      <c r="AJ314" s="7" t="str">
        <f>VLOOKUP($AE314,Mapping!$E$140:$K$2771,5,0)</f>
        <v>Labour</v>
      </c>
      <c r="AK314" s="7" t="str">
        <f>VLOOKUP($AE314,Mapping!$E$140:$K$2771,7,0)</f>
        <v>ENDirect</v>
      </c>
      <c r="AL314" s="7" t="str">
        <f>IFERROR(HLOOKUP(AJ314,'Calc|Weightings'!$K$5:$M$5,1,0),"Excl")</f>
        <v>Labour</v>
      </c>
      <c r="AM314" s="7" t="str">
        <f>VLOOKUP(AC314,Mapping!$E$11:$I$96,5,0)</f>
        <v>SCS</v>
      </c>
      <c r="AO314" s="134">
        <v>109</v>
      </c>
      <c r="AP314" s="135" t="s">
        <v>2124</v>
      </c>
      <c r="AQ314" s="135">
        <v>634001</v>
      </c>
      <c r="AR314" s="135" t="s">
        <v>2110</v>
      </c>
      <c r="AS314" s="136">
        <v>280.10221999999999</v>
      </c>
      <c r="AU314" s="7" t="str">
        <f>VLOOKUP($AO314,Mapping!$E$11:$I$96,3,0)</f>
        <v>Connections</v>
      </c>
      <c r="AV314" s="7" t="str">
        <f>VLOOKUP($AQ314,Mapping!$E$140:$K$2771,5,0)</f>
        <v>Local OH</v>
      </c>
      <c r="AW314" s="7" t="str">
        <f>VLOOKUP($AQ314,Mapping!$E$140:$K$2771,7,0)</f>
        <v>OH</v>
      </c>
      <c r="AX314" s="7" t="str">
        <f>IFERROR(HLOOKUP(AV314,'Calc|Weightings'!$K$5:$M$5,1,0),"Excl")</f>
        <v>Excl</v>
      </c>
      <c r="AY314" s="7" t="str">
        <f>VLOOKUP(AO314,Mapping!$E$11:$I$96,5,0)</f>
        <v>SCS</v>
      </c>
    </row>
    <row r="315" spans="1:51" x14ac:dyDescent="0.2">
      <c r="A315" s="7"/>
      <c r="B315" s="7"/>
      <c r="C315" s="7"/>
      <c r="D315" s="7"/>
      <c r="E315" s="36">
        <v>108</v>
      </c>
      <c r="F315" s="36" t="s">
        <v>2123</v>
      </c>
      <c r="G315" s="36">
        <v>613298</v>
      </c>
      <c r="H315" s="36" t="s">
        <v>2122</v>
      </c>
      <c r="I315" s="37">
        <v>-11.26097</v>
      </c>
      <c r="J315" s="7"/>
      <c r="K315" s="7" t="str">
        <f>VLOOKUP($E315,Mapping!$E$11:$I$96,3,0)</f>
        <v>Connections</v>
      </c>
      <c r="L315" s="7" t="str">
        <f>VLOOKUP($G315,Mapping!$E$140:$K$2771,5,0)</f>
        <v>Labour</v>
      </c>
      <c r="M315" s="7" t="str">
        <f>VLOOKUP($G315,Mapping!$E$140:$K$2771,7,0)</f>
        <v>ENDirect</v>
      </c>
      <c r="N315" s="7" t="str">
        <f>IFERROR(HLOOKUP(L315,'Calc|Weightings'!$K$5:$M$5,1,0),"Excl")</f>
        <v>Labour</v>
      </c>
      <c r="O315" s="7" t="str">
        <f>VLOOKUP(E315,Mapping!$E$11:$I$96,5,0)</f>
        <v>SCS</v>
      </c>
      <c r="Q315" s="33">
        <v>109</v>
      </c>
      <c r="R315" s="33" t="s">
        <v>2124</v>
      </c>
      <c r="S315" s="33">
        <v>613411</v>
      </c>
      <c r="T315" s="33" t="s">
        <v>2101</v>
      </c>
      <c r="U315" s="34">
        <v>1.4416199999999999</v>
      </c>
      <c r="V315" s="7"/>
      <c r="W315" s="7" t="str">
        <f>VLOOKUP($Q315,Mapping!$E$11:$I$96,3,0)</f>
        <v>Connections</v>
      </c>
      <c r="X315" s="7" t="str">
        <f>VLOOKUP($S315,Mapping!$E$140:$K$2771,5,0)</f>
        <v>Labour</v>
      </c>
      <c r="Y315" s="7" t="str">
        <f>VLOOKUP($S315,Mapping!$E$140:$K$2771,7,0)</f>
        <v>ENDirect</v>
      </c>
      <c r="Z315" s="7" t="str">
        <f>IFERROR(HLOOKUP(X315,'Calc|Weightings'!$K$5:$M$5,1,0),"Excl")</f>
        <v>Labour</v>
      </c>
      <c r="AA315" s="7" t="str">
        <f>VLOOKUP(Q315,Mapping!$E$11:$I$96,5,0)</f>
        <v>SCS</v>
      </c>
      <c r="AC315" s="111">
        <v>109</v>
      </c>
      <c r="AD315" s="111" t="s">
        <v>2124</v>
      </c>
      <c r="AE315" s="111">
        <v>613260</v>
      </c>
      <c r="AF315" s="111" t="s">
        <v>2090</v>
      </c>
      <c r="AG315" s="112">
        <v>4.4185600000000003</v>
      </c>
      <c r="AI315" s="7" t="str">
        <f>VLOOKUP($AC315,Mapping!$E$11:$I$96,3,0)</f>
        <v>Connections</v>
      </c>
      <c r="AJ315" s="7" t="str">
        <f>VLOOKUP($AE315,Mapping!$E$140:$K$2771,5,0)</f>
        <v>Labour</v>
      </c>
      <c r="AK315" s="7" t="str">
        <f>VLOOKUP($AE315,Mapping!$E$140:$K$2771,7,0)</f>
        <v>ENDirect</v>
      </c>
      <c r="AL315" s="7" t="str">
        <f>IFERROR(HLOOKUP(AJ315,'Calc|Weightings'!$K$5:$M$5,1,0),"Excl")</f>
        <v>Labour</v>
      </c>
      <c r="AM315" s="7" t="str">
        <f>VLOOKUP(AC315,Mapping!$E$11:$I$96,5,0)</f>
        <v>SCS</v>
      </c>
      <c r="AO315" s="134">
        <v>109</v>
      </c>
      <c r="AP315" s="135" t="s">
        <v>2124</v>
      </c>
      <c r="AQ315" s="135">
        <v>635001</v>
      </c>
      <c r="AR315" s="135" t="s">
        <v>1929</v>
      </c>
      <c r="AS315" s="136">
        <v>267.35494</v>
      </c>
      <c r="AU315" s="7" t="str">
        <f>VLOOKUP($AO315,Mapping!$E$11:$I$96,3,0)</f>
        <v>Connections</v>
      </c>
      <c r="AV315" s="7" t="str">
        <f>VLOOKUP($AQ315,Mapping!$E$140:$K$2771,5,0)</f>
        <v>PNS MG</v>
      </c>
      <c r="AW315" s="7" t="str">
        <f>VLOOKUP($AQ315,Mapping!$E$140:$K$2771,7,0)</f>
        <v>ENDirect</v>
      </c>
      <c r="AX315" s="7" t="str">
        <f>IFERROR(HLOOKUP(AV315,'Calc|Weightings'!$K$5:$M$5,1,0),"Excl")</f>
        <v>Excl</v>
      </c>
      <c r="AY315" s="7" t="str">
        <f>VLOOKUP(AO315,Mapping!$E$11:$I$96,5,0)</f>
        <v>SCS</v>
      </c>
    </row>
    <row r="316" spans="1:51" x14ac:dyDescent="0.2">
      <c r="A316" s="7"/>
      <c r="B316" s="7"/>
      <c r="C316" s="7"/>
      <c r="D316" s="7"/>
      <c r="E316" s="36">
        <v>108</v>
      </c>
      <c r="F316" s="36" t="s">
        <v>2123</v>
      </c>
      <c r="G316" s="36">
        <v>633000</v>
      </c>
      <c r="H316" s="36" t="s">
        <v>2202</v>
      </c>
      <c r="I316" s="37">
        <v>-4.21523</v>
      </c>
      <c r="J316" s="7"/>
      <c r="K316" s="7" t="str">
        <f>VLOOKUP($E316,Mapping!$E$11:$I$96,3,0)</f>
        <v>Connections</v>
      </c>
      <c r="L316" s="7" t="str">
        <f>VLOOKUP($G316,Mapping!$E$140:$K$2771,5,0)</f>
        <v>Contracts</v>
      </c>
      <c r="M316" s="7" t="str">
        <f>VLOOKUP($G316,Mapping!$E$140:$K$2771,7,0)</f>
        <v>OH</v>
      </c>
      <c r="N316" s="7" t="str">
        <f>IFERROR(HLOOKUP(L316,'Calc|Weightings'!$K$5:$M$5,1,0),"Excl")</f>
        <v>Contracts</v>
      </c>
      <c r="O316" s="7" t="str">
        <f>VLOOKUP(E316,Mapping!$E$11:$I$96,5,0)</f>
        <v>SCS</v>
      </c>
      <c r="Q316" s="33">
        <v>109</v>
      </c>
      <c r="R316" s="33" t="s">
        <v>2124</v>
      </c>
      <c r="S316" s="33">
        <v>613434</v>
      </c>
      <c r="T316" s="33" t="s">
        <v>2102</v>
      </c>
      <c r="U316" s="34">
        <v>0.62019999999999997</v>
      </c>
      <c r="V316" s="7"/>
      <c r="W316" s="7" t="str">
        <f>VLOOKUP($Q316,Mapping!$E$11:$I$96,3,0)</f>
        <v>Connections</v>
      </c>
      <c r="X316" s="7" t="str">
        <f>VLOOKUP($S316,Mapping!$E$140:$K$2771,5,0)</f>
        <v>Labour</v>
      </c>
      <c r="Y316" s="7" t="str">
        <f>VLOOKUP($S316,Mapping!$E$140:$K$2771,7,0)</f>
        <v>ENDirect</v>
      </c>
      <c r="Z316" s="7" t="str">
        <f>IFERROR(HLOOKUP(X316,'Calc|Weightings'!$K$5:$M$5,1,0),"Excl")</f>
        <v>Labour</v>
      </c>
      <c r="AA316" s="7" t="str">
        <f>VLOOKUP(Q316,Mapping!$E$11:$I$96,5,0)</f>
        <v>SCS</v>
      </c>
      <c r="AC316" s="111">
        <v>109</v>
      </c>
      <c r="AD316" s="111" t="s">
        <v>2124</v>
      </c>
      <c r="AE316" s="111">
        <v>613280</v>
      </c>
      <c r="AF316" s="111" t="s">
        <v>1342</v>
      </c>
      <c r="AG316" s="112">
        <v>17.477589999999999</v>
      </c>
      <c r="AI316" s="7" t="str">
        <f>VLOOKUP($AC316,Mapping!$E$11:$I$96,3,0)</f>
        <v>Connections</v>
      </c>
      <c r="AJ316" s="7" t="str">
        <f>VLOOKUP($AE316,Mapping!$E$140:$K$2771,5,0)</f>
        <v>Labour</v>
      </c>
      <c r="AK316" s="7" t="str">
        <f>VLOOKUP($AE316,Mapping!$E$140:$K$2771,7,0)</f>
        <v>ENDirect</v>
      </c>
      <c r="AL316" s="7" t="str">
        <f>IFERROR(HLOOKUP(AJ316,'Calc|Weightings'!$K$5:$M$5,1,0),"Excl")</f>
        <v>Labour</v>
      </c>
      <c r="AM316" s="7" t="str">
        <f>VLOOKUP(AC316,Mapping!$E$11:$I$96,5,0)</f>
        <v>SCS</v>
      </c>
      <c r="AO316" s="134">
        <v>109</v>
      </c>
      <c r="AP316" s="135" t="s">
        <v>2124</v>
      </c>
      <c r="AQ316" s="135">
        <v>636001</v>
      </c>
      <c r="AR316" s="135" t="s">
        <v>2111</v>
      </c>
      <c r="AS316" s="136">
        <v>193.35306</v>
      </c>
      <c r="AU316" s="7" t="str">
        <f>VLOOKUP($AO316,Mapping!$E$11:$I$96,3,0)</f>
        <v>Connections</v>
      </c>
      <c r="AV316" s="7" t="str">
        <f>VLOOKUP($AQ316,Mapping!$E$140:$K$2771,5,0)</f>
        <v>System Control OH</v>
      </c>
      <c r="AW316" s="7" t="str">
        <f>VLOOKUP($AQ316,Mapping!$E$140:$K$2771,7,0)</f>
        <v>OH</v>
      </c>
      <c r="AX316" s="7" t="str">
        <f>IFERROR(HLOOKUP(AV316,'Calc|Weightings'!$K$5:$M$5,1,0),"Excl")</f>
        <v>Excl</v>
      </c>
      <c r="AY316" s="7" t="str">
        <f>VLOOKUP(AO316,Mapping!$E$11:$I$96,5,0)</f>
        <v>SCS</v>
      </c>
    </row>
    <row r="317" spans="1:51" x14ac:dyDescent="0.2">
      <c r="A317" s="7"/>
      <c r="B317" s="7"/>
      <c r="C317" s="7"/>
      <c r="D317" s="7"/>
      <c r="E317" s="36">
        <v>108</v>
      </c>
      <c r="F317" s="36" t="s">
        <v>2123</v>
      </c>
      <c r="G317" s="36">
        <v>634001</v>
      </c>
      <c r="H317" s="36" t="s">
        <v>2110</v>
      </c>
      <c r="I317" s="37">
        <v>-1.8976200000000001</v>
      </c>
      <c r="J317" s="7"/>
      <c r="K317" s="7" t="str">
        <f>VLOOKUP($E317,Mapping!$E$11:$I$96,3,0)</f>
        <v>Connections</v>
      </c>
      <c r="L317" s="7" t="str">
        <f>VLOOKUP($G317,Mapping!$E$140:$K$2771,5,0)</f>
        <v>Local OH</v>
      </c>
      <c r="M317" s="7" t="str">
        <f>VLOOKUP($G317,Mapping!$E$140:$K$2771,7,0)</f>
        <v>OH</v>
      </c>
      <c r="N317" s="7" t="str">
        <f>IFERROR(HLOOKUP(L317,'Calc|Weightings'!$K$5:$M$5,1,0),"Excl")</f>
        <v>Excl</v>
      </c>
      <c r="O317" s="7" t="str">
        <f>VLOOKUP(E317,Mapping!$E$11:$I$96,5,0)</f>
        <v>SCS</v>
      </c>
      <c r="Q317" s="33">
        <v>109</v>
      </c>
      <c r="R317" s="33" t="s">
        <v>2124</v>
      </c>
      <c r="S317" s="33">
        <v>613440</v>
      </c>
      <c r="T317" s="33" t="s">
        <v>2103</v>
      </c>
      <c r="U317" s="34">
        <v>33.986420000000003</v>
      </c>
      <c r="V317" s="7"/>
      <c r="W317" s="7" t="str">
        <f>VLOOKUP($Q317,Mapping!$E$11:$I$96,3,0)</f>
        <v>Connections</v>
      </c>
      <c r="X317" s="7" t="str">
        <f>VLOOKUP($S317,Mapping!$E$140:$K$2771,5,0)</f>
        <v>Labour</v>
      </c>
      <c r="Y317" s="7" t="str">
        <f>VLOOKUP($S317,Mapping!$E$140:$K$2771,7,0)</f>
        <v>ENDirect</v>
      </c>
      <c r="Z317" s="7" t="str">
        <f>IFERROR(HLOOKUP(X317,'Calc|Weightings'!$K$5:$M$5,1,0),"Excl")</f>
        <v>Labour</v>
      </c>
      <c r="AA317" s="7" t="str">
        <f>VLOOKUP(Q317,Mapping!$E$11:$I$96,5,0)</f>
        <v>SCS</v>
      </c>
      <c r="AC317" s="111">
        <v>109</v>
      </c>
      <c r="AD317" s="111" t="s">
        <v>2124</v>
      </c>
      <c r="AE317" s="111">
        <v>613290</v>
      </c>
      <c r="AF317" s="111" t="s">
        <v>2093</v>
      </c>
      <c r="AG317" s="112">
        <v>52.865760000000002</v>
      </c>
      <c r="AI317" s="7" t="str">
        <f>VLOOKUP($AC317,Mapping!$E$11:$I$96,3,0)</f>
        <v>Connections</v>
      </c>
      <c r="AJ317" s="7" t="str">
        <f>VLOOKUP($AE317,Mapping!$E$140:$K$2771,5,0)</f>
        <v>Labour</v>
      </c>
      <c r="AK317" s="7" t="str">
        <f>VLOOKUP($AE317,Mapping!$E$140:$K$2771,7,0)</f>
        <v>ENDirect</v>
      </c>
      <c r="AL317" s="7" t="str">
        <f>IFERROR(HLOOKUP(AJ317,'Calc|Weightings'!$K$5:$M$5,1,0),"Excl")</f>
        <v>Labour</v>
      </c>
      <c r="AM317" s="7" t="str">
        <f>VLOOKUP(AC317,Mapping!$E$11:$I$96,5,0)</f>
        <v>SCS</v>
      </c>
      <c r="AO317" s="134">
        <v>109</v>
      </c>
      <c r="AP317" s="135" t="s">
        <v>2124</v>
      </c>
      <c r="AQ317" s="135">
        <v>636105</v>
      </c>
      <c r="AR317" s="135" t="s">
        <v>1937</v>
      </c>
      <c r="AS317" s="136">
        <v>8.7341800000000003</v>
      </c>
      <c r="AU317" s="7" t="str">
        <f>VLOOKUP($AO317,Mapping!$E$11:$I$96,3,0)</f>
        <v>Connections</v>
      </c>
      <c r="AV317" s="7" t="str">
        <f>VLOOKUP($AQ317,Mapping!$E$140:$K$2771,5,0)</f>
        <v>CSG MG</v>
      </c>
      <c r="AW317" s="7" t="str">
        <f>VLOOKUP($AQ317,Mapping!$E$140:$K$2771,7,0)</f>
        <v>ENDirect</v>
      </c>
      <c r="AX317" s="7" t="str">
        <f>IFERROR(HLOOKUP(AV317,'Calc|Weightings'!$K$5:$M$5,1,0),"Excl")</f>
        <v>Excl</v>
      </c>
      <c r="AY317" s="7" t="str">
        <f>VLOOKUP(AO317,Mapping!$E$11:$I$96,5,0)</f>
        <v>SCS</v>
      </c>
    </row>
    <row r="318" spans="1:51" x14ac:dyDescent="0.2">
      <c r="A318" s="7"/>
      <c r="B318" s="7"/>
      <c r="C318" s="7"/>
      <c r="D318" s="7"/>
      <c r="E318" s="36">
        <v>108</v>
      </c>
      <c r="F318" s="36" t="s">
        <v>2123</v>
      </c>
      <c r="G318" s="36">
        <v>635001</v>
      </c>
      <c r="H318" s="36" t="s">
        <v>1929</v>
      </c>
      <c r="I318" s="37">
        <v>-0.74778</v>
      </c>
      <c r="J318" s="7"/>
      <c r="K318" s="7" t="str">
        <f>VLOOKUP($E318,Mapping!$E$11:$I$96,3,0)</f>
        <v>Connections</v>
      </c>
      <c r="L318" s="7" t="str">
        <f>VLOOKUP($G318,Mapping!$E$140:$K$2771,5,0)</f>
        <v>PNS MG</v>
      </c>
      <c r="M318" s="7" t="str">
        <f>VLOOKUP($G318,Mapping!$E$140:$K$2771,7,0)</f>
        <v>ENDirect</v>
      </c>
      <c r="N318" s="7" t="str">
        <f>IFERROR(HLOOKUP(L318,'Calc|Weightings'!$K$5:$M$5,1,0),"Excl")</f>
        <v>Excl</v>
      </c>
      <c r="O318" s="7" t="str">
        <f>VLOOKUP(E318,Mapping!$E$11:$I$96,5,0)</f>
        <v>SCS</v>
      </c>
      <c r="Q318" s="33">
        <v>109</v>
      </c>
      <c r="R318" s="33" t="s">
        <v>2124</v>
      </c>
      <c r="S318" s="33">
        <v>613441</v>
      </c>
      <c r="T318" s="33" t="s">
        <v>2104</v>
      </c>
      <c r="U318" s="34">
        <v>2.3395000000000001</v>
      </c>
      <c r="V318" s="7"/>
      <c r="W318" s="7" t="str">
        <f>VLOOKUP($Q318,Mapping!$E$11:$I$96,3,0)</f>
        <v>Connections</v>
      </c>
      <c r="X318" s="7" t="str">
        <f>VLOOKUP($S318,Mapping!$E$140:$K$2771,5,0)</f>
        <v>Labour</v>
      </c>
      <c r="Y318" s="7" t="str">
        <f>VLOOKUP($S318,Mapping!$E$140:$K$2771,7,0)</f>
        <v>ENDirect</v>
      </c>
      <c r="Z318" s="7" t="str">
        <f>IFERROR(HLOOKUP(X318,'Calc|Weightings'!$K$5:$M$5,1,0),"Excl")</f>
        <v>Labour</v>
      </c>
      <c r="AA318" s="7" t="str">
        <f>VLOOKUP(Q318,Mapping!$E$11:$I$96,5,0)</f>
        <v>SCS</v>
      </c>
      <c r="AC318" s="111">
        <v>109</v>
      </c>
      <c r="AD318" s="111" t="s">
        <v>2124</v>
      </c>
      <c r="AE318" s="111">
        <v>613291</v>
      </c>
      <c r="AF318" s="111" t="s">
        <v>2094</v>
      </c>
      <c r="AG318" s="112">
        <v>1.9139299999999999</v>
      </c>
      <c r="AI318" s="7" t="str">
        <f>VLOOKUP($AC318,Mapping!$E$11:$I$96,3,0)</f>
        <v>Connections</v>
      </c>
      <c r="AJ318" s="7" t="str">
        <f>VLOOKUP($AE318,Mapping!$E$140:$K$2771,5,0)</f>
        <v>Labour</v>
      </c>
      <c r="AK318" s="7" t="str">
        <f>VLOOKUP($AE318,Mapping!$E$140:$K$2771,7,0)</f>
        <v>ENDirect</v>
      </c>
      <c r="AL318" s="7" t="str">
        <f>IFERROR(HLOOKUP(AJ318,'Calc|Weightings'!$K$5:$M$5,1,0),"Excl")</f>
        <v>Labour</v>
      </c>
      <c r="AM318" s="7" t="str">
        <f>VLOOKUP(AC318,Mapping!$E$11:$I$96,5,0)</f>
        <v>SCS</v>
      </c>
      <c r="AO318" s="134">
        <v>109</v>
      </c>
      <c r="AP318" s="135" t="s">
        <v>2124</v>
      </c>
      <c r="AQ318" s="135">
        <v>639000</v>
      </c>
      <c r="AR318" s="135" t="s">
        <v>2112</v>
      </c>
      <c r="AS318" s="136">
        <v>187.86883</v>
      </c>
      <c r="AU318" s="7" t="str">
        <f>VLOOKUP($AO318,Mapping!$E$11:$I$96,3,0)</f>
        <v>Connections</v>
      </c>
      <c r="AV318" s="7" t="str">
        <f>VLOOKUP($AQ318,Mapping!$E$140:$K$2771,5,0)</f>
        <v>PNS Corporate OH</v>
      </c>
      <c r="AW318" s="7" t="str">
        <f>VLOOKUP($AQ318,Mapping!$E$140:$K$2771,7,0)</f>
        <v>OH</v>
      </c>
      <c r="AX318" s="7" t="str">
        <f>IFERROR(HLOOKUP(AV318,'Calc|Weightings'!$K$5:$M$5,1,0),"Excl")</f>
        <v>Excl</v>
      </c>
      <c r="AY318" s="7" t="str">
        <f>VLOOKUP(AO318,Mapping!$E$11:$I$96,5,0)</f>
        <v>SCS</v>
      </c>
    </row>
    <row r="319" spans="1:51" x14ac:dyDescent="0.2">
      <c r="A319" s="7"/>
      <c r="B319" s="7"/>
      <c r="C319" s="7"/>
      <c r="D319" s="7"/>
      <c r="E319" s="36">
        <v>108</v>
      </c>
      <c r="F319" s="36" t="s">
        <v>2123</v>
      </c>
      <c r="G319" s="36">
        <v>636001</v>
      </c>
      <c r="H319" s="36" t="s">
        <v>2111</v>
      </c>
      <c r="I319" s="37">
        <v>-0.54691000000000001</v>
      </c>
      <c r="J319" s="7"/>
      <c r="K319" s="7" t="str">
        <f>VLOOKUP($E319,Mapping!$E$11:$I$96,3,0)</f>
        <v>Connections</v>
      </c>
      <c r="L319" s="7" t="str">
        <f>VLOOKUP($G319,Mapping!$E$140:$K$2771,5,0)</f>
        <v>System Control OH</v>
      </c>
      <c r="M319" s="7" t="str">
        <f>VLOOKUP($G319,Mapping!$E$140:$K$2771,7,0)</f>
        <v>OH</v>
      </c>
      <c r="N319" s="7" t="str">
        <f>IFERROR(HLOOKUP(L319,'Calc|Weightings'!$K$5:$M$5,1,0),"Excl")</f>
        <v>Excl</v>
      </c>
      <c r="O319" s="7" t="str">
        <f>VLOOKUP(E319,Mapping!$E$11:$I$96,5,0)</f>
        <v>SCS</v>
      </c>
      <c r="Q319" s="33">
        <v>109</v>
      </c>
      <c r="R319" s="33" t="s">
        <v>2124</v>
      </c>
      <c r="S319" s="33">
        <v>613448</v>
      </c>
      <c r="T319" s="33" t="s">
        <v>2105</v>
      </c>
      <c r="U319" s="34">
        <v>0.52600000000000002</v>
      </c>
      <c r="V319" s="7"/>
      <c r="W319" s="7" t="str">
        <f>VLOOKUP($Q319,Mapping!$E$11:$I$96,3,0)</f>
        <v>Connections</v>
      </c>
      <c r="X319" s="7" t="str">
        <f>VLOOKUP($S319,Mapping!$E$140:$K$2771,5,0)</f>
        <v>Labour</v>
      </c>
      <c r="Y319" s="7" t="str">
        <f>VLOOKUP($S319,Mapping!$E$140:$K$2771,7,0)</f>
        <v>ENDirect</v>
      </c>
      <c r="Z319" s="7" t="str">
        <f>IFERROR(HLOOKUP(X319,'Calc|Weightings'!$K$5:$M$5,1,0),"Excl")</f>
        <v>Labour</v>
      </c>
      <c r="AA319" s="7" t="str">
        <f>VLOOKUP(Q319,Mapping!$E$11:$I$96,5,0)</f>
        <v>SCS</v>
      </c>
      <c r="AC319" s="111">
        <v>109</v>
      </c>
      <c r="AD319" s="111" t="s">
        <v>2124</v>
      </c>
      <c r="AE319" s="111">
        <v>613298</v>
      </c>
      <c r="AF319" s="111" t="s">
        <v>2122</v>
      </c>
      <c r="AG319" s="112">
        <v>5.2188299999999996</v>
      </c>
      <c r="AI319" s="7" t="str">
        <f>VLOOKUP($AC319,Mapping!$E$11:$I$96,3,0)</f>
        <v>Connections</v>
      </c>
      <c r="AJ319" s="7" t="str">
        <f>VLOOKUP($AE319,Mapping!$E$140:$K$2771,5,0)</f>
        <v>Labour</v>
      </c>
      <c r="AK319" s="7" t="str">
        <f>VLOOKUP($AE319,Mapping!$E$140:$K$2771,7,0)</f>
        <v>ENDirect</v>
      </c>
      <c r="AL319" s="7" t="str">
        <f>IFERROR(HLOOKUP(AJ319,'Calc|Weightings'!$K$5:$M$5,1,0),"Excl")</f>
        <v>Labour</v>
      </c>
      <c r="AM319" s="7" t="str">
        <f>VLOOKUP(AC319,Mapping!$E$11:$I$96,5,0)</f>
        <v>SCS</v>
      </c>
      <c r="AO319" s="134">
        <v>109</v>
      </c>
      <c r="AP319" s="135" t="s">
        <v>2124</v>
      </c>
      <c r="AQ319" s="135">
        <v>639050</v>
      </c>
      <c r="AR319" s="135" t="s">
        <v>2113</v>
      </c>
      <c r="AS319" s="136">
        <v>57.748609999999999</v>
      </c>
      <c r="AU319" s="7" t="str">
        <f>VLOOKUP($AO319,Mapping!$E$11:$I$96,3,0)</f>
        <v>Connections</v>
      </c>
      <c r="AV319" s="7" t="str">
        <f>VLOOKUP($AQ319,Mapping!$E$140:$K$2771,5,0)</f>
        <v>PNS Fleet &amp; Property OH</v>
      </c>
      <c r="AW319" s="7" t="str">
        <f>VLOOKUP($AQ319,Mapping!$E$140:$K$2771,7,0)</f>
        <v>OH</v>
      </c>
      <c r="AX319" s="7" t="str">
        <f>IFERROR(HLOOKUP(AV319,'Calc|Weightings'!$K$5:$M$5,1,0),"Excl")</f>
        <v>Excl</v>
      </c>
      <c r="AY319" s="7" t="str">
        <f>VLOOKUP(AO319,Mapping!$E$11:$I$96,5,0)</f>
        <v>SCS</v>
      </c>
    </row>
    <row r="320" spans="1:51" x14ac:dyDescent="0.2">
      <c r="A320" s="7"/>
      <c r="B320" s="7"/>
      <c r="C320" s="7"/>
      <c r="D320" s="7"/>
      <c r="E320" s="36">
        <v>108</v>
      </c>
      <c r="F320" s="36" t="s">
        <v>2123</v>
      </c>
      <c r="G320" s="36">
        <v>639000</v>
      </c>
      <c r="H320" s="36" t="s">
        <v>2112</v>
      </c>
      <c r="I320" s="37">
        <v>-0.63336000000000003</v>
      </c>
      <c r="J320" s="7"/>
      <c r="K320" s="7" t="str">
        <f>VLOOKUP($E320,Mapping!$E$11:$I$96,3,0)</f>
        <v>Connections</v>
      </c>
      <c r="L320" s="7" t="str">
        <f>VLOOKUP($G320,Mapping!$E$140:$K$2771,5,0)</f>
        <v>PNS Corporate OH</v>
      </c>
      <c r="M320" s="7" t="str">
        <f>VLOOKUP($G320,Mapping!$E$140:$K$2771,7,0)</f>
        <v>OH</v>
      </c>
      <c r="N320" s="7" t="str">
        <f>IFERROR(HLOOKUP(L320,'Calc|Weightings'!$K$5:$M$5,1,0),"Excl")</f>
        <v>Excl</v>
      </c>
      <c r="O320" s="7" t="str">
        <f>VLOOKUP(E320,Mapping!$E$11:$I$96,5,0)</f>
        <v>SCS</v>
      </c>
      <c r="Q320" s="33">
        <v>109</v>
      </c>
      <c r="R320" s="33" t="s">
        <v>2124</v>
      </c>
      <c r="S320" s="33">
        <v>613566</v>
      </c>
      <c r="T320" s="33" t="s">
        <v>1482</v>
      </c>
      <c r="U320" s="34">
        <v>-8.1780000000000005E-2</v>
      </c>
      <c r="V320" s="7"/>
      <c r="W320" s="7" t="str">
        <f>VLOOKUP($Q320,Mapping!$E$11:$I$96,3,0)</f>
        <v>Connections</v>
      </c>
      <c r="X320" s="7" t="str">
        <f>VLOOKUP($S320,Mapping!$E$140:$K$2771,5,0)</f>
        <v>Labour</v>
      </c>
      <c r="Y320" s="7" t="str">
        <f>VLOOKUP($S320,Mapping!$E$140:$K$2771,7,0)</f>
        <v>ENDirect</v>
      </c>
      <c r="Z320" s="7" t="str">
        <f>IFERROR(HLOOKUP(X320,'Calc|Weightings'!$K$5:$M$5,1,0),"Excl")</f>
        <v>Labour</v>
      </c>
      <c r="AA320" s="7" t="str">
        <f>VLOOKUP(Q320,Mapping!$E$11:$I$96,5,0)</f>
        <v>SCS</v>
      </c>
      <c r="AC320" s="111">
        <v>109</v>
      </c>
      <c r="AD320" s="111" t="s">
        <v>2124</v>
      </c>
      <c r="AE320" s="111">
        <v>613310</v>
      </c>
      <c r="AF320" s="111" t="s">
        <v>2095</v>
      </c>
      <c r="AG320" s="112">
        <v>1.18408</v>
      </c>
      <c r="AI320" s="7" t="str">
        <f>VLOOKUP($AC320,Mapping!$E$11:$I$96,3,0)</f>
        <v>Connections</v>
      </c>
      <c r="AJ320" s="7" t="str">
        <f>VLOOKUP($AE320,Mapping!$E$140:$K$2771,5,0)</f>
        <v>Labour</v>
      </c>
      <c r="AK320" s="7" t="str">
        <f>VLOOKUP($AE320,Mapping!$E$140:$K$2771,7,0)</f>
        <v>ENDirect</v>
      </c>
      <c r="AL320" s="7" t="str">
        <f>IFERROR(HLOOKUP(AJ320,'Calc|Weightings'!$K$5:$M$5,1,0),"Excl")</f>
        <v>Labour</v>
      </c>
      <c r="AM320" s="7" t="str">
        <f>VLOOKUP(AC320,Mapping!$E$11:$I$96,5,0)</f>
        <v>SCS</v>
      </c>
      <c r="AO320" s="134">
        <v>111</v>
      </c>
      <c r="AP320" s="135" t="s">
        <v>2126</v>
      </c>
      <c r="AQ320" s="135">
        <v>500200</v>
      </c>
      <c r="AR320" s="135" t="s">
        <v>136</v>
      </c>
      <c r="AS320" s="136">
        <v>6.6000000000000003E-2</v>
      </c>
      <c r="AU320" s="7" t="str">
        <f>VLOOKUP($AO320,Mapping!$E$11:$I$96,3,0)</f>
        <v>Connections</v>
      </c>
      <c r="AV320" s="7" t="str">
        <f>VLOOKUP($AQ320,Mapping!$E$140:$K$2771,5,0)</f>
        <v>Labour</v>
      </c>
      <c r="AW320" s="7" t="str">
        <f>VLOOKUP($AQ320,Mapping!$E$140:$K$2771,7,0)</f>
        <v>ENDirect</v>
      </c>
      <c r="AX320" s="7" t="str">
        <f>IFERROR(HLOOKUP(AV320,'Calc|Weightings'!$K$5:$M$5,1,0),"Excl")</f>
        <v>Labour</v>
      </c>
      <c r="AY320" s="7" t="str">
        <f>VLOOKUP(AO320,Mapping!$E$11:$I$96,5,0)</f>
        <v>SCS</v>
      </c>
    </row>
    <row r="321" spans="1:51" x14ac:dyDescent="0.2">
      <c r="A321" s="7"/>
      <c r="B321" s="7"/>
      <c r="C321" s="7"/>
      <c r="D321" s="7"/>
      <c r="E321" s="36">
        <v>108</v>
      </c>
      <c r="F321" s="36" t="s">
        <v>2123</v>
      </c>
      <c r="G321" s="36">
        <v>639050</v>
      </c>
      <c r="H321" s="36" t="s">
        <v>2113</v>
      </c>
      <c r="I321" s="37">
        <v>-7.8750000000000001E-2</v>
      </c>
      <c r="J321" s="7"/>
      <c r="K321" s="7" t="str">
        <f>VLOOKUP($E321,Mapping!$E$11:$I$96,3,0)</f>
        <v>Connections</v>
      </c>
      <c r="L321" s="7" t="str">
        <f>VLOOKUP($G321,Mapping!$E$140:$K$2771,5,0)</f>
        <v>PNS Fleet &amp; Property OH</v>
      </c>
      <c r="M321" s="7" t="str">
        <f>VLOOKUP($G321,Mapping!$E$140:$K$2771,7,0)</f>
        <v>OH</v>
      </c>
      <c r="N321" s="7" t="str">
        <f>IFERROR(HLOOKUP(L321,'Calc|Weightings'!$K$5:$M$5,1,0),"Excl")</f>
        <v>Excl</v>
      </c>
      <c r="O321" s="7" t="str">
        <f>VLOOKUP(E321,Mapping!$E$11:$I$96,5,0)</f>
        <v>SCS</v>
      </c>
      <c r="Q321" s="33">
        <v>109</v>
      </c>
      <c r="R321" s="33" t="s">
        <v>2124</v>
      </c>
      <c r="S321" s="33">
        <v>613574</v>
      </c>
      <c r="T321" s="33" t="s">
        <v>1488</v>
      </c>
      <c r="U321" s="34">
        <v>0.79878000000000005</v>
      </c>
      <c r="V321" s="7"/>
      <c r="W321" s="7" t="str">
        <f>VLOOKUP($Q321,Mapping!$E$11:$I$96,3,0)</f>
        <v>Connections</v>
      </c>
      <c r="X321" s="7" t="str">
        <f>VLOOKUP($S321,Mapping!$E$140:$K$2771,5,0)</f>
        <v>Labour</v>
      </c>
      <c r="Y321" s="7" t="str">
        <f>VLOOKUP($S321,Mapping!$E$140:$K$2771,7,0)</f>
        <v>ENDirect</v>
      </c>
      <c r="Z321" s="7" t="str">
        <f>IFERROR(HLOOKUP(X321,'Calc|Weightings'!$K$5:$M$5,1,0),"Excl")</f>
        <v>Labour</v>
      </c>
      <c r="AA321" s="7" t="str">
        <f>VLOOKUP(Q321,Mapping!$E$11:$I$96,5,0)</f>
        <v>SCS</v>
      </c>
      <c r="AC321" s="111">
        <v>109</v>
      </c>
      <c r="AD321" s="111" t="s">
        <v>2124</v>
      </c>
      <c r="AE321" s="111">
        <v>613360</v>
      </c>
      <c r="AF321" s="111" t="s">
        <v>2097</v>
      </c>
      <c r="AG321" s="112">
        <v>33.574939999999998</v>
      </c>
      <c r="AI321" s="7" t="str">
        <f>VLOOKUP($AC321,Mapping!$E$11:$I$96,3,0)</f>
        <v>Connections</v>
      </c>
      <c r="AJ321" s="7" t="str">
        <f>VLOOKUP($AE321,Mapping!$E$140:$K$2771,5,0)</f>
        <v>Labour</v>
      </c>
      <c r="AK321" s="7" t="str">
        <f>VLOOKUP($AE321,Mapping!$E$140:$K$2771,7,0)</f>
        <v>ENDirect</v>
      </c>
      <c r="AL321" s="7" t="str">
        <f>IFERROR(HLOOKUP(AJ321,'Calc|Weightings'!$K$5:$M$5,1,0),"Excl")</f>
        <v>Labour</v>
      </c>
      <c r="AM321" s="7" t="str">
        <f>VLOOKUP(AC321,Mapping!$E$11:$I$96,5,0)</f>
        <v>SCS</v>
      </c>
      <c r="AO321" s="134">
        <v>111</v>
      </c>
      <c r="AP321" s="135" t="s">
        <v>2126</v>
      </c>
      <c r="AQ321" s="135">
        <v>503240</v>
      </c>
      <c r="AR321" s="135" t="s">
        <v>169</v>
      </c>
      <c r="AS321" s="136">
        <v>0.17462</v>
      </c>
      <c r="AU321" s="7" t="str">
        <f>VLOOKUP($AO321,Mapping!$E$11:$I$96,3,0)</f>
        <v>Connections</v>
      </c>
      <c r="AV321" s="7" t="str">
        <f>VLOOKUP($AQ321,Mapping!$E$140:$K$2771,5,0)</f>
        <v>Contracts</v>
      </c>
      <c r="AW321" s="7" t="str">
        <f>VLOOKUP($AQ321,Mapping!$E$140:$K$2771,7,0)</f>
        <v>ENDirect</v>
      </c>
      <c r="AX321" s="7" t="str">
        <f>IFERROR(HLOOKUP(AV321,'Calc|Weightings'!$K$5:$M$5,1,0),"Excl")</f>
        <v>Contracts</v>
      </c>
      <c r="AY321" s="7" t="str">
        <f>VLOOKUP(AO321,Mapping!$E$11:$I$96,5,0)</f>
        <v>SCS</v>
      </c>
    </row>
    <row r="322" spans="1:51" x14ac:dyDescent="0.2">
      <c r="A322" s="7"/>
      <c r="B322" s="7"/>
      <c r="C322" s="7"/>
      <c r="D322" s="7"/>
      <c r="E322" s="36">
        <v>109</v>
      </c>
      <c r="F322" s="36" t="s">
        <v>2124</v>
      </c>
      <c r="G322" s="36">
        <v>520100</v>
      </c>
      <c r="H322" s="36" t="s">
        <v>2072</v>
      </c>
      <c r="I322" s="37">
        <v>366.13373999999999</v>
      </c>
      <c r="J322" s="7"/>
      <c r="K322" s="7" t="str">
        <f>VLOOKUP($E322,Mapping!$E$11:$I$96,3,0)</f>
        <v>Connections</v>
      </c>
      <c r="L322" s="7" t="str">
        <f>VLOOKUP($G322,Mapping!$E$140:$K$2771,5,0)</f>
        <v>Materials</v>
      </c>
      <c r="M322" s="7" t="str">
        <f>VLOOKUP($G322,Mapping!$E$140:$K$2771,7,0)</f>
        <v>ENDirect</v>
      </c>
      <c r="N322" s="7" t="str">
        <f>IFERROR(HLOOKUP(L322,'Calc|Weightings'!$K$5:$M$5,1,0),"Excl")</f>
        <v>Materials</v>
      </c>
      <c r="O322" s="7" t="str">
        <f>VLOOKUP(E322,Mapping!$E$11:$I$96,5,0)</f>
        <v>SCS</v>
      </c>
      <c r="Q322" s="33">
        <v>109</v>
      </c>
      <c r="R322" s="33" t="s">
        <v>2124</v>
      </c>
      <c r="S322" s="33">
        <v>613680</v>
      </c>
      <c r="T322" s="33" t="s">
        <v>2107</v>
      </c>
      <c r="U322" s="34">
        <v>1.4881599999999999</v>
      </c>
      <c r="V322" s="7"/>
      <c r="W322" s="7" t="str">
        <f>VLOOKUP($Q322,Mapping!$E$11:$I$96,3,0)</f>
        <v>Connections</v>
      </c>
      <c r="X322" s="7" t="str">
        <f>VLOOKUP($S322,Mapping!$E$140:$K$2771,5,0)</f>
        <v>Labour</v>
      </c>
      <c r="Y322" s="7" t="str">
        <f>VLOOKUP($S322,Mapping!$E$140:$K$2771,7,0)</f>
        <v>ENDirect</v>
      </c>
      <c r="Z322" s="7" t="str">
        <f>IFERROR(HLOOKUP(X322,'Calc|Weightings'!$K$5:$M$5,1,0),"Excl")</f>
        <v>Labour</v>
      </c>
      <c r="AA322" s="7" t="str">
        <f>VLOOKUP(Q322,Mapping!$E$11:$I$96,5,0)</f>
        <v>SCS</v>
      </c>
      <c r="AC322" s="111">
        <v>109</v>
      </c>
      <c r="AD322" s="111" t="s">
        <v>2124</v>
      </c>
      <c r="AE322" s="111">
        <v>613361</v>
      </c>
      <c r="AF322" s="111" t="s">
        <v>2098</v>
      </c>
      <c r="AG322" s="112">
        <v>0.50941000000000003</v>
      </c>
      <c r="AI322" s="7" t="str">
        <f>VLOOKUP($AC322,Mapping!$E$11:$I$96,3,0)</f>
        <v>Connections</v>
      </c>
      <c r="AJ322" s="7" t="str">
        <f>VLOOKUP($AE322,Mapping!$E$140:$K$2771,5,0)</f>
        <v>Labour</v>
      </c>
      <c r="AK322" s="7" t="str">
        <f>VLOOKUP($AE322,Mapping!$E$140:$K$2771,7,0)</f>
        <v>ENDirect</v>
      </c>
      <c r="AL322" s="7" t="str">
        <f>IFERROR(HLOOKUP(AJ322,'Calc|Weightings'!$K$5:$M$5,1,0),"Excl")</f>
        <v>Labour</v>
      </c>
      <c r="AM322" s="7" t="str">
        <f>VLOOKUP(AC322,Mapping!$E$11:$I$96,5,0)</f>
        <v>SCS</v>
      </c>
      <c r="AO322" s="134">
        <v>111</v>
      </c>
      <c r="AP322" s="135" t="s">
        <v>2126</v>
      </c>
      <c r="AQ322" s="135">
        <v>503281</v>
      </c>
      <c r="AR322" s="135" t="s">
        <v>2198</v>
      </c>
      <c r="AS322" s="136">
        <v>0.30519000000000002</v>
      </c>
      <c r="AU322" s="7" t="str">
        <f>VLOOKUP($AO322,Mapping!$E$11:$I$96,3,0)</f>
        <v>Connections</v>
      </c>
      <c r="AV322" s="7" t="str">
        <f>VLOOKUP($AQ322,Mapping!$E$140:$K$2771,5,0)</f>
        <v>Contracts</v>
      </c>
      <c r="AW322" s="7" t="str">
        <f>VLOOKUP($AQ322,Mapping!$E$140:$K$2771,7,0)</f>
        <v>ENDirect</v>
      </c>
      <c r="AX322" s="7" t="str">
        <f>IFERROR(HLOOKUP(AV322,'Calc|Weightings'!$K$5:$M$5,1,0),"Excl")</f>
        <v>Contracts</v>
      </c>
      <c r="AY322" s="7" t="str">
        <f>VLOOKUP(AO322,Mapping!$E$11:$I$96,5,0)</f>
        <v>SCS</v>
      </c>
    </row>
    <row r="323" spans="1:51" x14ac:dyDescent="0.2">
      <c r="A323" s="7"/>
      <c r="B323" s="7"/>
      <c r="C323" s="7"/>
      <c r="D323" s="7"/>
      <c r="E323" s="36">
        <v>109</v>
      </c>
      <c r="F323" s="36" t="s">
        <v>2124</v>
      </c>
      <c r="G323" s="36">
        <v>523100</v>
      </c>
      <c r="H323" s="36" t="s">
        <v>2074</v>
      </c>
      <c r="I323" s="37">
        <v>16.69351</v>
      </c>
      <c r="J323" s="7"/>
      <c r="K323" s="7" t="str">
        <f>VLOOKUP($E323,Mapping!$E$11:$I$96,3,0)</f>
        <v>Connections</v>
      </c>
      <c r="L323" s="7" t="str">
        <f>VLOOKUP($G323,Mapping!$E$140:$K$2771,5,0)</f>
        <v>Materials</v>
      </c>
      <c r="M323" s="7" t="str">
        <f>VLOOKUP($G323,Mapping!$E$140:$K$2771,7,0)</f>
        <v>ENDirect</v>
      </c>
      <c r="N323" s="7" t="str">
        <f>IFERROR(HLOOKUP(L323,'Calc|Weightings'!$K$5:$M$5,1,0),"Excl")</f>
        <v>Materials</v>
      </c>
      <c r="O323" s="7" t="str">
        <f>VLOOKUP(E323,Mapping!$E$11:$I$96,5,0)</f>
        <v>SCS</v>
      </c>
      <c r="Q323" s="33">
        <v>109</v>
      </c>
      <c r="R323" s="33" t="s">
        <v>2124</v>
      </c>
      <c r="S323" s="33">
        <v>614115</v>
      </c>
      <c r="T323" s="33" t="s">
        <v>2109</v>
      </c>
      <c r="U323" s="34">
        <v>33.625990000000002</v>
      </c>
      <c r="V323" s="7"/>
      <c r="W323" s="7" t="str">
        <f>VLOOKUP($Q323,Mapping!$E$11:$I$96,3,0)</f>
        <v>Connections</v>
      </c>
      <c r="X323" s="7" t="str">
        <f>VLOOKUP($S323,Mapping!$E$140:$K$2771,5,0)</f>
        <v>Labour</v>
      </c>
      <c r="Y323" s="7" t="str">
        <f>VLOOKUP($S323,Mapping!$E$140:$K$2771,7,0)</f>
        <v>ENDirect</v>
      </c>
      <c r="Z323" s="7" t="str">
        <f>IFERROR(HLOOKUP(X323,'Calc|Weightings'!$K$5:$M$5,1,0),"Excl")</f>
        <v>Labour</v>
      </c>
      <c r="AA323" s="7" t="str">
        <f>VLOOKUP(Q323,Mapping!$E$11:$I$96,5,0)</f>
        <v>SCS</v>
      </c>
      <c r="AC323" s="111">
        <v>109</v>
      </c>
      <c r="AD323" s="111" t="s">
        <v>2124</v>
      </c>
      <c r="AE323" s="111">
        <v>613370</v>
      </c>
      <c r="AF323" s="111" t="s">
        <v>1402</v>
      </c>
      <c r="AG323" s="112">
        <v>0.30434</v>
      </c>
      <c r="AI323" s="7" t="str">
        <f>VLOOKUP($AC323,Mapping!$E$11:$I$96,3,0)</f>
        <v>Connections</v>
      </c>
      <c r="AJ323" s="7" t="str">
        <f>VLOOKUP($AE323,Mapping!$E$140:$K$2771,5,0)</f>
        <v>Labour</v>
      </c>
      <c r="AK323" s="7" t="str">
        <f>VLOOKUP($AE323,Mapping!$E$140:$K$2771,7,0)</f>
        <v>ENDirect</v>
      </c>
      <c r="AL323" s="7" t="str">
        <f>IFERROR(HLOOKUP(AJ323,'Calc|Weightings'!$K$5:$M$5,1,0),"Excl")</f>
        <v>Labour</v>
      </c>
      <c r="AM323" s="7" t="str">
        <f>VLOOKUP(AC323,Mapping!$E$11:$I$96,5,0)</f>
        <v>SCS</v>
      </c>
      <c r="AO323" s="134">
        <v>111</v>
      </c>
      <c r="AP323" s="135" t="s">
        <v>2126</v>
      </c>
      <c r="AQ323" s="135">
        <v>503350</v>
      </c>
      <c r="AR323" s="135" t="s">
        <v>182</v>
      </c>
      <c r="AS323" s="136">
        <v>0.8</v>
      </c>
      <c r="AU323" s="7" t="str">
        <f>VLOOKUP($AO323,Mapping!$E$11:$I$96,3,0)</f>
        <v>Connections</v>
      </c>
      <c r="AV323" s="7" t="str">
        <f>VLOOKUP($AQ323,Mapping!$E$140:$K$2771,5,0)</f>
        <v>Contracts</v>
      </c>
      <c r="AW323" s="7" t="str">
        <f>VLOOKUP($AQ323,Mapping!$E$140:$K$2771,7,0)</f>
        <v>ENDirect</v>
      </c>
      <c r="AX323" s="7" t="str">
        <f>IFERROR(HLOOKUP(AV323,'Calc|Weightings'!$K$5:$M$5,1,0),"Excl")</f>
        <v>Contracts</v>
      </c>
      <c r="AY323" s="7" t="str">
        <f>VLOOKUP(AO323,Mapping!$E$11:$I$96,5,0)</f>
        <v>SCS</v>
      </c>
    </row>
    <row r="324" spans="1:51" x14ac:dyDescent="0.2">
      <c r="A324" s="7"/>
      <c r="B324" s="7"/>
      <c r="C324" s="7"/>
      <c r="D324" s="7"/>
      <c r="E324" s="36">
        <v>109</v>
      </c>
      <c r="F324" s="36" t="s">
        <v>2124</v>
      </c>
      <c r="G324" s="36">
        <v>531035</v>
      </c>
      <c r="H324" s="36" t="s">
        <v>244</v>
      </c>
      <c r="I324" s="37">
        <v>2.976</v>
      </c>
      <c r="J324" s="7"/>
      <c r="K324" s="7" t="str">
        <f>VLOOKUP($E324,Mapping!$E$11:$I$96,3,0)</f>
        <v>Connections</v>
      </c>
      <c r="L324" s="7" t="str">
        <f>VLOOKUP($G324,Mapping!$E$140:$K$2771,5,0)</f>
        <v>Labour</v>
      </c>
      <c r="M324" s="7" t="str">
        <f>VLOOKUP($G324,Mapping!$E$140:$K$2771,7,0)</f>
        <v>ENDirect</v>
      </c>
      <c r="N324" s="7" t="str">
        <f>IFERROR(HLOOKUP(L324,'Calc|Weightings'!$K$5:$M$5,1,0),"Excl")</f>
        <v>Labour</v>
      </c>
      <c r="O324" s="7" t="str">
        <f>VLOOKUP(E324,Mapping!$E$11:$I$96,5,0)</f>
        <v>SCS</v>
      </c>
      <c r="Q324" s="33">
        <v>109</v>
      </c>
      <c r="R324" s="33" t="s">
        <v>2124</v>
      </c>
      <c r="S324" s="33">
        <v>634001</v>
      </c>
      <c r="T324" s="33" t="s">
        <v>2110</v>
      </c>
      <c r="U324" s="34">
        <v>286.68849</v>
      </c>
      <c r="V324" s="7"/>
      <c r="W324" s="7" t="str">
        <f>VLOOKUP($Q324,Mapping!$E$11:$I$96,3,0)</f>
        <v>Connections</v>
      </c>
      <c r="X324" s="7" t="str">
        <f>VLOOKUP($S324,Mapping!$E$140:$K$2771,5,0)</f>
        <v>Local OH</v>
      </c>
      <c r="Y324" s="7" t="str">
        <f>VLOOKUP($S324,Mapping!$E$140:$K$2771,7,0)</f>
        <v>OH</v>
      </c>
      <c r="Z324" s="7" t="str">
        <f>IFERROR(HLOOKUP(X324,'Calc|Weightings'!$K$5:$M$5,1,0),"Excl")</f>
        <v>Excl</v>
      </c>
      <c r="AA324" s="7" t="str">
        <f>VLOOKUP(Q324,Mapping!$E$11:$I$96,5,0)</f>
        <v>SCS</v>
      </c>
      <c r="AC324" s="111">
        <v>109</v>
      </c>
      <c r="AD324" s="111" t="s">
        <v>2124</v>
      </c>
      <c r="AE324" s="111">
        <v>613410</v>
      </c>
      <c r="AF324" s="111" t="s">
        <v>2100</v>
      </c>
      <c r="AG324" s="112">
        <v>2.2181999999999999</v>
      </c>
      <c r="AI324" s="7" t="str">
        <f>VLOOKUP($AC324,Mapping!$E$11:$I$96,3,0)</f>
        <v>Connections</v>
      </c>
      <c r="AJ324" s="7" t="str">
        <f>VLOOKUP($AE324,Mapping!$E$140:$K$2771,5,0)</f>
        <v>Labour</v>
      </c>
      <c r="AK324" s="7" t="str">
        <f>VLOOKUP($AE324,Mapping!$E$140:$K$2771,7,0)</f>
        <v>ENDirect</v>
      </c>
      <c r="AL324" s="7" t="str">
        <f>IFERROR(HLOOKUP(AJ324,'Calc|Weightings'!$K$5:$M$5,1,0),"Excl")</f>
        <v>Labour</v>
      </c>
      <c r="AM324" s="7" t="str">
        <f>VLOOKUP(AC324,Mapping!$E$11:$I$96,5,0)</f>
        <v>SCS</v>
      </c>
      <c r="AO324" s="134">
        <v>111</v>
      </c>
      <c r="AP324" s="135" t="s">
        <v>2126</v>
      </c>
      <c r="AQ324" s="135">
        <v>520100</v>
      </c>
      <c r="AR324" s="135" t="s">
        <v>2072</v>
      </c>
      <c r="AS324" s="136">
        <v>8936.8385799999996</v>
      </c>
      <c r="AU324" s="7" t="str">
        <f>VLOOKUP($AO324,Mapping!$E$11:$I$96,3,0)</f>
        <v>Connections</v>
      </c>
      <c r="AV324" s="7" t="str">
        <f>VLOOKUP($AQ324,Mapping!$E$140:$K$2771,5,0)</f>
        <v>Materials</v>
      </c>
      <c r="AW324" s="7" t="str">
        <f>VLOOKUP($AQ324,Mapping!$E$140:$K$2771,7,0)</f>
        <v>ENDirect</v>
      </c>
      <c r="AX324" s="7" t="str">
        <f>IFERROR(HLOOKUP(AV324,'Calc|Weightings'!$K$5:$M$5,1,0),"Excl")</f>
        <v>Materials</v>
      </c>
      <c r="AY324" s="7" t="str">
        <f>VLOOKUP(AO324,Mapping!$E$11:$I$96,5,0)</f>
        <v>SCS</v>
      </c>
    </row>
    <row r="325" spans="1:51" x14ac:dyDescent="0.2">
      <c r="A325" s="7"/>
      <c r="B325" s="7"/>
      <c r="C325" s="7"/>
      <c r="D325" s="7"/>
      <c r="E325" s="36">
        <v>109</v>
      </c>
      <c r="F325" s="36" t="s">
        <v>2124</v>
      </c>
      <c r="G325" s="36">
        <v>531200</v>
      </c>
      <c r="H325" s="36" t="s">
        <v>250</v>
      </c>
      <c r="I325" s="37">
        <v>10.9</v>
      </c>
      <c r="J325" s="7"/>
      <c r="K325" s="7" t="str">
        <f>VLOOKUP($E325,Mapping!$E$11:$I$96,3,0)</f>
        <v>Connections</v>
      </c>
      <c r="L325" s="7" t="str">
        <f>VLOOKUP($G325,Mapping!$E$140:$K$2771,5,0)</f>
        <v>Contracts</v>
      </c>
      <c r="M325" s="7" t="str">
        <f>VLOOKUP($G325,Mapping!$E$140:$K$2771,7,0)</f>
        <v>ENDirect</v>
      </c>
      <c r="N325" s="7" t="str">
        <f>IFERROR(HLOOKUP(L325,'Calc|Weightings'!$K$5:$M$5,1,0),"Excl")</f>
        <v>Contracts</v>
      </c>
      <c r="O325" s="7" t="str">
        <f>VLOOKUP(E325,Mapping!$E$11:$I$96,5,0)</f>
        <v>SCS</v>
      </c>
      <c r="Q325" s="33">
        <v>109</v>
      </c>
      <c r="R325" s="33" t="s">
        <v>2124</v>
      </c>
      <c r="S325" s="33">
        <v>635001</v>
      </c>
      <c r="T325" s="33" t="s">
        <v>1929</v>
      </c>
      <c r="U325" s="34">
        <v>191.83582999999999</v>
      </c>
      <c r="V325" s="7"/>
      <c r="W325" s="7" t="str">
        <f>VLOOKUP($Q325,Mapping!$E$11:$I$96,3,0)</f>
        <v>Connections</v>
      </c>
      <c r="X325" s="7" t="str">
        <f>VLOOKUP($S325,Mapping!$E$140:$K$2771,5,0)</f>
        <v>PNS MG</v>
      </c>
      <c r="Y325" s="7" t="str">
        <f>VLOOKUP($S325,Mapping!$E$140:$K$2771,7,0)</f>
        <v>ENDirect</v>
      </c>
      <c r="Z325" s="7" t="str">
        <f>IFERROR(HLOOKUP(X325,'Calc|Weightings'!$K$5:$M$5,1,0),"Excl")</f>
        <v>Excl</v>
      </c>
      <c r="AA325" s="7" t="str">
        <f>VLOOKUP(Q325,Mapping!$E$11:$I$96,5,0)</f>
        <v>SCS</v>
      </c>
      <c r="AC325" s="111">
        <v>109</v>
      </c>
      <c r="AD325" s="111" t="s">
        <v>2124</v>
      </c>
      <c r="AE325" s="111">
        <v>613411</v>
      </c>
      <c r="AF325" s="111" t="s">
        <v>2101</v>
      </c>
      <c r="AG325" s="112">
        <v>1.2719400000000001</v>
      </c>
      <c r="AI325" s="7" t="str">
        <f>VLOOKUP($AC325,Mapping!$E$11:$I$96,3,0)</f>
        <v>Connections</v>
      </c>
      <c r="AJ325" s="7" t="str">
        <f>VLOOKUP($AE325,Mapping!$E$140:$K$2771,5,0)</f>
        <v>Labour</v>
      </c>
      <c r="AK325" s="7" t="str">
        <f>VLOOKUP($AE325,Mapping!$E$140:$K$2771,7,0)</f>
        <v>ENDirect</v>
      </c>
      <c r="AL325" s="7" t="str">
        <f>IFERROR(HLOOKUP(AJ325,'Calc|Weightings'!$K$5:$M$5,1,0),"Excl")</f>
        <v>Labour</v>
      </c>
      <c r="AM325" s="7" t="str">
        <f>VLOOKUP(AC325,Mapping!$E$11:$I$96,5,0)</f>
        <v>SCS</v>
      </c>
      <c r="AO325" s="134">
        <v>111</v>
      </c>
      <c r="AP325" s="135" t="s">
        <v>2126</v>
      </c>
      <c r="AQ325" s="135">
        <v>520200</v>
      </c>
      <c r="AR325" s="135" t="s">
        <v>2073</v>
      </c>
      <c r="AS325" s="136">
        <v>53.534820000000003</v>
      </c>
      <c r="AU325" s="7" t="str">
        <f>VLOOKUP($AO325,Mapping!$E$11:$I$96,3,0)</f>
        <v>Connections</v>
      </c>
      <c r="AV325" s="7" t="str">
        <f>VLOOKUP($AQ325,Mapping!$E$140:$K$2771,5,0)</f>
        <v>Materials</v>
      </c>
      <c r="AW325" s="7" t="str">
        <f>VLOOKUP($AQ325,Mapping!$E$140:$K$2771,7,0)</f>
        <v>ENDirect</v>
      </c>
      <c r="AX325" s="7" t="str">
        <f>IFERROR(HLOOKUP(AV325,'Calc|Weightings'!$K$5:$M$5,1,0),"Excl")</f>
        <v>Materials</v>
      </c>
      <c r="AY325" s="7" t="str">
        <f>VLOOKUP(AO325,Mapping!$E$11:$I$96,5,0)</f>
        <v>SCS</v>
      </c>
    </row>
    <row r="326" spans="1:51" x14ac:dyDescent="0.2">
      <c r="A326" s="7"/>
      <c r="B326" s="7"/>
      <c r="C326" s="7"/>
      <c r="D326" s="7"/>
      <c r="E326" s="36">
        <v>109</v>
      </c>
      <c r="F326" s="36" t="s">
        <v>2124</v>
      </c>
      <c r="G326" s="36">
        <v>531464</v>
      </c>
      <c r="H326" s="36" t="s">
        <v>256</v>
      </c>
      <c r="I326" s="37">
        <v>44.133249999999997</v>
      </c>
      <c r="J326" s="7"/>
      <c r="K326" s="7" t="str">
        <f>VLOOKUP($E326,Mapping!$E$11:$I$96,3,0)</f>
        <v>Connections</v>
      </c>
      <c r="L326" s="7" t="str">
        <f>VLOOKUP($G326,Mapping!$E$140:$K$2771,5,0)</f>
        <v>Contracts</v>
      </c>
      <c r="M326" s="7" t="str">
        <f>VLOOKUP($G326,Mapping!$E$140:$K$2771,7,0)</f>
        <v>ENDirect</v>
      </c>
      <c r="N326" s="7" t="str">
        <f>IFERROR(HLOOKUP(L326,'Calc|Weightings'!$K$5:$M$5,1,0),"Excl")</f>
        <v>Contracts</v>
      </c>
      <c r="O326" s="7" t="str">
        <f>VLOOKUP(E326,Mapping!$E$11:$I$96,5,0)</f>
        <v>SCS</v>
      </c>
      <c r="Q326" s="33">
        <v>109</v>
      </c>
      <c r="R326" s="33" t="s">
        <v>2124</v>
      </c>
      <c r="S326" s="33">
        <v>636001</v>
      </c>
      <c r="T326" s="33" t="s">
        <v>2111</v>
      </c>
      <c r="U326" s="34">
        <v>86.062070000000006</v>
      </c>
      <c r="V326" s="7"/>
      <c r="W326" s="7" t="str">
        <f>VLOOKUP($Q326,Mapping!$E$11:$I$96,3,0)</f>
        <v>Connections</v>
      </c>
      <c r="X326" s="7" t="str">
        <f>VLOOKUP($S326,Mapping!$E$140:$K$2771,5,0)</f>
        <v>System Control OH</v>
      </c>
      <c r="Y326" s="7" t="str">
        <f>VLOOKUP($S326,Mapping!$E$140:$K$2771,7,0)</f>
        <v>OH</v>
      </c>
      <c r="Z326" s="7" t="str">
        <f>IFERROR(HLOOKUP(X326,'Calc|Weightings'!$K$5:$M$5,1,0),"Excl")</f>
        <v>Excl</v>
      </c>
      <c r="AA326" s="7" t="str">
        <f>VLOOKUP(Q326,Mapping!$E$11:$I$96,5,0)</f>
        <v>SCS</v>
      </c>
      <c r="AC326" s="111">
        <v>109</v>
      </c>
      <c r="AD326" s="111" t="s">
        <v>2124</v>
      </c>
      <c r="AE326" s="111">
        <v>613440</v>
      </c>
      <c r="AF326" s="111" t="s">
        <v>2103</v>
      </c>
      <c r="AG326" s="112">
        <v>53.89781</v>
      </c>
      <c r="AI326" s="7" t="str">
        <f>VLOOKUP($AC326,Mapping!$E$11:$I$96,3,0)</f>
        <v>Connections</v>
      </c>
      <c r="AJ326" s="7" t="str">
        <f>VLOOKUP($AE326,Mapping!$E$140:$K$2771,5,0)</f>
        <v>Labour</v>
      </c>
      <c r="AK326" s="7" t="str">
        <f>VLOOKUP($AE326,Mapping!$E$140:$K$2771,7,0)</f>
        <v>ENDirect</v>
      </c>
      <c r="AL326" s="7" t="str">
        <f>IFERROR(HLOOKUP(AJ326,'Calc|Weightings'!$K$5:$M$5,1,0),"Excl")</f>
        <v>Labour</v>
      </c>
      <c r="AM326" s="7" t="str">
        <f>VLOOKUP(AC326,Mapping!$E$11:$I$96,5,0)</f>
        <v>SCS</v>
      </c>
      <c r="AO326" s="134">
        <v>111</v>
      </c>
      <c r="AP326" s="135" t="s">
        <v>2126</v>
      </c>
      <c r="AQ326" s="135">
        <v>522100</v>
      </c>
      <c r="AR326" s="135" t="s">
        <v>2115</v>
      </c>
      <c r="AS326" s="136">
        <v>7.4999999999999997E-2</v>
      </c>
      <c r="AU326" s="7" t="str">
        <f>VLOOKUP($AO326,Mapping!$E$11:$I$96,3,0)</f>
        <v>Connections</v>
      </c>
      <c r="AV326" s="7" t="str">
        <f>VLOOKUP($AQ326,Mapping!$E$140:$K$2771,5,0)</f>
        <v>Materials</v>
      </c>
      <c r="AW326" s="7" t="str">
        <f>VLOOKUP($AQ326,Mapping!$E$140:$K$2771,7,0)</f>
        <v>ENDirect</v>
      </c>
      <c r="AX326" s="7" t="str">
        <f>IFERROR(HLOOKUP(AV326,'Calc|Weightings'!$K$5:$M$5,1,0),"Excl")</f>
        <v>Materials</v>
      </c>
      <c r="AY326" s="7" t="str">
        <f>VLOOKUP(AO326,Mapping!$E$11:$I$96,5,0)</f>
        <v>SCS</v>
      </c>
    </row>
    <row r="327" spans="1:51" x14ac:dyDescent="0.2">
      <c r="A327" s="7"/>
      <c r="B327" s="7"/>
      <c r="C327" s="7"/>
      <c r="D327" s="7"/>
      <c r="E327" s="36">
        <v>109</v>
      </c>
      <c r="F327" s="36" t="s">
        <v>2124</v>
      </c>
      <c r="G327" s="36">
        <v>531466</v>
      </c>
      <c r="H327" s="36" t="s">
        <v>258</v>
      </c>
      <c r="I327" s="37">
        <v>1.7592000000000001</v>
      </c>
      <c r="J327" s="7"/>
      <c r="K327" s="7" t="str">
        <f>VLOOKUP($E327,Mapping!$E$11:$I$96,3,0)</f>
        <v>Connections</v>
      </c>
      <c r="L327" s="7" t="str">
        <f>VLOOKUP($G327,Mapping!$E$140:$K$2771,5,0)</f>
        <v>Contracts</v>
      </c>
      <c r="M327" s="7" t="str">
        <f>VLOOKUP($G327,Mapping!$E$140:$K$2771,7,0)</f>
        <v>ENDirect</v>
      </c>
      <c r="N327" s="7" t="str">
        <f>IFERROR(HLOOKUP(L327,'Calc|Weightings'!$K$5:$M$5,1,0),"Excl")</f>
        <v>Contracts</v>
      </c>
      <c r="O327" s="7" t="str">
        <f>VLOOKUP(E327,Mapping!$E$11:$I$96,5,0)</f>
        <v>SCS</v>
      </c>
      <c r="Q327" s="33">
        <v>109</v>
      </c>
      <c r="R327" s="33" t="s">
        <v>2124</v>
      </c>
      <c r="S327" s="33">
        <v>636105</v>
      </c>
      <c r="T327" s="33" t="s">
        <v>1937</v>
      </c>
      <c r="U327" s="34">
        <v>8.1409999999999996E-2</v>
      </c>
      <c r="V327" s="7"/>
      <c r="W327" s="7" t="str">
        <f>VLOOKUP($Q327,Mapping!$E$11:$I$96,3,0)</f>
        <v>Connections</v>
      </c>
      <c r="X327" s="7" t="str">
        <f>VLOOKUP($S327,Mapping!$E$140:$K$2771,5,0)</f>
        <v>CSG MG</v>
      </c>
      <c r="Y327" s="7" t="str">
        <f>VLOOKUP($S327,Mapping!$E$140:$K$2771,7,0)</f>
        <v>ENDirect</v>
      </c>
      <c r="Z327" s="7" t="str">
        <f>IFERROR(HLOOKUP(X327,'Calc|Weightings'!$K$5:$M$5,1,0),"Excl")</f>
        <v>Excl</v>
      </c>
      <c r="AA327" s="7" t="str">
        <f>VLOOKUP(Q327,Mapping!$E$11:$I$96,5,0)</f>
        <v>SCS</v>
      </c>
      <c r="AC327" s="111">
        <v>109</v>
      </c>
      <c r="AD327" s="111" t="s">
        <v>2124</v>
      </c>
      <c r="AE327" s="111">
        <v>613441</v>
      </c>
      <c r="AF327" s="111" t="s">
        <v>2104</v>
      </c>
      <c r="AG327" s="112">
        <v>1.27962</v>
      </c>
      <c r="AI327" s="7" t="str">
        <f>VLOOKUP($AC327,Mapping!$E$11:$I$96,3,0)</f>
        <v>Connections</v>
      </c>
      <c r="AJ327" s="7" t="str">
        <f>VLOOKUP($AE327,Mapping!$E$140:$K$2771,5,0)</f>
        <v>Labour</v>
      </c>
      <c r="AK327" s="7" t="str">
        <f>VLOOKUP($AE327,Mapping!$E$140:$K$2771,7,0)</f>
        <v>ENDirect</v>
      </c>
      <c r="AL327" s="7" t="str">
        <f>IFERROR(HLOOKUP(AJ327,'Calc|Weightings'!$K$5:$M$5,1,0),"Excl")</f>
        <v>Labour</v>
      </c>
      <c r="AM327" s="7" t="str">
        <f>VLOOKUP(AC327,Mapping!$E$11:$I$96,5,0)</f>
        <v>SCS</v>
      </c>
      <c r="AO327" s="134">
        <v>111</v>
      </c>
      <c r="AP327" s="135" t="s">
        <v>2126</v>
      </c>
      <c r="AQ327" s="135">
        <v>523100</v>
      </c>
      <c r="AR327" s="135" t="s">
        <v>2074</v>
      </c>
      <c r="AS327" s="136">
        <v>169.04508999999999</v>
      </c>
      <c r="AU327" s="7" t="str">
        <f>VLOOKUP($AO327,Mapping!$E$11:$I$96,3,0)</f>
        <v>Connections</v>
      </c>
      <c r="AV327" s="7" t="str">
        <f>VLOOKUP($AQ327,Mapping!$E$140:$K$2771,5,0)</f>
        <v>Materials</v>
      </c>
      <c r="AW327" s="7" t="str">
        <f>VLOOKUP($AQ327,Mapping!$E$140:$K$2771,7,0)</f>
        <v>ENDirect</v>
      </c>
      <c r="AX327" s="7" t="str">
        <f>IFERROR(HLOOKUP(AV327,'Calc|Weightings'!$K$5:$M$5,1,0),"Excl")</f>
        <v>Materials</v>
      </c>
      <c r="AY327" s="7" t="str">
        <f>VLOOKUP(AO327,Mapping!$E$11:$I$96,5,0)</f>
        <v>SCS</v>
      </c>
    </row>
    <row r="328" spans="1:51" x14ac:dyDescent="0.2">
      <c r="A328" s="7"/>
      <c r="B328" s="7"/>
      <c r="C328" s="7"/>
      <c r="D328" s="7"/>
      <c r="E328" s="36">
        <v>109</v>
      </c>
      <c r="F328" s="36" t="s">
        <v>2124</v>
      </c>
      <c r="G328" s="36">
        <v>531467</v>
      </c>
      <c r="H328" s="36" t="s">
        <v>259</v>
      </c>
      <c r="I328" s="37">
        <v>17.684249999999999</v>
      </c>
      <c r="J328" s="7"/>
      <c r="K328" s="7" t="str">
        <f>VLOOKUP($E328,Mapping!$E$11:$I$96,3,0)</f>
        <v>Connections</v>
      </c>
      <c r="L328" s="7" t="str">
        <f>VLOOKUP($G328,Mapping!$E$140:$K$2771,5,0)</f>
        <v>Contracts</v>
      </c>
      <c r="M328" s="7" t="str">
        <f>VLOOKUP($G328,Mapping!$E$140:$K$2771,7,0)</f>
        <v>ENDirect</v>
      </c>
      <c r="N328" s="7" t="str">
        <f>IFERROR(HLOOKUP(L328,'Calc|Weightings'!$K$5:$M$5,1,0),"Excl")</f>
        <v>Contracts</v>
      </c>
      <c r="O328" s="7" t="str">
        <f>VLOOKUP(E328,Mapping!$E$11:$I$96,5,0)</f>
        <v>SCS</v>
      </c>
      <c r="Q328" s="33">
        <v>109</v>
      </c>
      <c r="R328" s="33" t="s">
        <v>2124</v>
      </c>
      <c r="S328" s="33">
        <v>639000</v>
      </c>
      <c r="T328" s="33" t="s">
        <v>2112</v>
      </c>
      <c r="U328" s="34">
        <v>227.6045</v>
      </c>
      <c r="V328" s="7"/>
      <c r="W328" s="7" t="str">
        <f>VLOOKUP($Q328,Mapping!$E$11:$I$96,3,0)</f>
        <v>Connections</v>
      </c>
      <c r="X328" s="7" t="str">
        <f>VLOOKUP($S328,Mapping!$E$140:$K$2771,5,0)</f>
        <v>PNS Corporate OH</v>
      </c>
      <c r="Y328" s="7" t="str">
        <f>VLOOKUP($S328,Mapping!$E$140:$K$2771,7,0)</f>
        <v>OH</v>
      </c>
      <c r="Z328" s="7" t="str">
        <f>IFERROR(HLOOKUP(X328,'Calc|Weightings'!$K$5:$M$5,1,0),"Excl")</f>
        <v>Excl</v>
      </c>
      <c r="AA328" s="7" t="str">
        <f>VLOOKUP(Q328,Mapping!$E$11:$I$96,5,0)</f>
        <v>SCS</v>
      </c>
      <c r="AC328" s="111">
        <v>109</v>
      </c>
      <c r="AD328" s="111" t="s">
        <v>2124</v>
      </c>
      <c r="AE328" s="111">
        <v>613460</v>
      </c>
      <c r="AF328" s="111" t="s">
        <v>2167</v>
      </c>
      <c r="AG328" s="112">
        <v>4.4185600000000003</v>
      </c>
      <c r="AI328" s="7" t="str">
        <f>VLOOKUP($AC328,Mapping!$E$11:$I$96,3,0)</f>
        <v>Connections</v>
      </c>
      <c r="AJ328" s="7" t="str">
        <f>VLOOKUP($AE328,Mapping!$E$140:$K$2771,5,0)</f>
        <v>Labour</v>
      </c>
      <c r="AK328" s="7" t="str">
        <f>VLOOKUP($AE328,Mapping!$E$140:$K$2771,7,0)</f>
        <v>ENDirect</v>
      </c>
      <c r="AL328" s="7" t="str">
        <f>IFERROR(HLOOKUP(AJ328,'Calc|Weightings'!$K$5:$M$5,1,0),"Excl")</f>
        <v>Labour</v>
      </c>
      <c r="AM328" s="7" t="str">
        <f>VLOOKUP(AC328,Mapping!$E$11:$I$96,5,0)</f>
        <v>SCS</v>
      </c>
      <c r="AO328" s="134">
        <v>111</v>
      </c>
      <c r="AP328" s="135" t="s">
        <v>2126</v>
      </c>
      <c r="AQ328" s="135">
        <v>523300</v>
      </c>
      <c r="AR328" s="135" t="s">
        <v>2075</v>
      </c>
      <c r="AS328" s="136">
        <v>1.5460799999999999</v>
      </c>
      <c r="AU328" s="7" t="str">
        <f>VLOOKUP($AO328,Mapping!$E$11:$I$96,3,0)</f>
        <v>Connections</v>
      </c>
      <c r="AV328" s="7" t="str">
        <f>VLOOKUP($AQ328,Mapping!$E$140:$K$2771,5,0)</f>
        <v>Materials</v>
      </c>
      <c r="AW328" s="7" t="str">
        <f>VLOOKUP($AQ328,Mapping!$E$140:$K$2771,7,0)</f>
        <v>ENDirect</v>
      </c>
      <c r="AX328" s="7" t="str">
        <f>IFERROR(HLOOKUP(AV328,'Calc|Weightings'!$K$5:$M$5,1,0),"Excl")</f>
        <v>Materials</v>
      </c>
      <c r="AY328" s="7" t="str">
        <f>VLOOKUP(AO328,Mapping!$E$11:$I$96,5,0)</f>
        <v>SCS</v>
      </c>
    </row>
    <row r="329" spans="1:51" x14ac:dyDescent="0.2">
      <c r="A329" s="7"/>
      <c r="B329" s="7"/>
      <c r="C329" s="7"/>
      <c r="D329" s="7"/>
      <c r="E329" s="36">
        <v>109</v>
      </c>
      <c r="F329" s="36" t="s">
        <v>2124</v>
      </c>
      <c r="G329" s="36">
        <v>531475</v>
      </c>
      <c r="H329" s="36" t="s">
        <v>2355</v>
      </c>
      <c r="I329" s="37">
        <v>0.94850000000000001</v>
      </c>
      <c r="J329" s="7"/>
      <c r="K329" s="7" t="str">
        <f>VLOOKUP($E329,Mapping!$E$11:$I$96,3,0)</f>
        <v>Connections</v>
      </c>
      <c r="L329" s="7" t="str">
        <f>VLOOKUP($G329,Mapping!$E$140:$K$2771,5,0)</f>
        <v>Contracts</v>
      </c>
      <c r="M329" s="7" t="str">
        <f>VLOOKUP($G329,Mapping!$E$140:$K$2771,7,0)</f>
        <v>ENDirect</v>
      </c>
      <c r="N329" s="7" t="str">
        <f>IFERROR(HLOOKUP(L329,'Calc|Weightings'!$K$5:$M$5,1,0),"Excl")</f>
        <v>Contracts</v>
      </c>
      <c r="O329" s="7" t="str">
        <f>VLOOKUP(E329,Mapping!$E$11:$I$96,5,0)</f>
        <v>SCS</v>
      </c>
      <c r="Q329" s="33">
        <v>109</v>
      </c>
      <c r="R329" s="33" t="s">
        <v>2124</v>
      </c>
      <c r="S329" s="33">
        <v>639050</v>
      </c>
      <c r="T329" s="33" t="s">
        <v>2113</v>
      </c>
      <c r="U329" s="34">
        <v>41.774000000000001</v>
      </c>
      <c r="V329" s="7"/>
      <c r="W329" s="7" t="str">
        <f>VLOOKUP($Q329,Mapping!$E$11:$I$96,3,0)</f>
        <v>Connections</v>
      </c>
      <c r="X329" s="7" t="str">
        <f>VLOOKUP($S329,Mapping!$E$140:$K$2771,5,0)</f>
        <v>PNS Fleet &amp; Property OH</v>
      </c>
      <c r="Y329" s="7" t="str">
        <f>VLOOKUP($S329,Mapping!$E$140:$K$2771,7,0)</f>
        <v>OH</v>
      </c>
      <c r="Z329" s="7" t="str">
        <f>IFERROR(HLOOKUP(X329,'Calc|Weightings'!$K$5:$M$5,1,0),"Excl")</f>
        <v>Excl</v>
      </c>
      <c r="AA329" s="7" t="str">
        <f>VLOOKUP(Q329,Mapping!$E$11:$I$96,5,0)</f>
        <v>SCS</v>
      </c>
      <c r="AC329" s="111">
        <v>109</v>
      </c>
      <c r="AD329" s="111" t="s">
        <v>2124</v>
      </c>
      <c r="AE329" s="111">
        <v>613566</v>
      </c>
      <c r="AF329" s="111" t="s">
        <v>1482</v>
      </c>
      <c r="AG329" s="112">
        <v>5.7321</v>
      </c>
      <c r="AI329" s="7" t="str">
        <f>VLOOKUP($AC329,Mapping!$E$11:$I$96,3,0)</f>
        <v>Connections</v>
      </c>
      <c r="AJ329" s="7" t="str">
        <f>VLOOKUP($AE329,Mapping!$E$140:$K$2771,5,0)</f>
        <v>Labour</v>
      </c>
      <c r="AK329" s="7" t="str">
        <f>VLOOKUP($AE329,Mapping!$E$140:$K$2771,7,0)</f>
        <v>ENDirect</v>
      </c>
      <c r="AL329" s="7" t="str">
        <f>IFERROR(HLOOKUP(AJ329,'Calc|Weightings'!$K$5:$M$5,1,0),"Excl")</f>
        <v>Labour</v>
      </c>
      <c r="AM329" s="7" t="str">
        <f>VLOOKUP(AC329,Mapping!$E$11:$I$96,5,0)</f>
        <v>SCS</v>
      </c>
      <c r="AO329" s="134">
        <v>111</v>
      </c>
      <c r="AP329" s="135" t="s">
        <v>2126</v>
      </c>
      <c r="AQ329" s="135">
        <v>525000</v>
      </c>
      <c r="AR329" s="135" t="s">
        <v>2183</v>
      </c>
      <c r="AS329" s="136">
        <v>0.18825</v>
      </c>
      <c r="AU329" s="7" t="str">
        <f>VLOOKUP($AO329,Mapping!$E$11:$I$96,3,0)</f>
        <v>Connections</v>
      </c>
      <c r="AV329" s="7" t="str">
        <f>VLOOKUP($AQ329,Mapping!$E$140:$K$2771,5,0)</f>
        <v>Materials</v>
      </c>
      <c r="AW329" s="7" t="str">
        <f>VLOOKUP($AQ329,Mapping!$E$140:$K$2771,7,0)</f>
        <v>ENDirect</v>
      </c>
      <c r="AX329" s="7" t="str">
        <f>IFERROR(HLOOKUP(AV329,'Calc|Weightings'!$K$5:$M$5,1,0),"Excl")</f>
        <v>Materials</v>
      </c>
      <c r="AY329" s="7" t="str">
        <f>VLOOKUP(AO329,Mapping!$E$11:$I$96,5,0)</f>
        <v>SCS</v>
      </c>
    </row>
    <row r="330" spans="1:51" x14ac:dyDescent="0.2">
      <c r="A330" s="7"/>
      <c r="B330" s="7"/>
      <c r="C330" s="7"/>
      <c r="D330" s="7"/>
      <c r="E330" s="36">
        <v>109</v>
      </c>
      <c r="F330" s="36" t="s">
        <v>2124</v>
      </c>
      <c r="G330" s="36">
        <v>531485</v>
      </c>
      <c r="H330" s="36" t="s">
        <v>2350</v>
      </c>
      <c r="I330" s="37">
        <v>-1.843</v>
      </c>
      <c r="J330" s="7"/>
      <c r="K330" s="7" t="str">
        <f>VLOOKUP($E330,Mapping!$E$11:$I$96,3,0)</f>
        <v>Connections</v>
      </c>
      <c r="L330" s="7" t="str">
        <f>VLOOKUP($G330,Mapping!$E$140:$K$2771,5,0)</f>
        <v>Contracts</v>
      </c>
      <c r="M330" s="7" t="str">
        <f>VLOOKUP($G330,Mapping!$E$140:$K$2771,7,0)</f>
        <v>ENDirect</v>
      </c>
      <c r="N330" s="7" t="str">
        <f>IFERROR(HLOOKUP(L330,'Calc|Weightings'!$K$5:$M$5,1,0),"Excl")</f>
        <v>Contracts</v>
      </c>
      <c r="O330" s="7" t="str">
        <f>VLOOKUP(E330,Mapping!$E$11:$I$96,5,0)</f>
        <v>SCS</v>
      </c>
      <c r="Q330" s="33">
        <v>111</v>
      </c>
      <c r="R330" s="33" t="s">
        <v>2126</v>
      </c>
      <c r="S330" s="33">
        <v>503201</v>
      </c>
      <c r="T330" s="33" t="s">
        <v>165</v>
      </c>
      <c r="U330" s="34">
        <v>3.306</v>
      </c>
      <c r="V330" s="7"/>
      <c r="W330" s="7" t="str">
        <f>VLOOKUP($Q330,Mapping!$E$11:$I$96,3,0)</f>
        <v>Connections</v>
      </c>
      <c r="X330" s="7" t="str">
        <f>VLOOKUP($S330,Mapping!$E$140:$K$2771,5,0)</f>
        <v>Labour</v>
      </c>
      <c r="Y330" s="7" t="str">
        <f>VLOOKUP($S330,Mapping!$E$140:$K$2771,7,0)</f>
        <v>ENDirect</v>
      </c>
      <c r="Z330" s="7" t="str">
        <f>IFERROR(HLOOKUP(X330,'Calc|Weightings'!$K$5:$M$5,1,0),"Excl")</f>
        <v>Labour</v>
      </c>
      <c r="AA330" s="7" t="str">
        <f>VLOOKUP(Q330,Mapping!$E$11:$I$96,5,0)</f>
        <v>SCS</v>
      </c>
      <c r="AC330" s="111">
        <v>109</v>
      </c>
      <c r="AD330" s="111" t="s">
        <v>2124</v>
      </c>
      <c r="AE330" s="111">
        <v>613570</v>
      </c>
      <c r="AF330" s="111" t="s">
        <v>1484</v>
      </c>
      <c r="AG330" s="112">
        <v>1.4595899999999999</v>
      </c>
      <c r="AI330" s="7" t="str">
        <f>VLOOKUP($AC330,Mapping!$E$11:$I$96,3,0)</f>
        <v>Connections</v>
      </c>
      <c r="AJ330" s="7" t="str">
        <f>VLOOKUP($AE330,Mapping!$E$140:$K$2771,5,0)</f>
        <v>Labour</v>
      </c>
      <c r="AK330" s="7" t="str">
        <f>VLOOKUP($AE330,Mapping!$E$140:$K$2771,7,0)</f>
        <v>ENDirect</v>
      </c>
      <c r="AL330" s="7" t="str">
        <f>IFERROR(HLOOKUP(AJ330,'Calc|Weightings'!$K$5:$M$5,1,0),"Excl")</f>
        <v>Labour</v>
      </c>
      <c r="AM330" s="7" t="str">
        <f>VLOOKUP(AC330,Mapping!$E$11:$I$96,5,0)</f>
        <v>SCS</v>
      </c>
      <c r="AO330" s="134">
        <v>111</v>
      </c>
      <c r="AP330" s="135" t="s">
        <v>2126</v>
      </c>
      <c r="AQ330" s="135">
        <v>531000</v>
      </c>
      <c r="AR330" s="135" t="s">
        <v>242</v>
      </c>
      <c r="AS330" s="136">
        <v>7.2814500000000004</v>
      </c>
      <c r="AU330" s="7" t="str">
        <f>VLOOKUP($AO330,Mapping!$E$11:$I$96,3,0)</f>
        <v>Connections</v>
      </c>
      <c r="AV330" s="7" t="str">
        <f>VLOOKUP($AQ330,Mapping!$E$140:$K$2771,5,0)</f>
        <v>Contracts</v>
      </c>
      <c r="AW330" s="7" t="str">
        <f>VLOOKUP($AQ330,Mapping!$E$140:$K$2771,7,0)</f>
        <v>ENDirect</v>
      </c>
      <c r="AX330" s="7" t="str">
        <f>IFERROR(HLOOKUP(AV330,'Calc|Weightings'!$K$5:$M$5,1,0),"Excl")</f>
        <v>Contracts</v>
      </c>
      <c r="AY330" s="7" t="str">
        <f>VLOOKUP(AO330,Mapping!$E$11:$I$96,5,0)</f>
        <v>SCS</v>
      </c>
    </row>
    <row r="331" spans="1:51" x14ac:dyDescent="0.2">
      <c r="A331" s="7"/>
      <c r="B331" s="7"/>
      <c r="C331" s="7"/>
      <c r="D331" s="7"/>
      <c r="E331" s="36">
        <v>109</v>
      </c>
      <c r="F331" s="36" t="s">
        <v>2124</v>
      </c>
      <c r="G331" s="36">
        <v>531495</v>
      </c>
      <c r="H331" s="36" t="s">
        <v>2353</v>
      </c>
      <c r="I331" s="37">
        <v>6.6633100000000001</v>
      </c>
      <c r="J331" s="7"/>
      <c r="K331" s="7" t="str">
        <f>VLOOKUP($E331,Mapping!$E$11:$I$96,3,0)</f>
        <v>Connections</v>
      </c>
      <c r="L331" s="7" t="str">
        <f>VLOOKUP($G331,Mapping!$E$140:$K$2771,5,0)</f>
        <v>Contracts</v>
      </c>
      <c r="M331" s="7" t="str">
        <f>VLOOKUP($G331,Mapping!$E$140:$K$2771,7,0)</f>
        <v>ENDirect</v>
      </c>
      <c r="N331" s="7" t="str">
        <f>IFERROR(HLOOKUP(L331,'Calc|Weightings'!$K$5:$M$5,1,0),"Excl")</f>
        <v>Contracts</v>
      </c>
      <c r="O331" s="7" t="str">
        <f>VLOOKUP(E331,Mapping!$E$11:$I$96,5,0)</f>
        <v>SCS</v>
      </c>
      <c r="Q331" s="33">
        <v>111</v>
      </c>
      <c r="R331" s="33" t="s">
        <v>2126</v>
      </c>
      <c r="S331" s="33">
        <v>503281</v>
      </c>
      <c r="T331" s="33" t="s">
        <v>174</v>
      </c>
      <c r="U331" s="34">
        <v>0.42657</v>
      </c>
      <c r="V331" s="7"/>
      <c r="W331" s="7" t="str">
        <f>VLOOKUP($Q331,Mapping!$E$11:$I$96,3,0)</f>
        <v>Connections</v>
      </c>
      <c r="X331" s="7" t="str">
        <f>VLOOKUP($S331,Mapping!$E$140:$K$2771,5,0)</f>
        <v>Contracts</v>
      </c>
      <c r="Y331" s="7" t="str">
        <f>VLOOKUP($S331,Mapping!$E$140:$K$2771,7,0)</f>
        <v>ENDirect</v>
      </c>
      <c r="Z331" s="7" t="str">
        <f>IFERROR(HLOOKUP(X331,'Calc|Weightings'!$K$5:$M$5,1,0),"Excl")</f>
        <v>Contracts</v>
      </c>
      <c r="AA331" s="7" t="str">
        <f>VLOOKUP(Q331,Mapping!$E$11:$I$96,5,0)</f>
        <v>SCS</v>
      </c>
      <c r="AC331" s="111">
        <v>109</v>
      </c>
      <c r="AD331" s="111" t="s">
        <v>2124</v>
      </c>
      <c r="AE331" s="111">
        <v>613574</v>
      </c>
      <c r="AF331" s="111" t="s">
        <v>1488</v>
      </c>
      <c r="AG331" s="112">
        <v>4.3662999999999998</v>
      </c>
      <c r="AI331" s="7" t="str">
        <f>VLOOKUP($AC331,Mapping!$E$11:$I$96,3,0)</f>
        <v>Connections</v>
      </c>
      <c r="AJ331" s="7" t="str">
        <f>VLOOKUP($AE331,Mapping!$E$140:$K$2771,5,0)</f>
        <v>Labour</v>
      </c>
      <c r="AK331" s="7" t="str">
        <f>VLOOKUP($AE331,Mapping!$E$140:$K$2771,7,0)</f>
        <v>ENDirect</v>
      </c>
      <c r="AL331" s="7" t="str">
        <f>IFERROR(HLOOKUP(AJ331,'Calc|Weightings'!$K$5:$M$5,1,0),"Excl")</f>
        <v>Labour</v>
      </c>
      <c r="AM331" s="7" t="str">
        <f>VLOOKUP(AC331,Mapping!$E$11:$I$96,5,0)</f>
        <v>SCS</v>
      </c>
      <c r="AO331" s="134">
        <v>111</v>
      </c>
      <c r="AP331" s="135" t="s">
        <v>2126</v>
      </c>
      <c r="AQ331" s="135">
        <v>531020</v>
      </c>
      <c r="AR331" s="135" t="s">
        <v>219</v>
      </c>
      <c r="AS331" s="136">
        <v>42.299709999999997</v>
      </c>
      <c r="AU331" s="7" t="str">
        <f>VLOOKUP($AO331,Mapping!$E$11:$I$96,3,0)</f>
        <v>Connections</v>
      </c>
      <c r="AV331" s="7" t="str">
        <f>VLOOKUP($AQ331,Mapping!$E$140:$K$2771,5,0)</f>
        <v>Labour</v>
      </c>
      <c r="AW331" s="7" t="str">
        <f>VLOOKUP($AQ331,Mapping!$E$140:$K$2771,7,0)</f>
        <v>ENDirect</v>
      </c>
      <c r="AX331" s="7" t="str">
        <f>IFERROR(HLOOKUP(AV331,'Calc|Weightings'!$K$5:$M$5,1,0),"Excl")</f>
        <v>Labour</v>
      </c>
      <c r="AY331" s="7" t="str">
        <f>VLOOKUP(AO331,Mapping!$E$11:$I$96,5,0)</f>
        <v>SCS</v>
      </c>
    </row>
    <row r="332" spans="1:51" x14ac:dyDescent="0.2">
      <c r="A332" s="7"/>
      <c r="B332" s="7"/>
      <c r="C332" s="7"/>
      <c r="D332" s="7"/>
      <c r="E332" s="36">
        <v>109</v>
      </c>
      <c r="F332" s="36" t="s">
        <v>2124</v>
      </c>
      <c r="G332" s="36">
        <v>591997</v>
      </c>
      <c r="H332" s="36" t="s">
        <v>2194</v>
      </c>
      <c r="I332" s="37">
        <v>-21.144939999999998</v>
      </c>
      <c r="J332" s="7"/>
      <c r="K332" s="7" t="str">
        <f>VLOOKUP($E332,Mapping!$E$11:$I$96,3,0)</f>
        <v>Connections</v>
      </c>
      <c r="L332" s="7" t="str">
        <f>VLOOKUP($G332,Mapping!$E$140:$K$2771,5,0)</f>
        <v>Contracts</v>
      </c>
      <c r="M332" s="7" t="str">
        <f>VLOOKUP($G332,Mapping!$E$140:$K$2771,7,0)</f>
        <v>ENDirect</v>
      </c>
      <c r="N332" s="7" t="str">
        <f>IFERROR(HLOOKUP(L332,'Calc|Weightings'!$K$5:$M$5,1,0),"Excl")</f>
        <v>Contracts</v>
      </c>
      <c r="O332" s="7" t="str">
        <f>VLOOKUP(E332,Mapping!$E$11:$I$96,5,0)</f>
        <v>SCS</v>
      </c>
      <c r="Q332" s="33">
        <v>111</v>
      </c>
      <c r="R332" s="33" t="s">
        <v>2126</v>
      </c>
      <c r="S332" s="33">
        <v>520100</v>
      </c>
      <c r="T332" s="33" t="s">
        <v>2072</v>
      </c>
      <c r="U332" s="34">
        <v>5180.2575900000002</v>
      </c>
      <c r="V332" s="7"/>
      <c r="W332" s="7" t="str">
        <f>VLOOKUP($Q332,Mapping!$E$11:$I$96,3,0)</f>
        <v>Connections</v>
      </c>
      <c r="X332" s="7" t="str">
        <f>VLOOKUP($S332,Mapping!$E$140:$K$2771,5,0)</f>
        <v>Materials</v>
      </c>
      <c r="Y332" s="7" t="str">
        <f>VLOOKUP($S332,Mapping!$E$140:$K$2771,7,0)</f>
        <v>ENDirect</v>
      </c>
      <c r="Z332" s="7" t="str">
        <f>IFERROR(HLOOKUP(X332,'Calc|Weightings'!$K$5:$M$5,1,0),"Excl")</f>
        <v>Materials</v>
      </c>
      <c r="AA332" s="7" t="str">
        <f>VLOOKUP(Q332,Mapping!$E$11:$I$96,5,0)</f>
        <v>SCS</v>
      </c>
      <c r="AC332" s="111">
        <v>109</v>
      </c>
      <c r="AD332" s="111" t="s">
        <v>2124</v>
      </c>
      <c r="AE332" s="111">
        <v>613576</v>
      </c>
      <c r="AF332" s="111" t="s">
        <v>1490</v>
      </c>
      <c r="AG332" s="112">
        <v>2.89968</v>
      </c>
      <c r="AI332" s="7" t="str">
        <f>VLOOKUP($AC332,Mapping!$E$11:$I$96,3,0)</f>
        <v>Connections</v>
      </c>
      <c r="AJ332" s="7" t="str">
        <f>VLOOKUP($AE332,Mapping!$E$140:$K$2771,5,0)</f>
        <v>Labour</v>
      </c>
      <c r="AK332" s="7" t="str">
        <f>VLOOKUP($AE332,Mapping!$E$140:$K$2771,7,0)</f>
        <v>ENDirect</v>
      </c>
      <c r="AL332" s="7" t="str">
        <f>IFERROR(HLOOKUP(AJ332,'Calc|Weightings'!$K$5:$M$5,1,0),"Excl")</f>
        <v>Labour</v>
      </c>
      <c r="AM332" s="7" t="str">
        <f>VLOOKUP(AC332,Mapping!$E$11:$I$96,5,0)</f>
        <v>SCS</v>
      </c>
      <c r="AO332" s="134">
        <v>111</v>
      </c>
      <c r="AP332" s="135" t="s">
        <v>2126</v>
      </c>
      <c r="AQ332" s="135">
        <v>531200</v>
      </c>
      <c r="AR332" s="135" t="s">
        <v>250</v>
      </c>
      <c r="AS332" s="136">
        <v>464.41523999999998</v>
      </c>
      <c r="AU332" s="7" t="str">
        <f>VLOOKUP($AO332,Mapping!$E$11:$I$96,3,0)</f>
        <v>Connections</v>
      </c>
      <c r="AV332" s="7" t="str">
        <f>VLOOKUP($AQ332,Mapping!$E$140:$K$2771,5,0)</f>
        <v>Contracts</v>
      </c>
      <c r="AW332" s="7" t="str">
        <f>VLOOKUP($AQ332,Mapping!$E$140:$K$2771,7,0)</f>
        <v>ENDirect</v>
      </c>
      <c r="AX332" s="7" t="str">
        <f>IFERROR(HLOOKUP(AV332,'Calc|Weightings'!$K$5:$M$5,1,0),"Excl")</f>
        <v>Contracts</v>
      </c>
      <c r="AY332" s="7" t="str">
        <f>VLOOKUP(AO332,Mapping!$E$11:$I$96,5,0)</f>
        <v>SCS</v>
      </c>
    </row>
    <row r="333" spans="1:51" x14ac:dyDescent="0.2">
      <c r="A333" s="7"/>
      <c r="B333" s="7"/>
      <c r="C333" s="7"/>
      <c r="D333" s="7"/>
      <c r="E333" s="36">
        <v>109</v>
      </c>
      <c r="F333" s="36" t="s">
        <v>2124</v>
      </c>
      <c r="G333" s="36">
        <v>591998</v>
      </c>
      <c r="H333" s="36" t="s">
        <v>2077</v>
      </c>
      <c r="I333" s="37">
        <v>-3.4957199999999999</v>
      </c>
      <c r="J333" s="7"/>
      <c r="K333" s="7" t="str">
        <f>VLOOKUP($E333,Mapping!$E$11:$I$96,3,0)</f>
        <v>Connections</v>
      </c>
      <c r="L333" s="7" t="str">
        <f>VLOOKUP($G333,Mapping!$E$140:$K$2771,5,0)</f>
        <v>Contracts</v>
      </c>
      <c r="M333" s="7" t="str">
        <f>VLOOKUP($G333,Mapping!$E$140:$K$2771,7,0)</f>
        <v>ENDirect</v>
      </c>
      <c r="N333" s="7" t="str">
        <f>IFERROR(HLOOKUP(L333,'Calc|Weightings'!$K$5:$M$5,1,0),"Excl")</f>
        <v>Contracts</v>
      </c>
      <c r="O333" s="7" t="str">
        <f>VLOOKUP(E333,Mapping!$E$11:$I$96,5,0)</f>
        <v>SCS</v>
      </c>
      <c r="Q333" s="33">
        <v>111</v>
      </c>
      <c r="R333" s="33" t="s">
        <v>2126</v>
      </c>
      <c r="S333" s="33">
        <v>520150</v>
      </c>
      <c r="T333" s="33" t="s">
        <v>2205</v>
      </c>
      <c r="U333" s="34">
        <v>0.16203999999999999</v>
      </c>
      <c r="V333" s="7"/>
      <c r="W333" s="7" t="str">
        <f>VLOOKUP($Q333,Mapping!$E$11:$I$96,3,0)</f>
        <v>Connections</v>
      </c>
      <c r="X333" s="7" t="str">
        <f>VLOOKUP($S333,Mapping!$E$140:$K$2771,5,0)</f>
        <v>Materials</v>
      </c>
      <c r="Y333" s="7" t="str">
        <f>VLOOKUP($S333,Mapping!$E$140:$K$2771,7,0)</f>
        <v>ENDirect</v>
      </c>
      <c r="Z333" s="7" t="str">
        <f>IFERROR(HLOOKUP(X333,'Calc|Weightings'!$K$5:$M$5,1,0),"Excl")</f>
        <v>Materials</v>
      </c>
      <c r="AA333" s="7" t="str">
        <f>VLOOKUP(Q333,Mapping!$E$11:$I$96,5,0)</f>
        <v>SCS</v>
      </c>
      <c r="AC333" s="111">
        <v>109</v>
      </c>
      <c r="AD333" s="111" t="s">
        <v>2124</v>
      </c>
      <c r="AE333" s="111">
        <v>613602</v>
      </c>
      <c r="AF333" s="111" t="s">
        <v>1494</v>
      </c>
      <c r="AG333" s="112">
        <v>0.55232000000000003</v>
      </c>
      <c r="AI333" s="7" t="str">
        <f>VLOOKUP($AC333,Mapping!$E$11:$I$96,3,0)</f>
        <v>Connections</v>
      </c>
      <c r="AJ333" s="7" t="str">
        <f>VLOOKUP($AE333,Mapping!$E$140:$K$2771,5,0)</f>
        <v>Labour</v>
      </c>
      <c r="AK333" s="7" t="str">
        <f>VLOOKUP($AE333,Mapping!$E$140:$K$2771,7,0)</f>
        <v>ENDirect</v>
      </c>
      <c r="AL333" s="7" t="str">
        <f>IFERROR(HLOOKUP(AJ333,'Calc|Weightings'!$K$5:$M$5,1,0),"Excl")</f>
        <v>Labour</v>
      </c>
      <c r="AM333" s="7" t="str">
        <f>VLOOKUP(AC333,Mapping!$E$11:$I$96,5,0)</f>
        <v>SCS</v>
      </c>
      <c r="AO333" s="134">
        <v>111</v>
      </c>
      <c r="AP333" s="135" t="s">
        <v>2126</v>
      </c>
      <c r="AQ333" s="135">
        <v>531201</v>
      </c>
      <c r="AR333" s="135" t="s">
        <v>251</v>
      </c>
      <c r="AS333" s="136">
        <v>148.87630999999999</v>
      </c>
      <c r="AU333" s="7" t="str">
        <f>VLOOKUP($AO333,Mapping!$E$11:$I$96,3,0)</f>
        <v>Connections</v>
      </c>
      <c r="AV333" s="7" t="str">
        <f>VLOOKUP($AQ333,Mapping!$E$140:$K$2771,5,0)</f>
        <v>Contracts</v>
      </c>
      <c r="AW333" s="7" t="str">
        <f>VLOOKUP($AQ333,Mapping!$E$140:$K$2771,7,0)</f>
        <v>ENDirect</v>
      </c>
      <c r="AX333" s="7" t="str">
        <f>IFERROR(HLOOKUP(AV333,'Calc|Weightings'!$K$5:$M$5,1,0),"Excl")</f>
        <v>Contracts</v>
      </c>
      <c r="AY333" s="7" t="str">
        <f>VLOOKUP(AO333,Mapping!$E$11:$I$96,5,0)</f>
        <v>SCS</v>
      </c>
    </row>
    <row r="334" spans="1:51" x14ac:dyDescent="0.2">
      <c r="A334" s="7"/>
      <c r="B334" s="7"/>
      <c r="C334" s="7"/>
      <c r="D334" s="7"/>
      <c r="E334" s="36">
        <v>109</v>
      </c>
      <c r="F334" s="36" t="s">
        <v>2124</v>
      </c>
      <c r="G334" s="36">
        <v>591999</v>
      </c>
      <c r="H334" s="36" t="s">
        <v>2195</v>
      </c>
      <c r="I334" s="37">
        <v>-99.176090000000002</v>
      </c>
      <c r="J334" s="7"/>
      <c r="K334" s="7" t="str">
        <f>VLOOKUP($E334,Mapping!$E$11:$I$96,3,0)</f>
        <v>Connections</v>
      </c>
      <c r="L334" s="7" t="str">
        <f>VLOOKUP($G334,Mapping!$E$140:$K$2771,5,0)</f>
        <v>Contracts</v>
      </c>
      <c r="M334" s="7" t="str">
        <f>VLOOKUP($G334,Mapping!$E$140:$K$2771,7,0)</f>
        <v>ENDirect</v>
      </c>
      <c r="N334" s="7" t="str">
        <f>IFERROR(HLOOKUP(L334,'Calc|Weightings'!$K$5:$M$5,1,0),"Excl")</f>
        <v>Contracts</v>
      </c>
      <c r="O334" s="7" t="str">
        <f>VLOOKUP(E334,Mapping!$E$11:$I$96,5,0)</f>
        <v>SCS</v>
      </c>
      <c r="Q334" s="33">
        <v>111</v>
      </c>
      <c r="R334" s="33" t="s">
        <v>2126</v>
      </c>
      <c r="S334" s="33">
        <v>520200</v>
      </c>
      <c r="T334" s="33" t="s">
        <v>2073</v>
      </c>
      <c r="U334" s="34">
        <v>46.484900000000003</v>
      </c>
      <c r="V334" s="7"/>
      <c r="W334" s="7" t="str">
        <f>VLOOKUP($Q334,Mapping!$E$11:$I$96,3,0)</f>
        <v>Connections</v>
      </c>
      <c r="X334" s="7" t="str">
        <f>VLOOKUP($S334,Mapping!$E$140:$K$2771,5,0)</f>
        <v>Materials</v>
      </c>
      <c r="Y334" s="7" t="str">
        <f>VLOOKUP($S334,Mapping!$E$140:$K$2771,7,0)</f>
        <v>ENDirect</v>
      </c>
      <c r="Z334" s="7" t="str">
        <f>IFERROR(HLOOKUP(X334,'Calc|Weightings'!$K$5:$M$5,1,0),"Excl")</f>
        <v>Materials</v>
      </c>
      <c r="AA334" s="7" t="str">
        <f>VLOOKUP(Q334,Mapping!$E$11:$I$96,5,0)</f>
        <v>SCS</v>
      </c>
      <c r="AC334" s="111">
        <v>109</v>
      </c>
      <c r="AD334" s="111" t="s">
        <v>2124</v>
      </c>
      <c r="AE334" s="111">
        <v>613630</v>
      </c>
      <c r="AF334" s="111" t="s">
        <v>1498</v>
      </c>
      <c r="AG334" s="112">
        <v>1.48672</v>
      </c>
      <c r="AI334" s="7" t="str">
        <f>VLOOKUP($AC334,Mapping!$E$11:$I$96,3,0)</f>
        <v>Connections</v>
      </c>
      <c r="AJ334" s="7" t="str">
        <f>VLOOKUP($AE334,Mapping!$E$140:$K$2771,5,0)</f>
        <v>Labour</v>
      </c>
      <c r="AK334" s="7" t="str">
        <f>VLOOKUP($AE334,Mapping!$E$140:$K$2771,7,0)</f>
        <v>ENDirect</v>
      </c>
      <c r="AL334" s="7" t="str">
        <f>IFERROR(HLOOKUP(AJ334,'Calc|Weightings'!$K$5:$M$5,1,0),"Excl")</f>
        <v>Labour</v>
      </c>
      <c r="AM334" s="7" t="str">
        <f>VLOOKUP(AC334,Mapping!$E$11:$I$96,5,0)</f>
        <v>SCS</v>
      </c>
      <c r="AO334" s="134">
        <v>111</v>
      </c>
      <c r="AP334" s="135" t="s">
        <v>2126</v>
      </c>
      <c r="AQ334" s="135">
        <v>531210</v>
      </c>
      <c r="AR334" s="135" t="s">
        <v>252</v>
      </c>
      <c r="AS334" s="136">
        <v>20.443760000000001</v>
      </c>
      <c r="AU334" s="7" t="str">
        <f>VLOOKUP($AO334,Mapping!$E$11:$I$96,3,0)</f>
        <v>Connections</v>
      </c>
      <c r="AV334" s="7" t="str">
        <f>VLOOKUP($AQ334,Mapping!$E$140:$K$2771,5,0)</f>
        <v>Labour</v>
      </c>
      <c r="AW334" s="7" t="str">
        <f>VLOOKUP($AQ334,Mapping!$E$140:$K$2771,7,0)</f>
        <v>ENDirect</v>
      </c>
      <c r="AX334" s="7" t="str">
        <f>IFERROR(HLOOKUP(AV334,'Calc|Weightings'!$K$5:$M$5,1,0),"Excl")</f>
        <v>Labour</v>
      </c>
      <c r="AY334" s="7" t="str">
        <f>VLOOKUP(AO334,Mapping!$E$11:$I$96,5,0)</f>
        <v>SCS</v>
      </c>
    </row>
    <row r="335" spans="1:51" x14ac:dyDescent="0.2">
      <c r="A335" s="7"/>
      <c r="B335" s="7"/>
      <c r="C335" s="7"/>
      <c r="D335" s="7"/>
      <c r="E335" s="36">
        <v>109</v>
      </c>
      <c r="F335" s="36" t="s">
        <v>2124</v>
      </c>
      <c r="G335" s="36">
        <v>611900</v>
      </c>
      <c r="H335" s="36" t="s">
        <v>2079</v>
      </c>
      <c r="I335" s="37">
        <v>9.3420000000000003E-2</v>
      </c>
      <c r="J335" s="7"/>
      <c r="K335" s="7" t="str">
        <f>VLOOKUP($E335,Mapping!$E$11:$I$96,3,0)</f>
        <v>Connections</v>
      </c>
      <c r="L335" s="7" t="str">
        <f>VLOOKUP($G335,Mapping!$E$140:$K$2771,5,0)</f>
        <v>Contracts</v>
      </c>
      <c r="M335" s="7" t="str">
        <f>VLOOKUP($G335,Mapping!$E$140:$K$2771,7,0)</f>
        <v>ENDirect</v>
      </c>
      <c r="N335" s="7" t="str">
        <f>IFERROR(HLOOKUP(L335,'Calc|Weightings'!$K$5:$M$5,1,0),"Excl")</f>
        <v>Contracts</v>
      </c>
      <c r="O335" s="7" t="str">
        <f>VLOOKUP(E335,Mapping!$E$11:$I$96,5,0)</f>
        <v>SCS</v>
      </c>
      <c r="Q335" s="33">
        <v>111</v>
      </c>
      <c r="R335" s="33" t="s">
        <v>2126</v>
      </c>
      <c r="S335" s="33">
        <v>523100</v>
      </c>
      <c r="T335" s="33" t="s">
        <v>2074</v>
      </c>
      <c r="U335" s="34">
        <v>49.336060000000003</v>
      </c>
      <c r="V335" s="7"/>
      <c r="W335" s="7" t="str">
        <f>VLOOKUP($Q335,Mapping!$E$11:$I$96,3,0)</f>
        <v>Connections</v>
      </c>
      <c r="X335" s="7" t="str">
        <f>VLOOKUP($S335,Mapping!$E$140:$K$2771,5,0)</f>
        <v>Materials</v>
      </c>
      <c r="Y335" s="7" t="str">
        <f>VLOOKUP($S335,Mapping!$E$140:$K$2771,7,0)</f>
        <v>ENDirect</v>
      </c>
      <c r="Z335" s="7" t="str">
        <f>IFERROR(HLOOKUP(X335,'Calc|Weightings'!$K$5:$M$5,1,0),"Excl")</f>
        <v>Materials</v>
      </c>
      <c r="AA335" s="7" t="str">
        <f>VLOOKUP(Q335,Mapping!$E$11:$I$96,5,0)</f>
        <v>SCS</v>
      </c>
      <c r="AC335" s="111">
        <v>109</v>
      </c>
      <c r="AD335" s="111" t="s">
        <v>2124</v>
      </c>
      <c r="AE335" s="111">
        <v>613680</v>
      </c>
      <c r="AF335" s="111" t="s">
        <v>2107</v>
      </c>
      <c r="AG335" s="112">
        <v>10.854480000000001</v>
      </c>
      <c r="AI335" s="7" t="str">
        <f>VLOOKUP($AC335,Mapping!$E$11:$I$96,3,0)</f>
        <v>Connections</v>
      </c>
      <c r="AJ335" s="7" t="str">
        <f>VLOOKUP($AE335,Mapping!$E$140:$K$2771,5,0)</f>
        <v>Labour</v>
      </c>
      <c r="AK335" s="7" t="str">
        <f>VLOOKUP($AE335,Mapping!$E$140:$K$2771,7,0)</f>
        <v>ENDirect</v>
      </c>
      <c r="AL335" s="7" t="str">
        <f>IFERROR(HLOOKUP(AJ335,'Calc|Weightings'!$K$5:$M$5,1,0),"Excl")</f>
        <v>Labour</v>
      </c>
      <c r="AM335" s="7" t="str">
        <f>VLOOKUP(AC335,Mapping!$E$11:$I$96,5,0)</f>
        <v>SCS</v>
      </c>
      <c r="AO335" s="134">
        <v>111</v>
      </c>
      <c r="AP335" s="135" t="s">
        <v>2126</v>
      </c>
      <c r="AQ335" s="135">
        <v>531464</v>
      </c>
      <c r="AR335" s="135" t="s">
        <v>256</v>
      </c>
      <c r="AS335" s="136">
        <v>5393.2331899999999</v>
      </c>
      <c r="AU335" s="7" t="str">
        <f>VLOOKUP($AO335,Mapping!$E$11:$I$96,3,0)</f>
        <v>Connections</v>
      </c>
      <c r="AV335" s="7" t="str">
        <f>VLOOKUP($AQ335,Mapping!$E$140:$K$2771,5,0)</f>
        <v>Contracts</v>
      </c>
      <c r="AW335" s="7" t="str">
        <f>VLOOKUP($AQ335,Mapping!$E$140:$K$2771,7,0)</f>
        <v>ENDirect</v>
      </c>
      <c r="AX335" s="7" t="str">
        <f>IFERROR(HLOOKUP(AV335,'Calc|Weightings'!$K$5:$M$5,1,0),"Excl")</f>
        <v>Contracts</v>
      </c>
      <c r="AY335" s="7" t="str">
        <f>VLOOKUP(AO335,Mapping!$E$11:$I$96,5,0)</f>
        <v>SCS</v>
      </c>
    </row>
    <row r="336" spans="1:51" x14ac:dyDescent="0.2">
      <c r="A336" s="7"/>
      <c r="B336" s="7"/>
      <c r="C336" s="7"/>
      <c r="D336" s="7"/>
      <c r="E336" s="36">
        <v>109</v>
      </c>
      <c r="F336" s="36" t="s">
        <v>2124</v>
      </c>
      <c r="G336" s="36">
        <v>611901</v>
      </c>
      <c r="H336" s="36" t="s">
        <v>2080</v>
      </c>
      <c r="I336" s="37">
        <v>43.592640000000003</v>
      </c>
      <c r="J336" s="7"/>
      <c r="K336" s="7" t="str">
        <f>VLOOKUP($E336,Mapping!$E$11:$I$96,3,0)</f>
        <v>Connections</v>
      </c>
      <c r="L336" s="7" t="str">
        <f>VLOOKUP($G336,Mapping!$E$140:$K$2771,5,0)</f>
        <v>Contracts</v>
      </c>
      <c r="M336" s="7" t="str">
        <f>VLOOKUP($G336,Mapping!$E$140:$K$2771,7,0)</f>
        <v>ENDirect</v>
      </c>
      <c r="N336" s="7" t="str">
        <f>IFERROR(HLOOKUP(L336,'Calc|Weightings'!$K$5:$M$5,1,0),"Excl")</f>
        <v>Contracts</v>
      </c>
      <c r="O336" s="7" t="str">
        <f>VLOOKUP(E336,Mapping!$E$11:$I$96,5,0)</f>
        <v>SCS</v>
      </c>
      <c r="Q336" s="33">
        <v>111</v>
      </c>
      <c r="R336" s="33" t="s">
        <v>2126</v>
      </c>
      <c r="S336" s="33">
        <v>523300</v>
      </c>
      <c r="T336" s="33" t="s">
        <v>2075</v>
      </c>
      <c r="U336" s="34">
        <v>2.25529</v>
      </c>
      <c r="V336" s="7"/>
      <c r="W336" s="7" t="str">
        <f>VLOOKUP($Q336,Mapping!$E$11:$I$96,3,0)</f>
        <v>Connections</v>
      </c>
      <c r="X336" s="7" t="str">
        <f>VLOOKUP($S336,Mapping!$E$140:$K$2771,5,0)</f>
        <v>Materials</v>
      </c>
      <c r="Y336" s="7" t="str">
        <f>VLOOKUP($S336,Mapping!$E$140:$K$2771,7,0)</f>
        <v>ENDirect</v>
      </c>
      <c r="Z336" s="7" t="str">
        <f>IFERROR(HLOOKUP(X336,'Calc|Weightings'!$K$5:$M$5,1,0),"Excl")</f>
        <v>Materials</v>
      </c>
      <c r="AA336" s="7" t="str">
        <f>VLOOKUP(Q336,Mapping!$E$11:$I$96,5,0)</f>
        <v>SCS</v>
      </c>
      <c r="AC336" s="111">
        <v>109</v>
      </c>
      <c r="AD336" s="111" t="s">
        <v>2124</v>
      </c>
      <c r="AE336" s="111">
        <v>614115</v>
      </c>
      <c r="AF336" s="111" t="s">
        <v>2109</v>
      </c>
      <c r="AG336" s="112">
        <v>259.84913</v>
      </c>
      <c r="AI336" s="7" t="str">
        <f>VLOOKUP($AC336,Mapping!$E$11:$I$96,3,0)</f>
        <v>Connections</v>
      </c>
      <c r="AJ336" s="7" t="str">
        <f>VLOOKUP($AE336,Mapping!$E$140:$K$2771,5,0)</f>
        <v>Labour</v>
      </c>
      <c r="AK336" s="7" t="str">
        <f>VLOOKUP($AE336,Mapping!$E$140:$K$2771,7,0)</f>
        <v>ENDirect</v>
      </c>
      <c r="AL336" s="7" t="str">
        <f>IFERROR(HLOOKUP(AJ336,'Calc|Weightings'!$K$5:$M$5,1,0),"Excl")</f>
        <v>Labour</v>
      </c>
      <c r="AM336" s="7" t="str">
        <f>VLOOKUP(AC336,Mapping!$E$11:$I$96,5,0)</f>
        <v>SCS</v>
      </c>
      <c r="AO336" s="134">
        <v>111</v>
      </c>
      <c r="AP336" s="135" t="s">
        <v>2126</v>
      </c>
      <c r="AQ336" s="135">
        <v>531466</v>
      </c>
      <c r="AR336" s="135" t="s">
        <v>258</v>
      </c>
      <c r="AS336" s="136">
        <v>487.25353000000001</v>
      </c>
      <c r="AU336" s="7" t="str">
        <f>VLOOKUP($AO336,Mapping!$E$11:$I$96,3,0)</f>
        <v>Connections</v>
      </c>
      <c r="AV336" s="7" t="str">
        <f>VLOOKUP($AQ336,Mapping!$E$140:$K$2771,5,0)</f>
        <v>Contracts</v>
      </c>
      <c r="AW336" s="7" t="str">
        <f>VLOOKUP($AQ336,Mapping!$E$140:$K$2771,7,0)</f>
        <v>ENDirect</v>
      </c>
      <c r="AX336" s="7" t="str">
        <f>IFERROR(HLOOKUP(AV336,'Calc|Weightings'!$K$5:$M$5,1,0),"Excl")</f>
        <v>Contracts</v>
      </c>
      <c r="AY336" s="7" t="str">
        <f>VLOOKUP(AO336,Mapping!$E$11:$I$96,5,0)</f>
        <v>SCS</v>
      </c>
    </row>
    <row r="337" spans="1:51" x14ac:dyDescent="0.2">
      <c r="A337" s="7"/>
      <c r="B337" s="7"/>
      <c r="C337" s="7"/>
      <c r="D337" s="7"/>
      <c r="E337" s="36">
        <v>109</v>
      </c>
      <c r="F337" s="36" t="s">
        <v>2124</v>
      </c>
      <c r="G337" s="36">
        <v>611902</v>
      </c>
      <c r="H337" s="36" t="s">
        <v>2081</v>
      </c>
      <c r="I337" s="37">
        <v>4.0641800000000003</v>
      </c>
      <c r="J337" s="7"/>
      <c r="K337" s="7" t="str">
        <f>VLOOKUP($E337,Mapping!$E$11:$I$96,3,0)</f>
        <v>Connections</v>
      </c>
      <c r="L337" s="7" t="str">
        <f>VLOOKUP($G337,Mapping!$E$140:$K$2771,5,0)</f>
        <v>Contracts</v>
      </c>
      <c r="M337" s="7" t="str">
        <f>VLOOKUP($G337,Mapping!$E$140:$K$2771,7,0)</f>
        <v>ENDirect</v>
      </c>
      <c r="N337" s="7" t="str">
        <f>IFERROR(HLOOKUP(L337,'Calc|Weightings'!$K$5:$M$5,1,0),"Excl")</f>
        <v>Contracts</v>
      </c>
      <c r="O337" s="7" t="str">
        <f>VLOOKUP(E337,Mapping!$E$11:$I$96,5,0)</f>
        <v>SCS</v>
      </c>
      <c r="Q337" s="33">
        <v>111</v>
      </c>
      <c r="R337" s="33" t="s">
        <v>2126</v>
      </c>
      <c r="S337" s="33">
        <v>531000</v>
      </c>
      <c r="T337" s="33" t="s">
        <v>242</v>
      </c>
      <c r="U337" s="34">
        <v>0.66452</v>
      </c>
      <c r="V337" s="7"/>
      <c r="W337" s="7" t="str">
        <f>VLOOKUP($Q337,Mapping!$E$11:$I$96,3,0)</f>
        <v>Connections</v>
      </c>
      <c r="X337" s="7" t="str">
        <f>VLOOKUP($S337,Mapping!$E$140:$K$2771,5,0)</f>
        <v>Contracts</v>
      </c>
      <c r="Y337" s="7" t="str">
        <f>VLOOKUP($S337,Mapping!$E$140:$K$2771,7,0)</f>
        <v>ENDirect</v>
      </c>
      <c r="Z337" s="7" t="str">
        <f>IFERROR(HLOOKUP(X337,'Calc|Weightings'!$K$5:$M$5,1,0),"Excl")</f>
        <v>Contracts</v>
      </c>
      <c r="AA337" s="7" t="str">
        <f>VLOOKUP(Q337,Mapping!$E$11:$I$96,5,0)</f>
        <v>SCS</v>
      </c>
      <c r="AC337" s="111">
        <v>109</v>
      </c>
      <c r="AD337" s="111" t="s">
        <v>2124</v>
      </c>
      <c r="AE337" s="111">
        <v>634001</v>
      </c>
      <c r="AF337" s="111" t="s">
        <v>2110</v>
      </c>
      <c r="AG337" s="112">
        <v>416.68239</v>
      </c>
      <c r="AI337" s="7" t="str">
        <f>VLOOKUP($AC337,Mapping!$E$11:$I$96,3,0)</f>
        <v>Connections</v>
      </c>
      <c r="AJ337" s="7" t="str">
        <f>VLOOKUP($AE337,Mapping!$E$140:$K$2771,5,0)</f>
        <v>Local OH</v>
      </c>
      <c r="AK337" s="7" t="str">
        <f>VLOOKUP($AE337,Mapping!$E$140:$K$2771,7,0)</f>
        <v>OH</v>
      </c>
      <c r="AL337" s="7" t="str">
        <f>IFERROR(HLOOKUP(AJ337,'Calc|Weightings'!$K$5:$M$5,1,0),"Excl")</f>
        <v>Excl</v>
      </c>
      <c r="AM337" s="7" t="str">
        <f>VLOOKUP(AC337,Mapping!$E$11:$I$96,5,0)</f>
        <v>SCS</v>
      </c>
      <c r="AO337" s="134">
        <v>111</v>
      </c>
      <c r="AP337" s="135" t="s">
        <v>2126</v>
      </c>
      <c r="AQ337" s="135">
        <v>531467</v>
      </c>
      <c r="AR337" s="135" t="s">
        <v>259</v>
      </c>
      <c r="AS337" s="136">
        <v>1219.3519799999999</v>
      </c>
      <c r="AU337" s="7" t="str">
        <f>VLOOKUP($AO337,Mapping!$E$11:$I$96,3,0)</f>
        <v>Connections</v>
      </c>
      <c r="AV337" s="7" t="str">
        <f>VLOOKUP($AQ337,Mapping!$E$140:$K$2771,5,0)</f>
        <v>Contracts</v>
      </c>
      <c r="AW337" s="7" t="str">
        <f>VLOOKUP($AQ337,Mapping!$E$140:$K$2771,7,0)</f>
        <v>ENDirect</v>
      </c>
      <c r="AX337" s="7" t="str">
        <f>IFERROR(HLOOKUP(AV337,'Calc|Weightings'!$K$5:$M$5,1,0),"Excl")</f>
        <v>Contracts</v>
      </c>
      <c r="AY337" s="7" t="str">
        <f>VLOOKUP(AO337,Mapping!$E$11:$I$96,5,0)</f>
        <v>SCS</v>
      </c>
    </row>
    <row r="338" spans="1:51" x14ac:dyDescent="0.2">
      <c r="A338" s="7"/>
      <c r="B338" s="7"/>
      <c r="C338" s="7"/>
      <c r="D338" s="7"/>
      <c r="E338" s="36">
        <v>109</v>
      </c>
      <c r="F338" s="36" t="s">
        <v>2124</v>
      </c>
      <c r="G338" s="36">
        <v>612210</v>
      </c>
      <c r="H338" s="36" t="s">
        <v>1184</v>
      </c>
      <c r="I338" s="37">
        <v>0.16702</v>
      </c>
      <c r="J338" s="7"/>
      <c r="K338" s="7" t="str">
        <f>VLOOKUP($E338,Mapping!$E$11:$I$96,3,0)</f>
        <v>Connections</v>
      </c>
      <c r="L338" s="7" t="str">
        <f>VLOOKUP($G338,Mapping!$E$140:$K$2771,5,0)</f>
        <v>Labour</v>
      </c>
      <c r="M338" s="7" t="str">
        <f>VLOOKUP($G338,Mapping!$E$140:$K$2771,7,0)</f>
        <v>ENDirect</v>
      </c>
      <c r="N338" s="7" t="str">
        <f>IFERROR(HLOOKUP(L338,'Calc|Weightings'!$K$5:$M$5,1,0),"Excl")</f>
        <v>Labour</v>
      </c>
      <c r="O338" s="7" t="str">
        <f>VLOOKUP(E338,Mapping!$E$11:$I$96,5,0)</f>
        <v>SCS</v>
      </c>
      <c r="Q338" s="33">
        <v>111</v>
      </c>
      <c r="R338" s="33" t="s">
        <v>2126</v>
      </c>
      <c r="S338" s="33">
        <v>531020</v>
      </c>
      <c r="T338" s="33" t="s">
        <v>219</v>
      </c>
      <c r="U338" s="34">
        <v>62.356990000000003</v>
      </c>
      <c r="V338" s="7"/>
      <c r="W338" s="7" t="str">
        <f>VLOOKUP($Q338,Mapping!$E$11:$I$96,3,0)</f>
        <v>Connections</v>
      </c>
      <c r="X338" s="7" t="str">
        <f>VLOOKUP($S338,Mapping!$E$140:$K$2771,5,0)</f>
        <v>Labour</v>
      </c>
      <c r="Y338" s="7" t="str">
        <f>VLOOKUP($S338,Mapping!$E$140:$K$2771,7,0)</f>
        <v>ENDirect</v>
      </c>
      <c r="Z338" s="7" t="str">
        <f>IFERROR(HLOOKUP(X338,'Calc|Weightings'!$K$5:$M$5,1,0),"Excl")</f>
        <v>Labour</v>
      </c>
      <c r="AA338" s="7" t="str">
        <f>VLOOKUP(Q338,Mapping!$E$11:$I$96,5,0)</f>
        <v>SCS</v>
      </c>
      <c r="AC338" s="111">
        <v>109</v>
      </c>
      <c r="AD338" s="111" t="s">
        <v>2124</v>
      </c>
      <c r="AE338" s="111">
        <v>635001</v>
      </c>
      <c r="AF338" s="111" t="s">
        <v>1929</v>
      </c>
      <c r="AG338" s="112">
        <v>315.83981999999997</v>
      </c>
      <c r="AI338" s="7" t="str">
        <f>VLOOKUP($AC338,Mapping!$E$11:$I$96,3,0)</f>
        <v>Connections</v>
      </c>
      <c r="AJ338" s="7" t="str">
        <f>VLOOKUP($AE338,Mapping!$E$140:$K$2771,5,0)</f>
        <v>PNS MG</v>
      </c>
      <c r="AK338" s="7" t="str">
        <f>VLOOKUP($AE338,Mapping!$E$140:$K$2771,7,0)</f>
        <v>ENDirect</v>
      </c>
      <c r="AL338" s="7" t="str">
        <f>IFERROR(HLOOKUP(AJ338,'Calc|Weightings'!$K$5:$M$5,1,0),"Excl")</f>
        <v>Excl</v>
      </c>
      <c r="AM338" s="7" t="str">
        <f>VLOOKUP(AC338,Mapping!$E$11:$I$96,5,0)</f>
        <v>SCS</v>
      </c>
      <c r="AO338" s="134">
        <v>111</v>
      </c>
      <c r="AP338" s="135" t="s">
        <v>2126</v>
      </c>
      <c r="AQ338" s="135">
        <v>531468</v>
      </c>
      <c r="AR338" s="135" t="s">
        <v>260</v>
      </c>
      <c r="AS338" s="136">
        <v>1855.7826600000001</v>
      </c>
      <c r="AU338" s="7" t="str">
        <f>VLOOKUP($AO338,Mapping!$E$11:$I$96,3,0)</f>
        <v>Connections</v>
      </c>
      <c r="AV338" s="7" t="str">
        <f>VLOOKUP($AQ338,Mapping!$E$140:$K$2771,5,0)</f>
        <v>Contracts</v>
      </c>
      <c r="AW338" s="7" t="str">
        <f>VLOOKUP($AQ338,Mapping!$E$140:$K$2771,7,0)</f>
        <v>ENDirect</v>
      </c>
      <c r="AX338" s="7" t="str">
        <f>IFERROR(HLOOKUP(AV338,'Calc|Weightings'!$K$5:$M$5,1,0),"Excl")</f>
        <v>Contracts</v>
      </c>
      <c r="AY338" s="7" t="str">
        <f>VLOOKUP(AO338,Mapping!$E$11:$I$96,5,0)</f>
        <v>SCS</v>
      </c>
    </row>
    <row r="339" spans="1:51" x14ac:dyDescent="0.2">
      <c r="A339" s="7"/>
      <c r="B339" s="7"/>
      <c r="C339" s="7"/>
      <c r="D339" s="7"/>
      <c r="E339" s="36">
        <v>109</v>
      </c>
      <c r="F339" s="36" t="s">
        <v>2124</v>
      </c>
      <c r="G339" s="36">
        <v>613240</v>
      </c>
      <c r="H339" s="36" t="s">
        <v>2082</v>
      </c>
      <c r="I339" s="37">
        <v>1.6481699999999999</v>
      </c>
      <c r="J339" s="7"/>
      <c r="K339" s="7" t="str">
        <f>VLOOKUP($E339,Mapping!$E$11:$I$96,3,0)</f>
        <v>Connections</v>
      </c>
      <c r="L339" s="7" t="str">
        <f>VLOOKUP($G339,Mapping!$E$140:$K$2771,5,0)</f>
        <v>Labour</v>
      </c>
      <c r="M339" s="7" t="str">
        <f>VLOOKUP($G339,Mapping!$E$140:$K$2771,7,0)</f>
        <v>ENDirect</v>
      </c>
      <c r="N339" s="7" t="str">
        <f>IFERROR(HLOOKUP(L339,'Calc|Weightings'!$K$5:$M$5,1,0),"Excl")</f>
        <v>Labour</v>
      </c>
      <c r="O339" s="7" t="str">
        <f>VLOOKUP(E339,Mapping!$E$11:$I$96,5,0)</f>
        <v>SCS</v>
      </c>
      <c r="Q339" s="33">
        <v>111</v>
      </c>
      <c r="R339" s="33" t="s">
        <v>2126</v>
      </c>
      <c r="S339" s="33">
        <v>531035</v>
      </c>
      <c r="T339" s="33" t="s">
        <v>244</v>
      </c>
      <c r="U339" s="34">
        <v>67.810910000000007</v>
      </c>
      <c r="V339" s="7"/>
      <c r="W339" s="7" t="str">
        <f>VLOOKUP($Q339,Mapping!$E$11:$I$96,3,0)</f>
        <v>Connections</v>
      </c>
      <c r="X339" s="7" t="str">
        <f>VLOOKUP($S339,Mapping!$E$140:$K$2771,5,0)</f>
        <v>Labour</v>
      </c>
      <c r="Y339" s="7" t="str">
        <f>VLOOKUP($S339,Mapping!$E$140:$K$2771,7,0)</f>
        <v>ENDirect</v>
      </c>
      <c r="Z339" s="7" t="str">
        <f>IFERROR(HLOOKUP(X339,'Calc|Weightings'!$K$5:$M$5,1,0),"Excl")</f>
        <v>Labour</v>
      </c>
      <c r="AA339" s="7" t="str">
        <f>VLOOKUP(Q339,Mapping!$E$11:$I$96,5,0)</f>
        <v>SCS</v>
      </c>
      <c r="AC339" s="111">
        <v>109</v>
      </c>
      <c r="AD339" s="111" t="s">
        <v>2124</v>
      </c>
      <c r="AE339" s="111">
        <v>636001</v>
      </c>
      <c r="AF339" s="111" t="s">
        <v>2111</v>
      </c>
      <c r="AG339" s="112">
        <v>217.90091000000001</v>
      </c>
      <c r="AI339" s="7" t="str">
        <f>VLOOKUP($AC339,Mapping!$E$11:$I$96,3,0)</f>
        <v>Connections</v>
      </c>
      <c r="AJ339" s="7" t="str">
        <f>VLOOKUP($AE339,Mapping!$E$140:$K$2771,5,0)</f>
        <v>System Control OH</v>
      </c>
      <c r="AK339" s="7" t="str">
        <f>VLOOKUP($AE339,Mapping!$E$140:$K$2771,7,0)</f>
        <v>OH</v>
      </c>
      <c r="AL339" s="7" t="str">
        <f>IFERROR(HLOOKUP(AJ339,'Calc|Weightings'!$K$5:$M$5,1,0),"Excl")</f>
        <v>Excl</v>
      </c>
      <c r="AM339" s="7" t="str">
        <f>VLOOKUP(AC339,Mapping!$E$11:$I$96,5,0)</f>
        <v>SCS</v>
      </c>
      <c r="AO339" s="134">
        <v>111</v>
      </c>
      <c r="AP339" s="135" t="s">
        <v>2126</v>
      </c>
      <c r="AQ339" s="135">
        <v>531469</v>
      </c>
      <c r="AR339" s="135" t="s">
        <v>261</v>
      </c>
      <c r="AS339" s="136">
        <v>34.082999999999998</v>
      </c>
      <c r="AU339" s="7" t="str">
        <f>VLOOKUP($AO339,Mapping!$E$11:$I$96,3,0)</f>
        <v>Connections</v>
      </c>
      <c r="AV339" s="7" t="str">
        <f>VLOOKUP($AQ339,Mapping!$E$140:$K$2771,5,0)</f>
        <v>Labour</v>
      </c>
      <c r="AW339" s="7" t="str">
        <f>VLOOKUP($AQ339,Mapping!$E$140:$K$2771,7,0)</f>
        <v>ENDirect</v>
      </c>
      <c r="AX339" s="7" t="str">
        <f>IFERROR(HLOOKUP(AV339,'Calc|Weightings'!$K$5:$M$5,1,0),"Excl")</f>
        <v>Labour</v>
      </c>
      <c r="AY339" s="7" t="str">
        <f>VLOOKUP(AO339,Mapping!$E$11:$I$96,5,0)</f>
        <v>SCS</v>
      </c>
    </row>
    <row r="340" spans="1:51" x14ac:dyDescent="0.2">
      <c r="A340" s="7"/>
      <c r="B340" s="7"/>
      <c r="C340" s="7"/>
      <c r="D340" s="7"/>
      <c r="E340" s="36">
        <v>109</v>
      </c>
      <c r="F340" s="36" t="s">
        <v>2124</v>
      </c>
      <c r="G340" s="36">
        <v>613248</v>
      </c>
      <c r="H340" s="36" t="s">
        <v>2383</v>
      </c>
      <c r="I340" s="37">
        <v>4.9171699999999996</v>
      </c>
      <c r="J340" s="7"/>
      <c r="K340" s="7" t="str">
        <f>VLOOKUP($E340,Mapping!$E$11:$I$96,3,0)</f>
        <v>Connections</v>
      </c>
      <c r="L340" s="7" t="str">
        <f>VLOOKUP($G340,Mapping!$E$140:$K$2771,5,0)</f>
        <v>Labour</v>
      </c>
      <c r="M340" s="7" t="str">
        <f>VLOOKUP($G340,Mapping!$E$140:$K$2771,7,0)</f>
        <v>ENDirect</v>
      </c>
      <c r="N340" s="7" t="str">
        <f>IFERROR(HLOOKUP(L340,'Calc|Weightings'!$K$5:$M$5,1,0),"Excl")</f>
        <v>Labour</v>
      </c>
      <c r="O340" s="7" t="str">
        <f>VLOOKUP(E340,Mapping!$E$11:$I$96,5,0)</f>
        <v>SCS</v>
      </c>
      <c r="Q340" s="33">
        <v>111</v>
      </c>
      <c r="R340" s="33" t="s">
        <v>2126</v>
      </c>
      <c r="S340" s="33">
        <v>531200</v>
      </c>
      <c r="T340" s="33" t="s">
        <v>250</v>
      </c>
      <c r="U340" s="34">
        <v>179.43717000000001</v>
      </c>
      <c r="V340" s="7"/>
      <c r="W340" s="7" t="str">
        <f>VLOOKUP($Q340,Mapping!$E$11:$I$96,3,0)</f>
        <v>Connections</v>
      </c>
      <c r="X340" s="7" t="str">
        <f>VLOOKUP($S340,Mapping!$E$140:$K$2771,5,0)</f>
        <v>Contracts</v>
      </c>
      <c r="Y340" s="7" t="str">
        <f>VLOOKUP($S340,Mapping!$E$140:$K$2771,7,0)</f>
        <v>ENDirect</v>
      </c>
      <c r="Z340" s="7" t="str">
        <f>IFERROR(HLOOKUP(X340,'Calc|Weightings'!$K$5:$M$5,1,0),"Excl")</f>
        <v>Contracts</v>
      </c>
      <c r="AA340" s="7" t="str">
        <f>VLOOKUP(Q340,Mapping!$E$11:$I$96,5,0)</f>
        <v>SCS</v>
      </c>
      <c r="AC340" s="111">
        <v>109</v>
      </c>
      <c r="AD340" s="111" t="s">
        <v>2124</v>
      </c>
      <c r="AE340" s="111">
        <v>636105</v>
      </c>
      <c r="AF340" s="111" t="s">
        <v>1937</v>
      </c>
      <c r="AG340" s="112">
        <v>0.22639999999999999</v>
      </c>
      <c r="AI340" s="7" t="str">
        <f>VLOOKUP($AC340,Mapping!$E$11:$I$96,3,0)</f>
        <v>Connections</v>
      </c>
      <c r="AJ340" s="7" t="str">
        <f>VLOOKUP($AE340,Mapping!$E$140:$K$2771,5,0)</f>
        <v>CSG MG</v>
      </c>
      <c r="AK340" s="7" t="str">
        <f>VLOOKUP($AE340,Mapping!$E$140:$K$2771,7,0)</f>
        <v>ENDirect</v>
      </c>
      <c r="AL340" s="7" t="str">
        <f>IFERROR(HLOOKUP(AJ340,'Calc|Weightings'!$K$5:$M$5,1,0),"Excl")</f>
        <v>Excl</v>
      </c>
      <c r="AM340" s="7" t="str">
        <f>VLOOKUP(AC340,Mapping!$E$11:$I$96,5,0)</f>
        <v>SCS</v>
      </c>
      <c r="AO340" s="134">
        <v>111</v>
      </c>
      <c r="AP340" s="135" t="s">
        <v>2126</v>
      </c>
      <c r="AQ340" s="135">
        <v>532050</v>
      </c>
      <c r="AR340" s="135" t="s">
        <v>279</v>
      </c>
      <c r="AS340" s="136">
        <v>0.28320000000000001</v>
      </c>
      <c r="AU340" s="7" t="str">
        <f>VLOOKUP($AO340,Mapping!$E$11:$I$96,3,0)</f>
        <v>Connections</v>
      </c>
      <c r="AV340" s="7" t="str">
        <f>VLOOKUP($AQ340,Mapping!$E$140:$K$2771,5,0)</f>
        <v>Contracts</v>
      </c>
      <c r="AW340" s="7" t="str">
        <f>VLOOKUP($AQ340,Mapping!$E$140:$K$2771,7,0)</f>
        <v>ENDirect</v>
      </c>
      <c r="AX340" s="7" t="str">
        <f>IFERROR(HLOOKUP(AV340,'Calc|Weightings'!$K$5:$M$5,1,0),"Excl")</f>
        <v>Contracts</v>
      </c>
      <c r="AY340" s="7" t="str">
        <f>VLOOKUP(AO340,Mapping!$E$11:$I$96,5,0)</f>
        <v>SCS</v>
      </c>
    </row>
    <row r="341" spans="1:51" x14ac:dyDescent="0.2">
      <c r="A341" s="7"/>
      <c r="B341" s="7"/>
      <c r="C341" s="7"/>
      <c r="D341" s="7"/>
      <c r="E341" s="36">
        <v>109</v>
      </c>
      <c r="F341" s="36" t="s">
        <v>2124</v>
      </c>
      <c r="G341" s="36">
        <v>613250</v>
      </c>
      <c r="H341" s="36" t="s">
        <v>2086</v>
      </c>
      <c r="I341" s="37">
        <v>3.39507</v>
      </c>
      <c r="J341" s="7"/>
      <c r="K341" s="7" t="str">
        <f>VLOOKUP($E341,Mapping!$E$11:$I$96,3,0)</f>
        <v>Connections</v>
      </c>
      <c r="L341" s="7" t="str">
        <f>VLOOKUP($G341,Mapping!$E$140:$K$2771,5,0)</f>
        <v>Labour</v>
      </c>
      <c r="M341" s="7" t="str">
        <f>VLOOKUP($G341,Mapping!$E$140:$K$2771,7,0)</f>
        <v>ENDirect</v>
      </c>
      <c r="N341" s="7" t="str">
        <f>IFERROR(HLOOKUP(L341,'Calc|Weightings'!$K$5:$M$5,1,0),"Excl")</f>
        <v>Labour</v>
      </c>
      <c r="O341" s="7" t="str">
        <f>VLOOKUP(E341,Mapping!$E$11:$I$96,5,0)</f>
        <v>SCS</v>
      </c>
      <c r="Q341" s="33">
        <v>111</v>
      </c>
      <c r="R341" s="33" t="s">
        <v>2126</v>
      </c>
      <c r="S341" s="33">
        <v>531201</v>
      </c>
      <c r="T341" s="33" t="s">
        <v>251</v>
      </c>
      <c r="U341" s="34">
        <v>71.324169999999995</v>
      </c>
      <c r="V341" s="7"/>
      <c r="W341" s="7" t="str">
        <f>VLOOKUP($Q341,Mapping!$E$11:$I$96,3,0)</f>
        <v>Connections</v>
      </c>
      <c r="X341" s="7" t="str">
        <f>VLOOKUP($S341,Mapping!$E$140:$K$2771,5,0)</f>
        <v>Contracts</v>
      </c>
      <c r="Y341" s="7" t="str">
        <f>VLOOKUP($S341,Mapping!$E$140:$K$2771,7,0)</f>
        <v>ENDirect</v>
      </c>
      <c r="Z341" s="7" t="str">
        <f>IFERROR(HLOOKUP(X341,'Calc|Weightings'!$K$5:$M$5,1,0),"Excl")</f>
        <v>Contracts</v>
      </c>
      <c r="AA341" s="7" t="str">
        <f>VLOOKUP(Q341,Mapping!$E$11:$I$96,5,0)</f>
        <v>SCS</v>
      </c>
      <c r="AC341" s="111">
        <v>109</v>
      </c>
      <c r="AD341" s="111" t="s">
        <v>2124</v>
      </c>
      <c r="AE341" s="111">
        <v>639000</v>
      </c>
      <c r="AF341" s="111" t="s">
        <v>2112</v>
      </c>
      <c r="AG341" s="112">
        <v>284.85753</v>
      </c>
      <c r="AI341" s="7" t="str">
        <f>VLOOKUP($AC341,Mapping!$E$11:$I$96,3,0)</f>
        <v>Connections</v>
      </c>
      <c r="AJ341" s="7" t="str">
        <f>VLOOKUP($AE341,Mapping!$E$140:$K$2771,5,0)</f>
        <v>PNS Corporate OH</v>
      </c>
      <c r="AK341" s="7" t="str">
        <f>VLOOKUP($AE341,Mapping!$E$140:$K$2771,7,0)</f>
        <v>OH</v>
      </c>
      <c r="AL341" s="7" t="str">
        <f>IFERROR(HLOOKUP(AJ341,'Calc|Weightings'!$K$5:$M$5,1,0),"Excl")</f>
        <v>Excl</v>
      </c>
      <c r="AM341" s="7" t="str">
        <f>VLOOKUP(AC341,Mapping!$E$11:$I$96,5,0)</f>
        <v>SCS</v>
      </c>
      <c r="AO341" s="134">
        <v>111</v>
      </c>
      <c r="AP341" s="135" t="s">
        <v>2126</v>
      </c>
      <c r="AQ341" s="135">
        <v>532200</v>
      </c>
      <c r="AR341" s="135" t="s">
        <v>291</v>
      </c>
      <c r="AS341" s="136">
        <v>6.0309999999999997</v>
      </c>
      <c r="AU341" s="7" t="str">
        <f>VLOOKUP($AO341,Mapping!$E$11:$I$96,3,0)</f>
        <v>Connections</v>
      </c>
      <c r="AV341" s="7" t="str">
        <f>VLOOKUP($AQ341,Mapping!$E$140:$K$2771,5,0)</f>
        <v>Contracts</v>
      </c>
      <c r="AW341" s="7" t="str">
        <f>VLOOKUP($AQ341,Mapping!$E$140:$K$2771,7,0)</f>
        <v>ENDirect</v>
      </c>
      <c r="AX341" s="7" t="str">
        <f>IFERROR(HLOOKUP(AV341,'Calc|Weightings'!$K$5:$M$5,1,0),"Excl")</f>
        <v>Contracts</v>
      </c>
      <c r="AY341" s="7" t="str">
        <f>VLOOKUP(AO341,Mapping!$E$11:$I$96,5,0)</f>
        <v>SCS</v>
      </c>
    </row>
    <row r="342" spans="1:51" x14ac:dyDescent="0.2">
      <c r="A342" s="7"/>
      <c r="B342" s="7"/>
      <c r="C342" s="7"/>
      <c r="D342" s="7"/>
      <c r="E342" s="36">
        <v>109</v>
      </c>
      <c r="F342" s="36" t="s">
        <v>2124</v>
      </c>
      <c r="G342" s="36">
        <v>613258</v>
      </c>
      <c r="H342" s="36" t="s">
        <v>2356</v>
      </c>
      <c r="I342" s="37">
        <v>1.3313999999999999</v>
      </c>
      <c r="J342" s="7"/>
      <c r="K342" s="7" t="str">
        <f>VLOOKUP($E342,Mapping!$E$11:$I$96,3,0)</f>
        <v>Connections</v>
      </c>
      <c r="L342" s="7" t="str">
        <f>VLOOKUP($G342,Mapping!$E$140:$K$2771,5,0)</f>
        <v>Labour</v>
      </c>
      <c r="M342" s="7" t="str">
        <f>VLOOKUP($G342,Mapping!$E$140:$K$2771,7,0)</f>
        <v>ENDirect</v>
      </c>
      <c r="N342" s="7" t="str">
        <f>IFERROR(HLOOKUP(L342,'Calc|Weightings'!$K$5:$M$5,1,0),"Excl")</f>
        <v>Labour</v>
      </c>
      <c r="O342" s="7" t="str">
        <f>VLOOKUP(E342,Mapping!$E$11:$I$96,5,0)</f>
        <v>SCS</v>
      </c>
      <c r="Q342" s="33">
        <v>111</v>
      </c>
      <c r="R342" s="33" t="s">
        <v>2126</v>
      </c>
      <c r="S342" s="33">
        <v>531464</v>
      </c>
      <c r="T342" s="33" t="s">
        <v>256</v>
      </c>
      <c r="U342" s="34">
        <v>4357.7965700000004</v>
      </c>
      <c r="V342" s="7"/>
      <c r="W342" s="7" t="str">
        <f>VLOOKUP($Q342,Mapping!$E$11:$I$96,3,0)</f>
        <v>Connections</v>
      </c>
      <c r="X342" s="7" t="str">
        <f>VLOOKUP($S342,Mapping!$E$140:$K$2771,5,0)</f>
        <v>Contracts</v>
      </c>
      <c r="Y342" s="7" t="str">
        <f>VLOOKUP($S342,Mapping!$E$140:$K$2771,7,0)</f>
        <v>ENDirect</v>
      </c>
      <c r="Z342" s="7" t="str">
        <f>IFERROR(HLOOKUP(X342,'Calc|Weightings'!$K$5:$M$5,1,0),"Excl")</f>
        <v>Contracts</v>
      </c>
      <c r="AA342" s="7" t="str">
        <f>VLOOKUP(Q342,Mapping!$E$11:$I$96,5,0)</f>
        <v>SCS</v>
      </c>
      <c r="AC342" s="111">
        <v>109</v>
      </c>
      <c r="AD342" s="111" t="s">
        <v>2124</v>
      </c>
      <c r="AE342" s="111">
        <v>639050</v>
      </c>
      <c r="AF342" s="111" t="s">
        <v>2113</v>
      </c>
      <c r="AG342" s="112">
        <v>44.876759999999997</v>
      </c>
      <c r="AI342" s="7" t="str">
        <f>VLOOKUP($AC342,Mapping!$E$11:$I$96,3,0)</f>
        <v>Connections</v>
      </c>
      <c r="AJ342" s="7" t="str">
        <f>VLOOKUP($AE342,Mapping!$E$140:$K$2771,5,0)</f>
        <v>PNS Fleet &amp; Property OH</v>
      </c>
      <c r="AK342" s="7" t="str">
        <f>VLOOKUP($AE342,Mapping!$E$140:$K$2771,7,0)</f>
        <v>OH</v>
      </c>
      <c r="AL342" s="7" t="str">
        <f>IFERROR(HLOOKUP(AJ342,'Calc|Weightings'!$K$5:$M$5,1,0),"Excl")</f>
        <v>Excl</v>
      </c>
      <c r="AM342" s="7" t="str">
        <f>VLOOKUP(AC342,Mapping!$E$11:$I$96,5,0)</f>
        <v>SCS</v>
      </c>
      <c r="AO342" s="134">
        <v>111</v>
      </c>
      <c r="AP342" s="135" t="s">
        <v>2126</v>
      </c>
      <c r="AQ342" s="135">
        <v>532410</v>
      </c>
      <c r="AR342" s="135" t="s">
        <v>305</v>
      </c>
      <c r="AS342" s="136">
        <v>0.87119999999999997</v>
      </c>
      <c r="AU342" s="7" t="str">
        <f>VLOOKUP($AO342,Mapping!$E$11:$I$96,3,0)</f>
        <v>Connections</v>
      </c>
      <c r="AV342" s="7" t="str">
        <f>VLOOKUP($AQ342,Mapping!$E$140:$K$2771,5,0)</f>
        <v>Labour</v>
      </c>
      <c r="AW342" s="7" t="str">
        <f>VLOOKUP($AQ342,Mapping!$E$140:$K$2771,7,0)</f>
        <v>ENDirect</v>
      </c>
      <c r="AX342" s="7" t="str">
        <f>IFERROR(HLOOKUP(AV342,'Calc|Weightings'!$K$5:$M$5,1,0),"Excl")</f>
        <v>Labour</v>
      </c>
      <c r="AY342" s="7" t="str">
        <f>VLOOKUP(AO342,Mapping!$E$11:$I$96,5,0)</f>
        <v>SCS</v>
      </c>
    </row>
    <row r="343" spans="1:51" x14ac:dyDescent="0.2">
      <c r="A343" s="7"/>
      <c r="B343" s="7"/>
      <c r="C343" s="7"/>
      <c r="D343" s="7"/>
      <c r="E343" s="36">
        <v>109</v>
      </c>
      <c r="F343" s="36" t="s">
        <v>2124</v>
      </c>
      <c r="G343" s="36">
        <v>613270</v>
      </c>
      <c r="H343" s="36" t="s">
        <v>2092</v>
      </c>
      <c r="I343" s="37">
        <v>0.27998000000000001</v>
      </c>
      <c r="J343" s="7"/>
      <c r="K343" s="7" t="str">
        <f>VLOOKUP($E343,Mapping!$E$11:$I$96,3,0)</f>
        <v>Connections</v>
      </c>
      <c r="L343" s="7" t="str">
        <f>VLOOKUP($G343,Mapping!$E$140:$K$2771,5,0)</f>
        <v>Labour</v>
      </c>
      <c r="M343" s="7" t="str">
        <f>VLOOKUP($G343,Mapping!$E$140:$K$2771,7,0)</f>
        <v>ENDirect</v>
      </c>
      <c r="N343" s="7" t="str">
        <f>IFERROR(HLOOKUP(L343,'Calc|Weightings'!$K$5:$M$5,1,0),"Excl")</f>
        <v>Labour</v>
      </c>
      <c r="O343" s="7" t="str">
        <f>VLOOKUP(E343,Mapping!$E$11:$I$96,5,0)</f>
        <v>SCS</v>
      </c>
      <c r="Q343" s="33">
        <v>111</v>
      </c>
      <c r="R343" s="33" t="s">
        <v>2126</v>
      </c>
      <c r="S343" s="33">
        <v>531465</v>
      </c>
      <c r="T343" s="33" t="s">
        <v>257</v>
      </c>
      <c r="U343" s="34">
        <v>5.8991699999999998</v>
      </c>
      <c r="V343" s="7"/>
      <c r="W343" s="7" t="str">
        <f>VLOOKUP($Q343,Mapping!$E$11:$I$96,3,0)</f>
        <v>Connections</v>
      </c>
      <c r="X343" s="7" t="str">
        <f>VLOOKUP($S343,Mapping!$E$140:$K$2771,5,0)</f>
        <v>Contracts</v>
      </c>
      <c r="Y343" s="7" t="str">
        <f>VLOOKUP($S343,Mapping!$E$140:$K$2771,7,0)</f>
        <v>ENDirect</v>
      </c>
      <c r="Z343" s="7" t="str">
        <f>IFERROR(HLOOKUP(X343,'Calc|Weightings'!$K$5:$M$5,1,0),"Excl")</f>
        <v>Contracts</v>
      </c>
      <c r="AA343" s="7" t="str">
        <f>VLOOKUP(Q343,Mapping!$E$11:$I$96,5,0)</f>
        <v>SCS</v>
      </c>
      <c r="AC343" s="111">
        <v>111</v>
      </c>
      <c r="AD343" s="111" t="s">
        <v>2126</v>
      </c>
      <c r="AE343" s="111">
        <v>500200</v>
      </c>
      <c r="AF343" s="111" t="s">
        <v>136</v>
      </c>
      <c r="AG343" s="112">
        <v>3.3000000000000002E-2</v>
      </c>
      <c r="AI343" s="7" t="str">
        <f>VLOOKUP($AC343,Mapping!$E$11:$I$96,3,0)</f>
        <v>Connections</v>
      </c>
      <c r="AJ343" s="7" t="str">
        <f>VLOOKUP($AE343,Mapping!$E$140:$K$2771,5,0)</f>
        <v>Labour</v>
      </c>
      <c r="AK343" s="7" t="str">
        <f>VLOOKUP($AE343,Mapping!$E$140:$K$2771,7,0)</f>
        <v>ENDirect</v>
      </c>
      <c r="AL343" s="7" t="str">
        <f>IFERROR(HLOOKUP(AJ343,'Calc|Weightings'!$K$5:$M$5,1,0),"Excl")</f>
        <v>Labour</v>
      </c>
      <c r="AM343" s="7" t="str">
        <f>VLOOKUP(AC343,Mapping!$E$11:$I$96,5,0)</f>
        <v>SCS</v>
      </c>
      <c r="AO343" s="134">
        <v>111</v>
      </c>
      <c r="AP343" s="135" t="s">
        <v>2126</v>
      </c>
      <c r="AQ343" s="135">
        <v>545150</v>
      </c>
      <c r="AR343" s="135" t="s">
        <v>345</v>
      </c>
      <c r="AS343" s="136">
        <v>5.3179999999999998E-2</v>
      </c>
      <c r="AU343" s="7" t="str">
        <f>VLOOKUP($AO343,Mapping!$E$11:$I$96,3,0)</f>
        <v>Connections</v>
      </c>
      <c r="AV343" s="7" t="str">
        <f>VLOOKUP($AQ343,Mapping!$E$140:$K$2771,5,0)</f>
        <v>Contracts</v>
      </c>
      <c r="AW343" s="7" t="str">
        <f>VLOOKUP($AQ343,Mapping!$E$140:$K$2771,7,0)</f>
        <v>ENDirect</v>
      </c>
      <c r="AX343" s="7" t="str">
        <f>IFERROR(HLOOKUP(AV343,'Calc|Weightings'!$K$5:$M$5,1,0),"Excl")</f>
        <v>Contracts</v>
      </c>
      <c r="AY343" s="7" t="str">
        <f>VLOOKUP(AO343,Mapping!$E$11:$I$96,5,0)</f>
        <v>SCS</v>
      </c>
    </row>
    <row r="344" spans="1:51" x14ac:dyDescent="0.2">
      <c r="A344" s="7"/>
      <c r="B344" s="7"/>
      <c r="C344" s="7"/>
      <c r="D344" s="7"/>
      <c r="E344" s="36">
        <v>109</v>
      </c>
      <c r="F344" s="36" t="s">
        <v>2124</v>
      </c>
      <c r="G344" s="36">
        <v>613278</v>
      </c>
      <c r="H344" s="36" t="s">
        <v>2357</v>
      </c>
      <c r="I344" s="37">
        <v>4.7596600000000002</v>
      </c>
      <c r="J344" s="7"/>
      <c r="K344" s="7" t="str">
        <f>VLOOKUP($E344,Mapping!$E$11:$I$96,3,0)</f>
        <v>Connections</v>
      </c>
      <c r="L344" s="7" t="str">
        <f>VLOOKUP($G344,Mapping!$E$140:$K$2771,5,0)</f>
        <v>Labour</v>
      </c>
      <c r="M344" s="7" t="str">
        <f>VLOOKUP($G344,Mapping!$E$140:$K$2771,7,0)</f>
        <v>ENDirect</v>
      </c>
      <c r="N344" s="7" t="str">
        <f>IFERROR(HLOOKUP(L344,'Calc|Weightings'!$K$5:$M$5,1,0),"Excl")</f>
        <v>Labour</v>
      </c>
      <c r="O344" s="7" t="str">
        <f>VLOOKUP(E344,Mapping!$E$11:$I$96,5,0)</f>
        <v>SCS</v>
      </c>
      <c r="Q344" s="33">
        <v>111</v>
      </c>
      <c r="R344" s="33" t="s">
        <v>2126</v>
      </c>
      <c r="S344" s="33">
        <v>531466</v>
      </c>
      <c r="T344" s="33" t="s">
        <v>258</v>
      </c>
      <c r="U344" s="34">
        <v>2579.4427799999999</v>
      </c>
      <c r="V344" s="7"/>
      <c r="W344" s="7" t="str">
        <f>VLOOKUP($Q344,Mapping!$E$11:$I$96,3,0)</f>
        <v>Connections</v>
      </c>
      <c r="X344" s="7" t="str">
        <f>VLOOKUP($S344,Mapping!$E$140:$K$2771,5,0)</f>
        <v>Contracts</v>
      </c>
      <c r="Y344" s="7" t="str">
        <f>VLOOKUP($S344,Mapping!$E$140:$K$2771,7,0)</f>
        <v>ENDirect</v>
      </c>
      <c r="Z344" s="7" t="str">
        <f>IFERROR(HLOOKUP(X344,'Calc|Weightings'!$K$5:$M$5,1,0),"Excl")</f>
        <v>Contracts</v>
      </c>
      <c r="AA344" s="7" t="str">
        <f>VLOOKUP(Q344,Mapping!$E$11:$I$96,5,0)</f>
        <v>SCS</v>
      </c>
      <c r="AC344" s="111">
        <v>111</v>
      </c>
      <c r="AD344" s="111" t="s">
        <v>2126</v>
      </c>
      <c r="AE344" s="111">
        <v>503281</v>
      </c>
      <c r="AF344" s="111" t="s">
        <v>2198</v>
      </c>
      <c r="AG344" s="112">
        <v>0.24149999999999999</v>
      </c>
      <c r="AI344" s="7" t="str">
        <f>VLOOKUP($AC344,Mapping!$E$11:$I$96,3,0)</f>
        <v>Connections</v>
      </c>
      <c r="AJ344" s="7" t="str">
        <f>VLOOKUP($AE344,Mapping!$E$140:$K$2771,5,0)</f>
        <v>Contracts</v>
      </c>
      <c r="AK344" s="7" t="str">
        <f>VLOOKUP($AE344,Mapping!$E$140:$K$2771,7,0)</f>
        <v>ENDirect</v>
      </c>
      <c r="AL344" s="7" t="str">
        <f>IFERROR(HLOOKUP(AJ344,'Calc|Weightings'!$K$5:$M$5,1,0),"Excl")</f>
        <v>Contracts</v>
      </c>
      <c r="AM344" s="7" t="str">
        <f>VLOOKUP(AC344,Mapping!$E$11:$I$96,5,0)</f>
        <v>SCS</v>
      </c>
      <c r="AO344" s="134">
        <v>111</v>
      </c>
      <c r="AP344" s="135" t="s">
        <v>2126</v>
      </c>
      <c r="AQ344" s="135">
        <v>591997</v>
      </c>
      <c r="AR344" s="135" t="s">
        <v>2194</v>
      </c>
      <c r="AS344" s="136">
        <v>-12.71143</v>
      </c>
      <c r="AU344" s="7" t="str">
        <f>VLOOKUP($AO344,Mapping!$E$11:$I$96,3,0)</f>
        <v>Connections</v>
      </c>
      <c r="AV344" s="7" t="str">
        <f>VLOOKUP($AQ344,Mapping!$E$140:$K$2771,5,0)</f>
        <v>Contracts</v>
      </c>
      <c r="AW344" s="7" t="str">
        <f>VLOOKUP($AQ344,Mapping!$E$140:$K$2771,7,0)</f>
        <v>ENDirect</v>
      </c>
      <c r="AX344" s="7" t="str">
        <f>IFERROR(HLOOKUP(AV344,'Calc|Weightings'!$K$5:$M$5,1,0),"Excl")</f>
        <v>Contracts</v>
      </c>
      <c r="AY344" s="7" t="str">
        <f>VLOOKUP(AO344,Mapping!$E$11:$I$96,5,0)</f>
        <v>SCS</v>
      </c>
    </row>
    <row r="345" spans="1:51" x14ac:dyDescent="0.2">
      <c r="A345" s="7"/>
      <c r="B345" s="7"/>
      <c r="C345" s="7"/>
      <c r="D345" s="7"/>
      <c r="E345" s="36">
        <v>109</v>
      </c>
      <c r="F345" s="36" t="s">
        <v>2124</v>
      </c>
      <c r="G345" s="36">
        <v>613279</v>
      </c>
      <c r="H345" s="36" t="s">
        <v>2360</v>
      </c>
      <c r="I345" s="37">
        <v>0.27998000000000001</v>
      </c>
      <c r="J345" s="7"/>
      <c r="K345" s="7" t="str">
        <f>VLOOKUP($E345,Mapping!$E$11:$I$96,3,0)</f>
        <v>Connections</v>
      </c>
      <c r="L345" s="7" t="str">
        <f>VLOOKUP($G345,Mapping!$E$140:$K$2771,5,0)</f>
        <v>Labour</v>
      </c>
      <c r="M345" s="7" t="str">
        <f>VLOOKUP($G345,Mapping!$E$140:$K$2771,7,0)</f>
        <v>ENDirect</v>
      </c>
      <c r="N345" s="7" t="str">
        <f>IFERROR(HLOOKUP(L345,'Calc|Weightings'!$K$5:$M$5,1,0),"Excl")</f>
        <v>Labour</v>
      </c>
      <c r="O345" s="7" t="str">
        <f>VLOOKUP(E345,Mapping!$E$11:$I$96,5,0)</f>
        <v>SCS</v>
      </c>
      <c r="Q345" s="33">
        <v>111</v>
      </c>
      <c r="R345" s="33" t="s">
        <v>2126</v>
      </c>
      <c r="S345" s="33">
        <v>531467</v>
      </c>
      <c r="T345" s="33" t="s">
        <v>259</v>
      </c>
      <c r="U345" s="34">
        <v>1109.3366699999999</v>
      </c>
      <c r="V345" s="7"/>
      <c r="W345" s="7" t="str">
        <f>VLOOKUP($Q345,Mapping!$E$11:$I$96,3,0)</f>
        <v>Connections</v>
      </c>
      <c r="X345" s="7" t="str">
        <f>VLOOKUP($S345,Mapping!$E$140:$K$2771,5,0)</f>
        <v>Contracts</v>
      </c>
      <c r="Y345" s="7" t="str">
        <f>VLOOKUP($S345,Mapping!$E$140:$K$2771,7,0)</f>
        <v>ENDirect</v>
      </c>
      <c r="Z345" s="7" t="str">
        <f>IFERROR(HLOOKUP(X345,'Calc|Weightings'!$K$5:$M$5,1,0),"Excl")</f>
        <v>Contracts</v>
      </c>
      <c r="AA345" s="7" t="str">
        <f>VLOOKUP(Q345,Mapping!$E$11:$I$96,5,0)</f>
        <v>SCS</v>
      </c>
      <c r="AC345" s="111">
        <v>111</v>
      </c>
      <c r="AD345" s="111" t="s">
        <v>2126</v>
      </c>
      <c r="AE345" s="111">
        <v>520100</v>
      </c>
      <c r="AF345" s="111" t="s">
        <v>2072</v>
      </c>
      <c r="AG345" s="112">
        <v>6420.8545100000001</v>
      </c>
      <c r="AI345" s="7" t="str">
        <f>VLOOKUP($AC345,Mapping!$E$11:$I$96,3,0)</f>
        <v>Connections</v>
      </c>
      <c r="AJ345" s="7" t="str">
        <f>VLOOKUP($AE345,Mapping!$E$140:$K$2771,5,0)</f>
        <v>Materials</v>
      </c>
      <c r="AK345" s="7" t="str">
        <f>VLOOKUP($AE345,Mapping!$E$140:$K$2771,7,0)</f>
        <v>ENDirect</v>
      </c>
      <c r="AL345" s="7" t="str">
        <f>IFERROR(HLOOKUP(AJ345,'Calc|Weightings'!$K$5:$M$5,1,0),"Excl")</f>
        <v>Materials</v>
      </c>
      <c r="AM345" s="7" t="str">
        <f>VLOOKUP(AC345,Mapping!$E$11:$I$96,5,0)</f>
        <v>SCS</v>
      </c>
      <c r="AO345" s="134">
        <v>111</v>
      </c>
      <c r="AP345" s="135" t="s">
        <v>2126</v>
      </c>
      <c r="AQ345" s="135">
        <v>591998</v>
      </c>
      <c r="AR345" s="135" t="s">
        <v>2077</v>
      </c>
      <c r="AS345" s="136">
        <v>-30.54073</v>
      </c>
      <c r="AU345" s="7" t="str">
        <f>VLOOKUP($AO345,Mapping!$E$11:$I$96,3,0)</f>
        <v>Connections</v>
      </c>
      <c r="AV345" s="7" t="str">
        <f>VLOOKUP($AQ345,Mapping!$E$140:$K$2771,5,0)</f>
        <v>Contracts</v>
      </c>
      <c r="AW345" s="7" t="str">
        <f>VLOOKUP($AQ345,Mapping!$E$140:$K$2771,7,0)</f>
        <v>ENDirect</v>
      </c>
      <c r="AX345" s="7" t="str">
        <f>IFERROR(HLOOKUP(AV345,'Calc|Weightings'!$K$5:$M$5,1,0),"Excl")</f>
        <v>Contracts</v>
      </c>
      <c r="AY345" s="7" t="str">
        <f>VLOOKUP(AO345,Mapping!$E$11:$I$96,5,0)</f>
        <v>SCS</v>
      </c>
    </row>
    <row r="346" spans="1:51" x14ac:dyDescent="0.2">
      <c r="A346" s="7"/>
      <c r="B346" s="7"/>
      <c r="C346" s="7"/>
      <c r="D346" s="7"/>
      <c r="E346" s="36">
        <v>109</v>
      </c>
      <c r="F346" s="36" t="s">
        <v>2124</v>
      </c>
      <c r="G346" s="36">
        <v>613280</v>
      </c>
      <c r="H346" s="36" t="s">
        <v>1342</v>
      </c>
      <c r="I346" s="37">
        <v>2.7168000000000001</v>
      </c>
      <c r="J346" s="7"/>
      <c r="K346" s="7" t="str">
        <f>VLOOKUP($E346,Mapping!$E$11:$I$96,3,0)</f>
        <v>Connections</v>
      </c>
      <c r="L346" s="7" t="str">
        <f>VLOOKUP($G346,Mapping!$E$140:$K$2771,5,0)</f>
        <v>Labour</v>
      </c>
      <c r="M346" s="7" t="str">
        <f>VLOOKUP($G346,Mapping!$E$140:$K$2771,7,0)</f>
        <v>ENDirect</v>
      </c>
      <c r="N346" s="7" t="str">
        <f>IFERROR(HLOOKUP(L346,'Calc|Weightings'!$K$5:$M$5,1,0),"Excl")</f>
        <v>Labour</v>
      </c>
      <c r="O346" s="7" t="str">
        <f>VLOOKUP(E346,Mapping!$E$11:$I$96,5,0)</f>
        <v>SCS</v>
      </c>
      <c r="Q346" s="33">
        <v>111</v>
      </c>
      <c r="R346" s="33" t="s">
        <v>2126</v>
      </c>
      <c r="S346" s="33">
        <v>531468</v>
      </c>
      <c r="T346" s="33" t="s">
        <v>260</v>
      </c>
      <c r="U346" s="34">
        <v>1439.66823</v>
      </c>
      <c r="V346" s="7"/>
      <c r="W346" s="7" t="str">
        <f>VLOOKUP($Q346,Mapping!$E$11:$I$96,3,0)</f>
        <v>Connections</v>
      </c>
      <c r="X346" s="7" t="str">
        <f>VLOOKUP($S346,Mapping!$E$140:$K$2771,5,0)</f>
        <v>Contracts</v>
      </c>
      <c r="Y346" s="7" t="str">
        <f>VLOOKUP($S346,Mapping!$E$140:$K$2771,7,0)</f>
        <v>ENDirect</v>
      </c>
      <c r="Z346" s="7" t="str">
        <f>IFERROR(HLOOKUP(X346,'Calc|Weightings'!$K$5:$M$5,1,0),"Excl")</f>
        <v>Contracts</v>
      </c>
      <c r="AA346" s="7" t="str">
        <f>VLOOKUP(Q346,Mapping!$E$11:$I$96,5,0)</f>
        <v>SCS</v>
      </c>
      <c r="AC346" s="111">
        <v>111</v>
      </c>
      <c r="AD346" s="111" t="s">
        <v>2126</v>
      </c>
      <c r="AE346" s="111">
        <v>520150</v>
      </c>
      <c r="AF346" s="111" t="s">
        <v>2205</v>
      </c>
      <c r="AG346" s="112">
        <v>1.16706</v>
      </c>
      <c r="AI346" s="7" t="str">
        <f>VLOOKUP($AC346,Mapping!$E$11:$I$96,3,0)</f>
        <v>Connections</v>
      </c>
      <c r="AJ346" s="7" t="str">
        <f>VLOOKUP($AE346,Mapping!$E$140:$K$2771,5,0)</f>
        <v>Materials</v>
      </c>
      <c r="AK346" s="7" t="str">
        <f>VLOOKUP($AE346,Mapping!$E$140:$K$2771,7,0)</f>
        <v>ENDirect</v>
      </c>
      <c r="AL346" s="7" t="str">
        <f>IFERROR(HLOOKUP(AJ346,'Calc|Weightings'!$K$5:$M$5,1,0),"Excl")</f>
        <v>Materials</v>
      </c>
      <c r="AM346" s="7" t="str">
        <f>VLOOKUP(AC346,Mapping!$E$11:$I$96,5,0)</f>
        <v>SCS</v>
      </c>
      <c r="AO346" s="134">
        <v>111</v>
      </c>
      <c r="AP346" s="135" t="s">
        <v>2126</v>
      </c>
      <c r="AQ346" s="135">
        <v>591999</v>
      </c>
      <c r="AR346" s="135" t="s">
        <v>2195</v>
      </c>
      <c r="AS346" s="136">
        <v>-45.864719999999998</v>
      </c>
      <c r="AU346" s="7" t="str">
        <f>VLOOKUP($AO346,Mapping!$E$11:$I$96,3,0)</f>
        <v>Connections</v>
      </c>
      <c r="AV346" s="7" t="str">
        <f>VLOOKUP($AQ346,Mapping!$E$140:$K$2771,5,0)</f>
        <v>Contracts</v>
      </c>
      <c r="AW346" s="7" t="str">
        <f>VLOOKUP($AQ346,Mapping!$E$140:$K$2771,7,0)</f>
        <v>ENDirect</v>
      </c>
      <c r="AX346" s="7" t="str">
        <f>IFERROR(HLOOKUP(AV346,'Calc|Weightings'!$K$5:$M$5,1,0),"Excl")</f>
        <v>Contracts</v>
      </c>
      <c r="AY346" s="7" t="str">
        <f>VLOOKUP(AO346,Mapping!$E$11:$I$96,5,0)</f>
        <v>SCS</v>
      </c>
    </row>
    <row r="347" spans="1:51" x14ac:dyDescent="0.2">
      <c r="A347" s="7"/>
      <c r="B347" s="7"/>
      <c r="C347" s="7"/>
      <c r="D347" s="7"/>
      <c r="E347" s="36">
        <v>109</v>
      </c>
      <c r="F347" s="36" t="s">
        <v>2124</v>
      </c>
      <c r="G347" s="36">
        <v>613290</v>
      </c>
      <c r="H347" s="36" t="s">
        <v>2093</v>
      </c>
      <c r="I347" s="37">
        <v>2.6453199999999999</v>
      </c>
      <c r="J347" s="7"/>
      <c r="K347" s="7" t="str">
        <f>VLOOKUP($E347,Mapping!$E$11:$I$96,3,0)</f>
        <v>Connections</v>
      </c>
      <c r="L347" s="7" t="str">
        <f>VLOOKUP($G347,Mapping!$E$140:$K$2771,5,0)</f>
        <v>Labour</v>
      </c>
      <c r="M347" s="7" t="str">
        <f>VLOOKUP($G347,Mapping!$E$140:$K$2771,7,0)</f>
        <v>ENDirect</v>
      </c>
      <c r="N347" s="7" t="str">
        <f>IFERROR(HLOOKUP(L347,'Calc|Weightings'!$K$5:$M$5,1,0),"Excl")</f>
        <v>Labour</v>
      </c>
      <c r="O347" s="7" t="str">
        <f>VLOOKUP(E347,Mapping!$E$11:$I$96,5,0)</f>
        <v>SCS</v>
      </c>
      <c r="Q347" s="33">
        <v>111</v>
      </c>
      <c r="R347" s="33" t="s">
        <v>2126</v>
      </c>
      <c r="S347" s="33">
        <v>531469</v>
      </c>
      <c r="T347" s="33" t="s">
        <v>261</v>
      </c>
      <c r="U347" s="34">
        <v>-666.57324000000006</v>
      </c>
      <c r="V347" s="7"/>
      <c r="W347" s="7" t="str">
        <f>VLOOKUP($Q347,Mapping!$E$11:$I$96,3,0)</f>
        <v>Connections</v>
      </c>
      <c r="X347" s="7" t="str">
        <f>VLOOKUP($S347,Mapping!$E$140:$K$2771,5,0)</f>
        <v>Labour</v>
      </c>
      <c r="Y347" s="7" t="str">
        <f>VLOOKUP($S347,Mapping!$E$140:$K$2771,7,0)</f>
        <v>ENDirect</v>
      </c>
      <c r="Z347" s="7" t="str">
        <f>IFERROR(HLOOKUP(X347,'Calc|Weightings'!$K$5:$M$5,1,0),"Excl")</f>
        <v>Labour</v>
      </c>
      <c r="AA347" s="7" t="str">
        <f>VLOOKUP(Q347,Mapping!$E$11:$I$96,5,0)</f>
        <v>SCS</v>
      </c>
      <c r="AC347" s="111">
        <v>111</v>
      </c>
      <c r="AD347" s="111" t="s">
        <v>2126</v>
      </c>
      <c r="AE347" s="111">
        <v>520200</v>
      </c>
      <c r="AF347" s="111" t="s">
        <v>2073</v>
      </c>
      <c r="AG347" s="112">
        <v>10.954370000000001</v>
      </c>
      <c r="AI347" s="7" t="str">
        <f>VLOOKUP($AC347,Mapping!$E$11:$I$96,3,0)</f>
        <v>Connections</v>
      </c>
      <c r="AJ347" s="7" t="str">
        <f>VLOOKUP($AE347,Mapping!$E$140:$K$2771,5,0)</f>
        <v>Materials</v>
      </c>
      <c r="AK347" s="7" t="str">
        <f>VLOOKUP($AE347,Mapping!$E$140:$K$2771,7,0)</f>
        <v>ENDirect</v>
      </c>
      <c r="AL347" s="7" t="str">
        <f>IFERROR(HLOOKUP(AJ347,'Calc|Weightings'!$K$5:$M$5,1,0),"Excl")</f>
        <v>Materials</v>
      </c>
      <c r="AM347" s="7" t="str">
        <f>VLOOKUP(AC347,Mapping!$E$11:$I$96,5,0)</f>
        <v>SCS</v>
      </c>
      <c r="AO347" s="134">
        <v>111</v>
      </c>
      <c r="AP347" s="135" t="s">
        <v>2126</v>
      </c>
      <c r="AQ347" s="135">
        <v>611900</v>
      </c>
      <c r="AR347" s="135" t="s">
        <v>2079</v>
      </c>
      <c r="AS347" s="136">
        <v>120.63464</v>
      </c>
      <c r="AU347" s="7" t="str">
        <f>VLOOKUP($AO347,Mapping!$E$11:$I$96,3,0)</f>
        <v>Connections</v>
      </c>
      <c r="AV347" s="7" t="str">
        <f>VLOOKUP($AQ347,Mapping!$E$140:$K$2771,5,0)</f>
        <v>Contracts</v>
      </c>
      <c r="AW347" s="7" t="str">
        <f>VLOOKUP($AQ347,Mapping!$E$140:$K$2771,7,0)</f>
        <v>ENDirect</v>
      </c>
      <c r="AX347" s="7" t="str">
        <f>IFERROR(HLOOKUP(AV347,'Calc|Weightings'!$K$5:$M$5,1,0),"Excl")</f>
        <v>Contracts</v>
      </c>
      <c r="AY347" s="7" t="str">
        <f>VLOOKUP(AO347,Mapping!$E$11:$I$96,5,0)</f>
        <v>SCS</v>
      </c>
    </row>
    <row r="348" spans="1:51" x14ac:dyDescent="0.2">
      <c r="A348" s="7"/>
      <c r="B348" s="7"/>
      <c r="C348" s="7"/>
      <c r="D348" s="7"/>
      <c r="E348" s="36">
        <v>109</v>
      </c>
      <c r="F348" s="36" t="s">
        <v>2124</v>
      </c>
      <c r="G348" s="36">
        <v>613298</v>
      </c>
      <c r="H348" s="36" t="s">
        <v>2122</v>
      </c>
      <c r="I348" s="37">
        <v>58.77196</v>
      </c>
      <c r="J348" s="7"/>
      <c r="K348" s="7" t="str">
        <f>VLOOKUP($E348,Mapping!$E$11:$I$96,3,0)</f>
        <v>Connections</v>
      </c>
      <c r="L348" s="7" t="str">
        <f>VLOOKUP($G348,Mapping!$E$140:$K$2771,5,0)</f>
        <v>Labour</v>
      </c>
      <c r="M348" s="7" t="str">
        <f>VLOOKUP($G348,Mapping!$E$140:$K$2771,7,0)</f>
        <v>ENDirect</v>
      </c>
      <c r="N348" s="7" t="str">
        <f>IFERROR(HLOOKUP(L348,'Calc|Weightings'!$K$5:$M$5,1,0),"Excl")</f>
        <v>Labour</v>
      </c>
      <c r="O348" s="7" t="str">
        <f>VLOOKUP(E348,Mapping!$E$11:$I$96,5,0)</f>
        <v>SCS</v>
      </c>
      <c r="Q348" s="33">
        <v>111</v>
      </c>
      <c r="R348" s="33" t="s">
        <v>2126</v>
      </c>
      <c r="S348" s="33">
        <v>532050</v>
      </c>
      <c r="T348" s="33" t="s">
        <v>279</v>
      </c>
      <c r="U348" s="34">
        <v>6.9870000000000001</v>
      </c>
      <c r="V348" s="7"/>
      <c r="W348" s="7" t="str">
        <f>VLOOKUP($Q348,Mapping!$E$11:$I$96,3,0)</f>
        <v>Connections</v>
      </c>
      <c r="X348" s="7" t="str">
        <f>VLOOKUP($S348,Mapping!$E$140:$K$2771,5,0)</f>
        <v>Contracts</v>
      </c>
      <c r="Y348" s="7" t="str">
        <f>VLOOKUP($S348,Mapping!$E$140:$K$2771,7,0)</f>
        <v>ENDirect</v>
      </c>
      <c r="Z348" s="7" t="str">
        <f>IFERROR(HLOOKUP(X348,'Calc|Weightings'!$K$5:$M$5,1,0),"Excl")</f>
        <v>Contracts</v>
      </c>
      <c r="AA348" s="7" t="str">
        <f>VLOOKUP(Q348,Mapping!$E$11:$I$96,5,0)</f>
        <v>SCS</v>
      </c>
      <c r="AC348" s="111">
        <v>111</v>
      </c>
      <c r="AD348" s="111" t="s">
        <v>2126</v>
      </c>
      <c r="AE348" s="111">
        <v>523100</v>
      </c>
      <c r="AF348" s="111" t="s">
        <v>2074</v>
      </c>
      <c r="AG348" s="112">
        <v>72.586259999999996</v>
      </c>
      <c r="AI348" s="7" t="str">
        <f>VLOOKUP($AC348,Mapping!$E$11:$I$96,3,0)</f>
        <v>Connections</v>
      </c>
      <c r="AJ348" s="7" t="str">
        <f>VLOOKUP($AE348,Mapping!$E$140:$K$2771,5,0)</f>
        <v>Materials</v>
      </c>
      <c r="AK348" s="7" t="str">
        <f>VLOOKUP($AE348,Mapping!$E$140:$K$2771,7,0)</f>
        <v>ENDirect</v>
      </c>
      <c r="AL348" s="7" t="str">
        <f>IFERROR(HLOOKUP(AJ348,'Calc|Weightings'!$K$5:$M$5,1,0),"Excl")</f>
        <v>Materials</v>
      </c>
      <c r="AM348" s="7" t="str">
        <f>VLOOKUP(AC348,Mapping!$E$11:$I$96,5,0)</f>
        <v>SCS</v>
      </c>
      <c r="AO348" s="134">
        <v>111</v>
      </c>
      <c r="AP348" s="135" t="s">
        <v>2126</v>
      </c>
      <c r="AQ348" s="135">
        <v>611901</v>
      </c>
      <c r="AR348" s="135" t="s">
        <v>2080</v>
      </c>
      <c r="AS348" s="136">
        <v>103.64417</v>
      </c>
      <c r="AU348" s="7" t="str">
        <f>VLOOKUP($AO348,Mapping!$E$11:$I$96,3,0)</f>
        <v>Connections</v>
      </c>
      <c r="AV348" s="7" t="str">
        <f>VLOOKUP($AQ348,Mapping!$E$140:$K$2771,5,0)</f>
        <v>Contracts</v>
      </c>
      <c r="AW348" s="7" t="str">
        <f>VLOOKUP($AQ348,Mapping!$E$140:$K$2771,7,0)</f>
        <v>ENDirect</v>
      </c>
      <c r="AX348" s="7" t="str">
        <f>IFERROR(HLOOKUP(AV348,'Calc|Weightings'!$K$5:$M$5,1,0),"Excl")</f>
        <v>Contracts</v>
      </c>
      <c r="AY348" s="7" t="str">
        <f>VLOOKUP(AO348,Mapping!$E$11:$I$96,5,0)</f>
        <v>SCS</v>
      </c>
    </row>
    <row r="349" spans="1:51" x14ac:dyDescent="0.2">
      <c r="A349" s="7"/>
      <c r="B349" s="7"/>
      <c r="C349" s="7"/>
      <c r="D349" s="7"/>
      <c r="E349" s="36">
        <v>109</v>
      </c>
      <c r="F349" s="36" t="s">
        <v>2124</v>
      </c>
      <c r="G349" s="36">
        <v>613299</v>
      </c>
      <c r="H349" s="36" t="s">
        <v>2385</v>
      </c>
      <c r="I349" s="37">
        <v>1.7510000000000001E-2</v>
      </c>
      <c r="J349" s="7"/>
      <c r="K349" s="7" t="str">
        <f>VLOOKUP($E349,Mapping!$E$11:$I$96,3,0)</f>
        <v>Connections</v>
      </c>
      <c r="L349" s="7" t="str">
        <f>VLOOKUP($G349,Mapping!$E$140:$K$2771,5,0)</f>
        <v>Labour</v>
      </c>
      <c r="M349" s="7" t="str">
        <f>VLOOKUP($G349,Mapping!$E$140:$K$2771,7,0)</f>
        <v>ENDirect</v>
      </c>
      <c r="N349" s="7" t="str">
        <f>IFERROR(HLOOKUP(L349,'Calc|Weightings'!$K$5:$M$5,1,0),"Excl")</f>
        <v>Labour</v>
      </c>
      <c r="O349" s="7" t="str">
        <f>VLOOKUP(E349,Mapping!$E$11:$I$96,5,0)</f>
        <v>SCS</v>
      </c>
      <c r="Q349" s="33">
        <v>111</v>
      </c>
      <c r="R349" s="33" t="s">
        <v>2126</v>
      </c>
      <c r="S349" s="33">
        <v>532140</v>
      </c>
      <c r="T349" s="33" t="s">
        <v>288</v>
      </c>
      <c r="U349" s="34">
        <v>2.3580000000000001</v>
      </c>
      <c r="V349" s="7"/>
      <c r="W349" s="7" t="str">
        <f>VLOOKUP($Q349,Mapping!$E$11:$I$96,3,0)</f>
        <v>Connections</v>
      </c>
      <c r="X349" s="7" t="str">
        <f>VLOOKUP($S349,Mapping!$E$140:$K$2771,5,0)</f>
        <v>Contracts</v>
      </c>
      <c r="Y349" s="7" t="str">
        <f>VLOOKUP($S349,Mapping!$E$140:$K$2771,7,0)</f>
        <v>ENDirect</v>
      </c>
      <c r="Z349" s="7" t="str">
        <f>IFERROR(HLOOKUP(X349,'Calc|Weightings'!$K$5:$M$5,1,0),"Excl")</f>
        <v>Contracts</v>
      </c>
      <c r="AA349" s="7" t="str">
        <f>VLOOKUP(Q349,Mapping!$E$11:$I$96,5,0)</f>
        <v>SCS</v>
      </c>
      <c r="AC349" s="111">
        <v>111</v>
      </c>
      <c r="AD349" s="111" t="s">
        <v>2126</v>
      </c>
      <c r="AE349" s="111">
        <v>523300</v>
      </c>
      <c r="AF349" s="111" t="s">
        <v>2075</v>
      </c>
      <c r="AG349" s="112">
        <v>1.6525700000000001</v>
      </c>
      <c r="AI349" s="7" t="str">
        <f>VLOOKUP($AC349,Mapping!$E$11:$I$96,3,0)</f>
        <v>Connections</v>
      </c>
      <c r="AJ349" s="7" t="str">
        <f>VLOOKUP($AE349,Mapping!$E$140:$K$2771,5,0)</f>
        <v>Materials</v>
      </c>
      <c r="AK349" s="7" t="str">
        <f>VLOOKUP($AE349,Mapping!$E$140:$K$2771,7,0)</f>
        <v>ENDirect</v>
      </c>
      <c r="AL349" s="7" t="str">
        <f>IFERROR(HLOOKUP(AJ349,'Calc|Weightings'!$K$5:$M$5,1,0),"Excl")</f>
        <v>Materials</v>
      </c>
      <c r="AM349" s="7" t="str">
        <f>VLOOKUP(AC349,Mapping!$E$11:$I$96,5,0)</f>
        <v>SCS</v>
      </c>
      <c r="AO349" s="134">
        <v>111</v>
      </c>
      <c r="AP349" s="135" t="s">
        <v>2126</v>
      </c>
      <c r="AQ349" s="135">
        <v>611902</v>
      </c>
      <c r="AR349" s="135" t="s">
        <v>2081</v>
      </c>
      <c r="AS349" s="136">
        <v>211.51140000000001</v>
      </c>
      <c r="AU349" s="7" t="str">
        <f>VLOOKUP($AO349,Mapping!$E$11:$I$96,3,0)</f>
        <v>Connections</v>
      </c>
      <c r="AV349" s="7" t="str">
        <f>VLOOKUP($AQ349,Mapping!$E$140:$K$2771,5,0)</f>
        <v>Contracts</v>
      </c>
      <c r="AW349" s="7" t="str">
        <f>VLOOKUP($AQ349,Mapping!$E$140:$K$2771,7,0)</f>
        <v>ENDirect</v>
      </c>
      <c r="AX349" s="7" t="str">
        <f>IFERROR(HLOOKUP(AV349,'Calc|Weightings'!$K$5:$M$5,1,0),"Excl")</f>
        <v>Contracts</v>
      </c>
      <c r="AY349" s="7" t="str">
        <f>VLOOKUP(AO349,Mapping!$E$11:$I$96,5,0)</f>
        <v>SCS</v>
      </c>
    </row>
    <row r="350" spans="1:51" x14ac:dyDescent="0.2">
      <c r="A350" s="7"/>
      <c r="B350" s="7"/>
      <c r="C350" s="7"/>
      <c r="D350" s="7"/>
      <c r="E350" s="36">
        <v>109</v>
      </c>
      <c r="F350" s="36" t="s">
        <v>2124</v>
      </c>
      <c r="G350" s="36">
        <v>613310</v>
      </c>
      <c r="H350" s="36" t="s">
        <v>2095</v>
      </c>
      <c r="I350" s="37">
        <v>3.2874400000000001</v>
      </c>
      <c r="J350" s="7"/>
      <c r="K350" s="7" t="str">
        <f>VLOOKUP($E350,Mapping!$E$11:$I$96,3,0)</f>
        <v>Connections</v>
      </c>
      <c r="L350" s="7" t="str">
        <f>VLOOKUP($G350,Mapping!$E$140:$K$2771,5,0)</f>
        <v>Labour</v>
      </c>
      <c r="M350" s="7" t="str">
        <f>VLOOKUP($G350,Mapping!$E$140:$K$2771,7,0)</f>
        <v>ENDirect</v>
      </c>
      <c r="N350" s="7" t="str">
        <f>IFERROR(HLOOKUP(L350,'Calc|Weightings'!$K$5:$M$5,1,0),"Excl")</f>
        <v>Labour</v>
      </c>
      <c r="O350" s="7" t="str">
        <f>VLOOKUP(E350,Mapping!$E$11:$I$96,5,0)</f>
        <v>SCS</v>
      </c>
      <c r="Q350" s="33">
        <v>111</v>
      </c>
      <c r="R350" s="33" t="s">
        <v>2126</v>
      </c>
      <c r="S350" s="33">
        <v>532200</v>
      </c>
      <c r="T350" s="33" t="s">
        <v>291</v>
      </c>
      <c r="U350" s="34">
        <v>0.19858999999999999</v>
      </c>
      <c r="V350" s="7"/>
      <c r="W350" s="7" t="str">
        <f>VLOOKUP($Q350,Mapping!$E$11:$I$96,3,0)</f>
        <v>Connections</v>
      </c>
      <c r="X350" s="7" t="str">
        <f>VLOOKUP($S350,Mapping!$E$140:$K$2771,5,0)</f>
        <v>Contracts</v>
      </c>
      <c r="Y350" s="7" t="str">
        <f>VLOOKUP($S350,Mapping!$E$140:$K$2771,7,0)</f>
        <v>ENDirect</v>
      </c>
      <c r="Z350" s="7" t="str">
        <f>IFERROR(HLOOKUP(X350,'Calc|Weightings'!$K$5:$M$5,1,0),"Excl")</f>
        <v>Contracts</v>
      </c>
      <c r="AA350" s="7" t="str">
        <f>VLOOKUP(Q350,Mapping!$E$11:$I$96,5,0)</f>
        <v>SCS</v>
      </c>
      <c r="AC350" s="111">
        <v>111</v>
      </c>
      <c r="AD350" s="111" t="s">
        <v>2126</v>
      </c>
      <c r="AE350" s="111">
        <v>531000</v>
      </c>
      <c r="AF350" s="111" t="s">
        <v>242</v>
      </c>
      <c r="AG350" s="112">
        <v>2.5365000000000002</v>
      </c>
      <c r="AI350" s="7" t="str">
        <f>VLOOKUP($AC350,Mapping!$E$11:$I$96,3,0)</f>
        <v>Connections</v>
      </c>
      <c r="AJ350" s="7" t="str">
        <f>VLOOKUP($AE350,Mapping!$E$140:$K$2771,5,0)</f>
        <v>Contracts</v>
      </c>
      <c r="AK350" s="7" t="str">
        <f>VLOOKUP($AE350,Mapping!$E$140:$K$2771,7,0)</f>
        <v>ENDirect</v>
      </c>
      <c r="AL350" s="7" t="str">
        <f>IFERROR(HLOOKUP(AJ350,'Calc|Weightings'!$K$5:$M$5,1,0),"Excl")</f>
        <v>Contracts</v>
      </c>
      <c r="AM350" s="7" t="str">
        <f>VLOOKUP(AC350,Mapping!$E$11:$I$96,5,0)</f>
        <v>SCS</v>
      </c>
      <c r="AO350" s="134">
        <v>111</v>
      </c>
      <c r="AP350" s="135" t="s">
        <v>2126</v>
      </c>
      <c r="AQ350" s="135">
        <v>612210</v>
      </c>
      <c r="AR350" s="135" t="s">
        <v>1184</v>
      </c>
      <c r="AS350" s="136">
        <v>102.97977</v>
      </c>
      <c r="AU350" s="7" t="str">
        <f>VLOOKUP($AO350,Mapping!$E$11:$I$96,3,0)</f>
        <v>Connections</v>
      </c>
      <c r="AV350" s="7" t="str">
        <f>VLOOKUP($AQ350,Mapping!$E$140:$K$2771,5,0)</f>
        <v>Labour</v>
      </c>
      <c r="AW350" s="7" t="str">
        <f>VLOOKUP($AQ350,Mapping!$E$140:$K$2771,7,0)</f>
        <v>ENDirect</v>
      </c>
      <c r="AX350" s="7" t="str">
        <f>IFERROR(HLOOKUP(AV350,'Calc|Weightings'!$K$5:$M$5,1,0),"Excl")</f>
        <v>Labour</v>
      </c>
      <c r="AY350" s="7" t="str">
        <f>VLOOKUP(AO350,Mapping!$E$11:$I$96,5,0)</f>
        <v>SCS</v>
      </c>
    </row>
    <row r="351" spans="1:51" x14ac:dyDescent="0.2">
      <c r="A351" s="7"/>
      <c r="B351" s="7"/>
      <c r="C351" s="7"/>
      <c r="D351" s="7"/>
      <c r="E351" s="36">
        <v>109</v>
      </c>
      <c r="F351" s="36" t="s">
        <v>2124</v>
      </c>
      <c r="G351" s="36">
        <v>613350</v>
      </c>
      <c r="H351" s="36" t="s">
        <v>2096</v>
      </c>
      <c r="I351" s="37">
        <v>58.982700000000001</v>
      </c>
      <c r="J351" s="7"/>
      <c r="K351" s="7" t="str">
        <f>VLOOKUP($E351,Mapping!$E$11:$I$96,3,0)</f>
        <v>Connections</v>
      </c>
      <c r="L351" s="7" t="str">
        <f>VLOOKUP($G351,Mapping!$E$140:$K$2771,5,0)</f>
        <v>Labour</v>
      </c>
      <c r="M351" s="7" t="str">
        <f>VLOOKUP($G351,Mapping!$E$140:$K$2771,7,0)</f>
        <v>ENDirect</v>
      </c>
      <c r="N351" s="7" t="str">
        <f>IFERROR(HLOOKUP(L351,'Calc|Weightings'!$K$5:$M$5,1,0),"Excl")</f>
        <v>Labour</v>
      </c>
      <c r="O351" s="7" t="str">
        <f>VLOOKUP(E351,Mapping!$E$11:$I$96,5,0)</f>
        <v>SCS</v>
      </c>
      <c r="Q351" s="33">
        <v>111</v>
      </c>
      <c r="R351" s="33" t="s">
        <v>2126</v>
      </c>
      <c r="S351" s="33">
        <v>591997</v>
      </c>
      <c r="T351" s="33" t="s">
        <v>399</v>
      </c>
      <c r="U351" s="34">
        <v>-49.079790000000003</v>
      </c>
      <c r="V351" s="7"/>
      <c r="W351" s="7" t="str">
        <f>VLOOKUP($Q351,Mapping!$E$11:$I$96,3,0)</f>
        <v>Connections</v>
      </c>
      <c r="X351" s="7" t="str">
        <f>VLOOKUP($S351,Mapping!$E$140:$K$2771,5,0)</f>
        <v>Contracts</v>
      </c>
      <c r="Y351" s="7" t="str">
        <f>VLOOKUP($S351,Mapping!$E$140:$K$2771,7,0)</f>
        <v>ENDirect</v>
      </c>
      <c r="Z351" s="7" t="str">
        <f>IFERROR(HLOOKUP(X351,'Calc|Weightings'!$K$5:$M$5,1,0),"Excl")</f>
        <v>Contracts</v>
      </c>
      <c r="AA351" s="7" t="str">
        <f>VLOOKUP(Q351,Mapping!$E$11:$I$96,5,0)</f>
        <v>SCS</v>
      </c>
      <c r="AC351" s="111">
        <v>111</v>
      </c>
      <c r="AD351" s="111" t="s">
        <v>2126</v>
      </c>
      <c r="AE351" s="111">
        <v>531020</v>
      </c>
      <c r="AF351" s="111" t="s">
        <v>219</v>
      </c>
      <c r="AG351" s="112">
        <v>-14.306900000000001</v>
      </c>
      <c r="AI351" s="7" t="str">
        <f>VLOOKUP($AC351,Mapping!$E$11:$I$96,3,0)</f>
        <v>Connections</v>
      </c>
      <c r="AJ351" s="7" t="str">
        <f>VLOOKUP($AE351,Mapping!$E$140:$K$2771,5,0)</f>
        <v>Labour</v>
      </c>
      <c r="AK351" s="7" t="str">
        <f>VLOOKUP($AE351,Mapping!$E$140:$K$2771,7,0)</f>
        <v>ENDirect</v>
      </c>
      <c r="AL351" s="7" t="str">
        <f>IFERROR(HLOOKUP(AJ351,'Calc|Weightings'!$K$5:$M$5,1,0),"Excl")</f>
        <v>Labour</v>
      </c>
      <c r="AM351" s="7" t="str">
        <f>VLOOKUP(AC351,Mapping!$E$11:$I$96,5,0)</f>
        <v>SCS</v>
      </c>
      <c r="AO351" s="134">
        <v>111</v>
      </c>
      <c r="AP351" s="135" t="s">
        <v>2126</v>
      </c>
      <c r="AQ351" s="135">
        <v>612310</v>
      </c>
      <c r="AR351" s="135" t="s">
        <v>1208</v>
      </c>
      <c r="AS351" s="136">
        <v>0.41524</v>
      </c>
      <c r="AU351" s="7" t="str">
        <f>VLOOKUP($AO351,Mapping!$E$11:$I$96,3,0)</f>
        <v>Connections</v>
      </c>
      <c r="AV351" s="7" t="str">
        <f>VLOOKUP($AQ351,Mapping!$E$140:$K$2771,5,0)</f>
        <v>Labour</v>
      </c>
      <c r="AW351" s="7" t="str">
        <f>VLOOKUP($AQ351,Mapping!$E$140:$K$2771,7,0)</f>
        <v>ENDirect</v>
      </c>
      <c r="AX351" s="7" t="str">
        <f>IFERROR(HLOOKUP(AV351,'Calc|Weightings'!$K$5:$M$5,1,0),"Excl")</f>
        <v>Labour</v>
      </c>
      <c r="AY351" s="7" t="str">
        <f>VLOOKUP(AO351,Mapping!$E$11:$I$96,5,0)</f>
        <v>SCS</v>
      </c>
    </row>
    <row r="352" spans="1:51" x14ac:dyDescent="0.2">
      <c r="A352" s="7"/>
      <c r="B352" s="7"/>
      <c r="C352" s="7"/>
      <c r="D352" s="7"/>
      <c r="E352" s="36">
        <v>109</v>
      </c>
      <c r="F352" s="36" t="s">
        <v>2124</v>
      </c>
      <c r="G352" s="36">
        <v>613360</v>
      </c>
      <c r="H352" s="36" t="s">
        <v>2097</v>
      </c>
      <c r="I352" s="37">
        <v>11.99897</v>
      </c>
      <c r="J352" s="7"/>
      <c r="K352" s="7" t="str">
        <f>VLOOKUP($E352,Mapping!$E$11:$I$96,3,0)</f>
        <v>Connections</v>
      </c>
      <c r="L352" s="7" t="str">
        <f>VLOOKUP($G352,Mapping!$E$140:$K$2771,5,0)</f>
        <v>Labour</v>
      </c>
      <c r="M352" s="7" t="str">
        <f>VLOOKUP($G352,Mapping!$E$140:$K$2771,7,0)</f>
        <v>ENDirect</v>
      </c>
      <c r="N352" s="7" t="str">
        <f>IFERROR(HLOOKUP(L352,'Calc|Weightings'!$K$5:$M$5,1,0),"Excl")</f>
        <v>Labour</v>
      </c>
      <c r="O352" s="7" t="str">
        <f>VLOOKUP(E352,Mapping!$E$11:$I$96,5,0)</f>
        <v>SCS</v>
      </c>
      <c r="Q352" s="33">
        <v>111</v>
      </c>
      <c r="R352" s="33" t="s">
        <v>2126</v>
      </c>
      <c r="S352" s="33">
        <v>591998</v>
      </c>
      <c r="T352" s="33" t="s">
        <v>2077</v>
      </c>
      <c r="U352" s="34">
        <v>-48.436889999999998</v>
      </c>
      <c r="V352" s="7"/>
      <c r="W352" s="7" t="str">
        <f>VLOOKUP($Q352,Mapping!$E$11:$I$96,3,0)</f>
        <v>Connections</v>
      </c>
      <c r="X352" s="7" t="str">
        <f>VLOOKUP($S352,Mapping!$E$140:$K$2771,5,0)</f>
        <v>Contracts</v>
      </c>
      <c r="Y352" s="7" t="str">
        <f>VLOOKUP($S352,Mapping!$E$140:$K$2771,7,0)</f>
        <v>ENDirect</v>
      </c>
      <c r="Z352" s="7" t="str">
        <f>IFERROR(HLOOKUP(X352,'Calc|Weightings'!$K$5:$M$5,1,0),"Excl")</f>
        <v>Contracts</v>
      </c>
      <c r="AA352" s="7" t="str">
        <f>VLOOKUP(Q352,Mapping!$E$11:$I$96,5,0)</f>
        <v>SCS</v>
      </c>
      <c r="AC352" s="111">
        <v>111</v>
      </c>
      <c r="AD352" s="111" t="s">
        <v>2126</v>
      </c>
      <c r="AE352" s="111">
        <v>531200</v>
      </c>
      <c r="AF352" s="111" t="s">
        <v>250</v>
      </c>
      <c r="AG352" s="112">
        <v>211.16499999999999</v>
      </c>
      <c r="AI352" s="7" t="str">
        <f>VLOOKUP($AC352,Mapping!$E$11:$I$96,3,0)</f>
        <v>Connections</v>
      </c>
      <c r="AJ352" s="7" t="str">
        <f>VLOOKUP($AE352,Mapping!$E$140:$K$2771,5,0)</f>
        <v>Contracts</v>
      </c>
      <c r="AK352" s="7" t="str">
        <f>VLOOKUP($AE352,Mapping!$E$140:$K$2771,7,0)</f>
        <v>ENDirect</v>
      </c>
      <c r="AL352" s="7" t="str">
        <f>IFERROR(HLOOKUP(AJ352,'Calc|Weightings'!$K$5:$M$5,1,0),"Excl")</f>
        <v>Contracts</v>
      </c>
      <c r="AM352" s="7" t="str">
        <f>VLOOKUP(AC352,Mapping!$E$11:$I$96,5,0)</f>
        <v>SCS</v>
      </c>
      <c r="AO352" s="134">
        <v>111</v>
      </c>
      <c r="AP352" s="135" t="s">
        <v>2126</v>
      </c>
      <c r="AQ352" s="135">
        <v>613240</v>
      </c>
      <c r="AR352" s="135" t="s">
        <v>2082</v>
      </c>
      <c r="AS352" s="136">
        <v>52.263779999999997</v>
      </c>
      <c r="AU352" s="7" t="str">
        <f>VLOOKUP($AO352,Mapping!$E$11:$I$96,3,0)</f>
        <v>Connections</v>
      </c>
      <c r="AV352" s="7" t="str">
        <f>VLOOKUP($AQ352,Mapping!$E$140:$K$2771,5,0)</f>
        <v>Labour</v>
      </c>
      <c r="AW352" s="7" t="str">
        <f>VLOOKUP($AQ352,Mapping!$E$140:$K$2771,7,0)</f>
        <v>ENDirect</v>
      </c>
      <c r="AX352" s="7" t="str">
        <f>IFERROR(HLOOKUP(AV352,'Calc|Weightings'!$K$5:$M$5,1,0),"Excl")</f>
        <v>Labour</v>
      </c>
      <c r="AY352" s="7" t="str">
        <f>VLOOKUP(AO352,Mapping!$E$11:$I$96,5,0)</f>
        <v>SCS</v>
      </c>
    </row>
    <row r="353" spans="1:51" x14ac:dyDescent="0.2">
      <c r="A353" s="7"/>
      <c r="B353" s="7"/>
      <c r="C353" s="7"/>
      <c r="D353" s="7"/>
      <c r="E353" s="36">
        <v>109</v>
      </c>
      <c r="F353" s="36" t="s">
        <v>2124</v>
      </c>
      <c r="G353" s="36">
        <v>613408</v>
      </c>
      <c r="H353" s="36" t="s">
        <v>1418</v>
      </c>
      <c r="I353" s="37">
        <v>0.97367999999999999</v>
      </c>
      <c r="J353" s="7"/>
      <c r="K353" s="7" t="str">
        <f>VLOOKUP($E353,Mapping!$E$11:$I$96,3,0)</f>
        <v>Connections</v>
      </c>
      <c r="L353" s="7" t="str">
        <f>VLOOKUP($G353,Mapping!$E$140:$K$2771,5,0)</f>
        <v>Labour</v>
      </c>
      <c r="M353" s="7" t="str">
        <f>VLOOKUP($G353,Mapping!$E$140:$K$2771,7,0)</f>
        <v>ENDirect</v>
      </c>
      <c r="N353" s="7" t="str">
        <f>IFERROR(HLOOKUP(L353,'Calc|Weightings'!$K$5:$M$5,1,0),"Excl")</f>
        <v>Labour</v>
      </c>
      <c r="O353" s="7" t="str">
        <f>VLOOKUP(E353,Mapping!$E$11:$I$96,5,0)</f>
        <v>SCS</v>
      </c>
      <c r="Q353" s="33">
        <v>111</v>
      </c>
      <c r="R353" s="33" t="s">
        <v>2126</v>
      </c>
      <c r="S353" s="33">
        <v>591999</v>
      </c>
      <c r="T353" s="33" t="s">
        <v>2078</v>
      </c>
      <c r="U353" s="34">
        <v>-166.70374000000001</v>
      </c>
      <c r="V353" s="7"/>
      <c r="W353" s="7" t="str">
        <f>VLOOKUP($Q353,Mapping!$E$11:$I$96,3,0)</f>
        <v>Connections</v>
      </c>
      <c r="X353" s="7" t="str">
        <f>VLOOKUP($S353,Mapping!$E$140:$K$2771,5,0)</f>
        <v>Contracts</v>
      </c>
      <c r="Y353" s="7" t="str">
        <f>VLOOKUP($S353,Mapping!$E$140:$K$2771,7,0)</f>
        <v>ENDirect</v>
      </c>
      <c r="Z353" s="7" t="str">
        <f>IFERROR(HLOOKUP(X353,'Calc|Weightings'!$K$5:$M$5,1,0),"Excl")</f>
        <v>Contracts</v>
      </c>
      <c r="AA353" s="7" t="str">
        <f>VLOOKUP(Q353,Mapping!$E$11:$I$96,5,0)</f>
        <v>SCS</v>
      </c>
      <c r="AC353" s="111">
        <v>111</v>
      </c>
      <c r="AD353" s="111" t="s">
        <v>2126</v>
      </c>
      <c r="AE353" s="111">
        <v>531201</v>
      </c>
      <c r="AF353" s="111" t="s">
        <v>251</v>
      </c>
      <c r="AG353" s="112">
        <v>198.20138</v>
      </c>
      <c r="AI353" s="7" t="str">
        <f>VLOOKUP($AC353,Mapping!$E$11:$I$96,3,0)</f>
        <v>Connections</v>
      </c>
      <c r="AJ353" s="7" t="str">
        <f>VLOOKUP($AE353,Mapping!$E$140:$K$2771,5,0)</f>
        <v>Contracts</v>
      </c>
      <c r="AK353" s="7" t="str">
        <f>VLOOKUP($AE353,Mapping!$E$140:$K$2771,7,0)</f>
        <v>ENDirect</v>
      </c>
      <c r="AL353" s="7" t="str">
        <f>IFERROR(HLOOKUP(AJ353,'Calc|Weightings'!$K$5:$M$5,1,0),"Excl")</f>
        <v>Contracts</v>
      </c>
      <c r="AM353" s="7" t="str">
        <f>VLOOKUP(AC353,Mapping!$E$11:$I$96,5,0)</f>
        <v>SCS</v>
      </c>
      <c r="AO353" s="134">
        <v>111</v>
      </c>
      <c r="AP353" s="135" t="s">
        <v>2126</v>
      </c>
      <c r="AQ353" s="135">
        <v>613241</v>
      </c>
      <c r="AR353" s="135" t="s">
        <v>2083</v>
      </c>
      <c r="AS353" s="136">
        <v>1.29904</v>
      </c>
      <c r="AU353" s="7" t="str">
        <f>VLOOKUP($AO353,Mapping!$E$11:$I$96,3,0)</f>
        <v>Connections</v>
      </c>
      <c r="AV353" s="7" t="str">
        <f>VLOOKUP($AQ353,Mapping!$E$140:$K$2771,5,0)</f>
        <v>Labour</v>
      </c>
      <c r="AW353" s="7" t="str">
        <f>VLOOKUP($AQ353,Mapping!$E$140:$K$2771,7,0)</f>
        <v>ENDirect</v>
      </c>
      <c r="AX353" s="7" t="str">
        <f>IFERROR(HLOOKUP(AV353,'Calc|Weightings'!$K$5:$M$5,1,0),"Excl")</f>
        <v>Labour</v>
      </c>
      <c r="AY353" s="7" t="str">
        <f>VLOOKUP(AO353,Mapping!$E$11:$I$96,5,0)</f>
        <v>SCS</v>
      </c>
    </row>
    <row r="354" spans="1:51" x14ac:dyDescent="0.2">
      <c r="A354" s="7"/>
      <c r="B354" s="7"/>
      <c r="C354" s="7"/>
      <c r="D354" s="7"/>
      <c r="E354" s="36">
        <v>109</v>
      </c>
      <c r="F354" s="36" t="s">
        <v>2124</v>
      </c>
      <c r="G354" s="36">
        <v>613409</v>
      </c>
      <c r="H354" s="36" t="s">
        <v>1419</v>
      </c>
      <c r="I354" s="37">
        <v>0.24342</v>
      </c>
      <c r="J354" s="7"/>
      <c r="K354" s="7" t="str">
        <f>VLOOKUP($E354,Mapping!$E$11:$I$96,3,0)</f>
        <v>Connections</v>
      </c>
      <c r="L354" s="7" t="str">
        <f>VLOOKUP($G354,Mapping!$E$140:$K$2771,5,0)</f>
        <v>Labour</v>
      </c>
      <c r="M354" s="7" t="str">
        <f>VLOOKUP($G354,Mapping!$E$140:$K$2771,7,0)</f>
        <v>ENDirect</v>
      </c>
      <c r="N354" s="7" t="str">
        <f>IFERROR(HLOOKUP(L354,'Calc|Weightings'!$K$5:$M$5,1,0),"Excl")</f>
        <v>Labour</v>
      </c>
      <c r="O354" s="7" t="str">
        <f>VLOOKUP(E354,Mapping!$E$11:$I$96,5,0)</f>
        <v>SCS</v>
      </c>
      <c r="Q354" s="33">
        <v>111</v>
      </c>
      <c r="R354" s="33" t="s">
        <v>2126</v>
      </c>
      <c r="S354" s="33">
        <v>611900</v>
      </c>
      <c r="T354" s="33" t="s">
        <v>2079</v>
      </c>
      <c r="U354" s="34">
        <v>86.722939999999994</v>
      </c>
      <c r="V354" s="7"/>
      <c r="W354" s="7" t="str">
        <f>VLOOKUP($Q354,Mapping!$E$11:$I$96,3,0)</f>
        <v>Connections</v>
      </c>
      <c r="X354" s="7" t="str">
        <f>VLOOKUP($S354,Mapping!$E$140:$K$2771,5,0)</f>
        <v>Contracts</v>
      </c>
      <c r="Y354" s="7" t="str">
        <f>VLOOKUP($S354,Mapping!$E$140:$K$2771,7,0)</f>
        <v>ENDirect</v>
      </c>
      <c r="Z354" s="7" t="str">
        <f>IFERROR(HLOOKUP(X354,'Calc|Weightings'!$K$5:$M$5,1,0),"Excl")</f>
        <v>Contracts</v>
      </c>
      <c r="AA354" s="7" t="str">
        <f>VLOOKUP(Q354,Mapping!$E$11:$I$96,5,0)</f>
        <v>SCS</v>
      </c>
      <c r="AC354" s="111">
        <v>111</v>
      </c>
      <c r="AD354" s="111" t="s">
        <v>2126</v>
      </c>
      <c r="AE354" s="111">
        <v>531210</v>
      </c>
      <c r="AF354" s="111" t="s">
        <v>252</v>
      </c>
      <c r="AG354" s="112">
        <v>11.008319999999999</v>
      </c>
      <c r="AI354" s="7" t="str">
        <f>VLOOKUP($AC354,Mapping!$E$11:$I$96,3,0)</f>
        <v>Connections</v>
      </c>
      <c r="AJ354" s="7" t="str">
        <f>VLOOKUP($AE354,Mapping!$E$140:$K$2771,5,0)</f>
        <v>Labour</v>
      </c>
      <c r="AK354" s="7" t="str">
        <f>VLOOKUP($AE354,Mapping!$E$140:$K$2771,7,0)</f>
        <v>ENDirect</v>
      </c>
      <c r="AL354" s="7" t="str">
        <f>IFERROR(HLOOKUP(AJ354,'Calc|Weightings'!$K$5:$M$5,1,0),"Excl")</f>
        <v>Labour</v>
      </c>
      <c r="AM354" s="7" t="str">
        <f>VLOOKUP(AC354,Mapping!$E$11:$I$96,5,0)</f>
        <v>SCS</v>
      </c>
      <c r="AO354" s="134">
        <v>111</v>
      </c>
      <c r="AP354" s="135" t="s">
        <v>2126</v>
      </c>
      <c r="AQ354" s="135">
        <v>613250</v>
      </c>
      <c r="AR354" s="135" t="s">
        <v>2086</v>
      </c>
      <c r="AS354" s="136">
        <v>145.25328999999999</v>
      </c>
      <c r="AU354" s="7" t="str">
        <f>VLOOKUP($AO354,Mapping!$E$11:$I$96,3,0)</f>
        <v>Connections</v>
      </c>
      <c r="AV354" s="7" t="str">
        <f>VLOOKUP($AQ354,Mapping!$E$140:$K$2771,5,0)</f>
        <v>Labour</v>
      </c>
      <c r="AW354" s="7" t="str">
        <f>VLOOKUP($AQ354,Mapping!$E$140:$K$2771,7,0)</f>
        <v>ENDirect</v>
      </c>
      <c r="AX354" s="7" t="str">
        <f>IFERROR(HLOOKUP(AV354,'Calc|Weightings'!$K$5:$M$5,1,0),"Excl")</f>
        <v>Labour</v>
      </c>
      <c r="AY354" s="7" t="str">
        <f>VLOOKUP(AO354,Mapping!$E$11:$I$96,5,0)</f>
        <v>SCS</v>
      </c>
    </row>
    <row r="355" spans="1:51" x14ac:dyDescent="0.2">
      <c r="A355" s="7"/>
      <c r="B355" s="7"/>
      <c r="C355" s="7"/>
      <c r="D355" s="7"/>
      <c r="E355" s="36">
        <v>109</v>
      </c>
      <c r="F355" s="36" t="s">
        <v>2124</v>
      </c>
      <c r="G355" s="36">
        <v>613566</v>
      </c>
      <c r="H355" s="36" t="s">
        <v>1482</v>
      </c>
      <c r="I355" s="37">
        <v>0.97367999999999999</v>
      </c>
      <c r="J355" s="7"/>
      <c r="K355" s="7" t="str">
        <f>VLOOKUP($E355,Mapping!$E$11:$I$96,3,0)</f>
        <v>Connections</v>
      </c>
      <c r="L355" s="7" t="str">
        <f>VLOOKUP($G355,Mapping!$E$140:$K$2771,5,0)</f>
        <v>Labour</v>
      </c>
      <c r="M355" s="7" t="str">
        <f>VLOOKUP($G355,Mapping!$E$140:$K$2771,7,0)</f>
        <v>ENDirect</v>
      </c>
      <c r="N355" s="7" t="str">
        <f>IFERROR(HLOOKUP(L355,'Calc|Weightings'!$K$5:$M$5,1,0),"Excl")</f>
        <v>Labour</v>
      </c>
      <c r="O355" s="7" t="str">
        <f>VLOOKUP(E355,Mapping!$E$11:$I$96,5,0)</f>
        <v>SCS</v>
      </c>
      <c r="Q355" s="33">
        <v>111</v>
      </c>
      <c r="R355" s="33" t="s">
        <v>2126</v>
      </c>
      <c r="S355" s="33">
        <v>611901</v>
      </c>
      <c r="T355" s="33" t="s">
        <v>2080</v>
      </c>
      <c r="U355" s="34">
        <v>104.66243</v>
      </c>
      <c r="V355" s="7"/>
      <c r="W355" s="7" t="str">
        <f>VLOOKUP($Q355,Mapping!$E$11:$I$96,3,0)</f>
        <v>Connections</v>
      </c>
      <c r="X355" s="7" t="str">
        <f>VLOOKUP($S355,Mapping!$E$140:$K$2771,5,0)</f>
        <v>Contracts</v>
      </c>
      <c r="Y355" s="7" t="str">
        <f>VLOOKUP($S355,Mapping!$E$140:$K$2771,7,0)</f>
        <v>ENDirect</v>
      </c>
      <c r="Z355" s="7" t="str">
        <f>IFERROR(HLOOKUP(X355,'Calc|Weightings'!$K$5:$M$5,1,0),"Excl")</f>
        <v>Contracts</v>
      </c>
      <c r="AA355" s="7" t="str">
        <f>VLOOKUP(Q355,Mapping!$E$11:$I$96,5,0)</f>
        <v>SCS</v>
      </c>
      <c r="AC355" s="111">
        <v>111</v>
      </c>
      <c r="AD355" s="111" t="s">
        <v>2126</v>
      </c>
      <c r="AE355" s="111">
        <v>531464</v>
      </c>
      <c r="AF355" s="111" t="s">
        <v>256</v>
      </c>
      <c r="AG355" s="112">
        <v>3835.8171200000002</v>
      </c>
      <c r="AI355" s="7" t="str">
        <f>VLOOKUP($AC355,Mapping!$E$11:$I$96,3,0)</f>
        <v>Connections</v>
      </c>
      <c r="AJ355" s="7" t="str">
        <f>VLOOKUP($AE355,Mapping!$E$140:$K$2771,5,0)</f>
        <v>Contracts</v>
      </c>
      <c r="AK355" s="7" t="str">
        <f>VLOOKUP($AE355,Mapping!$E$140:$K$2771,7,0)</f>
        <v>ENDirect</v>
      </c>
      <c r="AL355" s="7" t="str">
        <f>IFERROR(HLOOKUP(AJ355,'Calc|Weightings'!$K$5:$M$5,1,0),"Excl")</f>
        <v>Contracts</v>
      </c>
      <c r="AM355" s="7" t="str">
        <f>VLOOKUP(AC355,Mapping!$E$11:$I$96,5,0)</f>
        <v>SCS</v>
      </c>
      <c r="AO355" s="134">
        <v>111</v>
      </c>
      <c r="AP355" s="135" t="s">
        <v>2126</v>
      </c>
      <c r="AQ355" s="135">
        <v>613251</v>
      </c>
      <c r="AR355" s="135" t="s">
        <v>2087</v>
      </c>
      <c r="AS355" s="136">
        <v>11.55289</v>
      </c>
      <c r="AU355" s="7" t="str">
        <f>VLOOKUP($AO355,Mapping!$E$11:$I$96,3,0)</f>
        <v>Connections</v>
      </c>
      <c r="AV355" s="7" t="str">
        <f>VLOOKUP($AQ355,Mapping!$E$140:$K$2771,5,0)</f>
        <v>Labour</v>
      </c>
      <c r="AW355" s="7" t="str">
        <f>VLOOKUP($AQ355,Mapping!$E$140:$K$2771,7,0)</f>
        <v>ENDirect</v>
      </c>
      <c r="AX355" s="7" t="str">
        <f>IFERROR(HLOOKUP(AV355,'Calc|Weightings'!$K$5:$M$5,1,0),"Excl")</f>
        <v>Labour</v>
      </c>
      <c r="AY355" s="7" t="str">
        <f>VLOOKUP(AO355,Mapping!$E$11:$I$96,5,0)</f>
        <v>SCS</v>
      </c>
    </row>
    <row r="356" spans="1:51" x14ac:dyDescent="0.2">
      <c r="A356" s="7"/>
      <c r="B356" s="7"/>
      <c r="C356" s="7"/>
      <c r="D356" s="7"/>
      <c r="E356" s="36">
        <v>109</v>
      </c>
      <c r="F356" s="36" t="s">
        <v>2124</v>
      </c>
      <c r="G356" s="36">
        <v>613680</v>
      </c>
      <c r="H356" s="36" t="s">
        <v>2107</v>
      </c>
      <c r="I356" s="37">
        <v>1.43604</v>
      </c>
      <c r="J356" s="7"/>
      <c r="K356" s="7" t="str">
        <f>VLOOKUP($E356,Mapping!$E$11:$I$96,3,0)</f>
        <v>Connections</v>
      </c>
      <c r="L356" s="7" t="str">
        <f>VLOOKUP($G356,Mapping!$E$140:$K$2771,5,0)</f>
        <v>Labour</v>
      </c>
      <c r="M356" s="7" t="str">
        <f>VLOOKUP($G356,Mapping!$E$140:$K$2771,7,0)</f>
        <v>ENDirect</v>
      </c>
      <c r="N356" s="7" t="str">
        <f>IFERROR(HLOOKUP(L356,'Calc|Weightings'!$K$5:$M$5,1,0),"Excl")</f>
        <v>Labour</v>
      </c>
      <c r="O356" s="7" t="str">
        <f>VLOOKUP(E356,Mapping!$E$11:$I$96,5,0)</f>
        <v>SCS</v>
      </c>
      <c r="Q356" s="33">
        <v>111</v>
      </c>
      <c r="R356" s="33" t="s">
        <v>2126</v>
      </c>
      <c r="S356" s="33">
        <v>611902</v>
      </c>
      <c r="T356" s="33" t="s">
        <v>2081</v>
      </c>
      <c r="U356" s="34">
        <v>218.26181</v>
      </c>
      <c r="V356" s="7"/>
      <c r="W356" s="7" t="str">
        <f>VLOOKUP($Q356,Mapping!$E$11:$I$96,3,0)</f>
        <v>Connections</v>
      </c>
      <c r="X356" s="7" t="str">
        <f>VLOOKUP($S356,Mapping!$E$140:$K$2771,5,0)</f>
        <v>Contracts</v>
      </c>
      <c r="Y356" s="7" t="str">
        <f>VLOOKUP($S356,Mapping!$E$140:$K$2771,7,0)</f>
        <v>ENDirect</v>
      </c>
      <c r="Z356" s="7" t="str">
        <f>IFERROR(HLOOKUP(X356,'Calc|Weightings'!$K$5:$M$5,1,0),"Excl")</f>
        <v>Contracts</v>
      </c>
      <c r="AA356" s="7" t="str">
        <f>VLOOKUP(Q356,Mapping!$E$11:$I$96,5,0)</f>
        <v>SCS</v>
      </c>
      <c r="AC356" s="111">
        <v>111</v>
      </c>
      <c r="AD356" s="111" t="s">
        <v>2126</v>
      </c>
      <c r="AE356" s="111">
        <v>531465</v>
      </c>
      <c r="AF356" s="111" t="s">
        <v>257</v>
      </c>
      <c r="AG356" s="112">
        <v>1.1000000000000001</v>
      </c>
      <c r="AI356" s="7" t="str">
        <f>VLOOKUP($AC356,Mapping!$E$11:$I$96,3,0)</f>
        <v>Connections</v>
      </c>
      <c r="AJ356" s="7" t="str">
        <f>VLOOKUP($AE356,Mapping!$E$140:$K$2771,5,0)</f>
        <v>Contracts</v>
      </c>
      <c r="AK356" s="7" t="str">
        <f>VLOOKUP($AE356,Mapping!$E$140:$K$2771,7,0)</f>
        <v>ENDirect</v>
      </c>
      <c r="AL356" s="7" t="str">
        <f>IFERROR(HLOOKUP(AJ356,'Calc|Weightings'!$K$5:$M$5,1,0),"Excl")</f>
        <v>Contracts</v>
      </c>
      <c r="AM356" s="7" t="str">
        <f>VLOOKUP(AC356,Mapping!$E$11:$I$96,5,0)</f>
        <v>SCS</v>
      </c>
      <c r="AO356" s="134">
        <v>111</v>
      </c>
      <c r="AP356" s="135" t="s">
        <v>2126</v>
      </c>
      <c r="AQ356" s="135">
        <v>613260</v>
      </c>
      <c r="AR356" s="135" t="s">
        <v>2090</v>
      </c>
      <c r="AS356" s="136">
        <v>520.15121999999997</v>
      </c>
      <c r="AU356" s="7" t="str">
        <f>VLOOKUP($AO356,Mapping!$E$11:$I$96,3,0)</f>
        <v>Connections</v>
      </c>
      <c r="AV356" s="7" t="str">
        <f>VLOOKUP($AQ356,Mapping!$E$140:$K$2771,5,0)</f>
        <v>Labour</v>
      </c>
      <c r="AW356" s="7" t="str">
        <f>VLOOKUP($AQ356,Mapping!$E$140:$K$2771,7,0)</f>
        <v>ENDirect</v>
      </c>
      <c r="AX356" s="7" t="str">
        <f>IFERROR(HLOOKUP(AV356,'Calc|Weightings'!$K$5:$M$5,1,0),"Excl")</f>
        <v>Labour</v>
      </c>
      <c r="AY356" s="7" t="str">
        <f>VLOOKUP(AO356,Mapping!$E$11:$I$96,5,0)</f>
        <v>SCS</v>
      </c>
    </row>
    <row r="357" spans="1:51" x14ac:dyDescent="0.2">
      <c r="A357" s="7"/>
      <c r="B357" s="7"/>
      <c r="C357" s="7"/>
      <c r="D357" s="7"/>
      <c r="E357" s="36">
        <v>109</v>
      </c>
      <c r="F357" s="36" t="s">
        <v>2124</v>
      </c>
      <c r="G357" s="36">
        <v>633000</v>
      </c>
      <c r="H357" s="36" t="s">
        <v>2202</v>
      </c>
      <c r="I357" s="37">
        <v>112.66346</v>
      </c>
      <c r="J357" s="7"/>
      <c r="K357" s="7" t="str">
        <f>VLOOKUP($E357,Mapping!$E$11:$I$96,3,0)</f>
        <v>Connections</v>
      </c>
      <c r="L357" s="7" t="str">
        <f>VLOOKUP($G357,Mapping!$E$140:$K$2771,5,0)</f>
        <v>Contracts</v>
      </c>
      <c r="M357" s="7" t="str">
        <f>VLOOKUP($G357,Mapping!$E$140:$K$2771,7,0)</f>
        <v>OH</v>
      </c>
      <c r="N357" s="7" t="str">
        <f>IFERROR(HLOOKUP(L357,'Calc|Weightings'!$K$5:$M$5,1,0),"Excl")</f>
        <v>Contracts</v>
      </c>
      <c r="O357" s="7" t="str">
        <f>VLOOKUP(E357,Mapping!$E$11:$I$96,5,0)</f>
        <v>SCS</v>
      </c>
      <c r="Q357" s="33">
        <v>111</v>
      </c>
      <c r="R357" s="33" t="s">
        <v>2126</v>
      </c>
      <c r="S357" s="33">
        <v>612210</v>
      </c>
      <c r="T357" s="33" t="s">
        <v>1184</v>
      </c>
      <c r="U357" s="34">
        <v>57.707120000000003</v>
      </c>
      <c r="V357" s="7"/>
      <c r="W357" s="7" t="str">
        <f>VLOOKUP($Q357,Mapping!$E$11:$I$96,3,0)</f>
        <v>Connections</v>
      </c>
      <c r="X357" s="7" t="str">
        <f>VLOOKUP($S357,Mapping!$E$140:$K$2771,5,0)</f>
        <v>Labour</v>
      </c>
      <c r="Y357" s="7" t="str">
        <f>VLOOKUP($S357,Mapping!$E$140:$K$2771,7,0)</f>
        <v>ENDirect</v>
      </c>
      <c r="Z357" s="7" t="str">
        <f>IFERROR(HLOOKUP(X357,'Calc|Weightings'!$K$5:$M$5,1,0),"Excl")</f>
        <v>Labour</v>
      </c>
      <c r="AA357" s="7" t="str">
        <f>VLOOKUP(Q357,Mapping!$E$11:$I$96,5,0)</f>
        <v>SCS</v>
      </c>
      <c r="AC357" s="111">
        <v>111</v>
      </c>
      <c r="AD357" s="111" t="s">
        <v>2126</v>
      </c>
      <c r="AE357" s="111">
        <v>531466</v>
      </c>
      <c r="AF357" s="111" t="s">
        <v>258</v>
      </c>
      <c r="AG357" s="112">
        <v>1000.1858099999999</v>
      </c>
      <c r="AI357" s="7" t="str">
        <f>VLOOKUP($AC357,Mapping!$E$11:$I$96,3,0)</f>
        <v>Connections</v>
      </c>
      <c r="AJ357" s="7" t="str">
        <f>VLOOKUP($AE357,Mapping!$E$140:$K$2771,5,0)</f>
        <v>Contracts</v>
      </c>
      <c r="AK357" s="7" t="str">
        <f>VLOOKUP($AE357,Mapping!$E$140:$K$2771,7,0)</f>
        <v>ENDirect</v>
      </c>
      <c r="AL357" s="7" t="str">
        <f>IFERROR(HLOOKUP(AJ357,'Calc|Weightings'!$K$5:$M$5,1,0),"Excl")</f>
        <v>Contracts</v>
      </c>
      <c r="AM357" s="7" t="str">
        <f>VLOOKUP(AC357,Mapping!$E$11:$I$96,5,0)</f>
        <v>SCS</v>
      </c>
      <c r="AO357" s="134">
        <v>111</v>
      </c>
      <c r="AP357" s="135" t="s">
        <v>2126</v>
      </c>
      <c r="AQ357" s="135">
        <v>613261</v>
      </c>
      <c r="AR357" s="135" t="s">
        <v>2091</v>
      </c>
      <c r="AS357" s="136">
        <v>52.689839999999997</v>
      </c>
      <c r="AU357" s="7" t="str">
        <f>VLOOKUP($AO357,Mapping!$E$11:$I$96,3,0)</f>
        <v>Connections</v>
      </c>
      <c r="AV357" s="7" t="str">
        <f>VLOOKUP($AQ357,Mapping!$E$140:$K$2771,5,0)</f>
        <v>Labour</v>
      </c>
      <c r="AW357" s="7" t="str">
        <f>VLOOKUP($AQ357,Mapping!$E$140:$K$2771,7,0)</f>
        <v>ENDirect</v>
      </c>
      <c r="AX357" s="7" t="str">
        <f>IFERROR(HLOOKUP(AV357,'Calc|Weightings'!$K$5:$M$5,1,0),"Excl")</f>
        <v>Labour</v>
      </c>
      <c r="AY357" s="7" t="str">
        <f>VLOOKUP(AO357,Mapping!$E$11:$I$96,5,0)</f>
        <v>SCS</v>
      </c>
    </row>
    <row r="358" spans="1:51" x14ac:dyDescent="0.2">
      <c r="A358" s="7"/>
      <c r="B358" s="7"/>
      <c r="C358" s="7"/>
      <c r="D358" s="7"/>
      <c r="E358" s="36">
        <v>109</v>
      </c>
      <c r="F358" s="36" t="s">
        <v>2124</v>
      </c>
      <c r="G358" s="36">
        <v>634001</v>
      </c>
      <c r="H358" s="36" t="s">
        <v>2110</v>
      </c>
      <c r="I358" s="37">
        <v>45.685780000000001</v>
      </c>
      <c r="J358" s="7"/>
      <c r="K358" s="7" t="str">
        <f>VLOOKUP($E358,Mapping!$E$11:$I$96,3,0)</f>
        <v>Connections</v>
      </c>
      <c r="L358" s="7" t="str">
        <f>VLOOKUP($G358,Mapping!$E$140:$K$2771,5,0)</f>
        <v>Local OH</v>
      </c>
      <c r="M358" s="7" t="str">
        <f>VLOOKUP($G358,Mapping!$E$140:$K$2771,7,0)</f>
        <v>OH</v>
      </c>
      <c r="N358" s="7" t="str">
        <f>IFERROR(HLOOKUP(L358,'Calc|Weightings'!$K$5:$M$5,1,0),"Excl")</f>
        <v>Excl</v>
      </c>
      <c r="O358" s="7" t="str">
        <f>VLOOKUP(E358,Mapping!$E$11:$I$96,5,0)</f>
        <v>SCS</v>
      </c>
      <c r="Q358" s="33">
        <v>111</v>
      </c>
      <c r="R358" s="33" t="s">
        <v>2126</v>
      </c>
      <c r="S358" s="33">
        <v>612211</v>
      </c>
      <c r="T358" s="33" t="s">
        <v>1185</v>
      </c>
      <c r="U358" s="34">
        <v>-10.98132</v>
      </c>
      <c r="V358" s="7"/>
      <c r="W358" s="7" t="str">
        <f>VLOOKUP($Q358,Mapping!$E$11:$I$96,3,0)</f>
        <v>Connections</v>
      </c>
      <c r="X358" s="7" t="str">
        <f>VLOOKUP($S358,Mapping!$E$140:$K$2771,5,0)</f>
        <v>Labour</v>
      </c>
      <c r="Y358" s="7" t="str">
        <f>VLOOKUP($S358,Mapping!$E$140:$K$2771,7,0)</f>
        <v>ENDirect</v>
      </c>
      <c r="Z358" s="7" t="str">
        <f>IFERROR(HLOOKUP(X358,'Calc|Weightings'!$K$5:$M$5,1,0),"Excl")</f>
        <v>Labour</v>
      </c>
      <c r="AA358" s="7" t="str">
        <f>VLOOKUP(Q358,Mapping!$E$11:$I$96,5,0)</f>
        <v>SCS</v>
      </c>
      <c r="AC358" s="111">
        <v>111</v>
      </c>
      <c r="AD358" s="111" t="s">
        <v>2126</v>
      </c>
      <c r="AE358" s="111">
        <v>531467</v>
      </c>
      <c r="AF358" s="111" t="s">
        <v>259</v>
      </c>
      <c r="AG358" s="112">
        <v>956.98802999999998</v>
      </c>
      <c r="AI358" s="7" t="str">
        <f>VLOOKUP($AC358,Mapping!$E$11:$I$96,3,0)</f>
        <v>Connections</v>
      </c>
      <c r="AJ358" s="7" t="str">
        <f>VLOOKUP($AE358,Mapping!$E$140:$K$2771,5,0)</f>
        <v>Contracts</v>
      </c>
      <c r="AK358" s="7" t="str">
        <f>VLOOKUP($AE358,Mapping!$E$140:$K$2771,7,0)</f>
        <v>ENDirect</v>
      </c>
      <c r="AL358" s="7" t="str">
        <f>IFERROR(HLOOKUP(AJ358,'Calc|Weightings'!$K$5:$M$5,1,0),"Excl")</f>
        <v>Contracts</v>
      </c>
      <c r="AM358" s="7" t="str">
        <f>VLOOKUP(AC358,Mapping!$E$11:$I$96,5,0)</f>
        <v>SCS</v>
      </c>
      <c r="AO358" s="134">
        <v>111</v>
      </c>
      <c r="AP358" s="135" t="s">
        <v>2126</v>
      </c>
      <c r="AQ358" s="135">
        <v>613280</v>
      </c>
      <c r="AR358" s="135" t="s">
        <v>1342</v>
      </c>
      <c r="AS358" s="136">
        <v>378.80504999999999</v>
      </c>
      <c r="AU358" s="7" t="str">
        <f>VLOOKUP($AO358,Mapping!$E$11:$I$96,3,0)</f>
        <v>Connections</v>
      </c>
      <c r="AV358" s="7" t="str">
        <f>VLOOKUP($AQ358,Mapping!$E$140:$K$2771,5,0)</f>
        <v>Labour</v>
      </c>
      <c r="AW358" s="7" t="str">
        <f>VLOOKUP($AQ358,Mapping!$E$140:$K$2771,7,0)</f>
        <v>ENDirect</v>
      </c>
      <c r="AX358" s="7" t="str">
        <f>IFERROR(HLOOKUP(AV358,'Calc|Weightings'!$K$5:$M$5,1,0),"Excl")</f>
        <v>Labour</v>
      </c>
      <c r="AY358" s="7" t="str">
        <f>VLOOKUP(AO358,Mapping!$E$11:$I$96,5,0)</f>
        <v>SCS</v>
      </c>
    </row>
    <row r="359" spans="1:51" x14ac:dyDescent="0.2">
      <c r="A359" s="7"/>
      <c r="B359" s="7"/>
      <c r="C359" s="7"/>
      <c r="D359" s="7"/>
      <c r="E359" s="36">
        <v>109</v>
      </c>
      <c r="F359" s="36" t="s">
        <v>2124</v>
      </c>
      <c r="G359" s="36">
        <v>635001</v>
      </c>
      <c r="H359" s="36" t="s">
        <v>1929</v>
      </c>
      <c r="I359" s="37">
        <v>16.409420000000001</v>
      </c>
      <c r="J359" s="7"/>
      <c r="K359" s="7" t="str">
        <f>VLOOKUP($E359,Mapping!$E$11:$I$96,3,0)</f>
        <v>Connections</v>
      </c>
      <c r="L359" s="7" t="str">
        <f>VLOOKUP($G359,Mapping!$E$140:$K$2771,5,0)</f>
        <v>PNS MG</v>
      </c>
      <c r="M359" s="7" t="str">
        <f>VLOOKUP($G359,Mapping!$E$140:$K$2771,7,0)</f>
        <v>ENDirect</v>
      </c>
      <c r="N359" s="7" t="str">
        <f>IFERROR(HLOOKUP(L359,'Calc|Weightings'!$K$5:$M$5,1,0),"Excl")</f>
        <v>Excl</v>
      </c>
      <c r="O359" s="7" t="str">
        <f>VLOOKUP(E359,Mapping!$E$11:$I$96,5,0)</f>
        <v>SCS</v>
      </c>
      <c r="Q359" s="33">
        <v>111</v>
      </c>
      <c r="R359" s="33" t="s">
        <v>2126</v>
      </c>
      <c r="S359" s="33">
        <v>613240</v>
      </c>
      <c r="T359" s="33" t="s">
        <v>2082</v>
      </c>
      <c r="U359" s="34">
        <v>4.0787199999999997</v>
      </c>
      <c r="V359" s="7"/>
      <c r="W359" s="7" t="str">
        <f>VLOOKUP($Q359,Mapping!$E$11:$I$96,3,0)</f>
        <v>Connections</v>
      </c>
      <c r="X359" s="7" t="str">
        <f>VLOOKUP($S359,Mapping!$E$140:$K$2771,5,0)</f>
        <v>Labour</v>
      </c>
      <c r="Y359" s="7" t="str">
        <f>VLOOKUP($S359,Mapping!$E$140:$K$2771,7,0)</f>
        <v>ENDirect</v>
      </c>
      <c r="Z359" s="7" t="str">
        <f>IFERROR(HLOOKUP(X359,'Calc|Weightings'!$K$5:$M$5,1,0),"Excl")</f>
        <v>Labour</v>
      </c>
      <c r="AA359" s="7" t="str">
        <f>VLOOKUP(Q359,Mapping!$E$11:$I$96,5,0)</f>
        <v>SCS</v>
      </c>
      <c r="AC359" s="111">
        <v>111</v>
      </c>
      <c r="AD359" s="111" t="s">
        <v>2126</v>
      </c>
      <c r="AE359" s="111">
        <v>531468</v>
      </c>
      <c r="AF359" s="111" t="s">
        <v>260</v>
      </c>
      <c r="AG359" s="112">
        <v>1272.11797</v>
      </c>
      <c r="AI359" s="7" t="str">
        <f>VLOOKUP($AC359,Mapping!$E$11:$I$96,3,0)</f>
        <v>Connections</v>
      </c>
      <c r="AJ359" s="7" t="str">
        <f>VLOOKUP($AE359,Mapping!$E$140:$K$2771,5,0)</f>
        <v>Contracts</v>
      </c>
      <c r="AK359" s="7" t="str">
        <f>VLOOKUP($AE359,Mapping!$E$140:$K$2771,7,0)</f>
        <v>ENDirect</v>
      </c>
      <c r="AL359" s="7" t="str">
        <f>IFERROR(HLOOKUP(AJ359,'Calc|Weightings'!$K$5:$M$5,1,0),"Excl")</f>
        <v>Contracts</v>
      </c>
      <c r="AM359" s="7" t="str">
        <f>VLOOKUP(AC359,Mapping!$E$11:$I$96,5,0)</f>
        <v>SCS</v>
      </c>
      <c r="AO359" s="134">
        <v>111</v>
      </c>
      <c r="AP359" s="135" t="s">
        <v>2126</v>
      </c>
      <c r="AQ359" s="135">
        <v>613281</v>
      </c>
      <c r="AR359" s="135" t="s">
        <v>1343</v>
      </c>
      <c r="AS359" s="136">
        <v>2.9950600000000001</v>
      </c>
      <c r="AU359" s="7" t="str">
        <f>VLOOKUP($AO359,Mapping!$E$11:$I$96,3,0)</f>
        <v>Connections</v>
      </c>
      <c r="AV359" s="7" t="str">
        <f>VLOOKUP($AQ359,Mapping!$E$140:$K$2771,5,0)</f>
        <v>Labour</v>
      </c>
      <c r="AW359" s="7" t="str">
        <f>VLOOKUP($AQ359,Mapping!$E$140:$K$2771,7,0)</f>
        <v>ENDirect</v>
      </c>
      <c r="AX359" s="7" t="str">
        <f>IFERROR(HLOOKUP(AV359,'Calc|Weightings'!$K$5:$M$5,1,0),"Excl")</f>
        <v>Labour</v>
      </c>
      <c r="AY359" s="7" t="str">
        <f>VLOOKUP(AO359,Mapping!$E$11:$I$96,5,0)</f>
        <v>SCS</v>
      </c>
    </row>
    <row r="360" spans="1:51" x14ac:dyDescent="0.2">
      <c r="A360" s="7"/>
      <c r="B360" s="7"/>
      <c r="C360" s="7"/>
      <c r="D360" s="7"/>
      <c r="E360" s="36">
        <v>109</v>
      </c>
      <c r="F360" s="36" t="s">
        <v>2124</v>
      </c>
      <c r="G360" s="36">
        <v>636001</v>
      </c>
      <c r="H360" s="36" t="s">
        <v>2111</v>
      </c>
      <c r="I360" s="37">
        <v>14.25028</v>
      </c>
      <c r="J360" s="7"/>
      <c r="K360" s="7" t="str">
        <f>VLOOKUP($E360,Mapping!$E$11:$I$96,3,0)</f>
        <v>Connections</v>
      </c>
      <c r="L360" s="7" t="str">
        <f>VLOOKUP($G360,Mapping!$E$140:$K$2771,5,0)</f>
        <v>System Control OH</v>
      </c>
      <c r="M360" s="7" t="str">
        <f>VLOOKUP($G360,Mapping!$E$140:$K$2771,7,0)</f>
        <v>OH</v>
      </c>
      <c r="N360" s="7" t="str">
        <f>IFERROR(HLOOKUP(L360,'Calc|Weightings'!$K$5:$M$5,1,0),"Excl")</f>
        <v>Excl</v>
      </c>
      <c r="O360" s="7" t="str">
        <f>VLOOKUP(E360,Mapping!$E$11:$I$96,5,0)</f>
        <v>SCS</v>
      </c>
      <c r="Q360" s="33">
        <v>111</v>
      </c>
      <c r="R360" s="33" t="s">
        <v>2126</v>
      </c>
      <c r="S360" s="33">
        <v>613241</v>
      </c>
      <c r="T360" s="33" t="s">
        <v>2083</v>
      </c>
      <c r="U360" s="34">
        <v>2.3890199999999999</v>
      </c>
      <c r="V360" s="7"/>
      <c r="W360" s="7" t="str">
        <f>VLOOKUP($Q360,Mapping!$E$11:$I$96,3,0)</f>
        <v>Connections</v>
      </c>
      <c r="X360" s="7" t="str">
        <f>VLOOKUP($S360,Mapping!$E$140:$K$2771,5,0)</f>
        <v>Labour</v>
      </c>
      <c r="Y360" s="7" t="str">
        <f>VLOOKUP($S360,Mapping!$E$140:$K$2771,7,0)</f>
        <v>ENDirect</v>
      </c>
      <c r="Z360" s="7" t="str">
        <f>IFERROR(HLOOKUP(X360,'Calc|Weightings'!$K$5:$M$5,1,0),"Excl")</f>
        <v>Labour</v>
      </c>
      <c r="AA360" s="7" t="str">
        <f>VLOOKUP(Q360,Mapping!$E$11:$I$96,5,0)</f>
        <v>SCS</v>
      </c>
      <c r="AC360" s="111">
        <v>111</v>
      </c>
      <c r="AD360" s="111" t="s">
        <v>2126</v>
      </c>
      <c r="AE360" s="111">
        <v>531469</v>
      </c>
      <c r="AF360" s="111" t="s">
        <v>261</v>
      </c>
      <c r="AG360" s="112">
        <v>27</v>
      </c>
      <c r="AI360" s="7" t="str">
        <f>VLOOKUP($AC360,Mapping!$E$11:$I$96,3,0)</f>
        <v>Connections</v>
      </c>
      <c r="AJ360" s="7" t="str">
        <f>VLOOKUP($AE360,Mapping!$E$140:$K$2771,5,0)</f>
        <v>Labour</v>
      </c>
      <c r="AK360" s="7" t="str">
        <f>VLOOKUP($AE360,Mapping!$E$140:$K$2771,7,0)</f>
        <v>ENDirect</v>
      </c>
      <c r="AL360" s="7" t="str">
        <f>IFERROR(HLOOKUP(AJ360,'Calc|Weightings'!$K$5:$M$5,1,0),"Excl")</f>
        <v>Labour</v>
      </c>
      <c r="AM360" s="7" t="str">
        <f>VLOOKUP(AC360,Mapping!$E$11:$I$96,5,0)</f>
        <v>SCS</v>
      </c>
      <c r="AO360" s="134">
        <v>111</v>
      </c>
      <c r="AP360" s="135" t="s">
        <v>2126</v>
      </c>
      <c r="AQ360" s="135">
        <v>613290</v>
      </c>
      <c r="AR360" s="135" t="s">
        <v>2093</v>
      </c>
      <c r="AS360" s="136">
        <v>1290.44847</v>
      </c>
      <c r="AU360" s="7" t="str">
        <f>VLOOKUP($AO360,Mapping!$E$11:$I$96,3,0)</f>
        <v>Connections</v>
      </c>
      <c r="AV360" s="7" t="str">
        <f>VLOOKUP($AQ360,Mapping!$E$140:$K$2771,5,0)</f>
        <v>Labour</v>
      </c>
      <c r="AW360" s="7" t="str">
        <f>VLOOKUP($AQ360,Mapping!$E$140:$K$2771,7,0)</f>
        <v>ENDirect</v>
      </c>
      <c r="AX360" s="7" t="str">
        <f>IFERROR(HLOOKUP(AV360,'Calc|Weightings'!$K$5:$M$5,1,0),"Excl")</f>
        <v>Labour</v>
      </c>
      <c r="AY360" s="7" t="str">
        <f>VLOOKUP(AO360,Mapping!$E$11:$I$96,5,0)</f>
        <v>SCS</v>
      </c>
    </row>
    <row r="361" spans="1:51" x14ac:dyDescent="0.2">
      <c r="A361" s="7"/>
      <c r="B361" s="7"/>
      <c r="C361" s="7"/>
      <c r="D361" s="7"/>
      <c r="E361" s="36">
        <v>109</v>
      </c>
      <c r="F361" s="36" t="s">
        <v>2124</v>
      </c>
      <c r="G361" s="36">
        <v>639000</v>
      </c>
      <c r="H361" s="36" t="s">
        <v>2112</v>
      </c>
      <c r="I361" s="37">
        <v>30.083220000000001</v>
      </c>
      <c r="J361" s="7"/>
      <c r="K361" s="7" t="str">
        <f>VLOOKUP($E361,Mapping!$E$11:$I$96,3,0)</f>
        <v>Connections</v>
      </c>
      <c r="L361" s="7" t="str">
        <f>VLOOKUP($G361,Mapping!$E$140:$K$2771,5,0)</f>
        <v>PNS Corporate OH</v>
      </c>
      <c r="M361" s="7" t="str">
        <f>VLOOKUP($G361,Mapping!$E$140:$K$2771,7,0)</f>
        <v>OH</v>
      </c>
      <c r="N361" s="7" t="str">
        <f>IFERROR(HLOOKUP(L361,'Calc|Weightings'!$K$5:$M$5,1,0),"Excl")</f>
        <v>Excl</v>
      </c>
      <c r="O361" s="7" t="str">
        <f>VLOOKUP(E361,Mapping!$E$11:$I$96,5,0)</f>
        <v>SCS</v>
      </c>
      <c r="Q361" s="33">
        <v>111</v>
      </c>
      <c r="R361" s="33" t="s">
        <v>2126</v>
      </c>
      <c r="S361" s="33">
        <v>613250</v>
      </c>
      <c r="T361" s="33" t="s">
        <v>2086</v>
      </c>
      <c r="U361" s="34">
        <v>18.992159999999998</v>
      </c>
      <c r="V361" s="7"/>
      <c r="W361" s="7" t="str">
        <f>VLOOKUP($Q361,Mapping!$E$11:$I$96,3,0)</f>
        <v>Connections</v>
      </c>
      <c r="X361" s="7" t="str">
        <f>VLOOKUP($S361,Mapping!$E$140:$K$2771,5,0)</f>
        <v>Labour</v>
      </c>
      <c r="Y361" s="7" t="str">
        <f>VLOOKUP($S361,Mapping!$E$140:$K$2771,7,0)</f>
        <v>ENDirect</v>
      </c>
      <c r="Z361" s="7" t="str">
        <f>IFERROR(HLOOKUP(X361,'Calc|Weightings'!$K$5:$M$5,1,0),"Excl")</f>
        <v>Labour</v>
      </c>
      <c r="AA361" s="7" t="str">
        <f>VLOOKUP(Q361,Mapping!$E$11:$I$96,5,0)</f>
        <v>SCS</v>
      </c>
      <c r="AC361" s="111">
        <v>111</v>
      </c>
      <c r="AD361" s="111" t="s">
        <v>2126</v>
      </c>
      <c r="AE361" s="111">
        <v>532050</v>
      </c>
      <c r="AF361" s="111" t="s">
        <v>279</v>
      </c>
      <c r="AG361" s="112">
        <v>4.7248999999999999</v>
      </c>
      <c r="AI361" s="7" t="str">
        <f>VLOOKUP($AC361,Mapping!$E$11:$I$96,3,0)</f>
        <v>Connections</v>
      </c>
      <c r="AJ361" s="7" t="str">
        <f>VLOOKUP($AE361,Mapping!$E$140:$K$2771,5,0)</f>
        <v>Contracts</v>
      </c>
      <c r="AK361" s="7" t="str">
        <f>VLOOKUP($AE361,Mapping!$E$140:$K$2771,7,0)</f>
        <v>ENDirect</v>
      </c>
      <c r="AL361" s="7" t="str">
        <f>IFERROR(HLOOKUP(AJ361,'Calc|Weightings'!$K$5:$M$5,1,0),"Excl")</f>
        <v>Contracts</v>
      </c>
      <c r="AM361" s="7" t="str">
        <f>VLOOKUP(AC361,Mapping!$E$11:$I$96,5,0)</f>
        <v>SCS</v>
      </c>
      <c r="AO361" s="134">
        <v>111</v>
      </c>
      <c r="AP361" s="135" t="s">
        <v>2126</v>
      </c>
      <c r="AQ361" s="135">
        <v>613291</v>
      </c>
      <c r="AR361" s="135" t="s">
        <v>2094</v>
      </c>
      <c r="AS361" s="136">
        <v>10.44332</v>
      </c>
      <c r="AU361" s="7" t="str">
        <f>VLOOKUP($AO361,Mapping!$E$11:$I$96,3,0)</f>
        <v>Connections</v>
      </c>
      <c r="AV361" s="7" t="str">
        <f>VLOOKUP($AQ361,Mapping!$E$140:$K$2771,5,0)</f>
        <v>Labour</v>
      </c>
      <c r="AW361" s="7" t="str">
        <f>VLOOKUP($AQ361,Mapping!$E$140:$K$2771,7,0)</f>
        <v>ENDirect</v>
      </c>
      <c r="AX361" s="7" t="str">
        <f>IFERROR(HLOOKUP(AV361,'Calc|Weightings'!$K$5:$M$5,1,0),"Excl")</f>
        <v>Labour</v>
      </c>
      <c r="AY361" s="7" t="str">
        <f>VLOOKUP(AO361,Mapping!$E$11:$I$96,5,0)</f>
        <v>SCS</v>
      </c>
    </row>
    <row r="362" spans="1:51" x14ac:dyDescent="0.2">
      <c r="A362" s="7"/>
      <c r="B362" s="7"/>
      <c r="C362" s="7"/>
      <c r="D362" s="7"/>
      <c r="E362" s="36">
        <v>109</v>
      </c>
      <c r="F362" s="36" t="s">
        <v>2124</v>
      </c>
      <c r="G362" s="36">
        <v>639050</v>
      </c>
      <c r="H362" s="36" t="s">
        <v>2113</v>
      </c>
      <c r="I362" s="37">
        <v>2.0820799999999999</v>
      </c>
      <c r="J362" s="7"/>
      <c r="K362" s="7" t="str">
        <f>VLOOKUP($E362,Mapping!$E$11:$I$96,3,0)</f>
        <v>Connections</v>
      </c>
      <c r="L362" s="7" t="str">
        <f>VLOOKUP($G362,Mapping!$E$140:$K$2771,5,0)</f>
        <v>PNS Fleet &amp; Property OH</v>
      </c>
      <c r="M362" s="7" t="str">
        <f>VLOOKUP($G362,Mapping!$E$140:$K$2771,7,0)</f>
        <v>OH</v>
      </c>
      <c r="N362" s="7" t="str">
        <f>IFERROR(HLOOKUP(L362,'Calc|Weightings'!$K$5:$M$5,1,0),"Excl")</f>
        <v>Excl</v>
      </c>
      <c r="O362" s="7" t="str">
        <f>VLOOKUP(E362,Mapping!$E$11:$I$96,5,0)</f>
        <v>SCS</v>
      </c>
      <c r="Q362" s="33">
        <v>111</v>
      </c>
      <c r="R362" s="33" t="s">
        <v>2126</v>
      </c>
      <c r="S362" s="33">
        <v>613251</v>
      </c>
      <c r="T362" s="33" t="s">
        <v>2087</v>
      </c>
      <c r="U362" s="34">
        <v>5.6063000000000001</v>
      </c>
      <c r="V362" s="7"/>
      <c r="W362" s="7" t="str">
        <f>VLOOKUP($Q362,Mapping!$E$11:$I$96,3,0)</f>
        <v>Connections</v>
      </c>
      <c r="X362" s="7" t="str">
        <f>VLOOKUP($S362,Mapping!$E$140:$K$2771,5,0)</f>
        <v>Labour</v>
      </c>
      <c r="Y362" s="7" t="str">
        <f>VLOOKUP($S362,Mapping!$E$140:$K$2771,7,0)</f>
        <v>ENDirect</v>
      </c>
      <c r="Z362" s="7" t="str">
        <f>IFERROR(HLOOKUP(X362,'Calc|Weightings'!$K$5:$M$5,1,0),"Excl")</f>
        <v>Labour</v>
      </c>
      <c r="AA362" s="7" t="str">
        <f>VLOOKUP(Q362,Mapping!$E$11:$I$96,5,0)</f>
        <v>SCS</v>
      </c>
      <c r="AC362" s="111">
        <v>111</v>
      </c>
      <c r="AD362" s="111" t="s">
        <v>2126</v>
      </c>
      <c r="AE362" s="111">
        <v>591997</v>
      </c>
      <c r="AF362" s="111" t="s">
        <v>2194</v>
      </c>
      <c r="AG362" s="112">
        <v>-86.223609999999994</v>
      </c>
      <c r="AI362" s="7" t="str">
        <f>VLOOKUP($AC362,Mapping!$E$11:$I$96,3,0)</f>
        <v>Connections</v>
      </c>
      <c r="AJ362" s="7" t="str">
        <f>VLOOKUP($AE362,Mapping!$E$140:$K$2771,5,0)</f>
        <v>Contracts</v>
      </c>
      <c r="AK362" s="7" t="str">
        <f>VLOOKUP($AE362,Mapping!$E$140:$K$2771,7,0)</f>
        <v>ENDirect</v>
      </c>
      <c r="AL362" s="7" t="str">
        <f>IFERROR(HLOOKUP(AJ362,'Calc|Weightings'!$K$5:$M$5,1,0),"Excl")</f>
        <v>Contracts</v>
      </c>
      <c r="AM362" s="7" t="str">
        <f>VLOOKUP(AC362,Mapping!$E$11:$I$96,5,0)</f>
        <v>SCS</v>
      </c>
      <c r="AO362" s="134">
        <v>111</v>
      </c>
      <c r="AP362" s="135" t="s">
        <v>2126</v>
      </c>
      <c r="AQ362" s="135">
        <v>613298</v>
      </c>
      <c r="AR362" s="135" t="s">
        <v>2122</v>
      </c>
      <c r="AS362" s="136">
        <v>-0.22306999999999999</v>
      </c>
      <c r="AU362" s="7" t="str">
        <f>VLOOKUP($AO362,Mapping!$E$11:$I$96,3,0)</f>
        <v>Connections</v>
      </c>
      <c r="AV362" s="7" t="str">
        <f>VLOOKUP($AQ362,Mapping!$E$140:$K$2771,5,0)</f>
        <v>Labour</v>
      </c>
      <c r="AW362" s="7" t="str">
        <f>VLOOKUP($AQ362,Mapping!$E$140:$K$2771,7,0)</f>
        <v>ENDirect</v>
      </c>
      <c r="AX362" s="7" t="str">
        <f>IFERROR(HLOOKUP(AV362,'Calc|Weightings'!$K$5:$M$5,1,0),"Excl")</f>
        <v>Labour</v>
      </c>
      <c r="AY362" s="7" t="str">
        <f>VLOOKUP(AO362,Mapping!$E$11:$I$96,5,0)</f>
        <v>SCS</v>
      </c>
    </row>
    <row r="363" spans="1:51" x14ac:dyDescent="0.2">
      <c r="A363" s="7"/>
      <c r="B363" s="7"/>
      <c r="C363" s="7"/>
      <c r="D363" s="7"/>
      <c r="E363" s="36">
        <v>111</v>
      </c>
      <c r="F363" s="36" t="s">
        <v>2126</v>
      </c>
      <c r="G363" s="36">
        <v>500200</v>
      </c>
      <c r="H363" s="36" t="s">
        <v>136</v>
      </c>
      <c r="I363" s="37">
        <v>3.4000000000000002E-2</v>
      </c>
      <c r="J363" s="7"/>
      <c r="K363" s="7" t="str">
        <f>VLOOKUP($E363,Mapping!$E$11:$I$96,3,0)</f>
        <v>Connections</v>
      </c>
      <c r="L363" s="7" t="str">
        <f>VLOOKUP($G363,Mapping!$E$140:$K$2771,5,0)</f>
        <v>Labour</v>
      </c>
      <c r="M363" s="7" t="str">
        <f>VLOOKUP($G363,Mapping!$E$140:$K$2771,7,0)</f>
        <v>ENDirect</v>
      </c>
      <c r="N363" s="7" t="str">
        <f>IFERROR(HLOOKUP(L363,'Calc|Weightings'!$K$5:$M$5,1,0),"Excl")</f>
        <v>Labour</v>
      </c>
      <c r="O363" s="7" t="str">
        <f>VLOOKUP(E363,Mapping!$E$11:$I$96,5,0)</f>
        <v>SCS</v>
      </c>
      <c r="Q363" s="33">
        <v>111</v>
      </c>
      <c r="R363" s="33" t="s">
        <v>2126</v>
      </c>
      <c r="S363" s="33">
        <v>613260</v>
      </c>
      <c r="T363" s="33" t="s">
        <v>2090</v>
      </c>
      <c r="U363" s="34">
        <v>4.6148400000000001</v>
      </c>
      <c r="V363" s="7"/>
      <c r="W363" s="7" t="str">
        <f>VLOOKUP($Q363,Mapping!$E$11:$I$96,3,0)</f>
        <v>Connections</v>
      </c>
      <c r="X363" s="7" t="str">
        <f>VLOOKUP($S363,Mapping!$E$140:$K$2771,5,0)</f>
        <v>Labour</v>
      </c>
      <c r="Y363" s="7" t="str">
        <f>VLOOKUP($S363,Mapping!$E$140:$K$2771,7,0)</f>
        <v>ENDirect</v>
      </c>
      <c r="Z363" s="7" t="str">
        <f>IFERROR(HLOOKUP(X363,'Calc|Weightings'!$K$5:$M$5,1,0),"Excl")</f>
        <v>Labour</v>
      </c>
      <c r="AA363" s="7" t="str">
        <f>VLOOKUP(Q363,Mapping!$E$11:$I$96,5,0)</f>
        <v>SCS</v>
      </c>
      <c r="AC363" s="111">
        <v>111</v>
      </c>
      <c r="AD363" s="111" t="s">
        <v>2126</v>
      </c>
      <c r="AE363" s="111">
        <v>591998</v>
      </c>
      <c r="AF363" s="111" t="s">
        <v>2077</v>
      </c>
      <c r="AG363" s="112">
        <v>-194.68466000000001</v>
      </c>
      <c r="AI363" s="7" t="str">
        <f>VLOOKUP($AC363,Mapping!$E$11:$I$96,3,0)</f>
        <v>Connections</v>
      </c>
      <c r="AJ363" s="7" t="str">
        <f>VLOOKUP($AE363,Mapping!$E$140:$K$2771,5,0)</f>
        <v>Contracts</v>
      </c>
      <c r="AK363" s="7" t="str">
        <f>VLOOKUP($AE363,Mapping!$E$140:$K$2771,7,0)</f>
        <v>ENDirect</v>
      </c>
      <c r="AL363" s="7" t="str">
        <f>IFERROR(HLOOKUP(AJ363,'Calc|Weightings'!$K$5:$M$5,1,0),"Excl")</f>
        <v>Contracts</v>
      </c>
      <c r="AM363" s="7" t="str">
        <f>VLOOKUP(AC363,Mapping!$E$11:$I$96,5,0)</f>
        <v>SCS</v>
      </c>
      <c r="AO363" s="134">
        <v>111</v>
      </c>
      <c r="AP363" s="135" t="s">
        <v>2126</v>
      </c>
      <c r="AQ363" s="135">
        <v>613310</v>
      </c>
      <c r="AR363" s="135" t="s">
        <v>2095</v>
      </c>
      <c r="AS363" s="136">
        <v>228.77198999999999</v>
      </c>
      <c r="AU363" s="7" t="str">
        <f>VLOOKUP($AO363,Mapping!$E$11:$I$96,3,0)</f>
        <v>Connections</v>
      </c>
      <c r="AV363" s="7" t="str">
        <f>VLOOKUP($AQ363,Mapping!$E$140:$K$2771,5,0)</f>
        <v>Labour</v>
      </c>
      <c r="AW363" s="7" t="str">
        <f>VLOOKUP($AQ363,Mapping!$E$140:$K$2771,7,0)</f>
        <v>ENDirect</v>
      </c>
      <c r="AX363" s="7" t="str">
        <f>IFERROR(HLOOKUP(AV363,'Calc|Weightings'!$K$5:$M$5,1,0),"Excl")</f>
        <v>Labour</v>
      </c>
      <c r="AY363" s="7" t="str">
        <f>VLOOKUP(AO363,Mapping!$E$11:$I$96,5,0)</f>
        <v>SCS</v>
      </c>
    </row>
    <row r="364" spans="1:51" x14ac:dyDescent="0.2">
      <c r="A364" s="7"/>
      <c r="B364" s="7"/>
      <c r="C364" s="7"/>
      <c r="D364" s="7"/>
      <c r="E364" s="36">
        <v>111</v>
      </c>
      <c r="F364" s="36" t="s">
        <v>2126</v>
      </c>
      <c r="G364" s="36">
        <v>503190</v>
      </c>
      <c r="H364" s="36" t="s">
        <v>158</v>
      </c>
      <c r="I364" s="37">
        <v>3.8179999999999999E-2</v>
      </c>
      <c r="J364" s="7"/>
      <c r="K364" s="7" t="str">
        <f>VLOOKUP($E364,Mapping!$E$11:$I$96,3,0)</f>
        <v>Connections</v>
      </c>
      <c r="L364" s="7" t="str">
        <f>VLOOKUP($G364,Mapping!$E$140:$K$2771,5,0)</f>
        <v>Contracts</v>
      </c>
      <c r="M364" s="7" t="str">
        <f>VLOOKUP($G364,Mapping!$E$140:$K$2771,7,0)</f>
        <v>ENDirect</v>
      </c>
      <c r="N364" s="7" t="str">
        <f>IFERROR(HLOOKUP(L364,'Calc|Weightings'!$K$5:$M$5,1,0),"Excl")</f>
        <v>Contracts</v>
      </c>
      <c r="O364" s="7" t="str">
        <f>VLOOKUP(E364,Mapping!$E$11:$I$96,5,0)</f>
        <v>SCS</v>
      </c>
      <c r="Q364" s="33">
        <v>111</v>
      </c>
      <c r="R364" s="33" t="s">
        <v>2126</v>
      </c>
      <c r="S364" s="33">
        <v>613280</v>
      </c>
      <c r="T364" s="33" t="s">
        <v>1342</v>
      </c>
      <c r="U364" s="34">
        <v>242.61958999999999</v>
      </c>
      <c r="V364" s="7"/>
      <c r="W364" s="7" t="str">
        <f>VLOOKUP($Q364,Mapping!$E$11:$I$96,3,0)</f>
        <v>Connections</v>
      </c>
      <c r="X364" s="7" t="str">
        <f>VLOOKUP($S364,Mapping!$E$140:$K$2771,5,0)</f>
        <v>Labour</v>
      </c>
      <c r="Y364" s="7" t="str">
        <f>VLOOKUP($S364,Mapping!$E$140:$K$2771,7,0)</f>
        <v>ENDirect</v>
      </c>
      <c r="Z364" s="7" t="str">
        <f>IFERROR(HLOOKUP(X364,'Calc|Weightings'!$K$5:$M$5,1,0),"Excl")</f>
        <v>Labour</v>
      </c>
      <c r="AA364" s="7" t="str">
        <f>VLOOKUP(Q364,Mapping!$E$11:$I$96,5,0)</f>
        <v>SCS</v>
      </c>
      <c r="AC364" s="111">
        <v>111</v>
      </c>
      <c r="AD364" s="111" t="s">
        <v>2126</v>
      </c>
      <c r="AE364" s="111">
        <v>591999</v>
      </c>
      <c r="AF364" s="111" t="s">
        <v>2195</v>
      </c>
      <c r="AG364" s="112">
        <v>-245.95125999999999</v>
      </c>
      <c r="AI364" s="7" t="str">
        <f>VLOOKUP($AC364,Mapping!$E$11:$I$96,3,0)</f>
        <v>Connections</v>
      </c>
      <c r="AJ364" s="7" t="str">
        <f>VLOOKUP($AE364,Mapping!$E$140:$K$2771,5,0)</f>
        <v>Contracts</v>
      </c>
      <c r="AK364" s="7" t="str">
        <f>VLOOKUP($AE364,Mapping!$E$140:$K$2771,7,0)</f>
        <v>ENDirect</v>
      </c>
      <c r="AL364" s="7" t="str">
        <f>IFERROR(HLOOKUP(AJ364,'Calc|Weightings'!$K$5:$M$5,1,0),"Excl")</f>
        <v>Contracts</v>
      </c>
      <c r="AM364" s="7" t="str">
        <f>VLOOKUP(AC364,Mapping!$E$11:$I$96,5,0)</f>
        <v>SCS</v>
      </c>
      <c r="AO364" s="134">
        <v>111</v>
      </c>
      <c r="AP364" s="135" t="s">
        <v>2126</v>
      </c>
      <c r="AQ364" s="135">
        <v>613311</v>
      </c>
      <c r="AR364" s="135" t="s">
        <v>2116</v>
      </c>
      <c r="AS364" s="136">
        <v>5.6726999999999999</v>
      </c>
      <c r="AU364" s="7" t="str">
        <f>VLOOKUP($AO364,Mapping!$E$11:$I$96,3,0)</f>
        <v>Connections</v>
      </c>
      <c r="AV364" s="7" t="str">
        <f>VLOOKUP($AQ364,Mapping!$E$140:$K$2771,5,0)</f>
        <v>Labour</v>
      </c>
      <c r="AW364" s="7" t="str">
        <f>VLOOKUP($AQ364,Mapping!$E$140:$K$2771,7,0)</f>
        <v>ENDirect</v>
      </c>
      <c r="AX364" s="7" t="str">
        <f>IFERROR(HLOOKUP(AV364,'Calc|Weightings'!$K$5:$M$5,1,0),"Excl")</f>
        <v>Labour</v>
      </c>
      <c r="AY364" s="7" t="str">
        <f>VLOOKUP(AO364,Mapping!$E$11:$I$96,5,0)</f>
        <v>SCS</v>
      </c>
    </row>
    <row r="365" spans="1:51" x14ac:dyDescent="0.2">
      <c r="A365" s="7"/>
      <c r="B365" s="7"/>
      <c r="C365" s="7"/>
      <c r="D365" s="7"/>
      <c r="E365" s="36">
        <v>111</v>
      </c>
      <c r="F365" s="36" t="s">
        <v>2126</v>
      </c>
      <c r="G365" s="36">
        <v>503281</v>
      </c>
      <c r="H365" s="36" t="s">
        <v>2198</v>
      </c>
      <c r="I365" s="37">
        <v>0.59377999999999997</v>
      </c>
      <c r="J365" s="7"/>
      <c r="K365" s="7" t="str">
        <f>VLOOKUP($E365,Mapping!$E$11:$I$96,3,0)</f>
        <v>Connections</v>
      </c>
      <c r="L365" s="7" t="str">
        <f>VLOOKUP($G365,Mapping!$E$140:$K$2771,5,0)</f>
        <v>Contracts</v>
      </c>
      <c r="M365" s="7" t="str">
        <f>VLOOKUP($G365,Mapping!$E$140:$K$2771,7,0)</f>
        <v>ENDirect</v>
      </c>
      <c r="N365" s="7" t="str">
        <f>IFERROR(HLOOKUP(L365,'Calc|Weightings'!$K$5:$M$5,1,0),"Excl")</f>
        <v>Contracts</v>
      </c>
      <c r="O365" s="7" t="str">
        <f>VLOOKUP(E365,Mapping!$E$11:$I$96,5,0)</f>
        <v>SCS</v>
      </c>
      <c r="Q365" s="33">
        <v>111</v>
      </c>
      <c r="R365" s="33" t="s">
        <v>2126</v>
      </c>
      <c r="S365" s="33">
        <v>613281</v>
      </c>
      <c r="T365" s="33" t="s">
        <v>1343</v>
      </c>
      <c r="U365" s="34">
        <v>9.6338000000000008</v>
      </c>
      <c r="V365" s="7"/>
      <c r="W365" s="7" t="str">
        <f>VLOOKUP($Q365,Mapping!$E$11:$I$96,3,0)</f>
        <v>Connections</v>
      </c>
      <c r="X365" s="7" t="str">
        <f>VLOOKUP($S365,Mapping!$E$140:$K$2771,5,0)</f>
        <v>Labour</v>
      </c>
      <c r="Y365" s="7" t="str">
        <f>VLOOKUP($S365,Mapping!$E$140:$K$2771,7,0)</f>
        <v>ENDirect</v>
      </c>
      <c r="Z365" s="7" t="str">
        <f>IFERROR(HLOOKUP(X365,'Calc|Weightings'!$K$5:$M$5,1,0),"Excl")</f>
        <v>Labour</v>
      </c>
      <c r="AA365" s="7" t="str">
        <f>VLOOKUP(Q365,Mapping!$E$11:$I$96,5,0)</f>
        <v>SCS</v>
      </c>
      <c r="AC365" s="111">
        <v>111</v>
      </c>
      <c r="AD365" s="111" t="s">
        <v>2126</v>
      </c>
      <c r="AE365" s="111">
        <v>611900</v>
      </c>
      <c r="AF365" s="111" t="s">
        <v>2079</v>
      </c>
      <c r="AG365" s="112">
        <v>109.15455</v>
      </c>
      <c r="AI365" s="7" t="str">
        <f>VLOOKUP($AC365,Mapping!$E$11:$I$96,3,0)</f>
        <v>Connections</v>
      </c>
      <c r="AJ365" s="7" t="str">
        <f>VLOOKUP($AE365,Mapping!$E$140:$K$2771,5,0)</f>
        <v>Contracts</v>
      </c>
      <c r="AK365" s="7" t="str">
        <f>VLOOKUP($AE365,Mapping!$E$140:$K$2771,7,0)</f>
        <v>ENDirect</v>
      </c>
      <c r="AL365" s="7" t="str">
        <f>IFERROR(HLOOKUP(AJ365,'Calc|Weightings'!$K$5:$M$5,1,0),"Excl")</f>
        <v>Contracts</v>
      </c>
      <c r="AM365" s="7" t="str">
        <f>VLOOKUP(AC365,Mapping!$E$11:$I$96,5,0)</f>
        <v>SCS</v>
      </c>
      <c r="AO365" s="134">
        <v>111</v>
      </c>
      <c r="AP365" s="135" t="s">
        <v>2126</v>
      </c>
      <c r="AQ365" s="135">
        <v>613350</v>
      </c>
      <c r="AR365" s="135" t="s">
        <v>2096</v>
      </c>
      <c r="AS365" s="136">
        <v>9.4837299999999995</v>
      </c>
      <c r="AU365" s="7" t="str">
        <f>VLOOKUP($AO365,Mapping!$E$11:$I$96,3,0)</f>
        <v>Connections</v>
      </c>
      <c r="AV365" s="7" t="str">
        <f>VLOOKUP($AQ365,Mapping!$E$140:$K$2771,5,0)</f>
        <v>Labour</v>
      </c>
      <c r="AW365" s="7" t="str">
        <f>VLOOKUP($AQ365,Mapping!$E$140:$K$2771,7,0)</f>
        <v>ENDirect</v>
      </c>
      <c r="AX365" s="7" t="str">
        <f>IFERROR(HLOOKUP(AV365,'Calc|Weightings'!$K$5:$M$5,1,0),"Excl")</f>
        <v>Labour</v>
      </c>
      <c r="AY365" s="7" t="str">
        <f>VLOOKUP(AO365,Mapping!$E$11:$I$96,5,0)</f>
        <v>SCS</v>
      </c>
    </row>
    <row r="366" spans="1:51" x14ac:dyDescent="0.2">
      <c r="A366" s="7"/>
      <c r="B366" s="7"/>
      <c r="C366" s="7"/>
      <c r="D366" s="7"/>
      <c r="E366" s="36">
        <v>111</v>
      </c>
      <c r="F366" s="36" t="s">
        <v>2126</v>
      </c>
      <c r="G366" s="36">
        <v>503350</v>
      </c>
      <c r="H366" s="36" t="s">
        <v>182</v>
      </c>
      <c r="I366" s="37">
        <v>8.1769999999999995E-2</v>
      </c>
      <c r="J366" s="7"/>
      <c r="K366" s="7" t="str">
        <f>VLOOKUP($E366,Mapping!$E$11:$I$96,3,0)</f>
        <v>Connections</v>
      </c>
      <c r="L366" s="7" t="str">
        <f>VLOOKUP($G366,Mapping!$E$140:$K$2771,5,0)</f>
        <v>Contracts</v>
      </c>
      <c r="M366" s="7" t="str">
        <f>VLOOKUP($G366,Mapping!$E$140:$K$2771,7,0)</f>
        <v>ENDirect</v>
      </c>
      <c r="N366" s="7" t="str">
        <f>IFERROR(HLOOKUP(L366,'Calc|Weightings'!$K$5:$M$5,1,0),"Excl")</f>
        <v>Contracts</v>
      </c>
      <c r="O366" s="7" t="str">
        <f>VLOOKUP(E366,Mapping!$E$11:$I$96,5,0)</f>
        <v>SCS</v>
      </c>
      <c r="Q366" s="33">
        <v>111</v>
      </c>
      <c r="R366" s="33" t="s">
        <v>2126</v>
      </c>
      <c r="S366" s="33">
        <v>613290</v>
      </c>
      <c r="T366" s="33" t="s">
        <v>2093</v>
      </c>
      <c r="U366" s="34">
        <v>473.53616</v>
      </c>
      <c r="V366" s="7"/>
      <c r="W366" s="7" t="str">
        <f>VLOOKUP($Q366,Mapping!$E$11:$I$96,3,0)</f>
        <v>Connections</v>
      </c>
      <c r="X366" s="7" t="str">
        <f>VLOOKUP($S366,Mapping!$E$140:$K$2771,5,0)</f>
        <v>Labour</v>
      </c>
      <c r="Y366" s="7" t="str">
        <f>VLOOKUP($S366,Mapping!$E$140:$K$2771,7,0)</f>
        <v>ENDirect</v>
      </c>
      <c r="Z366" s="7" t="str">
        <f>IFERROR(HLOOKUP(X366,'Calc|Weightings'!$K$5:$M$5,1,0),"Excl")</f>
        <v>Labour</v>
      </c>
      <c r="AA366" s="7" t="str">
        <f>VLOOKUP(Q366,Mapping!$E$11:$I$96,5,0)</f>
        <v>SCS</v>
      </c>
      <c r="AC366" s="111">
        <v>111</v>
      </c>
      <c r="AD366" s="111" t="s">
        <v>2126</v>
      </c>
      <c r="AE366" s="111">
        <v>611901</v>
      </c>
      <c r="AF366" s="111" t="s">
        <v>2080</v>
      </c>
      <c r="AG366" s="112">
        <v>60.516370000000002</v>
      </c>
      <c r="AI366" s="7" t="str">
        <f>VLOOKUP($AC366,Mapping!$E$11:$I$96,3,0)</f>
        <v>Connections</v>
      </c>
      <c r="AJ366" s="7" t="str">
        <f>VLOOKUP($AE366,Mapping!$E$140:$K$2771,5,0)</f>
        <v>Contracts</v>
      </c>
      <c r="AK366" s="7" t="str">
        <f>VLOOKUP($AE366,Mapping!$E$140:$K$2771,7,0)</f>
        <v>ENDirect</v>
      </c>
      <c r="AL366" s="7" t="str">
        <f>IFERROR(HLOOKUP(AJ366,'Calc|Weightings'!$K$5:$M$5,1,0),"Excl")</f>
        <v>Contracts</v>
      </c>
      <c r="AM366" s="7" t="str">
        <f>VLOOKUP(AC366,Mapping!$E$11:$I$96,5,0)</f>
        <v>SCS</v>
      </c>
      <c r="AO366" s="134">
        <v>111</v>
      </c>
      <c r="AP366" s="135" t="s">
        <v>2126</v>
      </c>
      <c r="AQ366" s="135">
        <v>613360</v>
      </c>
      <c r="AR366" s="135" t="s">
        <v>2097</v>
      </c>
      <c r="AS366" s="136">
        <v>118.51730999999999</v>
      </c>
      <c r="AU366" s="7" t="str">
        <f>VLOOKUP($AO366,Mapping!$E$11:$I$96,3,0)</f>
        <v>Connections</v>
      </c>
      <c r="AV366" s="7" t="str">
        <f>VLOOKUP($AQ366,Mapping!$E$140:$K$2771,5,0)</f>
        <v>Labour</v>
      </c>
      <c r="AW366" s="7" t="str">
        <f>VLOOKUP($AQ366,Mapping!$E$140:$K$2771,7,0)</f>
        <v>ENDirect</v>
      </c>
      <c r="AX366" s="7" t="str">
        <f>IFERROR(HLOOKUP(AV366,'Calc|Weightings'!$K$5:$M$5,1,0),"Excl")</f>
        <v>Labour</v>
      </c>
      <c r="AY366" s="7" t="str">
        <f>VLOOKUP(AO366,Mapping!$E$11:$I$96,5,0)</f>
        <v>SCS</v>
      </c>
    </row>
    <row r="367" spans="1:51" x14ac:dyDescent="0.2">
      <c r="A367" s="7"/>
      <c r="B367" s="7"/>
      <c r="C367" s="7"/>
      <c r="D367" s="7"/>
      <c r="E367" s="36">
        <v>111</v>
      </c>
      <c r="F367" s="36" t="s">
        <v>2126</v>
      </c>
      <c r="G367" s="36">
        <v>520100</v>
      </c>
      <c r="H367" s="36" t="s">
        <v>2072</v>
      </c>
      <c r="I367" s="37">
        <v>8888.3837399999993</v>
      </c>
      <c r="J367" s="7"/>
      <c r="K367" s="7" t="str">
        <f>VLOOKUP($E367,Mapping!$E$11:$I$96,3,0)</f>
        <v>Connections</v>
      </c>
      <c r="L367" s="7" t="str">
        <f>VLOOKUP($G367,Mapping!$E$140:$K$2771,5,0)</f>
        <v>Materials</v>
      </c>
      <c r="M367" s="7" t="str">
        <f>VLOOKUP($G367,Mapping!$E$140:$K$2771,7,0)</f>
        <v>ENDirect</v>
      </c>
      <c r="N367" s="7" t="str">
        <f>IFERROR(HLOOKUP(L367,'Calc|Weightings'!$K$5:$M$5,1,0),"Excl")</f>
        <v>Materials</v>
      </c>
      <c r="O367" s="7" t="str">
        <f>VLOOKUP(E367,Mapping!$E$11:$I$96,5,0)</f>
        <v>SCS</v>
      </c>
      <c r="Q367" s="33">
        <v>111</v>
      </c>
      <c r="R367" s="33" t="s">
        <v>2126</v>
      </c>
      <c r="S367" s="33">
        <v>613291</v>
      </c>
      <c r="T367" s="33" t="s">
        <v>2094</v>
      </c>
      <c r="U367" s="34">
        <v>16.261099999999999</v>
      </c>
      <c r="V367" s="7"/>
      <c r="W367" s="7" t="str">
        <f>VLOOKUP($Q367,Mapping!$E$11:$I$96,3,0)</f>
        <v>Connections</v>
      </c>
      <c r="X367" s="7" t="str">
        <f>VLOOKUP($S367,Mapping!$E$140:$K$2771,5,0)</f>
        <v>Labour</v>
      </c>
      <c r="Y367" s="7" t="str">
        <f>VLOOKUP($S367,Mapping!$E$140:$K$2771,7,0)</f>
        <v>ENDirect</v>
      </c>
      <c r="Z367" s="7" t="str">
        <f>IFERROR(HLOOKUP(X367,'Calc|Weightings'!$K$5:$M$5,1,0),"Excl")</f>
        <v>Labour</v>
      </c>
      <c r="AA367" s="7" t="str">
        <f>VLOOKUP(Q367,Mapping!$E$11:$I$96,5,0)</f>
        <v>SCS</v>
      </c>
      <c r="AC367" s="111">
        <v>111</v>
      </c>
      <c r="AD367" s="111" t="s">
        <v>2126</v>
      </c>
      <c r="AE367" s="111">
        <v>611902</v>
      </c>
      <c r="AF367" s="111" t="s">
        <v>2081</v>
      </c>
      <c r="AG367" s="112">
        <v>234.30511999999999</v>
      </c>
      <c r="AI367" s="7" t="str">
        <f>VLOOKUP($AC367,Mapping!$E$11:$I$96,3,0)</f>
        <v>Connections</v>
      </c>
      <c r="AJ367" s="7" t="str">
        <f>VLOOKUP($AE367,Mapping!$E$140:$K$2771,5,0)</f>
        <v>Contracts</v>
      </c>
      <c r="AK367" s="7" t="str">
        <f>VLOOKUP($AE367,Mapping!$E$140:$K$2771,7,0)</f>
        <v>ENDirect</v>
      </c>
      <c r="AL367" s="7" t="str">
        <f>IFERROR(HLOOKUP(AJ367,'Calc|Weightings'!$K$5:$M$5,1,0),"Excl")</f>
        <v>Contracts</v>
      </c>
      <c r="AM367" s="7" t="str">
        <f>VLOOKUP(AC367,Mapping!$E$11:$I$96,5,0)</f>
        <v>SCS</v>
      </c>
      <c r="AO367" s="134">
        <v>111</v>
      </c>
      <c r="AP367" s="135" t="s">
        <v>2126</v>
      </c>
      <c r="AQ367" s="135">
        <v>613370</v>
      </c>
      <c r="AR367" s="135" t="s">
        <v>1402</v>
      </c>
      <c r="AS367" s="136">
        <v>91.727800000000002</v>
      </c>
      <c r="AU367" s="7" t="str">
        <f>VLOOKUP($AO367,Mapping!$E$11:$I$96,3,0)</f>
        <v>Connections</v>
      </c>
      <c r="AV367" s="7" t="str">
        <f>VLOOKUP($AQ367,Mapping!$E$140:$K$2771,5,0)</f>
        <v>Labour</v>
      </c>
      <c r="AW367" s="7" t="str">
        <f>VLOOKUP($AQ367,Mapping!$E$140:$K$2771,7,0)</f>
        <v>ENDirect</v>
      </c>
      <c r="AX367" s="7" t="str">
        <f>IFERROR(HLOOKUP(AV367,'Calc|Weightings'!$K$5:$M$5,1,0),"Excl")</f>
        <v>Labour</v>
      </c>
      <c r="AY367" s="7" t="str">
        <f>VLOOKUP(AO367,Mapping!$E$11:$I$96,5,0)</f>
        <v>SCS</v>
      </c>
    </row>
    <row r="368" spans="1:51" x14ac:dyDescent="0.2">
      <c r="A368" s="7"/>
      <c r="B368" s="7"/>
      <c r="C368" s="7"/>
      <c r="D368" s="7"/>
      <c r="E368" s="36">
        <v>111</v>
      </c>
      <c r="F368" s="36" t="s">
        <v>2126</v>
      </c>
      <c r="G368" s="36">
        <v>520150</v>
      </c>
      <c r="H368" s="36" t="s">
        <v>2205</v>
      </c>
      <c r="I368" s="37">
        <v>8.2860200000000006</v>
      </c>
      <c r="J368" s="7"/>
      <c r="K368" s="7" t="str">
        <f>VLOOKUP($E368,Mapping!$E$11:$I$96,3,0)</f>
        <v>Connections</v>
      </c>
      <c r="L368" s="7" t="str">
        <f>VLOOKUP($G368,Mapping!$E$140:$K$2771,5,0)</f>
        <v>Materials</v>
      </c>
      <c r="M368" s="7" t="str">
        <f>VLOOKUP($G368,Mapping!$E$140:$K$2771,7,0)</f>
        <v>ENDirect</v>
      </c>
      <c r="N368" s="7" t="str">
        <f>IFERROR(HLOOKUP(L368,'Calc|Weightings'!$K$5:$M$5,1,0),"Excl")</f>
        <v>Materials</v>
      </c>
      <c r="O368" s="7" t="str">
        <f>VLOOKUP(E368,Mapping!$E$11:$I$96,5,0)</f>
        <v>SCS</v>
      </c>
      <c r="Q368" s="33">
        <v>111</v>
      </c>
      <c r="R368" s="33" t="s">
        <v>2126</v>
      </c>
      <c r="S368" s="33">
        <v>613298</v>
      </c>
      <c r="T368" s="33" t="s">
        <v>2122</v>
      </c>
      <c r="U368" s="34">
        <v>683.98145</v>
      </c>
      <c r="V368" s="7"/>
      <c r="W368" s="7" t="str">
        <f>VLOOKUP($Q368,Mapping!$E$11:$I$96,3,0)</f>
        <v>Connections</v>
      </c>
      <c r="X368" s="7" t="str">
        <f>VLOOKUP($S368,Mapping!$E$140:$K$2771,5,0)</f>
        <v>Labour</v>
      </c>
      <c r="Y368" s="7" t="str">
        <f>VLOOKUP($S368,Mapping!$E$140:$K$2771,7,0)</f>
        <v>ENDirect</v>
      </c>
      <c r="Z368" s="7" t="str">
        <f>IFERROR(HLOOKUP(X368,'Calc|Weightings'!$K$5:$M$5,1,0),"Excl")</f>
        <v>Labour</v>
      </c>
      <c r="AA368" s="7" t="str">
        <f>VLOOKUP(Q368,Mapping!$E$11:$I$96,5,0)</f>
        <v>SCS</v>
      </c>
      <c r="AC368" s="111">
        <v>111</v>
      </c>
      <c r="AD368" s="111" t="s">
        <v>2126</v>
      </c>
      <c r="AE368" s="111">
        <v>612210</v>
      </c>
      <c r="AF368" s="111" t="s">
        <v>1184</v>
      </c>
      <c r="AG368" s="112">
        <v>89.380840000000006</v>
      </c>
      <c r="AI368" s="7" t="str">
        <f>VLOOKUP($AC368,Mapping!$E$11:$I$96,3,0)</f>
        <v>Connections</v>
      </c>
      <c r="AJ368" s="7" t="str">
        <f>VLOOKUP($AE368,Mapping!$E$140:$K$2771,5,0)</f>
        <v>Labour</v>
      </c>
      <c r="AK368" s="7" t="str">
        <f>VLOOKUP($AE368,Mapping!$E$140:$K$2771,7,0)</f>
        <v>ENDirect</v>
      </c>
      <c r="AL368" s="7" t="str">
        <f>IFERROR(HLOOKUP(AJ368,'Calc|Weightings'!$K$5:$M$5,1,0),"Excl")</f>
        <v>Labour</v>
      </c>
      <c r="AM368" s="7" t="str">
        <f>VLOOKUP(AC368,Mapping!$E$11:$I$96,5,0)</f>
        <v>SCS</v>
      </c>
      <c r="AO368" s="134">
        <v>111</v>
      </c>
      <c r="AP368" s="135" t="s">
        <v>2126</v>
      </c>
      <c r="AQ368" s="135">
        <v>613371</v>
      </c>
      <c r="AR368" s="135" t="s">
        <v>1403</v>
      </c>
      <c r="AS368" s="136">
        <v>15.005570000000001</v>
      </c>
      <c r="AU368" s="7" t="str">
        <f>VLOOKUP($AO368,Mapping!$E$11:$I$96,3,0)</f>
        <v>Connections</v>
      </c>
      <c r="AV368" s="7" t="str">
        <f>VLOOKUP($AQ368,Mapping!$E$140:$K$2771,5,0)</f>
        <v>Labour</v>
      </c>
      <c r="AW368" s="7" t="str">
        <f>VLOOKUP($AQ368,Mapping!$E$140:$K$2771,7,0)</f>
        <v>ENDirect</v>
      </c>
      <c r="AX368" s="7" t="str">
        <f>IFERROR(HLOOKUP(AV368,'Calc|Weightings'!$K$5:$M$5,1,0),"Excl")</f>
        <v>Labour</v>
      </c>
      <c r="AY368" s="7" t="str">
        <f>VLOOKUP(AO368,Mapping!$E$11:$I$96,5,0)</f>
        <v>SCS</v>
      </c>
    </row>
    <row r="369" spans="1:51" x14ac:dyDescent="0.2">
      <c r="A369" s="7"/>
      <c r="B369" s="7"/>
      <c r="C369" s="7"/>
      <c r="D369" s="7"/>
      <c r="E369" s="36">
        <v>111</v>
      </c>
      <c r="F369" s="36" t="s">
        <v>2126</v>
      </c>
      <c r="G369" s="36">
        <v>520200</v>
      </c>
      <c r="H369" s="36" t="s">
        <v>2073</v>
      </c>
      <c r="I369" s="37">
        <v>212.62636000000001</v>
      </c>
      <c r="J369" s="7"/>
      <c r="K369" s="7" t="str">
        <f>VLOOKUP($E369,Mapping!$E$11:$I$96,3,0)</f>
        <v>Connections</v>
      </c>
      <c r="L369" s="7" t="str">
        <f>VLOOKUP($G369,Mapping!$E$140:$K$2771,5,0)</f>
        <v>Materials</v>
      </c>
      <c r="M369" s="7" t="str">
        <f>VLOOKUP($G369,Mapping!$E$140:$K$2771,7,0)</f>
        <v>ENDirect</v>
      </c>
      <c r="N369" s="7" t="str">
        <f>IFERROR(HLOOKUP(L369,'Calc|Weightings'!$K$5:$M$5,1,0),"Excl")</f>
        <v>Materials</v>
      </c>
      <c r="O369" s="7" t="str">
        <f>VLOOKUP(E369,Mapping!$E$11:$I$96,5,0)</f>
        <v>SCS</v>
      </c>
      <c r="Q369" s="33">
        <v>111</v>
      </c>
      <c r="R369" s="33" t="s">
        <v>2126</v>
      </c>
      <c r="S369" s="33">
        <v>613299</v>
      </c>
      <c r="T369" s="33" t="s">
        <v>2385</v>
      </c>
      <c r="U369" s="34">
        <v>1.4818800000000001</v>
      </c>
      <c r="V369" s="7"/>
      <c r="W369" s="7" t="str">
        <f>VLOOKUP($Q369,Mapping!$E$11:$I$96,3,0)</f>
        <v>Connections</v>
      </c>
      <c r="X369" s="7" t="str">
        <f>VLOOKUP($S369,Mapping!$E$140:$K$2771,5,0)</f>
        <v>Labour</v>
      </c>
      <c r="Y369" s="7" t="str">
        <f>VLOOKUP($S369,Mapping!$E$140:$K$2771,7,0)</f>
        <v>ENDirect</v>
      </c>
      <c r="Z369" s="7" t="str">
        <f>IFERROR(HLOOKUP(X369,'Calc|Weightings'!$K$5:$M$5,1,0),"Excl")</f>
        <v>Labour</v>
      </c>
      <c r="AA369" s="7" t="str">
        <f>VLOOKUP(Q369,Mapping!$E$11:$I$96,5,0)</f>
        <v>SCS</v>
      </c>
      <c r="AC369" s="111">
        <v>111</v>
      </c>
      <c r="AD369" s="111" t="s">
        <v>2126</v>
      </c>
      <c r="AE369" s="111">
        <v>613240</v>
      </c>
      <c r="AF369" s="111" t="s">
        <v>2082</v>
      </c>
      <c r="AG369" s="112">
        <v>30.518709999999999</v>
      </c>
      <c r="AI369" s="7" t="str">
        <f>VLOOKUP($AC369,Mapping!$E$11:$I$96,3,0)</f>
        <v>Connections</v>
      </c>
      <c r="AJ369" s="7" t="str">
        <f>VLOOKUP($AE369,Mapping!$E$140:$K$2771,5,0)</f>
        <v>Labour</v>
      </c>
      <c r="AK369" s="7" t="str">
        <f>VLOOKUP($AE369,Mapping!$E$140:$K$2771,7,0)</f>
        <v>ENDirect</v>
      </c>
      <c r="AL369" s="7" t="str">
        <f>IFERROR(HLOOKUP(AJ369,'Calc|Weightings'!$K$5:$M$5,1,0),"Excl")</f>
        <v>Labour</v>
      </c>
      <c r="AM369" s="7" t="str">
        <f>VLOOKUP(AC369,Mapping!$E$11:$I$96,5,0)</f>
        <v>SCS</v>
      </c>
      <c r="AO369" s="134">
        <v>111</v>
      </c>
      <c r="AP369" s="135" t="s">
        <v>2126</v>
      </c>
      <c r="AQ369" s="135">
        <v>613400</v>
      </c>
      <c r="AR369" s="135" t="s">
        <v>2099</v>
      </c>
      <c r="AS369" s="136">
        <v>5.1566999999999998</v>
      </c>
      <c r="AU369" s="7" t="str">
        <f>VLOOKUP($AO369,Mapping!$E$11:$I$96,3,0)</f>
        <v>Connections</v>
      </c>
      <c r="AV369" s="7" t="str">
        <f>VLOOKUP($AQ369,Mapping!$E$140:$K$2771,5,0)</f>
        <v>Labour</v>
      </c>
      <c r="AW369" s="7" t="str">
        <f>VLOOKUP($AQ369,Mapping!$E$140:$K$2771,7,0)</f>
        <v>ENDirect</v>
      </c>
      <c r="AX369" s="7" t="str">
        <f>IFERROR(HLOOKUP(AV369,'Calc|Weightings'!$K$5:$M$5,1,0),"Excl")</f>
        <v>Labour</v>
      </c>
      <c r="AY369" s="7" t="str">
        <f>VLOOKUP(AO369,Mapping!$E$11:$I$96,5,0)</f>
        <v>SCS</v>
      </c>
    </row>
    <row r="370" spans="1:51" x14ac:dyDescent="0.2">
      <c r="A370" s="7"/>
      <c r="B370" s="7"/>
      <c r="C370" s="7"/>
      <c r="D370" s="7"/>
      <c r="E370" s="36">
        <v>111</v>
      </c>
      <c r="F370" s="36" t="s">
        <v>2126</v>
      </c>
      <c r="G370" s="36">
        <v>523100</v>
      </c>
      <c r="H370" s="36" t="s">
        <v>2074</v>
      </c>
      <c r="I370" s="37">
        <v>66.942599999999999</v>
      </c>
      <c r="J370" s="7"/>
      <c r="K370" s="7" t="str">
        <f>VLOOKUP($E370,Mapping!$E$11:$I$96,3,0)</f>
        <v>Connections</v>
      </c>
      <c r="L370" s="7" t="str">
        <f>VLOOKUP($G370,Mapping!$E$140:$K$2771,5,0)</f>
        <v>Materials</v>
      </c>
      <c r="M370" s="7" t="str">
        <f>VLOOKUP($G370,Mapping!$E$140:$K$2771,7,0)</f>
        <v>ENDirect</v>
      </c>
      <c r="N370" s="7" t="str">
        <f>IFERROR(HLOOKUP(L370,'Calc|Weightings'!$K$5:$M$5,1,0),"Excl")</f>
        <v>Materials</v>
      </c>
      <c r="O370" s="7" t="str">
        <f>VLOOKUP(E370,Mapping!$E$11:$I$96,5,0)</f>
        <v>SCS</v>
      </c>
      <c r="Q370" s="33">
        <v>111</v>
      </c>
      <c r="R370" s="33" t="s">
        <v>2126</v>
      </c>
      <c r="S370" s="33">
        <v>613310</v>
      </c>
      <c r="T370" s="33" t="s">
        <v>2095</v>
      </c>
      <c r="U370" s="34">
        <v>292.43450999999999</v>
      </c>
      <c r="V370" s="7"/>
      <c r="W370" s="7" t="str">
        <f>VLOOKUP($Q370,Mapping!$E$11:$I$96,3,0)</f>
        <v>Connections</v>
      </c>
      <c r="X370" s="7" t="str">
        <f>VLOOKUP($S370,Mapping!$E$140:$K$2771,5,0)</f>
        <v>Labour</v>
      </c>
      <c r="Y370" s="7" t="str">
        <f>VLOOKUP($S370,Mapping!$E$140:$K$2771,7,0)</f>
        <v>ENDirect</v>
      </c>
      <c r="Z370" s="7" t="str">
        <f>IFERROR(HLOOKUP(X370,'Calc|Weightings'!$K$5:$M$5,1,0),"Excl")</f>
        <v>Labour</v>
      </c>
      <c r="AA370" s="7" t="str">
        <f>VLOOKUP(Q370,Mapping!$E$11:$I$96,5,0)</f>
        <v>SCS</v>
      </c>
      <c r="AC370" s="111">
        <v>111</v>
      </c>
      <c r="AD370" s="111" t="s">
        <v>2126</v>
      </c>
      <c r="AE370" s="111">
        <v>613241</v>
      </c>
      <c r="AF370" s="111" t="s">
        <v>2083</v>
      </c>
      <c r="AG370" s="112">
        <v>1.6113299999999999</v>
      </c>
      <c r="AI370" s="7" t="str">
        <f>VLOOKUP($AC370,Mapping!$E$11:$I$96,3,0)</f>
        <v>Connections</v>
      </c>
      <c r="AJ370" s="7" t="str">
        <f>VLOOKUP($AE370,Mapping!$E$140:$K$2771,5,0)</f>
        <v>Labour</v>
      </c>
      <c r="AK370" s="7" t="str">
        <f>VLOOKUP($AE370,Mapping!$E$140:$K$2771,7,0)</f>
        <v>ENDirect</v>
      </c>
      <c r="AL370" s="7" t="str">
        <f>IFERROR(HLOOKUP(AJ370,'Calc|Weightings'!$K$5:$M$5,1,0),"Excl")</f>
        <v>Labour</v>
      </c>
      <c r="AM370" s="7" t="str">
        <f>VLOOKUP(AC370,Mapping!$E$11:$I$96,5,0)</f>
        <v>SCS</v>
      </c>
      <c r="AO370" s="134">
        <v>111</v>
      </c>
      <c r="AP370" s="135" t="s">
        <v>2126</v>
      </c>
      <c r="AQ370" s="135">
        <v>613401</v>
      </c>
      <c r="AR370" s="135" t="s">
        <v>2117</v>
      </c>
      <c r="AS370" s="136">
        <v>0.81189999999999996</v>
      </c>
      <c r="AU370" s="7" t="str">
        <f>VLOOKUP($AO370,Mapping!$E$11:$I$96,3,0)</f>
        <v>Connections</v>
      </c>
      <c r="AV370" s="7" t="str">
        <f>VLOOKUP($AQ370,Mapping!$E$140:$K$2771,5,0)</f>
        <v>Labour</v>
      </c>
      <c r="AW370" s="7" t="str">
        <f>VLOOKUP($AQ370,Mapping!$E$140:$K$2771,7,0)</f>
        <v>ENDirect</v>
      </c>
      <c r="AX370" s="7" t="str">
        <f>IFERROR(HLOOKUP(AV370,'Calc|Weightings'!$K$5:$M$5,1,0),"Excl")</f>
        <v>Labour</v>
      </c>
      <c r="AY370" s="7" t="str">
        <f>VLOOKUP(AO370,Mapping!$E$11:$I$96,5,0)</f>
        <v>SCS</v>
      </c>
    </row>
    <row r="371" spans="1:51" x14ac:dyDescent="0.2">
      <c r="A371" s="7"/>
      <c r="B371" s="7"/>
      <c r="C371" s="7"/>
      <c r="D371" s="7"/>
      <c r="E371" s="36">
        <v>111</v>
      </c>
      <c r="F371" s="36" t="s">
        <v>2126</v>
      </c>
      <c r="G371" s="36">
        <v>523300</v>
      </c>
      <c r="H371" s="36" t="s">
        <v>2075</v>
      </c>
      <c r="I371" s="37">
        <v>2.5923500000000002</v>
      </c>
      <c r="J371" s="7"/>
      <c r="K371" s="7" t="str">
        <f>VLOOKUP($E371,Mapping!$E$11:$I$96,3,0)</f>
        <v>Connections</v>
      </c>
      <c r="L371" s="7" t="str">
        <f>VLOOKUP($G371,Mapping!$E$140:$K$2771,5,0)</f>
        <v>Materials</v>
      </c>
      <c r="M371" s="7" t="str">
        <f>VLOOKUP($G371,Mapping!$E$140:$K$2771,7,0)</f>
        <v>ENDirect</v>
      </c>
      <c r="N371" s="7" t="str">
        <f>IFERROR(HLOOKUP(L371,'Calc|Weightings'!$K$5:$M$5,1,0),"Excl")</f>
        <v>Materials</v>
      </c>
      <c r="O371" s="7" t="str">
        <f>VLOOKUP(E371,Mapping!$E$11:$I$96,5,0)</f>
        <v>SCS</v>
      </c>
      <c r="Q371" s="33">
        <v>111</v>
      </c>
      <c r="R371" s="33" t="s">
        <v>2126</v>
      </c>
      <c r="S371" s="33">
        <v>613311</v>
      </c>
      <c r="T371" s="33" t="s">
        <v>2116</v>
      </c>
      <c r="U371" s="34">
        <v>5.4424999999999999</v>
      </c>
      <c r="V371" s="7"/>
      <c r="W371" s="7" t="str">
        <f>VLOOKUP($Q371,Mapping!$E$11:$I$96,3,0)</f>
        <v>Connections</v>
      </c>
      <c r="X371" s="7" t="str">
        <f>VLOOKUP($S371,Mapping!$E$140:$K$2771,5,0)</f>
        <v>Labour</v>
      </c>
      <c r="Y371" s="7" t="str">
        <f>VLOOKUP($S371,Mapping!$E$140:$K$2771,7,0)</f>
        <v>ENDirect</v>
      </c>
      <c r="Z371" s="7" t="str">
        <f>IFERROR(HLOOKUP(X371,'Calc|Weightings'!$K$5:$M$5,1,0),"Excl")</f>
        <v>Labour</v>
      </c>
      <c r="AA371" s="7" t="str">
        <f>VLOOKUP(Q371,Mapping!$E$11:$I$96,5,0)</f>
        <v>SCS</v>
      </c>
      <c r="AC371" s="111">
        <v>111</v>
      </c>
      <c r="AD371" s="111" t="s">
        <v>2126</v>
      </c>
      <c r="AE371" s="111">
        <v>613244</v>
      </c>
      <c r="AF371" s="111" t="s">
        <v>2084</v>
      </c>
      <c r="AG371" s="112">
        <v>0.39807999999999999</v>
      </c>
      <c r="AI371" s="7" t="str">
        <f>VLOOKUP($AC371,Mapping!$E$11:$I$96,3,0)</f>
        <v>Connections</v>
      </c>
      <c r="AJ371" s="7" t="str">
        <f>VLOOKUP($AE371,Mapping!$E$140:$K$2771,5,0)</f>
        <v>Labour</v>
      </c>
      <c r="AK371" s="7" t="str">
        <f>VLOOKUP($AE371,Mapping!$E$140:$K$2771,7,0)</f>
        <v>ENDirect</v>
      </c>
      <c r="AL371" s="7" t="str">
        <f>IFERROR(HLOOKUP(AJ371,'Calc|Weightings'!$K$5:$M$5,1,0),"Excl")</f>
        <v>Labour</v>
      </c>
      <c r="AM371" s="7" t="str">
        <f>VLOOKUP(AC371,Mapping!$E$11:$I$96,5,0)</f>
        <v>SCS</v>
      </c>
      <c r="AO371" s="134">
        <v>111</v>
      </c>
      <c r="AP371" s="135" t="s">
        <v>2126</v>
      </c>
      <c r="AQ371" s="135">
        <v>613410</v>
      </c>
      <c r="AR371" s="135" t="s">
        <v>2100</v>
      </c>
      <c r="AS371" s="136">
        <v>4.2879199999999997</v>
      </c>
      <c r="AU371" s="7" t="str">
        <f>VLOOKUP($AO371,Mapping!$E$11:$I$96,3,0)</f>
        <v>Connections</v>
      </c>
      <c r="AV371" s="7" t="str">
        <f>VLOOKUP($AQ371,Mapping!$E$140:$K$2771,5,0)</f>
        <v>Labour</v>
      </c>
      <c r="AW371" s="7" t="str">
        <f>VLOOKUP($AQ371,Mapping!$E$140:$K$2771,7,0)</f>
        <v>ENDirect</v>
      </c>
      <c r="AX371" s="7" t="str">
        <f>IFERROR(HLOOKUP(AV371,'Calc|Weightings'!$K$5:$M$5,1,0),"Excl")</f>
        <v>Labour</v>
      </c>
      <c r="AY371" s="7" t="str">
        <f>VLOOKUP(AO371,Mapping!$E$11:$I$96,5,0)</f>
        <v>SCS</v>
      </c>
    </row>
    <row r="372" spans="1:51" x14ac:dyDescent="0.2">
      <c r="A372" s="7"/>
      <c r="B372" s="7"/>
      <c r="C372" s="7"/>
      <c r="D372" s="7"/>
      <c r="E372" s="36">
        <v>111</v>
      </c>
      <c r="F372" s="36" t="s">
        <v>2126</v>
      </c>
      <c r="G372" s="36">
        <v>531000</v>
      </c>
      <c r="H372" s="36" t="s">
        <v>242</v>
      </c>
      <c r="I372" s="37">
        <v>3.3149799999999998</v>
      </c>
      <c r="J372" s="7"/>
      <c r="K372" s="7" t="str">
        <f>VLOOKUP($E372,Mapping!$E$11:$I$96,3,0)</f>
        <v>Connections</v>
      </c>
      <c r="L372" s="7" t="str">
        <f>VLOOKUP($G372,Mapping!$E$140:$K$2771,5,0)</f>
        <v>Contracts</v>
      </c>
      <c r="M372" s="7" t="str">
        <f>VLOOKUP($G372,Mapping!$E$140:$K$2771,7,0)</f>
        <v>ENDirect</v>
      </c>
      <c r="N372" s="7" t="str">
        <f>IFERROR(HLOOKUP(L372,'Calc|Weightings'!$K$5:$M$5,1,0),"Excl")</f>
        <v>Contracts</v>
      </c>
      <c r="O372" s="7" t="str">
        <f>VLOOKUP(E372,Mapping!$E$11:$I$96,5,0)</f>
        <v>SCS</v>
      </c>
      <c r="Q372" s="33">
        <v>111</v>
      </c>
      <c r="R372" s="33" t="s">
        <v>2126</v>
      </c>
      <c r="S372" s="33">
        <v>613350</v>
      </c>
      <c r="T372" s="33" t="s">
        <v>2096</v>
      </c>
      <c r="U372" s="34">
        <v>14.206200000000001</v>
      </c>
      <c r="V372" s="7"/>
      <c r="W372" s="7" t="str">
        <f>VLOOKUP($Q372,Mapping!$E$11:$I$96,3,0)</f>
        <v>Connections</v>
      </c>
      <c r="X372" s="7" t="str">
        <f>VLOOKUP($S372,Mapping!$E$140:$K$2771,5,0)</f>
        <v>Labour</v>
      </c>
      <c r="Y372" s="7" t="str">
        <f>VLOOKUP($S372,Mapping!$E$140:$K$2771,7,0)</f>
        <v>ENDirect</v>
      </c>
      <c r="Z372" s="7" t="str">
        <f>IFERROR(HLOOKUP(X372,'Calc|Weightings'!$K$5:$M$5,1,0),"Excl")</f>
        <v>Labour</v>
      </c>
      <c r="AA372" s="7" t="str">
        <f>VLOOKUP(Q372,Mapping!$E$11:$I$96,5,0)</f>
        <v>SCS</v>
      </c>
      <c r="AC372" s="111">
        <v>111</v>
      </c>
      <c r="AD372" s="111" t="s">
        <v>2126</v>
      </c>
      <c r="AE372" s="111">
        <v>613250</v>
      </c>
      <c r="AF372" s="111" t="s">
        <v>2086</v>
      </c>
      <c r="AG372" s="112">
        <v>80.077020000000005</v>
      </c>
      <c r="AI372" s="7" t="str">
        <f>VLOOKUP($AC372,Mapping!$E$11:$I$96,3,0)</f>
        <v>Connections</v>
      </c>
      <c r="AJ372" s="7" t="str">
        <f>VLOOKUP($AE372,Mapping!$E$140:$K$2771,5,0)</f>
        <v>Labour</v>
      </c>
      <c r="AK372" s="7" t="str">
        <f>VLOOKUP($AE372,Mapping!$E$140:$K$2771,7,0)</f>
        <v>ENDirect</v>
      </c>
      <c r="AL372" s="7" t="str">
        <f>IFERROR(HLOOKUP(AJ372,'Calc|Weightings'!$K$5:$M$5,1,0),"Excl")</f>
        <v>Labour</v>
      </c>
      <c r="AM372" s="7" t="str">
        <f>VLOOKUP(AC372,Mapping!$E$11:$I$96,5,0)</f>
        <v>SCS</v>
      </c>
      <c r="AO372" s="134">
        <v>111</v>
      </c>
      <c r="AP372" s="135" t="s">
        <v>2126</v>
      </c>
      <c r="AQ372" s="135">
        <v>613411</v>
      </c>
      <c r="AR372" s="135" t="s">
        <v>2101</v>
      </c>
      <c r="AS372" s="136">
        <v>2.8220800000000001</v>
      </c>
      <c r="AU372" s="7" t="str">
        <f>VLOOKUP($AO372,Mapping!$E$11:$I$96,3,0)</f>
        <v>Connections</v>
      </c>
      <c r="AV372" s="7" t="str">
        <f>VLOOKUP($AQ372,Mapping!$E$140:$K$2771,5,0)</f>
        <v>Labour</v>
      </c>
      <c r="AW372" s="7" t="str">
        <f>VLOOKUP($AQ372,Mapping!$E$140:$K$2771,7,0)</f>
        <v>ENDirect</v>
      </c>
      <c r="AX372" s="7" t="str">
        <f>IFERROR(HLOOKUP(AV372,'Calc|Weightings'!$K$5:$M$5,1,0),"Excl")</f>
        <v>Labour</v>
      </c>
      <c r="AY372" s="7" t="str">
        <f>VLOOKUP(AO372,Mapping!$E$11:$I$96,5,0)</f>
        <v>SCS</v>
      </c>
    </row>
    <row r="373" spans="1:51" x14ac:dyDescent="0.2">
      <c r="A373" s="7"/>
      <c r="B373" s="7"/>
      <c r="C373" s="7"/>
      <c r="D373" s="7"/>
      <c r="E373" s="36">
        <v>111</v>
      </c>
      <c r="F373" s="36" t="s">
        <v>2126</v>
      </c>
      <c r="G373" s="36">
        <v>531020</v>
      </c>
      <c r="H373" s="36" t="s">
        <v>219</v>
      </c>
      <c r="I373" s="37">
        <v>30.879429999999999</v>
      </c>
      <c r="J373" s="7"/>
      <c r="K373" s="7" t="str">
        <f>VLOOKUP($E373,Mapping!$E$11:$I$96,3,0)</f>
        <v>Connections</v>
      </c>
      <c r="L373" s="7" t="str">
        <f>VLOOKUP($G373,Mapping!$E$140:$K$2771,5,0)</f>
        <v>Labour</v>
      </c>
      <c r="M373" s="7" t="str">
        <f>VLOOKUP($G373,Mapping!$E$140:$K$2771,7,0)</f>
        <v>ENDirect</v>
      </c>
      <c r="N373" s="7" t="str">
        <f>IFERROR(HLOOKUP(L373,'Calc|Weightings'!$K$5:$M$5,1,0),"Excl")</f>
        <v>Labour</v>
      </c>
      <c r="O373" s="7" t="str">
        <f>VLOOKUP(E373,Mapping!$E$11:$I$96,5,0)</f>
        <v>SCS</v>
      </c>
      <c r="Q373" s="33">
        <v>111</v>
      </c>
      <c r="R373" s="33" t="s">
        <v>2126</v>
      </c>
      <c r="S373" s="33">
        <v>613360</v>
      </c>
      <c r="T373" s="33" t="s">
        <v>2097</v>
      </c>
      <c r="U373" s="34">
        <v>357.43765000000002</v>
      </c>
      <c r="V373" s="7"/>
      <c r="W373" s="7" t="str">
        <f>VLOOKUP($Q373,Mapping!$E$11:$I$96,3,0)</f>
        <v>Connections</v>
      </c>
      <c r="X373" s="7" t="str">
        <f>VLOOKUP($S373,Mapping!$E$140:$K$2771,5,0)</f>
        <v>Labour</v>
      </c>
      <c r="Y373" s="7" t="str">
        <f>VLOOKUP($S373,Mapping!$E$140:$K$2771,7,0)</f>
        <v>ENDirect</v>
      </c>
      <c r="Z373" s="7" t="str">
        <f>IFERROR(HLOOKUP(X373,'Calc|Weightings'!$K$5:$M$5,1,0),"Excl")</f>
        <v>Labour</v>
      </c>
      <c r="AA373" s="7" t="str">
        <f>VLOOKUP(Q373,Mapping!$E$11:$I$96,5,0)</f>
        <v>SCS</v>
      </c>
      <c r="AC373" s="111">
        <v>111</v>
      </c>
      <c r="AD373" s="111" t="s">
        <v>2126</v>
      </c>
      <c r="AE373" s="111">
        <v>613251</v>
      </c>
      <c r="AF373" s="111" t="s">
        <v>2087</v>
      </c>
      <c r="AG373" s="112">
        <v>7.2076099999999999</v>
      </c>
      <c r="AI373" s="7" t="str">
        <f>VLOOKUP($AC373,Mapping!$E$11:$I$96,3,0)</f>
        <v>Connections</v>
      </c>
      <c r="AJ373" s="7" t="str">
        <f>VLOOKUP($AE373,Mapping!$E$140:$K$2771,5,0)</f>
        <v>Labour</v>
      </c>
      <c r="AK373" s="7" t="str">
        <f>VLOOKUP($AE373,Mapping!$E$140:$K$2771,7,0)</f>
        <v>ENDirect</v>
      </c>
      <c r="AL373" s="7" t="str">
        <f>IFERROR(HLOOKUP(AJ373,'Calc|Weightings'!$K$5:$M$5,1,0),"Excl")</f>
        <v>Labour</v>
      </c>
      <c r="AM373" s="7" t="str">
        <f>VLOOKUP(AC373,Mapping!$E$11:$I$96,5,0)</f>
        <v>SCS</v>
      </c>
      <c r="AO373" s="134">
        <v>111</v>
      </c>
      <c r="AP373" s="135" t="s">
        <v>2126</v>
      </c>
      <c r="AQ373" s="135">
        <v>613420</v>
      </c>
      <c r="AR373" s="135" t="s">
        <v>2393</v>
      </c>
      <c r="AS373" s="136">
        <v>14.14137</v>
      </c>
      <c r="AU373" s="7" t="str">
        <f>VLOOKUP($AO373,Mapping!$E$11:$I$96,3,0)</f>
        <v>Connections</v>
      </c>
      <c r="AV373" s="7" t="str">
        <f>VLOOKUP($AQ373,Mapping!$E$140:$K$2771,5,0)</f>
        <v>Labour</v>
      </c>
      <c r="AW373" s="7" t="str">
        <f>VLOOKUP($AQ373,Mapping!$E$140:$K$2771,7,0)</f>
        <v>ENDirect</v>
      </c>
      <c r="AX373" s="7" t="str">
        <f>IFERROR(HLOOKUP(AV373,'Calc|Weightings'!$K$5:$M$5,1,0),"Excl")</f>
        <v>Labour</v>
      </c>
      <c r="AY373" s="7" t="str">
        <f>VLOOKUP(AO373,Mapping!$E$11:$I$96,5,0)</f>
        <v>SCS</v>
      </c>
    </row>
    <row r="374" spans="1:51" x14ac:dyDescent="0.2">
      <c r="A374" s="7"/>
      <c r="B374" s="7"/>
      <c r="C374" s="7"/>
      <c r="D374" s="7"/>
      <c r="E374" s="36">
        <v>111</v>
      </c>
      <c r="F374" s="36" t="s">
        <v>2126</v>
      </c>
      <c r="G374" s="36">
        <v>531035</v>
      </c>
      <c r="H374" s="36" t="s">
        <v>244</v>
      </c>
      <c r="I374" s="37">
        <v>245.09039000000001</v>
      </c>
      <c r="J374" s="7"/>
      <c r="K374" s="7" t="str">
        <f>VLOOKUP($E374,Mapping!$E$11:$I$96,3,0)</f>
        <v>Connections</v>
      </c>
      <c r="L374" s="7" t="str">
        <f>VLOOKUP($G374,Mapping!$E$140:$K$2771,5,0)</f>
        <v>Labour</v>
      </c>
      <c r="M374" s="7" t="str">
        <f>VLOOKUP($G374,Mapping!$E$140:$K$2771,7,0)</f>
        <v>ENDirect</v>
      </c>
      <c r="N374" s="7" t="str">
        <f>IFERROR(HLOOKUP(L374,'Calc|Weightings'!$K$5:$M$5,1,0),"Excl")</f>
        <v>Labour</v>
      </c>
      <c r="O374" s="7" t="str">
        <f>VLOOKUP(E374,Mapping!$E$11:$I$96,5,0)</f>
        <v>SCS</v>
      </c>
      <c r="Q374" s="33">
        <v>111</v>
      </c>
      <c r="R374" s="33" t="s">
        <v>2126</v>
      </c>
      <c r="S374" s="33">
        <v>613361</v>
      </c>
      <c r="T374" s="33" t="s">
        <v>2098</v>
      </c>
      <c r="U374" s="34">
        <v>3.3165800000000001</v>
      </c>
      <c r="V374" s="7"/>
      <c r="W374" s="7" t="str">
        <f>VLOOKUP($Q374,Mapping!$E$11:$I$96,3,0)</f>
        <v>Connections</v>
      </c>
      <c r="X374" s="7" t="str">
        <f>VLOOKUP($S374,Mapping!$E$140:$K$2771,5,0)</f>
        <v>Labour</v>
      </c>
      <c r="Y374" s="7" t="str">
        <f>VLOOKUP($S374,Mapping!$E$140:$K$2771,7,0)</f>
        <v>ENDirect</v>
      </c>
      <c r="Z374" s="7" t="str">
        <f>IFERROR(HLOOKUP(X374,'Calc|Weightings'!$K$5:$M$5,1,0),"Excl")</f>
        <v>Labour</v>
      </c>
      <c r="AA374" s="7" t="str">
        <f>VLOOKUP(Q374,Mapping!$E$11:$I$96,5,0)</f>
        <v>SCS</v>
      </c>
      <c r="AC374" s="111">
        <v>111</v>
      </c>
      <c r="AD374" s="111" t="s">
        <v>2126</v>
      </c>
      <c r="AE374" s="111">
        <v>613260</v>
      </c>
      <c r="AF374" s="111" t="s">
        <v>2090</v>
      </c>
      <c r="AG374" s="112">
        <v>40.043199999999999</v>
      </c>
      <c r="AI374" s="7" t="str">
        <f>VLOOKUP($AC374,Mapping!$E$11:$I$96,3,0)</f>
        <v>Connections</v>
      </c>
      <c r="AJ374" s="7" t="str">
        <f>VLOOKUP($AE374,Mapping!$E$140:$K$2771,5,0)</f>
        <v>Labour</v>
      </c>
      <c r="AK374" s="7" t="str">
        <f>VLOOKUP($AE374,Mapping!$E$140:$K$2771,7,0)</f>
        <v>ENDirect</v>
      </c>
      <c r="AL374" s="7" t="str">
        <f>IFERROR(HLOOKUP(AJ374,'Calc|Weightings'!$K$5:$M$5,1,0),"Excl")</f>
        <v>Labour</v>
      </c>
      <c r="AM374" s="7" t="str">
        <f>VLOOKUP(AC374,Mapping!$E$11:$I$96,5,0)</f>
        <v>SCS</v>
      </c>
      <c r="AO374" s="134">
        <v>111</v>
      </c>
      <c r="AP374" s="135" t="s">
        <v>2126</v>
      </c>
      <c r="AQ374" s="135">
        <v>613434</v>
      </c>
      <c r="AR374" s="135" t="s">
        <v>2102</v>
      </c>
      <c r="AS374" s="136">
        <v>132.08362</v>
      </c>
      <c r="AU374" s="7" t="str">
        <f>VLOOKUP($AO374,Mapping!$E$11:$I$96,3,0)</f>
        <v>Connections</v>
      </c>
      <c r="AV374" s="7" t="str">
        <f>VLOOKUP($AQ374,Mapping!$E$140:$K$2771,5,0)</f>
        <v>Labour</v>
      </c>
      <c r="AW374" s="7" t="str">
        <f>VLOOKUP($AQ374,Mapping!$E$140:$K$2771,7,0)</f>
        <v>ENDirect</v>
      </c>
      <c r="AX374" s="7" t="str">
        <f>IFERROR(HLOOKUP(AV374,'Calc|Weightings'!$K$5:$M$5,1,0),"Excl")</f>
        <v>Labour</v>
      </c>
      <c r="AY374" s="7" t="str">
        <f>VLOOKUP(AO374,Mapping!$E$11:$I$96,5,0)</f>
        <v>SCS</v>
      </c>
    </row>
    <row r="375" spans="1:51" x14ac:dyDescent="0.2">
      <c r="A375" s="7"/>
      <c r="B375" s="7"/>
      <c r="C375" s="7"/>
      <c r="D375" s="7"/>
      <c r="E375" s="36">
        <v>111</v>
      </c>
      <c r="F375" s="36" t="s">
        <v>2126</v>
      </c>
      <c r="G375" s="36">
        <v>531200</v>
      </c>
      <c r="H375" s="36" t="s">
        <v>250</v>
      </c>
      <c r="I375" s="37">
        <v>789.44592999999998</v>
      </c>
      <c r="J375" s="7"/>
      <c r="K375" s="7" t="str">
        <f>VLOOKUP($E375,Mapping!$E$11:$I$96,3,0)</f>
        <v>Connections</v>
      </c>
      <c r="L375" s="7" t="str">
        <f>VLOOKUP($G375,Mapping!$E$140:$K$2771,5,0)</f>
        <v>Contracts</v>
      </c>
      <c r="M375" s="7" t="str">
        <f>VLOOKUP($G375,Mapping!$E$140:$K$2771,7,0)</f>
        <v>ENDirect</v>
      </c>
      <c r="N375" s="7" t="str">
        <f>IFERROR(HLOOKUP(L375,'Calc|Weightings'!$K$5:$M$5,1,0),"Excl")</f>
        <v>Contracts</v>
      </c>
      <c r="O375" s="7" t="str">
        <f>VLOOKUP(E375,Mapping!$E$11:$I$96,5,0)</f>
        <v>SCS</v>
      </c>
      <c r="Q375" s="33">
        <v>111</v>
      </c>
      <c r="R375" s="33" t="s">
        <v>2126</v>
      </c>
      <c r="S375" s="33">
        <v>613366</v>
      </c>
      <c r="T375" s="33" t="s">
        <v>1400</v>
      </c>
      <c r="U375" s="34">
        <v>3.8050999999999999</v>
      </c>
      <c r="V375" s="7"/>
      <c r="W375" s="7" t="str">
        <f>VLOOKUP($Q375,Mapping!$E$11:$I$96,3,0)</f>
        <v>Connections</v>
      </c>
      <c r="X375" s="7" t="str">
        <f>VLOOKUP($S375,Mapping!$E$140:$K$2771,5,0)</f>
        <v>Labour</v>
      </c>
      <c r="Y375" s="7" t="str">
        <f>VLOOKUP($S375,Mapping!$E$140:$K$2771,7,0)</f>
        <v>ENDirect</v>
      </c>
      <c r="Z375" s="7" t="str">
        <f>IFERROR(HLOOKUP(X375,'Calc|Weightings'!$K$5:$M$5,1,0),"Excl")</f>
        <v>Labour</v>
      </c>
      <c r="AA375" s="7" t="str">
        <f>VLOOKUP(Q375,Mapping!$E$11:$I$96,5,0)</f>
        <v>SCS</v>
      </c>
      <c r="AC375" s="111">
        <v>111</v>
      </c>
      <c r="AD375" s="111" t="s">
        <v>2126</v>
      </c>
      <c r="AE375" s="111">
        <v>613261</v>
      </c>
      <c r="AF375" s="111" t="s">
        <v>2091</v>
      </c>
      <c r="AG375" s="112">
        <v>4.3118999999999996</v>
      </c>
      <c r="AI375" s="7" t="str">
        <f>VLOOKUP($AC375,Mapping!$E$11:$I$96,3,0)</f>
        <v>Connections</v>
      </c>
      <c r="AJ375" s="7" t="str">
        <f>VLOOKUP($AE375,Mapping!$E$140:$K$2771,5,0)</f>
        <v>Labour</v>
      </c>
      <c r="AK375" s="7" t="str">
        <f>VLOOKUP($AE375,Mapping!$E$140:$K$2771,7,0)</f>
        <v>ENDirect</v>
      </c>
      <c r="AL375" s="7" t="str">
        <f>IFERROR(HLOOKUP(AJ375,'Calc|Weightings'!$K$5:$M$5,1,0),"Excl")</f>
        <v>Labour</v>
      </c>
      <c r="AM375" s="7" t="str">
        <f>VLOOKUP(AC375,Mapping!$E$11:$I$96,5,0)</f>
        <v>SCS</v>
      </c>
      <c r="AO375" s="134">
        <v>111</v>
      </c>
      <c r="AP375" s="135" t="s">
        <v>2126</v>
      </c>
      <c r="AQ375" s="135">
        <v>613440</v>
      </c>
      <c r="AR375" s="135" t="s">
        <v>2103</v>
      </c>
      <c r="AS375" s="136">
        <v>44.2012</v>
      </c>
      <c r="AU375" s="7" t="str">
        <f>VLOOKUP($AO375,Mapping!$E$11:$I$96,3,0)</f>
        <v>Connections</v>
      </c>
      <c r="AV375" s="7" t="str">
        <f>VLOOKUP($AQ375,Mapping!$E$140:$K$2771,5,0)</f>
        <v>Labour</v>
      </c>
      <c r="AW375" s="7" t="str">
        <f>VLOOKUP($AQ375,Mapping!$E$140:$K$2771,7,0)</f>
        <v>ENDirect</v>
      </c>
      <c r="AX375" s="7" t="str">
        <f>IFERROR(HLOOKUP(AV375,'Calc|Weightings'!$K$5:$M$5,1,0),"Excl")</f>
        <v>Labour</v>
      </c>
      <c r="AY375" s="7" t="str">
        <f>VLOOKUP(AO375,Mapping!$E$11:$I$96,5,0)</f>
        <v>SCS</v>
      </c>
    </row>
    <row r="376" spans="1:51" x14ac:dyDescent="0.2">
      <c r="A376" s="7"/>
      <c r="B376" s="7"/>
      <c r="C376" s="7"/>
      <c r="D376" s="7"/>
      <c r="E376" s="36">
        <v>111</v>
      </c>
      <c r="F376" s="36" t="s">
        <v>2126</v>
      </c>
      <c r="G376" s="36">
        <v>531201</v>
      </c>
      <c r="H376" s="36" t="s">
        <v>251</v>
      </c>
      <c r="I376" s="37">
        <v>134.63867999999999</v>
      </c>
      <c r="J376" s="7"/>
      <c r="K376" s="7" t="str">
        <f>VLOOKUP($E376,Mapping!$E$11:$I$96,3,0)</f>
        <v>Connections</v>
      </c>
      <c r="L376" s="7" t="str">
        <f>VLOOKUP($G376,Mapping!$E$140:$K$2771,5,0)</f>
        <v>Contracts</v>
      </c>
      <c r="M376" s="7" t="str">
        <f>VLOOKUP($G376,Mapping!$E$140:$K$2771,7,0)</f>
        <v>ENDirect</v>
      </c>
      <c r="N376" s="7" t="str">
        <f>IFERROR(HLOOKUP(L376,'Calc|Weightings'!$K$5:$M$5,1,0),"Excl")</f>
        <v>Contracts</v>
      </c>
      <c r="O376" s="7" t="str">
        <f>VLOOKUP(E376,Mapping!$E$11:$I$96,5,0)</f>
        <v>SCS</v>
      </c>
      <c r="Q376" s="33">
        <v>111</v>
      </c>
      <c r="R376" s="33" t="s">
        <v>2126</v>
      </c>
      <c r="S376" s="33">
        <v>613370</v>
      </c>
      <c r="T376" s="33" t="s">
        <v>1402</v>
      </c>
      <c r="U376" s="34">
        <v>14.63411</v>
      </c>
      <c r="V376" s="7"/>
      <c r="W376" s="7" t="str">
        <f>VLOOKUP($Q376,Mapping!$E$11:$I$96,3,0)</f>
        <v>Connections</v>
      </c>
      <c r="X376" s="7" t="str">
        <f>VLOOKUP($S376,Mapping!$E$140:$K$2771,5,0)</f>
        <v>Labour</v>
      </c>
      <c r="Y376" s="7" t="str">
        <f>VLOOKUP($S376,Mapping!$E$140:$K$2771,7,0)</f>
        <v>ENDirect</v>
      </c>
      <c r="Z376" s="7" t="str">
        <f>IFERROR(HLOOKUP(X376,'Calc|Weightings'!$K$5:$M$5,1,0),"Excl")</f>
        <v>Labour</v>
      </c>
      <c r="AA376" s="7" t="str">
        <f>VLOOKUP(Q376,Mapping!$E$11:$I$96,5,0)</f>
        <v>SCS</v>
      </c>
      <c r="AC376" s="111">
        <v>111</v>
      </c>
      <c r="AD376" s="111" t="s">
        <v>2126</v>
      </c>
      <c r="AE376" s="111">
        <v>613280</v>
      </c>
      <c r="AF376" s="111" t="s">
        <v>1342</v>
      </c>
      <c r="AG376" s="112">
        <v>309.62184000000002</v>
      </c>
      <c r="AI376" s="7" t="str">
        <f>VLOOKUP($AC376,Mapping!$E$11:$I$96,3,0)</f>
        <v>Connections</v>
      </c>
      <c r="AJ376" s="7" t="str">
        <f>VLOOKUP($AE376,Mapping!$E$140:$K$2771,5,0)</f>
        <v>Labour</v>
      </c>
      <c r="AK376" s="7" t="str">
        <f>VLOOKUP($AE376,Mapping!$E$140:$K$2771,7,0)</f>
        <v>ENDirect</v>
      </c>
      <c r="AL376" s="7" t="str">
        <f>IFERROR(HLOOKUP(AJ376,'Calc|Weightings'!$K$5:$M$5,1,0),"Excl")</f>
        <v>Labour</v>
      </c>
      <c r="AM376" s="7" t="str">
        <f>VLOOKUP(AC376,Mapping!$E$11:$I$96,5,0)</f>
        <v>SCS</v>
      </c>
      <c r="AO376" s="134">
        <v>111</v>
      </c>
      <c r="AP376" s="135" t="s">
        <v>2126</v>
      </c>
      <c r="AQ376" s="135">
        <v>613441</v>
      </c>
      <c r="AR376" s="135" t="s">
        <v>2104</v>
      </c>
      <c r="AS376" s="136">
        <v>4.0836300000000003</v>
      </c>
      <c r="AU376" s="7" t="str">
        <f>VLOOKUP($AO376,Mapping!$E$11:$I$96,3,0)</f>
        <v>Connections</v>
      </c>
      <c r="AV376" s="7" t="str">
        <f>VLOOKUP($AQ376,Mapping!$E$140:$K$2771,5,0)</f>
        <v>Labour</v>
      </c>
      <c r="AW376" s="7" t="str">
        <f>VLOOKUP($AQ376,Mapping!$E$140:$K$2771,7,0)</f>
        <v>ENDirect</v>
      </c>
      <c r="AX376" s="7" t="str">
        <f>IFERROR(HLOOKUP(AV376,'Calc|Weightings'!$K$5:$M$5,1,0),"Excl")</f>
        <v>Labour</v>
      </c>
      <c r="AY376" s="7" t="str">
        <f>VLOOKUP(AO376,Mapping!$E$11:$I$96,5,0)</f>
        <v>SCS</v>
      </c>
    </row>
    <row r="377" spans="1:51" x14ac:dyDescent="0.2">
      <c r="A377" s="7"/>
      <c r="B377" s="7"/>
      <c r="C377" s="7"/>
      <c r="D377" s="7"/>
      <c r="E377" s="36">
        <v>111</v>
      </c>
      <c r="F377" s="36" t="s">
        <v>2126</v>
      </c>
      <c r="G377" s="36">
        <v>531210</v>
      </c>
      <c r="H377" s="36" t="s">
        <v>252</v>
      </c>
      <c r="I377" s="37">
        <v>-3.30416</v>
      </c>
      <c r="J377" s="7"/>
      <c r="K377" s="7" t="str">
        <f>VLOOKUP($E377,Mapping!$E$11:$I$96,3,0)</f>
        <v>Connections</v>
      </c>
      <c r="L377" s="7" t="str">
        <f>VLOOKUP($G377,Mapping!$E$140:$K$2771,5,0)</f>
        <v>Labour</v>
      </c>
      <c r="M377" s="7" t="str">
        <f>VLOOKUP($G377,Mapping!$E$140:$K$2771,7,0)</f>
        <v>ENDirect</v>
      </c>
      <c r="N377" s="7" t="str">
        <f>IFERROR(HLOOKUP(L377,'Calc|Weightings'!$K$5:$M$5,1,0),"Excl")</f>
        <v>Labour</v>
      </c>
      <c r="O377" s="7" t="str">
        <f>VLOOKUP(E377,Mapping!$E$11:$I$96,5,0)</f>
        <v>SCS</v>
      </c>
      <c r="Q377" s="33">
        <v>111</v>
      </c>
      <c r="R377" s="33" t="s">
        <v>2126</v>
      </c>
      <c r="S377" s="33">
        <v>613371</v>
      </c>
      <c r="T377" s="33" t="s">
        <v>1403</v>
      </c>
      <c r="U377" s="34">
        <v>3.2478600000000002</v>
      </c>
      <c r="V377" s="7"/>
      <c r="W377" s="7" t="str">
        <f>VLOOKUP($Q377,Mapping!$E$11:$I$96,3,0)</f>
        <v>Connections</v>
      </c>
      <c r="X377" s="7" t="str">
        <f>VLOOKUP($S377,Mapping!$E$140:$K$2771,5,0)</f>
        <v>Labour</v>
      </c>
      <c r="Y377" s="7" t="str">
        <f>VLOOKUP($S377,Mapping!$E$140:$K$2771,7,0)</f>
        <v>ENDirect</v>
      </c>
      <c r="Z377" s="7" t="str">
        <f>IFERROR(HLOOKUP(X377,'Calc|Weightings'!$K$5:$M$5,1,0),"Excl")</f>
        <v>Labour</v>
      </c>
      <c r="AA377" s="7" t="str">
        <f>VLOOKUP(Q377,Mapping!$E$11:$I$96,5,0)</f>
        <v>SCS</v>
      </c>
      <c r="AC377" s="111">
        <v>111</v>
      </c>
      <c r="AD377" s="111" t="s">
        <v>2126</v>
      </c>
      <c r="AE377" s="111">
        <v>613281</v>
      </c>
      <c r="AF377" s="111" t="s">
        <v>1343</v>
      </c>
      <c r="AG377" s="112">
        <v>12.40474</v>
      </c>
      <c r="AI377" s="7" t="str">
        <f>VLOOKUP($AC377,Mapping!$E$11:$I$96,3,0)</f>
        <v>Connections</v>
      </c>
      <c r="AJ377" s="7" t="str">
        <f>VLOOKUP($AE377,Mapping!$E$140:$K$2771,5,0)</f>
        <v>Labour</v>
      </c>
      <c r="AK377" s="7" t="str">
        <f>VLOOKUP($AE377,Mapping!$E$140:$K$2771,7,0)</f>
        <v>ENDirect</v>
      </c>
      <c r="AL377" s="7" t="str">
        <f>IFERROR(HLOOKUP(AJ377,'Calc|Weightings'!$K$5:$M$5,1,0),"Excl")</f>
        <v>Labour</v>
      </c>
      <c r="AM377" s="7" t="str">
        <f>VLOOKUP(AC377,Mapping!$E$11:$I$96,5,0)</f>
        <v>SCS</v>
      </c>
      <c r="AO377" s="134">
        <v>111</v>
      </c>
      <c r="AP377" s="135" t="s">
        <v>2126</v>
      </c>
      <c r="AQ377" s="135">
        <v>613450</v>
      </c>
      <c r="AR377" s="135" t="s">
        <v>2175</v>
      </c>
      <c r="AS377" s="136">
        <v>115.56816000000001</v>
      </c>
      <c r="AU377" s="7" t="str">
        <f>VLOOKUP($AO377,Mapping!$E$11:$I$96,3,0)</f>
        <v>Connections</v>
      </c>
      <c r="AV377" s="7" t="str">
        <f>VLOOKUP($AQ377,Mapping!$E$140:$K$2771,5,0)</f>
        <v>Labour</v>
      </c>
      <c r="AW377" s="7" t="str">
        <f>VLOOKUP($AQ377,Mapping!$E$140:$K$2771,7,0)</f>
        <v>ENDirect</v>
      </c>
      <c r="AX377" s="7" t="str">
        <f>IFERROR(HLOOKUP(AV377,'Calc|Weightings'!$K$5:$M$5,1,0),"Excl")</f>
        <v>Labour</v>
      </c>
      <c r="AY377" s="7" t="str">
        <f>VLOOKUP(AO377,Mapping!$E$11:$I$96,5,0)</f>
        <v>SCS</v>
      </c>
    </row>
    <row r="378" spans="1:51" x14ac:dyDescent="0.2">
      <c r="A378" s="7"/>
      <c r="B378" s="7"/>
      <c r="C378" s="7"/>
      <c r="D378" s="7"/>
      <c r="E378" s="36">
        <v>111</v>
      </c>
      <c r="F378" s="36" t="s">
        <v>2126</v>
      </c>
      <c r="G378" s="36">
        <v>531211</v>
      </c>
      <c r="H378" s="36" t="s">
        <v>253</v>
      </c>
      <c r="I378" s="37">
        <v>3.7554400000000001</v>
      </c>
      <c r="J378" s="7"/>
      <c r="K378" s="7" t="str">
        <f>VLOOKUP($E378,Mapping!$E$11:$I$96,3,0)</f>
        <v>Connections</v>
      </c>
      <c r="L378" s="7" t="str">
        <f>VLOOKUP($G378,Mapping!$E$140:$K$2771,5,0)</f>
        <v>Labour</v>
      </c>
      <c r="M378" s="7" t="str">
        <f>VLOOKUP($G378,Mapping!$E$140:$K$2771,7,0)</f>
        <v>ENDirect</v>
      </c>
      <c r="N378" s="7" t="str">
        <f>IFERROR(HLOOKUP(L378,'Calc|Weightings'!$K$5:$M$5,1,0),"Excl")</f>
        <v>Labour</v>
      </c>
      <c r="O378" s="7" t="str">
        <f>VLOOKUP(E378,Mapping!$E$11:$I$96,5,0)</f>
        <v>SCS</v>
      </c>
      <c r="Q378" s="33">
        <v>111</v>
      </c>
      <c r="R378" s="33" t="s">
        <v>2126</v>
      </c>
      <c r="S378" s="33">
        <v>613400</v>
      </c>
      <c r="T378" s="33" t="s">
        <v>2099</v>
      </c>
      <c r="U378" s="34">
        <v>22.40747</v>
      </c>
      <c r="V378" s="7"/>
      <c r="W378" s="7" t="str">
        <f>VLOOKUP($Q378,Mapping!$E$11:$I$96,3,0)</f>
        <v>Connections</v>
      </c>
      <c r="X378" s="7" t="str">
        <f>VLOOKUP($S378,Mapping!$E$140:$K$2771,5,0)</f>
        <v>Labour</v>
      </c>
      <c r="Y378" s="7" t="str">
        <f>VLOOKUP($S378,Mapping!$E$140:$K$2771,7,0)</f>
        <v>ENDirect</v>
      </c>
      <c r="Z378" s="7" t="str">
        <f>IFERROR(HLOOKUP(X378,'Calc|Weightings'!$K$5:$M$5,1,0),"Excl")</f>
        <v>Labour</v>
      </c>
      <c r="AA378" s="7" t="str">
        <f>VLOOKUP(Q378,Mapping!$E$11:$I$96,5,0)</f>
        <v>SCS</v>
      </c>
      <c r="AC378" s="111">
        <v>111</v>
      </c>
      <c r="AD378" s="111" t="s">
        <v>2126</v>
      </c>
      <c r="AE378" s="111">
        <v>613290</v>
      </c>
      <c r="AF378" s="111" t="s">
        <v>2093</v>
      </c>
      <c r="AG378" s="112">
        <v>908.90060000000005</v>
      </c>
      <c r="AI378" s="7" t="str">
        <f>VLOOKUP($AC378,Mapping!$E$11:$I$96,3,0)</f>
        <v>Connections</v>
      </c>
      <c r="AJ378" s="7" t="str">
        <f>VLOOKUP($AE378,Mapping!$E$140:$K$2771,5,0)</f>
        <v>Labour</v>
      </c>
      <c r="AK378" s="7" t="str">
        <f>VLOOKUP($AE378,Mapping!$E$140:$K$2771,7,0)</f>
        <v>ENDirect</v>
      </c>
      <c r="AL378" s="7" t="str">
        <f>IFERROR(HLOOKUP(AJ378,'Calc|Weightings'!$K$5:$M$5,1,0),"Excl")</f>
        <v>Labour</v>
      </c>
      <c r="AM378" s="7" t="str">
        <f>VLOOKUP(AC378,Mapping!$E$11:$I$96,5,0)</f>
        <v>SCS</v>
      </c>
      <c r="AO378" s="134">
        <v>111</v>
      </c>
      <c r="AP378" s="135" t="s">
        <v>2126</v>
      </c>
      <c r="AQ378" s="135">
        <v>613460</v>
      </c>
      <c r="AR378" s="135" t="s">
        <v>2167</v>
      </c>
      <c r="AS378" s="136">
        <v>282.05333999999999</v>
      </c>
      <c r="AU378" s="7" t="str">
        <f>VLOOKUP($AO378,Mapping!$E$11:$I$96,3,0)</f>
        <v>Connections</v>
      </c>
      <c r="AV378" s="7" t="str">
        <f>VLOOKUP($AQ378,Mapping!$E$140:$K$2771,5,0)</f>
        <v>Labour</v>
      </c>
      <c r="AW378" s="7" t="str">
        <f>VLOOKUP($AQ378,Mapping!$E$140:$K$2771,7,0)</f>
        <v>ENDirect</v>
      </c>
      <c r="AX378" s="7" t="str">
        <f>IFERROR(HLOOKUP(AV378,'Calc|Weightings'!$K$5:$M$5,1,0),"Excl")</f>
        <v>Labour</v>
      </c>
      <c r="AY378" s="7" t="str">
        <f>VLOOKUP(AO378,Mapping!$E$11:$I$96,5,0)</f>
        <v>SCS</v>
      </c>
    </row>
    <row r="379" spans="1:51" x14ac:dyDescent="0.2">
      <c r="A379" s="7"/>
      <c r="B379" s="7"/>
      <c r="C379" s="7"/>
      <c r="D379" s="7"/>
      <c r="E379" s="36">
        <v>111</v>
      </c>
      <c r="F379" s="36" t="s">
        <v>2126</v>
      </c>
      <c r="G379" s="36">
        <v>531464</v>
      </c>
      <c r="H379" s="36" t="s">
        <v>256</v>
      </c>
      <c r="I379" s="37">
        <v>4428.6623</v>
      </c>
      <c r="J379" s="7"/>
      <c r="K379" s="7" t="str">
        <f>VLOOKUP($E379,Mapping!$E$11:$I$96,3,0)</f>
        <v>Connections</v>
      </c>
      <c r="L379" s="7" t="str">
        <f>VLOOKUP($G379,Mapping!$E$140:$K$2771,5,0)</f>
        <v>Contracts</v>
      </c>
      <c r="M379" s="7" t="str">
        <f>VLOOKUP($G379,Mapping!$E$140:$K$2771,7,0)</f>
        <v>ENDirect</v>
      </c>
      <c r="N379" s="7" t="str">
        <f>IFERROR(HLOOKUP(L379,'Calc|Weightings'!$K$5:$M$5,1,0),"Excl")</f>
        <v>Contracts</v>
      </c>
      <c r="O379" s="7" t="str">
        <f>VLOOKUP(E379,Mapping!$E$11:$I$96,5,0)</f>
        <v>SCS</v>
      </c>
      <c r="Q379" s="33">
        <v>111</v>
      </c>
      <c r="R379" s="33" t="s">
        <v>2126</v>
      </c>
      <c r="S379" s="33">
        <v>613401</v>
      </c>
      <c r="T379" s="33" t="s">
        <v>2117</v>
      </c>
      <c r="U379" s="34">
        <v>0.77064999999999995</v>
      </c>
      <c r="V379" s="7"/>
      <c r="W379" s="7" t="str">
        <f>VLOOKUP($Q379,Mapping!$E$11:$I$96,3,0)</f>
        <v>Connections</v>
      </c>
      <c r="X379" s="7" t="str">
        <f>VLOOKUP($S379,Mapping!$E$140:$K$2771,5,0)</f>
        <v>Labour</v>
      </c>
      <c r="Y379" s="7" t="str">
        <f>VLOOKUP($S379,Mapping!$E$140:$K$2771,7,0)</f>
        <v>ENDirect</v>
      </c>
      <c r="Z379" s="7" t="str">
        <f>IFERROR(HLOOKUP(X379,'Calc|Weightings'!$K$5:$M$5,1,0),"Excl")</f>
        <v>Labour</v>
      </c>
      <c r="AA379" s="7" t="str">
        <f>VLOOKUP(Q379,Mapping!$E$11:$I$96,5,0)</f>
        <v>SCS</v>
      </c>
      <c r="AC379" s="111">
        <v>111</v>
      </c>
      <c r="AD379" s="111" t="s">
        <v>2126</v>
      </c>
      <c r="AE379" s="111">
        <v>613291</v>
      </c>
      <c r="AF379" s="111" t="s">
        <v>2094</v>
      </c>
      <c r="AG379" s="112">
        <v>18.945060000000002</v>
      </c>
      <c r="AI379" s="7" t="str">
        <f>VLOOKUP($AC379,Mapping!$E$11:$I$96,3,0)</f>
        <v>Connections</v>
      </c>
      <c r="AJ379" s="7" t="str">
        <f>VLOOKUP($AE379,Mapping!$E$140:$K$2771,5,0)</f>
        <v>Labour</v>
      </c>
      <c r="AK379" s="7" t="str">
        <f>VLOOKUP($AE379,Mapping!$E$140:$K$2771,7,0)</f>
        <v>ENDirect</v>
      </c>
      <c r="AL379" s="7" t="str">
        <f>IFERROR(HLOOKUP(AJ379,'Calc|Weightings'!$K$5:$M$5,1,0),"Excl")</f>
        <v>Labour</v>
      </c>
      <c r="AM379" s="7" t="str">
        <f>VLOOKUP(AC379,Mapping!$E$11:$I$96,5,0)</f>
        <v>SCS</v>
      </c>
      <c r="AO379" s="134">
        <v>111</v>
      </c>
      <c r="AP379" s="135" t="s">
        <v>2126</v>
      </c>
      <c r="AQ379" s="135">
        <v>613461</v>
      </c>
      <c r="AR379" s="135" t="s">
        <v>2168</v>
      </c>
      <c r="AS379" s="136">
        <v>6.0860099999999999</v>
      </c>
      <c r="AU379" s="7" t="str">
        <f>VLOOKUP($AO379,Mapping!$E$11:$I$96,3,0)</f>
        <v>Connections</v>
      </c>
      <c r="AV379" s="7" t="str">
        <f>VLOOKUP($AQ379,Mapping!$E$140:$K$2771,5,0)</f>
        <v>Labour</v>
      </c>
      <c r="AW379" s="7" t="str">
        <f>VLOOKUP($AQ379,Mapping!$E$140:$K$2771,7,0)</f>
        <v>ENDirect</v>
      </c>
      <c r="AX379" s="7" t="str">
        <f>IFERROR(HLOOKUP(AV379,'Calc|Weightings'!$K$5:$M$5,1,0),"Excl")</f>
        <v>Labour</v>
      </c>
      <c r="AY379" s="7" t="str">
        <f>VLOOKUP(AO379,Mapping!$E$11:$I$96,5,0)</f>
        <v>SCS</v>
      </c>
    </row>
    <row r="380" spans="1:51" x14ac:dyDescent="0.2">
      <c r="A380" s="7"/>
      <c r="B380" s="7"/>
      <c r="C380" s="7"/>
      <c r="D380" s="7"/>
      <c r="E380" s="36">
        <v>111</v>
      </c>
      <c r="F380" s="36" t="s">
        <v>2126</v>
      </c>
      <c r="G380" s="36">
        <v>531466</v>
      </c>
      <c r="H380" s="36" t="s">
        <v>258</v>
      </c>
      <c r="I380" s="37">
        <v>1725.4367500000001</v>
      </c>
      <c r="J380" s="7"/>
      <c r="K380" s="7" t="str">
        <f>VLOOKUP($E380,Mapping!$E$11:$I$96,3,0)</f>
        <v>Connections</v>
      </c>
      <c r="L380" s="7" t="str">
        <f>VLOOKUP($G380,Mapping!$E$140:$K$2771,5,0)</f>
        <v>Contracts</v>
      </c>
      <c r="M380" s="7" t="str">
        <f>VLOOKUP($G380,Mapping!$E$140:$K$2771,7,0)</f>
        <v>ENDirect</v>
      </c>
      <c r="N380" s="7" t="str">
        <f>IFERROR(HLOOKUP(L380,'Calc|Weightings'!$K$5:$M$5,1,0),"Excl")</f>
        <v>Contracts</v>
      </c>
      <c r="O380" s="7" t="str">
        <f>VLOOKUP(E380,Mapping!$E$11:$I$96,5,0)</f>
        <v>SCS</v>
      </c>
      <c r="Q380" s="33">
        <v>111</v>
      </c>
      <c r="R380" s="33" t="s">
        <v>2126</v>
      </c>
      <c r="S380" s="33">
        <v>613410</v>
      </c>
      <c r="T380" s="33" t="s">
        <v>2100</v>
      </c>
      <c r="U380" s="34">
        <v>32.840620000000001</v>
      </c>
      <c r="V380" s="7"/>
      <c r="W380" s="7" t="str">
        <f>VLOOKUP($Q380,Mapping!$E$11:$I$96,3,0)</f>
        <v>Connections</v>
      </c>
      <c r="X380" s="7" t="str">
        <f>VLOOKUP($S380,Mapping!$E$140:$K$2771,5,0)</f>
        <v>Labour</v>
      </c>
      <c r="Y380" s="7" t="str">
        <f>VLOOKUP($S380,Mapping!$E$140:$K$2771,7,0)</f>
        <v>ENDirect</v>
      </c>
      <c r="Z380" s="7" t="str">
        <f>IFERROR(HLOOKUP(X380,'Calc|Weightings'!$K$5:$M$5,1,0),"Excl")</f>
        <v>Labour</v>
      </c>
      <c r="AA380" s="7" t="str">
        <f>VLOOKUP(Q380,Mapping!$E$11:$I$96,5,0)</f>
        <v>SCS</v>
      </c>
      <c r="AC380" s="111">
        <v>111</v>
      </c>
      <c r="AD380" s="111" t="s">
        <v>2126</v>
      </c>
      <c r="AE380" s="111">
        <v>613298</v>
      </c>
      <c r="AF380" s="111" t="s">
        <v>2122</v>
      </c>
      <c r="AG380" s="112">
        <v>5.4041600000000001</v>
      </c>
      <c r="AI380" s="7" t="str">
        <f>VLOOKUP($AC380,Mapping!$E$11:$I$96,3,0)</f>
        <v>Connections</v>
      </c>
      <c r="AJ380" s="7" t="str">
        <f>VLOOKUP($AE380,Mapping!$E$140:$K$2771,5,0)</f>
        <v>Labour</v>
      </c>
      <c r="AK380" s="7" t="str">
        <f>VLOOKUP($AE380,Mapping!$E$140:$K$2771,7,0)</f>
        <v>ENDirect</v>
      </c>
      <c r="AL380" s="7" t="str">
        <f>IFERROR(HLOOKUP(AJ380,'Calc|Weightings'!$K$5:$M$5,1,0),"Excl")</f>
        <v>Labour</v>
      </c>
      <c r="AM380" s="7" t="str">
        <f>VLOOKUP(AC380,Mapping!$E$11:$I$96,5,0)</f>
        <v>SCS</v>
      </c>
      <c r="AO380" s="134">
        <v>111</v>
      </c>
      <c r="AP380" s="135" t="s">
        <v>2126</v>
      </c>
      <c r="AQ380" s="135">
        <v>613566</v>
      </c>
      <c r="AR380" s="135" t="s">
        <v>1482</v>
      </c>
      <c r="AS380" s="136">
        <v>102.99996</v>
      </c>
      <c r="AU380" s="7" t="str">
        <f>VLOOKUP($AO380,Mapping!$E$11:$I$96,3,0)</f>
        <v>Connections</v>
      </c>
      <c r="AV380" s="7" t="str">
        <f>VLOOKUP($AQ380,Mapping!$E$140:$K$2771,5,0)</f>
        <v>Labour</v>
      </c>
      <c r="AW380" s="7" t="str">
        <f>VLOOKUP($AQ380,Mapping!$E$140:$K$2771,7,0)</f>
        <v>ENDirect</v>
      </c>
      <c r="AX380" s="7" t="str">
        <f>IFERROR(HLOOKUP(AV380,'Calc|Weightings'!$K$5:$M$5,1,0),"Excl")</f>
        <v>Labour</v>
      </c>
      <c r="AY380" s="7" t="str">
        <f>VLOOKUP(AO380,Mapping!$E$11:$I$96,5,0)</f>
        <v>SCS</v>
      </c>
    </row>
    <row r="381" spans="1:51" x14ac:dyDescent="0.2">
      <c r="A381" s="7"/>
      <c r="B381" s="7"/>
      <c r="C381" s="7"/>
      <c r="D381" s="7"/>
      <c r="E381" s="36">
        <v>111</v>
      </c>
      <c r="F381" s="36" t="s">
        <v>2126</v>
      </c>
      <c r="G381" s="36">
        <v>531467</v>
      </c>
      <c r="H381" s="36" t="s">
        <v>259</v>
      </c>
      <c r="I381" s="37">
        <v>987.75831000000005</v>
      </c>
      <c r="J381" s="7"/>
      <c r="K381" s="7" t="str">
        <f>VLOOKUP($E381,Mapping!$E$11:$I$96,3,0)</f>
        <v>Connections</v>
      </c>
      <c r="L381" s="7" t="str">
        <f>VLOOKUP($G381,Mapping!$E$140:$K$2771,5,0)</f>
        <v>Contracts</v>
      </c>
      <c r="M381" s="7" t="str">
        <f>VLOOKUP($G381,Mapping!$E$140:$K$2771,7,0)</f>
        <v>ENDirect</v>
      </c>
      <c r="N381" s="7" t="str">
        <f>IFERROR(HLOOKUP(L381,'Calc|Weightings'!$K$5:$M$5,1,0),"Excl")</f>
        <v>Contracts</v>
      </c>
      <c r="O381" s="7" t="str">
        <f>VLOOKUP(E381,Mapping!$E$11:$I$96,5,0)</f>
        <v>SCS</v>
      </c>
      <c r="Q381" s="33">
        <v>111</v>
      </c>
      <c r="R381" s="33" t="s">
        <v>2126</v>
      </c>
      <c r="S381" s="33">
        <v>613411</v>
      </c>
      <c r="T381" s="33" t="s">
        <v>2101</v>
      </c>
      <c r="U381" s="34">
        <v>1.3615299999999999</v>
      </c>
      <c r="V381" s="7"/>
      <c r="W381" s="7" t="str">
        <f>VLOOKUP($Q381,Mapping!$E$11:$I$96,3,0)</f>
        <v>Connections</v>
      </c>
      <c r="X381" s="7" t="str">
        <f>VLOOKUP($S381,Mapping!$E$140:$K$2771,5,0)</f>
        <v>Labour</v>
      </c>
      <c r="Y381" s="7" t="str">
        <f>VLOOKUP($S381,Mapping!$E$140:$K$2771,7,0)</f>
        <v>ENDirect</v>
      </c>
      <c r="Z381" s="7" t="str">
        <f>IFERROR(HLOOKUP(X381,'Calc|Weightings'!$K$5:$M$5,1,0),"Excl")</f>
        <v>Labour</v>
      </c>
      <c r="AA381" s="7" t="str">
        <f>VLOOKUP(Q381,Mapping!$E$11:$I$96,5,0)</f>
        <v>SCS</v>
      </c>
      <c r="AC381" s="111">
        <v>111</v>
      </c>
      <c r="AD381" s="111" t="s">
        <v>2126</v>
      </c>
      <c r="AE381" s="111">
        <v>613310</v>
      </c>
      <c r="AF381" s="111" t="s">
        <v>2095</v>
      </c>
      <c r="AG381" s="112">
        <v>208.36185</v>
      </c>
      <c r="AI381" s="7" t="str">
        <f>VLOOKUP($AC381,Mapping!$E$11:$I$96,3,0)</f>
        <v>Connections</v>
      </c>
      <c r="AJ381" s="7" t="str">
        <f>VLOOKUP($AE381,Mapping!$E$140:$K$2771,5,0)</f>
        <v>Labour</v>
      </c>
      <c r="AK381" s="7" t="str">
        <f>VLOOKUP($AE381,Mapping!$E$140:$K$2771,7,0)</f>
        <v>ENDirect</v>
      </c>
      <c r="AL381" s="7" t="str">
        <f>IFERROR(HLOOKUP(AJ381,'Calc|Weightings'!$K$5:$M$5,1,0),"Excl")</f>
        <v>Labour</v>
      </c>
      <c r="AM381" s="7" t="str">
        <f>VLOOKUP(AC381,Mapping!$E$11:$I$96,5,0)</f>
        <v>SCS</v>
      </c>
      <c r="AO381" s="134">
        <v>111</v>
      </c>
      <c r="AP381" s="135" t="s">
        <v>2126</v>
      </c>
      <c r="AQ381" s="135">
        <v>613567</v>
      </c>
      <c r="AR381" s="135" t="s">
        <v>1483</v>
      </c>
      <c r="AS381" s="136">
        <v>8.5380900000000004</v>
      </c>
      <c r="AU381" s="7" t="str">
        <f>VLOOKUP($AO381,Mapping!$E$11:$I$96,3,0)</f>
        <v>Connections</v>
      </c>
      <c r="AV381" s="7" t="str">
        <f>VLOOKUP($AQ381,Mapping!$E$140:$K$2771,5,0)</f>
        <v>Labour</v>
      </c>
      <c r="AW381" s="7" t="str">
        <f>VLOOKUP($AQ381,Mapping!$E$140:$K$2771,7,0)</f>
        <v>ENDirect</v>
      </c>
      <c r="AX381" s="7" t="str">
        <f>IFERROR(HLOOKUP(AV381,'Calc|Weightings'!$K$5:$M$5,1,0),"Excl")</f>
        <v>Labour</v>
      </c>
      <c r="AY381" s="7" t="str">
        <f>VLOOKUP(AO381,Mapping!$E$11:$I$96,5,0)</f>
        <v>SCS</v>
      </c>
    </row>
    <row r="382" spans="1:51" x14ac:dyDescent="0.2">
      <c r="A382" s="7"/>
      <c r="B382" s="7"/>
      <c r="C382" s="7"/>
      <c r="D382" s="7"/>
      <c r="E382" s="36">
        <v>111</v>
      </c>
      <c r="F382" s="36" t="s">
        <v>2126</v>
      </c>
      <c r="G382" s="36">
        <v>531468</v>
      </c>
      <c r="H382" s="36" t="s">
        <v>260</v>
      </c>
      <c r="I382" s="37">
        <v>1371.33131</v>
      </c>
      <c r="J382" s="7"/>
      <c r="K382" s="7" t="str">
        <f>VLOOKUP($E382,Mapping!$E$11:$I$96,3,0)</f>
        <v>Connections</v>
      </c>
      <c r="L382" s="7" t="str">
        <f>VLOOKUP($G382,Mapping!$E$140:$K$2771,5,0)</f>
        <v>Contracts</v>
      </c>
      <c r="M382" s="7" t="str">
        <f>VLOOKUP($G382,Mapping!$E$140:$K$2771,7,0)</f>
        <v>ENDirect</v>
      </c>
      <c r="N382" s="7" t="str">
        <f>IFERROR(HLOOKUP(L382,'Calc|Weightings'!$K$5:$M$5,1,0),"Excl")</f>
        <v>Contracts</v>
      </c>
      <c r="O382" s="7" t="str">
        <f>VLOOKUP(E382,Mapping!$E$11:$I$96,5,0)</f>
        <v>SCS</v>
      </c>
      <c r="Q382" s="33">
        <v>111</v>
      </c>
      <c r="R382" s="33" t="s">
        <v>2126</v>
      </c>
      <c r="S382" s="33">
        <v>613434</v>
      </c>
      <c r="T382" s="33" t="s">
        <v>2102</v>
      </c>
      <c r="U382" s="34">
        <v>149.98918</v>
      </c>
      <c r="V382" s="7"/>
      <c r="W382" s="7" t="str">
        <f>VLOOKUP($Q382,Mapping!$E$11:$I$96,3,0)</f>
        <v>Connections</v>
      </c>
      <c r="X382" s="7" t="str">
        <f>VLOOKUP($S382,Mapping!$E$140:$K$2771,5,0)</f>
        <v>Labour</v>
      </c>
      <c r="Y382" s="7" t="str">
        <f>VLOOKUP($S382,Mapping!$E$140:$K$2771,7,0)</f>
        <v>ENDirect</v>
      </c>
      <c r="Z382" s="7" t="str">
        <f>IFERROR(HLOOKUP(X382,'Calc|Weightings'!$K$5:$M$5,1,0),"Excl")</f>
        <v>Labour</v>
      </c>
      <c r="AA382" s="7" t="str">
        <f>VLOOKUP(Q382,Mapping!$E$11:$I$96,5,0)</f>
        <v>SCS</v>
      </c>
      <c r="AC382" s="111">
        <v>111</v>
      </c>
      <c r="AD382" s="111" t="s">
        <v>2126</v>
      </c>
      <c r="AE382" s="111">
        <v>613311</v>
      </c>
      <c r="AF382" s="111" t="s">
        <v>2116</v>
      </c>
      <c r="AG382" s="112">
        <v>3.6719900000000001</v>
      </c>
      <c r="AI382" s="7" t="str">
        <f>VLOOKUP($AC382,Mapping!$E$11:$I$96,3,0)</f>
        <v>Connections</v>
      </c>
      <c r="AJ382" s="7" t="str">
        <f>VLOOKUP($AE382,Mapping!$E$140:$K$2771,5,0)</f>
        <v>Labour</v>
      </c>
      <c r="AK382" s="7" t="str">
        <f>VLOOKUP($AE382,Mapping!$E$140:$K$2771,7,0)</f>
        <v>ENDirect</v>
      </c>
      <c r="AL382" s="7" t="str">
        <f>IFERROR(HLOOKUP(AJ382,'Calc|Weightings'!$K$5:$M$5,1,0),"Excl")</f>
        <v>Labour</v>
      </c>
      <c r="AM382" s="7" t="str">
        <f>VLOOKUP(AC382,Mapping!$E$11:$I$96,5,0)</f>
        <v>SCS</v>
      </c>
      <c r="AO382" s="134">
        <v>111</v>
      </c>
      <c r="AP382" s="135" t="s">
        <v>2126</v>
      </c>
      <c r="AQ382" s="135">
        <v>613570</v>
      </c>
      <c r="AR382" s="135" t="s">
        <v>1484</v>
      </c>
      <c r="AS382" s="136">
        <v>70.103110000000001</v>
      </c>
      <c r="AU382" s="7" t="str">
        <f>VLOOKUP($AO382,Mapping!$E$11:$I$96,3,0)</f>
        <v>Connections</v>
      </c>
      <c r="AV382" s="7" t="str">
        <f>VLOOKUP($AQ382,Mapping!$E$140:$K$2771,5,0)</f>
        <v>Labour</v>
      </c>
      <c r="AW382" s="7" t="str">
        <f>VLOOKUP($AQ382,Mapping!$E$140:$K$2771,7,0)</f>
        <v>ENDirect</v>
      </c>
      <c r="AX382" s="7" t="str">
        <f>IFERROR(HLOOKUP(AV382,'Calc|Weightings'!$K$5:$M$5,1,0),"Excl")</f>
        <v>Labour</v>
      </c>
      <c r="AY382" s="7" t="str">
        <f>VLOOKUP(AO382,Mapping!$E$11:$I$96,5,0)</f>
        <v>SCS</v>
      </c>
    </row>
    <row r="383" spans="1:51" x14ac:dyDescent="0.2">
      <c r="A383" s="7"/>
      <c r="B383" s="7"/>
      <c r="C383" s="7"/>
      <c r="D383" s="7"/>
      <c r="E383" s="36">
        <v>111</v>
      </c>
      <c r="F383" s="36" t="s">
        <v>2126</v>
      </c>
      <c r="G383" s="36">
        <v>531469</v>
      </c>
      <c r="H383" s="36" t="s">
        <v>261</v>
      </c>
      <c r="I383" s="37">
        <v>861.46663999999998</v>
      </c>
      <c r="J383" s="7"/>
      <c r="K383" s="7" t="str">
        <f>VLOOKUP($E383,Mapping!$E$11:$I$96,3,0)</f>
        <v>Connections</v>
      </c>
      <c r="L383" s="7" t="str">
        <f>VLOOKUP($G383,Mapping!$E$140:$K$2771,5,0)</f>
        <v>Labour</v>
      </c>
      <c r="M383" s="7" t="str">
        <f>VLOOKUP($G383,Mapping!$E$140:$K$2771,7,0)</f>
        <v>ENDirect</v>
      </c>
      <c r="N383" s="7" t="str">
        <f>IFERROR(HLOOKUP(L383,'Calc|Weightings'!$K$5:$M$5,1,0),"Excl")</f>
        <v>Labour</v>
      </c>
      <c r="O383" s="7" t="str">
        <f>VLOOKUP(E383,Mapping!$E$11:$I$96,5,0)</f>
        <v>SCS</v>
      </c>
      <c r="Q383" s="33">
        <v>111</v>
      </c>
      <c r="R383" s="33" t="s">
        <v>2126</v>
      </c>
      <c r="S383" s="33">
        <v>613440</v>
      </c>
      <c r="T383" s="33" t="s">
        <v>2103</v>
      </c>
      <c r="U383" s="34">
        <v>31.81005</v>
      </c>
      <c r="V383" s="7"/>
      <c r="W383" s="7" t="str">
        <f>VLOOKUP($Q383,Mapping!$E$11:$I$96,3,0)</f>
        <v>Connections</v>
      </c>
      <c r="X383" s="7" t="str">
        <f>VLOOKUP($S383,Mapping!$E$140:$K$2771,5,0)</f>
        <v>Labour</v>
      </c>
      <c r="Y383" s="7" t="str">
        <f>VLOOKUP($S383,Mapping!$E$140:$K$2771,7,0)</f>
        <v>ENDirect</v>
      </c>
      <c r="Z383" s="7" t="str">
        <f>IFERROR(HLOOKUP(X383,'Calc|Weightings'!$K$5:$M$5,1,0),"Excl")</f>
        <v>Labour</v>
      </c>
      <c r="AA383" s="7" t="str">
        <f>VLOOKUP(Q383,Mapping!$E$11:$I$96,5,0)</f>
        <v>SCS</v>
      </c>
      <c r="AC383" s="111">
        <v>111</v>
      </c>
      <c r="AD383" s="111" t="s">
        <v>2126</v>
      </c>
      <c r="AE383" s="111">
        <v>613350</v>
      </c>
      <c r="AF383" s="111" t="s">
        <v>2096</v>
      </c>
      <c r="AG383" s="112">
        <v>3.12798</v>
      </c>
      <c r="AI383" s="7" t="str">
        <f>VLOOKUP($AC383,Mapping!$E$11:$I$96,3,0)</f>
        <v>Connections</v>
      </c>
      <c r="AJ383" s="7" t="str">
        <f>VLOOKUP($AE383,Mapping!$E$140:$K$2771,5,0)</f>
        <v>Labour</v>
      </c>
      <c r="AK383" s="7" t="str">
        <f>VLOOKUP($AE383,Mapping!$E$140:$K$2771,7,0)</f>
        <v>ENDirect</v>
      </c>
      <c r="AL383" s="7" t="str">
        <f>IFERROR(HLOOKUP(AJ383,'Calc|Weightings'!$K$5:$M$5,1,0),"Excl")</f>
        <v>Labour</v>
      </c>
      <c r="AM383" s="7" t="str">
        <f>VLOOKUP(AC383,Mapping!$E$11:$I$96,5,0)</f>
        <v>SCS</v>
      </c>
      <c r="AO383" s="134">
        <v>111</v>
      </c>
      <c r="AP383" s="135" t="s">
        <v>2126</v>
      </c>
      <c r="AQ383" s="135">
        <v>613571</v>
      </c>
      <c r="AR383" s="135" t="s">
        <v>1485</v>
      </c>
      <c r="AS383" s="136">
        <v>11.691380000000001</v>
      </c>
      <c r="AU383" s="7" t="str">
        <f>VLOOKUP($AO383,Mapping!$E$11:$I$96,3,0)</f>
        <v>Connections</v>
      </c>
      <c r="AV383" s="7" t="str">
        <f>VLOOKUP($AQ383,Mapping!$E$140:$K$2771,5,0)</f>
        <v>Labour</v>
      </c>
      <c r="AW383" s="7" t="str">
        <f>VLOOKUP($AQ383,Mapping!$E$140:$K$2771,7,0)</f>
        <v>ENDirect</v>
      </c>
      <c r="AX383" s="7" t="str">
        <f>IFERROR(HLOOKUP(AV383,'Calc|Weightings'!$K$5:$M$5,1,0),"Excl")</f>
        <v>Labour</v>
      </c>
      <c r="AY383" s="7" t="str">
        <f>VLOOKUP(AO383,Mapping!$E$11:$I$96,5,0)</f>
        <v>SCS</v>
      </c>
    </row>
    <row r="384" spans="1:51" x14ac:dyDescent="0.2">
      <c r="A384" s="7"/>
      <c r="B384" s="7"/>
      <c r="C384" s="7"/>
      <c r="D384" s="7"/>
      <c r="E384" s="36">
        <v>111</v>
      </c>
      <c r="F384" s="36" t="s">
        <v>2126</v>
      </c>
      <c r="G384" s="36">
        <v>531475</v>
      </c>
      <c r="H384" s="36" t="s">
        <v>2355</v>
      </c>
      <c r="I384" s="37">
        <v>7.68682</v>
      </c>
      <c r="J384" s="7"/>
      <c r="K384" s="7" t="str">
        <f>VLOOKUP($E384,Mapping!$E$11:$I$96,3,0)</f>
        <v>Connections</v>
      </c>
      <c r="L384" s="7" t="str">
        <f>VLOOKUP($G384,Mapping!$E$140:$K$2771,5,0)</f>
        <v>Contracts</v>
      </c>
      <c r="M384" s="7" t="str">
        <f>VLOOKUP($G384,Mapping!$E$140:$K$2771,7,0)</f>
        <v>ENDirect</v>
      </c>
      <c r="N384" s="7" t="str">
        <f>IFERROR(HLOOKUP(L384,'Calc|Weightings'!$K$5:$M$5,1,0),"Excl")</f>
        <v>Contracts</v>
      </c>
      <c r="O384" s="7" t="str">
        <f>VLOOKUP(E384,Mapping!$E$11:$I$96,5,0)</f>
        <v>SCS</v>
      </c>
      <c r="Q384" s="33">
        <v>111</v>
      </c>
      <c r="R384" s="33" t="s">
        <v>2126</v>
      </c>
      <c r="S384" s="33">
        <v>613441</v>
      </c>
      <c r="T384" s="33" t="s">
        <v>2104</v>
      </c>
      <c r="U384" s="34">
        <v>4.1907399999999999</v>
      </c>
      <c r="V384" s="7"/>
      <c r="W384" s="7" t="str">
        <f>VLOOKUP($Q384,Mapping!$E$11:$I$96,3,0)</f>
        <v>Connections</v>
      </c>
      <c r="X384" s="7" t="str">
        <f>VLOOKUP($S384,Mapping!$E$140:$K$2771,5,0)</f>
        <v>Labour</v>
      </c>
      <c r="Y384" s="7" t="str">
        <f>VLOOKUP($S384,Mapping!$E$140:$K$2771,7,0)</f>
        <v>ENDirect</v>
      </c>
      <c r="Z384" s="7" t="str">
        <f>IFERROR(HLOOKUP(X384,'Calc|Weightings'!$K$5:$M$5,1,0),"Excl")</f>
        <v>Labour</v>
      </c>
      <c r="AA384" s="7" t="str">
        <f>VLOOKUP(Q384,Mapping!$E$11:$I$96,5,0)</f>
        <v>SCS</v>
      </c>
      <c r="AC384" s="111">
        <v>111</v>
      </c>
      <c r="AD384" s="111" t="s">
        <v>2126</v>
      </c>
      <c r="AE384" s="111">
        <v>613360</v>
      </c>
      <c r="AF384" s="111" t="s">
        <v>2097</v>
      </c>
      <c r="AG384" s="112">
        <v>180.46422999999999</v>
      </c>
      <c r="AI384" s="7" t="str">
        <f>VLOOKUP($AC384,Mapping!$E$11:$I$96,3,0)</f>
        <v>Connections</v>
      </c>
      <c r="AJ384" s="7" t="str">
        <f>VLOOKUP($AE384,Mapping!$E$140:$K$2771,5,0)</f>
        <v>Labour</v>
      </c>
      <c r="AK384" s="7" t="str">
        <f>VLOOKUP($AE384,Mapping!$E$140:$K$2771,7,0)</f>
        <v>ENDirect</v>
      </c>
      <c r="AL384" s="7" t="str">
        <f>IFERROR(HLOOKUP(AJ384,'Calc|Weightings'!$K$5:$M$5,1,0),"Excl")</f>
        <v>Labour</v>
      </c>
      <c r="AM384" s="7" t="str">
        <f>VLOOKUP(AC384,Mapping!$E$11:$I$96,5,0)</f>
        <v>SCS</v>
      </c>
      <c r="AO384" s="134">
        <v>111</v>
      </c>
      <c r="AP384" s="135" t="s">
        <v>2126</v>
      </c>
      <c r="AQ384" s="135">
        <v>613574</v>
      </c>
      <c r="AR384" s="135" t="s">
        <v>1488</v>
      </c>
      <c r="AS384" s="136">
        <v>275.14089999999999</v>
      </c>
      <c r="AU384" s="7" t="str">
        <f>VLOOKUP($AO384,Mapping!$E$11:$I$96,3,0)</f>
        <v>Connections</v>
      </c>
      <c r="AV384" s="7" t="str">
        <f>VLOOKUP($AQ384,Mapping!$E$140:$K$2771,5,0)</f>
        <v>Labour</v>
      </c>
      <c r="AW384" s="7" t="str">
        <f>VLOOKUP($AQ384,Mapping!$E$140:$K$2771,7,0)</f>
        <v>ENDirect</v>
      </c>
      <c r="AX384" s="7" t="str">
        <f>IFERROR(HLOOKUP(AV384,'Calc|Weightings'!$K$5:$M$5,1,0),"Excl")</f>
        <v>Labour</v>
      </c>
      <c r="AY384" s="7" t="str">
        <f>VLOOKUP(AO384,Mapping!$E$11:$I$96,5,0)</f>
        <v>SCS</v>
      </c>
    </row>
    <row r="385" spans="1:51" x14ac:dyDescent="0.2">
      <c r="A385" s="7"/>
      <c r="B385" s="7"/>
      <c r="C385" s="7"/>
      <c r="D385" s="7"/>
      <c r="E385" s="36">
        <v>111</v>
      </c>
      <c r="F385" s="36" t="s">
        <v>2126</v>
      </c>
      <c r="G385" s="36">
        <v>531480</v>
      </c>
      <c r="H385" s="36" t="s">
        <v>2076</v>
      </c>
      <c r="I385" s="37">
        <v>7.6</v>
      </c>
      <c r="J385" s="7"/>
      <c r="K385" s="7" t="str">
        <f>VLOOKUP($E385,Mapping!$E$11:$I$96,3,0)</f>
        <v>Connections</v>
      </c>
      <c r="L385" s="7" t="str">
        <f>VLOOKUP($G385,Mapping!$E$140:$K$2771,5,0)</f>
        <v>Labour</v>
      </c>
      <c r="M385" s="7" t="str">
        <f>VLOOKUP($G385,Mapping!$E$140:$K$2771,7,0)</f>
        <v>ENDirect</v>
      </c>
      <c r="N385" s="7" t="str">
        <f>IFERROR(HLOOKUP(L385,'Calc|Weightings'!$K$5:$M$5,1,0),"Excl")</f>
        <v>Labour</v>
      </c>
      <c r="O385" s="7" t="str">
        <f>VLOOKUP(E385,Mapping!$E$11:$I$96,5,0)</f>
        <v>SCS</v>
      </c>
      <c r="Q385" s="33">
        <v>111</v>
      </c>
      <c r="R385" s="33" t="s">
        <v>2126</v>
      </c>
      <c r="S385" s="33">
        <v>613448</v>
      </c>
      <c r="T385" s="33" t="s">
        <v>2105</v>
      </c>
      <c r="U385" s="34">
        <v>137.87774999999999</v>
      </c>
      <c r="V385" s="7"/>
      <c r="W385" s="7" t="str">
        <f>VLOOKUP($Q385,Mapping!$E$11:$I$96,3,0)</f>
        <v>Connections</v>
      </c>
      <c r="X385" s="7" t="str">
        <f>VLOOKUP($S385,Mapping!$E$140:$K$2771,5,0)</f>
        <v>Labour</v>
      </c>
      <c r="Y385" s="7" t="str">
        <f>VLOOKUP($S385,Mapping!$E$140:$K$2771,7,0)</f>
        <v>ENDirect</v>
      </c>
      <c r="Z385" s="7" t="str">
        <f>IFERROR(HLOOKUP(X385,'Calc|Weightings'!$K$5:$M$5,1,0),"Excl")</f>
        <v>Labour</v>
      </c>
      <c r="AA385" s="7" t="str">
        <f>VLOOKUP(Q385,Mapping!$E$11:$I$96,5,0)</f>
        <v>SCS</v>
      </c>
      <c r="AC385" s="111">
        <v>111</v>
      </c>
      <c r="AD385" s="111" t="s">
        <v>2126</v>
      </c>
      <c r="AE385" s="111">
        <v>613361</v>
      </c>
      <c r="AF385" s="111" t="s">
        <v>2098</v>
      </c>
      <c r="AG385" s="112">
        <v>1.6715199999999999</v>
      </c>
      <c r="AI385" s="7" t="str">
        <f>VLOOKUP($AC385,Mapping!$E$11:$I$96,3,0)</f>
        <v>Connections</v>
      </c>
      <c r="AJ385" s="7" t="str">
        <f>VLOOKUP($AE385,Mapping!$E$140:$K$2771,5,0)</f>
        <v>Labour</v>
      </c>
      <c r="AK385" s="7" t="str">
        <f>VLOOKUP($AE385,Mapping!$E$140:$K$2771,7,0)</f>
        <v>ENDirect</v>
      </c>
      <c r="AL385" s="7" t="str">
        <f>IFERROR(HLOOKUP(AJ385,'Calc|Weightings'!$K$5:$M$5,1,0),"Excl")</f>
        <v>Labour</v>
      </c>
      <c r="AM385" s="7" t="str">
        <f>VLOOKUP(AC385,Mapping!$E$11:$I$96,5,0)</f>
        <v>SCS</v>
      </c>
      <c r="AO385" s="134">
        <v>111</v>
      </c>
      <c r="AP385" s="135" t="s">
        <v>2126</v>
      </c>
      <c r="AQ385" s="135">
        <v>613575</v>
      </c>
      <c r="AR385" s="135" t="s">
        <v>1489</v>
      </c>
      <c r="AS385" s="136">
        <v>25.52713</v>
      </c>
      <c r="AU385" s="7" t="str">
        <f>VLOOKUP($AO385,Mapping!$E$11:$I$96,3,0)</f>
        <v>Connections</v>
      </c>
      <c r="AV385" s="7" t="str">
        <f>VLOOKUP($AQ385,Mapping!$E$140:$K$2771,5,0)</f>
        <v>Labour</v>
      </c>
      <c r="AW385" s="7" t="str">
        <f>VLOOKUP($AQ385,Mapping!$E$140:$K$2771,7,0)</f>
        <v>ENDirect</v>
      </c>
      <c r="AX385" s="7" t="str">
        <f>IFERROR(HLOOKUP(AV385,'Calc|Weightings'!$K$5:$M$5,1,0),"Excl")</f>
        <v>Labour</v>
      </c>
      <c r="AY385" s="7" t="str">
        <f>VLOOKUP(AO385,Mapping!$E$11:$I$96,5,0)</f>
        <v>SCS</v>
      </c>
    </row>
    <row r="386" spans="1:51" x14ac:dyDescent="0.2">
      <c r="A386" s="7"/>
      <c r="B386" s="7"/>
      <c r="C386" s="7"/>
      <c r="D386" s="7"/>
      <c r="E386" s="36">
        <v>111</v>
      </c>
      <c r="F386" s="36" t="s">
        <v>2126</v>
      </c>
      <c r="G386" s="36">
        <v>531485</v>
      </c>
      <c r="H386" s="36" t="s">
        <v>2350</v>
      </c>
      <c r="I386" s="37">
        <v>-110.91306</v>
      </c>
      <c r="J386" s="7"/>
      <c r="K386" s="7" t="str">
        <f>VLOOKUP($E386,Mapping!$E$11:$I$96,3,0)</f>
        <v>Connections</v>
      </c>
      <c r="L386" s="7" t="str">
        <f>VLOOKUP($G386,Mapping!$E$140:$K$2771,5,0)</f>
        <v>Contracts</v>
      </c>
      <c r="M386" s="7" t="str">
        <f>VLOOKUP($G386,Mapping!$E$140:$K$2771,7,0)</f>
        <v>ENDirect</v>
      </c>
      <c r="N386" s="7" t="str">
        <f>IFERROR(HLOOKUP(L386,'Calc|Weightings'!$K$5:$M$5,1,0),"Excl")</f>
        <v>Contracts</v>
      </c>
      <c r="O386" s="7" t="str">
        <f>VLOOKUP(E386,Mapping!$E$11:$I$96,5,0)</f>
        <v>SCS</v>
      </c>
      <c r="Q386" s="33">
        <v>111</v>
      </c>
      <c r="R386" s="33" t="s">
        <v>2126</v>
      </c>
      <c r="S386" s="33">
        <v>613449</v>
      </c>
      <c r="T386" s="33" t="s">
        <v>2106</v>
      </c>
      <c r="U386" s="34">
        <v>27.080970000000001</v>
      </c>
      <c r="V386" s="7"/>
      <c r="W386" s="7" t="str">
        <f>VLOOKUP($Q386,Mapping!$E$11:$I$96,3,0)</f>
        <v>Connections</v>
      </c>
      <c r="X386" s="7" t="str">
        <f>VLOOKUP($S386,Mapping!$E$140:$K$2771,5,0)</f>
        <v>Labour</v>
      </c>
      <c r="Y386" s="7" t="str">
        <f>VLOOKUP($S386,Mapping!$E$140:$K$2771,7,0)</f>
        <v>ENDirect</v>
      </c>
      <c r="Z386" s="7" t="str">
        <f>IFERROR(HLOOKUP(X386,'Calc|Weightings'!$K$5:$M$5,1,0),"Excl")</f>
        <v>Labour</v>
      </c>
      <c r="AA386" s="7" t="str">
        <f>VLOOKUP(Q386,Mapping!$E$11:$I$96,5,0)</f>
        <v>SCS</v>
      </c>
      <c r="AC386" s="111">
        <v>111</v>
      </c>
      <c r="AD386" s="111" t="s">
        <v>2126</v>
      </c>
      <c r="AE386" s="111">
        <v>613362</v>
      </c>
      <c r="AF386" s="111" t="s">
        <v>1396</v>
      </c>
      <c r="AG386" s="112">
        <v>0.28222000000000003</v>
      </c>
      <c r="AI386" s="7" t="str">
        <f>VLOOKUP($AC386,Mapping!$E$11:$I$96,3,0)</f>
        <v>Connections</v>
      </c>
      <c r="AJ386" s="7" t="str">
        <f>VLOOKUP($AE386,Mapping!$E$140:$K$2771,5,0)</f>
        <v>Labour</v>
      </c>
      <c r="AK386" s="7" t="str">
        <f>VLOOKUP($AE386,Mapping!$E$140:$K$2771,7,0)</f>
        <v>ENDirect</v>
      </c>
      <c r="AL386" s="7" t="str">
        <f>IFERROR(HLOOKUP(AJ386,'Calc|Weightings'!$K$5:$M$5,1,0),"Excl")</f>
        <v>Labour</v>
      </c>
      <c r="AM386" s="7" t="str">
        <f>VLOOKUP(AC386,Mapping!$E$11:$I$96,5,0)</f>
        <v>SCS</v>
      </c>
      <c r="AO386" s="134">
        <v>111</v>
      </c>
      <c r="AP386" s="135" t="s">
        <v>2126</v>
      </c>
      <c r="AQ386" s="135">
        <v>613576</v>
      </c>
      <c r="AR386" s="135" t="s">
        <v>1490</v>
      </c>
      <c r="AS386" s="136">
        <v>455.15843999999998</v>
      </c>
      <c r="AU386" s="7" t="str">
        <f>VLOOKUP($AO386,Mapping!$E$11:$I$96,3,0)</f>
        <v>Connections</v>
      </c>
      <c r="AV386" s="7" t="str">
        <f>VLOOKUP($AQ386,Mapping!$E$140:$K$2771,5,0)</f>
        <v>Labour</v>
      </c>
      <c r="AW386" s="7" t="str">
        <f>VLOOKUP($AQ386,Mapping!$E$140:$K$2771,7,0)</f>
        <v>ENDirect</v>
      </c>
      <c r="AX386" s="7" t="str">
        <f>IFERROR(HLOOKUP(AV386,'Calc|Weightings'!$K$5:$M$5,1,0),"Excl")</f>
        <v>Labour</v>
      </c>
      <c r="AY386" s="7" t="str">
        <f>VLOOKUP(AO386,Mapping!$E$11:$I$96,5,0)</f>
        <v>SCS</v>
      </c>
    </row>
    <row r="387" spans="1:51" x14ac:dyDescent="0.2">
      <c r="A387" s="7"/>
      <c r="B387" s="7"/>
      <c r="C387" s="7"/>
      <c r="D387" s="7"/>
      <c r="E387" s="36">
        <v>111</v>
      </c>
      <c r="F387" s="36" t="s">
        <v>2126</v>
      </c>
      <c r="G387" s="36">
        <v>531492</v>
      </c>
      <c r="H387" s="36" t="s">
        <v>2382</v>
      </c>
      <c r="I387" s="37">
        <v>225.87642</v>
      </c>
      <c r="J387" s="7"/>
      <c r="K387" s="7" t="str">
        <f>VLOOKUP($E387,Mapping!$E$11:$I$96,3,0)</f>
        <v>Connections</v>
      </c>
      <c r="L387" s="7" t="str">
        <f>VLOOKUP($G387,Mapping!$E$140:$K$2771,5,0)</f>
        <v>Contracts</v>
      </c>
      <c r="M387" s="7" t="str">
        <f>VLOOKUP($G387,Mapping!$E$140:$K$2771,7,0)</f>
        <v>ENDirect</v>
      </c>
      <c r="N387" s="7" t="str">
        <f>IFERROR(HLOOKUP(L387,'Calc|Weightings'!$K$5:$M$5,1,0),"Excl")</f>
        <v>Contracts</v>
      </c>
      <c r="O387" s="7" t="str">
        <f>VLOOKUP(E387,Mapping!$E$11:$I$96,5,0)</f>
        <v>SCS</v>
      </c>
      <c r="Q387" s="33">
        <v>111</v>
      </c>
      <c r="R387" s="33" t="s">
        <v>2126</v>
      </c>
      <c r="S387" s="33">
        <v>613566</v>
      </c>
      <c r="T387" s="33" t="s">
        <v>1482</v>
      </c>
      <c r="U387" s="34">
        <v>73.482650000000007</v>
      </c>
      <c r="V387" s="7"/>
      <c r="W387" s="7" t="str">
        <f>VLOOKUP($Q387,Mapping!$E$11:$I$96,3,0)</f>
        <v>Connections</v>
      </c>
      <c r="X387" s="7" t="str">
        <f>VLOOKUP($S387,Mapping!$E$140:$K$2771,5,0)</f>
        <v>Labour</v>
      </c>
      <c r="Y387" s="7" t="str">
        <f>VLOOKUP($S387,Mapping!$E$140:$K$2771,7,0)</f>
        <v>ENDirect</v>
      </c>
      <c r="Z387" s="7" t="str">
        <f>IFERROR(HLOOKUP(X387,'Calc|Weightings'!$K$5:$M$5,1,0),"Excl")</f>
        <v>Labour</v>
      </c>
      <c r="AA387" s="7" t="str">
        <f>VLOOKUP(Q387,Mapping!$E$11:$I$96,5,0)</f>
        <v>SCS</v>
      </c>
      <c r="AC387" s="111">
        <v>111</v>
      </c>
      <c r="AD387" s="111" t="s">
        <v>2126</v>
      </c>
      <c r="AE387" s="111">
        <v>613366</v>
      </c>
      <c r="AF387" s="111" t="s">
        <v>1400</v>
      </c>
      <c r="AG387" s="112">
        <v>0.2311</v>
      </c>
      <c r="AI387" s="7" t="str">
        <f>VLOOKUP($AC387,Mapping!$E$11:$I$96,3,0)</f>
        <v>Connections</v>
      </c>
      <c r="AJ387" s="7" t="str">
        <f>VLOOKUP($AE387,Mapping!$E$140:$K$2771,5,0)</f>
        <v>Labour</v>
      </c>
      <c r="AK387" s="7" t="str">
        <f>VLOOKUP($AE387,Mapping!$E$140:$K$2771,7,0)</f>
        <v>ENDirect</v>
      </c>
      <c r="AL387" s="7" t="str">
        <f>IFERROR(HLOOKUP(AJ387,'Calc|Weightings'!$K$5:$M$5,1,0),"Excl")</f>
        <v>Labour</v>
      </c>
      <c r="AM387" s="7" t="str">
        <f>VLOOKUP(AC387,Mapping!$E$11:$I$96,5,0)</f>
        <v>SCS</v>
      </c>
      <c r="AO387" s="134">
        <v>111</v>
      </c>
      <c r="AP387" s="135" t="s">
        <v>2126</v>
      </c>
      <c r="AQ387" s="135">
        <v>613577</v>
      </c>
      <c r="AR387" s="135" t="s">
        <v>1491</v>
      </c>
      <c r="AS387" s="136">
        <v>7.3365600000000004</v>
      </c>
      <c r="AU387" s="7" t="str">
        <f>VLOOKUP($AO387,Mapping!$E$11:$I$96,3,0)</f>
        <v>Connections</v>
      </c>
      <c r="AV387" s="7" t="str">
        <f>VLOOKUP($AQ387,Mapping!$E$140:$K$2771,5,0)</f>
        <v>Labour</v>
      </c>
      <c r="AW387" s="7" t="str">
        <f>VLOOKUP($AQ387,Mapping!$E$140:$K$2771,7,0)</f>
        <v>ENDirect</v>
      </c>
      <c r="AX387" s="7" t="str">
        <f>IFERROR(HLOOKUP(AV387,'Calc|Weightings'!$K$5:$M$5,1,0),"Excl")</f>
        <v>Labour</v>
      </c>
      <c r="AY387" s="7" t="str">
        <f>VLOOKUP(AO387,Mapping!$E$11:$I$96,5,0)</f>
        <v>SCS</v>
      </c>
    </row>
    <row r="388" spans="1:51" x14ac:dyDescent="0.2">
      <c r="A388" s="7"/>
      <c r="B388" s="7"/>
      <c r="C388" s="7"/>
      <c r="D388" s="7"/>
      <c r="E388" s="36">
        <v>111</v>
      </c>
      <c r="F388" s="36" t="s">
        <v>2126</v>
      </c>
      <c r="G388" s="36">
        <v>531495</v>
      </c>
      <c r="H388" s="36" t="s">
        <v>2353</v>
      </c>
      <c r="I388" s="37">
        <v>-382.44065000000001</v>
      </c>
      <c r="J388" s="7"/>
      <c r="K388" s="7" t="str">
        <f>VLOOKUP($E388,Mapping!$E$11:$I$96,3,0)</f>
        <v>Connections</v>
      </c>
      <c r="L388" s="7" t="str">
        <f>VLOOKUP($G388,Mapping!$E$140:$K$2771,5,0)</f>
        <v>Contracts</v>
      </c>
      <c r="M388" s="7" t="str">
        <f>VLOOKUP($G388,Mapping!$E$140:$K$2771,7,0)</f>
        <v>ENDirect</v>
      </c>
      <c r="N388" s="7" t="str">
        <f>IFERROR(HLOOKUP(L388,'Calc|Weightings'!$K$5:$M$5,1,0),"Excl")</f>
        <v>Contracts</v>
      </c>
      <c r="O388" s="7" t="str">
        <f>VLOOKUP(E388,Mapping!$E$11:$I$96,5,0)</f>
        <v>SCS</v>
      </c>
      <c r="Q388" s="33">
        <v>111</v>
      </c>
      <c r="R388" s="33" t="s">
        <v>2126</v>
      </c>
      <c r="S388" s="33">
        <v>613567</v>
      </c>
      <c r="T388" s="33" t="s">
        <v>1483</v>
      </c>
      <c r="U388" s="34">
        <v>4.8525</v>
      </c>
      <c r="V388" s="7"/>
      <c r="W388" s="7" t="str">
        <f>VLOOKUP($Q388,Mapping!$E$11:$I$96,3,0)</f>
        <v>Connections</v>
      </c>
      <c r="X388" s="7" t="str">
        <f>VLOOKUP($S388,Mapping!$E$140:$K$2771,5,0)</f>
        <v>Labour</v>
      </c>
      <c r="Y388" s="7" t="str">
        <f>VLOOKUP($S388,Mapping!$E$140:$K$2771,7,0)</f>
        <v>ENDirect</v>
      </c>
      <c r="Z388" s="7" t="str">
        <f>IFERROR(HLOOKUP(X388,'Calc|Weightings'!$K$5:$M$5,1,0),"Excl")</f>
        <v>Labour</v>
      </c>
      <c r="AA388" s="7" t="str">
        <f>VLOOKUP(Q388,Mapping!$E$11:$I$96,5,0)</f>
        <v>SCS</v>
      </c>
      <c r="AC388" s="111">
        <v>111</v>
      </c>
      <c r="AD388" s="111" t="s">
        <v>2126</v>
      </c>
      <c r="AE388" s="111">
        <v>613370</v>
      </c>
      <c r="AF388" s="111" t="s">
        <v>1402</v>
      </c>
      <c r="AG388" s="112">
        <v>117.43517</v>
      </c>
      <c r="AI388" s="7" t="str">
        <f>VLOOKUP($AC388,Mapping!$E$11:$I$96,3,0)</f>
        <v>Connections</v>
      </c>
      <c r="AJ388" s="7" t="str">
        <f>VLOOKUP($AE388,Mapping!$E$140:$K$2771,5,0)</f>
        <v>Labour</v>
      </c>
      <c r="AK388" s="7" t="str">
        <f>VLOOKUP($AE388,Mapping!$E$140:$K$2771,7,0)</f>
        <v>ENDirect</v>
      </c>
      <c r="AL388" s="7" t="str">
        <f>IFERROR(HLOOKUP(AJ388,'Calc|Weightings'!$K$5:$M$5,1,0),"Excl")</f>
        <v>Labour</v>
      </c>
      <c r="AM388" s="7" t="str">
        <f>VLOOKUP(AC388,Mapping!$E$11:$I$96,5,0)</f>
        <v>SCS</v>
      </c>
      <c r="AO388" s="134">
        <v>111</v>
      </c>
      <c r="AP388" s="135" t="s">
        <v>2126</v>
      </c>
      <c r="AQ388" s="135">
        <v>613602</v>
      </c>
      <c r="AR388" s="135" t="s">
        <v>1494</v>
      </c>
      <c r="AS388" s="136">
        <v>133.64792</v>
      </c>
      <c r="AU388" s="7" t="str">
        <f>VLOOKUP($AO388,Mapping!$E$11:$I$96,3,0)</f>
        <v>Connections</v>
      </c>
      <c r="AV388" s="7" t="str">
        <f>VLOOKUP($AQ388,Mapping!$E$140:$K$2771,5,0)</f>
        <v>Labour</v>
      </c>
      <c r="AW388" s="7" t="str">
        <f>VLOOKUP($AQ388,Mapping!$E$140:$K$2771,7,0)</f>
        <v>ENDirect</v>
      </c>
      <c r="AX388" s="7" t="str">
        <f>IFERROR(HLOOKUP(AV388,'Calc|Weightings'!$K$5:$M$5,1,0),"Excl")</f>
        <v>Labour</v>
      </c>
      <c r="AY388" s="7" t="str">
        <f>VLOOKUP(AO388,Mapping!$E$11:$I$96,5,0)</f>
        <v>SCS</v>
      </c>
    </row>
    <row r="389" spans="1:51" x14ac:dyDescent="0.2">
      <c r="A389" s="7"/>
      <c r="B389" s="7"/>
      <c r="C389" s="7"/>
      <c r="D389" s="7"/>
      <c r="E389" s="36">
        <v>111</v>
      </c>
      <c r="F389" s="36" t="s">
        <v>2126</v>
      </c>
      <c r="G389" s="36">
        <v>532050</v>
      </c>
      <c r="H389" s="36" t="s">
        <v>279</v>
      </c>
      <c r="I389" s="37">
        <v>8.3449299999999997</v>
      </c>
      <c r="J389" s="7"/>
      <c r="K389" s="7" t="str">
        <f>VLOOKUP($E389,Mapping!$E$11:$I$96,3,0)</f>
        <v>Connections</v>
      </c>
      <c r="L389" s="7" t="str">
        <f>VLOOKUP($G389,Mapping!$E$140:$K$2771,5,0)</f>
        <v>Contracts</v>
      </c>
      <c r="M389" s="7" t="str">
        <f>VLOOKUP($G389,Mapping!$E$140:$K$2771,7,0)</f>
        <v>ENDirect</v>
      </c>
      <c r="N389" s="7" t="str">
        <f>IFERROR(HLOOKUP(L389,'Calc|Weightings'!$K$5:$M$5,1,0),"Excl")</f>
        <v>Contracts</v>
      </c>
      <c r="O389" s="7" t="str">
        <f>VLOOKUP(E389,Mapping!$E$11:$I$96,5,0)</f>
        <v>SCS</v>
      </c>
      <c r="Q389" s="33">
        <v>111</v>
      </c>
      <c r="R389" s="33" t="s">
        <v>2126</v>
      </c>
      <c r="S389" s="33">
        <v>613570</v>
      </c>
      <c r="T389" s="33" t="s">
        <v>1484</v>
      </c>
      <c r="U389" s="34">
        <v>28.0412</v>
      </c>
      <c r="V389" s="7"/>
      <c r="W389" s="7" t="str">
        <f>VLOOKUP($Q389,Mapping!$E$11:$I$96,3,0)</f>
        <v>Connections</v>
      </c>
      <c r="X389" s="7" t="str">
        <f>VLOOKUP($S389,Mapping!$E$140:$K$2771,5,0)</f>
        <v>Labour</v>
      </c>
      <c r="Y389" s="7" t="str">
        <f>VLOOKUP($S389,Mapping!$E$140:$K$2771,7,0)</f>
        <v>ENDirect</v>
      </c>
      <c r="Z389" s="7" t="str">
        <f>IFERROR(HLOOKUP(X389,'Calc|Weightings'!$K$5:$M$5,1,0),"Excl")</f>
        <v>Labour</v>
      </c>
      <c r="AA389" s="7" t="str">
        <f>VLOOKUP(Q389,Mapping!$E$11:$I$96,5,0)</f>
        <v>SCS</v>
      </c>
      <c r="AC389" s="111">
        <v>111</v>
      </c>
      <c r="AD389" s="111" t="s">
        <v>2126</v>
      </c>
      <c r="AE389" s="111">
        <v>613371</v>
      </c>
      <c r="AF389" s="111" t="s">
        <v>1403</v>
      </c>
      <c r="AG389" s="112">
        <v>13.83292</v>
      </c>
      <c r="AI389" s="7" t="str">
        <f>VLOOKUP($AC389,Mapping!$E$11:$I$96,3,0)</f>
        <v>Connections</v>
      </c>
      <c r="AJ389" s="7" t="str">
        <f>VLOOKUP($AE389,Mapping!$E$140:$K$2771,5,0)</f>
        <v>Labour</v>
      </c>
      <c r="AK389" s="7" t="str">
        <f>VLOOKUP($AE389,Mapping!$E$140:$K$2771,7,0)</f>
        <v>ENDirect</v>
      </c>
      <c r="AL389" s="7" t="str">
        <f>IFERROR(HLOOKUP(AJ389,'Calc|Weightings'!$K$5:$M$5,1,0),"Excl")</f>
        <v>Labour</v>
      </c>
      <c r="AM389" s="7" t="str">
        <f>VLOOKUP(AC389,Mapping!$E$11:$I$96,5,0)</f>
        <v>SCS</v>
      </c>
      <c r="AO389" s="134">
        <v>111</v>
      </c>
      <c r="AP389" s="135" t="s">
        <v>2126</v>
      </c>
      <c r="AQ389" s="135">
        <v>613603</v>
      </c>
      <c r="AR389" s="135" t="s">
        <v>1495</v>
      </c>
      <c r="AS389" s="136">
        <v>8.7053200000000004</v>
      </c>
      <c r="AU389" s="7" t="str">
        <f>VLOOKUP($AO389,Mapping!$E$11:$I$96,3,0)</f>
        <v>Connections</v>
      </c>
      <c r="AV389" s="7" t="str">
        <f>VLOOKUP($AQ389,Mapping!$E$140:$K$2771,5,0)</f>
        <v>Labour</v>
      </c>
      <c r="AW389" s="7" t="str">
        <f>VLOOKUP($AQ389,Mapping!$E$140:$K$2771,7,0)</f>
        <v>ENDirect</v>
      </c>
      <c r="AX389" s="7" t="str">
        <f>IFERROR(HLOOKUP(AV389,'Calc|Weightings'!$K$5:$M$5,1,0),"Excl")</f>
        <v>Labour</v>
      </c>
      <c r="AY389" s="7" t="str">
        <f>VLOOKUP(AO389,Mapping!$E$11:$I$96,5,0)</f>
        <v>SCS</v>
      </c>
    </row>
    <row r="390" spans="1:51" x14ac:dyDescent="0.2">
      <c r="A390" s="7"/>
      <c r="B390" s="7"/>
      <c r="C390" s="7"/>
      <c r="D390" s="7"/>
      <c r="E390" s="36">
        <v>111</v>
      </c>
      <c r="F390" s="36" t="s">
        <v>2126</v>
      </c>
      <c r="G390" s="36">
        <v>532060</v>
      </c>
      <c r="H390" s="36" t="s">
        <v>281</v>
      </c>
      <c r="I390" s="37">
        <v>0.158</v>
      </c>
      <c r="J390" s="7"/>
      <c r="K390" s="7" t="str">
        <f>VLOOKUP($E390,Mapping!$E$11:$I$96,3,0)</f>
        <v>Connections</v>
      </c>
      <c r="L390" s="7" t="str">
        <f>VLOOKUP($G390,Mapping!$E$140:$K$2771,5,0)</f>
        <v>Contracts</v>
      </c>
      <c r="M390" s="7" t="str">
        <f>VLOOKUP($G390,Mapping!$E$140:$K$2771,7,0)</f>
        <v>ENDirect</v>
      </c>
      <c r="N390" s="7" t="str">
        <f>IFERROR(HLOOKUP(L390,'Calc|Weightings'!$K$5:$M$5,1,0),"Excl")</f>
        <v>Contracts</v>
      </c>
      <c r="O390" s="7" t="str">
        <f>VLOOKUP(E390,Mapping!$E$11:$I$96,5,0)</f>
        <v>SCS</v>
      </c>
      <c r="Q390" s="33">
        <v>111</v>
      </c>
      <c r="R390" s="33" t="s">
        <v>2126</v>
      </c>
      <c r="S390" s="33">
        <v>613571</v>
      </c>
      <c r="T390" s="33" t="s">
        <v>1485</v>
      </c>
      <c r="U390" s="34">
        <v>5.0092400000000001</v>
      </c>
      <c r="V390" s="7"/>
      <c r="W390" s="7" t="str">
        <f>VLOOKUP($Q390,Mapping!$E$11:$I$96,3,0)</f>
        <v>Connections</v>
      </c>
      <c r="X390" s="7" t="str">
        <f>VLOOKUP($S390,Mapping!$E$140:$K$2771,5,0)</f>
        <v>Labour</v>
      </c>
      <c r="Y390" s="7" t="str">
        <f>VLOOKUP($S390,Mapping!$E$140:$K$2771,7,0)</f>
        <v>ENDirect</v>
      </c>
      <c r="Z390" s="7" t="str">
        <f>IFERROR(HLOOKUP(X390,'Calc|Weightings'!$K$5:$M$5,1,0),"Excl")</f>
        <v>Labour</v>
      </c>
      <c r="AA390" s="7" t="str">
        <f>VLOOKUP(Q390,Mapping!$E$11:$I$96,5,0)</f>
        <v>SCS</v>
      </c>
      <c r="AC390" s="111">
        <v>111</v>
      </c>
      <c r="AD390" s="111" t="s">
        <v>2126</v>
      </c>
      <c r="AE390" s="111">
        <v>613400</v>
      </c>
      <c r="AF390" s="111" t="s">
        <v>2099</v>
      </c>
      <c r="AG390" s="112">
        <v>32.509050000000002</v>
      </c>
      <c r="AI390" s="7" t="str">
        <f>VLOOKUP($AC390,Mapping!$E$11:$I$96,3,0)</f>
        <v>Connections</v>
      </c>
      <c r="AJ390" s="7" t="str">
        <f>VLOOKUP($AE390,Mapping!$E$140:$K$2771,5,0)</f>
        <v>Labour</v>
      </c>
      <c r="AK390" s="7" t="str">
        <f>VLOOKUP($AE390,Mapping!$E$140:$K$2771,7,0)</f>
        <v>ENDirect</v>
      </c>
      <c r="AL390" s="7" t="str">
        <f>IFERROR(HLOOKUP(AJ390,'Calc|Weightings'!$K$5:$M$5,1,0),"Excl")</f>
        <v>Labour</v>
      </c>
      <c r="AM390" s="7" t="str">
        <f>VLOOKUP(AC390,Mapping!$E$11:$I$96,5,0)</f>
        <v>SCS</v>
      </c>
      <c r="AO390" s="134">
        <v>111</v>
      </c>
      <c r="AP390" s="135" t="s">
        <v>2126</v>
      </c>
      <c r="AQ390" s="135">
        <v>613630</v>
      </c>
      <c r="AR390" s="135" t="s">
        <v>1498</v>
      </c>
      <c r="AS390" s="136">
        <v>72.306039999999996</v>
      </c>
      <c r="AU390" s="7" t="str">
        <f>VLOOKUP($AO390,Mapping!$E$11:$I$96,3,0)</f>
        <v>Connections</v>
      </c>
      <c r="AV390" s="7" t="str">
        <f>VLOOKUP($AQ390,Mapping!$E$140:$K$2771,5,0)</f>
        <v>Labour</v>
      </c>
      <c r="AW390" s="7" t="str">
        <f>VLOOKUP($AQ390,Mapping!$E$140:$K$2771,7,0)</f>
        <v>ENDirect</v>
      </c>
      <c r="AX390" s="7" t="str">
        <f>IFERROR(HLOOKUP(AV390,'Calc|Weightings'!$K$5:$M$5,1,0),"Excl")</f>
        <v>Labour</v>
      </c>
      <c r="AY390" s="7" t="str">
        <f>VLOOKUP(AO390,Mapping!$E$11:$I$96,5,0)</f>
        <v>SCS</v>
      </c>
    </row>
    <row r="391" spans="1:51" x14ac:dyDescent="0.2">
      <c r="A391" s="7"/>
      <c r="B391" s="7"/>
      <c r="C391" s="7"/>
      <c r="D391" s="7"/>
      <c r="E391" s="36">
        <v>111</v>
      </c>
      <c r="F391" s="36" t="s">
        <v>2126</v>
      </c>
      <c r="G391" s="36">
        <v>532140</v>
      </c>
      <c r="H391" s="36" t="s">
        <v>288</v>
      </c>
      <c r="I391" s="37">
        <v>13.403</v>
      </c>
      <c r="J391" s="7"/>
      <c r="K391" s="7" t="str">
        <f>VLOOKUP($E391,Mapping!$E$11:$I$96,3,0)</f>
        <v>Connections</v>
      </c>
      <c r="L391" s="7" t="str">
        <f>VLOOKUP($G391,Mapping!$E$140:$K$2771,5,0)</f>
        <v>Contracts</v>
      </c>
      <c r="M391" s="7" t="str">
        <f>VLOOKUP($G391,Mapping!$E$140:$K$2771,7,0)</f>
        <v>ENDirect</v>
      </c>
      <c r="N391" s="7" t="str">
        <f>IFERROR(HLOOKUP(L391,'Calc|Weightings'!$K$5:$M$5,1,0),"Excl")</f>
        <v>Contracts</v>
      </c>
      <c r="O391" s="7" t="str">
        <f>VLOOKUP(E391,Mapping!$E$11:$I$96,5,0)</f>
        <v>SCS</v>
      </c>
      <c r="Q391" s="33">
        <v>111</v>
      </c>
      <c r="R391" s="33" t="s">
        <v>2126</v>
      </c>
      <c r="S391" s="33">
        <v>613574</v>
      </c>
      <c r="T391" s="33" t="s">
        <v>1488</v>
      </c>
      <c r="U391" s="34">
        <v>236.17271</v>
      </c>
      <c r="V391" s="7"/>
      <c r="W391" s="7" t="str">
        <f>VLOOKUP($Q391,Mapping!$E$11:$I$96,3,0)</f>
        <v>Connections</v>
      </c>
      <c r="X391" s="7" t="str">
        <f>VLOOKUP($S391,Mapping!$E$140:$K$2771,5,0)</f>
        <v>Labour</v>
      </c>
      <c r="Y391" s="7" t="str">
        <f>VLOOKUP($S391,Mapping!$E$140:$K$2771,7,0)</f>
        <v>ENDirect</v>
      </c>
      <c r="Z391" s="7" t="str">
        <f>IFERROR(HLOOKUP(X391,'Calc|Weightings'!$K$5:$M$5,1,0),"Excl")</f>
        <v>Labour</v>
      </c>
      <c r="AA391" s="7" t="str">
        <f>VLOOKUP(Q391,Mapping!$E$11:$I$96,5,0)</f>
        <v>SCS</v>
      </c>
      <c r="AC391" s="111">
        <v>111</v>
      </c>
      <c r="AD391" s="111" t="s">
        <v>2126</v>
      </c>
      <c r="AE391" s="111">
        <v>613401</v>
      </c>
      <c r="AF391" s="111" t="s">
        <v>2117</v>
      </c>
      <c r="AG391" s="112">
        <v>1.1509499999999999</v>
      </c>
      <c r="AI391" s="7" t="str">
        <f>VLOOKUP($AC391,Mapping!$E$11:$I$96,3,0)</f>
        <v>Connections</v>
      </c>
      <c r="AJ391" s="7" t="str">
        <f>VLOOKUP($AE391,Mapping!$E$140:$K$2771,5,0)</f>
        <v>Labour</v>
      </c>
      <c r="AK391" s="7" t="str">
        <f>VLOOKUP($AE391,Mapping!$E$140:$K$2771,7,0)</f>
        <v>ENDirect</v>
      </c>
      <c r="AL391" s="7" t="str">
        <f>IFERROR(HLOOKUP(AJ391,'Calc|Weightings'!$K$5:$M$5,1,0),"Excl")</f>
        <v>Labour</v>
      </c>
      <c r="AM391" s="7" t="str">
        <f>VLOOKUP(AC391,Mapping!$E$11:$I$96,5,0)</f>
        <v>SCS</v>
      </c>
      <c r="AO391" s="134">
        <v>111</v>
      </c>
      <c r="AP391" s="135" t="s">
        <v>2126</v>
      </c>
      <c r="AQ391" s="135">
        <v>613680</v>
      </c>
      <c r="AR391" s="135" t="s">
        <v>2107</v>
      </c>
      <c r="AS391" s="136">
        <v>151.71177</v>
      </c>
      <c r="AU391" s="7" t="str">
        <f>VLOOKUP($AO391,Mapping!$E$11:$I$96,3,0)</f>
        <v>Connections</v>
      </c>
      <c r="AV391" s="7" t="str">
        <f>VLOOKUP($AQ391,Mapping!$E$140:$K$2771,5,0)</f>
        <v>Labour</v>
      </c>
      <c r="AW391" s="7" t="str">
        <f>VLOOKUP($AQ391,Mapping!$E$140:$K$2771,7,0)</f>
        <v>ENDirect</v>
      </c>
      <c r="AX391" s="7" t="str">
        <f>IFERROR(HLOOKUP(AV391,'Calc|Weightings'!$K$5:$M$5,1,0),"Excl")</f>
        <v>Labour</v>
      </c>
      <c r="AY391" s="7" t="str">
        <f>VLOOKUP(AO391,Mapping!$E$11:$I$96,5,0)</f>
        <v>SCS</v>
      </c>
    </row>
    <row r="392" spans="1:51" x14ac:dyDescent="0.2">
      <c r="A392" s="7"/>
      <c r="B392" s="7"/>
      <c r="C392" s="7"/>
      <c r="D392" s="7"/>
      <c r="E392" s="36">
        <v>111</v>
      </c>
      <c r="F392" s="36" t="s">
        <v>2126</v>
      </c>
      <c r="G392" s="36">
        <v>533000</v>
      </c>
      <c r="H392" s="36" t="s">
        <v>312</v>
      </c>
      <c r="I392" s="37">
        <v>7.1537499999999996</v>
      </c>
      <c r="J392" s="7"/>
      <c r="K392" s="7" t="str">
        <f>VLOOKUP($E392,Mapping!$E$11:$I$96,3,0)</f>
        <v>Connections</v>
      </c>
      <c r="L392" s="7" t="str">
        <f>VLOOKUP($G392,Mapping!$E$140:$K$2771,5,0)</f>
        <v>Contracts</v>
      </c>
      <c r="M392" s="7" t="str">
        <f>VLOOKUP($G392,Mapping!$E$140:$K$2771,7,0)</f>
        <v>ENDirect</v>
      </c>
      <c r="N392" s="7" t="str">
        <f>IFERROR(HLOOKUP(L392,'Calc|Weightings'!$K$5:$M$5,1,0),"Excl")</f>
        <v>Contracts</v>
      </c>
      <c r="O392" s="7" t="str">
        <f>VLOOKUP(E392,Mapping!$E$11:$I$96,5,0)</f>
        <v>SCS</v>
      </c>
      <c r="Q392" s="33">
        <v>111</v>
      </c>
      <c r="R392" s="33" t="s">
        <v>2126</v>
      </c>
      <c r="S392" s="33">
        <v>613575</v>
      </c>
      <c r="T392" s="33" t="s">
        <v>1489</v>
      </c>
      <c r="U392" s="34">
        <v>4.7206099999999998</v>
      </c>
      <c r="V392" s="7"/>
      <c r="W392" s="7" t="str">
        <f>VLOOKUP($Q392,Mapping!$E$11:$I$96,3,0)</f>
        <v>Connections</v>
      </c>
      <c r="X392" s="7" t="str">
        <f>VLOOKUP($S392,Mapping!$E$140:$K$2771,5,0)</f>
        <v>Labour</v>
      </c>
      <c r="Y392" s="7" t="str">
        <f>VLOOKUP($S392,Mapping!$E$140:$K$2771,7,0)</f>
        <v>ENDirect</v>
      </c>
      <c r="Z392" s="7" t="str">
        <f>IFERROR(HLOOKUP(X392,'Calc|Weightings'!$K$5:$M$5,1,0),"Excl")</f>
        <v>Labour</v>
      </c>
      <c r="AA392" s="7" t="str">
        <f>VLOOKUP(Q392,Mapping!$E$11:$I$96,5,0)</f>
        <v>SCS</v>
      </c>
      <c r="AC392" s="111">
        <v>111</v>
      </c>
      <c r="AD392" s="111" t="s">
        <v>2126</v>
      </c>
      <c r="AE392" s="111">
        <v>613410</v>
      </c>
      <c r="AF392" s="111" t="s">
        <v>2100</v>
      </c>
      <c r="AG392" s="112">
        <v>34.529980000000002</v>
      </c>
      <c r="AI392" s="7" t="str">
        <f>VLOOKUP($AC392,Mapping!$E$11:$I$96,3,0)</f>
        <v>Connections</v>
      </c>
      <c r="AJ392" s="7" t="str">
        <f>VLOOKUP($AE392,Mapping!$E$140:$K$2771,5,0)</f>
        <v>Labour</v>
      </c>
      <c r="AK392" s="7" t="str">
        <f>VLOOKUP($AE392,Mapping!$E$140:$K$2771,7,0)</f>
        <v>ENDirect</v>
      </c>
      <c r="AL392" s="7" t="str">
        <f>IFERROR(HLOOKUP(AJ392,'Calc|Weightings'!$K$5:$M$5,1,0),"Excl")</f>
        <v>Labour</v>
      </c>
      <c r="AM392" s="7" t="str">
        <f>VLOOKUP(AC392,Mapping!$E$11:$I$96,5,0)</f>
        <v>SCS</v>
      </c>
      <c r="AO392" s="134">
        <v>111</v>
      </c>
      <c r="AP392" s="135" t="s">
        <v>2126</v>
      </c>
      <c r="AQ392" s="135">
        <v>613681</v>
      </c>
      <c r="AR392" s="135" t="s">
        <v>2108</v>
      </c>
      <c r="AS392" s="136">
        <v>0.71316000000000002</v>
      </c>
      <c r="AU392" s="7" t="str">
        <f>VLOOKUP($AO392,Mapping!$E$11:$I$96,3,0)</f>
        <v>Connections</v>
      </c>
      <c r="AV392" s="7" t="str">
        <f>VLOOKUP($AQ392,Mapping!$E$140:$K$2771,5,0)</f>
        <v>Labour</v>
      </c>
      <c r="AW392" s="7" t="str">
        <f>VLOOKUP($AQ392,Mapping!$E$140:$K$2771,7,0)</f>
        <v>ENDirect</v>
      </c>
      <c r="AX392" s="7" t="str">
        <f>IFERROR(HLOOKUP(AV392,'Calc|Weightings'!$K$5:$M$5,1,0),"Excl")</f>
        <v>Labour</v>
      </c>
      <c r="AY392" s="7" t="str">
        <f>VLOOKUP(AO392,Mapping!$E$11:$I$96,5,0)</f>
        <v>SCS</v>
      </c>
    </row>
    <row r="393" spans="1:51" x14ac:dyDescent="0.2">
      <c r="A393" s="7"/>
      <c r="B393" s="7"/>
      <c r="C393" s="7"/>
      <c r="D393" s="7"/>
      <c r="E393" s="36">
        <v>111</v>
      </c>
      <c r="F393" s="36" t="s">
        <v>2126</v>
      </c>
      <c r="G393" s="36">
        <v>591997</v>
      </c>
      <c r="H393" s="36" t="s">
        <v>2194</v>
      </c>
      <c r="I393" s="37">
        <v>-59.441119999999998</v>
      </c>
      <c r="J393" s="7"/>
      <c r="K393" s="7" t="str">
        <f>VLOOKUP($E393,Mapping!$E$11:$I$96,3,0)</f>
        <v>Connections</v>
      </c>
      <c r="L393" s="7" t="str">
        <f>VLOOKUP($G393,Mapping!$E$140:$K$2771,5,0)</f>
        <v>Contracts</v>
      </c>
      <c r="M393" s="7" t="str">
        <f>VLOOKUP($G393,Mapping!$E$140:$K$2771,7,0)</f>
        <v>ENDirect</v>
      </c>
      <c r="N393" s="7" t="str">
        <f>IFERROR(HLOOKUP(L393,'Calc|Weightings'!$K$5:$M$5,1,0),"Excl")</f>
        <v>Contracts</v>
      </c>
      <c r="O393" s="7" t="str">
        <f>VLOOKUP(E393,Mapping!$E$11:$I$96,5,0)</f>
        <v>SCS</v>
      </c>
      <c r="Q393" s="33">
        <v>111</v>
      </c>
      <c r="R393" s="33" t="s">
        <v>2126</v>
      </c>
      <c r="S393" s="33">
        <v>613576</v>
      </c>
      <c r="T393" s="33" t="s">
        <v>1490</v>
      </c>
      <c r="U393" s="34">
        <v>3.9738899999999999</v>
      </c>
      <c r="V393" s="7"/>
      <c r="W393" s="7" t="str">
        <f>VLOOKUP($Q393,Mapping!$E$11:$I$96,3,0)</f>
        <v>Connections</v>
      </c>
      <c r="X393" s="7" t="str">
        <f>VLOOKUP($S393,Mapping!$E$140:$K$2771,5,0)</f>
        <v>Labour</v>
      </c>
      <c r="Y393" s="7" t="str">
        <f>VLOOKUP($S393,Mapping!$E$140:$K$2771,7,0)</f>
        <v>ENDirect</v>
      </c>
      <c r="Z393" s="7" t="str">
        <f>IFERROR(HLOOKUP(X393,'Calc|Weightings'!$K$5:$M$5,1,0),"Excl")</f>
        <v>Labour</v>
      </c>
      <c r="AA393" s="7" t="str">
        <f>VLOOKUP(Q393,Mapping!$E$11:$I$96,5,0)</f>
        <v>SCS</v>
      </c>
      <c r="AC393" s="111">
        <v>111</v>
      </c>
      <c r="AD393" s="111" t="s">
        <v>2126</v>
      </c>
      <c r="AE393" s="111">
        <v>613411</v>
      </c>
      <c r="AF393" s="111" t="s">
        <v>2101</v>
      </c>
      <c r="AG393" s="112">
        <v>0.84794999999999998</v>
      </c>
      <c r="AI393" s="7" t="str">
        <f>VLOOKUP($AC393,Mapping!$E$11:$I$96,3,0)</f>
        <v>Connections</v>
      </c>
      <c r="AJ393" s="7" t="str">
        <f>VLOOKUP($AE393,Mapping!$E$140:$K$2771,5,0)</f>
        <v>Labour</v>
      </c>
      <c r="AK393" s="7" t="str">
        <f>VLOOKUP($AE393,Mapping!$E$140:$K$2771,7,0)</f>
        <v>ENDirect</v>
      </c>
      <c r="AL393" s="7" t="str">
        <f>IFERROR(HLOOKUP(AJ393,'Calc|Weightings'!$K$5:$M$5,1,0),"Excl")</f>
        <v>Labour</v>
      </c>
      <c r="AM393" s="7" t="str">
        <f>VLOOKUP(AC393,Mapping!$E$11:$I$96,5,0)</f>
        <v>SCS</v>
      </c>
      <c r="AO393" s="134">
        <v>111</v>
      </c>
      <c r="AP393" s="135" t="s">
        <v>2126</v>
      </c>
      <c r="AQ393" s="135">
        <v>614115</v>
      </c>
      <c r="AR393" s="135" t="s">
        <v>2109</v>
      </c>
      <c r="AS393" s="136">
        <v>28.782769999999999</v>
      </c>
      <c r="AU393" s="7" t="str">
        <f>VLOOKUP($AO393,Mapping!$E$11:$I$96,3,0)</f>
        <v>Connections</v>
      </c>
      <c r="AV393" s="7" t="str">
        <f>VLOOKUP($AQ393,Mapping!$E$140:$K$2771,5,0)</f>
        <v>Labour</v>
      </c>
      <c r="AW393" s="7" t="str">
        <f>VLOOKUP($AQ393,Mapping!$E$140:$K$2771,7,0)</f>
        <v>ENDirect</v>
      </c>
      <c r="AX393" s="7" t="str">
        <f>IFERROR(HLOOKUP(AV393,'Calc|Weightings'!$K$5:$M$5,1,0),"Excl")</f>
        <v>Labour</v>
      </c>
      <c r="AY393" s="7" t="str">
        <f>VLOOKUP(AO393,Mapping!$E$11:$I$96,5,0)</f>
        <v>SCS</v>
      </c>
    </row>
    <row r="394" spans="1:51" x14ac:dyDescent="0.2">
      <c r="A394" s="7"/>
      <c r="B394" s="7"/>
      <c r="C394" s="7"/>
      <c r="D394" s="7"/>
      <c r="E394" s="36">
        <v>111</v>
      </c>
      <c r="F394" s="36" t="s">
        <v>2126</v>
      </c>
      <c r="G394" s="36">
        <v>591998</v>
      </c>
      <c r="H394" s="36" t="s">
        <v>2077</v>
      </c>
      <c r="I394" s="37">
        <v>-40.290520000000001</v>
      </c>
      <c r="J394" s="7"/>
      <c r="K394" s="7" t="str">
        <f>VLOOKUP($E394,Mapping!$E$11:$I$96,3,0)</f>
        <v>Connections</v>
      </c>
      <c r="L394" s="7" t="str">
        <f>VLOOKUP($G394,Mapping!$E$140:$K$2771,5,0)</f>
        <v>Contracts</v>
      </c>
      <c r="M394" s="7" t="str">
        <f>VLOOKUP($G394,Mapping!$E$140:$K$2771,7,0)</f>
        <v>ENDirect</v>
      </c>
      <c r="N394" s="7" t="str">
        <f>IFERROR(HLOOKUP(L394,'Calc|Weightings'!$K$5:$M$5,1,0),"Excl")</f>
        <v>Contracts</v>
      </c>
      <c r="O394" s="7" t="str">
        <f>VLOOKUP(E394,Mapping!$E$11:$I$96,5,0)</f>
        <v>SCS</v>
      </c>
      <c r="Q394" s="33">
        <v>111</v>
      </c>
      <c r="R394" s="33" t="s">
        <v>2126</v>
      </c>
      <c r="S394" s="33">
        <v>613602</v>
      </c>
      <c r="T394" s="33" t="s">
        <v>1494</v>
      </c>
      <c r="U394" s="34">
        <v>0.51275999999999999</v>
      </c>
      <c r="V394" s="7"/>
      <c r="W394" s="7" t="str">
        <f>VLOOKUP($Q394,Mapping!$E$11:$I$96,3,0)</f>
        <v>Connections</v>
      </c>
      <c r="X394" s="7" t="str">
        <f>VLOOKUP($S394,Mapping!$E$140:$K$2771,5,0)</f>
        <v>Labour</v>
      </c>
      <c r="Y394" s="7" t="str">
        <f>VLOOKUP($S394,Mapping!$E$140:$K$2771,7,0)</f>
        <v>ENDirect</v>
      </c>
      <c r="Z394" s="7" t="str">
        <f>IFERROR(HLOOKUP(X394,'Calc|Weightings'!$K$5:$M$5,1,0),"Excl")</f>
        <v>Labour</v>
      </c>
      <c r="AA394" s="7" t="str">
        <f>VLOOKUP(Q394,Mapping!$E$11:$I$96,5,0)</f>
        <v>SCS</v>
      </c>
      <c r="AC394" s="111">
        <v>111</v>
      </c>
      <c r="AD394" s="111" t="s">
        <v>2126</v>
      </c>
      <c r="AE394" s="111">
        <v>613420</v>
      </c>
      <c r="AF394" s="111" t="s">
        <v>2393</v>
      </c>
      <c r="AG394" s="112">
        <v>13.76493</v>
      </c>
      <c r="AI394" s="7" t="str">
        <f>VLOOKUP($AC394,Mapping!$E$11:$I$96,3,0)</f>
        <v>Connections</v>
      </c>
      <c r="AJ394" s="7" t="str">
        <f>VLOOKUP($AE394,Mapping!$E$140:$K$2771,5,0)</f>
        <v>Labour</v>
      </c>
      <c r="AK394" s="7" t="str">
        <f>VLOOKUP($AE394,Mapping!$E$140:$K$2771,7,0)</f>
        <v>ENDirect</v>
      </c>
      <c r="AL394" s="7" t="str">
        <f>IFERROR(HLOOKUP(AJ394,'Calc|Weightings'!$K$5:$M$5,1,0),"Excl")</f>
        <v>Labour</v>
      </c>
      <c r="AM394" s="7" t="str">
        <f>VLOOKUP(AC394,Mapping!$E$11:$I$96,5,0)</f>
        <v>SCS</v>
      </c>
      <c r="AO394" s="134">
        <v>111</v>
      </c>
      <c r="AP394" s="135" t="s">
        <v>2126</v>
      </c>
      <c r="AQ394" s="135">
        <v>615395</v>
      </c>
      <c r="AR394" s="135" t="s">
        <v>2196</v>
      </c>
      <c r="AS394" s="136">
        <v>15.933</v>
      </c>
      <c r="AU394" s="7" t="str">
        <f>VLOOKUP($AO394,Mapping!$E$11:$I$96,3,0)</f>
        <v>Connections</v>
      </c>
      <c r="AV394" s="7" t="str">
        <f>VLOOKUP($AQ394,Mapping!$E$140:$K$2771,5,0)</f>
        <v>Labour</v>
      </c>
      <c r="AW394" s="7" t="str">
        <f>VLOOKUP($AQ394,Mapping!$E$140:$K$2771,7,0)</f>
        <v>ENDirect</v>
      </c>
      <c r="AX394" s="7" t="str">
        <f>IFERROR(HLOOKUP(AV394,'Calc|Weightings'!$K$5:$M$5,1,0),"Excl")</f>
        <v>Labour</v>
      </c>
      <c r="AY394" s="7" t="str">
        <f>VLOOKUP(AO394,Mapping!$E$11:$I$96,5,0)</f>
        <v>SCS</v>
      </c>
    </row>
    <row r="395" spans="1:51" x14ac:dyDescent="0.2">
      <c r="A395" s="7"/>
      <c r="B395" s="7"/>
      <c r="C395" s="7"/>
      <c r="D395" s="7"/>
      <c r="E395" s="36">
        <v>111</v>
      </c>
      <c r="F395" s="36" t="s">
        <v>2126</v>
      </c>
      <c r="G395" s="36">
        <v>591999</v>
      </c>
      <c r="H395" s="36" t="s">
        <v>2195</v>
      </c>
      <c r="I395" s="37">
        <v>-279.01325000000003</v>
      </c>
      <c r="J395" s="7"/>
      <c r="K395" s="7" t="str">
        <f>VLOOKUP($E395,Mapping!$E$11:$I$96,3,0)</f>
        <v>Connections</v>
      </c>
      <c r="L395" s="7" t="str">
        <f>VLOOKUP($G395,Mapping!$E$140:$K$2771,5,0)</f>
        <v>Contracts</v>
      </c>
      <c r="M395" s="7" t="str">
        <f>VLOOKUP($G395,Mapping!$E$140:$K$2771,7,0)</f>
        <v>ENDirect</v>
      </c>
      <c r="N395" s="7" t="str">
        <f>IFERROR(HLOOKUP(L395,'Calc|Weightings'!$K$5:$M$5,1,0),"Excl")</f>
        <v>Contracts</v>
      </c>
      <c r="O395" s="7" t="str">
        <f>VLOOKUP(E395,Mapping!$E$11:$I$96,5,0)</f>
        <v>SCS</v>
      </c>
      <c r="Q395" s="33">
        <v>111</v>
      </c>
      <c r="R395" s="33" t="s">
        <v>2126</v>
      </c>
      <c r="S395" s="33">
        <v>613630</v>
      </c>
      <c r="T395" s="33" t="s">
        <v>1498</v>
      </c>
      <c r="U395" s="34">
        <v>10.846310000000001</v>
      </c>
      <c r="V395" s="7"/>
      <c r="W395" s="7" t="str">
        <f>VLOOKUP($Q395,Mapping!$E$11:$I$96,3,0)</f>
        <v>Connections</v>
      </c>
      <c r="X395" s="7" t="str">
        <f>VLOOKUP($S395,Mapping!$E$140:$K$2771,5,0)</f>
        <v>Labour</v>
      </c>
      <c r="Y395" s="7" t="str">
        <f>VLOOKUP($S395,Mapping!$E$140:$K$2771,7,0)</f>
        <v>ENDirect</v>
      </c>
      <c r="Z395" s="7" t="str">
        <f>IFERROR(HLOOKUP(X395,'Calc|Weightings'!$K$5:$M$5,1,0),"Excl")</f>
        <v>Labour</v>
      </c>
      <c r="AA395" s="7" t="str">
        <f>VLOOKUP(Q395,Mapping!$E$11:$I$96,5,0)</f>
        <v>SCS</v>
      </c>
      <c r="AC395" s="111">
        <v>111</v>
      </c>
      <c r="AD395" s="111" t="s">
        <v>2126</v>
      </c>
      <c r="AE395" s="111">
        <v>613434</v>
      </c>
      <c r="AF395" s="111" t="s">
        <v>2102</v>
      </c>
      <c r="AG395" s="112">
        <v>169.38896</v>
      </c>
      <c r="AI395" s="7" t="str">
        <f>VLOOKUP($AC395,Mapping!$E$11:$I$96,3,0)</f>
        <v>Connections</v>
      </c>
      <c r="AJ395" s="7" t="str">
        <f>VLOOKUP($AE395,Mapping!$E$140:$K$2771,5,0)</f>
        <v>Labour</v>
      </c>
      <c r="AK395" s="7" t="str">
        <f>VLOOKUP($AE395,Mapping!$E$140:$K$2771,7,0)</f>
        <v>ENDirect</v>
      </c>
      <c r="AL395" s="7" t="str">
        <f>IFERROR(HLOOKUP(AJ395,'Calc|Weightings'!$K$5:$M$5,1,0),"Excl")</f>
        <v>Labour</v>
      </c>
      <c r="AM395" s="7" t="str">
        <f>VLOOKUP(AC395,Mapping!$E$11:$I$96,5,0)</f>
        <v>SCS</v>
      </c>
      <c r="AO395" s="134">
        <v>111</v>
      </c>
      <c r="AP395" s="135" t="s">
        <v>2126</v>
      </c>
      <c r="AQ395" s="135">
        <v>634001</v>
      </c>
      <c r="AR395" s="135" t="s">
        <v>2110</v>
      </c>
      <c r="AS395" s="136">
        <v>1443.35149</v>
      </c>
      <c r="AU395" s="7" t="str">
        <f>VLOOKUP($AO395,Mapping!$E$11:$I$96,3,0)</f>
        <v>Connections</v>
      </c>
      <c r="AV395" s="7" t="str">
        <f>VLOOKUP($AQ395,Mapping!$E$140:$K$2771,5,0)</f>
        <v>Local OH</v>
      </c>
      <c r="AW395" s="7" t="str">
        <f>VLOOKUP($AQ395,Mapping!$E$140:$K$2771,7,0)</f>
        <v>OH</v>
      </c>
      <c r="AX395" s="7" t="str">
        <f>IFERROR(HLOOKUP(AV395,'Calc|Weightings'!$K$5:$M$5,1,0),"Excl")</f>
        <v>Excl</v>
      </c>
      <c r="AY395" s="7" t="str">
        <f>VLOOKUP(AO395,Mapping!$E$11:$I$96,5,0)</f>
        <v>SCS</v>
      </c>
    </row>
    <row r="396" spans="1:51" x14ac:dyDescent="0.2">
      <c r="A396" s="7"/>
      <c r="B396" s="7"/>
      <c r="C396" s="7"/>
      <c r="D396" s="7"/>
      <c r="E396" s="36">
        <v>111</v>
      </c>
      <c r="F396" s="36" t="s">
        <v>2126</v>
      </c>
      <c r="G396" s="36">
        <v>611900</v>
      </c>
      <c r="H396" s="36" t="s">
        <v>2079</v>
      </c>
      <c r="I396" s="37">
        <v>138.54621</v>
      </c>
      <c r="J396" s="7"/>
      <c r="K396" s="7" t="str">
        <f>VLOOKUP($E396,Mapping!$E$11:$I$96,3,0)</f>
        <v>Connections</v>
      </c>
      <c r="L396" s="7" t="str">
        <f>VLOOKUP($G396,Mapping!$E$140:$K$2771,5,0)</f>
        <v>Contracts</v>
      </c>
      <c r="M396" s="7" t="str">
        <f>VLOOKUP($G396,Mapping!$E$140:$K$2771,7,0)</f>
        <v>ENDirect</v>
      </c>
      <c r="N396" s="7" t="str">
        <f>IFERROR(HLOOKUP(L396,'Calc|Weightings'!$K$5:$M$5,1,0),"Excl")</f>
        <v>Contracts</v>
      </c>
      <c r="O396" s="7" t="str">
        <f>VLOOKUP(E396,Mapping!$E$11:$I$96,5,0)</f>
        <v>SCS</v>
      </c>
      <c r="Q396" s="33">
        <v>111</v>
      </c>
      <c r="R396" s="33" t="s">
        <v>2126</v>
      </c>
      <c r="S396" s="33">
        <v>613680</v>
      </c>
      <c r="T396" s="33" t="s">
        <v>2107</v>
      </c>
      <c r="U396" s="34">
        <v>155.73472000000001</v>
      </c>
      <c r="V396" s="7"/>
      <c r="W396" s="7" t="str">
        <f>VLOOKUP($Q396,Mapping!$E$11:$I$96,3,0)</f>
        <v>Connections</v>
      </c>
      <c r="X396" s="7" t="str">
        <f>VLOOKUP($S396,Mapping!$E$140:$K$2771,5,0)</f>
        <v>Labour</v>
      </c>
      <c r="Y396" s="7" t="str">
        <f>VLOOKUP($S396,Mapping!$E$140:$K$2771,7,0)</f>
        <v>ENDirect</v>
      </c>
      <c r="Z396" s="7" t="str">
        <f>IFERROR(HLOOKUP(X396,'Calc|Weightings'!$K$5:$M$5,1,0),"Excl")</f>
        <v>Labour</v>
      </c>
      <c r="AA396" s="7" t="str">
        <f>VLOOKUP(Q396,Mapping!$E$11:$I$96,5,0)</f>
        <v>SCS</v>
      </c>
      <c r="AC396" s="111">
        <v>111</v>
      </c>
      <c r="AD396" s="111" t="s">
        <v>2126</v>
      </c>
      <c r="AE396" s="111">
        <v>613440</v>
      </c>
      <c r="AF396" s="111" t="s">
        <v>2103</v>
      </c>
      <c r="AG396" s="112">
        <v>20.47437</v>
      </c>
      <c r="AI396" s="7" t="str">
        <f>VLOOKUP($AC396,Mapping!$E$11:$I$96,3,0)</f>
        <v>Connections</v>
      </c>
      <c r="AJ396" s="7" t="str">
        <f>VLOOKUP($AE396,Mapping!$E$140:$K$2771,5,0)</f>
        <v>Labour</v>
      </c>
      <c r="AK396" s="7" t="str">
        <f>VLOOKUP($AE396,Mapping!$E$140:$K$2771,7,0)</f>
        <v>ENDirect</v>
      </c>
      <c r="AL396" s="7" t="str">
        <f>IFERROR(HLOOKUP(AJ396,'Calc|Weightings'!$K$5:$M$5,1,0),"Excl")</f>
        <v>Labour</v>
      </c>
      <c r="AM396" s="7" t="str">
        <f>VLOOKUP(AC396,Mapping!$E$11:$I$96,5,0)</f>
        <v>SCS</v>
      </c>
      <c r="AO396" s="134">
        <v>111</v>
      </c>
      <c r="AP396" s="135" t="s">
        <v>2126</v>
      </c>
      <c r="AQ396" s="135">
        <v>635001</v>
      </c>
      <c r="AR396" s="135" t="s">
        <v>1929</v>
      </c>
      <c r="AS396" s="136">
        <v>812.50747000000001</v>
      </c>
      <c r="AU396" s="7" t="str">
        <f>VLOOKUP($AO396,Mapping!$E$11:$I$96,3,0)</f>
        <v>Connections</v>
      </c>
      <c r="AV396" s="7" t="str">
        <f>VLOOKUP($AQ396,Mapping!$E$140:$K$2771,5,0)</f>
        <v>PNS MG</v>
      </c>
      <c r="AW396" s="7" t="str">
        <f>VLOOKUP($AQ396,Mapping!$E$140:$K$2771,7,0)</f>
        <v>ENDirect</v>
      </c>
      <c r="AX396" s="7" t="str">
        <f>IFERROR(HLOOKUP(AV396,'Calc|Weightings'!$K$5:$M$5,1,0),"Excl")</f>
        <v>Excl</v>
      </c>
      <c r="AY396" s="7" t="str">
        <f>VLOOKUP(AO396,Mapping!$E$11:$I$96,5,0)</f>
        <v>SCS</v>
      </c>
    </row>
    <row r="397" spans="1:51" x14ac:dyDescent="0.2">
      <c r="A397" s="7"/>
      <c r="B397" s="7"/>
      <c r="C397" s="7"/>
      <c r="D397" s="7"/>
      <c r="E397" s="36">
        <v>111</v>
      </c>
      <c r="F397" s="36" t="s">
        <v>2126</v>
      </c>
      <c r="G397" s="36">
        <v>611901</v>
      </c>
      <c r="H397" s="36" t="s">
        <v>2080</v>
      </c>
      <c r="I397" s="37">
        <v>258.46229</v>
      </c>
      <c r="J397" s="7"/>
      <c r="K397" s="7" t="str">
        <f>VLOOKUP($E397,Mapping!$E$11:$I$96,3,0)</f>
        <v>Connections</v>
      </c>
      <c r="L397" s="7" t="str">
        <f>VLOOKUP($G397,Mapping!$E$140:$K$2771,5,0)</f>
        <v>Contracts</v>
      </c>
      <c r="M397" s="7" t="str">
        <f>VLOOKUP($G397,Mapping!$E$140:$K$2771,7,0)</f>
        <v>ENDirect</v>
      </c>
      <c r="N397" s="7" t="str">
        <f>IFERROR(HLOOKUP(L397,'Calc|Weightings'!$K$5:$M$5,1,0),"Excl")</f>
        <v>Contracts</v>
      </c>
      <c r="O397" s="7" t="str">
        <f>VLOOKUP(E397,Mapping!$E$11:$I$96,5,0)</f>
        <v>SCS</v>
      </c>
      <c r="Q397" s="33">
        <v>111</v>
      </c>
      <c r="R397" s="33" t="s">
        <v>2126</v>
      </c>
      <c r="S397" s="33">
        <v>613681</v>
      </c>
      <c r="T397" s="33" t="s">
        <v>2108</v>
      </c>
      <c r="U397" s="34">
        <v>4.4629300000000001</v>
      </c>
      <c r="V397" s="7"/>
      <c r="W397" s="7" t="str">
        <f>VLOOKUP($Q397,Mapping!$E$11:$I$96,3,0)</f>
        <v>Connections</v>
      </c>
      <c r="X397" s="7" t="str">
        <f>VLOOKUP($S397,Mapping!$E$140:$K$2771,5,0)</f>
        <v>Labour</v>
      </c>
      <c r="Y397" s="7" t="str">
        <f>VLOOKUP($S397,Mapping!$E$140:$K$2771,7,0)</f>
        <v>ENDirect</v>
      </c>
      <c r="Z397" s="7" t="str">
        <f>IFERROR(HLOOKUP(X397,'Calc|Weightings'!$K$5:$M$5,1,0),"Excl")</f>
        <v>Labour</v>
      </c>
      <c r="AA397" s="7" t="str">
        <f>VLOOKUP(Q397,Mapping!$E$11:$I$96,5,0)</f>
        <v>SCS</v>
      </c>
      <c r="AC397" s="111">
        <v>111</v>
      </c>
      <c r="AD397" s="111" t="s">
        <v>2126</v>
      </c>
      <c r="AE397" s="111">
        <v>613441</v>
      </c>
      <c r="AF397" s="111" t="s">
        <v>2104</v>
      </c>
      <c r="AG397" s="112">
        <v>2.46685</v>
      </c>
      <c r="AI397" s="7" t="str">
        <f>VLOOKUP($AC397,Mapping!$E$11:$I$96,3,0)</f>
        <v>Connections</v>
      </c>
      <c r="AJ397" s="7" t="str">
        <f>VLOOKUP($AE397,Mapping!$E$140:$K$2771,5,0)</f>
        <v>Labour</v>
      </c>
      <c r="AK397" s="7" t="str">
        <f>VLOOKUP($AE397,Mapping!$E$140:$K$2771,7,0)</f>
        <v>ENDirect</v>
      </c>
      <c r="AL397" s="7" t="str">
        <f>IFERROR(HLOOKUP(AJ397,'Calc|Weightings'!$K$5:$M$5,1,0),"Excl")</f>
        <v>Labour</v>
      </c>
      <c r="AM397" s="7" t="str">
        <f>VLOOKUP(AC397,Mapping!$E$11:$I$96,5,0)</f>
        <v>SCS</v>
      </c>
      <c r="AO397" s="134">
        <v>111</v>
      </c>
      <c r="AP397" s="135" t="s">
        <v>2126</v>
      </c>
      <c r="AQ397" s="135">
        <v>636001</v>
      </c>
      <c r="AR397" s="135" t="s">
        <v>2111</v>
      </c>
      <c r="AS397" s="136">
        <v>999.27602000000002</v>
      </c>
      <c r="AU397" s="7" t="str">
        <f>VLOOKUP($AO397,Mapping!$E$11:$I$96,3,0)</f>
        <v>Connections</v>
      </c>
      <c r="AV397" s="7" t="str">
        <f>VLOOKUP($AQ397,Mapping!$E$140:$K$2771,5,0)</f>
        <v>System Control OH</v>
      </c>
      <c r="AW397" s="7" t="str">
        <f>VLOOKUP($AQ397,Mapping!$E$140:$K$2771,7,0)</f>
        <v>OH</v>
      </c>
      <c r="AX397" s="7" t="str">
        <f>IFERROR(HLOOKUP(AV397,'Calc|Weightings'!$K$5:$M$5,1,0),"Excl")</f>
        <v>Excl</v>
      </c>
      <c r="AY397" s="7" t="str">
        <f>VLOOKUP(AO397,Mapping!$E$11:$I$96,5,0)</f>
        <v>SCS</v>
      </c>
    </row>
    <row r="398" spans="1:51" x14ac:dyDescent="0.2">
      <c r="A398" s="7"/>
      <c r="B398" s="7"/>
      <c r="C398" s="7"/>
      <c r="D398" s="7"/>
      <c r="E398" s="36">
        <v>111</v>
      </c>
      <c r="F398" s="36" t="s">
        <v>2126</v>
      </c>
      <c r="G398" s="36">
        <v>611902</v>
      </c>
      <c r="H398" s="36" t="s">
        <v>2081</v>
      </c>
      <c r="I398" s="37">
        <v>200.15676999999999</v>
      </c>
      <c r="J398" s="7"/>
      <c r="K398" s="7" t="str">
        <f>VLOOKUP($E398,Mapping!$E$11:$I$96,3,0)</f>
        <v>Connections</v>
      </c>
      <c r="L398" s="7" t="str">
        <f>VLOOKUP($G398,Mapping!$E$140:$K$2771,5,0)</f>
        <v>Contracts</v>
      </c>
      <c r="M398" s="7" t="str">
        <f>VLOOKUP($G398,Mapping!$E$140:$K$2771,7,0)</f>
        <v>ENDirect</v>
      </c>
      <c r="N398" s="7" t="str">
        <f>IFERROR(HLOOKUP(L398,'Calc|Weightings'!$K$5:$M$5,1,0),"Excl")</f>
        <v>Contracts</v>
      </c>
      <c r="O398" s="7" t="str">
        <f>VLOOKUP(E398,Mapping!$E$11:$I$96,5,0)</f>
        <v>SCS</v>
      </c>
      <c r="Q398" s="33">
        <v>111</v>
      </c>
      <c r="R398" s="33" t="s">
        <v>2126</v>
      </c>
      <c r="S398" s="33">
        <v>613964</v>
      </c>
      <c r="T398" s="33" t="s">
        <v>1650</v>
      </c>
      <c r="U398" s="34">
        <v>0.53490000000000004</v>
      </c>
      <c r="V398" s="7"/>
      <c r="W398" s="7" t="str">
        <f>VLOOKUP($Q398,Mapping!$E$11:$I$96,3,0)</f>
        <v>Connections</v>
      </c>
      <c r="X398" s="7" t="str">
        <f>VLOOKUP($S398,Mapping!$E$140:$K$2771,5,0)</f>
        <v>Contracts</v>
      </c>
      <c r="Y398" s="7" t="str">
        <f>VLOOKUP($S398,Mapping!$E$140:$K$2771,7,0)</f>
        <v>ENDirect</v>
      </c>
      <c r="Z398" s="7" t="str">
        <f>IFERROR(HLOOKUP(X398,'Calc|Weightings'!$K$5:$M$5,1,0),"Excl")</f>
        <v>Contracts</v>
      </c>
      <c r="AA398" s="7" t="str">
        <f>VLOOKUP(Q398,Mapping!$E$11:$I$96,5,0)</f>
        <v>SCS</v>
      </c>
      <c r="AC398" s="111">
        <v>111</v>
      </c>
      <c r="AD398" s="111" t="s">
        <v>2126</v>
      </c>
      <c r="AE398" s="111">
        <v>613448</v>
      </c>
      <c r="AF398" s="111" t="s">
        <v>2105</v>
      </c>
      <c r="AG398" s="112">
        <v>52.706150000000001</v>
      </c>
      <c r="AI398" s="7" t="str">
        <f>VLOOKUP($AC398,Mapping!$E$11:$I$96,3,0)</f>
        <v>Connections</v>
      </c>
      <c r="AJ398" s="7" t="str">
        <f>VLOOKUP($AE398,Mapping!$E$140:$K$2771,5,0)</f>
        <v>Labour</v>
      </c>
      <c r="AK398" s="7" t="str">
        <f>VLOOKUP($AE398,Mapping!$E$140:$K$2771,7,0)</f>
        <v>ENDirect</v>
      </c>
      <c r="AL398" s="7" t="str">
        <f>IFERROR(HLOOKUP(AJ398,'Calc|Weightings'!$K$5:$M$5,1,0),"Excl")</f>
        <v>Labour</v>
      </c>
      <c r="AM398" s="7" t="str">
        <f>VLOOKUP(AC398,Mapping!$E$11:$I$96,5,0)</f>
        <v>SCS</v>
      </c>
      <c r="AO398" s="134">
        <v>111</v>
      </c>
      <c r="AP398" s="135" t="s">
        <v>2126</v>
      </c>
      <c r="AQ398" s="135">
        <v>636105</v>
      </c>
      <c r="AR398" s="135" t="s">
        <v>1937</v>
      </c>
      <c r="AS398" s="136">
        <v>2.1960099999999998</v>
      </c>
      <c r="AU398" s="7" t="str">
        <f>VLOOKUP($AO398,Mapping!$E$11:$I$96,3,0)</f>
        <v>Connections</v>
      </c>
      <c r="AV398" s="7" t="str">
        <f>VLOOKUP($AQ398,Mapping!$E$140:$K$2771,5,0)</f>
        <v>CSG MG</v>
      </c>
      <c r="AW398" s="7" t="str">
        <f>VLOOKUP($AQ398,Mapping!$E$140:$K$2771,7,0)</f>
        <v>ENDirect</v>
      </c>
      <c r="AX398" s="7" t="str">
        <f>IFERROR(HLOOKUP(AV398,'Calc|Weightings'!$K$5:$M$5,1,0),"Excl")</f>
        <v>Excl</v>
      </c>
      <c r="AY398" s="7" t="str">
        <f>VLOOKUP(AO398,Mapping!$E$11:$I$96,5,0)</f>
        <v>SCS</v>
      </c>
    </row>
    <row r="399" spans="1:51" x14ac:dyDescent="0.2">
      <c r="A399" s="7"/>
      <c r="B399" s="7"/>
      <c r="C399" s="7"/>
      <c r="D399" s="7"/>
      <c r="E399" s="36">
        <v>111</v>
      </c>
      <c r="F399" s="36" t="s">
        <v>2126</v>
      </c>
      <c r="G399" s="36">
        <v>612210</v>
      </c>
      <c r="H399" s="36" t="s">
        <v>1184</v>
      </c>
      <c r="I399" s="37">
        <v>62.855119999999999</v>
      </c>
      <c r="J399" s="7"/>
      <c r="K399" s="7" t="str">
        <f>VLOOKUP($E399,Mapping!$E$11:$I$96,3,0)</f>
        <v>Connections</v>
      </c>
      <c r="L399" s="7" t="str">
        <f>VLOOKUP($G399,Mapping!$E$140:$K$2771,5,0)</f>
        <v>Labour</v>
      </c>
      <c r="M399" s="7" t="str">
        <f>VLOOKUP($G399,Mapping!$E$140:$K$2771,7,0)</f>
        <v>ENDirect</v>
      </c>
      <c r="N399" s="7" t="str">
        <f>IFERROR(HLOOKUP(L399,'Calc|Weightings'!$K$5:$M$5,1,0),"Excl")</f>
        <v>Labour</v>
      </c>
      <c r="O399" s="7" t="str">
        <f>VLOOKUP(E399,Mapping!$E$11:$I$96,5,0)</f>
        <v>SCS</v>
      </c>
      <c r="Q399" s="33">
        <v>111</v>
      </c>
      <c r="R399" s="33" t="s">
        <v>2126</v>
      </c>
      <c r="S399" s="33">
        <v>614115</v>
      </c>
      <c r="T399" s="33" t="s">
        <v>2109</v>
      </c>
      <c r="U399" s="34">
        <v>8.6414100000000005</v>
      </c>
      <c r="V399" s="7"/>
      <c r="W399" s="7" t="str">
        <f>VLOOKUP($Q399,Mapping!$E$11:$I$96,3,0)</f>
        <v>Connections</v>
      </c>
      <c r="X399" s="7" t="str">
        <f>VLOOKUP($S399,Mapping!$E$140:$K$2771,5,0)</f>
        <v>Labour</v>
      </c>
      <c r="Y399" s="7" t="str">
        <f>VLOOKUP($S399,Mapping!$E$140:$K$2771,7,0)</f>
        <v>ENDirect</v>
      </c>
      <c r="Z399" s="7" t="str">
        <f>IFERROR(HLOOKUP(X399,'Calc|Weightings'!$K$5:$M$5,1,0),"Excl")</f>
        <v>Labour</v>
      </c>
      <c r="AA399" s="7" t="str">
        <f>VLOOKUP(Q399,Mapping!$E$11:$I$96,5,0)</f>
        <v>SCS</v>
      </c>
      <c r="AC399" s="111">
        <v>111</v>
      </c>
      <c r="AD399" s="111" t="s">
        <v>2126</v>
      </c>
      <c r="AE399" s="111">
        <v>613449</v>
      </c>
      <c r="AF399" s="111" t="s">
        <v>2106</v>
      </c>
      <c r="AG399" s="112">
        <v>15.476290000000001</v>
      </c>
      <c r="AI399" s="7" t="str">
        <f>VLOOKUP($AC399,Mapping!$E$11:$I$96,3,0)</f>
        <v>Connections</v>
      </c>
      <c r="AJ399" s="7" t="str">
        <f>VLOOKUP($AE399,Mapping!$E$140:$K$2771,5,0)</f>
        <v>Labour</v>
      </c>
      <c r="AK399" s="7" t="str">
        <f>VLOOKUP($AE399,Mapping!$E$140:$K$2771,7,0)</f>
        <v>ENDirect</v>
      </c>
      <c r="AL399" s="7" t="str">
        <f>IFERROR(HLOOKUP(AJ399,'Calc|Weightings'!$K$5:$M$5,1,0),"Excl")</f>
        <v>Labour</v>
      </c>
      <c r="AM399" s="7" t="str">
        <f>VLOOKUP(AC399,Mapping!$E$11:$I$96,5,0)</f>
        <v>SCS</v>
      </c>
      <c r="AO399" s="134">
        <v>111</v>
      </c>
      <c r="AP399" s="135" t="s">
        <v>2126</v>
      </c>
      <c r="AQ399" s="135">
        <v>639000</v>
      </c>
      <c r="AR399" s="135" t="s">
        <v>2112</v>
      </c>
      <c r="AS399" s="136">
        <v>965.65683000000001</v>
      </c>
      <c r="AU399" s="7" t="str">
        <f>VLOOKUP($AO399,Mapping!$E$11:$I$96,3,0)</f>
        <v>Connections</v>
      </c>
      <c r="AV399" s="7" t="str">
        <f>VLOOKUP($AQ399,Mapping!$E$140:$K$2771,5,0)</f>
        <v>PNS Corporate OH</v>
      </c>
      <c r="AW399" s="7" t="str">
        <f>VLOOKUP($AQ399,Mapping!$E$140:$K$2771,7,0)</f>
        <v>OH</v>
      </c>
      <c r="AX399" s="7" t="str">
        <f>IFERROR(HLOOKUP(AV399,'Calc|Weightings'!$K$5:$M$5,1,0),"Excl")</f>
        <v>Excl</v>
      </c>
      <c r="AY399" s="7" t="str">
        <f>VLOOKUP(AO399,Mapping!$E$11:$I$96,5,0)</f>
        <v>SCS</v>
      </c>
    </row>
    <row r="400" spans="1:51" x14ac:dyDescent="0.2">
      <c r="A400" s="7"/>
      <c r="B400" s="7"/>
      <c r="C400" s="7"/>
      <c r="D400" s="7"/>
      <c r="E400" s="36">
        <v>111</v>
      </c>
      <c r="F400" s="36" t="s">
        <v>2126</v>
      </c>
      <c r="G400" s="36">
        <v>612211</v>
      </c>
      <c r="H400" s="36" t="s">
        <v>1185</v>
      </c>
      <c r="I400" s="37">
        <v>0.73824999999999996</v>
      </c>
      <c r="J400" s="7"/>
      <c r="K400" s="7" t="str">
        <f>VLOOKUP($E400,Mapping!$E$11:$I$96,3,0)</f>
        <v>Connections</v>
      </c>
      <c r="L400" s="7" t="str">
        <f>VLOOKUP($G400,Mapping!$E$140:$K$2771,5,0)</f>
        <v>Labour</v>
      </c>
      <c r="M400" s="7" t="str">
        <f>VLOOKUP($G400,Mapping!$E$140:$K$2771,7,0)</f>
        <v>ENDirect</v>
      </c>
      <c r="N400" s="7" t="str">
        <f>IFERROR(HLOOKUP(L400,'Calc|Weightings'!$K$5:$M$5,1,0),"Excl")</f>
        <v>Labour</v>
      </c>
      <c r="O400" s="7" t="str">
        <f>VLOOKUP(E400,Mapping!$E$11:$I$96,5,0)</f>
        <v>SCS</v>
      </c>
      <c r="Q400" s="33">
        <v>111</v>
      </c>
      <c r="R400" s="33" t="s">
        <v>2126</v>
      </c>
      <c r="S400" s="33">
        <v>615375</v>
      </c>
      <c r="T400" s="33" t="s">
        <v>1717</v>
      </c>
      <c r="U400" s="34">
        <v>21.002500000000001</v>
      </c>
      <c r="V400" s="7"/>
      <c r="W400" s="7" t="str">
        <f>VLOOKUP($Q400,Mapping!$E$11:$I$96,3,0)</f>
        <v>Connections</v>
      </c>
      <c r="X400" s="7" t="str">
        <f>VLOOKUP($S400,Mapping!$E$140:$K$2771,5,0)</f>
        <v>Labour</v>
      </c>
      <c r="Y400" s="7" t="str">
        <f>VLOOKUP($S400,Mapping!$E$140:$K$2771,7,0)</f>
        <v>ENDirect</v>
      </c>
      <c r="Z400" s="7" t="str">
        <f>IFERROR(HLOOKUP(X400,'Calc|Weightings'!$K$5:$M$5,1,0),"Excl")</f>
        <v>Labour</v>
      </c>
      <c r="AA400" s="7" t="str">
        <f>VLOOKUP(Q400,Mapping!$E$11:$I$96,5,0)</f>
        <v>SCS</v>
      </c>
      <c r="AC400" s="111">
        <v>111</v>
      </c>
      <c r="AD400" s="111" t="s">
        <v>2126</v>
      </c>
      <c r="AE400" s="111">
        <v>613450</v>
      </c>
      <c r="AF400" s="111" t="s">
        <v>2175</v>
      </c>
      <c r="AG400" s="112">
        <v>107.3103</v>
      </c>
      <c r="AI400" s="7" t="str">
        <f>VLOOKUP($AC400,Mapping!$E$11:$I$96,3,0)</f>
        <v>Connections</v>
      </c>
      <c r="AJ400" s="7" t="str">
        <f>VLOOKUP($AE400,Mapping!$E$140:$K$2771,5,0)</f>
        <v>Labour</v>
      </c>
      <c r="AK400" s="7" t="str">
        <f>VLOOKUP($AE400,Mapping!$E$140:$K$2771,7,0)</f>
        <v>ENDirect</v>
      </c>
      <c r="AL400" s="7" t="str">
        <f>IFERROR(HLOOKUP(AJ400,'Calc|Weightings'!$K$5:$M$5,1,0),"Excl")</f>
        <v>Labour</v>
      </c>
      <c r="AM400" s="7" t="str">
        <f>VLOOKUP(AC400,Mapping!$E$11:$I$96,5,0)</f>
        <v>SCS</v>
      </c>
      <c r="AO400" s="134">
        <v>111</v>
      </c>
      <c r="AP400" s="135" t="s">
        <v>2126</v>
      </c>
      <c r="AQ400" s="135">
        <v>639050</v>
      </c>
      <c r="AR400" s="135" t="s">
        <v>2113</v>
      </c>
      <c r="AS400" s="136">
        <v>178.41972999999999</v>
      </c>
      <c r="AU400" s="7" t="str">
        <f>VLOOKUP($AO400,Mapping!$E$11:$I$96,3,0)</f>
        <v>Connections</v>
      </c>
      <c r="AV400" s="7" t="str">
        <f>VLOOKUP($AQ400,Mapping!$E$140:$K$2771,5,0)</f>
        <v>PNS Fleet &amp; Property OH</v>
      </c>
      <c r="AW400" s="7" t="str">
        <f>VLOOKUP($AQ400,Mapping!$E$140:$K$2771,7,0)</f>
        <v>OH</v>
      </c>
      <c r="AX400" s="7" t="str">
        <f>IFERROR(HLOOKUP(AV400,'Calc|Weightings'!$K$5:$M$5,1,0),"Excl")</f>
        <v>Excl</v>
      </c>
      <c r="AY400" s="7" t="str">
        <f>VLOOKUP(AO400,Mapping!$E$11:$I$96,5,0)</f>
        <v>SCS</v>
      </c>
    </row>
    <row r="401" spans="1:51" x14ac:dyDescent="0.2">
      <c r="A401" s="7"/>
      <c r="B401" s="7"/>
      <c r="C401" s="7"/>
      <c r="D401" s="7"/>
      <c r="E401" s="36">
        <v>111</v>
      </c>
      <c r="F401" s="36" t="s">
        <v>2126</v>
      </c>
      <c r="G401" s="36">
        <v>612221</v>
      </c>
      <c r="H401" s="36" t="s">
        <v>2354</v>
      </c>
      <c r="I401" s="37">
        <v>0.64544999999999997</v>
      </c>
      <c r="J401" s="7"/>
      <c r="K401" s="7" t="str">
        <f>VLOOKUP($E401,Mapping!$E$11:$I$96,3,0)</f>
        <v>Connections</v>
      </c>
      <c r="L401" s="7" t="str">
        <f>VLOOKUP($G401,Mapping!$E$140:$K$2771,5,0)</f>
        <v>Labour</v>
      </c>
      <c r="M401" s="7" t="str">
        <f>VLOOKUP($G401,Mapping!$E$140:$K$2771,7,0)</f>
        <v>ENDirect</v>
      </c>
      <c r="N401" s="7" t="str">
        <f>IFERROR(HLOOKUP(L401,'Calc|Weightings'!$K$5:$M$5,1,0),"Excl")</f>
        <v>Labour</v>
      </c>
      <c r="O401" s="7" t="str">
        <f>VLOOKUP(E401,Mapping!$E$11:$I$96,5,0)</f>
        <v>SCS</v>
      </c>
      <c r="Q401" s="33">
        <v>111</v>
      </c>
      <c r="R401" s="33" t="s">
        <v>2126</v>
      </c>
      <c r="S401" s="33">
        <v>634001</v>
      </c>
      <c r="T401" s="33" t="s">
        <v>2110</v>
      </c>
      <c r="U401" s="34">
        <v>1296.72802</v>
      </c>
      <c r="V401" s="7"/>
      <c r="W401" s="7" t="str">
        <f>VLOOKUP($Q401,Mapping!$E$11:$I$96,3,0)</f>
        <v>Connections</v>
      </c>
      <c r="X401" s="7" t="str">
        <f>VLOOKUP($S401,Mapping!$E$140:$K$2771,5,0)</f>
        <v>Local OH</v>
      </c>
      <c r="Y401" s="7" t="str">
        <f>VLOOKUP($S401,Mapping!$E$140:$K$2771,7,0)</f>
        <v>OH</v>
      </c>
      <c r="Z401" s="7" t="str">
        <f>IFERROR(HLOOKUP(X401,'Calc|Weightings'!$K$5:$M$5,1,0),"Excl")</f>
        <v>Excl</v>
      </c>
      <c r="AA401" s="7" t="str">
        <f>VLOOKUP(Q401,Mapping!$E$11:$I$96,5,0)</f>
        <v>SCS</v>
      </c>
      <c r="AC401" s="111">
        <v>111</v>
      </c>
      <c r="AD401" s="111" t="s">
        <v>2126</v>
      </c>
      <c r="AE401" s="111">
        <v>613460</v>
      </c>
      <c r="AF401" s="111" t="s">
        <v>2167</v>
      </c>
      <c r="AG401" s="112">
        <v>0.27616000000000002</v>
      </c>
      <c r="AI401" s="7" t="str">
        <f>VLOOKUP($AC401,Mapping!$E$11:$I$96,3,0)</f>
        <v>Connections</v>
      </c>
      <c r="AJ401" s="7" t="str">
        <f>VLOOKUP($AE401,Mapping!$E$140:$K$2771,5,0)</f>
        <v>Labour</v>
      </c>
      <c r="AK401" s="7" t="str">
        <f>VLOOKUP($AE401,Mapping!$E$140:$K$2771,7,0)</f>
        <v>ENDirect</v>
      </c>
      <c r="AL401" s="7" t="str">
        <f>IFERROR(HLOOKUP(AJ401,'Calc|Weightings'!$K$5:$M$5,1,0),"Excl")</f>
        <v>Labour</v>
      </c>
      <c r="AM401" s="7" t="str">
        <f>VLOOKUP(AC401,Mapping!$E$11:$I$96,5,0)</f>
        <v>SCS</v>
      </c>
      <c r="AO401" s="134">
        <v>114</v>
      </c>
      <c r="AP401" s="135" t="s">
        <v>2127</v>
      </c>
      <c r="AQ401" s="135">
        <v>613708</v>
      </c>
      <c r="AR401" s="135" t="s">
        <v>1858</v>
      </c>
      <c r="AS401" s="136">
        <v>1.32525</v>
      </c>
      <c r="AU401" s="7" t="str">
        <f>VLOOKUP($AO401,Mapping!$E$11:$I$96,3,0)</f>
        <v>Metering Opex</v>
      </c>
      <c r="AV401" s="7" t="str">
        <f>VLOOKUP($AQ401,Mapping!$E$140:$K$2771,5,0)</f>
        <v>Materials</v>
      </c>
      <c r="AW401" s="7" t="str">
        <f>VLOOKUP($AQ401,Mapping!$E$140:$K$2771,7,0)</f>
        <v>ENDirect</v>
      </c>
      <c r="AX401" s="7" t="str">
        <f>IFERROR(HLOOKUP(AV401,'Calc|Weightings'!$K$5:$M$5,1,0),"Excl")</f>
        <v>Materials</v>
      </c>
      <c r="AY401" s="7" t="str">
        <f>VLOOKUP(AO401,Mapping!$E$11:$I$96,5,0)</f>
        <v>Connection Services</v>
      </c>
    </row>
    <row r="402" spans="1:51" x14ac:dyDescent="0.2">
      <c r="A402" s="7"/>
      <c r="B402" s="7"/>
      <c r="C402" s="7"/>
      <c r="D402" s="7"/>
      <c r="E402" s="36">
        <v>111</v>
      </c>
      <c r="F402" s="36" t="s">
        <v>2126</v>
      </c>
      <c r="G402" s="36">
        <v>612450</v>
      </c>
      <c r="H402" s="36" t="s">
        <v>1242</v>
      </c>
      <c r="I402" s="37">
        <v>2.3239999999999998</v>
      </c>
      <c r="J402" s="7"/>
      <c r="K402" s="7" t="str">
        <f>VLOOKUP($E402,Mapping!$E$11:$I$96,3,0)</f>
        <v>Connections</v>
      </c>
      <c r="L402" s="7" t="str">
        <f>VLOOKUP($G402,Mapping!$E$140:$K$2771,5,0)</f>
        <v>Labour</v>
      </c>
      <c r="M402" s="7" t="str">
        <f>VLOOKUP($G402,Mapping!$E$140:$K$2771,7,0)</f>
        <v>ENDirect</v>
      </c>
      <c r="N402" s="7" t="str">
        <f>IFERROR(HLOOKUP(L402,'Calc|Weightings'!$K$5:$M$5,1,0),"Excl")</f>
        <v>Labour</v>
      </c>
      <c r="O402" s="7" t="str">
        <f>VLOOKUP(E402,Mapping!$E$11:$I$96,5,0)</f>
        <v>SCS</v>
      </c>
      <c r="Q402" s="33">
        <v>111</v>
      </c>
      <c r="R402" s="33" t="s">
        <v>2126</v>
      </c>
      <c r="S402" s="33">
        <v>635001</v>
      </c>
      <c r="T402" s="33" t="s">
        <v>1929</v>
      </c>
      <c r="U402" s="34">
        <v>687.83127000000002</v>
      </c>
      <c r="V402" s="7"/>
      <c r="W402" s="7" t="str">
        <f>VLOOKUP($Q402,Mapping!$E$11:$I$96,3,0)</f>
        <v>Connections</v>
      </c>
      <c r="X402" s="7" t="str">
        <f>VLOOKUP($S402,Mapping!$E$140:$K$2771,5,0)</f>
        <v>PNS MG</v>
      </c>
      <c r="Y402" s="7" t="str">
        <f>VLOOKUP($S402,Mapping!$E$140:$K$2771,7,0)</f>
        <v>ENDirect</v>
      </c>
      <c r="Z402" s="7" t="str">
        <f>IFERROR(HLOOKUP(X402,'Calc|Weightings'!$K$5:$M$5,1,0),"Excl")</f>
        <v>Excl</v>
      </c>
      <c r="AA402" s="7" t="str">
        <f>VLOOKUP(Q402,Mapping!$E$11:$I$96,5,0)</f>
        <v>SCS</v>
      </c>
      <c r="AC402" s="111">
        <v>111</v>
      </c>
      <c r="AD402" s="111" t="s">
        <v>2126</v>
      </c>
      <c r="AE402" s="111">
        <v>613477</v>
      </c>
      <c r="AF402" s="111" t="s">
        <v>2200</v>
      </c>
      <c r="AG402" s="112">
        <v>0.23397999999999999</v>
      </c>
      <c r="AI402" s="7" t="str">
        <f>VLOOKUP($AC402,Mapping!$E$11:$I$96,3,0)</f>
        <v>Connections</v>
      </c>
      <c r="AJ402" s="7" t="str">
        <f>VLOOKUP($AE402,Mapping!$E$140:$K$2771,5,0)</f>
        <v>Labour</v>
      </c>
      <c r="AK402" s="7" t="str">
        <f>VLOOKUP($AE402,Mapping!$E$140:$K$2771,7,0)</f>
        <v>ENDirect</v>
      </c>
      <c r="AL402" s="7" t="str">
        <f>IFERROR(HLOOKUP(AJ402,'Calc|Weightings'!$K$5:$M$5,1,0),"Excl")</f>
        <v>Labour</v>
      </c>
      <c r="AM402" s="7" t="str">
        <f>VLOOKUP(AC402,Mapping!$E$11:$I$96,5,0)</f>
        <v>SCS</v>
      </c>
      <c r="AO402" s="134">
        <v>114</v>
      </c>
      <c r="AP402" s="135" t="s">
        <v>2127</v>
      </c>
      <c r="AQ402" s="135">
        <v>613709</v>
      </c>
      <c r="AR402" s="135" t="s">
        <v>1859</v>
      </c>
      <c r="AS402" s="136">
        <v>4.2004799999999998</v>
      </c>
      <c r="AU402" s="7" t="str">
        <f>VLOOKUP($AO402,Mapping!$E$11:$I$96,3,0)</f>
        <v>Metering Opex</v>
      </c>
      <c r="AV402" s="7" t="str">
        <f>VLOOKUP($AQ402,Mapping!$E$140:$K$2771,5,0)</f>
        <v>Materials</v>
      </c>
      <c r="AW402" s="7" t="str">
        <f>VLOOKUP($AQ402,Mapping!$E$140:$K$2771,7,0)</f>
        <v>ENDirect</v>
      </c>
      <c r="AX402" s="7" t="str">
        <f>IFERROR(HLOOKUP(AV402,'Calc|Weightings'!$K$5:$M$5,1,0),"Excl")</f>
        <v>Materials</v>
      </c>
      <c r="AY402" s="7" t="str">
        <f>VLOOKUP(AO402,Mapping!$E$11:$I$96,5,0)</f>
        <v>Connection Services</v>
      </c>
    </row>
    <row r="403" spans="1:51" x14ac:dyDescent="0.2">
      <c r="A403" s="7"/>
      <c r="B403" s="7"/>
      <c r="C403" s="7"/>
      <c r="D403" s="7"/>
      <c r="E403" s="36">
        <v>111</v>
      </c>
      <c r="F403" s="36" t="s">
        <v>2126</v>
      </c>
      <c r="G403" s="36">
        <v>612460</v>
      </c>
      <c r="H403" s="36" t="s">
        <v>1243</v>
      </c>
      <c r="I403" s="37">
        <v>74.524349999999998</v>
      </c>
      <c r="J403" s="7"/>
      <c r="K403" s="7" t="str">
        <f>VLOOKUP($E403,Mapping!$E$11:$I$96,3,0)</f>
        <v>Connections</v>
      </c>
      <c r="L403" s="7" t="str">
        <f>VLOOKUP($G403,Mapping!$E$140:$K$2771,5,0)</f>
        <v>Labour</v>
      </c>
      <c r="M403" s="7" t="str">
        <f>VLOOKUP($G403,Mapping!$E$140:$K$2771,7,0)</f>
        <v>ENDirect</v>
      </c>
      <c r="N403" s="7" t="str">
        <f>IFERROR(HLOOKUP(L403,'Calc|Weightings'!$K$5:$M$5,1,0),"Excl")</f>
        <v>Labour</v>
      </c>
      <c r="O403" s="7" t="str">
        <f>VLOOKUP(E403,Mapping!$E$11:$I$96,5,0)</f>
        <v>SCS</v>
      </c>
      <c r="Q403" s="33">
        <v>111</v>
      </c>
      <c r="R403" s="33" t="s">
        <v>2126</v>
      </c>
      <c r="S403" s="33">
        <v>636001</v>
      </c>
      <c r="T403" s="33" t="s">
        <v>2111</v>
      </c>
      <c r="U403" s="34">
        <v>381.80887000000001</v>
      </c>
      <c r="V403" s="7"/>
      <c r="W403" s="7" t="str">
        <f>VLOOKUP($Q403,Mapping!$E$11:$I$96,3,0)</f>
        <v>Connections</v>
      </c>
      <c r="X403" s="7" t="str">
        <f>VLOOKUP($S403,Mapping!$E$140:$K$2771,5,0)</f>
        <v>System Control OH</v>
      </c>
      <c r="Y403" s="7" t="str">
        <f>VLOOKUP($S403,Mapping!$E$140:$K$2771,7,0)</f>
        <v>OH</v>
      </c>
      <c r="Z403" s="7" t="str">
        <f>IFERROR(HLOOKUP(X403,'Calc|Weightings'!$K$5:$M$5,1,0),"Excl")</f>
        <v>Excl</v>
      </c>
      <c r="AA403" s="7" t="str">
        <f>VLOOKUP(Q403,Mapping!$E$11:$I$96,5,0)</f>
        <v>SCS</v>
      </c>
      <c r="AC403" s="111">
        <v>111</v>
      </c>
      <c r="AD403" s="111" t="s">
        <v>2126</v>
      </c>
      <c r="AE403" s="111">
        <v>613566</v>
      </c>
      <c r="AF403" s="111" t="s">
        <v>1482</v>
      </c>
      <c r="AG403" s="112">
        <v>67.192959999999999</v>
      </c>
      <c r="AI403" s="7" t="str">
        <f>VLOOKUP($AC403,Mapping!$E$11:$I$96,3,0)</f>
        <v>Connections</v>
      </c>
      <c r="AJ403" s="7" t="str">
        <f>VLOOKUP($AE403,Mapping!$E$140:$K$2771,5,0)</f>
        <v>Labour</v>
      </c>
      <c r="AK403" s="7" t="str">
        <f>VLOOKUP($AE403,Mapping!$E$140:$K$2771,7,0)</f>
        <v>ENDirect</v>
      </c>
      <c r="AL403" s="7" t="str">
        <f>IFERROR(HLOOKUP(AJ403,'Calc|Weightings'!$K$5:$M$5,1,0),"Excl")</f>
        <v>Labour</v>
      </c>
      <c r="AM403" s="7" t="str">
        <f>VLOOKUP(AC403,Mapping!$E$11:$I$96,5,0)</f>
        <v>SCS</v>
      </c>
      <c r="AO403" s="134">
        <v>114</v>
      </c>
      <c r="AP403" s="135" t="s">
        <v>2127</v>
      </c>
      <c r="AQ403" s="135">
        <v>613710</v>
      </c>
      <c r="AR403" s="135" t="s">
        <v>1860</v>
      </c>
      <c r="AS403" s="136">
        <v>25.767510000000001</v>
      </c>
      <c r="AU403" s="7" t="str">
        <f>VLOOKUP($AO403,Mapping!$E$11:$I$96,3,0)</f>
        <v>Metering Opex</v>
      </c>
      <c r="AV403" s="7" t="str">
        <f>VLOOKUP($AQ403,Mapping!$E$140:$K$2771,5,0)</f>
        <v>Materials</v>
      </c>
      <c r="AW403" s="7" t="str">
        <f>VLOOKUP($AQ403,Mapping!$E$140:$K$2771,7,0)</f>
        <v>ENDirect</v>
      </c>
      <c r="AX403" s="7" t="str">
        <f>IFERROR(HLOOKUP(AV403,'Calc|Weightings'!$K$5:$M$5,1,0),"Excl")</f>
        <v>Materials</v>
      </c>
      <c r="AY403" s="7" t="str">
        <f>VLOOKUP(AO403,Mapping!$E$11:$I$96,5,0)</f>
        <v>Connection Services</v>
      </c>
    </row>
    <row r="404" spans="1:51" x14ac:dyDescent="0.2">
      <c r="A404" s="7"/>
      <c r="B404" s="7"/>
      <c r="C404" s="7"/>
      <c r="D404" s="7"/>
      <c r="E404" s="36">
        <v>111</v>
      </c>
      <c r="F404" s="36" t="s">
        <v>2126</v>
      </c>
      <c r="G404" s="36">
        <v>613240</v>
      </c>
      <c r="H404" s="36" t="s">
        <v>2082</v>
      </c>
      <c r="I404" s="37">
        <v>14.1427</v>
      </c>
      <c r="J404" s="7"/>
      <c r="K404" s="7" t="str">
        <f>VLOOKUP($E404,Mapping!$E$11:$I$96,3,0)</f>
        <v>Connections</v>
      </c>
      <c r="L404" s="7" t="str">
        <f>VLOOKUP($G404,Mapping!$E$140:$K$2771,5,0)</f>
        <v>Labour</v>
      </c>
      <c r="M404" s="7" t="str">
        <f>VLOOKUP($G404,Mapping!$E$140:$K$2771,7,0)</f>
        <v>ENDirect</v>
      </c>
      <c r="N404" s="7" t="str">
        <f>IFERROR(HLOOKUP(L404,'Calc|Weightings'!$K$5:$M$5,1,0),"Excl")</f>
        <v>Labour</v>
      </c>
      <c r="O404" s="7" t="str">
        <f>VLOOKUP(E404,Mapping!$E$11:$I$96,5,0)</f>
        <v>SCS</v>
      </c>
      <c r="Q404" s="33">
        <v>111</v>
      </c>
      <c r="R404" s="33" t="s">
        <v>2126</v>
      </c>
      <c r="S404" s="33">
        <v>636105</v>
      </c>
      <c r="T404" s="33" t="s">
        <v>1937</v>
      </c>
      <c r="U404" s="34">
        <v>0.90188000000000001</v>
      </c>
      <c r="V404" s="7"/>
      <c r="W404" s="7" t="str">
        <f>VLOOKUP($Q404,Mapping!$E$11:$I$96,3,0)</f>
        <v>Connections</v>
      </c>
      <c r="X404" s="7" t="str">
        <f>VLOOKUP($S404,Mapping!$E$140:$K$2771,5,0)</f>
        <v>CSG MG</v>
      </c>
      <c r="Y404" s="7" t="str">
        <f>VLOOKUP($S404,Mapping!$E$140:$K$2771,7,0)</f>
        <v>ENDirect</v>
      </c>
      <c r="Z404" s="7" t="str">
        <f>IFERROR(HLOOKUP(X404,'Calc|Weightings'!$K$5:$M$5,1,0),"Excl")</f>
        <v>Excl</v>
      </c>
      <c r="AA404" s="7" t="str">
        <f>VLOOKUP(Q404,Mapping!$E$11:$I$96,5,0)</f>
        <v>SCS</v>
      </c>
      <c r="AC404" s="111">
        <v>111</v>
      </c>
      <c r="AD404" s="111" t="s">
        <v>2126</v>
      </c>
      <c r="AE404" s="111">
        <v>613567</v>
      </c>
      <c r="AF404" s="111" t="s">
        <v>1483</v>
      </c>
      <c r="AG404" s="112">
        <v>2.4607800000000002</v>
      </c>
      <c r="AI404" s="7" t="str">
        <f>VLOOKUP($AC404,Mapping!$E$11:$I$96,3,0)</f>
        <v>Connections</v>
      </c>
      <c r="AJ404" s="7" t="str">
        <f>VLOOKUP($AE404,Mapping!$E$140:$K$2771,5,0)</f>
        <v>Labour</v>
      </c>
      <c r="AK404" s="7" t="str">
        <f>VLOOKUP($AE404,Mapping!$E$140:$K$2771,7,0)</f>
        <v>ENDirect</v>
      </c>
      <c r="AL404" s="7" t="str">
        <f>IFERROR(HLOOKUP(AJ404,'Calc|Weightings'!$K$5:$M$5,1,0),"Excl")</f>
        <v>Labour</v>
      </c>
      <c r="AM404" s="7" t="str">
        <f>VLOOKUP(AC404,Mapping!$E$11:$I$96,5,0)</f>
        <v>SCS</v>
      </c>
      <c r="AO404" s="134">
        <v>114</v>
      </c>
      <c r="AP404" s="135" t="s">
        <v>2127</v>
      </c>
      <c r="AQ404" s="135">
        <v>613711</v>
      </c>
      <c r="AR404" s="135" t="s">
        <v>2390</v>
      </c>
      <c r="AS404" s="136">
        <v>135.779</v>
      </c>
      <c r="AU404" s="7" t="str">
        <f>VLOOKUP($AO404,Mapping!$E$11:$I$96,3,0)</f>
        <v>Metering Opex</v>
      </c>
      <c r="AV404" s="7" t="str">
        <f>VLOOKUP($AQ404,Mapping!$E$140:$K$2771,5,0)</f>
        <v>Materials</v>
      </c>
      <c r="AW404" s="7" t="str">
        <f>VLOOKUP($AQ404,Mapping!$E$140:$K$2771,7,0)</f>
        <v>ENDirect</v>
      </c>
      <c r="AX404" s="7" t="str">
        <f>IFERROR(HLOOKUP(AV404,'Calc|Weightings'!$K$5:$M$5,1,0),"Excl")</f>
        <v>Materials</v>
      </c>
      <c r="AY404" s="7" t="str">
        <f>VLOOKUP(AO404,Mapping!$E$11:$I$96,5,0)</f>
        <v>Connection Services</v>
      </c>
    </row>
    <row r="405" spans="1:51" x14ac:dyDescent="0.2">
      <c r="A405" s="7"/>
      <c r="B405" s="7"/>
      <c r="C405" s="7"/>
      <c r="D405" s="7"/>
      <c r="E405" s="36">
        <v>111</v>
      </c>
      <c r="F405" s="36" t="s">
        <v>2126</v>
      </c>
      <c r="G405" s="36">
        <v>613241</v>
      </c>
      <c r="H405" s="36" t="s">
        <v>2083</v>
      </c>
      <c r="I405" s="37">
        <v>2.55592</v>
      </c>
      <c r="J405" s="7"/>
      <c r="K405" s="7" t="str">
        <f>VLOOKUP($E405,Mapping!$E$11:$I$96,3,0)</f>
        <v>Connections</v>
      </c>
      <c r="L405" s="7" t="str">
        <f>VLOOKUP($G405,Mapping!$E$140:$K$2771,5,0)</f>
        <v>Labour</v>
      </c>
      <c r="M405" s="7" t="str">
        <f>VLOOKUP($G405,Mapping!$E$140:$K$2771,7,0)</f>
        <v>ENDirect</v>
      </c>
      <c r="N405" s="7" t="str">
        <f>IFERROR(HLOOKUP(L405,'Calc|Weightings'!$K$5:$M$5,1,0),"Excl")</f>
        <v>Labour</v>
      </c>
      <c r="O405" s="7" t="str">
        <f>VLOOKUP(E405,Mapping!$E$11:$I$96,5,0)</f>
        <v>SCS</v>
      </c>
      <c r="Q405" s="33">
        <v>111</v>
      </c>
      <c r="R405" s="33" t="s">
        <v>2126</v>
      </c>
      <c r="S405" s="33">
        <v>639000</v>
      </c>
      <c r="T405" s="33" t="s">
        <v>2112</v>
      </c>
      <c r="U405" s="34">
        <v>1044.5254600000001</v>
      </c>
      <c r="V405" s="7"/>
      <c r="W405" s="7" t="str">
        <f>VLOOKUP($Q405,Mapping!$E$11:$I$96,3,0)</f>
        <v>Connections</v>
      </c>
      <c r="X405" s="7" t="str">
        <f>VLOOKUP($S405,Mapping!$E$140:$K$2771,5,0)</f>
        <v>PNS Corporate OH</v>
      </c>
      <c r="Y405" s="7" t="str">
        <f>VLOOKUP($S405,Mapping!$E$140:$K$2771,7,0)</f>
        <v>OH</v>
      </c>
      <c r="Z405" s="7" t="str">
        <f>IFERROR(HLOOKUP(X405,'Calc|Weightings'!$K$5:$M$5,1,0),"Excl")</f>
        <v>Excl</v>
      </c>
      <c r="AA405" s="7" t="str">
        <f>VLOOKUP(Q405,Mapping!$E$11:$I$96,5,0)</f>
        <v>SCS</v>
      </c>
      <c r="AC405" s="111">
        <v>111</v>
      </c>
      <c r="AD405" s="111" t="s">
        <v>2126</v>
      </c>
      <c r="AE405" s="111">
        <v>613570</v>
      </c>
      <c r="AF405" s="111" t="s">
        <v>1484</v>
      </c>
      <c r="AG405" s="112">
        <v>24.547650000000001</v>
      </c>
      <c r="AI405" s="7" t="str">
        <f>VLOOKUP($AC405,Mapping!$E$11:$I$96,3,0)</f>
        <v>Connections</v>
      </c>
      <c r="AJ405" s="7" t="str">
        <f>VLOOKUP($AE405,Mapping!$E$140:$K$2771,5,0)</f>
        <v>Labour</v>
      </c>
      <c r="AK405" s="7" t="str">
        <f>VLOOKUP($AE405,Mapping!$E$140:$K$2771,7,0)</f>
        <v>ENDirect</v>
      </c>
      <c r="AL405" s="7" t="str">
        <f>IFERROR(HLOOKUP(AJ405,'Calc|Weightings'!$K$5:$M$5,1,0),"Excl")</f>
        <v>Labour</v>
      </c>
      <c r="AM405" s="7" t="str">
        <f>VLOOKUP(AC405,Mapping!$E$11:$I$96,5,0)</f>
        <v>SCS</v>
      </c>
      <c r="AO405" s="134">
        <v>114</v>
      </c>
      <c r="AP405" s="135" t="s">
        <v>2127</v>
      </c>
      <c r="AQ405" s="135">
        <v>613712</v>
      </c>
      <c r="AR405" s="135" t="s">
        <v>1862</v>
      </c>
      <c r="AS405" s="136">
        <v>10.460520000000001</v>
      </c>
      <c r="AU405" s="7" t="str">
        <f>VLOOKUP($AO405,Mapping!$E$11:$I$96,3,0)</f>
        <v>Metering Opex</v>
      </c>
      <c r="AV405" s="7" t="str">
        <f>VLOOKUP($AQ405,Mapping!$E$140:$K$2771,5,0)</f>
        <v>Materials</v>
      </c>
      <c r="AW405" s="7" t="str">
        <f>VLOOKUP($AQ405,Mapping!$E$140:$K$2771,7,0)</f>
        <v>ENDirect</v>
      </c>
      <c r="AX405" s="7" t="str">
        <f>IFERROR(HLOOKUP(AV405,'Calc|Weightings'!$K$5:$M$5,1,0),"Excl")</f>
        <v>Materials</v>
      </c>
      <c r="AY405" s="7" t="str">
        <f>VLOOKUP(AO405,Mapping!$E$11:$I$96,5,0)</f>
        <v>Connection Services</v>
      </c>
    </row>
    <row r="406" spans="1:51" x14ac:dyDescent="0.2">
      <c r="A406" s="7"/>
      <c r="B406" s="7"/>
      <c r="C406" s="7"/>
      <c r="D406" s="7"/>
      <c r="E406" s="36">
        <v>111</v>
      </c>
      <c r="F406" s="36" t="s">
        <v>2126</v>
      </c>
      <c r="G406" s="36">
        <v>613244</v>
      </c>
      <c r="H406" s="36" t="s">
        <v>2084</v>
      </c>
      <c r="I406" s="37">
        <v>3.6513</v>
      </c>
      <c r="J406" s="7"/>
      <c r="K406" s="7" t="str">
        <f>VLOOKUP($E406,Mapping!$E$11:$I$96,3,0)</f>
        <v>Connections</v>
      </c>
      <c r="L406" s="7" t="str">
        <f>VLOOKUP($G406,Mapping!$E$140:$K$2771,5,0)</f>
        <v>Labour</v>
      </c>
      <c r="M406" s="7" t="str">
        <f>VLOOKUP($G406,Mapping!$E$140:$K$2771,7,0)</f>
        <v>ENDirect</v>
      </c>
      <c r="N406" s="7" t="str">
        <f>IFERROR(HLOOKUP(L406,'Calc|Weightings'!$K$5:$M$5,1,0),"Excl")</f>
        <v>Labour</v>
      </c>
      <c r="O406" s="7" t="str">
        <f>VLOOKUP(E406,Mapping!$E$11:$I$96,5,0)</f>
        <v>SCS</v>
      </c>
      <c r="Q406" s="33">
        <v>111</v>
      </c>
      <c r="R406" s="33" t="s">
        <v>2126</v>
      </c>
      <c r="S406" s="33">
        <v>639050</v>
      </c>
      <c r="T406" s="33" t="s">
        <v>2113</v>
      </c>
      <c r="U406" s="34">
        <v>126.11075</v>
      </c>
      <c r="V406" s="7"/>
      <c r="W406" s="7" t="str">
        <f>VLOOKUP($Q406,Mapping!$E$11:$I$96,3,0)</f>
        <v>Connections</v>
      </c>
      <c r="X406" s="7" t="str">
        <f>VLOOKUP($S406,Mapping!$E$140:$K$2771,5,0)</f>
        <v>PNS Fleet &amp; Property OH</v>
      </c>
      <c r="Y406" s="7" t="str">
        <f>VLOOKUP($S406,Mapping!$E$140:$K$2771,7,0)</f>
        <v>OH</v>
      </c>
      <c r="Z406" s="7" t="str">
        <f>IFERROR(HLOOKUP(X406,'Calc|Weightings'!$K$5:$M$5,1,0),"Excl")</f>
        <v>Excl</v>
      </c>
      <c r="AA406" s="7" t="str">
        <f>VLOOKUP(Q406,Mapping!$E$11:$I$96,5,0)</f>
        <v>SCS</v>
      </c>
      <c r="AC406" s="111">
        <v>111</v>
      </c>
      <c r="AD406" s="111" t="s">
        <v>2126</v>
      </c>
      <c r="AE406" s="111">
        <v>613571</v>
      </c>
      <c r="AF406" s="111" t="s">
        <v>1485</v>
      </c>
      <c r="AG406" s="112">
        <v>2.67788</v>
      </c>
      <c r="AI406" s="7" t="str">
        <f>VLOOKUP($AC406,Mapping!$E$11:$I$96,3,0)</f>
        <v>Connections</v>
      </c>
      <c r="AJ406" s="7" t="str">
        <f>VLOOKUP($AE406,Mapping!$E$140:$K$2771,5,0)</f>
        <v>Labour</v>
      </c>
      <c r="AK406" s="7" t="str">
        <f>VLOOKUP($AE406,Mapping!$E$140:$K$2771,7,0)</f>
        <v>ENDirect</v>
      </c>
      <c r="AL406" s="7" t="str">
        <f>IFERROR(HLOOKUP(AJ406,'Calc|Weightings'!$K$5:$M$5,1,0),"Excl")</f>
        <v>Labour</v>
      </c>
      <c r="AM406" s="7" t="str">
        <f>VLOOKUP(AC406,Mapping!$E$11:$I$96,5,0)</f>
        <v>SCS</v>
      </c>
      <c r="AO406" s="134">
        <v>114</v>
      </c>
      <c r="AP406" s="135" t="s">
        <v>2127</v>
      </c>
      <c r="AQ406" s="135">
        <v>613713</v>
      </c>
      <c r="AR406" s="135" t="s">
        <v>1863</v>
      </c>
      <c r="AS406" s="136">
        <v>14.38752</v>
      </c>
      <c r="AU406" s="7" t="str">
        <f>VLOOKUP($AO406,Mapping!$E$11:$I$96,3,0)</f>
        <v>Metering Opex</v>
      </c>
      <c r="AV406" s="7" t="str">
        <f>VLOOKUP($AQ406,Mapping!$E$140:$K$2771,5,0)</f>
        <v>Materials</v>
      </c>
      <c r="AW406" s="7" t="str">
        <f>VLOOKUP($AQ406,Mapping!$E$140:$K$2771,7,0)</f>
        <v>ENDirect</v>
      </c>
      <c r="AX406" s="7" t="str">
        <f>IFERROR(HLOOKUP(AV406,'Calc|Weightings'!$K$5:$M$5,1,0),"Excl")</f>
        <v>Materials</v>
      </c>
      <c r="AY406" s="7" t="str">
        <f>VLOOKUP(AO406,Mapping!$E$11:$I$96,5,0)</f>
        <v>Connection Services</v>
      </c>
    </row>
    <row r="407" spans="1:51" x14ac:dyDescent="0.2">
      <c r="A407" s="7"/>
      <c r="B407" s="7"/>
      <c r="C407" s="7"/>
      <c r="D407" s="7"/>
      <c r="E407" s="36">
        <v>111</v>
      </c>
      <c r="F407" s="36" t="s">
        <v>2126</v>
      </c>
      <c r="G407" s="36">
        <v>613245</v>
      </c>
      <c r="H407" s="36" t="s">
        <v>2085</v>
      </c>
      <c r="I407" s="37">
        <v>0.24342</v>
      </c>
      <c r="J407" s="7"/>
      <c r="K407" s="7" t="str">
        <f>VLOOKUP($E407,Mapping!$E$11:$I$96,3,0)</f>
        <v>Connections</v>
      </c>
      <c r="L407" s="7" t="str">
        <f>VLOOKUP($G407,Mapping!$E$140:$K$2771,5,0)</f>
        <v>Labour</v>
      </c>
      <c r="M407" s="7" t="str">
        <f>VLOOKUP($G407,Mapping!$E$140:$K$2771,7,0)</f>
        <v>ENDirect</v>
      </c>
      <c r="N407" s="7" t="str">
        <f>IFERROR(HLOOKUP(L407,'Calc|Weightings'!$K$5:$M$5,1,0),"Excl")</f>
        <v>Labour</v>
      </c>
      <c r="O407" s="7" t="str">
        <f>VLOOKUP(E407,Mapping!$E$11:$I$96,5,0)</f>
        <v>SCS</v>
      </c>
      <c r="Q407" s="33">
        <v>112</v>
      </c>
      <c r="R407" s="33" t="s">
        <v>2389</v>
      </c>
      <c r="S407" s="33">
        <v>531468</v>
      </c>
      <c r="T407" s="33" t="s">
        <v>260</v>
      </c>
      <c r="U407" s="34">
        <v>7.6893799999999999</v>
      </c>
      <c r="V407" s="7"/>
      <c r="W407" s="7" t="str">
        <f>VLOOKUP($Q407,Mapping!$E$11:$I$96,3,0)</f>
        <v>Metering Capex</v>
      </c>
      <c r="X407" s="7" t="str">
        <f>VLOOKUP($S407,Mapping!$E$140:$K$2771,5,0)</f>
        <v>Contracts</v>
      </c>
      <c r="Y407" s="7" t="str">
        <f>VLOOKUP($S407,Mapping!$E$140:$K$2771,7,0)</f>
        <v>ENDirect</v>
      </c>
      <c r="Z407" s="7" t="str">
        <f>IFERROR(HLOOKUP(X407,'Calc|Weightings'!$K$5:$M$5,1,0),"Excl")</f>
        <v>Contracts</v>
      </c>
      <c r="AA407" s="7" t="str">
        <f>VLOOKUP(Q407,Mapping!$E$11:$I$96,5,0)</f>
        <v>Metering Services</v>
      </c>
      <c r="AC407" s="111">
        <v>111</v>
      </c>
      <c r="AD407" s="111" t="s">
        <v>2126</v>
      </c>
      <c r="AE407" s="111">
        <v>613574</v>
      </c>
      <c r="AF407" s="111" t="s">
        <v>1488</v>
      </c>
      <c r="AG407" s="112">
        <v>284.69729000000001</v>
      </c>
      <c r="AI407" s="7" t="str">
        <f>VLOOKUP($AC407,Mapping!$E$11:$I$96,3,0)</f>
        <v>Connections</v>
      </c>
      <c r="AJ407" s="7" t="str">
        <f>VLOOKUP($AE407,Mapping!$E$140:$K$2771,5,0)</f>
        <v>Labour</v>
      </c>
      <c r="AK407" s="7" t="str">
        <f>VLOOKUP($AE407,Mapping!$E$140:$K$2771,7,0)</f>
        <v>ENDirect</v>
      </c>
      <c r="AL407" s="7" t="str">
        <f>IFERROR(HLOOKUP(AJ407,'Calc|Weightings'!$K$5:$M$5,1,0),"Excl")</f>
        <v>Labour</v>
      </c>
      <c r="AM407" s="7" t="str">
        <f>VLOOKUP(AC407,Mapping!$E$11:$I$96,5,0)</f>
        <v>SCS</v>
      </c>
      <c r="AO407" s="134">
        <v>114</v>
      </c>
      <c r="AP407" s="135" t="s">
        <v>2127</v>
      </c>
      <c r="AQ407" s="135">
        <v>613745</v>
      </c>
      <c r="AR407" s="135" t="s">
        <v>2391</v>
      </c>
      <c r="AS407" s="136">
        <v>60.505200000000002</v>
      </c>
      <c r="AU407" s="7" t="str">
        <f>VLOOKUP($AO407,Mapping!$E$11:$I$96,3,0)</f>
        <v>Metering Opex</v>
      </c>
      <c r="AV407" s="7" t="str">
        <f>VLOOKUP($AQ407,Mapping!$E$140:$K$2771,5,0)</f>
        <v>Contracts</v>
      </c>
      <c r="AW407" s="7" t="str">
        <f>VLOOKUP($AQ407,Mapping!$E$140:$K$2771,7,0)</f>
        <v>ENDirect</v>
      </c>
      <c r="AX407" s="7" t="str">
        <f>IFERROR(HLOOKUP(AV407,'Calc|Weightings'!$K$5:$M$5,1,0),"Excl")</f>
        <v>Contracts</v>
      </c>
      <c r="AY407" s="7" t="str">
        <f>VLOOKUP(AO407,Mapping!$E$11:$I$96,5,0)</f>
        <v>Connection Services</v>
      </c>
    </row>
    <row r="408" spans="1:51" x14ac:dyDescent="0.2">
      <c r="A408" s="7"/>
      <c r="B408" s="7"/>
      <c r="C408" s="7"/>
      <c r="D408" s="7"/>
      <c r="E408" s="36">
        <v>111</v>
      </c>
      <c r="F408" s="36" t="s">
        <v>2126</v>
      </c>
      <c r="G408" s="36">
        <v>613248</v>
      </c>
      <c r="H408" s="36" t="s">
        <v>2383</v>
      </c>
      <c r="I408" s="37">
        <v>19.558800000000002</v>
      </c>
      <c r="J408" s="7"/>
      <c r="K408" s="7" t="str">
        <f>VLOOKUP($E408,Mapping!$E$11:$I$96,3,0)</f>
        <v>Connections</v>
      </c>
      <c r="L408" s="7" t="str">
        <f>VLOOKUP($G408,Mapping!$E$140:$K$2771,5,0)</f>
        <v>Labour</v>
      </c>
      <c r="M408" s="7" t="str">
        <f>VLOOKUP($G408,Mapping!$E$140:$K$2771,7,0)</f>
        <v>ENDirect</v>
      </c>
      <c r="N408" s="7" t="str">
        <f>IFERROR(HLOOKUP(L408,'Calc|Weightings'!$K$5:$M$5,1,0),"Excl")</f>
        <v>Labour</v>
      </c>
      <c r="O408" s="7" t="str">
        <f>VLOOKUP(E408,Mapping!$E$11:$I$96,5,0)</f>
        <v>SCS</v>
      </c>
      <c r="Q408" s="33">
        <v>112</v>
      </c>
      <c r="R408" s="33" t="s">
        <v>2389</v>
      </c>
      <c r="S408" s="33">
        <v>613290</v>
      </c>
      <c r="T408" s="33" t="s">
        <v>2093</v>
      </c>
      <c r="U408" s="34">
        <v>1.12209</v>
      </c>
      <c r="V408" s="7"/>
      <c r="W408" s="7" t="str">
        <f>VLOOKUP($Q408,Mapping!$E$11:$I$96,3,0)</f>
        <v>Metering Capex</v>
      </c>
      <c r="X408" s="7" t="str">
        <f>VLOOKUP($S408,Mapping!$E$140:$K$2771,5,0)</f>
        <v>Labour</v>
      </c>
      <c r="Y408" s="7" t="str">
        <f>VLOOKUP($S408,Mapping!$E$140:$K$2771,7,0)</f>
        <v>ENDirect</v>
      </c>
      <c r="Z408" s="7" t="str">
        <f>IFERROR(HLOOKUP(X408,'Calc|Weightings'!$K$5:$M$5,1,0),"Excl")</f>
        <v>Labour</v>
      </c>
      <c r="AA408" s="7" t="str">
        <f>VLOOKUP(Q408,Mapping!$E$11:$I$96,5,0)</f>
        <v>Metering Services</v>
      </c>
      <c r="AC408" s="111">
        <v>111</v>
      </c>
      <c r="AD408" s="111" t="s">
        <v>2126</v>
      </c>
      <c r="AE408" s="111">
        <v>613575</v>
      </c>
      <c r="AF408" s="111" t="s">
        <v>1489</v>
      </c>
      <c r="AG408" s="112">
        <v>11.16117</v>
      </c>
      <c r="AI408" s="7" t="str">
        <f>VLOOKUP($AC408,Mapping!$E$11:$I$96,3,0)</f>
        <v>Connections</v>
      </c>
      <c r="AJ408" s="7" t="str">
        <f>VLOOKUP($AE408,Mapping!$E$140:$K$2771,5,0)</f>
        <v>Labour</v>
      </c>
      <c r="AK408" s="7" t="str">
        <f>VLOOKUP($AE408,Mapping!$E$140:$K$2771,7,0)</f>
        <v>ENDirect</v>
      </c>
      <c r="AL408" s="7" t="str">
        <f>IFERROR(HLOOKUP(AJ408,'Calc|Weightings'!$K$5:$M$5,1,0),"Excl")</f>
        <v>Labour</v>
      </c>
      <c r="AM408" s="7" t="str">
        <f>VLOOKUP(AC408,Mapping!$E$11:$I$96,5,0)</f>
        <v>SCS</v>
      </c>
      <c r="AO408" s="134">
        <v>114</v>
      </c>
      <c r="AP408" s="135" t="s">
        <v>2127</v>
      </c>
      <c r="AQ408" s="135">
        <v>639000</v>
      </c>
      <c r="AR408" s="135" t="s">
        <v>2112</v>
      </c>
      <c r="AS408" s="136">
        <v>10.5009</v>
      </c>
      <c r="AU408" s="7" t="str">
        <f>VLOOKUP($AO408,Mapping!$E$11:$I$96,3,0)</f>
        <v>Metering Opex</v>
      </c>
      <c r="AV408" s="7" t="str">
        <f>VLOOKUP($AQ408,Mapping!$E$140:$K$2771,5,0)</f>
        <v>PNS Corporate OH</v>
      </c>
      <c r="AW408" s="7" t="str">
        <f>VLOOKUP($AQ408,Mapping!$E$140:$K$2771,7,0)</f>
        <v>OH</v>
      </c>
      <c r="AX408" s="7" t="str">
        <f>IFERROR(HLOOKUP(AV408,'Calc|Weightings'!$K$5:$M$5,1,0),"Excl")</f>
        <v>Excl</v>
      </c>
      <c r="AY408" s="7" t="str">
        <f>VLOOKUP(AO408,Mapping!$E$11:$I$96,5,0)</f>
        <v>Connection Services</v>
      </c>
    </row>
    <row r="409" spans="1:51" x14ac:dyDescent="0.2">
      <c r="A409" s="7"/>
      <c r="B409" s="7"/>
      <c r="C409" s="7"/>
      <c r="D409" s="7"/>
      <c r="E409" s="36">
        <v>111</v>
      </c>
      <c r="F409" s="36" t="s">
        <v>2126</v>
      </c>
      <c r="G409" s="36">
        <v>613249</v>
      </c>
      <c r="H409" s="36" t="s">
        <v>2384</v>
      </c>
      <c r="I409" s="37">
        <v>5.1118199999999998</v>
      </c>
      <c r="J409" s="7"/>
      <c r="K409" s="7" t="str">
        <f>VLOOKUP($E409,Mapping!$E$11:$I$96,3,0)</f>
        <v>Connections</v>
      </c>
      <c r="L409" s="7" t="str">
        <f>VLOOKUP($G409,Mapping!$E$140:$K$2771,5,0)</f>
        <v>Labour</v>
      </c>
      <c r="M409" s="7" t="str">
        <f>VLOOKUP($G409,Mapping!$E$140:$K$2771,7,0)</f>
        <v>ENDirect</v>
      </c>
      <c r="N409" s="7" t="str">
        <f>IFERROR(HLOOKUP(L409,'Calc|Weightings'!$K$5:$M$5,1,0),"Excl")</f>
        <v>Labour</v>
      </c>
      <c r="O409" s="7" t="str">
        <f>VLOOKUP(E409,Mapping!$E$11:$I$96,5,0)</f>
        <v>SCS</v>
      </c>
      <c r="Q409" s="33">
        <v>112</v>
      </c>
      <c r="R409" s="33" t="s">
        <v>2389</v>
      </c>
      <c r="S409" s="33">
        <v>613440</v>
      </c>
      <c r="T409" s="33" t="s">
        <v>2103</v>
      </c>
      <c r="U409" s="34">
        <v>6.1030000000000001E-2</v>
      </c>
      <c r="V409" s="7"/>
      <c r="W409" s="7" t="str">
        <f>VLOOKUP($Q409,Mapping!$E$11:$I$96,3,0)</f>
        <v>Metering Capex</v>
      </c>
      <c r="X409" s="7" t="str">
        <f>VLOOKUP($S409,Mapping!$E$140:$K$2771,5,0)</f>
        <v>Labour</v>
      </c>
      <c r="Y409" s="7" t="str">
        <f>VLOOKUP($S409,Mapping!$E$140:$K$2771,7,0)</f>
        <v>ENDirect</v>
      </c>
      <c r="Z409" s="7" t="str">
        <f>IFERROR(HLOOKUP(X409,'Calc|Weightings'!$K$5:$M$5,1,0),"Excl")</f>
        <v>Labour</v>
      </c>
      <c r="AA409" s="7" t="str">
        <f>VLOOKUP(Q409,Mapping!$E$11:$I$96,5,0)</f>
        <v>Metering Services</v>
      </c>
      <c r="AC409" s="111">
        <v>111</v>
      </c>
      <c r="AD409" s="111" t="s">
        <v>2126</v>
      </c>
      <c r="AE409" s="111">
        <v>613576</v>
      </c>
      <c r="AF409" s="111" t="s">
        <v>1490</v>
      </c>
      <c r="AG409" s="112">
        <v>480.51839999999999</v>
      </c>
      <c r="AI409" s="7" t="str">
        <f>VLOOKUP($AC409,Mapping!$E$11:$I$96,3,0)</f>
        <v>Connections</v>
      </c>
      <c r="AJ409" s="7" t="str">
        <f>VLOOKUP($AE409,Mapping!$E$140:$K$2771,5,0)</f>
        <v>Labour</v>
      </c>
      <c r="AK409" s="7" t="str">
        <f>VLOOKUP($AE409,Mapping!$E$140:$K$2771,7,0)</f>
        <v>ENDirect</v>
      </c>
      <c r="AL409" s="7" t="str">
        <f>IFERROR(HLOOKUP(AJ409,'Calc|Weightings'!$K$5:$M$5,1,0),"Excl")</f>
        <v>Labour</v>
      </c>
      <c r="AM409" s="7" t="str">
        <f>VLOOKUP(AC409,Mapping!$E$11:$I$96,5,0)</f>
        <v>SCS</v>
      </c>
      <c r="AO409" s="134">
        <v>114</v>
      </c>
      <c r="AP409" s="135" t="s">
        <v>2127</v>
      </c>
      <c r="AQ409" s="135">
        <v>639050</v>
      </c>
      <c r="AR409" s="135" t="s">
        <v>2113</v>
      </c>
      <c r="AS409" s="136">
        <v>0.11551</v>
      </c>
      <c r="AU409" s="7" t="str">
        <f>VLOOKUP($AO409,Mapping!$E$11:$I$96,3,0)</f>
        <v>Metering Opex</v>
      </c>
      <c r="AV409" s="7" t="str">
        <f>VLOOKUP($AQ409,Mapping!$E$140:$K$2771,5,0)</f>
        <v>PNS Fleet &amp; Property OH</v>
      </c>
      <c r="AW409" s="7" t="str">
        <f>VLOOKUP($AQ409,Mapping!$E$140:$K$2771,7,0)</f>
        <v>OH</v>
      </c>
      <c r="AX409" s="7" t="str">
        <f>IFERROR(HLOOKUP(AV409,'Calc|Weightings'!$K$5:$M$5,1,0),"Excl")</f>
        <v>Excl</v>
      </c>
      <c r="AY409" s="7" t="str">
        <f>VLOOKUP(AO409,Mapping!$E$11:$I$96,5,0)</f>
        <v>Connection Services</v>
      </c>
    </row>
    <row r="410" spans="1:51" x14ac:dyDescent="0.2">
      <c r="A410" s="7"/>
      <c r="B410" s="7"/>
      <c r="C410" s="7"/>
      <c r="D410" s="7"/>
      <c r="E410" s="36">
        <v>111</v>
      </c>
      <c r="F410" s="36" t="s">
        <v>2126</v>
      </c>
      <c r="G410" s="36">
        <v>613250</v>
      </c>
      <c r="H410" s="36" t="s">
        <v>2086</v>
      </c>
      <c r="I410" s="37">
        <v>15.710520000000001</v>
      </c>
      <c r="J410" s="7"/>
      <c r="K410" s="7" t="str">
        <f>VLOOKUP($E410,Mapping!$E$11:$I$96,3,0)</f>
        <v>Connections</v>
      </c>
      <c r="L410" s="7" t="str">
        <f>VLOOKUP($G410,Mapping!$E$140:$K$2771,5,0)</f>
        <v>Labour</v>
      </c>
      <c r="M410" s="7" t="str">
        <f>VLOOKUP($G410,Mapping!$E$140:$K$2771,7,0)</f>
        <v>ENDirect</v>
      </c>
      <c r="N410" s="7" t="str">
        <f>IFERROR(HLOOKUP(L410,'Calc|Weightings'!$K$5:$M$5,1,0),"Excl")</f>
        <v>Labour</v>
      </c>
      <c r="O410" s="7" t="str">
        <f>VLOOKUP(E410,Mapping!$E$11:$I$96,5,0)</f>
        <v>SCS</v>
      </c>
      <c r="Q410" s="33">
        <v>112</v>
      </c>
      <c r="R410" s="33" t="s">
        <v>2389</v>
      </c>
      <c r="S410" s="33">
        <v>614115</v>
      </c>
      <c r="T410" s="33" t="s">
        <v>2109</v>
      </c>
      <c r="U410" s="34">
        <v>0.1643</v>
      </c>
      <c r="V410" s="7"/>
      <c r="W410" s="7" t="str">
        <f>VLOOKUP($Q410,Mapping!$E$11:$I$96,3,0)</f>
        <v>Metering Capex</v>
      </c>
      <c r="X410" s="7" t="str">
        <f>VLOOKUP($S410,Mapping!$E$140:$K$2771,5,0)</f>
        <v>Labour</v>
      </c>
      <c r="Y410" s="7" t="str">
        <f>VLOOKUP($S410,Mapping!$E$140:$K$2771,7,0)</f>
        <v>ENDirect</v>
      </c>
      <c r="Z410" s="7" t="str">
        <f>IFERROR(HLOOKUP(X410,'Calc|Weightings'!$K$5:$M$5,1,0),"Excl")</f>
        <v>Labour</v>
      </c>
      <c r="AA410" s="7" t="str">
        <f>VLOOKUP(Q410,Mapping!$E$11:$I$96,5,0)</f>
        <v>Metering Services</v>
      </c>
      <c r="AC410" s="111">
        <v>111</v>
      </c>
      <c r="AD410" s="111" t="s">
        <v>2126</v>
      </c>
      <c r="AE410" s="111">
        <v>613577</v>
      </c>
      <c r="AF410" s="111" t="s">
        <v>1491</v>
      </c>
      <c r="AG410" s="112">
        <v>17.087900000000001</v>
      </c>
      <c r="AI410" s="7" t="str">
        <f>VLOOKUP($AC410,Mapping!$E$11:$I$96,3,0)</f>
        <v>Connections</v>
      </c>
      <c r="AJ410" s="7" t="str">
        <f>VLOOKUP($AE410,Mapping!$E$140:$K$2771,5,0)</f>
        <v>Labour</v>
      </c>
      <c r="AK410" s="7" t="str">
        <f>VLOOKUP($AE410,Mapping!$E$140:$K$2771,7,0)</f>
        <v>ENDirect</v>
      </c>
      <c r="AL410" s="7" t="str">
        <f>IFERROR(HLOOKUP(AJ410,'Calc|Weightings'!$K$5:$M$5,1,0),"Excl")</f>
        <v>Labour</v>
      </c>
      <c r="AM410" s="7" t="str">
        <f>VLOOKUP(AC410,Mapping!$E$11:$I$96,5,0)</f>
        <v>SCS</v>
      </c>
      <c r="AO410" s="134">
        <v>115</v>
      </c>
      <c r="AP410" s="135" t="s">
        <v>2129</v>
      </c>
      <c r="AQ410" s="135">
        <v>591998</v>
      </c>
      <c r="AR410" s="135" t="s">
        <v>2077</v>
      </c>
      <c r="AS410" s="136">
        <v>-0.65</v>
      </c>
      <c r="AU410" s="7" t="str">
        <f>VLOOKUP($AO410,Mapping!$E$11:$I$96,3,0)</f>
        <v>Metering Opex</v>
      </c>
      <c r="AV410" s="7" t="str">
        <f>VLOOKUP($AQ410,Mapping!$E$140:$K$2771,5,0)</f>
        <v>Contracts</v>
      </c>
      <c r="AW410" s="7" t="str">
        <f>VLOOKUP($AQ410,Mapping!$E$140:$K$2771,7,0)</f>
        <v>ENDirect</v>
      </c>
      <c r="AX410" s="7" t="str">
        <f>IFERROR(HLOOKUP(AV410,'Calc|Weightings'!$K$5:$M$5,1,0),"Excl")</f>
        <v>Contracts</v>
      </c>
      <c r="AY410" s="7" t="str">
        <f>VLOOKUP(AO410,Mapping!$E$11:$I$96,5,0)</f>
        <v>Connection Services</v>
      </c>
    </row>
    <row r="411" spans="1:51" x14ac:dyDescent="0.2">
      <c r="A411" s="7"/>
      <c r="B411" s="7"/>
      <c r="C411" s="7"/>
      <c r="D411" s="7"/>
      <c r="E411" s="36">
        <v>111</v>
      </c>
      <c r="F411" s="36" t="s">
        <v>2126</v>
      </c>
      <c r="G411" s="36">
        <v>613251</v>
      </c>
      <c r="H411" s="36" t="s">
        <v>2087</v>
      </c>
      <c r="I411" s="37">
        <v>2.5895700000000001</v>
      </c>
      <c r="J411" s="7"/>
      <c r="K411" s="7" t="str">
        <f>VLOOKUP($E411,Mapping!$E$11:$I$96,3,0)</f>
        <v>Connections</v>
      </c>
      <c r="L411" s="7" t="str">
        <f>VLOOKUP($G411,Mapping!$E$140:$K$2771,5,0)</f>
        <v>Labour</v>
      </c>
      <c r="M411" s="7" t="str">
        <f>VLOOKUP($G411,Mapping!$E$140:$K$2771,7,0)</f>
        <v>ENDirect</v>
      </c>
      <c r="N411" s="7" t="str">
        <f>IFERROR(HLOOKUP(L411,'Calc|Weightings'!$K$5:$M$5,1,0),"Excl")</f>
        <v>Labour</v>
      </c>
      <c r="O411" s="7" t="str">
        <f>VLOOKUP(E411,Mapping!$E$11:$I$96,5,0)</f>
        <v>SCS</v>
      </c>
      <c r="Q411" s="33">
        <v>112</v>
      </c>
      <c r="R411" s="33" t="s">
        <v>2389</v>
      </c>
      <c r="S411" s="33">
        <v>634001</v>
      </c>
      <c r="T411" s="33" t="s">
        <v>2110</v>
      </c>
      <c r="U411" s="34">
        <v>0.77146000000000003</v>
      </c>
      <c r="V411" s="7"/>
      <c r="W411" s="7" t="str">
        <f>VLOOKUP($Q411,Mapping!$E$11:$I$96,3,0)</f>
        <v>Metering Capex</v>
      </c>
      <c r="X411" s="7" t="str">
        <f>VLOOKUP($S411,Mapping!$E$140:$K$2771,5,0)</f>
        <v>Local OH</v>
      </c>
      <c r="Y411" s="7" t="str">
        <f>VLOOKUP($S411,Mapping!$E$140:$K$2771,7,0)</f>
        <v>OH</v>
      </c>
      <c r="Z411" s="7" t="str">
        <f>IFERROR(HLOOKUP(X411,'Calc|Weightings'!$K$5:$M$5,1,0),"Excl")</f>
        <v>Excl</v>
      </c>
      <c r="AA411" s="7" t="str">
        <f>VLOOKUP(Q411,Mapping!$E$11:$I$96,5,0)</f>
        <v>Metering Services</v>
      </c>
      <c r="AC411" s="111">
        <v>111</v>
      </c>
      <c r="AD411" s="111" t="s">
        <v>2126</v>
      </c>
      <c r="AE411" s="111">
        <v>613602</v>
      </c>
      <c r="AF411" s="111" t="s">
        <v>1494</v>
      </c>
      <c r="AG411" s="112">
        <v>50.261119999999998</v>
      </c>
      <c r="AI411" s="7" t="str">
        <f>VLOOKUP($AC411,Mapping!$E$11:$I$96,3,0)</f>
        <v>Connections</v>
      </c>
      <c r="AJ411" s="7" t="str">
        <f>VLOOKUP($AE411,Mapping!$E$140:$K$2771,5,0)</f>
        <v>Labour</v>
      </c>
      <c r="AK411" s="7" t="str">
        <f>VLOOKUP($AE411,Mapping!$E$140:$K$2771,7,0)</f>
        <v>ENDirect</v>
      </c>
      <c r="AL411" s="7" t="str">
        <f>IFERROR(HLOOKUP(AJ411,'Calc|Weightings'!$K$5:$M$5,1,0),"Excl")</f>
        <v>Labour</v>
      </c>
      <c r="AM411" s="7" t="str">
        <f>VLOOKUP(AC411,Mapping!$E$11:$I$96,5,0)</f>
        <v>SCS</v>
      </c>
      <c r="AO411" s="134">
        <v>115</v>
      </c>
      <c r="AP411" s="135" t="s">
        <v>2129</v>
      </c>
      <c r="AQ411" s="135">
        <v>591999</v>
      </c>
      <c r="AR411" s="135" t="s">
        <v>2195</v>
      </c>
      <c r="AS411" s="136">
        <v>-0.14227000000000001</v>
      </c>
      <c r="AU411" s="7" t="str">
        <f>VLOOKUP($AO411,Mapping!$E$11:$I$96,3,0)</f>
        <v>Metering Opex</v>
      </c>
      <c r="AV411" s="7" t="str">
        <f>VLOOKUP($AQ411,Mapping!$E$140:$K$2771,5,0)</f>
        <v>Contracts</v>
      </c>
      <c r="AW411" s="7" t="str">
        <f>VLOOKUP($AQ411,Mapping!$E$140:$K$2771,7,0)</f>
        <v>ENDirect</v>
      </c>
      <c r="AX411" s="7" t="str">
        <f>IFERROR(HLOOKUP(AV411,'Calc|Weightings'!$K$5:$M$5,1,0),"Excl")</f>
        <v>Contracts</v>
      </c>
      <c r="AY411" s="7" t="str">
        <f>VLOOKUP(AO411,Mapping!$E$11:$I$96,5,0)</f>
        <v>Connection Services</v>
      </c>
    </row>
    <row r="412" spans="1:51" x14ac:dyDescent="0.2">
      <c r="A412" s="7"/>
      <c r="B412" s="7"/>
      <c r="C412" s="7"/>
      <c r="D412" s="7"/>
      <c r="E412" s="36">
        <v>111</v>
      </c>
      <c r="F412" s="36" t="s">
        <v>2126</v>
      </c>
      <c r="G412" s="36">
        <v>613254</v>
      </c>
      <c r="H412" s="36" t="s">
        <v>2088</v>
      </c>
      <c r="I412" s="37">
        <v>4.2604800000000003</v>
      </c>
      <c r="J412" s="7"/>
      <c r="K412" s="7" t="str">
        <f>VLOOKUP($E412,Mapping!$E$11:$I$96,3,0)</f>
        <v>Connections</v>
      </c>
      <c r="L412" s="7" t="str">
        <f>VLOOKUP($G412,Mapping!$E$140:$K$2771,5,0)</f>
        <v>Labour</v>
      </c>
      <c r="M412" s="7" t="str">
        <f>VLOOKUP($G412,Mapping!$E$140:$K$2771,7,0)</f>
        <v>ENDirect</v>
      </c>
      <c r="N412" s="7" t="str">
        <f>IFERROR(HLOOKUP(L412,'Calc|Weightings'!$K$5:$M$5,1,0),"Excl")</f>
        <v>Labour</v>
      </c>
      <c r="O412" s="7" t="str">
        <f>VLOOKUP(E412,Mapping!$E$11:$I$96,5,0)</f>
        <v>SCS</v>
      </c>
      <c r="Q412" s="33">
        <v>112</v>
      </c>
      <c r="R412" s="33" t="s">
        <v>2389</v>
      </c>
      <c r="S412" s="33">
        <v>635001</v>
      </c>
      <c r="T412" s="33" t="s">
        <v>1929</v>
      </c>
      <c r="U412" s="34">
        <v>0.50539999999999996</v>
      </c>
      <c r="V412" s="7"/>
      <c r="W412" s="7" t="str">
        <f>VLOOKUP($Q412,Mapping!$E$11:$I$96,3,0)</f>
        <v>Metering Capex</v>
      </c>
      <c r="X412" s="7" t="str">
        <f>VLOOKUP($S412,Mapping!$E$140:$K$2771,5,0)</f>
        <v>PNS MG</v>
      </c>
      <c r="Y412" s="7" t="str">
        <f>VLOOKUP($S412,Mapping!$E$140:$K$2771,7,0)</f>
        <v>ENDirect</v>
      </c>
      <c r="Z412" s="7" t="str">
        <f>IFERROR(HLOOKUP(X412,'Calc|Weightings'!$K$5:$M$5,1,0),"Excl")</f>
        <v>Excl</v>
      </c>
      <c r="AA412" s="7" t="str">
        <f>VLOOKUP(Q412,Mapping!$E$11:$I$96,5,0)</f>
        <v>Metering Services</v>
      </c>
      <c r="AC412" s="111">
        <v>111</v>
      </c>
      <c r="AD412" s="111" t="s">
        <v>2126</v>
      </c>
      <c r="AE412" s="111">
        <v>613603</v>
      </c>
      <c r="AF412" s="111" t="s">
        <v>1495</v>
      </c>
      <c r="AG412" s="112">
        <v>4.4715999999999996</v>
      </c>
      <c r="AI412" s="7" t="str">
        <f>VLOOKUP($AC412,Mapping!$E$11:$I$96,3,0)</f>
        <v>Connections</v>
      </c>
      <c r="AJ412" s="7" t="str">
        <f>VLOOKUP($AE412,Mapping!$E$140:$K$2771,5,0)</f>
        <v>Labour</v>
      </c>
      <c r="AK412" s="7" t="str">
        <f>VLOOKUP($AE412,Mapping!$E$140:$K$2771,7,0)</f>
        <v>ENDirect</v>
      </c>
      <c r="AL412" s="7" t="str">
        <f>IFERROR(HLOOKUP(AJ412,'Calc|Weightings'!$K$5:$M$5,1,0),"Excl")</f>
        <v>Labour</v>
      </c>
      <c r="AM412" s="7" t="str">
        <f>VLOOKUP(AC412,Mapping!$E$11:$I$96,5,0)</f>
        <v>SCS</v>
      </c>
      <c r="AO412" s="134">
        <v>115</v>
      </c>
      <c r="AP412" s="135" t="s">
        <v>2129</v>
      </c>
      <c r="AQ412" s="135">
        <v>604600</v>
      </c>
      <c r="AR412" s="135" t="s">
        <v>487</v>
      </c>
      <c r="AS412" s="136">
        <v>75.029510000000002</v>
      </c>
      <c r="AU412" s="7" t="str">
        <f>VLOOKUP($AO412,Mapping!$E$11:$I$96,3,0)</f>
        <v>Metering Opex</v>
      </c>
      <c r="AV412" s="7" t="str">
        <f>VLOOKUP($AQ412,Mapping!$E$140:$K$2771,5,0)</f>
        <v>Corporate Services Fee</v>
      </c>
      <c r="AW412" s="7" t="str">
        <f>VLOOKUP($AQ412,Mapping!$E$140:$K$2771,7,0)</f>
        <v>ENDirect</v>
      </c>
      <c r="AX412" s="7" t="str">
        <f>IFERROR(HLOOKUP(AV412,'Calc|Weightings'!$K$5:$M$5,1,0),"Excl")</f>
        <v>Excl</v>
      </c>
      <c r="AY412" s="7" t="str">
        <f>VLOOKUP(AO412,Mapping!$E$11:$I$96,5,0)</f>
        <v>Connection Services</v>
      </c>
    </row>
    <row r="413" spans="1:51" x14ac:dyDescent="0.2">
      <c r="A413" s="7"/>
      <c r="B413" s="7"/>
      <c r="C413" s="7"/>
      <c r="D413" s="7"/>
      <c r="E413" s="36">
        <v>111</v>
      </c>
      <c r="F413" s="36" t="s">
        <v>2126</v>
      </c>
      <c r="G413" s="36">
        <v>613255</v>
      </c>
      <c r="H413" s="36" t="s">
        <v>2089</v>
      </c>
      <c r="I413" s="37">
        <v>0.13314000000000001</v>
      </c>
      <c r="J413" s="7"/>
      <c r="K413" s="7" t="str">
        <f>VLOOKUP($E413,Mapping!$E$11:$I$96,3,0)</f>
        <v>Connections</v>
      </c>
      <c r="L413" s="7" t="str">
        <f>VLOOKUP($G413,Mapping!$E$140:$K$2771,5,0)</f>
        <v>Labour</v>
      </c>
      <c r="M413" s="7" t="str">
        <f>VLOOKUP($G413,Mapping!$E$140:$K$2771,7,0)</f>
        <v>ENDirect</v>
      </c>
      <c r="N413" s="7" t="str">
        <f>IFERROR(HLOOKUP(L413,'Calc|Weightings'!$K$5:$M$5,1,0),"Excl")</f>
        <v>Labour</v>
      </c>
      <c r="O413" s="7" t="str">
        <f>VLOOKUP(E413,Mapping!$E$11:$I$96,5,0)</f>
        <v>SCS</v>
      </c>
      <c r="Q413" s="33">
        <v>112</v>
      </c>
      <c r="R413" s="33" t="s">
        <v>2389</v>
      </c>
      <c r="S413" s="33">
        <v>636001</v>
      </c>
      <c r="T413" s="33" t="s">
        <v>2111</v>
      </c>
      <c r="U413" s="34">
        <v>0.20352000000000001</v>
      </c>
      <c r="V413" s="7"/>
      <c r="W413" s="7" t="str">
        <f>VLOOKUP($Q413,Mapping!$E$11:$I$96,3,0)</f>
        <v>Metering Capex</v>
      </c>
      <c r="X413" s="7" t="str">
        <f>VLOOKUP($S413,Mapping!$E$140:$K$2771,5,0)</f>
        <v>System Control OH</v>
      </c>
      <c r="Y413" s="7" t="str">
        <f>VLOOKUP($S413,Mapping!$E$140:$K$2771,7,0)</f>
        <v>OH</v>
      </c>
      <c r="Z413" s="7" t="str">
        <f>IFERROR(HLOOKUP(X413,'Calc|Weightings'!$K$5:$M$5,1,0),"Excl")</f>
        <v>Excl</v>
      </c>
      <c r="AA413" s="7" t="str">
        <f>VLOOKUP(Q413,Mapping!$E$11:$I$96,5,0)</f>
        <v>Metering Services</v>
      </c>
      <c r="AC413" s="111">
        <v>111</v>
      </c>
      <c r="AD413" s="111" t="s">
        <v>2126</v>
      </c>
      <c r="AE413" s="111">
        <v>613630</v>
      </c>
      <c r="AF413" s="111" t="s">
        <v>1498</v>
      </c>
      <c r="AG413" s="112">
        <v>36.7714</v>
      </c>
      <c r="AI413" s="7" t="str">
        <f>VLOOKUP($AC413,Mapping!$E$11:$I$96,3,0)</f>
        <v>Connections</v>
      </c>
      <c r="AJ413" s="7" t="str">
        <f>VLOOKUP($AE413,Mapping!$E$140:$K$2771,5,0)</f>
        <v>Labour</v>
      </c>
      <c r="AK413" s="7" t="str">
        <f>VLOOKUP($AE413,Mapping!$E$140:$K$2771,7,0)</f>
        <v>ENDirect</v>
      </c>
      <c r="AL413" s="7" t="str">
        <f>IFERROR(HLOOKUP(AJ413,'Calc|Weightings'!$K$5:$M$5,1,0),"Excl")</f>
        <v>Labour</v>
      </c>
      <c r="AM413" s="7" t="str">
        <f>VLOOKUP(AC413,Mapping!$E$11:$I$96,5,0)</f>
        <v>SCS</v>
      </c>
      <c r="AO413" s="134">
        <v>115</v>
      </c>
      <c r="AP413" s="135" t="s">
        <v>2129</v>
      </c>
      <c r="AQ413" s="135">
        <v>613714</v>
      </c>
      <c r="AR413" s="135" t="s">
        <v>1864</v>
      </c>
      <c r="AS413" s="136">
        <v>7.5601500000000001</v>
      </c>
      <c r="AU413" s="7" t="str">
        <f>VLOOKUP($AO413,Mapping!$E$11:$I$96,3,0)</f>
        <v>Metering Opex</v>
      </c>
      <c r="AV413" s="7" t="str">
        <f>VLOOKUP($AQ413,Mapping!$E$140:$K$2771,5,0)</f>
        <v>Contracts</v>
      </c>
      <c r="AW413" s="7" t="str">
        <f>VLOOKUP($AQ413,Mapping!$E$140:$K$2771,7,0)</f>
        <v>ENDirect</v>
      </c>
      <c r="AX413" s="7" t="str">
        <f>IFERROR(HLOOKUP(AV413,'Calc|Weightings'!$K$5:$M$5,1,0),"Excl")</f>
        <v>Contracts</v>
      </c>
      <c r="AY413" s="7" t="str">
        <f>VLOOKUP(AO413,Mapping!$E$11:$I$96,5,0)</f>
        <v>Connection Services</v>
      </c>
    </row>
    <row r="414" spans="1:51" x14ac:dyDescent="0.2">
      <c r="A414" s="7"/>
      <c r="B414" s="7"/>
      <c r="C414" s="7"/>
      <c r="D414" s="7"/>
      <c r="E414" s="36">
        <v>111</v>
      </c>
      <c r="F414" s="36" t="s">
        <v>2126</v>
      </c>
      <c r="G414" s="36">
        <v>613258</v>
      </c>
      <c r="H414" s="36" t="s">
        <v>2356</v>
      </c>
      <c r="I414" s="37">
        <v>9.0535200000000007</v>
      </c>
      <c r="J414" s="7"/>
      <c r="K414" s="7" t="str">
        <f>VLOOKUP($E414,Mapping!$E$11:$I$96,3,0)</f>
        <v>Connections</v>
      </c>
      <c r="L414" s="7" t="str">
        <f>VLOOKUP($G414,Mapping!$E$140:$K$2771,5,0)</f>
        <v>Labour</v>
      </c>
      <c r="M414" s="7" t="str">
        <f>VLOOKUP($G414,Mapping!$E$140:$K$2771,7,0)</f>
        <v>ENDirect</v>
      </c>
      <c r="N414" s="7" t="str">
        <f>IFERROR(HLOOKUP(L414,'Calc|Weightings'!$K$5:$M$5,1,0),"Excl")</f>
        <v>Labour</v>
      </c>
      <c r="O414" s="7" t="str">
        <f>VLOOKUP(E414,Mapping!$E$11:$I$96,5,0)</f>
        <v>SCS</v>
      </c>
      <c r="Q414" s="33">
        <v>112</v>
      </c>
      <c r="R414" s="33" t="s">
        <v>2389</v>
      </c>
      <c r="S414" s="33">
        <v>636105</v>
      </c>
      <c r="T414" s="33" t="s">
        <v>1937</v>
      </c>
      <c r="U414" s="34">
        <v>1.7250000000000001E-2</v>
      </c>
      <c r="V414" s="7"/>
      <c r="W414" s="7" t="str">
        <f>VLOOKUP($Q414,Mapping!$E$11:$I$96,3,0)</f>
        <v>Metering Capex</v>
      </c>
      <c r="X414" s="7" t="str">
        <f>VLOOKUP($S414,Mapping!$E$140:$K$2771,5,0)</f>
        <v>CSG MG</v>
      </c>
      <c r="Y414" s="7" t="str">
        <f>VLOOKUP($S414,Mapping!$E$140:$K$2771,7,0)</f>
        <v>ENDirect</v>
      </c>
      <c r="Z414" s="7" t="str">
        <f>IFERROR(HLOOKUP(X414,'Calc|Weightings'!$K$5:$M$5,1,0),"Excl")</f>
        <v>Excl</v>
      </c>
      <c r="AA414" s="7" t="str">
        <f>VLOOKUP(Q414,Mapping!$E$11:$I$96,5,0)</f>
        <v>Metering Services</v>
      </c>
      <c r="AC414" s="111">
        <v>111</v>
      </c>
      <c r="AD414" s="111" t="s">
        <v>2126</v>
      </c>
      <c r="AE414" s="111">
        <v>613680</v>
      </c>
      <c r="AF414" s="111" t="s">
        <v>2107</v>
      </c>
      <c r="AG414" s="112">
        <v>119.7685</v>
      </c>
      <c r="AI414" s="7" t="str">
        <f>VLOOKUP($AC414,Mapping!$E$11:$I$96,3,0)</f>
        <v>Connections</v>
      </c>
      <c r="AJ414" s="7" t="str">
        <f>VLOOKUP($AE414,Mapping!$E$140:$K$2771,5,0)</f>
        <v>Labour</v>
      </c>
      <c r="AK414" s="7" t="str">
        <f>VLOOKUP($AE414,Mapping!$E$140:$K$2771,7,0)</f>
        <v>ENDirect</v>
      </c>
      <c r="AL414" s="7" t="str">
        <f>IFERROR(HLOOKUP(AJ414,'Calc|Weightings'!$K$5:$M$5,1,0),"Excl")</f>
        <v>Labour</v>
      </c>
      <c r="AM414" s="7" t="str">
        <f>VLOOKUP(AC414,Mapping!$E$11:$I$96,5,0)</f>
        <v>SCS</v>
      </c>
      <c r="AO414" s="134">
        <v>115</v>
      </c>
      <c r="AP414" s="135" t="s">
        <v>2129</v>
      </c>
      <c r="AQ414" s="135">
        <v>613715</v>
      </c>
      <c r="AR414" s="135" t="s">
        <v>1859</v>
      </c>
      <c r="AS414" s="136">
        <v>24.311520000000002</v>
      </c>
      <c r="AU414" s="7" t="str">
        <f>VLOOKUP($AO414,Mapping!$E$11:$I$96,3,0)</f>
        <v>Metering Opex</v>
      </c>
      <c r="AV414" s="7" t="str">
        <f>VLOOKUP($AQ414,Mapping!$E$140:$K$2771,5,0)</f>
        <v>Contracts</v>
      </c>
      <c r="AW414" s="7" t="str">
        <f>VLOOKUP($AQ414,Mapping!$E$140:$K$2771,7,0)</f>
        <v>ENDirect</v>
      </c>
      <c r="AX414" s="7" t="str">
        <f>IFERROR(HLOOKUP(AV414,'Calc|Weightings'!$K$5:$M$5,1,0),"Excl")</f>
        <v>Contracts</v>
      </c>
      <c r="AY414" s="7" t="str">
        <f>VLOOKUP(AO414,Mapping!$E$11:$I$96,5,0)</f>
        <v>Connection Services</v>
      </c>
    </row>
    <row r="415" spans="1:51" x14ac:dyDescent="0.2">
      <c r="A415" s="7"/>
      <c r="B415" s="7"/>
      <c r="C415" s="7"/>
      <c r="D415" s="7"/>
      <c r="E415" s="36">
        <v>111</v>
      </c>
      <c r="F415" s="36" t="s">
        <v>2126</v>
      </c>
      <c r="G415" s="36">
        <v>613259</v>
      </c>
      <c r="H415" s="36" t="s">
        <v>2359</v>
      </c>
      <c r="I415" s="37">
        <v>2.6627999999999998</v>
      </c>
      <c r="J415" s="7"/>
      <c r="K415" s="7" t="str">
        <f>VLOOKUP($E415,Mapping!$E$11:$I$96,3,0)</f>
        <v>Connections</v>
      </c>
      <c r="L415" s="7" t="str">
        <f>VLOOKUP($G415,Mapping!$E$140:$K$2771,5,0)</f>
        <v>Labour</v>
      </c>
      <c r="M415" s="7" t="str">
        <f>VLOOKUP($G415,Mapping!$E$140:$K$2771,7,0)</f>
        <v>ENDirect</v>
      </c>
      <c r="N415" s="7" t="str">
        <f>IFERROR(HLOOKUP(L415,'Calc|Weightings'!$K$5:$M$5,1,0),"Excl")</f>
        <v>Labour</v>
      </c>
      <c r="O415" s="7" t="str">
        <f>VLOOKUP(E415,Mapping!$E$11:$I$96,5,0)</f>
        <v>SCS</v>
      </c>
      <c r="Q415" s="33">
        <v>112</v>
      </c>
      <c r="R415" s="33" t="s">
        <v>2389</v>
      </c>
      <c r="S415" s="33">
        <v>639000</v>
      </c>
      <c r="T415" s="33" t="s">
        <v>2112</v>
      </c>
      <c r="U415" s="34">
        <v>0.66335</v>
      </c>
      <c r="V415" s="7"/>
      <c r="W415" s="7" t="str">
        <f>VLOOKUP($Q415,Mapping!$E$11:$I$96,3,0)</f>
        <v>Metering Capex</v>
      </c>
      <c r="X415" s="7" t="str">
        <f>VLOOKUP($S415,Mapping!$E$140:$K$2771,5,0)</f>
        <v>PNS Corporate OH</v>
      </c>
      <c r="Y415" s="7" t="str">
        <f>VLOOKUP($S415,Mapping!$E$140:$K$2771,7,0)</f>
        <v>OH</v>
      </c>
      <c r="Z415" s="7" t="str">
        <f>IFERROR(HLOOKUP(X415,'Calc|Weightings'!$K$5:$M$5,1,0),"Excl")</f>
        <v>Excl</v>
      </c>
      <c r="AA415" s="7" t="str">
        <f>VLOOKUP(Q415,Mapping!$E$11:$I$96,5,0)</f>
        <v>Metering Services</v>
      </c>
      <c r="AC415" s="111">
        <v>111</v>
      </c>
      <c r="AD415" s="111" t="s">
        <v>2126</v>
      </c>
      <c r="AE415" s="111">
        <v>613681</v>
      </c>
      <c r="AF415" s="111" t="s">
        <v>2108</v>
      </c>
      <c r="AG415" s="112">
        <v>1.3591500000000001</v>
      </c>
      <c r="AI415" s="7" t="str">
        <f>VLOOKUP($AC415,Mapping!$E$11:$I$96,3,0)</f>
        <v>Connections</v>
      </c>
      <c r="AJ415" s="7" t="str">
        <f>VLOOKUP($AE415,Mapping!$E$140:$K$2771,5,0)</f>
        <v>Labour</v>
      </c>
      <c r="AK415" s="7" t="str">
        <f>VLOOKUP($AE415,Mapping!$E$140:$K$2771,7,0)</f>
        <v>ENDirect</v>
      </c>
      <c r="AL415" s="7" t="str">
        <f>IFERROR(HLOOKUP(AJ415,'Calc|Weightings'!$K$5:$M$5,1,0),"Excl")</f>
        <v>Labour</v>
      </c>
      <c r="AM415" s="7" t="str">
        <f>VLOOKUP(AC415,Mapping!$E$11:$I$96,5,0)</f>
        <v>SCS</v>
      </c>
      <c r="AO415" s="134">
        <v>115</v>
      </c>
      <c r="AP415" s="135" t="s">
        <v>2129</v>
      </c>
      <c r="AQ415" s="135">
        <v>613716</v>
      </c>
      <c r="AR415" s="135" t="s">
        <v>1865</v>
      </c>
      <c r="AS415" s="136">
        <v>117.26517</v>
      </c>
      <c r="AU415" s="7" t="str">
        <f>VLOOKUP($AO415,Mapping!$E$11:$I$96,3,0)</f>
        <v>Metering Opex</v>
      </c>
      <c r="AV415" s="7" t="str">
        <f>VLOOKUP($AQ415,Mapping!$E$140:$K$2771,5,0)</f>
        <v>Contracts</v>
      </c>
      <c r="AW415" s="7" t="str">
        <f>VLOOKUP($AQ415,Mapping!$E$140:$K$2771,7,0)</f>
        <v>ENDirect</v>
      </c>
      <c r="AX415" s="7" t="str">
        <f>IFERROR(HLOOKUP(AV415,'Calc|Weightings'!$K$5:$M$5,1,0),"Excl")</f>
        <v>Contracts</v>
      </c>
      <c r="AY415" s="7" t="str">
        <f>VLOOKUP(AO415,Mapping!$E$11:$I$96,5,0)</f>
        <v>Connection Services</v>
      </c>
    </row>
    <row r="416" spans="1:51" x14ac:dyDescent="0.2">
      <c r="A416" s="7"/>
      <c r="B416" s="7"/>
      <c r="C416" s="7"/>
      <c r="D416" s="7"/>
      <c r="E416" s="36">
        <v>111</v>
      </c>
      <c r="F416" s="36" t="s">
        <v>2126</v>
      </c>
      <c r="G416" s="36">
        <v>613260</v>
      </c>
      <c r="H416" s="36" t="s">
        <v>2090</v>
      </c>
      <c r="I416" s="37">
        <v>61.057499999999997</v>
      </c>
      <c r="J416" s="7"/>
      <c r="K416" s="7" t="str">
        <f>VLOOKUP($E416,Mapping!$E$11:$I$96,3,0)</f>
        <v>Connections</v>
      </c>
      <c r="L416" s="7" t="str">
        <f>VLOOKUP($G416,Mapping!$E$140:$K$2771,5,0)</f>
        <v>Labour</v>
      </c>
      <c r="M416" s="7" t="str">
        <f>VLOOKUP($G416,Mapping!$E$140:$K$2771,7,0)</f>
        <v>ENDirect</v>
      </c>
      <c r="N416" s="7" t="str">
        <f>IFERROR(HLOOKUP(L416,'Calc|Weightings'!$K$5:$M$5,1,0),"Excl")</f>
        <v>Labour</v>
      </c>
      <c r="O416" s="7" t="str">
        <f>VLOOKUP(E416,Mapping!$E$11:$I$96,5,0)</f>
        <v>SCS</v>
      </c>
      <c r="Q416" s="33">
        <v>112</v>
      </c>
      <c r="R416" s="33" t="s">
        <v>2389</v>
      </c>
      <c r="S416" s="33">
        <v>639050</v>
      </c>
      <c r="T416" s="33" t="s">
        <v>2113</v>
      </c>
      <c r="U416" s="34">
        <v>0.13621</v>
      </c>
      <c r="V416" s="7"/>
      <c r="W416" s="7" t="str">
        <f>VLOOKUP($Q416,Mapping!$E$11:$I$96,3,0)</f>
        <v>Metering Capex</v>
      </c>
      <c r="X416" s="7" t="str">
        <f>VLOOKUP($S416,Mapping!$E$140:$K$2771,5,0)</f>
        <v>PNS Fleet &amp; Property OH</v>
      </c>
      <c r="Y416" s="7" t="str">
        <f>VLOOKUP($S416,Mapping!$E$140:$K$2771,7,0)</f>
        <v>OH</v>
      </c>
      <c r="Z416" s="7" t="str">
        <f>IFERROR(HLOOKUP(X416,'Calc|Weightings'!$K$5:$M$5,1,0),"Excl")</f>
        <v>Excl</v>
      </c>
      <c r="AA416" s="7" t="str">
        <f>VLOOKUP(Q416,Mapping!$E$11:$I$96,5,0)</f>
        <v>Metering Services</v>
      </c>
      <c r="AC416" s="111">
        <v>111</v>
      </c>
      <c r="AD416" s="111" t="s">
        <v>2126</v>
      </c>
      <c r="AE416" s="111">
        <v>614115</v>
      </c>
      <c r="AF416" s="111" t="s">
        <v>2109</v>
      </c>
      <c r="AG416" s="112">
        <v>19.160229999999999</v>
      </c>
      <c r="AI416" s="7" t="str">
        <f>VLOOKUP($AC416,Mapping!$E$11:$I$96,3,0)</f>
        <v>Connections</v>
      </c>
      <c r="AJ416" s="7" t="str">
        <f>VLOOKUP($AE416,Mapping!$E$140:$K$2771,5,0)</f>
        <v>Labour</v>
      </c>
      <c r="AK416" s="7" t="str">
        <f>VLOOKUP($AE416,Mapping!$E$140:$K$2771,7,0)</f>
        <v>ENDirect</v>
      </c>
      <c r="AL416" s="7" t="str">
        <f>IFERROR(HLOOKUP(AJ416,'Calc|Weightings'!$K$5:$M$5,1,0),"Excl")</f>
        <v>Labour</v>
      </c>
      <c r="AM416" s="7" t="str">
        <f>VLOOKUP(AC416,Mapping!$E$11:$I$96,5,0)</f>
        <v>SCS</v>
      </c>
      <c r="AO416" s="134">
        <v>115</v>
      </c>
      <c r="AP416" s="135" t="s">
        <v>2129</v>
      </c>
      <c r="AQ416" s="135">
        <v>613717</v>
      </c>
      <c r="AR416" s="135" t="s">
        <v>1866</v>
      </c>
      <c r="AS416" s="136">
        <v>819.76020000000005</v>
      </c>
      <c r="AU416" s="7" t="str">
        <f>VLOOKUP($AO416,Mapping!$E$11:$I$96,3,0)</f>
        <v>Metering Opex</v>
      </c>
      <c r="AV416" s="7" t="str">
        <f>VLOOKUP($AQ416,Mapping!$E$140:$K$2771,5,0)</f>
        <v>Contracts</v>
      </c>
      <c r="AW416" s="7" t="str">
        <f>VLOOKUP($AQ416,Mapping!$E$140:$K$2771,7,0)</f>
        <v>ENDirect</v>
      </c>
      <c r="AX416" s="7" t="str">
        <f>IFERROR(HLOOKUP(AV416,'Calc|Weightings'!$K$5:$M$5,1,0),"Excl")</f>
        <v>Contracts</v>
      </c>
      <c r="AY416" s="7" t="str">
        <f>VLOOKUP(AO416,Mapping!$E$11:$I$96,5,0)</f>
        <v>Connection Services</v>
      </c>
    </row>
    <row r="417" spans="1:51" x14ac:dyDescent="0.2">
      <c r="A417" s="7"/>
      <c r="B417" s="7"/>
      <c r="C417" s="7"/>
      <c r="D417" s="7"/>
      <c r="E417" s="36">
        <v>111</v>
      </c>
      <c r="F417" s="36" t="s">
        <v>2126</v>
      </c>
      <c r="G417" s="36">
        <v>613261</v>
      </c>
      <c r="H417" s="36" t="s">
        <v>2091</v>
      </c>
      <c r="I417" s="37">
        <v>1.68635</v>
      </c>
      <c r="J417" s="7"/>
      <c r="K417" s="7" t="str">
        <f>VLOOKUP($E417,Mapping!$E$11:$I$96,3,0)</f>
        <v>Connections</v>
      </c>
      <c r="L417" s="7" t="str">
        <f>VLOOKUP($G417,Mapping!$E$140:$K$2771,5,0)</f>
        <v>Labour</v>
      </c>
      <c r="M417" s="7" t="str">
        <f>VLOOKUP($G417,Mapping!$E$140:$K$2771,7,0)</f>
        <v>ENDirect</v>
      </c>
      <c r="N417" s="7" t="str">
        <f>IFERROR(HLOOKUP(L417,'Calc|Weightings'!$K$5:$M$5,1,0),"Excl")</f>
        <v>Labour</v>
      </c>
      <c r="O417" s="7" t="str">
        <f>VLOOKUP(E417,Mapping!$E$11:$I$96,5,0)</f>
        <v>SCS</v>
      </c>
      <c r="Q417" s="33">
        <v>114</v>
      </c>
      <c r="R417" s="33" t="s">
        <v>2127</v>
      </c>
      <c r="S417" s="33">
        <v>613708</v>
      </c>
      <c r="T417" s="33" t="s">
        <v>1858</v>
      </c>
      <c r="U417" s="34">
        <v>0.91727999999999998</v>
      </c>
      <c r="V417" s="7"/>
      <c r="W417" s="7" t="str">
        <f>VLOOKUP($Q417,Mapping!$E$11:$I$96,3,0)</f>
        <v>Metering Opex</v>
      </c>
      <c r="X417" s="7" t="str">
        <f>VLOOKUP($S417,Mapping!$E$140:$K$2771,5,0)</f>
        <v>Materials</v>
      </c>
      <c r="Y417" s="7" t="str">
        <f>VLOOKUP($S417,Mapping!$E$140:$K$2771,7,0)</f>
        <v>ENDirect</v>
      </c>
      <c r="Z417" s="7" t="str">
        <f>IFERROR(HLOOKUP(X417,'Calc|Weightings'!$K$5:$M$5,1,0),"Excl")</f>
        <v>Materials</v>
      </c>
      <c r="AA417" s="7" t="str">
        <f>VLOOKUP(Q417,Mapping!$E$11:$I$96,5,0)</f>
        <v>Connection Services</v>
      </c>
      <c r="AC417" s="111">
        <v>111</v>
      </c>
      <c r="AD417" s="111" t="s">
        <v>2126</v>
      </c>
      <c r="AE417" s="111">
        <v>615375</v>
      </c>
      <c r="AF417" s="111" t="s">
        <v>1717</v>
      </c>
      <c r="AG417" s="112">
        <v>3.75</v>
      </c>
      <c r="AI417" s="7" t="str">
        <f>VLOOKUP($AC417,Mapping!$E$11:$I$96,3,0)</f>
        <v>Connections</v>
      </c>
      <c r="AJ417" s="7" t="str">
        <f>VLOOKUP($AE417,Mapping!$E$140:$K$2771,5,0)</f>
        <v>Labour</v>
      </c>
      <c r="AK417" s="7" t="str">
        <f>VLOOKUP($AE417,Mapping!$E$140:$K$2771,7,0)</f>
        <v>ENDirect</v>
      </c>
      <c r="AL417" s="7" t="str">
        <f>IFERROR(HLOOKUP(AJ417,'Calc|Weightings'!$K$5:$M$5,1,0),"Excl")</f>
        <v>Labour</v>
      </c>
      <c r="AM417" s="7" t="str">
        <f>VLOOKUP(AC417,Mapping!$E$11:$I$96,5,0)</f>
        <v>SCS</v>
      </c>
      <c r="AO417" s="134">
        <v>115</v>
      </c>
      <c r="AP417" s="135" t="s">
        <v>2129</v>
      </c>
      <c r="AQ417" s="135">
        <v>613718</v>
      </c>
      <c r="AR417" s="135" t="s">
        <v>1862</v>
      </c>
      <c r="AS417" s="136">
        <v>44.712499999999999</v>
      </c>
      <c r="AU417" s="7" t="str">
        <f>VLOOKUP($AO417,Mapping!$E$11:$I$96,3,0)</f>
        <v>Metering Opex</v>
      </c>
      <c r="AV417" s="7" t="str">
        <f>VLOOKUP($AQ417,Mapping!$E$140:$K$2771,5,0)</f>
        <v>Contracts</v>
      </c>
      <c r="AW417" s="7" t="str">
        <f>VLOOKUP($AQ417,Mapping!$E$140:$K$2771,7,0)</f>
        <v>ENDirect</v>
      </c>
      <c r="AX417" s="7" t="str">
        <f>IFERROR(HLOOKUP(AV417,'Calc|Weightings'!$K$5:$M$5,1,0),"Excl")</f>
        <v>Contracts</v>
      </c>
      <c r="AY417" s="7" t="str">
        <f>VLOOKUP(AO417,Mapping!$E$11:$I$96,5,0)</f>
        <v>Connection Services</v>
      </c>
    </row>
    <row r="418" spans="1:51" x14ac:dyDescent="0.2">
      <c r="A418" s="7"/>
      <c r="B418" s="7"/>
      <c r="C418" s="7"/>
      <c r="D418" s="7"/>
      <c r="E418" s="36">
        <v>111</v>
      </c>
      <c r="F418" s="36" t="s">
        <v>2126</v>
      </c>
      <c r="G418" s="36">
        <v>613268</v>
      </c>
      <c r="H418" s="36" t="s">
        <v>1335</v>
      </c>
      <c r="I418" s="37">
        <v>17.491520000000001</v>
      </c>
      <c r="J418" s="7"/>
      <c r="K418" s="7" t="str">
        <f>VLOOKUP($E418,Mapping!$E$11:$I$96,3,0)</f>
        <v>Connections</v>
      </c>
      <c r="L418" s="7" t="str">
        <f>VLOOKUP($G418,Mapping!$E$140:$K$2771,5,0)</f>
        <v>Labour</v>
      </c>
      <c r="M418" s="7" t="str">
        <f>VLOOKUP($G418,Mapping!$E$140:$K$2771,7,0)</f>
        <v>ENDirect</v>
      </c>
      <c r="N418" s="7" t="str">
        <f>IFERROR(HLOOKUP(L418,'Calc|Weightings'!$K$5:$M$5,1,0),"Excl")</f>
        <v>Labour</v>
      </c>
      <c r="O418" s="7" t="str">
        <f>VLOOKUP(E418,Mapping!$E$11:$I$96,5,0)</f>
        <v>SCS</v>
      </c>
      <c r="Q418" s="33">
        <v>114</v>
      </c>
      <c r="R418" s="33" t="s">
        <v>2127</v>
      </c>
      <c r="S418" s="33">
        <v>613709</v>
      </c>
      <c r="T418" s="33" t="s">
        <v>1859</v>
      </c>
      <c r="U418" s="34">
        <v>4.9513999999999996</v>
      </c>
      <c r="V418" s="7"/>
      <c r="W418" s="7" t="str">
        <f>VLOOKUP($Q418,Mapping!$E$11:$I$96,3,0)</f>
        <v>Metering Opex</v>
      </c>
      <c r="X418" s="7" t="str">
        <f>VLOOKUP($S418,Mapping!$E$140:$K$2771,5,0)</f>
        <v>Materials</v>
      </c>
      <c r="Y418" s="7" t="str">
        <f>VLOOKUP($S418,Mapping!$E$140:$K$2771,7,0)</f>
        <v>ENDirect</v>
      </c>
      <c r="Z418" s="7" t="str">
        <f>IFERROR(HLOOKUP(X418,'Calc|Weightings'!$K$5:$M$5,1,0),"Excl")</f>
        <v>Materials</v>
      </c>
      <c r="AA418" s="7" t="str">
        <f>VLOOKUP(Q418,Mapping!$E$11:$I$96,5,0)</f>
        <v>Connection Services</v>
      </c>
      <c r="AC418" s="111">
        <v>111</v>
      </c>
      <c r="AD418" s="111" t="s">
        <v>2126</v>
      </c>
      <c r="AE418" s="111">
        <v>615395</v>
      </c>
      <c r="AF418" s="111" t="s">
        <v>2196</v>
      </c>
      <c r="AG418" s="112">
        <v>24.309000000000001</v>
      </c>
      <c r="AI418" s="7" t="str">
        <f>VLOOKUP($AC418,Mapping!$E$11:$I$96,3,0)</f>
        <v>Connections</v>
      </c>
      <c r="AJ418" s="7" t="str">
        <f>VLOOKUP($AE418,Mapping!$E$140:$K$2771,5,0)</f>
        <v>Labour</v>
      </c>
      <c r="AK418" s="7" t="str">
        <f>VLOOKUP($AE418,Mapping!$E$140:$K$2771,7,0)</f>
        <v>ENDirect</v>
      </c>
      <c r="AL418" s="7" t="str">
        <f>IFERROR(HLOOKUP(AJ418,'Calc|Weightings'!$K$5:$M$5,1,0),"Excl")</f>
        <v>Labour</v>
      </c>
      <c r="AM418" s="7" t="str">
        <f>VLOOKUP(AC418,Mapping!$E$11:$I$96,5,0)</f>
        <v>SCS</v>
      </c>
      <c r="AO418" s="134">
        <v>115</v>
      </c>
      <c r="AP418" s="135" t="s">
        <v>2129</v>
      </c>
      <c r="AQ418" s="135">
        <v>613719</v>
      </c>
      <c r="AR418" s="135" t="s">
        <v>1867</v>
      </c>
      <c r="AS418" s="136">
        <v>49.680120000000002</v>
      </c>
      <c r="AU418" s="7" t="str">
        <f>VLOOKUP($AO418,Mapping!$E$11:$I$96,3,0)</f>
        <v>Metering Opex</v>
      </c>
      <c r="AV418" s="7" t="str">
        <f>VLOOKUP($AQ418,Mapping!$E$140:$K$2771,5,0)</f>
        <v>Contracts</v>
      </c>
      <c r="AW418" s="7" t="str">
        <f>VLOOKUP($AQ418,Mapping!$E$140:$K$2771,7,0)</f>
        <v>ENDirect</v>
      </c>
      <c r="AX418" s="7" t="str">
        <f>IFERROR(HLOOKUP(AV418,'Calc|Weightings'!$K$5:$M$5,1,0),"Excl")</f>
        <v>Contracts</v>
      </c>
      <c r="AY418" s="7" t="str">
        <f>VLOOKUP(AO418,Mapping!$E$11:$I$96,5,0)</f>
        <v>Connection Services</v>
      </c>
    </row>
    <row r="419" spans="1:51" x14ac:dyDescent="0.2">
      <c r="A419" s="7"/>
      <c r="B419" s="7"/>
      <c r="C419" s="7"/>
      <c r="D419" s="7"/>
      <c r="E419" s="36">
        <v>111</v>
      </c>
      <c r="F419" s="36" t="s">
        <v>2126</v>
      </c>
      <c r="G419" s="36">
        <v>613269</v>
      </c>
      <c r="H419" s="36" t="s">
        <v>1336</v>
      </c>
      <c r="I419" s="37">
        <v>2.5586000000000002</v>
      </c>
      <c r="J419" s="7"/>
      <c r="K419" s="7" t="str">
        <f>VLOOKUP($E419,Mapping!$E$11:$I$96,3,0)</f>
        <v>Connections</v>
      </c>
      <c r="L419" s="7" t="str">
        <f>VLOOKUP($G419,Mapping!$E$140:$K$2771,5,0)</f>
        <v>Labour</v>
      </c>
      <c r="M419" s="7" t="str">
        <f>VLOOKUP($G419,Mapping!$E$140:$K$2771,7,0)</f>
        <v>ENDirect</v>
      </c>
      <c r="N419" s="7" t="str">
        <f>IFERROR(HLOOKUP(L419,'Calc|Weightings'!$K$5:$M$5,1,0),"Excl")</f>
        <v>Labour</v>
      </c>
      <c r="O419" s="7" t="str">
        <f>VLOOKUP(E419,Mapping!$E$11:$I$96,5,0)</f>
        <v>SCS</v>
      </c>
      <c r="Q419" s="33">
        <v>114</v>
      </c>
      <c r="R419" s="33" t="s">
        <v>2127</v>
      </c>
      <c r="S419" s="33">
        <v>613710</v>
      </c>
      <c r="T419" s="33" t="s">
        <v>1860</v>
      </c>
      <c r="U419" s="34">
        <v>45.267180000000003</v>
      </c>
      <c r="V419" s="7"/>
      <c r="W419" s="7" t="str">
        <f>VLOOKUP($Q419,Mapping!$E$11:$I$96,3,0)</f>
        <v>Metering Opex</v>
      </c>
      <c r="X419" s="7" t="str">
        <f>VLOOKUP($S419,Mapping!$E$140:$K$2771,5,0)</f>
        <v>Materials</v>
      </c>
      <c r="Y419" s="7" t="str">
        <f>VLOOKUP($S419,Mapping!$E$140:$K$2771,7,0)</f>
        <v>ENDirect</v>
      </c>
      <c r="Z419" s="7" t="str">
        <f>IFERROR(HLOOKUP(X419,'Calc|Weightings'!$K$5:$M$5,1,0),"Excl")</f>
        <v>Materials</v>
      </c>
      <c r="AA419" s="7" t="str">
        <f>VLOOKUP(Q419,Mapping!$E$11:$I$96,5,0)</f>
        <v>Connection Services</v>
      </c>
      <c r="AC419" s="111">
        <v>111</v>
      </c>
      <c r="AD419" s="111" t="s">
        <v>2126</v>
      </c>
      <c r="AE419" s="111">
        <v>634001</v>
      </c>
      <c r="AF419" s="111" t="s">
        <v>2110</v>
      </c>
      <c r="AG419" s="112">
        <v>1341.8391200000001</v>
      </c>
      <c r="AI419" s="7" t="str">
        <f>VLOOKUP($AC419,Mapping!$E$11:$I$96,3,0)</f>
        <v>Connections</v>
      </c>
      <c r="AJ419" s="7" t="str">
        <f>VLOOKUP($AE419,Mapping!$E$140:$K$2771,5,0)</f>
        <v>Local OH</v>
      </c>
      <c r="AK419" s="7" t="str">
        <f>VLOOKUP($AE419,Mapping!$E$140:$K$2771,7,0)</f>
        <v>OH</v>
      </c>
      <c r="AL419" s="7" t="str">
        <f>IFERROR(HLOOKUP(AJ419,'Calc|Weightings'!$K$5:$M$5,1,0),"Excl")</f>
        <v>Excl</v>
      </c>
      <c r="AM419" s="7" t="str">
        <f>VLOOKUP(AC419,Mapping!$E$11:$I$96,5,0)</f>
        <v>SCS</v>
      </c>
      <c r="AO419" s="134">
        <v>115</v>
      </c>
      <c r="AP419" s="135" t="s">
        <v>2129</v>
      </c>
      <c r="AQ419" s="135">
        <v>614115</v>
      </c>
      <c r="AR419" s="135" t="s">
        <v>2109</v>
      </c>
      <c r="AS419" s="136">
        <v>73.749899999999997</v>
      </c>
      <c r="AU419" s="7" t="str">
        <f>VLOOKUP($AO419,Mapping!$E$11:$I$96,3,0)</f>
        <v>Metering Opex</v>
      </c>
      <c r="AV419" s="7" t="str">
        <f>VLOOKUP($AQ419,Mapping!$E$140:$K$2771,5,0)</f>
        <v>Labour</v>
      </c>
      <c r="AW419" s="7" t="str">
        <f>VLOOKUP($AQ419,Mapping!$E$140:$K$2771,7,0)</f>
        <v>ENDirect</v>
      </c>
      <c r="AX419" s="7" t="str">
        <f>IFERROR(HLOOKUP(AV419,'Calc|Weightings'!$K$5:$M$5,1,0),"Excl")</f>
        <v>Labour</v>
      </c>
      <c r="AY419" s="7" t="str">
        <f>VLOOKUP(AO419,Mapping!$E$11:$I$96,5,0)</f>
        <v>Connection Services</v>
      </c>
    </row>
    <row r="420" spans="1:51" x14ac:dyDescent="0.2">
      <c r="A420" s="7"/>
      <c r="B420" s="7"/>
      <c r="C420" s="7"/>
      <c r="D420" s="7"/>
      <c r="E420" s="36">
        <v>111</v>
      </c>
      <c r="F420" s="36" t="s">
        <v>2126</v>
      </c>
      <c r="G420" s="36">
        <v>613270</v>
      </c>
      <c r="H420" s="36" t="s">
        <v>2092</v>
      </c>
      <c r="I420" s="37">
        <v>1.60989</v>
      </c>
      <c r="J420" s="7"/>
      <c r="K420" s="7" t="str">
        <f>VLOOKUP($E420,Mapping!$E$11:$I$96,3,0)</f>
        <v>Connections</v>
      </c>
      <c r="L420" s="7" t="str">
        <f>VLOOKUP($G420,Mapping!$E$140:$K$2771,5,0)</f>
        <v>Labour</v>
      </c>
      <c r="M420" s="7" t="str">
        <f>VLOOKUP($G420,Mapping!$E$140:$K$2771,7,0)</f>
        <v>ENDirect</v>
      </c>
      <c r="N420" s="7" t="str">
        <f>IFERROR(HLOOKUP(L420,'Calc|Weightings'!$K$5:$M$5,1,0),"Excl")</f>
        <v>Labour</v>
      </c>
      <c r="O420" s="7" t="str">
        <f>VLOOKUP(E420,Mapping!$E$11:$I$96,5,0)</f>
        <v>SCS</v>
      </c>
      <c r="Q420" s="33">
        <v>114</v>
      </c>
      <c r="R420" s="33" t="s">
        <v>2127</v>
      </c>
      <c r="S420" s="33">
        <v>613711</v>
      </c>
      <c r="T420" s="33" t="s">
        <v>2390</v>
      </c>
      <c r="U420" s="34">
        <v>116.5352</v>
      </c>
      <c r="V420" s="7"/>
      <c r="W420" s="7" t="str">
        <f>VLOOKUP($Q420,Mapping!$E$11:$I$96,3,0)</f>
        <v>Metering Opex</v>
      </c>
      <c r="X420" s="7" t="str">
        <f>VLOOKUP($S420,Mapping!$E$140:$K$2771,5,0)</f>
        <v>Materials</v>
      </c>
      <c r="Y420" s="7" t="str">
        <f>VLOOKUP($S420,Mapping!$E$140:$K$2771,7,0)</f>
        <v>ENDirect</v>
      </c>
      <c r="Z420" s="7" t="str">
        <f>IFERROR(HLOOKUP(X420,'Calc|Weightings'!$K$5:$M$5,1,0),"Excl")</f>
        <v>Materials</v>
      </c>
      <c r="AA420" s="7" t="str">
        <f>VLOOKUP(Q420,Mapping!$E$11:$I$96,5,0)</f>
        <v>Connection Services</v>
      </c>
      <c r="AC420" s="111">
        <v>111</v>
      </c>
      <c r="AD420" s="111" t="s">
        <v>2126</v>
      </c>
      <c r="AE420" s="111">
        <v>635001</v>
      </c>
      <c r="AF420" s="111" t="s">
        <v>1929</v>
      </c>
      <c r="AG420" s="112">
        <v>629.55438000000004</v>
      </c>
      <c r="AI420" s="7" t="str">
        <f>VLOOKUP($AC420,Mapping!$E$11:$I$96,3,0)</f>
        <v>Connections</v>
      </c>
      <c r="AJ420" s="7" t="str">
        <f>VLOOKUP($AE420,Mapping!$E$140:$K$2771,5,0)</f>
        <v>PNS MG</v>
      </c>
      <c r="AK420" s="7" t="str">
        <f>VLOOKUP($AE420,Mapping!$E$140:$K$2771,7,0)</f>
        <v>ENDirect</v>
      </c>
      <c r="AL420" s="7" t="str">
        <f>IFERROR(HLOOKUP(AJ420,'Calc|Weightings'!$K$5:$M$5,1,0),"Excl")</f>
        <v>Excl</v>
      </c>
      <c r="AM420" s="7" t="str">
        <f>VLOOKUP(AC420,Mapping!$E$11:$I$96,5,0)</f>
        <v>SCS</v>
      </c>
      <c r="AO420" s="134">
        <v>115</v>
      </c>
      <c r="AP420" s="135" t="s">
        <v>2129</v>
      </c>
      <c r="AQ420" s="135">
        <v>634001</v>
      </c>
      <c r="AR420" s="135" t="s">
        <v>2110</v>
      </c>
      <c r="AS420" s="136">
        <v>0.25333</v>
      </c>
      <c r="AU420" s="7" t="str">
        <f>VLOOKUP($AO420,Mapping!$E$11:$I$96,3,0)</f>
        <v>Metering Opex</v>
      </c>
      <c r="AV420" s="7" t="str">
        <f>VLOOKUP($AQ420,Mapping!$E$140:$K$2771,5,0)</f>
        <v>Local OH</v>
      </c>
      <c r="AW420" s="7" t="str">
        <f>VLOOKUP($AQ420,Mapping!$E$140:$K$2771,7,0)</f>
        <v>OH</v>
      </c>
      <c r="AX420" s="7" t="str">
        <f>IFERROR(HLOOKUP(AV420,'Calc|Weightings'!$K$5:$M$5,1,0),"Excl")</f>
        <v>Excl</v>
      </c>
      <c r="AY420" s="7" t="str">
        <f>VLOOKUP(AO420,Mapping!$E$11:$I$96,5,0)</f>
        <v>Connection Services</v>
      </c>
    </row>
    <row r="421" spans="1:51" x14ac:dyDescent="0.2">
      <c r="A421" s="7"/>
      <c r="B421" s="7"/>
      <c r="C421" s="7"/>
      <c r="D421" s="7"/>
      <c r="E421" s="36">
        <v>111</v>
      </c>
      <c r="F421" s="36" t="s">
        <v>2126</v>
      </c>
      <c r="G421" s="36">
        <v>613271</v>
      </c>
      <c r="H421" s="36" t="s">
        <v>2150</v>
      </c>
      <c r="I421" s="37">
        <v>0.97992999999999997</v>
      </c>
      <c r="J421" s="7"/>
      <c r="K421" s="7" t="str">
        <f>VLOOKUP($E421,Mapping!$E$11:$I$96,3,0)</f>
        <v>Connections</v>
      </c>
      <c r="L421" s="7" t="str">
        <f>VLOOKUP($G421,Mapping!$E$140:$K$2771,5,0)</f>
        <v>Labour</v>
      </c>
      <c r="M421" s="7" t="str">
        <f>VLOOKUP($G421,Mapping!$E$140:$K$2771,7,0)</f>
        <v>ENDirect</v>
      </c>
      <c r="N421" s="7" t="str">
        <f>IFERROR(HLOOKUP(L421,'Calc|Weightings'!$K$5:$M$5,1,0),"Excl")</f>
        <v>Labour</v>
      </c>
      <c r="O421" s="7" t="str">
        <f>VLOOKUP(E421,Mapping!$E$11:$I$96,5,0)</f>
        <v>SCS</v>
      </c>
      <c r="Q421" s="33">
        <v>114</v>
      </c>
      <c r="R421" s="33" t="s">
        <v>2127</v>
      </c>
      <c r="S421" s="33">
        <v>613712</v>
      </c>
      <c r="T421" s="33" t="s">
        <v>1862</v>
      </c>
      <c r="U421" s="34">
        <v>6.7300800000000001</v>
      </c>
      <c r="V421" s="7"/>
      <c r="W421" s="7" t="str">
        <f>VLOOKUP($Q421,Mapping!$E$11:$I$96,3,0)</f>
        <v>Metering Opex</v>
      </c>
      <c r="X421" s="7" t="str">
        <f>VLOOKUP($S421,Mapping!$E$140:$K$2771,5,0)</f>
        <v>Materials</v>
      </c>
      <c r="Y421" s="7" t="str">
        <f>VLOOKUP($S421,Mapping!$E$140:$K$2771,7,0)</f>
        <v>ENDirect</v>
      </c>
      <c r="Z421" s="7" t="str">
        <f>IFERROR(HLOOKUP(X421,'Calc|Weightings'!$K$5:$M$5,1,0),"Excl")</f>
        <v>Materials</v>
      </c>
      <c r="AA421" s="7" t="str">
        <f>VLOOKUP(Q421,Mapping!$E$11:$I$96,5,0)</f>
        <v>Connection Services</v>
      </c>
      <c r="AC421" s="111">
        <v>111</v>
      </c>
      <c r="AD421" s="111" t="s">
        <v>2126</v>
      </c>
      <c r="AE421" s="111">
        <v>636001</v>
      </c>
      <c r="AF421" s="111" t="s">
        <v>2111</v>
      </c>
      <c r="AG421" s="112">
        <v>676.02795000000003</v>
      </c>
      <c r="AI421" s="7" t="str">
        <f>VLOOKUP($AC421,Mapping!$E$11:$I$96,3,0)</f>
        <v>Connections</v>
      </c>
      <c r="AJ421" s="7" t="str">
        <f>VLOOKUP($AE421,Mapping!$E$140:$K$2771,5,0)</f>
        <v>System Control OH</v>
      </c>
      <c r="AK421" s="7" t="str">
        <f>VLOOKUP($AE421,Mapping!$E$140:$K$2771,7,0)</f>
        <v>OH</v>
      </c>
      <c r="AL421" s="7" t="str">
        <f>IFERROR(HLOOKUP(AJ421,'Calc|Weightings'!$K$5:$M$5,1,0),"Excl")</f>
        <v>Excl</v>
      </c>
      <c r="AM421" s="7" t="str">
        <f>VLOOKUP(AC421,Mapping!$E$11:$I$96,5,0)</f>
        <v>SCS</v>
      </c>
      <c r="AO421" s="134">
        <v>115</v>
      </c>
      <c r="AP421" s="135" t="s">
        <v>2129</v>
      </c>
      <c r="AQ421" s="135">
        <v>636001</v>
      </c>
      <c r="AR421" s="135" t="s">
        <v>2111</v>
      </c>
      <c r="AS421" s="136">
        <v>0.19689999999999999</v>
      </c>
      <c r="AU421" s="7" t="str">
        <f>VLOOKUP($AO421,Mapping!$E$11:$I$96,3,0)</f>
        <v>Metering Opex</v>
      </c>
      <c r="AV421" s="7" t="str">
        <f>VLOOKUP($AQ421,Mapping!$E$140:$K$2771,5,0)</f>
        <v>System Control OH</v>
      </c>
      <c r="AW421" s="7" t="str">
        <f>VLOOKUP($AQ421,Mapping!$E$140:$K$2771,7,0)</f>
        <v>OH</v>
      </c>
      <c r="AX421" s="7" t="str">
        <f>IFERROR(HLOOKUP(AV421,'Calc|Weightings'!$K$5:$M$5,1,0),"Excl")</f>
        <v>Excl</v>
      </c>
      <c r="AY421" s="7" t="str">
        <f>VLOOKUP(AO421,Mapping!$E$11:$I$96,5,0)</f>
        <v>Connection Services</v>
      </c>
    </row>
    <row r="422" spans="1:51" x14ac:dyDescent="0.2">
      <c r="A422" s="7"/>
      <c r="B422" s="7"/>
      <c r="C422" s="7"/>
      <c r="D422" s="7"/>
      <c r="E422" s="36">
        <v>111</v>
      </c>
      <c r="F422" s="36" t="s">
        <v>2126</v>
      </c>
      <c r="G422" s="36">
        <v>613278</v>
      </c>
      <c r="H422" s="36" t="s">
        <v>2357</v>
      </c>
      <c r="I422" s="37">
        <v>155.4589</v>
      </c>
      <c r="J422" s="7"/>
      <c r="K422" s="7" t="str">
        <f>VLOOKUP($E422,Mapping!$E$11:$I$96,3,0)</f>
        <v>Connections</v>
      </c>
      <c r="L422" s="7" t="str">
        <f>VLOOKUP($G422,Mapping!$E$140:$K$2771,5,0)</f>
        <v>Labour</v>
      </c>
      <c r="M422" s="7" t="str">
        <f>VLOOKUP($G422,Mapping!$E$140:$K$2771,7,0)</f>
        <v>ENDirect</v>
      </c>
      <c r="N422" s="7" t="str">
        <f>IFERROR(HLOOKUP(L422,'Calc|Weightings'!$K$5:$M$5,1,0),"Excl")</f>
        <v>Labour</v>
      </c>
      <c r="O422" s="7" t="str">
        <f>VLOOKUP(E422,Mapping!$E$11:$I$96,5,0)</f>
        <v>SCS</v>
      </c>
      <c r="Q422" s="33">
        <v>114</v>
      </c>
      <c r="R422" s="33" t="s">
        <v>2127</v>
      </c>
      <c r="S422" s="33">
        <v>613713</v>
      </c>
      <c r="T422" s="33" t="s">
        <v>1863</v>
      </c>
      <c r="U422" s="34">
        <v>18.45984</v>
      </c>
      <c r="V422" s="7"/>
      <c r="W422" s="7" t="str">
        <f>VLOOKUP($Q422,Mapping!$E$11:$I$96,3,0)</f>
        <v>Metering Opex</v>
      </c>
      <c r="X422" s="7" t="str">
        <f>VLOOKUP($S422,Mapping!$E$140:$K$2771,5,0)</f>
        <v>Materials</v>
      </c>
      <c r="Y422" s="7" t="str">
        <f>VLOOKUP($S422,Mapping!$E$140:$K$2771,7,0)</f>
        <v>ENDirect</v>
      </c>
      <c r="Z422" s="7" t="str">
        <f>IFERROR(HLOOKUP(X422,'Calc|Weightings'!$K$5:$M$5,1,0),"Excl")</f>
        <v>Materials</v>
      </c>
      <c r="AA422" s="7" t="str">
        <f>VLOOKUP(Q422,Mapping!$E$11:$I$96,5,0)</f>
        <v>Connection Services</v>
      </c>
      <c r="AC422" s="111">
        <v>111</v>
      </c>
      <c r="AD422" s="111" t="s">
        <v>2126</v>
      </c>
      <c r="AE422" s="111">
        <v>636105</v>
      </c>
      <c r="AF422" s="111" t="s">
        <v>1937</v>
      </c>
      <c r="AG422" s="112">
        <v>2.0115400000000001</v>
      </c>
      <c r="AI422" s="7" t="str">
        <f>VLOOKUP($AC422,Mapping!$E$11:$I$96,3,0)</f>
        <v>Connections</v>
      </c>
      <c r="AJ422" s="7" t="str">
        <f>VLOOKUP($AE422,Mapping!$E$140:$K$2771,5,0)</f>
        <v>CSG MG</v>
      </c>
      <c r="AK422" s="7" t="str">
        <f>VLOOKUP($AE422,Mapping!$E$140:$K$2771,7,0)</f>
        <v>ENDirect</v>
      </c>
      <c r="AL422" s="7" t="str">
        <f>IFERROR(HLOOKUP(AJ422,'Calc|Weightings'!$K$5:$M$5,1,0),"Excl")</f>
        <v>Excl</v>
      </c>
      <c r="AM422" s="7" t="str">
        <f>VLOOKUP(AC422,Mapping!$E$11:$I$96,5,0)</f>
        <v>SCS</v>
      </c>
      <c r="AO422" s="134">
        <v>115</v>
      </c>
      <c r="AP422" s="135" t="s">
        <v>2129</v>
      </c>
      <c r="AQ422" s="135">
        <v>636105</v>
      </c>
      <c r="AR422" s="135" t="s">
        <v>1937</v>
      </c>
      <c r="AS422" s="136">
        <v>4.3870800000000001</v>
      </c>
      <c r="AU422" s="7" t="str">
        <f>VLOOKUP($AO422,Mapping!$E$11:$I$96,3,0)</f>
        <v>Metering Opex</v>
      </c>
      <c r="AV422" s="7" t="str">
        <f>VLOOKUP($AQ422,Mapping!$E$140:$K$2771,5,0)</f>
        <v>CSG MG</v>
      </c>
      <c r="AW422" s="7" t="str">
        <f>VLOOKUP($AQ422,Mapping!$E$140:$K$2771,7,0)</f>
        <v>ENDirect</v>
      </c>
      <c r="AX422" s="7" t="str">
        <f>IFERROR(HLOOKUP(AV422,'Calc|Weightings'!$K$5:$M$5,1,0),"Excl")</f>
        <v>Excl</v>
      </c>
      <c r="AY422" s="7" t="str">
        <f>VLOOKUP(AO422,Mapping!$E$11:$I$96,5,0)</f>
        <v>Connection Services</v>
      </c>
    </row>
    <row r="423" spans="1:51" x14ac:dyDescent="0.2">
      <c r="A423" s="7"/>
      <c r="B423" s="7"/>
      <c r="C423" s="7"/>
      <c r="D423" s="7"/>
      <c r="E423" s="36">
        <v>111</v>
      </c>
      <c r="F423" s="36" t="s">
        <v>2126</v>
      </c>
      <c r="G423" s="36">
        <v>613279</v>
      </c>
      <c r="H423" s="36" t="s">
        <v>2360</v>
      </c>
      <c r="I423" s="37">
        <v>12.208130000000001</v>
      </c>
      <c r="J423" s="7"/>
      <c r="K423" s="7" t="str">
        <f>VLOOKUP($E423,Mapping!$E$11:$I$96,3,0)</f>
        <v>Connections</v>
      </c>
      <c r="L423" s="7" t="str">
        <f>VLOOKUP($G423,Mapping!$E$140:$K$2771,5,0)</f>
        <v>Labour</v>
      </c>
      <c r="M423" s="7" t="str">
        <f>VLOOKUP($G423,Mapping!$E$140:$K$2771,7,0)</f>
        <v>ENDirect</v>
      </c>
      <c r="N423" s="7" t="str">
        <f>IFERROR(HLOOKUP(L423,'Calc|Weightings'!$K$5:$M$5,1,0),"Excl")</f>
        <v>Labour</v>
      </c>
      <c r="O423" s="7" t="str">
        <f>VLOOKUP(E423,Mapping!$E$11:$I$96,5,0)</f>
        <v>SCS</v>
      </c>
      <c r="Q423" s="33">
        <v>114</v>
      </c>
      <c r="R423" s="33" t="s">
        <v>2127</v>
      </c>
      <c r="S423" s="33">
        <v>613745</v>
      </c>
      <c r="T423" s="33" t="s">
        <v>2391</v>
      </c>
      <c r="U423" s="34">
        <v>39.632550000000002</v>
      </c>
      <c r="V423" s="7"/>
      <c r="W423" s="7" t="str">
        <f>VLOOKUP($Q423,Mapping!$E$11:$I$96,3,0)</f>
        <v>Metering Opex</v>
      </c>
      <c r="X423" s="7" t="str">
        <f>VLOOKUP($S423,Mapping!$E$140:$K$2771,5,0)</f>
        <v>Contracts</v>
      </c>
      <c r="Y423" s="7" t="str">
        <f>VLOOKUP($S423,Mapping!$E$140:$K$2771,7,0)</f>
        <v>ENDirect</v>
      </c>
      <c r="Z423" s="7" t="str">
        <f>IFERROR(HLOOKUP(X423,'Calc|Weightings'!$K$5:$M$5,1,0),"Excl")</f>
        <v>Contracts</v>
      </c>
      <c r="AA423" s="7" t="str">
        <f>VLOOKUP(Q423,Mapping!$E$11:$I$96,5,0)</f>
        <v>Connection Services</v>
      </c>
      <c r="AC423" s="111">
        <v>111</v>
      </c>
      <c r="AD423" s="111" t="s">
        <v>2126</v>
      </c>
      <c r="AE423" s="111">
        <v>639000</v>
      </c>
      <c r="AF423" s="111" t="s">
        <v>2112</v>
      </c>
      <c r="AG423" s="112">
        <v>934.46717999999998</v>
      </c>
      <c r="AI423" s="7" t="str">
        <f>VLOOKUP($AC423,Mapping!$E$11:$I$96,3,0)</f>
        <v>Connections</v>
      </c>
      <c r="AJ423" s="7" t="str">
        <f>VLOOKUP($AE423,Mapping!$E$140:$K$2771,5,0)</f>
        <v>PNS Corporate OH</v>
      </c>
      <c r="AK423" s="7" t="str">
        <f>VLOOKUP($AE423,Mapping!$E$140:$K$2771,7,0)</f>
        <v>OH</v>
      </c>
      <c r="AL423" s="7" t="str">
        <f>IFERROR(HLOOKUP(AJ423,'Calc|Weightings'!$K$5:$M$5,1,0),"Excl")</f>
        <v>Excl</v>
      </c>
      <c r="AM423" s="7" t="str">
        <f>VLOOKUP(AC423,Mapping!$E$11:$I$96,5,0)</f>
        <v>SCS</v>
      </c>
      <c r="AO423" s="134">
        <v>115</v>
      </c>
      <c r="AP423" s="135" t="s">
        <v>2129</v>
      </c>
      <c r="AQ423" s="135">
        <v>639000</v>
      </c>
      <c r="AR423" s="135" t="s">
        <v>2112</v>
      </c>
      <c r="AS423" s="136">
        <v>44.232849999999999</v>
      </c>
      <c r="AU423" s="7" t="str">
        <f>VLOOKUP($AO423,Mapping!$E$11:$I$96,3,0)</f>
        <v>Metering Opex</v>
      </c>
      <c r="AV423" s="7" t="str">
        <f>VLOOKUP($AQ423,Mapping!$E$140:$K$2771,5,0)</f>
        <v>PNS Corporate OH</v>
      </c>
      <c r="AW423" s="7" t="str">
        <f>VLOOKUP($AQ423,Mapping!$E$140:$K$2771,7,0)</f>
        <v>OH</v>
      </c>
      <c r="AX423" s="7" t="str">
        <f>IFERROR(HLOOKUP(AV423,'Calc|Weightings'!$K$5:$M$5,1,0),"Excl")</f>
        <v>Excl</v>
      </c>
      <c r="AY423" s="7" t="str">
        <f>VLOOKUP(AO423,Mapping!$E$11:$I$96,5,0)</f>
        <v>Connection Services</v>
      </c>
    </row>
    <row r="424" spans="1:51" x14ac:dyDescent="0.2">
      <c r="A424" s="7"/>
      <c r="B424" s="7"/>
      <c r="C424" s="7"/>
      <c r="D424" s="7"/>
      <c r="E424" s="36">
        <v>111</v>
      </c>
      <c r="F424" s="36" t="s">
        <v>2126</v>
      </c>
      <c r="G424" s="36">
        <v>613280</v>
      </c>
      <c r="H424" s="36" t="s">
        <v>1342</v>
      </c>
      <c r="I424" s="37">
        <v>472.36435999999998</v>
      </c>
      <c r="J424" s="7"/>
      <c r="K424" s="7" t="str">
        <f>VLOOKUP($E424,Mapping!$E$11:$I$96,3,0)</f>
        <v>Connections</v>
      </c>
      <c r="L424" s="7" t="str">
        <f>VLOOKUP($G424,Mapping!$E$140:$K$2771,5,0)</f>
        <v>Labour</v>
      </c>
      <c r="M424" s="7" t="str">
        <f>VLOOKUP($G424,Mapping!$E$140:$K$2771,7,0)</f>
        <v>ENDirect</v>
      </c>
      <c r="N424" s="7" t="str">
        <f>IFERROR(HLOOKUP(L424,'Calc|Weightings'!$K$5:$M$5,1,0),"Excl")</f>
        <v>Labour</v>
      </c>
      <c r="O424" s="7" t="str">
        <f>VLOOKUP(E424,Mapping!$E$11:$I$96,5,0)</f>
        <v>SCS</v>
      </c>
      <c r="Q424" s="33">
        <v>114</v>
      </c>
      <c r="R424" s="33" t="s">
        <v>2127</v>
      </c>
      <c r="S424" s="33">
        <v>635000</v>
      </c>
      <c r="T424" s="33" t="s">
        <v>2128</v>
      </c>
      <c r="U424" s="34">
        <v>1.6752499999999999</v>
      </c>
      <c r="V424" s="7"/>
      <c r="W424" s="7" t="str">
        <f>VLOOKUP($Q424,Mapping!$E$11:$I$96,3,0)</f>
        <v>Metering Opex</v>
      </c>
      <c r="X424" s="7" t="str">
        <f>VLOOKUP($S424,Mapping!$E$140:$K$2771,5,0)</f>
        <v>PNS MG</v>
      </c>
      <c r="Y424" s="7" t="str">
        <f>VLOOKUP($S424,Mapping!$E$140:$K$2771,7,0)</f>
        <v>ENDirect</v>
      </c>
      <c r="Z424" s="7" t="str">
        <f>IFERROR(HLOOKUP(X424,'Calc|Weightings'!$K$5:$M$5,1,0),"Excl")</f>
        <v>Excl</v>
      </c>
      <c r="AA424" s="7" t="str">
        <f>VLOOKUP(Q424,Mapping!$E$11:$I$96,5,0)</f>
        <v>Connection Services</v>
      </c>
      <c r="AC424" s="111">
        <v>111</v>
      </c>
      <c r="AD424" s="111" t="s">
        <v>2126</v>
      </c>
      <c r="AE424" s="111">
        <v>639050</v>
      </c>
      <c r="AF424" s="111" t="s">
        <v>2113</v>
      </c>
      <c r="AG424" s="112">
        <v>98.394549999999995</v>
      </c>
      <c r="AI424" s="7" t="str">
        <f>VLOOKUP($AC424,Mapping!$E$11:$I$96,3,0)</f>
        <v>Connections</v>
      </c>
      <c r="AJ424" s="7" t="str">
        <f>VLOOKUP($AE424,Mapping!$E$140:$K$2771,5,0)</f>
        <v>PNS Fleet &amp; Property OH</v>
      </c>
      <c r="AK424" s="7" t="str">
        <f>VLOOKUP($AE424,Mapping!$E$140:$K$2771,7,0)</f>
        <v>OH</v>
      </c>
      <c r="AL424" s="7" t="str">
        <f>IFERROR(HLOOKUP(AJ424,'Calc|Weightings'!$K$5:$M$5,1,0),"Excl")</f>
        <v>Excl</v>
      </c>
      <c r="AM424" s="7" t="str">
        <f>VLOOKUP(AC424,Mapping!$E$11:$I$96,5,0)</f>
        <v>SCS</v>
      </c>
      <c r="AO424" s="134">
        <v>115</v>
      </c>
      <c r="AP424" s="135" t="s">
        <v>2129</v>
      </c>
      <c r="AQ424" s="135">
        <v>639050</v>
      </c>
      <c r="AR424" s="135" t="s">
        <v>2113</v>
      </c>
      <c r="AS424" s="136">
        <v>0.48657</v>
      </c>
      <c r="AU424" s="7" t="str">
        <f>VLOOKUP($AO424,Mapping!$E$11:$I$96,3,0)</f>
        <v>Metering Opex</v>
      </c>
      <c r="AV424" s="7" t="str">
        <f>VLOOKUP($AQ424,Mapping!$E$140:$K$2771,5,0)</f>
        <v>PNS Fleet &amp; Property OH</v>
      </c>
      <c r="AW424" s="7" t="str">
        <f>VLOOKUP($AQ424,Mapping!$E$140:$K$2771,7,0)</f>
        <v>OH</v>
      </c>
      <c r="AX424" s="7" t="str">
        <f>IFERROR(HLOOKUP(AV424,'Calc|Weightings'!$K$5:$M$5,1,0),"Excl")</f>
        <v>Excl</v>
      </c>
      <c r="AY424" s="7" t="str">
        <f>VLOOKUP(AO424,Mapping!$E$11:$I$96,5,0)</f>
        <v>Connection Services</v>
      </c>
    </row>
    <row r="425" spans="1:51" x14ac:dyDescent="0.2">
      <c r="A425" s="7"/>
      <c r="B425" s="7"/>
      <c r="C425" s="7"/>
      <c r="D425" s="7"/>
      <c r="E425" s="36">
        <v>111</v>
      </c>
      <c r="F425" s="36" t="s">
        <v>2126</v>
      </c>
      <c r="G425" s="36">
        <v>613281</v>
      </c>
      <c r="H425" s="36" t="s">
        <v>1343</v>
      </c>
      <c r="I425" s="37">
        <v>39.710560000000001</v>
      </c>
      <c r="J425" s="7"/>
      <c r="K425" s="7" t="str">
        <f>VLOOKUP($E425,Mapping!$E$11:$I$96,3,0)</f>
        <v>Connections</v>
      </c>
      <c r="L425" s="7" t="str">
        <f>VLOOKUP($G425,Mapping!$E$140:$K$2771,5,0)</f>
        <v>Labour</v>
      </c>
      <c r="M425" s="7" t="str">
        <f>VLOOKUP($G425,Mapping!$E$140:$K$2771,7,0)</f>
        <v>ENDirect</v>
      </c>
      <c r="N425" s="7" t="str">
        <f>IFERROR(HLOOKUP(L425,'Calc|Weightings'!$K$5:$M$5,1,0),"Excl")</f>
        <v>Labour</v>
      </c>
      <c r="O425" s="7" t="str">
        <f>VLOOKUP(E425,Mapping!$E$11:$I$96,5,0)</f>
        <v>SCS</v>
      </c>
      <c r="Q425" s="33">
        <v>114</v>
      </c>
      <c r="R425" s="33" t="s">
        <v>2127</v>
      </c>
      <c r="S425" s="33">
        <v>635001</v>
      </c>
      <c r="T425" s="33" t="s">
        <v>1929</v>
      </c>
      <c r="U425" s="34">
        <v>1.20614</v>
      </c>
      <c r="V425" s="7"/>
      <c r="W425" s="7" t="str">
        <f>VLOOKUP($Q425,Mapping!$E$11:$I$96,3,0)</f>
        <v>Metering Opex</v>
      </c>
      <c r="X425" s="7" t="str">
        <f>VLOOKUP($S425,Mapping!$E$140:$K$2771,5,0)</f>
        <v>PNS MG</v>
      </c>
      <c r="Y425" s="7" t="str">
        <f>VLOOKUP($S425,Mapping!$E$140:$K$2771,7,0)</f>
        <v>ENDirect</v>
      </c>
      <c r="Z425" s="7" t="str">
        <f>IFERROR(HLOOKUP(X425,'Calc|Weightings'!$K$5:$M$5,1,0),"Excl")</f>
        <v>Excl</v>
      </c>
      <c r="AA425" s="7" t="str">
        <f>VLOOKUP(Q425,Mapping!$E$11:$I$96,5,0)</f>
        <v>Connection Services</v>
      </c>
      <c r="AC425" s="111">
        <v>112</v>
      </c>
      <c r="AD425" s="111" t="s">
        <v>2389</v>
      </c>
      <c r="AE425" s="111">
        <v>613290</v>
      </c>
      <c r="AF425" s="111" t="s">
        <v>2093</v>
      </c>
      <c r="AG425" s="112">
        <v>0.25235999999999997</v>
      </c>
      <c r="AI425" s="7" t="str">
        <f>VLOOKUP($AC425,Mapping!$E$11:$I$96,3,0)</f>
        <v>Metering Capex</v>
      </c>
      <c r="AJ425" s="7" t="str">
        <f>VLOOKUP($AE425,Mapping!$E$140:$K$2771,5,0)</f>
        <v>Labour</v>
      </c>
      <c r="AK425" s="7" t="str">
        <f>VLOOKUP($AE425,Mapping!$E$140:$K$2771,7,0)</f>
        <v>ENDirect</v>
      </c>
      <c r="AL425" s="7" t="str">
        <f>IFERROR(HLOOKUP(AJ425,'Calc|Weightings'!$K$5:$M$5,1,0),"Excl")</f>
        <v>Labour</v>
      </c>
      <c r="AM425" s="7" t="str">
        <f>VLOOKUP(AC425,Mapping!$E$11:$I$96,5,0)</f>
        <v>Metering Services</v>
      </c>
      <c r="AO425" s="134">
        <v>116</v>
      </c>
      <c r="AP425" s="135" t="s">
        <v>2130</v>
      </c>
      <c r="AQ425" s="135">
        <v>500200</v>
      </c>
      <c r="AR425" s="135" t="s">
        <v>136</v>
      </c>
      <c r="AS425" s="136">
        <v>0.23100000000000001</v>
      </c>
      <c r="AU425" s="7" t="str">
        <f>VLOOKUP($AO425,Mapping!$E$11:$I$96,3,0)</f>
        <v>Connections</v>
      </c>
      <c r="AV425" s="7" t="str">
        <f>VLOOKUP($AQ425,Mapping!$E$140:$K$2771,5,0)</f>
        <v>Labour</v>
      </c>
      <c r="AW425" s="7" t="str">
        <f>VLOOKUP($AQ425,Mapping!$E$140:$K$2771,7,0)</f>
        <v>ENDirect</v>
      </c>
      <c r="AX425" s="7" t="str">
        <f>IFERROR(HLOOKUP(AV425,'Calc|Weightings'!$K$5:$M$5,1,0),"Excl")</f>
        <v>Labour</v>
      </c>
      <c r="AY425" s="7" t="str">
        <f>VLOOKUP(AO425,Mapping!$E$11:$I$96,5,0)</f>
        <v>SCS</v>
      </c>
    </row>
    <row r="426" spans="1:51" x14ac:dyDescent="0.2">
      <c r="A426" s="7"/>
      <c r="B426" s="7"/>
      <c r="C426" s="7"/>
      <c r="D426" s="7"/>
      <c r="E426" s="36">
        <v>111</v>
      </c>
      <c r="F426" s="36" t="s">
        <v>2126</v>
      </c>
      <c r="G426" s="36">
        <v>613290</v>
      </c>
      <c r="H426" s="36" t="s">
        <v>2093</v>
      </c>
      <c r="I426" s="37">
        <v>189.60236</v>
      </c>
      <c r="J426" s="7"/>
      <c r="K426" s="7" t="str">
        <f>VLOOKUP($E426,Mapping!$E$11:$I$96,3,0)</f>
        <v>Connections</v>
      </c>
      <c r="L426" s="7" t="str">
        <f>VLOOKUP($G426,Mapping!$E$140:$K$2771,5,0)</f>
        <v>Labour</v>
      </c>
      <c r="M426" s="7" t="str">
        <f>VLOOKUP($G426,Mapping!$E$140:$K$2771,7,0)</f>
        <v>ENDirect</v>
      </c>
      <c r="N426" s="7" t="str">
        <f>IFERROR(HLOOKUP(L426,'Calc|Weightings'!$K$5:$M$5,1,0),"Excl")</f>
        <v>Labour</v>
      </c>
      <c r="O426" s="7" t="str">
        <f>VLOOKUP(E426,Mapping!$E$11:$I$96,5,0)</f>
        <v>SCS</v>
      </c>
      <c r="Q426" s="33">
        <v>114</v>
      </c>
      <c r="R426" s="33" t="s">
        <v>2127</v>
      </c>
      <c r="S426" s="33">
        <v>639000</v>
      </c>
      <c r="T426" s="33" t="s">
        <v>2112</v>
      </c>
      <c r="U426" s="34">
        <v>14.73352</v>
      </c>
      <c r="V426" s="7"/>
      <c r="W426" s="7" t="str">
        <f>VLOOKUP($Q426,Mapping!$E$11:$I$96,3,0)</f>
        <v>Metering Opex</v>
      </c>
      <c r="X426" s="7" t="str">
        <f>VLOOKUP($S426,Mapping!$E$140:$K$2771,5,0)</f>
        <v>PNS Corporate OH</v>
      </c>
      <c r="Y426" s="7" t="str">
        <f>VLOOKUP($S426,Mapping!$E$140:$K$2771,7,0)</f>
        <v>OH</v>
      </c>
      <c r="Z426" s="7" t="str">
        <f>IFERROR(HLOOKUP(X426,'Calc|Weightings'!$K$5:$M$5,1,0),"Excl")</f>
        <v>Excl</v>
      </c>
      <c r="AA426" s="7" t="str">
        <f>VLOOKUP(Q426,Mapping!$E$11:$I$96,5,0)</f>
        <v>Connection Services</v>
      </c>
      <c r="AC426" s="111">
        <v>112</v>
      </c>
      <c r="AD426" s="111" t="s">
        <v>2389</v>
      </c>
      <c r="AE426" s="111">
        <v>634001</v>
      </c>
      <c r="AF426" s="111" t="s">
        <v>2110</v>
      </c>
      <c r="AG426" s="112">
        <v>1.7809999999999999E-2</v>
      </c>
      <c r="AI426" s="7" t="str">
        <f>VLOOKUP($AC426,Mapping!$E$11:$I$96,3,0)</f>
        <v>Metering Capex</v>
      </c>
      <c r="AJ426" s="7" t="str">
        <f>VLOOKUP($AE426,Mapping!$E$140:$K$2771,5,0)</f>
        <v>Local OH</v>
      </c>
      <c r="AK426" s="7" t="str">
        <f>VLOOKUP($AE426,Mapping!$E$140:$K$2771,7,0)</f>
        <v>OH</v>
      </c>
      <c r="AL426" s="7" t="str">
        <f>IFERROR(HLOOKUP(AJ426,'Calc|Weightings'!$K$5:$M$5,1,0),"Excl")</f>
        <v>Excl</v>
      </c>
      <c r="AM426" s="7" t="str">
        <f>VLOOKUP(AC426,Mapping!$E$11:$I$96,5,0)</f>
        <v>Metering Services</v>
      </c>
      <c r="AO426" s="134">
        <v>116</v>
      </c>
      <c r="AP426" s="135" t="s">
        <v>2130</v>
      </c>
      <c r="AQ426" s="135">
        <v>500810</v>
      </c>
      <c r="AR426" s="135" t="s">
        <v>2071</v>
      </c>
      <c r="AS426" s="136">
        <v>6.6400000000000001E-2</v>
      </c>
      <c r="AU426" s="7" t="str">
        <f>VLOOKUP($AO426,Mapping!$E$11:$I$96,3,0)</f>
        <v>Connections</v>
      </c>
      <c r="AV426" s="7" t="str">
        <f>VLOOKUP($AQ426,Mapping!$E$140:$K$2771,5,0)</f>
        <v>Labour</v>
      </c>
      <c r="AW426" s="7" t="str">
        <f>VLOOKUP($AQ426,Mapping!$E$140:$K$2771,7,0)</f>
        <v>ENDirect</v>
      </c>
      <c r="AX426" s="7" t="str">
        <f>IFERROR(HLOOKUP(AV426,'Calc|Weightings'!$K$5:$M$5,1,0),"Excl")</f>
        <v>Labour</v>
      </c>
      <c r="AY426" s="7" t="str">
        <f>VLOOKUP(AO426,Mapping!$E$11:$I$96,5,0)</f>
        <v>SCS</v>
      </c>
    </row>
    <row r="427" spans="1:51" x14ac:dyDescent="0.2">
      <c r="A427" s="7"/>
      <c r="B427" s="7"/>
      <c r="C427" s="7"/>
      <c r="D427" s="7"/>
      <c r="E427" s="36">
        <v>111</v>
      </c>
      <c r="F427" s="36" t="s">
        <v>2126</v>
      </c>
      <c r="G427" s="36">
        <v>613291</v>
      </c>
      <c r="H427" s="36" t="s">
        <v>2094</v>
      </c>
      <c r="I427" s="37">
        <v>1.1674</v>
      </c>
      <c r="J427" s="7"/>
      <c r="K427" s="7" t="str">
        <f>VLOOKUP($E427,Mapping!$E$11:$I$96,3,0)</f>
        <v>Connections</v>
      </c>
      <c r="L427" s="7" t="str">
        <f>VLOOKUP($G427,Mapping!$E$140:$K$2771,5,0)</f>
        <v>Labour</v>
      </c>
      <c r="M427" s="7" t="str">
        <f>VLOOKUP($G427,Mapping!$E$140:$K$2771,7,0)</f>
        <v>ENDirect</v>
      </c>
      <c r="N427" s="7" t="str">
        <f>IFERROR(HLOOKUP(L427,'Calc|Weightings'!$K$5:$M$5,1,0),"Excl")</f>
        <v>Labour</v>
      </c>
      <c r="O427" s="7" t="str">
        <f>VLOOKUP(E427,Mapping!$E$11:$I$96,5,0)</f>
        <v>SCS</v>
      </c>
      <c r="Q427" s="33">
        <v>114</v>
      </c>
      <c r="R427" s="33" t="s">
        <v>2127</v>
      </c>
      <c r="S427" s="33">
        <v>639050</v>
      </c>
      <c r="T427" s="33" t="s">
        <v>2113</v>
      </c>
      <c r="U427" s="34">
        <v>0.1973</v>
      </c>
      <c r="V427" s="7"/>
      <c r="W427" s="7" t="str">
        <f>VLOOKUP($Q427,Mapping!$E$11:$I$96,3,0)</f>
        <v>Metering Opex</v>
      </c>
      <c r="X427" s="7" t="str">
        <f>VLOOKUP($S427,Mapping!$E$140:$K$2771,5,0)</f>
        <v>PNS Fleet &amp; Property OH</v>
      </c>
      <c r="Y427" s="7" t="str">
        <f>VLOOKUP($S427,Mapping!$E$140:$K$2771,7,0)</f>
        <v>OH</v>
      </c>
      <c r="Z427" s="7" t="str">
        <f>IFERROR(HLOOKUP(X427,'Calc|Weightings'!$K$5:$M$5,1,0),"Excl")</f>
        <v>Excl</v>
      </c>
      <c r="AA427" s="7" t="str">
        <f>VLOOKUP(Q427,Mapping!$E$11:$I$96,5,0)</f>
        <v>Connection Services</v>
      </c>
      <c r="AC427" s="111">
        <v>112</v>
      </c>
      <c r="AD427" s="111" t="s">
        <v>2389</v>
      </c>
      <c r="AE427" s="111">
        <v>635001</v>
      </c>
      <c r="AF427" s="111" t="s">
        <v>1929</v>
      </c>
      <c r="AG427" s="112">
        <v>1.516E-2</v>
      </c>
      <c r="AI427" s="7" t="str">
        <f>VLOOKUP($AC427,Mapping!$E$11:$I$96,3,0)</f>
        <v>Metering Capex</v>
      </c>
      <c r="AJ427" s="7" t="str">
        <f>VLOOKUP($AE427,Mapping!$E$140:$K$2771,5,0)</f>
        <v>PNS MG</v>
      </c>
      <c r="AK427" s="7" t="str">
        <f>VLOOKUP($AE427,Mapping!$E$140:$K$2771,7,0)</f>
        <v>ENDirect</v>
      </c>
      <c r="AL427" s="7" t="str">
        <f>IFERROR(HLOOKUP(AJ427,'Calc|Weightings'!$K$5:$M$5,1,0),"Excl")</f>
        <v>Excl</v>
      </c>
      <c r="AM427" s="7" t="str">
        <f>VLOOKUP(AC427,Mapping!$E$11:$I$96,5,0)</f>
        <v>Metering Services</v>
      </c>
      <c r="AO427" s="134">
        <v>116</v>
      </c>
      <c r="AP427" s="135" t="s">
        <v>2130</v>
      </c>
      <c r="AQ427" s="135">
        <v>503192</v>
      </c>
      <c r="AR427" s="135" t="s">
        <v>160</v>
      </c>
      <c r="AS427" s="136">
        <v>0.41636000000000001</v>
      </c>
      <c r="AU427" s="7" t="str">
        <f>VLOOKUP($AO427,Mapping!$E$11:$I$96,3,0)</f>
        <v>Connections</v>
      </c>
      <c r="AV427" s="7" t="str">
        <f>VLOOKUP($AQ427,Mapping!$E$140:$K$2771,5,0)</f>
        <v>Contracts</v>
      </c>
      <c r="AW427" s="7" t="str">
        <f>VLOOKUP($AQ427,Mapping!$E$140:$K$2771,7,0)</f>
        <v>ENDirect</v>
      </c>
      <c r="AX427" s="7" t="str">
        <f>IFERROR(HLOOKUP(AV427,'Calc|Weightings'!$K$5:$M$5,1,0),"Excl")</f>
        <v>Contracts</v>
      </c>
      <c r="AY427" s="7" t="str">
        <f>VLOOKUP(AO427,Mapping!$E$11:$I$96,5,0)</f>
        <v>SCS</v>
      </c>
    </row>
    <row r="428" spans="1:51" x14ac:dyDescent="0.2">
      <c r="A428" s="7"/>
      <c r="B428" s="7"/>
      <c r="C428" s="7"/>
      <c r="D428" s="7"/>
      <c r="E428" s="36">
        <v>111</v>
      </c>
      <c r="F428" s="36" t="s">
        <v>2126</v>
      </c>
      <c r="G428" s="36">
        <v>613298</v>
      </c>
      <c r="H428" s="36" t="s">
        <v>2122</v>
      </c>
      <c r="I428" s="37">
        <v>1096.8878099999999</v>
      </c>
      <c r="J428" s="7"/>
      <c r="K428" s="7" t="str">
        <f>VLOOKUP($E428,Mapping!$E$11:$I$96,3,0)</f>
        <v>Connections</v>
      </c>
      <c r="L428" s="7" t="str">
        <f>VLOOKUP($G428,Mapping!$E$140:$K$2771,5,0)</f>
        <v>Labour</v>
      </c>
      <c r="M428" s="7" t="str">
        <f>VLOOKUP($G428,Mapping!$E$140:$K$2771,7,0)</f>
        <v>ENDirect</v>
      </c>
      <c r="N428" s="7" t="str">
        <f>IFERROR(HLOOKUP(L428,'Calc|Weightings'!$K$5:$M$5,1,0),"Excl")</f>
        <v>Labour</v>
      </c>
      <c r="O428" s="7" t="str">
        <f>VLOOKUP(E428,Mapping!$E$11:$I$96,5,0)</f>
        <v>SCS</v>
      </c>
      <c r="Q428" s="33">
        <v>115</v>
      </c>
      <c r="R428" s="33" t="s">
        <v>2129</v>
      </c>
      <c r="S428" s="33">
        <v>531464</v>
      </c>
      <c r="T428" s="33" t="s">
        <v>256</v>
      </c>
      <c r="U428" s="34">
        <v>10.5</v>
      </c>
      <c r="V428" s="7"/>
      <c r="W428" s="7" t="str">
        <f>VLOOKUP($Q428,Mapping!$E$11:$I$96,3,0)</f>
        <v>Metering Opex</v>
      </c>
      <c r="X428" s="7" t="str">
        <f>VLOOKUP($S428,Mapping!$E$140:$K$2771,5,0)</f>
        <v>Contracts</v>
      </c>
      <c r="Y428" s="7" t="str">
        <f>VLOOKUP($S428,Mapping!$E$140:$K$2771,7,0)</f>
        <v>ENDirect</v>
      </c>
      <c r="Z428" s="7" t="str">
        <f>IFERROR(HLOOKUP(X428,'Calc|Weightings'!$K$5:$M$5,1,0),"Excl")</f>
        <v>Contracts</v>
      </c>
      <c r="AA428" s="7" t="str">
        <f>VLOOKUP(Q428,Mapping!$E$11:$I$96,5,0)</f>
        <v>Connection Services</v>
      </c>
      <c r="AC428" s="111">
        <v>112</v>
      </c>
      <c r="AD428" s="111" t="s">
        <v>2389</v>
      </c>
      <c r="AE428" s="111">
        <v>636001</v>
      </c>
      <c r="AF428" s="111" t="s">
        <v>2111</v>
      </c>
      <c r="AG428" s="112">
        <v>1.6029999999999999E-2</v>
      </c>
      <c r="AI428" s="7" t="str">
        <f>VLOOKUP($AC428,Mapping!$E$11:$I$96,3,0)</f>
        <v>Metering Capex</v>
      </c>
      <c r="AJ428" s="7" t="str">
        <f>VLOOKUP($AE428,Mapping!$E$140:$K$2771,5,0)</f>
        <v>System Control OH</v>
      </c>
      <c r="AK428" s="7" t="str">
        <f>VLOOKUP($AE428,Mapping!$E$140:$K$2771,7,0)</f>
        <v>OH</v>
      </c>
      <c r="AL428" s="7" t="str">
        <f>IFERROR(HLOOKUP(AJ428,'Calc|Weightings'!$K$5:$M$5,1,0),"Excl")</f>
        <v>Excl</v>
      </c>
      <c r="AM428" s="7" t="str">
        <f>VLOOKUP(AC428,Mapping!$E$11:$I$96,5,0)</f>
        <v>Metering Services</v>
      </c>
      <c r="AO428" s="134">
        <v>116</v>
      </c>
      <c r="AP428" s="135" t="s">
        <v>2130</v>
      </c>
      <c r="AQ428" s="135">
        <v>503193</v>
      </c>
      <c r="AR428" s="135" t="s">
        <v>161</v>
      </c>
      <c r="AS428" s="136">
        <v>2.6076999999999999</v>
      </c>
      <c r="AU428" s="7" t="str">
        <f>VLOOKUP($AO428,Mapping!$E$11:$I$96,3,0)</f>
        <v>Connections</v>
      </c>
      <c r="AV428" s="7" t="str">
        <f>VLOOKUP($AQ428,Mapping!$E$140:$K$2771,5,0)</f>
        <v>Contracts</v>
      </c>
      <c r="AW428" s="7" t="str">
        <f>VLOOKUP($AQ428,Mapping!$E$140:$K$2771,7,0)</f>
        <v>ENDirect</v>
      </c>
      <c r="AX428" s="7" t="str">
        <f>IFERROR(HLOOKUP(AV428,'Calc|Weightings'!$K$5:$M$5,1,0),"Excl")</f>
        <v>Contracts</v>
      </c>
      <c r="AY428" s="7" t="str">
        <f>VLOOKUP(AO428,Mapping!$E$11:$I$96,5,0)</f>
        <v>SCS</v>
      </c>
    </row>
    <row r="429" spans="1:51" x14ac:dyDescent="0.2">
      <c r="A429" s="7"/>
      <c r="B429" s="7"/>
      <c r="C429" s="7"/>
      <c r="D429" s="7"/>
      <c r="E429" s="36">
        <v>111</v>
      </c>
      <c r="F429" s="36" t="s">
        <v>2126</v>
      </c>
      <c r="G429" s="36">
        <v>613299</v>
      </c>
      <c r="H429" s="36" t="s">
        <v>2385</v>
      </c>
      <c r="I429" s="37">
        <v>0.93976999999999999</v>
      </c>
      <c r="J429" s="7"/>
      <c r="K429" s="7" t="str">
        <f>VLOOKUP($E429,Mapping!$E$11:$I$96,3,0)</f>
        <v>Connections</v>
      </c>
      <c r="L429" s="7" t="str">
        <f>VLOOKUP($G429,Mapping!$E$140:$K$2771,5,0)</f>
        <v>Labour</v>
      </c>
      <c r="M429" s="7" t="str">
        <f>VLOOKUP($G429,Mapping!$E$140:$K$2771,7,0)</f>
        <v>ENDirect</v>
      </c>
      <c r="N429" s="7" t="str">
        <f>IFERROR(HLOOKUP(L429,'Calc|Weightings'!$K$5:$M$5,1,0),"Excl")</f>
        <v>Labour</v>
      </c>
      <c r="O429" s="7" t="str">
        <f>VLOOKUP(E429,Mapping!$E$11:$I$96,5,0)</f>
        <v>SCS</v>
      </c>
      <c r="Q429" s="33">
        <v>115</v>
      </c>
      <c r="R429" s="33" t="s">
        <v>2129</v>
      </c>
      <c r="S429" s="33">
        <v>531465</v>
      </c>
      <c r="T429" s="33" t="s">
        <v>257</v>
      </c>
      <c r="U429" s="34">
        <v>3.7302</v>
      </c>
      <c r="V429" s="7"/>
      <c r="W429" s="7" t="str">
        <f>VLOOKUP($Q429,Mapping!$E$11:$I$96,3,0)</f>
        <v>Metering Opex</v>
      </c>
      <c r="X429" s="7" t="str">
        <f>VLOOKUP($S429,Mapping!$E$140:$K$2771,5,0)</f>
        <v>Contracts</v>
      </c>
      <c r="Y429" s="7" t="str">
        <f>VLOOKUP($S429,Mapping!$E$140:$K$2771,7,0)</f>
        <v>ENDirect</v>
      </c>
      <c r="Z429" s="7" t="str">
        <f>IFERROR(HLOOKUP(X429,'Calc|Weightings'!$K$5:$M$5,1,0),"Excl")</f>
        <v>Contracts</v>
      </c>
      <c r="AA429" s="7" t="str">
        <f>VLOOKUP(Q429,Mapping!$E$11:$I$96,5,0)</f>
        <v>Connection Services</v>
      </c>
      <c r="AC429" s="111">
        <v>112</v>
      </c>
      <c r="AD429" s="111" t="s">
        <v>2389</v>
      </c>
      <c r="AE429" s="111">
        <v>639000</v>
      </c>
      <c r="AF429" s="111" t="s">
        <v>2112</v>
      </c>
      <c r="AG429" s="112">
        <v>1.3599999999999999E-2</v>
      </c>
      <c r="AI429" s="7" t="str">
        <f>VLOOKUP($AC429,Mapping!$E$11:$I$96,3,0)</f>
        <v>Metering Capex</v>
      </c>
      <c r="AJ429" s="7" t="str">
        <f>VLOOKUP($AE429,Mapping!$E$140:$K$2771,5,0)</f>
        <v>PNS Corporate OH</v>
      </c>
      <c r="AK429" s="7" t="str">
        <f>VLOOKUP($AE429,Mapping!$E$140:$K$2771,7,0)</f>
        <v>OH</v>
      </c>
      <c r="AL429" s="7" t="str">
        <f>IFERROR(HLOOKUP(AJ429,'Calc|Weightings'!$K$5:$M$5,1,0),"Excl")</f>
        <v>Excl</v>
      </c>
      <c r="AM429" s="7" t="str">
        <f>VLOOKUP(AC429,Mapping!$E$11:$I$96,5,0)</f>
        <v>Metering Services</v>
      </c>
      <c r="AO429" s="134">
        <v>116</v>
      </c>
      <c r="AP429" s="135" t="s">
        <v>2130</v>
      </c>
      <c r="AQ429" s="135">
        <v>503197</v>
      </c>
      <c r="AR429" s="135" t="s">
        <v>163</v>
      </c>
      <c r="AS429" s="136">
        <v>0.10925</v>
      </c>
      <c r="AU429" s="7" t="str">
        <f>VLOOKUP($AO429,Mapping!$E$11:$I$96,3,0)</f>
        <v>Connections</v>
      </c>
      <c r="AV429" s="7" t="str">
        <f>VLOOKUP($AQ429,Mapping!$E$140:$K$2771,5,0)</f>
        <v>Contracts</v>
      </c>
      <c r="AW429" s="7" t="str">
        <f>VLOOKUP($AQ429,Mapping!$E$140:$K$2771,7,0)</f>
        <v>ENDirect</v>
      </c>
      <c r="AX429" s="7" t="str">
        <f>IFERROR(HLOOKUP(AV429,'Calc|Weightings'!$K$5:$M$5,1,0),"Excl")</f>
        <v>Contracts</v>
      </c>
      <c r="AY429" s="7" t="str">
        <f>VLOOKUP(AO429,Mapping!$E$11:$I$96,5,0)</f>
        <v>SCS</v>
      </c>
    </row>
    <row r="430" spans="1:51" x14ac:dyDescent="0.2">
      <c r="A430" s="7"/>
      <c r="B430" s="7"/>
      <c r="C430" s="7"/>
      <c r="D430" s="7"/>
      <c r="E430" s="36">
        <v>111</v>
      </c>
      <c r="F430" s="36" t="s">
        <v>2126</v>
      </c>
      <c r="G430" s="36">
        <v>613310</v>
      </c>
      <c r="H430" s="36" t="s">
        <v>2095</v>
      </c>
      <c r="I430" s="37">
        <v>138.57823999999999</v>
      </c>
      <c r="J430" s="7"/>
      <c r="K430" s="7" t="str">
        <f>VLOOKUP($E430,Mapping!$E$11:$I$96,3,0)</f>
        <v>Connections</v>
      </c>
      <c r="L430" s="7" t="str">
        <f>VLOOKUP($G430,Mapping!$E$140:$K$2771,5,0)</f>
        <v>Labour</v>
      </c>
      <c r="M430" s="7" t="str">
        <f>VLOOKUP($G430,Mapping!$E$140:$K$2771,7,0)</f>
        <v>ENDirect</v>
      </c>
      <c r="N430" s="7" t="str">
        <f>IFERROR(HLOOKUP(L430,'Calc|Weightings'!$K$5:$M$5,1,0),"Excl")</f>
        <v>Labour</v>
      </c>
      <c r="O430" s="7" t="str">
        <f>VLOOKUP(E430,Mapping!$E$11:$I$96,5,0)</f>
        <v>SCS</v>
      </c>
      <c r="Q430" s="33">
        <v>115</v>
      </c>
      <c r="R430" s="33" t="s">
        <v>2129</v>
      </c>
      <c r="S430" s="33">
        <v>591997</v>
      </c>
      <c r="T430" s="33" t="s">
        <v>399</v>
      </c>
      <c r="U430" s="34">
        <v>-7.911E-2</v>
      </c>
      <c r="V430" s="7"/>
      <c r="W430" s="7" t="str">
        <f>VLOOKUP($Q430,Mapping!$E$11:$I$96,3,0)</f>
        <v>Metering Opex</v>
      </c>
      <c r="X430" s="7" t="str">
        <f>VLOOKUP($S430,Mapping!$E$140:$K$2771,5,0)</f>
        <v>Contracts</v>
      </c>
      <c r="Y430" s="7" t="str">
        <f>VLOOKUP($S430,Mapping!$E$140:$K$2771,7,0)</f>
        <v>ENDirect</v>
      </c>
      <c r="Z430" s="7" t="str">
        <f>IFERROR(HLOOKUP(X430,'Calc|Weightings'!$K$5:$M$5,1,0),"Excl")</f>
        <v>Contracts</v>
      </c>
      <c r="AA430" s="7" t="str">
        <f>VLOOKUP(Q430,Mapping!$E$11:$I$96,5,0)</f>
        <v>Connection Services</v>
      </c>
      <c r="AC430" s="111">
        <v>112</v>
      </c>
      <c r="AD430" s="111" t="s">
        <v>2389</v>
      </c>
      <c r="AE430" s="111">
        <v>639050</v>
      </c>
      <c r="AF430" s="111" t="s">
        <v>2113</v>
      </c>
      <c r="AG430" s="112">
        <v>2.14E-3</v>
      </c>
      <c r="AI430" s="7" t="str">
        <f>VLOOKUP($AC430,Mapping!$E$11:$I$96,3,0)</f>
        <v>Metering Capex</v>
      </c>
      <c r="AJ430" s="7" t="str">
        <f>VLOOKUP($AE430,Mapping!$E$140:$K$2771,5,0)</f>
        <v>PNS Fleet &amp; Property OH</v>
      </c>
      <c r="AK430" s="7" t="str">
        <f>VLOOKUP($AE430,Mapping!$E$140:$K$2771,7,0)</f>
        <v>OH</v>
      </c>
      <c r="AL430" s="7" t="str">
        <f>IFERROR(HLOOKUP(AJ430,'Calc|Weightings'!$K$5:$M$5,1,0),"Excl")</f>
        <v>Excl</v>
      </c>
      <c r="AM430" s="7" t="str">
        <f>VLOOKUP(AC430,Mapping!$E$11:$I$96,5,0)</f>
        <v>Metering Services</v>
      </c>
      <c r="AO430" s="134">
        <v>116</v>
      </c>
      <c r="AP430" s="135" t="s">
        <v>2130</v>
      </c>
      <c r="AQ430" s="135">
        <v>503210</v>
      </c>
      <c r="AR430" s="135" t="s">
        <v>166</v>
      </c>
      <c r="AS430" s="136">
        <v>4.7469400000000004</v>
      </c>
      <c r="AU430" s="7" t="str">
        <f>VLOOKUP($AO430,Mapping!$E$11:$I$96,3,0)</f>
        <v>Connections</v>
      </c>
      <c r="AV430" s="7" t="str">
        <f>VLOOKUP($AQ430,Mapping!$E$140:$K$2771,5,0)</f>
        <v>Contracts</v>
      </c>
      <c r="AW430" s="7" t="str">
        <f>VLOOKUP($AQ430,Mapping!$E$140:$K$2771,7,0)</f>
        <v>ENDirect</v>
      </c>
      <c r="AX430" s="7" t="str">
        <f>IFERROR(HLOOKUP(AV430,'Calc|Weightings'!$K$5:$M$5,1,0),"Excl")</f>
        <v>Contracts</v>
      </c>
      <c r="AY430" s="7" t="str">
        <f>VLOOKUP(AO430,Mapping!$E$11:$I$96,5,0)</f>
        <v>SCS</v>
      </c>
    </row>
    <row r="431" spans="1:51" x14ac:dyDescent="0.2">
      <c r="A431" s="7"/>
      <c r="B431" s="7"/>
      <c r="C431" s="7"/>
      <c r="D431" s="7"/>
      <c r="E431" s="36">
        <v>111</v>
      </c>
      <c r="F431" s="36" t="s">
        <v>2126</v>
      </c>
      <c r="G431" s="36">
        <v>613311</v>
      </c>
      <c r="H431" s="36" t="s">
        <v>2116</v>
      </c>
      <c r="I431" s="37">
        <v>5.50014</v>
      </c>
      <c r="J431" s="7"/>
      <c r="K431" s="7" t="str">
        <f>VLOOKUP($E431,Mapping!$E$11:$I$96,3,0)</f>
        <v>Connections</v>
      </c>
      <c r="L431" s="7" t="str">
        <f>VLOOKUP($G431,Mapping!$E$140:$K$2771,5,0)</f>
        <v>Labour</v>
      </c>
      <c r="M431" s="7" t="str">
        <f>VLOOKUP($G431,Mapping!$E$140:$K$2771,7,0)</f>
        <v>ENDirect</v>
      </c>
      <c r="N431" s="7" t="str">
        <f>IFERROR(HLOOKUP(L431,'Calc|Weightings'!$K$5:$M$5,1,0),"Excl")</f>
        <v>Labour</v>
      </c>
      <c r="O431" s="7" t="str">
        <f>VLOOKUP(E431,Mapping!$E$11:$I$96,5,0)</f>
        <v>SCS</v>
      </c>
      <c r="Q431" s="33">
        <v>115</v>
      </c>
      <c r="R431" s="33" t="s">
        <v>2129</v>
      </c>
      <c r="S431" s="33">
        <v>591999</v>
      </c>
      <c r="T431" s="33" t="s">
        <v>2078</v>
      </c>
      <c r="U431" s="34">
        <v>-0.82942000000000005</v>
      </c>
      <c r="V431" s="7"/>
      <c r="W431" s="7" t="str">
        <f>VLOOKUP($Q431,Mapping!$E$11:$I$96,3,0)</f>
        <v>Metering Opex</v>
      </c>
      <c r="X431" s="7" t="str">
        <f>VLOOKUP($S431,Mapping!$E$140:$K$2771,5,0)</f>
        <v>Contracts</v>
      </c>
      <c r="Y431" s="7" t="str">
        <f>VLOOKUP($S431,Mapping!$E$140:$K$2771,7,0)</f>
        <v>ENDirect</v>
      </c>
      <c r="Z431" s="7" t="str">
        <f>IFERROR(HLOOKUP(X431,'Calc|Weightings'!$K$5:$M$5,1,0),"Excl")</f>
        <v>Contracts</v>
      </c>
      <c r="AA431" s="7" t="str">
        <f>VLOOKUP(Q431,Mapping!$E$11:$I$96,5,0)</f>
        <v>Connection Services</v>
      </c>
      <c r="AC431" s="111">
        <v>114</v>
      </c>
      <c r="AD431" s="111" t="s">
        <v>2127</v>
      </c>
      <c r="AE431" s="111">
        <v>613709</v>
      </c>
      <c r="AF431" s="111" t="s">
        <v>1859</v>
      </c>
      <c r="AG431" s="112">
        <v>3.69495</v>
      </c>
      <c r="AI431" s="7" t="str">
        <f>VLOOKUP($AC431,Mapping!$E$11:$I$96,3,0)</f>
        <v>Metering Opex</v>
      </c>
      <c r="AJ431" s="7" t="str">
        <f>VLOOKUP($AE431,Mapping!$E$140:$K$2771,5,0)</f>
        <v>Materials</v>
      </c>
      <c r="AK431" s="7" t="str">
        <f>VLOOKUP($AE431,Mapping!$E$140:$K$2771,7,0)</f>
        <v>ENDirect</v>
      </c>
      <c r="AL431" s="7" t="str">
        <f>IFERROR(HLOOKUP(AJ431,'Calc|Weightings'!$K$5:$M$5,1,0),"Excl")</f>
        <v>Materials</v>
      </c>
      <c r="AM431" s="7" t="str">
        <f>VLOOKUP(AC431,Mapping!$E$11:$I$96,5,0)</f>
        <v>Connection Services</v>
      </c>
      <c r="AO431" s="134">
        <v>116</v>
      </c>
      <c r="AP431" s="135" t="s">
        <v>2130</v>
      </c>
      <c r="AQ431" s="135">
        <v>503240</v>
      </c>
      <c r="AR431" s="135" t="s">
        <v>169</v>
      </c>
      <c r="AS431" s="136">
        <v>2.4584100000000002</v>
      </c>
      <c r="AU431" s="7" t="str">
        <f>VLOOKUP($AO431,Mapping!$E$11:$I$96,3,0)</f>
        <v>Connections</v>
      </c>
      <c r="AV431" s="7" t="str">
        <f>VLOOKUP($AQ431,Mapping!$E$140:$K$2771,5,0)</f>
        <v>Contracts</v>
      </c>
      <c r="AW431" s="7" t="str">
        <f>VLOOKUP($AQ431,Mapping!$E$140:$K$2771,7,0)</f>
        <v>ENDirect</v>
      </c>
      <c r="AX431" s="7" t="str">
        <f>IFERROR(HLOOKUP(AV431,'Calc|Weightings'!$K$5:$M$5,1,0),"Excl")</f>
        <v>Contracts</v>
      </c>
      <c r="AY431" s="7" t="str">
        <f>VLOOKUP(AO431,Mapping!$E$11:$I$96,5,0)</f>
        <v>SCS</v>
      </c>
    </row>
    <row r="432" spans="1:51" x14ac:dyDescent="0.2">
      <c r="A432" s="7"/>
      <c r="B432" s="7"/>
      <c r="C432" s="7"/>
      <c r="D432" s="7"/>
      <c r="E432" s="36">
        <v>111</v>
      </c>
      <c r="F432" s="36" t="s">
        <v>2126</v>
      </c>
      <c r="G432" s="36">
        <v>613318</v>
      </c>
      <c r="H432" s="36" t="s">
        <v>1360</v>
      </c>
      <c r="I432" s="37">
        <v>281.94466999999997</v>
      </c>
      <c r="J432" s="7"/>
      <c r="K432" s="7" t="str">
        <f>VLOOKUP($E432,Mapping!$E$11:$I$96,3,0)</f>
        <v>Connections</v>
      </c>
      <c r="L432" s="7" t="str">
        <f>VLOOKUP($G432,Mapping!$E$140:$K$2771,5,0)</f>
        <v>Labour</v>
      </c>
      <c r="M432" s="7" t="str">
        <f>VLOOKUP($G432,Mapping!$E$140:$K$2771,7,0)</f>
        <v>ENDirect</v>
      </c>
      <c r="N432" s="7" t="str">
        <f>IFERROR(HLOOKUP(L432,'Calc|Weightings'!$K$5:$M$5,1,0),"Excl")</f>
        <v>Labour</v>
      </c>
      <c r="O432" s="7" t="str">
        <f>VLOOKUP(E432,Mapping!$E$11:$I$96,5,0)</f>
        <v>SCS</v>
      </c>
      <c r="Q432" s="33">
        <v>115</v>
      </c>
      <c r="R432" s="33" t="s">
        <v>2129</v>
      </c>
      <c r="S432" s="33">
        <v>604149</v>
      </c>
      <c r="T432" s="33" t="s">
        <v>485</v>
      </c>
      <c r="U432" s="34">
        <v>11.0463</v>
      </c>
      <c r="V432" s="7"/>
      <c r="W432" s="7" t="str">
        <f>VLOOKUP($Q432,Mapping!$E$11:$I$96,3,0)</f>
        <v>Metering Opex</v>
      </c>
      <c r="X432" s="7" t="str">
        <f>VLOOKUP($S432,Mapping!$E$140:$K$2771,5,0)</f>
        <v>Contracts</v>
      </c>
      <c r="Y432" s="7" t="str">
        <f>VLOOKUP($S432,Mapping!$E$140:$K$2771,7,0)</f>
        <v>ENDirect</v>
      </c>
      <c r="Z432" s="7" t="str">
        <f>IFERROR(HLOOKUP(X432,'Calc|Weightings'!$K$5:$M$5,1,0),"Excl")</f>
        <v>Contracts</v>
      </c>
      <c r="AA432" s="7" t="str">
        <f>VLOOKUP(Q432,Mapping!$E$11:$I$96,5,0)</f>
        <v>Connection Services</v>
      </c>
      <c r="AC432" s="111">
        <v>114</v>
      </c>
      <c r="AD432" s="111" t="s">
        <v>2127</v>
      </c>
      <c r="AE432" s="111">
        <v>613710</v>
      </c>
      <c r="AF432" s="111" t="s">
        <v>1860</v>
      </c>
      <c r="AG432" s="112">
        <v>35.520000000000003</v>
      </c>
      <c r="AI432" s="7" t="str">
        <f>VLOOKUP($AC432,Mapping!$E$11:$I$96,3,0)</f>
        <v>Metering Opex</v>
      </c>
      <c r="AJ432" s="7" t="str">
        <f>VLOOKUP($AE432,Mapping!$E$140:$K$2771,5,0)</f>
        <v>Materials</v>
      </c>
      <c r="AK432" s="7" t="str">
        <f>VLOOKUP($AE432,Mapping!$E$140:$K$2771,7,0)</f>
        <v>ENDirect</v>
      </c>
      <c r="AL432" s="7" t="str">
        <f>IFERROR(HLOOKUP(AJ432,'Calc|Weightings'!$K$5:$M$5,1,0),"Excl")</f>
        <v>Materials</v>
      </c>
      <c r="AM432" s="7" t="str">
        <f>VLOOKUP(AC432,Mapping!$E$11:$I$96,5,0)</f>
        <v>Connection Services</v>
      </c>
      <c r="AO432" s="134">
        <v>116</v>
      </c>
      <c r="AP432" s="135" t="s">
        <v>2130</v>
      </c>
      <c r="AQ432" s="135">
        <v>503250</v>
      </c>
      <c r="AR432" s="135" t="s">
        <v>170</v>
      </c>
      <c r="AS432" s="136">
        <v>0.21068999999999999</v>
      </c>
      <c r="AU432" s="7" t="str">
        <f>VLOOKUP($AO432,Mapping!$E$11:$I$96,3,0)</f>
        <v>Connections</v>
      </c>
      <c r="AV432" s="7" t="str">
        <f>VLOOKUP($AQ432,Mapping!$E$140:$K$2771,5,0)</f>
        <v>Contracts</v>
      </c>
      <c r="AW432" s="7" t="str">
        <f>VLOOKUP($AQ432,Mapping!$E$140:$K$2771,7,0)</f>
        <v>ENDirect</v>
      </c>
      <c r="AX432" s="7" t="str">
        <f>IFERROR(HLOOKUP(AV432,'Calc|Weightings'!$K$5:$M$5,1,0),"Excl")</f>
        <v>Contracts</v>
      </c>
      <c r="AY432" s="7" t="str">
        <f>VLOOKUP(AO432,Mapping!$E$11:$I$96,5,0)</f>
        <v>SCS</v>
      </c>
    </row>
    <row r="433" spans="1:51" x14ac:dyDescent="0.2">
      <c r="A433" s="7"/>
      <c r="B433" s="7"/>
      <c r="C433" s="7"/>
      <c r="D433" s="7"/>
      <c r="E433" s="36">
        <v>111</v>
      </c>
      <c r="F433" s="36" t="s">
        <v>2126</v>
      </c>
      <c r="G433" s="36">
        <v>613319</v>
      </c>
      <c r="H433" s="36" t="s">
        <v>2358</v>
      </c>
      <c r="I433" s="37">
        <v>26.2363</v>
      </c>
      <c r="J433" s="7"/>
      <c r="K433" s="7" t="str">
        <f>VLOOKUP($E433,Mapping!$E$11:$I$96,3,0)</f>
        <v>Connections</v>
      </c>
      <c r="L433" s="7" t="str">
        <f>VLOOKUP($G433,Mapping!$E$140:$K$2771,5,0)</f>
        <v>Labour</v>
      </c>
      <c r="M433" s="7" t="str">
        <f>VLOOKUP($G433,Mapping!$E$140:$K$2771,7,0)</f>
        <v>ENDirect</v>
      </c>
      <c r="N433" s="7" t="str">
        <f>IFERROR(HLOOKUP(L433,'Calc|Weightings'!$K$5:$M$5,1,0),"Excl")</f>
        <v>Labour</v>
      </c>
      <c r="O433" s="7" t="str">
        <f>VLOOKUP(E433,Mapping!$E$11:$I$96,5,0)</f>
        <v>SCS</v>
      </c>
      <c r="Q433" s="33">
        <v>115</v>
      </c>
      <c r="R433" s="33" t="s">
        <v>2129</v>
      </c>
      <c r="S433" s="33">
        <v>604152</v>
      </c>
      <c r="T433" s="33" t="s">
        <v>486</v>
      </c>
      <c r="U433" s="34">
        <v>127.71321</v>
      </c>
      <c r="V433" s="7"/>
      <c r="W433" s="7" t="str">
        <f>VLOOKUP($Q433,Mapping!$E$11:$I$96,3,0)</f>
        <v>Metering Opex</v>
      </c>
      <c r="X433" s="7" t="str">
        <f>VLOOKUP($S433,Mapping!$E$140:$K$2771,5,0)</f>
        <v>Contracts</v>
      </c>
      <c r="Y433" s="7" t="str">
        <f>VLOOKUP($S433,Mapping!$E$140:$K$2771,7,0)</f>
        <v>ENDirect</v>
      </c>
      <c r="Z433" s="7" t="str">
        <f>IFERROR(HLOOKUP(X433,'Calc|Weightings'!$K$5:$M$5,1,0),"Excl")</f>
        <v>Contracts</v>
      </c>
      <c r="AA433" s="7" t="str">
        <f>VLOOKUP(Q433,Mapping!$E$11:$I$96,5,0)</f>
        <v>Connection Services</v>
      </c>
      <c r="AC433" s="111">
        <v>114</v>
      </c>
      <c r="AD433" s="111" t="s">
        <v>2127</v>
      </c>
      <c r="AE433" s="111">
        <v>613711</v>
      </c>
      <c r="AF433" s="111" t="s">
        <v>2390</v>
      </c>
      <c r="AG433" s="112">
        <v>152.57534000000001</v>
      </c>
      <c r="AI433" s="7" t="str">
        <f>VLOOKUP($AC433,Mapping!$E$11:$I$96,3,0)</f>
        <v>Metering Opex</v>
      </c>
      <c r="AJ433" s="7" t="str">
        <f>VLOOKUP($AE433,Mapping!$E$140:$K$2771,5,0)</f>
        <v>Materials</v>
      </c>
      <c r="AK433" s="7" t="str">
        <f>VLOOKUP($AE433,Mapping!$E$140:$K$2771,7,0)</f>
        <v>ENDirect</v>
      </c>
      <c r="AL433" s="7" t="str">
        <f>IFERROR(HLOOKUP(AJ433,'Calc|Weightings'!$K$5:$M$5,1,0),"Excl")</f>
        <v>Materials</v>
      </c>
      <c r="AM433" s="7" t="str">
        <f>VLOOKUP(AC433,Mapping!$E$11:$I$96,5,0)</f>
        <v>Connection Services</v>
      </c>
      <c r="AO433" s="134">
        <v>116</v>
      </c>
      <c r="AP433" s="135" t="s">
        <v>2130</v>
      </c>
      <c r="AQ433" s="135">
        <v>503281</v>
      </c>
      <c r="AR433" s="135" t="s">
        <v>2198</v>
      </c>
      <c r="AS433" s="136">
        <v>2.6550000000000001E-2</v>
      </c>
      <c r="AU433" s="7" t="str">
        <f>VLOOKUP($AO433,Mapping!$E$11:$I$96,3,0)</f>
        <v>Connections</v>
      </c>
      <c r="AV433" s="7" t="str">
        <f>VLOOKUP($AQ433,Mapping!$E$140:$K$2771,5,0)</f>
        <v>Contracts</v>
      </c>
      <c r="AW433" s="7" t="str">
        <f>VLOOKUP($AQ433,Mapping!$E$140:$K$2771,7,0)</f>
        <v>ENDirect</v>
      </c>
      <c r="AX433" s="7" t="str">
        <f>IFERROR(HLOOKUP(AV433,'Calc|Weightings'!$K$5:$M$5,1,0),"Excl")</f>
        <v>Contracts</v>
      </c>
      <c r="AY433" s="7" t="str">
        <f>VLOOKUP(AO433,Mapping!$E$11:$I$96,5,0)</f>
        <v>SCS</v>
      </c>
    </row>
    <row r="434" spans="1:51" x14ac:dyDescent="0.2">
      <c r="A434" s="7"/>
      <c r="B434" s="7"/>
      <c r="C434" s="7"/>
      <c r="D434" s="7"/>
      <c r="E434" s="36">
        <v>111</v>
      </c>
      <c r="F434" s="36" t="s">
        <v>2126</v>
      </c>
      <c r="G434" s="36">
        <v>613324</v>
      </c>
      <c r="H434" s="36" t="s">
        <v>2351</v>
      </c>
      <c r="I434" s="37">
        <v>12.70797</v>
      </c>
      <c r="J434" s="7"/>
      <c r="K434" s="7" t="str">
        <f>VLOOKUP($E434,Mapping!$E$11:$I$96,3,0)</f>
        <v>Connections</v>
      </c>
      <c r="L434" s="7" t="str">
        <f>VLOOKUP($G434,Mapping!$E$140:$K$2771,5,0)</f>
        <v>Labour</v>
      </c>
      <c r="M434" s="7" t="str">
        <f>VLOOKUP($G434,Mapping!$E$140:$K$2771,7,0)</f>
        <v>ENDirect</v>
      </c>
      <c r="N434" s="7" t="str">
        <f>IFERROR(HLOOKUP(L434,'Calc|Weightings'!$K$5:$M$5,1,0),"Excl")</f>
        <v>Labour</v>
      </c>
      <c r="O434" s="7" t="str">
        <f>VLOOKUP(E434,Mapping!$E$11:$I$96,5,0)</f>
        <v>SCS</v>
      </c>
      <c r="Q434" s="33">
        <v>115</v>
      </c>
      <c r="R434" s="33" t="s">
        <v>2129</v>
      </c>
      <c r="S434" s="33">
        <v>613290</v>
      </c>
      <c r="T434" s="33" t="s">
        <v>2093</v>
      </c>
      <c r="U434" s="34">
        <v>0.91434000000000004</v>
      </c>
      <c r="V434" s="7"/>
      <c r="W434" s="7" t="str">
        <f>VLOOKUP($Q434,Mapping!$E$11:$I$96,3,0)</f>
        <v>Metering Opex</v>
      </c>
      <c r="X434" s="7" t="str">
        <f>VLOOKUP($S434,Mapping!$E$140:$K$2771,5,0)</f>
        <v>Labour</v>
      </c>
      <c r="Y434" s="7" t="str">
        <f>VLOOKUP($S434,Mapping!$E$140:$K$2771,7,0)</f>
        <v>ENDirect</v>
      </c>
      <c r="Z434" s="7" t="str">
        <f>IFERROR(HLOOKUP(X434,'Calc|Weightings'!$K$5:$M$5,1,0),"Excl")</f>
        <v>Labour</v>
      </c>
      <c r="AA434" s="7" t="str">
        <f>VLOOKUP(Q434,Mapping!$E$11:$I$96,5,0)</f>
        <v>Connection Services</v>
      </c>
      <c r="AC434" s="111">
        <v>114</v>
      </c>
      <c r="AD434" s="111" t="s">
        <v>2127</v>
      </c>
      <c r="AE434" s="111">
        <v>613712</v>
      </c>
      <c r="AF434" s="111" t="s">
        <v>1862</v>
      </c>
      <c r="AG434" s="112">
        <v>8.8002400000000005</v>
      </c>
      <c r="AI434" s="7" t="str">
        <f>VLOOKUP($AC434,Mapping!$E$11:$I$96,3,0)</f>
        <v>Metering Opex</v>
      </c>
      <c r="AJ434" s="7" t="str">
        <f>VLOOKUP($AE434,Mapping!$E$140:$K$2771,5,0)</f>
        <v>Materials</v>
      </c>
      <c r="AK434" s="7" t="str">
        <f>VLOOKUP($AE434,Mapping!$E$140:$K$2771,7,0)</f>
        <v>ENDirect</v>
      </c>
      <c r="AL434" s="7" t="str">
        <f>IFERROR(HLOOKUP(AJ434,'Calc|Weightings'!$K$5:$M$5,1,0),"Excl")</f>
        <v>Materials</v>
      </c>
      <c r="AM434" s="7" t="str">
        <f>VLOOKUP(AC434,Mapping!$E$11:$I$96,5,0)</f>
        <v>Connection Services</v>
      </c>
      <c r="AO434" s="134">
        <v>116</v>
      </c>
      <c r="AP434" s="135" t="s">
        <v>2130</v>
      </c>
      <c r="AQ434" s="135">
        <v>503330</v>
      </c>
      <c r="AR434" s="135" t="s">
        <v>180</v>
      </c>
      <c r="AS434" s="136">
        <v>5.75535</v>
      </c>
      <c r="AU434" s="7" t="str">
        <f>VLOOKUP($AO434,Mapping!$E$11:$I$96,3,0)</f>
        <v>Connections</v>
      </c>
      <c r="AV434" s="7" t="str">
        <f>VLOOKUP($AQ434,Mapping!$E$140:$K$2771,5,0)</f>
        <v>Contracts</v>
      </c>
      <c r="AW434" s="7" t="str">
        <f>VLOOKUP($AQ434,Mapping!$E$140:$K$2771,7,0)</f>
        <v>ENDirect</v>
      </c>
      <c r="AX434" s="7" t="str">
        <f>IFERROR(HLOOKUP(AV434,'Calc|Weightings'!$K$5:$M$5,1,0),"Excl")</f>
        <v>Contracts</v>
      </c>
      <c r="AY434" s="7" t="str">
        <f>VLOOKUP(AO434,Mapping!$E$11:$I$96,5,0)</f>
        <v>SCS</v>
      </c>
    </row>
    <row r="435" spans="1:51" x14ac:dyDescent="0.2">
      <c r="A435" s="7"/>
      <c r="B435" s="7"/>
      <c r="C435" s="7"/>
      <c r="D435" s="7"/>
      <c r="E435" s="36">
        <v>111</v>
      </c>
      <c r="F435" s="36" t="s">
        <v>2126</v>
      </c>
      <c r="G435" s="36">
        <v>613325</v>
      </c>
      <c r="H435" s="36" t="s">
        <v>2352</v>
      </c>
      <c r="I435" s="37">
        <v>0.90236000000000005</v>
      </c>
      <c r="J435" s="7"/>
      <c r="K435" s="7" t="str">
        <f>VLOOKUP($E435,Mapping!$E$11:$I$96,3,0)</f>
        <v>Connections</v>
      </c>
      <c r="L435" s="7" t="str">
        <f>VLOOKUP($G435,Mapping!$E$140:$K$2771,5,0)</f>
        <v>Labour</v>
      </c>
      <c r="M435" s="7" t="str">
        <f>VLOOKUP($G435,Mapping!$E$140:$K$2771,7,0)</f>
        <v>ENDirect</v>
      </c>
      <c r="N435" s="7" t="str">
        <f>IFERROR(HLOOKUP(L435,'Calc|Weightings'!$K$5:$M$5,1,0),"Excl")</f>
        <v>Labour</v>
      </c>
      <c r="O435" s="7" t="str">
        <f>VLOOKUP(E435,Mapping!$E$11:$I$96,5,0)</f>
        <v>SCS</v>
      </c>
      <c r="Q435" s="33">
        <v>115</v>
      </c>
      <c r="R435" s="33" t="s">
        <v>2129</v>
      </c>
      <c r="S435" s="33">
        <v>613291</v>
      </c>
      <c r="T435" s="33" t="s">
        <v>2094</v>
      </c>
      <c r="U435" s="34">
        <v>1.2945500000000001</v>
      </c>
      <c r="V435" s="7"/>
      <c r="W435" s="7" t="str">
        <f>VLOOKUP($Q435,Mapping!$E$11:$I$96,3,0)</f>
        <v>Metering Opex</v>
      </c>
      <c r="X435" s="7" t="str">
        <f>VLOOKUP($S435,Mapping!$E$140:$K$2771,5,0)</f>
        <v>Labour</v>
      </c>
      <c r="Y435" s="7" t="str">
        <f>VLOOKUP($S435,Mapping!$E$140:$K$2771,7,0)</f>
        <v>ENDirect</v>
      </c>
      <c r="Z435" s="7" t="str">
        <f>IFERROR(HLOOKUP(X435,'Calc|Weightings'!$K$5:$M$5,1,0),"Excl")</f>
        <v>Labour</v>
      </c>
      <c r="AA435" s="7" t="str">
        <f>VLOOKUP(Q435,Mapping!$E$11:$I$96,5,0)</f>
        <v>Connection Services</v>
      </c>
      <c r="AC435" s="111">
        <v>114</v>
      </c>
      <c r="AD435" s="111" t="s">
        <v>2127</v>
      </c>
      <c r="AE435" s="111">
        <v>613713</v>
      </c>
      <c r="AF435" s="111" t="s">
        <v>1863</v>
      </c>
      <c r="AG435" s="112">
        <v>20.950389999999999</v>
      </c>
      <c r="AI435" s="7" t="str">
        <f>VLOOKUP($AC435,Mapping!$E$11:$I$96,3,0)</f>
        <v>Metering Opex</v>
      </c>
      <c r="AJ435" s="7" t="str">
        <f>VLOOKUP($AE435,Mapping!$E$140:$K$2771,5,0)</f>
        <v>Materials</v>
      </c>
      <c r="AK435" s="7" t="str">
        <f>VLOOKUP($AE435,Mapping!$E$140:$K$2771,7,0)</f>
        <v>ENDirect</v>
      </c>
      <c r="AL435" s="7" t="str">
        <f>IFERROR(HLOOKUP(AJ435,'Calc|Weightings'!$K$5:$M$5,1,0),"Excl")</f>
        <v>Materials</v>
      </c>
      <c r="AM435" s="7" t="str">
        <f>VLOOKUP(AC435,Mapping!$E$11:$I$96,5,0)</f>
        <v>Connection Services</v>
      </c>
      <c r="AO435" s="134">
        <v>116</v>
      </c>
      <c r="AP435" s="135" t="s">
        <v>2130</v>
      </c>
      <c r="AQ435" s="135">
        <v>503350</v>
      </c>
      <c r="AR435" s="135" t="s">
        <v>182</v>
      </c>
      <c r="AS435" s="136">
        <v>0.88729999999999998</v>
      </c>
      <c r="AU435" s="7" t="str">
        <f>VLOOKUP($AO435,Mapping!$E$11:$I$96,3,0)</f>
        <v>Connections</v>
      </c>
      <c r="AV435" s="7" t="str">
        <f>VLOOKUP($AQ435,Mapping!$E$140:$K$2771,5,0)</f>
        <v>Contracts</v>
      </c>
      <c r="AW435" s="7" t="str">
        <f>VLOOKUP($AQ435,Mapping!$E$140:$K$2771,7,0)</f>
        <v>ENDirect</v>
      </c>
      <c r="AX435" s="7" t="str">
        <f>IFERROR(HLOOKUP(AV435,'Calc|Weightings'!$K$5:$M$5,1,0),"Excl")</f>
        <v>Contracts</v>
      </c>
      <c r="AY435" s="7" t="str">
        <f>VLOOKUP(AO435,Mapping!$E$11:$I$96,5,0)</f>
        <v>SCS</v>
      </c>
    </row>
    <row r="436" spans="1:51" x14ac:dyDescent="0.2">
      <c r="A436" s="7"/>
      <c r="B436" s="7"/>
      <c r="C436" s="7"/>
      <c r="D436" s="7"/>
      <c r="E436" s="36">
        <v>111</v>
      </c>
      <c r="F436" s="36" t="s">
        <v>2126</v>
      </c>
      <c r="G436" s="36">
        <v>613350</v>
      </c>
      <c r="H436" s="36" t="s">
        <v>2096</v>
      </c>
      <c r="I436" s="37">
        <v>50.318869999999997</v>
      </c>
      <c r="J436" s="7"/>
      <c r="K436" s="7" t="str">
        <f>VLOOKUP($E436,Mapping!$E$11:$I$96,3,0)</f>
        <v>Connections</v>
      </c>
      <c r="L436" s="7" t="str">
        <f>VLOOKUP($G436,Mapping!$E$140:$K$2771,5,0)</f>
        <v>Labour</v>
      </c>
      <c r="M436" s="7" t="str">
        <f>VLOOKUP($G436,Mapping!$E$140:$K$2771,7,0)</f>
        <v>ENDirect</v>
      </c>
      <c r="N436" s="7" t="str">
        <f>IFERROR(HLOOKUP(L436,'Calc|Weightings'!$K$5:$M$5,1,0),"Excl")</f>
        <v>Labour</v>
      </c>
      <c r="O436" s="7" t="str">
        <f>VLOOKUP(E436,Mapping!$E$11:$I$96,5,0)</f>
        <v>SCS</v>
      </c>
      <c r="Q436" s="33">
        <v>115</v>
      </c>
      <c r="R436" s="33" t="s">
        <v>2129</v>
      </c>
      <c r="S436" s="33">
        <v>613298</v>
      </c>
      <c r="T436" s="33" t="s">
        <v>2122</v>
      </c>
      <c r="U436" s="34">
        <v>0.18659999999999999</v>
      </c>
      <c r="V436" s="7"/>
      <c r="W436" s="7" t="str">
        <f>VLOOKUP($Q436,Mapping!$E$11:$I$96,3,0)</f>
        <v>Metering Opex</v>
      </c>
      <c r="X436" s="7" t="str">
        <f>VLOOKUP($S436,Mapping!$E$140:$K$2771,5,0)</f>
        <v>Labour</v>
      </c>
      <c r="Y436" s="7" t="str">
        <f>VLOOKUP($S436,Mapping!$E$140:$K$2771,7,0)</f>
        <v>ENDirect</v>
      </c>
      <c r="Z436" s="7" t="str">
        <f>IFERROR(HLOOKUP(X436,'Calc|Weightings'!$K$5:$M$5,1,0),"Excl")</f>
        <v>Labour</v>
      </c>
      <c r="AA436" s="7" t="str">
        <f>VLOOKUP(Q436,Mapping!$E$11:$I$96,5,0)</f>
        <v>Connection Services</v>
      </c>
      <c r="AC436" s="111">
        <v>114</v>
      </c>
      <c r="AD436" s="111" t="s">
        <v>2127</v>
      </c>
      <c r="AE436" s="111">
        <v>613745</v>
      </c>
      <c r="AF436" s="111" t="s">
        <v>2391</v>
      </c>
      <c r="AG436" s="112">
        <v>24.175419999999999</v>
      </c>
      <c r="AI436" s="7" t="str">
        <f>VLOOKUP($AC436,Mapping!$E$11:$I$96,3,0)</f>
        <v>Metering Opex</v>
      </c>
      <c r="AJ436" s="7" t="str">
        <f>VLOOKUP($AE436,Mapping!$E$140:$K$2771,5,0)</f>
        <v>Contracts</v>
      </c>
      <c r="AK436" s="7" t="str">
        <f>VLOOKUP($AE436,Mapping!$E$140:$K$2771,7,0)</f>
        <v>ENDirect</v>
      </c>
      <c r="AL436" s="7" t="str">
        <f>IFERROR(HLOOKUP(AJ436,'Calc|Weightings'!$K$5:$M$5,1,0),"Excl")</f>
        <v>Contracts</v>
      </c>
      <c r="AM436" s="7" t="str">
        <f>VLOOKUP(AC436,Mapping!$E$11:$I$96,5,0)</f>
        <v>Connection Services</v>
      </c>
      <c r="AO436" s="134">
        <v>116</v>
      </c>
      <c r="AP436" s="135" t="s">
        <v>2130</v>
      </c>
      <c r="AQ436" s="135">
        <v>520100</v>
      </c>
      <c r="AR436" s="135" t="s">
        <v>2072</v>
      </c>
      <c r="AS436" s="136">
        <v>6623.3010999999997</v>
      </c>
      <c r="AU436" s="7" t="str">
        <f>VLOOKUP($AO436,Mapping!$E$11:$I$96,3,0)</f>
        <v>Connections</v>
      </c>
      <c r="AV436" s="7" t="str">
        <f>VLOOKUP($AQ436,Mapping!$E$140:$K$2771,5,0)</f>
        <v>Materials</v>
      </c>
      <c r="AW436" s="7" t="str">
        <f>VLOOKUP($AQ436,Mapping!$E$140:$K$2771,7,0)</f>
        <v>ENDirect</v>
      </c>
      <c r="AX436" s="7" t="str">
        <f>IFERROR(HLOOKUP(AV436,'Calc|Weightings'!$K$5:$M$5,1,0),"Excl")</f>
        <v>Materials</v>
      </c>
      <c r="AY436" s="7" t="str">
        <f>VLOOKUP(AO436,Mapping!$E$11:$I$96,5,0)</f>
        <v>SCS</v>
      </c>
    </row>
    <row r="437" spans="1:51" x14ac:dyDescent="0.2">
      <c r="A437" s="7"/>
      <c r="B437" s="7"/>
      <c r="C437" s="7"/>
      <c r="D437" s="7"/>
      <c r="E437" s="36">
        <v>111</v>
      </c>
      <c r="F437" s="36" t="s">
        <v>2126</v>
      </c>
      <c r="G437" s="36">
        <v>613360</v>
      </c>
      <c r="H437" s="36" t="s">
        <v>2097</v>
      </c>
      <c r="I437" s="37">
        <v>213.52665999999999</v>
      </c>
      <c r="J437" s="7"/>
      <c r="K437" s="7" t="str">
        <f>VLOOKUP($E437,Mapping!$E$11:$I$96,3,0)</f>
        <v>Connections</v>
      </c>
      <c r="L437" s="7" t="str">
        <f>VLOOKUP($G437,Mapping!$E$140:$K$2771,5,0)</f>
        <v>Labour</v>
      </c>
      <c r="M437" s="7" t="str">
        <f>VLOOKUP($G437,Mapping!$E$140:$K$2771,7,0)</f>
        <v>ENDirect</v>
      </c>
      <c r="N437" s="7" t="str">
        <f>IFERROR(HLOOKUP(L437,'Calc|Weightings'!$K$5:$M$5,1,0),"Excl")</f>
        <v>Labour</v>
      </c>
      <c r="O437" s="7" t="str">
        <f>VLOOKUP(E437,Mapping!$E$11:$I$96,5,0)</f>
        <v>SCS</v>
      </c>
      <c r="Q437" s="33">
        <v>115</v>
      </c>
      <c r="R437" s="33" t="s">
        <v>2129</v>
      </c>
      <c r="S437" s="33">
        <v>613440</v>
      </c>
      <c r="T437" s="33" t="s">
        <v>2103</v>
      </c>
      <c r="U437" s="34">
        <v>0.11527999999999999</v>
      </c>
      <c r="V437" s="7"/>
      <c r="W437" s="7" t="str">
        <f>VLOOKUP($Q437,Mapping!$E$11:$I$96,3,0)</f>
        <v>Metering Opex</v>
      </c>
      <c r="X437" s="7" t="str">
        <f>VLOOKUP($S437,Mapping!$E$140:$K$2771,5,0)</f>
        <v>Labour</v>
      </c>
      <c r="Y437" s="7" t="str">
        <f>VLOOKUP($S437,Mapping!$E$140:$K$2771,7,0)</f>
        <v>ENDirect</v>
      </c>
      <c r="Z437" s="7" t="str">
        <f>IFERROR(HLOOKUP(X437,'Calc|Weightings'!$K$5:$M$5,1,0),"Excl")</f>
        <v>Labour</v>
      </c>
      <c r="AA437" s="7" t="str">
        <f>VLOOKUP(Q437,Mapping!$E$11:$I$96,5,0)</f>
        <v>Connection Services</v>
      </c>
      <c r="AC437" s="111">
        <v>114</v>
      </c>
      <c r="AD437" s="111" t="s">
        <v>2127</v>
      </c>
      <c r="AE437" s="111">
        <v>635001</v>
      </c>
      <c r="AF437" s="111" t="s">
        <v>1929</v>
      </c>
      <c r="AG437" s="112">
        <v>2.1328999999999998</v>
      </c>
      <c r="AI437" s="7" t="str">
        <f>VLOOKUP($AC437,Mapping!$E$11:$I$96,3,0)</f>
        <v>Metering Opex</v>
      </c>
      <c r="AJ437" s="7" t="str">
        <f>VLOOKUP($AE437,Mapping!$E$140:$K$2771,5,0)</f>
        <v>PNS MG</v>
      </c>
      <c r="AK437" s="7" t="str">
        <f>VLOOKUP($AE437,Mapping!$E$140:$K$2771,7,0)</f>
        <v>ENDirect</v>
      </c>
      <c r="AL437" s="7" t="str">
        <f>IFERROR(HLOOKUP(AJ437,'Calc|Weightings'!$K$5:$M$5,1,0),"Excl")</f>
        <v>Excl</v>
      </c>
      <c r="AM437" s="7" t="str">
        <f>VLOOKUP(AC437,Mapping!$E$11:$I$96,5,0)</f>
        <v>Connection Services</v>
      </c>
      <c r="AO437" s="134">
        <v>116</v>
      </c>
      <c r="AP437" s="135" t="s">
        <v>2130</v>
      </c>
      <c r="AQ437" s="135">
        <v>520150</v>
      </c>
      <c r="AR437" s="135" t="s">
        <v>2205</v>
      </c>
      <c r="AS437" s="136">
        <v>0.25779999999999997</v>
      </c>
      <c r="AU437" s="7" t="str">
        <f>VLOOKUP($AO437,Mapping!$E$11:$I$96,3,0)</f>
        <v>Connections</v>
      </c>
      <c r="AV437" s="7" t="str">
        <f>VLOOKUP($AQ437,Mapping!$E$140:$K$2771,5,0)</f>
        <v>Materials</v>
      </c>
      <c r="AW437" s="7" t="str">
        <f>VLOOKUP($AQ437,Mapping!$E$140:$K$2771,7,0)</f>
        <v>ENDirect</v>
      </c>
      <c r="AX437" s="7" t="str">
        <f>IFERROR(HLOOKUP(AV437,'Calc|Weightings'!$K$5:$M$5,1,0),"Excl")</f>
        <v>Materials</v>
      </c>
      <c r="AY437" s="7" t="str">
        <f>VLOOKUP(AO437,Mapping!$E$11:$I$96,5,0)</f>
        <v>SCS</v>
      </c>
    </row>
    <row r="438" spans="1:51" x14ac:dyDescent="0.2">
      <c r="A438" s="7"/>
      <c r="B438" s="7"/>
      <c r="C438" s="7"/>
      <c r="D438" s="7"/>
      <c r="E438" s="36">
        <v>111</v>
      </c>
      <c r="F438" s="36" t="s">
        <v>2126</v>
      </c>
      <c r="G438" s="36">
        <v>613361</v>
      </c>
      <c r="H438" s="36" t="s">
        <v>2098</v>
      </c>
      <c r="I438" s="37">
        <v>12.157220000000001</v>
      </c>
      <c r="J438" s="7"/>
      <c r="K438" s="7" t="str">
        <f>VLOOKUP($E438,Mapping!$E$11:$I$96,3,0)</f>
        <v>Connections</v>
      </c>
      <c r="L438" s="7" t="str">
        <f>VLOOKUP($G438,Mapping!$E$140:$K$2771,5,0)</f>
        <v>Labour</v>
      </c>
      <c r="M438" s="7" t="str">
        <f>VLOOKUP($G438,Mapping!$E$140:$K$2771,7,0)</f>
        <v>ENDirect</v>
      </c>
      <c r="N438" s="7" t="str">
        <f>IFERROR(HLOOKUP(L438,'Calc|Weightings'!$K$5:$M$5,1,0),"Excl")</f>
        <v>Labour</v>
      </c>
      <c r="O438" s="7" t="str">
        <f>VLOOKUP(E438,Mapping!$E$11:$I$96,5,0)</f>
        <v>SCS</v>
      </c>
      <c r="Q438" s="33">
        <v>115</v>
      </c>
      <c r="R438" s="33" t="s">
        <v>2129</v>
      </c>
      <c r="S438" s="33">
        <v>613714</v>
      </c>
      <c r="T438" s="33" t="s">
        <v>1864</v>
      </c>
      <c r="U438" s="34">
        <v>39.403979999999997</v>
      </c>
      <c r="V438" s="7"/>
      <c r="W438" s="7" t="str">
        <f>VLOOKUP($Q438,Mapping!$E$11:$I$96,3,0)</f>
        <v>Metering Opex</v>
      </c>
      <c r="X438" s="7" t="str">
        <f>VLOOKUP($S438,Mapping!$E$140:$K$2771,5,0)</f>
        <v>Contracts</v>
      </c>
      <c r="Y438" s="7" t="str">
        <f>VLOOKUP($S438,Mapping!$E$140:$K$2771,7,0)</f>
        <v>ENDirect</v>
      </c>
      <c r="Z438" s="7" t="str">
        <f>IFERROR(HLOOKUP(X438,'Calc|Weightings'!$K$5:$M$5,1,0),"Excl")</f>
        <v>Contracts</v>
      </c>
      <c r="AA438" s="7" t="str">
        <f>VLOOKUP(Q438,Mapping!$E$11:$I$96,5,0)</f>
        <v>Connection Services</v>
      </c>
      <c r="AC438" s="111">
        <v>114</v>
      </c>
      <c r="AD438" s="111" t="s">
        <v>2127</v>
      </c>
      <c r="AE438" s="111">
        <v>639000</v>
      </c>
      <c r="AF438" s="111" t="s">
        <v>2112</v>
      </c>
      <c r="AG438" s="112">
        <v>13.244120000000001</v>
      </c>
      <c r="AI438" s="7" t="str">
        <f>VLOOKUP($AC438,Mapping!$E$11:$I$96,3,0)</f>
        <v>Metering Opex</v>
      </c>
      <c r="AJ438" s="7" t="str">
        <f>VLOOKUP($AE438,Mapping!$E$140:$K$2771,5,0)</f>
        <v>PNS Corporate OH</v>
      </c>
      <c r="AK438" s="7" t="str">
        <f>VLOOKUP($AE438,Mapping!$E$140:$K$2771,7,0)</f>
        <v>OH</v>
      </c>
      <c r="AL438" s="7" t="str">
        <f>IFERROR(HLOOKUP(AJ438,'Calc|Weightings'!$K$5:$M$5,1,0),"Excl")</f>
        <v>Excl</v>
      </c>
      <c r="AM438" s="7" t="str">
        <f>VLOOKUP(AC438,Mapping!$E$11:$I$96,5,0)</f>
        <v>Connection Services</v>
      </c>
      <c r="AO438" s="134">
        <v>116</v>
      </c>
      <c r="AP438" s="135" t="s">
        <v>2130</v>
      </c>
      <c r="AQ438" s="135">
        <v>520200</v>
      </c>
      <c r="AR438" s="135" t="s">
        <v>2073</v>
      </c>
      <c r="AS438" s="136">
        <v>19.28764</v>
      </c>
      <c r="AU438" s="7" t="str">
        <f>VLOOKUP($AO438,Mapping!$E$11:$I$96,3,0)</f>
        <v>Connections</v>
      </c>
      <c r="AV438" s="7" t="str">
        <f>VLOOKUP($AQ438,Mapping!$E$140:$K$2771,5,0)</f>
        <v>Materials</v>
      </c>
      <c r="AW438" s="7" t="str">
        <f>VLOOKUP($AQ438,Mapping!$E$140:$K$2771,7,0)</f>
        <v>ENDirect</v>
      </c>
      <c r="AX438" s="7" t="str">
        <f>IFERROR(HLOOKUP(AV438,'Calc|Weightings'!$K$5:$M$5,1,0),"Excl")</f>
        <v>Materials</v>
      </c>
      <c r="AY438" s="7" t="str">
        <f>VLOOKUP(AO438,Mapping!$E$11:$I$96,5,0)</f>
        <v>SCS</v>
      </c>
    </row>
    <row r="439" spans="1:51" x14ac:dyDescent="0.2">
      <c r="A439" s="7"/>
      <c r="B439" s="7"/>
      <c r="C439" s="7"/>
      <c r="D439" s="7"/>
      <c r="E439" s="36">
        <v>111</v>
      </c>
      <c r="F439" s="36" t="s">
        <v>2126</v>
      </c>
      <c r="G439" s="36">
        <v>613362</v>
      </c>
      <c r="H439" s="36" t="s">
        <v>1396</v>
      </c>
      <c r="I439" s="37">
        <v>15.89875</v>
      </c>
      <c r="J439" s="7"/>
      <c r="K439" s="7" t="str">
        <f>VLOOKUP($E439,Mapping!$E$11:$I$96,3,0)</f>
        <v>Connections</v>
      </c>
      <c r="L439" s="7" t="str">
        <f>VLOOKUP($G439,Mapping!$E$140:$K$2771,5,0)</f>
        <v>Labour</v>
      </c>
      <c r="M439" s="7" t="str">
        <f>VLOOKUP($G439,Mapping!$E$140:$K$2771,7,0)</f>
        <v>ENDirect</v>
      </c>
      <c r="N439" s="7" t="str">
        <f>IFERROR(HLOOKUP(L439,'Calc|Weightings'!$K$5:$M$5,1,0),"Excl")</f>
        <v>Labour</v>
      </c>
      <c r="O439" s="7" t="str">
        <f>VLOOKUP(E439,Mapping!$E$11:$I$96,5,0)</f>
        <v>SCS</v>
      </c>
      <c r="Q439" s="33">
        <v>115</v>
      </c>
      <c r="R439" s="33" t="s">
        <v>2129</v>
      </c>
      <c r="S439" s="33">
        <v>613715</v>
      </c>
      <c r="T439" s="33" t="s">
        <v>1859</v>
      </c>
      <c r="U439" s="34">
        <v>30.925920000000001</v>
      </c>
      <c r="V439" s="7"/>
      <c r="W439" s="7" t="str">
        <f>VLOOKUP($Q439,Mapping!$E$11:$I$96,3,0)</f>
        <v>Metering Opex</v>
      </c>
      <c r="X439" s="7" t="str">
        <f>VLOOKUP($S439,Mapping!$E$140:$K$2771,5,0)</f>
        <v>Contracts</v>
      </c>
      <c r="Y439" s="7" t="str">
        <f>VLOOKUP($S439,Mapping!$E$140:$K$2771,7,0)</f>
        <v>ENDirect</v>
      </c>
      <c r="Z439" s="7" t="str">
        <f>IFERROR(HLOOKUP(X439,'Calc|Weightings'!$K$5:$M$5,1,0),"Excl")</f>
        <v>Contracts</v>
      </c>
      <c r="AA439" s="7" t="str">
        <f>VLOOKUP(Q439,Mapping!$E$11:$I$96,5,0)</f>
        <v>Connection Services</v>
      </c>
      <c r="AC439" s="111">
        <v>114</v>
      </c>
      <c r="AD439" s="111" t="s">
        <v>2127</v>
      </c>
      <c r="AE439" s="111">
        <v>639050</v>
      </c>
      <c r="AF439" s="111" t="s">
        <v>2113</v>
      </c>
      <c r="AG439" s="112">
        <v>0.11687</v>
      </c>
      <c r="AI439" s="7" t="str">
        <f>VLOOKUP($AC439,Mapping!$E$11:$I$96,3,0)</f>
        <v>Metering Opex</v>
      </c>
      <c r="AJ439" s="7" t="str">
        <f>VLOOKUP($AE439,Mapping!$E$140:$K$2771,5,0)</f>
        <v>PNS Fleet &amp; Property OH</v>
      </c>
      <c r="AK439" s="7" t="str">
        <f>VLOOKUP($AE439,Mapping!$E$140:$K$2771,7,0)</f>
        <v>OH</v>
      </c>
      <c r="AL439" s="7" t="str">
        <f>IFERROR(HLOOKUP(AJ439,'Calc|Weightings'!$K$5:$M$5,1,0),"Excl")</f>
        <v>Excl</v>
      </c>
      <c r="AM439" s="7" t="str">
        <f>VLOOKUP(AC439,Mapping!$E$11:$I$96,5,0)</f>
        <v>Connection Services</v>
      </c>
      <c r="AO439" s="134">
        <v>116</v>
      </c>
      <c r="AP439" s="135" t="s">
        <v>2130</v>
      </c>
      <c r="AQ439" s="135">
        <v>522100</v>
      </c>
      <c r="AR439" s="135" t="s">
        <v>2115</v>
      </c>
      <c r="AS439" s="136">
        <v>0.2</v>
      </c>
      <c r="AU439" s="7" t="str">
        <f>VLOOKUP($AO439,Mapping!$E$11:$I$96,3,0)</f>
        <v>Connections</v>
      </c>
      <c r="AV439" s="7" t="str">
        <f>VLOOKUP($AQ439,Mapping!$E$140:$K$2771,5,0)</f>
        <v>Materials</v>
      </c>
      <c r="AW439" s="7" t="str">
        <f>VLOOKUP($AQ439,Mapping!$E$140:$K$2771,7,0)</f>
        <v>ENDirect</v>
      </c>
      <c r="AX439" s="7" t="str">
        <f>IFERROR(HLOOKUP(AV439,'Calc|Weightings'!$K$5:$M$5,1,0),"Excl")</f>
        <v>Materials</v>
      </c>
      <c r="AY439" s="7" t="str">
        <f>VLOOKUP(AO439,Mapping!$E$11:$I$96,5,0)</f>
        <v>SCS</v>
      </c>
    </row>
    <row r="440" spans="1:51" x14ac:dyDescent="0.2">
      <c r="A440" s="7"/>
      <c r="B440" s="7"/>
      <c r="C440" s="7"/>
      <c r="D440" s="7"/>
      <c r="E440" s="36">
        <v>111</v>
      </c>
      <c r="F440" s="36" t="s">
        <v>2126</v>
      </c>
      <c r="G440" s="36">
        <v>613370</v>
      </c>
      <c r="H440" s="36" t="s">
        <v>1402</v>
      </c>
      <c r="I440" s="37">
        <v>99.119339999999994</v>
      </c>
      <c r="J440" s="7"/>
      <c r="K440" s="7" t="str">
        <f>VLOOKUP($E440,Mapping!$E$11:$I$96,3,0)</f>
        <v>Connections</v>
      </c>
      <c r="L440" s="7" t="str">
        <f>VLOOKUP($G440,Mapping!$E$140:$K$2771,5,0)</f>
        <v>Labour</v>
      </c>
      <c r="M440" s="7" t="str">
        <f>VLOOKUP($G440,Mapping!$E$140:$K$2771,7,0)</f>
        <v>ENDirect</v>
      </c>
      <c r="N440" s="7" t="str">
        <f>IFERROR(HLOOKUP(L440,'Calc|Weightings'!$K$5:$M$5,1,0),"Excl")</f>
        <v>Labour</v>
      </c>
      <c r="O440" s="7" t="str">
        <f>VLOOKUP(E440,Mapping!$E$11:$I$96,5,0)</f>
        <v>SCS</v>
      </c>
      <c r="Q440" s="33">
        <v>115</v>
      </c>
      <c r="R440" s="33" t="s">
        <v>2129</v>
      </c>
      <c r="S440" s="33">
        <v>613716</v>
      </c>
      <c r="T440" s="33" t="s">
        <v>1865</v>
      </c>
      <c r="U440" s="34">
        <v>284.67669000000001</v>
      </c>
      <c r="V440" s="7"/>
      <c r="W440" s="7" t="str">
        <f>VLOOKUP($Q440,Mapping!$E$11:$I$96,3,0)</f>
        <v>Metering Opex</v>
      </c>
      <c r="X440" s="7" t="str">
        <f>VLOOKUP($S440,Mapping!$E$140:$K$2771,5,0)</f>
        <v>Contracts</v>
      </c>
      <c r="Y440" s="7" t="str">
        <f>VLOOKUP($S440,Mapping!$E$140:$K$2771,7,0)</f>
        <v>ENDirect</v>
      </c>
      <c r="Z440" s="7" t="str">
        <f>IFERROR(HLOOKUP(X440,'Calc|Weightings'!$K$5:$M$5,1,0),"Excl")</f>
        <v>Contracts</v>
      </c>
      <c r="AA440" s="7" t="str">
        <f>VLOOKUP(Q440,Mapping!$E$11:$I$96,5,0)</f>
        <v>Connection Services</v>
      </c>
      <c r="AC440" s="111">
        <v>115</v>
      </c>
      <c r="AD440" s="111" t="s">
        <v>2129</v>
      </c>
      <c r="AE440" s="111">
        <v>531464</v>
      </c>
      <c r="AF440" s="111" t="s">
        <v>256</v>
      </c>
      <c r="AG440" s="112">
        <v>-9.5002999999999993</v>
      </c>
      <c r="AI440" s="7" t="str">
        <f>VLOOKUP($AC440,Mapping!$E$11:$I$96,3,0)</f>
        <v>Metering Opex</v>
      </c>
      <c r="AJ440" s="7" t="str">
        <f>VLOOKUP($AE440,Mapping!$E$140:$K$2771,5,0)</f>
        <v>Contracts</v>
      </c>
      <c r="AK440" s="7" t="str">
        <f>VLOOKUP($AE440,Mapping!$E$140:$K$2771,7,0)</f>
        <v>ENDirect</v>
      </c>
      <c r="AL440" s="7" t="str">
        <f>IFERROR(HLOOKUP(AJ440,'Calc|Weightings'!$K$5:$M$5,1,0),"Excl")</f>
        <v>Contracts</v>
      </c>
      <c r="AM440" s="7" t="str">
        <f>VLOOKUP(AC440,Mapping!$E$11:$I$96,5,0)</f>
        <v>Connection Services</v>
      </c>
      <c r="AO440" s="134">
        <v>116</v>
      </c>
      <c r="AP440" s="135" t="s">
        <v>2130</v>
      </c>
      <c r="AQ440" s="135">
        <v>523100</v>
      </c>
      <c r="AR440" s="135" t="s">
        <v>2074</v>
      </c>
      <c r="AS440" s="136">
        <v>23.61514</v>
      </c>
      <c r="AU440" s="7" t="str">
        <f>VLOOKUP($AO440,Mapping!$E$11:$I$96,3,0)</f>
        <v>Connections</v>
      </c>
      <c r="AV440" s="7" t="str">
        <f>VLOOKUP($AQ440,Mapping!$E$140:$K$2771,5,0)</f>
        <v>Materials</v>
      </c>
      <c r="AW440" s="7" t="str">
        <f>VLOOKUP($AQ440,Mapping!$E$140:$K$2771,7,0)</f>
        <v>ENDirect</v>
      </c>
      <c r="AX440" s="7" t="str">
        <f>IFERROR(HLOOKUP(AV440,'Calc|Weightings'!$K$5:$M$5,1,0),"Excl")</f>
        <v>Materials</v>
      </c>
      <c r="AY440" s="7" t="str">
        <f>VLOOKUP(AO440,Mapping!$E$11:$I$96,5,0)</f>
        <v>SCS</v>
      </c>
    </row>
    <row r="441" spans="1:51" x14ac:dyDescent="0.2">
      <c r="A441" s="7"/>
      <c r="B441" s="7"/>
      <c r="C441" s="7"/>
      <c r="D441" s="7"/>
      <c r="E441" s="36">
        <v>111</v>
      </c>
      <c r="F441" s="36" t="s">
        <v>2126</v>
      </c>
      <c r="G441" s="36">
        <v>613400</v>
      </c>
      <c r="H441" s="36" t="s">
        <v>2099</v>
      </c>
      <c r="I441" s="37">
        <v>3.2861699999999998</v>
      </c>
      <c r="J441" s="7"/>
      <c r="K441" s="7" t="str">
        <f>VLOOKUP($E441,Mapping!$E$11:$I$96,3,0)</f>
        <v>Connections</v>
      </c>
      <c r="L441" s="7" t="str">
        <f>VLOOKUP($G441,Mapping!$E$140:$K$2771,5,0)</f>
        <v>Labour</v>
      </c>
      <c r="M441" s="7" t="str">
        <f>VLOOKUP($G441,Mapping!$E$140:$K$2771,7,0)</f>
        <v>ENDirect</v>
      </c>
      <c r="N441" s="7" t="str">
        <f>IFERROR(HLOOKUP(L441,'Calc|Weightings'!$K$5:$M$5,1,0),"Excl")</f>
        <v>Labour</v>
      </c>
      <c r="O441" s="7" t="str">
        <f>VLOOKUP(E441,Mapping!$E$11:$I$96,5,0)</f>
        <v>SCS</v>
      </c>
      <c r="Q441" s="33">
        <v>115</v>
      </c>
      <c r="R441" s="33" t="s">
        <v>2129</v>
      </c>
      <c r="S441" s="33">
        <v>613717</v>
      </c>
      <c r="T441" s="33" t="s">
        <v>1866</v>
      </c>
      <c r="U441" s="34">
        <v>626.49288000000001</v>
      </c>
      <c r="V441" s="7"/>
      <c r="W441" s="7" t="str">
        <f>VLOOKUP($Q441,Mapping!$E$11:$I$96,3,0)</f>
        <v>Metering Opex</v>
      </c>
      <c r="X441" s="7" t="str">
        <f>VLOOKUP($S441,Mapping!$E$140:$K$2771,5,0)</f>
        <v>Contracts</v>
      </c>
      <c r="Y441" s="7" t="str">
        <f>VLOOKUP($S441,Mapping!$E$140:$K$2771,7,0)</f>
        <v>ENDirect</v>
      </c>
      <c r="Z441" s="7" t="str">
        <f>IFERROR(HLOOKUP(X441,'Calc|Weightings'!$K$5:$M$5,1,0),"Excl")</f>
        <v>Contracts</v>
      </c>
      <c r="AA441" s="7" t="str">
        <f>VLOOKUP(Q441,Mapping!$E$11:$I$96,5,0)</f>
        <v>Connection Services</v>
      </c>
      <c r="AC441" s="111">
        <v>115</v>
      </c>
      <c r="AD441" s="111" t="s">
        <v>2129</v>
      </c>
      <c r="AE441" s="111">
        <v>531465</v>
      </c>
      <c r="AF441" s="111" t="s">
        <v>257</v>
      </c>
      <c r="AG441" s="112">
        <v>0.65</v>
      </c>
      <c r="AI441" s="7" t="str">
        <f>VLOOKUP($AC441,Mapping!$E$11:$I$96,3,0)</f>
        <v>Metering Opex</v>
      </c>
      <c r="AJ441" s="7" t="str">
        <f>VLOOKUP($AE441,Mapping!$E$140:$K$2771,5,0)</f>
        <v>Contracts</v>
      </c>
      <c r="AK441" s="7" t="str">
        <f>VLOOKUP($AE441,Mapping!$E$140:$K$2771,7,0)</f>
        <v>ENDirect</v>
      </c>
      <c r="AL441" s="7" t="str">
        <f>IFERROR(HLOOKUP(AJ441,'Calc|Weightings'!$K$5:$M$5,1,0),"Excl")</f>
        <v>Contracts</v>
      </c>
      <c r="AM441" s="7" t="str">
        <f>VLOOKUP(AC441,Mapping!$E$11:$I$96,5,0)</f>
        <v>Connection Services</v>
      </c>
      <c r="AO441" s="134">
        <v>116</v>
      </c>
      <c r="AP441" s="135" t="s">
        <v>2130</v>
      </c>
      <c r="AQ441" s="135">
        <v>523300</v>
      </c>
      <c r="AR441" s="135" t="s">
        <v>2075</v>
      </c>
      <c r="AS441" s="136">
        <v>83.801180000000002</v>
      </c>
      <c r="AU441" s="7" t="str">
        <f>VLOOKUP($AO441,Mapping!$E$11:$I$96,3,0)</f>
        <v>Connections</v>
      </c>
      <c r="AV441" s="7" t="str">
        <f>VLOOKUP($AQ441,Mapping!$E$140:$K$2771,5,0)</f>
        <v>Materials</v>
      </c>
      <c r="AW441" s="7" t="str">
        <f>VLOOKUP($AQ441,Mapping!$E$140:$K$2771,7,0)</f>
        <v>ENDirect</v>
      </c>
      <c r="AX441" s="7" t="str">
        <f>IFERROR(HLOOKUP(AV441,'Calc|Weightings'!$K$5:$M$5,1,0),"Excl")</f>
        <v>Materials</v>
      </c>
      <c r="AY441" s="7" t="str">
        <f>VLOOKUP(AO441,Mapping!$E$11:$I$96,5,0)</f>
        <v>SCS</v>
      </c>
    </row>
    <row r="442" spans="1:51" x14ac:dyDescent="0.2">
      <c r="A442" s="7"/>
      <c r="B442" s="7"/>
      <c r="C442" s="7"/>
      <c r="D442" s="7"/>
      <c r="E442" s="36">
        <v>111</v>
      </c>
      <c r="F442" s="36" t="s">
        <v>2126</v>
      </c>
      <c r="G442" s="36">
        <v>613408</v>
      </c>
      <c r="H442" s="36" t="s">
        <v>1418</v>
      </c>
      <c r="I442" s="37">
        <v>83.249650000000003</v>
      </c>
      <c r="J442" s="7"/>
      <c r="K442" s="7" t="str">
        <f>VLOOKUP($E442,Mapping!$E$11:$I$96,3,0)</f>
        <v>Connections</v>
      </c>
      <c r="L442" s="7" t="str">
        <f>VLOOKUP($G442,Mapping!$E$140:$K$2771,5,0)</f>
        <v>Labour</v>
      </c>
      <c r="M442" s="7" t="str">
        <f>VLOOKUP($G442,Mapping!$E$140:$K$2771,7,0)</f>
        <v>ENDirect</v>
      </c>
      <c r="N442" s="7" t="str">
        <f>IFERROR(HLOOKUP(L442,'Calc|Weightings'!$K$5:$M$5,1,0),"Excl")</f>
        <v>Labour</v>
      </c>
      <c r="O442" s="7" t="str">
        <f>VLOOKUP(E442,Mapping!$E$11:$I$96,5,0)</f>
        <v>SCS</v>
      </c>
      <c r="Q442" s="33">
        <v>115</v>
      </c>
      <c r="R442" s="33" t="s">
        <v>2129</v>
      </c>
      <c r="S442" s="33">
        <v>613718</v>
      </c>
      <c r="T442" s="33" t="s">
        <v>1862</v>
      </c>
      <c r="U442" s="34">
        <v>29.95608</v>
      </c>
      <c r="V442" s="7"/>
      <c r="W442" s="7" t="str">
        <f>VLOOKUP($Q442,Mapping!$E$11:$I$96,3,0)</f>
        <v>Metering Opex</v>
      </c>
      <c r="X442" s="7" t="str">
        <f>VLOOKUP($S442,Mapping!$E$140:$K$2771,5,0)</f>
        <v>Contracts</v>
      </c>
      <c r="Y442" s="7" t="str">
        <f>VLOOKUP($S442,Mapping!$E$140:$K$2771,7,0)</f>
        <v>ENDirect</v>
      </c>
      <c r="Z442" s="7" t="str">
        <f>IFERROR(HLOOKUP(X442,'Calc|Weightings'!$K$5:$M$5,1,0),"Excl")</f>
        <v>Contracts</v>
      </c>
      <c r="AA442" s="7" t="str">
        <f>VLOOKUP(Q442,Mapping!$E$11:$I$96,5,0)</f>
        <v>Connection Services</v>
      </c>
      <c r="AC442" s="111">
        <v>115</v>
      </c>
      <c r="AD442" s="111" t="s">
        <v>2129</v>
      </c>
      <c r="AE442" s="111">
        <v>591997</v>
      </c>
      <c r="AF442" s="111" t="s">
        <v>2194</v>
      </c>
      <c r="AG442" s="112">
        <v>-0.45992</v>
      </c>
      <c r="AI442" s="7" t="str">
        <f>VLOOKUP($AC442,Mapping!$E$11:$I$96,3,0)</f>
        <v>Metering Opex</v>
      </c>
      <c r="AJ442" s="7" t="str">
        <f>VLOOKUP($AE442,Mapping!$E$140:$K$2771,5,0)</f>
        <v>Contracts</v>
      </c>
      <c r="AK442" s="7" t="str">
        <f>VLOOKUP($AE442,Mapping!$E$140:$K$2771,7,0)</f>
        <v>ENDirect</v>
      </c>
      <c r="AL442" s="7" t="str">
        <f>IFERROR(HLOOKUP(AJ442,'Calc|Weightings'!$K$5:$M$5,1,0),"Excl")</f>
        <v>Contracts</v>
      </c>
      <c r="AM442" s="7" t="str">
        <f>VLOOKUP(AC442,Mapping!$E$11:$I$96,5,0)</f>
        <v>Connection Services</v>
      </c>
      <c r="AO442" s="134">
        <v>116</v>
      </c>
      <c r="AP442" s="135" t="s">
        <v>2130</v>
      </c>
      <c r="AQ442" s="135">
        <v>524110</v>
      </c>
      <c r="AR442" s="135" t="s">
        <v>231</v>
      </c>
      <c r="AS442" s="136">
        <v>5.5199999999999999E-2</v>
      </c>
      <c r="AU442" s="7" t="str">
        <f>VLOOKUP($AO442,Mapping!$E$11:$I$96,3,0)</f>
        <v>Connections</v>
      </c>
      <c r="AV442" s="7" t="str">
        <f>VLOOKUP($AQ442,Mapping!$E$140:$K$2771,5,0)</f>
        <v>Materials</v>
      </c>
      <c r="AW442" s="7" t="str">
        <f>VLOOKUP($AQ442,Mapping!$E$140:$K$2771,7,0)</f>
        <v>ENDirect</v>
      </c>
      <c r="AX442" s="7" t="str">
        <f>IFERROR(HLOOKUP(AV442,'Calc|Weightings'!$K$5:$M$5,1,0),"Excl")</f>
        <v>Materials</v>
      </c>
      <c r="AY442" s="7" t="str">
        <f>VLOOKUP(AO442,Mapping!$E$11:$I$96,5,0)</f>
        <v>SCS</v>
      </c>
    </row>
    <row r="443" spans="1:51" x14ac:dyDescent="0.2">
      <c r="A443" s="7"/>
      <c r="B443" s="7"/>
      <c r="C443" s="7"/>
      <c r="D443" s="7"/>
      <c r="E443" s="36">
        <v>111</v>
      </c>
      <c r="F443" s="36" t="s">
        <v>2126</v>
      </c>
      <c r="G443" s="36">
        <v>613409</v>
      </c>
      <c r="H443" s="36" t="s">
        <v>1419</v>
      </c>
      <c r="I443" s="37">
        <v>13.32727</v>
      </c>
      <c r="J443" s="7"/>
      <c r="K443" s="7" t="str">
        <f>VLOOKUP($E443,Mapping!$E$11:$I$96,3,0)</f>
        <v>Connections</v>
      </c>
      <c r="L443" s="7" t="str">
        <f>VLOOKUP($G443,Mapping!$E$140:$K$2771,5,0)</f>
        <v>Labour</v>
      </c>
      <c r="M443" s="7" t="str">
        <f>VLOOKUP($G443,Mapping!$E$140:$K$2771,7,0)</f>
        <v>ENDirect</v>
      </c>
      <c r="N443" s="7" t="str">
        <f>IFERROR(HLOOKUP(L443,'Calc|Weightings'!$K$5:$M$5,1,0),"Excl")</f>
        <v>Labour</v>
      </c>
      <c r="O443" s="7" t="str">
        <f>VLOOKUP(E443,Mapping!$E$11:$I$96,5,0)</f>
        <v>SCS</v>
      </c>
      <c r="Q443" s="33">
        <v>115</v>
      </c>
      <c r="R443" s="33" t="s">
        <v>2129</v>
      </c>
      <c r="S443" s="33">
        <v>613719</v>
      </c>
      <c r="T443" s="33" t="s">
        <v>1867</v>
      </c>
      <c r="U443" s="34">
        <v>100.57504</v>
      </c>
      <c r="V443" s="7"/>
      <c r="W443" s="7" t="str">
        <f>VLOOKUP($Q443,Mapping!$E$11:$I$96,3,0)</f>
        <v>Metering Opex</v>
      </c>
      <c r="X443" s="7" t="str">
        <f>VLOOKUP($S443,Mapping!$E$140:$K$2771,5,0)</f>
        <v>Contracts</v>
      </c>
      <c r="Y443" s="7" t="str">
        <f>VLOOKUP($S443,Mapping!$E$140:$K$2771,7,0)</f>
        <v>ENDirect</v>
      </c>
      <c r="Z443" s="7" t="str">
        <f>IFERROR(HLOOKUP(X443,'Calc|Weightings'!$K$5:$M$5,1,0),"Excl")</f>
        <v>Contracts</v>
      </c>
      <c r="AA443" s="7" t="str">
        <f>VLOOKUP(Q443,Mapping!$E$11:$I$96,5,0)</f>
        <v>Connection Services</v>
      </c>
      <c r="AC443" s="111">
        <v>115</v>
      </c>
      <c r="AD443" s="111" t="s">
        <v>2129</v>
      </c>
      <c r="AE443" s="111">
        <v>591998</v>
      </c>
      <c r="AF443" s="111" t="s">
        <v>2077</v>
      </c>
      <c r="AG443" s="112">
        <v>-1.79708</v>
      </c>
      <c r="AI443" s="7" t="str">
        <f>VLOOKUP($AC443,Mapping!$E$11:$I$96,3,0)</f>
        <v>Metering Opex</v>
      </c>
      <c r="AJ443" s="7" t="str">
        <f>VLOOKUP($AE443,Mapping!$E$140:$K$2771,5,0)</f>
        <v>Contracts</v>
      </c>
      <c r="AK443" s="7" t="str">
        <f>VLOOKUP($AE443,Mapping!$E$140:$K$2771,7,0)</f>
        <v>ENDirect</v>
      </c>
      <c r="AL443" s="7" t="str">
        <f>IFERROR(HLOOKUP(AJ443,'Calc|Weightings'!$K$5:$M$5,1,0),"Excl")</f>
        <v>Contracts</v>
      </c>
      <c r="AM443" s="7" t="str">
        <f>VLOOKUP(AC443,Mapping!$E$11:$I$96,5,0)</f>
        <v>Connection Services</v>
      </c>
      <c r="AO443" s="134">
        <v>116</v>
      </c>
      <c r="AP443" s="135" t="s">
        <v>2130</v>
      </c>
      <c r="AQ443" s="135">
        <v>531000</v>
      </c>
      <c r="AR443" s="135" t="s">
        <v>242</v>
      </c>
      <c r="AS443" s="136">
        <v>1.7914399999999999</v>
      </c>
      <c r="AU443" s="7" t="str">
        <f>VLOOKUP($AO443,Mapping!$E$11:$I$96,3,0)</f>
        <v>Connections</v>
      </c>
      <c r="AV443" s="7" t="str">
        <f>VLOOKUP($AQ443,Mapping!$E$140:$K$2771,5,0)</f>
        <v>Contracts</v>
      </c>
      <c r="AW443" s="7" t="str">
        <f>VLOOKUP($AQ443,Mapping!$E$140:$K$2771,7,0)</f>
        <v>ENDirect</v>
      </c>
      <c r="AX443" s="7" t="str">
        <f>IFERROR(HLOOKUP(AV443,'Calc|Weightings'!$K$5:$M$5,1,0),"Excl")</f>
        <v>Contracts</v>
      </c>
      <c r="AY443" s="7" t="str">
        <f>VLOOKUP(AO443,Mapping!$E$11:$I$96,5,0)</f>
        <v>SCS</v>
      </c>
    </row>
    <row r="444" spans="1:51" x14ac:dyDescent="0.2">
      <c r="A444" s="7"/>
      <c r="B444" s="7"/>
      <c r="C444" s="7"/>
      <c r="D444" s="7"/>
      <c r="E444" s="36">
        <v>111</v>
      </c>
      <c r="F444" s="36" t="s">
        <v>2126</v>
      </c>
      <c r="G444" s="36">
        <v>613410</v>
      </c>
      <c r="H444" s="36" t="s">
        <v>2100</v>
      </c>
      <c r="I444" s="37">
        <v>2.7959399999999999</v>
      </c>
      <c r="J444" s="7"/>
      <c r="K444" s="7" t="str">
        <f>VLOOKUP($E444,Mapping!$E$11:$I$96,3,0)</f>
        <v>Connections</v>
      </c>
      <c r="L444" s="7" t="str">
        <f>VLOOKUP($G444,Mapping!$E$140:$K$2771,5,0)</f>
        <v>Labour</v>
      </c>
      <c r="M444" s="7" t="str">
        <f>VLOOKUP($G444,Mapping!$E$140:$K$2771,7,0)</f>
        <v>ENDirect</v>
      </c>
      <c r="N444" s="7" t="str">
        <f>IFERROR(HLOOKUP(L444,'Calc|Weightings'!$K$5:$M$5,1,0),"Excl")</f>
        <v>Labour</v>
      </c>
      <c r="O444" s="7" t="str">
        <f>VLOOKUP(E444,Mapping!$E$11:$I$96,5,0)</f>
        <v>SCS</v>
      </c>
      <c r="Q444" s="33">
        <v>115</v>
      </c>
      <c r="R444" s="33" t="s">
        <v>2129</v>
      </c>
      <c r="S444" s="33">
        <v>614115</v>
      </c>
      <c r="T444" s="33" t="s">
        <v>2109</v>
      </c>
      <c r="U444" s="34">
        <v>1.5916999999999999</v>
      </c>
      <c r="V444" s="7"/>
      <c r="W444" s="7" t="str">
        <f>VLOOKUP($Q444,Mapping!$E$11:$I$96,3,0)</f>
        <v>Metering Opex</v>
      </c>
      <c r="X444" s="7" t="str">
        <f>VLOOKUP($S444,Mapping!$E$140:$K$2771,5,0)</f>
        <v>Labour</v>
      </c>
      <c r="Y444" s="7" t="str">
        <f>VLOOKUP($S444,Mapping!$E$140:$K$2771,7,0)</f>
        <v>ENDirect</v>
      </c>
      <c r="Z444" s="7" t="str">
        <f>IFERROR(HLOOKUP(X444,'Calc|Weightings'!$K$5:$M$5,1,0),"Excl")</f>
        <v>Labour</v>
      </c>
      <c r="AA444" s="7" t="str">
        <f>VLOOKUP(Q444,Mapping!$E$11:$I$96,5,0)</f>
        <v>Connection Services</v>
      </c>
      <c r="AC444" s="111">
        <v>115</v>
      </c>
      <c r="AD444" s="111" t="s">
        <v>2129</v>
      </c>
      <c r="AE444" s="111">
        <v>591999</v>
      </c>
      <c r="AF444" s="111" t="s">
        <v>2195</v>
      </c>
      <c r="AG444" s="112">
        <v>-2.2013600000000002</v>
      </c>
      <c r="AI444" s="7" t="str">
        <f>VLOOKUP($AC444,Mapping!$E$11:$I$96,3,0)</f>
        <v>Metering Opex</v>
      </c>
      <c r="AJ444" s="7" t="str">
        <f>VLOOKUP($AE444,Mapping!$E$140:$K$2771,5,0)</f>
        <v>Contracts</v>
      </c>
      <c r="AK444" s="7" t="str">
        <f>VLOOKUP($AE444,Mapping!$E$140:$K$2771,7,0)</f>
        <v>ENDirect</v>
      </c>
      <c r="AL444" s="7" t="str">
        <f>IFERROR(HLOOKUP(AJ444,'Calc|Weightings'!$K$5:$M$5,1,0),"Excl")</f>
        <v>Contracts</v>
      </c>
      <c r="AM444" s="7" t="str">
        <f>VLOOKUP(AC444,Mapping!$E$11:$I$96,5,0)</f>
        <v>Connection Services</v>
      </c>
      <c r="AO444" s="134">
        <v>116</v>
      </c>
      <c r="AP444" s="135" t="s">
        <v>2130</v>
      </c>
      <c r="AQ444" s="135">
        <v>531020</v>
      </c>
      <c r="AR444" s="135" t="s">
        <v>219</v>
      </c>
      <c r="AS444" s="136">
        <v>147.16693000000001</v>
      </c>
      <c r="AU444" s="7" t="str">
        <f>VLOOKUP($AO444,Mapping!$E$11:$I$96,3,0)</f>
        <v>Connections</v>
      </c>
      <c r="AV444" s="7" t="str">
        <f>VLOOKUP($AQ444,Mapping!$E$140:$K$2771,5,0)</f>
        <v>Labour</v>
      </c>
      <c r="AW444" s="7" t="str">
        <f>VLOOKUP($AQ444,Mapping!$E$140:$K$2771,7,0)</f>
        <v>ENDirect</v>
      </c>
      <c r="AX444" s="7" t="str">
        <f>IFERROR(HLOOKUP(AV444,'Calc|Weightings'!$K$5:$M$5,1,0),"Excl")</f>
        <v>Labour</v>
      </c>
      <c r="AY444" s="7" t="str">
        <f>VLOOKUP(AO444,Mapping!$E$11:$I$96,5,0)</f>
        <v>SCS</v>
      </c>
    </row>
    <row r="445" spans="1:51" x14ac:dyDescent="0.2">
      <c r="A445" s="7"/>
      <c r="B445" s="7"/>
      <c r="C445" s="7"/>
      <c r="D445" s="7"/>
      <c r="E445" s="36">
        <v>111</v>
      </c>
      <c r="F445" s="36" t="s">
        <v>2126</v>
      </c>
      <c r="G445" s="36">
        <v>613418</v>
      </c>
      <c r="H445" s="36" t="s">
        <v>1424</v>
      </c>
      <c r="I445" s="37">
        <v>31.2879</v>
      </c>
      <c r="J445" s="7"/>
      <c r="K445" s="7" t="str">
        <f>VLOOKUP($E445,Mapping!$E$11:$I$96,3,0)</f>
        <v>Connections</v>
      </c>
      <c r="L445" s="7" t="str">
        <f>VLOOKUP($G445,Mapping!$E$140:$K$2771,5,0)</f>
        <v>Labour</v>
      </c>
      <c r="M445" s="7" t="str">
        <f>VLOOKUP($G445,Mapping!$E$140:$K$2771,7,0)</f>
        <v>ENDirect</v>
      </c>
      <c r="N445" s="7" t="str">
        <f>IFERROR(HLOOKUP(L445,'Calc|Weightings'!$K$5:$M$5,1,0),"Excl")</f>
        <v>Labour</v>
      </c>
      <c r="O445" s="7" t="str">
        <f>VLOOKUP(E445,Mapping!$E$11:$I$96,5,0)</f>
        <v>SCS</v>
      </c>
      <c r="Q445" s="33">
        <v>115</v>
      </c>
      <c r="R445" s="33" t="s">
        <v>2129</v>
      </c>
      <c r="S445" s="33">
        <v>634001</v>
      </c>
      <c r="T445" s="33" t="s">
        <v>2110</v>
      </c>
      <c r="U445" s="34">
        <v>1.4777899999999999</v>
      </c>
      <c r="V445" s="7"/>
      <c r="W445" s="7" t="str">
        <f>VLOOKUP($Q445,Mapping!$E$11:$I$96,3,0)</f>
        <v>Metering Opex</v>
      </c>
      <c r="X445" s="7" t="str">
        <f>VLOOKUP($S445,Mapping!$E$140:$K$2771,5,0)</f>
        <v>Local OH</v>
      </c>
      <c r="Y445" s="7" t="str">
        <f>VLOOKUP($S445,Mapping!$E$140:$K$2771,7,0)</f>
        <v>OH</v>
      </c>
      <c r="Z445" s="7" t="str">
        <f>IFERROR(HLOOKUP(X445,'Calc|Weightings'!$K$5:$M$5,1,0),"Excl")</f>
        <v>Excl</v>
      </c>
      <c r="AA445" s="7" t="str">
        <f>VLOOKUP(Q445,Mapping!$E$11:$I$96,5,0)</f>
        <v>Connection Services</v>
      </c>
      <c r="AC445" s="111">
        <v>115</v>
      </c>
      <c r="AD445" s="111" t="s">
        <v>2129</v>
      </c>
      <c r="AE445" s="111">
        <v>604600</v>
      </c>
      <c r="AF445" s="111" t="s">
        <v>487</v>
      </c>
      <c r="AG445" s="112">
        <v>34.228380000000001</v>
      </c>
      <c r="AI445" s="7" t="str">
        <f>VLOOKUP($AC445,Mapping!$E$11:$I$96,3,0)</f>
        <v>Metering Opex</v>
      </c>
      <c r="AJ445" s="7" t="str">
        <f>VLOOKUP($AE445,Mapping!$E$140:$K$2771,5,0)</f>
        <v>Corporate Services Fee</v>
      </c>
      <c r="AK445" s="7" t="str">
        <f>VLOOKUP($AE445,Mapping!$E$140:$K$2771,7,0)</f>
        <v>ENDirect</v>
      </c>
      <c r="AL445" s="7" t="str">
        <f>IFERROR(HLOOKUP(AJ445,'Calc|Weightings'!$K$5:$M$5,1,0),"Excl")</f>
        <v>Excl</v>
      </c>
      <c r="AM445" s="7" t="str">
        <f>VLOOKUP(AC445,Mapping!$E$11:$I$96,5,0)</f>
        <v>Connection Services</v>
      </c>
      <c r="AO445" s="134">
        <v>116</v>
      </c>
      <c r="AP445" s="135" t="s">
        <v>2130</v>
      </c>
      <c r="AQ445" s="135">
        <v>531045</v>
      </c>
      <c r="AR445" s="135" t="s">
        <v>246</v>
      </c>
      <c r="AS445" s="136">
        <v>6.9794200000000002</v>
      </c>
      <c r="AU445" s="7" t="str">
        <f>VLOOKUP($AO445,Mapping!$E$11:$I$96,3,0)</f>
        <v>Connections</v>
      </c>
      <c r="AV445" s="7" t="str">
        <f>VLOOKUP($AQ445,Mapping!$E$140:$K$2771,5,0)</f>
        <v>Contracts</v>
      </c>
      <c r="AW445" s="7" t="str">
        <f>VLOOKUP($AQ445,Mapping!$E$140:$K$2771,7,0)</f>
        <v>ENDirect</v>
      </c>
      <c r="AX445" s="7" t="str">
        <f>IFERROR(HLOOKUP(AV445,'Calc|Weightings'!$K$5:$M$5,1,0),"Excl")</f>
        <v>Contracts</v>
      </c>
      <c r="AY445" s="7" t="str">
        <f>VLOOKUP(AO445,Mapping!$E$11:$I$96,5,0)</f>
        <v>SCS</v>
      </c>
    </row>
    <row r="446" spans="1:51" x14ac:dyDescent="0.2">
      <c r="A446" s="7"/>
      <c r="B446" s="7"/>
      <c r="C446" s="7"/>
      <c r="D446" s="7"/>
      <c r="E446" s="36">
        <v>111</v>
      </c>
      <c r="F446" s="36" t="s">
        <v>2126</v>
      </c>
      <c r="G446" s="36">
        <v>613419</v>
      </c>
      <c r="H446" s="36" t="s">
        <v>1425</v>
      </c>
      <c r="I446" s="37">
        <v>8.7872400000000006</v>
      </c>
      <c r="J446" s="7"/>
      <c r="K446" s="7" t="str">
        <f>VLOOKUP($E446,Mapping!$E$11:$I$96,3,0)</f>
        <v>Connections</v>
      </c>
      <c r="L446" s="7" t="str">
        <f>VLOOKUP($G446,Mapping!$E$140:$K$2771,5,0)</f>
        <v>Labour</v>
      </c>
      <c r="M446" s="7" t="str">
        <f>VLOOKUP($G446,Mapping!$E$140:$K$2771,7,0)</f>
        <v>ENDirect</v>
      </c>
      <c r="N446" s="7" t="str">
        <f>IFERROR(HLOOKUP(L446,'Calc|Weightings'!$K$5:$M$5,1,0),"Excl")</f>
        <v>Labour</v>
      </c>
      <c r="O446" s="7" t="str">
        <f>VLOOKUP(E446,Mapping!$E$11:$I$96,5,0)</f>
        <v>SCS</v>
      </c>
      <c r="Q446" s="33">
        <v>115</v>
      </c>
      <c r="R446" s="33" t="s">
        <v>2129</v>
      </c>
      <c r="S446" s="33">
        <v>635000</v>
      </c>
      <c r="T446" s="33" t="s">
        <v>2128</v>
      </c>
      <c r="U446" s="34">
        <v>41.142899999999997</v>
      </c>
      <c r="V446" s="7"/>
      <c r="W446" s="7" t="str">
        <f>VLOOKUP($Q446,Mapping!$E$11:$I$96,3,0)</f>
        <v>Metering Opex</v>
      </c>
      <c r="X446" s="7" t="str">
        <f>VLOOKUP($S446,Mapping!$E$140:$K$2771,5,0)</f>
        <v>PNS MG</v>
      </c>
      <c r="Y446" s="7" t="str">
        <f>VLOOKUP($S446,Mapping!$E$140:$K$2771,7,0)</f>
        <v>ENDirect</v>
      </c>
      <c r="Z446" s="7" t="str">
        <f>IFERROR(HLOOKUP(X446,'Calc|Weightings'!$K$5:$M$5,1,0),"Excl")</f>
        <v>Excl</v>
      </c>
      <c r="AA446" s="7" t="str">
        <f>VLOOKUP(Q446,Mapping!$E$11:$I$96,5,0)</f>
        <v>Connection Services</v>
      </c>
      <c r="AC446" s="111">
        <v>115</v>
      </c>
      <c r="AD446" s="111" t="s">
        <v>2129</v>
      </c>
      <c r="AE446" s="111">
        <v>613290</v>
      </c>
      <c r="AF446" s="111" t="s">
        <v>2093</v>
      </c>
      <c r="AG446" s="112">
        <v>6.3089999999999993E-2</v>
      </c>
      <c r="AI446" s="7" t="str">
        <f>VLOOKUP($AC446,Mapping!$E$11:$I$96,3,0)</f>
        <v>Metering Opex</v>
      </c>
      <c r="AJ446" s="7" t="str">
        <f>VLOOKUP($AE446,Mapping!$E$140:$K$2771,5,0)</f>
        <v>Labour</v>
      </c>
      <c r="AK446" s="7" t="str">
        <f>VLOOKUP($AE446,Mapping!$E$140:$K$2771,7,0)</f>
        <v>ENDirect</v>
      </c>
      <c r="AL446" s="7" t="str">
        <f>IFERROR(HLOOKUP(AJ446,'Calc|Weightings'!$K$5:$M$5,1,0),"Excl")</f>
        <v>Labour</v>
      </c>
      <c r="AM446" s="7" t="str">
        <f>VLOOKUP(AC446,Mapping!$E$11:$I$96,5,0)</f>
        <v>Connection Services</v>
      </c>
      <c r="AO446" s="134">
        <v>116</v>
      </c>
      <c r="AP446" s="135" t="s">
        <v>2130</v>
      </c>
      <c r="AQ446" s="135">
        <v>531200</v>
      </c>
      <c r="AR446" s="135" t="s">
        <v>250</v>
      </c>
      <c r="AS446" s="136">
        <v>332.43216000000001</v>
      </c>
      <c r="AU446" s="7" t="str">
        <f>VLOOKUP($AO446,Mapping!$E$11:$I$96,3,0)</f>
        <v>Connections</v>
      </c>
      <c r="AV446" s="7" t="str">
        <f>VLOOKUP($AQ446,Mapping!$E$140:$K$2771,5,0)</f>
        <v>Contracts</v>
      </c>
      <c r="AW446" s="7" t="str">
        <f>VLOOKUP($AQ446,Mapping!$E$140:$K$2771,7,0)</f>
        <v>ENDirect</v>
      </c>
      <c r="AX446" s="7" t="str">
        <f>IFERROR(HLOOKUP(AV446,'Calc|Weightings'!$K$5:$M$5,1,0),"Excl")</f>
        <v>Contracts</v>
      </c>
      <c r="AY446" s="7" t="str">
        <f>VLOOKUP(AO446,Mapping!$E$11:$I$96,5,0)</f>
        <v>SCS</v>
      </c>
    </row>
    <row r="447" spans="1:51" x14ac:dyDescent="0.2">
      <c r="A447" s="7"/>
      <c r="B447" s="7"/>
      <c r="C447" s="7"/>
      <c r="D447" s="7"/>
      <c r="E447" s="36">
        <v>111</v>
      </c>
      <c r="F447" s="36" t="s">
        <v>2126</v>
      </c>
      <c r="G447" s="36">
        <v>613428</v>
      </c>
      <c r="H447" s="36" t="s">
        <v>1430</v>
      </c>
      <c r="I447" s="37">
        <v>93.242249999999999</v>
      </c>
      <c r="J447" s="7"/>
      <c r="K447" s="7" t="str">
        <f>VLOOKUP($E447,Mapping!$E$11:$I$96,3,0)</f>
        <v>Connections</v>
      </c>
      <c r="L447" s="7" t="str">
        <f>VLOOKUP($G447,Mapping!$E$140:$K$2771,5,0)</f>
        <v>Labour</v>
      </c>
      <c r="M447" s="7" t="str">
        <f>VLOOKUP($G447,Mapping!$E$140:$K$2771,7,0)</f>
        <v>ENDirect</v>
      </c>
      <c r="N447" s="7" t="str">
        <f>IFERROR(HLOOKUP(L447,'Calc|Weightings'!$K$5:$M$5,1,0),"Excl")</f>
        <v>Labour</v>
      </c>
      <c r="O447" s="7" t="str">
        <f>VLOOKUP(E447,Mapping!$E$11:$I$96,5,0)</f>
        <v>SCS</v>
      </c>
      <c r="Q447" s="33">
        <v>115</v>
      </c>
      <c r="R447" s="33" t="s">
        <v>2129</v>
      </c>
      <c r="S447" s="33">
        <v>635001</v>
      </c>
      <c r="T447" s="33" t="s">
        <v>1929</v>
      </c>
      <c r="U447" s="34">
        <v>22.353919999999999</v>
      </c>
      <c r="V447" s="7"/>
      <c r="W447" s="7" t="str">
        <f>VLOOKUP($Q447,Mapping!$E$11:$I$96,3,0)</f>
        <v>Metering Opex</v>
      </c>
      <c r="X447" s="7" t="str">
        <f>VLOOKUP($S447,Mapping!$E$140:$K$2771,5,0)</f>
        <v>PNS MG</v>
      </c>
      <c r="Y447" s="7" t="str">
        <f>VLOOKUP($S447,Mapping!$E$140:$K$2771,7,0)</f>
        <v>ENDirect</v>
      </c>
      <c r="Z447" s="7" t="str">
        <f>IFERROR(HLOOKUP(X447,'Calc|Weightings'!$K$5:$M$5,1,0),"Excl")</f>
        <v>Excl</v>
      </c>
      <c r="AA447" s="7" t="str">
        <f>VLOOKUP(Q447,Mapping!$E$11:$I$96,5,0)</f>
        <v>Connection Services</v>
      </c>
      <c r="AC447" s="111">
        <v>115</v>
      </c>
      <c r="AD447" s="111" t="s">
        <v>2129</v>
      </c>
      <c r="AE447" s="111">
        <v>613714</v>
      </c>
      <c r="AF447" s="111" t="s">
        <v>1864</v>
      </c>
      <c r="AG447" s="112">
        <v>35.294260000000001</v>
      </c>
      <c r="AI447" s="7" t="str">
        <f>VLOOKUP($AC447,Mapping!$E$11:$I$96,3,0)</f>
        <v>Metering Opex</v>
      </c>
      <c r="AJ447" s="7" t="str">
        <f>VLOOKUP($AE447,Mapping!$E$140:$K$2771,5,0)</f>
        <v>Contracts</v>
      </c>
      <c r="AK447" s="7" t="str">
        <f>VLOOKUP($AE447,Mapping!$E$140:$K$2771,7,0)</f>
        <v>ENDirect</v>
      </c>
      <c r="AL447" s="7" t="str">
        <f>IFERROR(HLOOKUP(AJ447,'Calc|Weightings'!$K$5:$M$5,1,0),"Excl")</f>
        <v>Contracts</v>
      </c>
      <c r="AM447" s="7" t="str">
        <f>VLOOKUP(AC447,Mapping!$E$11:$I$96,5,0)</f>
        <v>Connection Services</v>
      </c>
      <c r="AO447" s="134">
        <v>116</v>
      </c>
      <c r="AP447" s="135" t="s">
        <v>2130</v>
      </c>
      <c r="AQ447" s="135">
        <v>531201</v>
      </c>
      <c r="AR447" s="135" t="s">
        <v>251</v>
      </c>
      <c r="AS447" s="136">
        <v>94.102490000000003</v>
      </c>
      <c r="AU447" s="7" t="str">
        <f>VLOOKUP($AO447,Mapping!$E$11:$I$96,3,0)</f>
        <v>Connections</v>
      </c>
      <c r="AV447" s="7" t="str">
        <f>VLOOKUP($AQ447,Mapping!$E$140:$K$2771,5,0)</f>
        <v>Contracts</v>
      </c>
      <c r="AW447" s="7" t="str">
        <f>VLOOKUP($AQ447,Mapping!$E$140:$K$2771,7,0)</f>
        <v>ENDirect</v>
      </c>
      <c r="AX447" s="7" t="str">
        <f>IFERROR(HLOOKUP(AV447,'Calc|Weightings'!$K$5:$M$5,1,0),"Excl")</f>
        <v>Contracts</v>
      </c>
      <c r="AY447" s="7" t="str">
        <f>VLOOKUP(AO447,Mapping!$E$11:$I$96,5,0)</f>
        <v>SCS</v>
      </c>
    </row>
    <row r="448" spans="1:51" x14ac:dyDescent="0.2">
      <c r="A448" s="7"/>
      <c r="B448" s="7"/>
      <c r="C448" s="7"/>
      <c r="D448" s="7"/>
      <c r="E448" s="36">
        <v>111</v>
      </c>
      <c r="F448" s="36" t="s">
        <v>2126</v>
      </c>
      <c r="G448" s="36">
        <v>613429</v>
      </c>
      <c r="H448" s="36" t="s">
        <v>1431</v>
      </c>
      <c r="I448" s="37">
        <v>10.68418</v>
      </c>
      <c r="J448" s="7"/>
      <c r="K448" s="7" t="str">
        <f>VLOOKUP($E448,Mapping!$E$11:$I$96,3,0)</f>
        <v>Connections</v>
      </c>
      <c r="L448" s="7" t="str">
        <f>VLOOKUP($G448,Mapping!$E$140:$K$2771,5,0)</f>
        <v>Labour</v>
      </c>
      <c r="M448" s="7" t="str">
        <f>VLOOKUP($G448,Mapping!$E$140:$K$2771,7,0)</f>
        <v>ENDirect</v>
      </c>
      <c r="N448" s="7" t="str">
        <f>IFERROR(HLOOKUP(L448,'Calc|Weightings'!$K$5:$M$5,1,0),"Excl")</f>
        <v>Labour</v>
      </c>
      <c r="O448" s="7" t="str">
        <f>VLOOKUP(E448,Mapping!$E$11:$I$96,5,0)</f>
        <v>SCS</v>
      </c>
      <c r="Q448" s="33">
        <v>115</v>
      </c>
      <c r="R448" s="33" t="s">
        <v>2129</v>
      </c>
      <c r="S448" s="33">
        <v>636001</v>
      </c>
      <c r="T448" s="33" t="s">
        <v>2111</v>
      </c>
      <c r="U448" s="34">
        <v>0.39440999999999998</v>
      </c>
      <c r="V448" s="7"/>
      <c r="W448" s="7" t="str">
        <f>VLOOKUP($Q448,Mapping!$E$11:$I$96,3,0)</f>
        <v>Metering Opex</v>
      </c>
      <c r="X448" s="7" t="str">
        <f>VLOOKUP($S448,Mapping!$E$140:$K$2771,5,0)</f>
        <v>System Control OH</v>
      </c>
      <c r="Y448" s="7" t="str">
        <f>VLOOKUP($S448,Mapping!$E$140:$K$2771,7,0)</f>
        <v>OH</v>
      </c>
      <c r="Z448" s="7" t="str">
        <f>IFERROR(HLOOKUP(X448,'Calc|Weightings'!$K$5:$M$5,1,0),"Excl")</f>
        <v>Excl</v>
      </c>
      <c r="AA448" s="7" t="str">
        <f>VLOOKUP(Q448,Mapping!$E$11:$I$96,5,0)</f>
        <v>Connection Services</v>
      </c>
      <c r="AC448" s="111">
        <v>115</v>
      </c>
      <c r="AD448" s="111" t="s">
        <v>2129</v>
      </c>
      <c r="AE448" s="111">
        <v>613715</v>
      </c>
      <c r="AF448" s="111" t="s">
        <v>1859</v>
      </c>
      <c r="AG448" s="112">
        <v>22.389569999999999</v>
      </c>
      <c r="AI448" s="7" t="str">
        <f>VLOOKUP($AC448,Mapping!$E$11:$I$96,3,0)</f>
        <v>Metering Opex</v>
      </c>
      <c r="AJ448" s="7" t="str">
        <f>VLOOKUP($AE448,Mapping!$E$140:$K$2771,5,0)</f>
        <v>Contracts</v>
      </c>
      <c r="AK448" s="7" t="str">
        <f>VLOOKUP($AE448,Mapping!$E$140:$K$2771,7,0)</f>
        <v>ENDirect</v>
      </c>
      <c r="AL448" s="7" t="str">
        <f>IFERROR(HLOOKUP(AJ448,'Calc|Weightings'!$K$5:$M$5,1,0),"Excl")</f>
        <v>Contracts</v>
      </c>
      <c r="AM448" s="7" t="str">
        <f>VLOOKUP(AC448,Mapping!$E$11:$I$96,5,0)</f>
        <v>Connection Services</v>
      </c>
      <c r="AO448" s="134">
        <v>116</v>
      </c>
      <c r="AP448" s="135" t="s">
        <v>2130</v>
      </c>
      <c r="AQ448" s="135">
        <v>531464</v>
      </c>
      <c r="AR448" s="135" t="s">
        <v>256</v>
      </c>
      <c r="AS448" s="136">
        <v>7818.8698599999998</v>
      </c>
      <c r="AU448" s="7" t="str">
        <f>VLOOKUP($AO448,Mapping!$E$11:$I$96,3,0)</f>
        <v>Connections</v>
      </c>
      <c r="AV448" s="7" t="str">
        <f>VLOOKUP($AQ448,Mapping!$E$140:$K$2771,5,0)</f>
        <v>Contracts</v>
      </c>
      <c r="AW448" s="7" t="str">
        <f>VLOOKUP($AQ448,Mapping!$E$140:$K$2771,7,0)</f>
        <v>ENDirect</v>
      </c>
      <c r="AX448" s="7" t="str">
        <f>IFERROR(HLOOKUP(AV448,'Calc|Weightings'!$K$5:$M$5,1,0),"Excl")</f>
        <v>Contracts</v>
      </c>
      <c r="AY448" s="7" t="str">
        <f>VLOOKUP(AO448,Mapping!$E$11:$I$96,5,0)</f>
        <v>SCS</v>
      </c>
    </row>
    <row r="449" spans="1:51" x14ac:dyDescent="0.2">
      <c r="A449" s="7"/>
      <c r="B449" s="7"/>
      <c r="C449" s="7"/>
      <c r="D449" s="7"/>
      <c r="E449" s="36">
        <v>111</v>
      </c>
      <c r="F449" s="36" t="s">
        <v>2126</v>
      </c>
      <c r="G449" s="36">
        <v>613438</v>
      </c>
      <c r="H449" s="36" t="s">
        <v>1436</v>
      </c>
      <c r="I449" s="37">
        <v>5.5996100000000002</v>
      </c>
      <c r="J449" s="7"/>
      <c r="K449" s="7" t="str">
        <f>VLOOKUP($E449,Mapping!$E$11:$I$96,3,0)</f>
        <v>Connections</v>
      </c>
      <c r="L449" s="7" t="str">
        <f>VLOOKUP($G449,Mapping!$E$140:$K$2771,5,0)</f>
        <v>Labour</v>
      </c>
      <c r="M449" s="7" t="str">
        <f>VLOOKUP($G449,Mapping!$E$140:$K$2771,7,0)</f>
        <v>ENDirect</v>
      </c>
      <c r="N449" s="7" t="str">
        <f>IFERROR(HLOOKUP(L449,'Calc|Weightings'!$K$5:$M$5,1,0),"Excl")</f>
        <v>Labour</v>
      </c>
      <c r="O449" s="7" t="str">
        <f>VLOOKUP(E449,Mapping!$E$11:$I$96,5,0)</f>
        <v>SCS</v>
      </c>
      <c r="Q449" s="33">
        <v>115</v>
      </c>
      <c r="R449" s="33" t="s">
        <v>2129</v>
      </c>
      <c r="S449" s="33">
        <v>636105</v>
      </c>
      <c r="T449" s="33" t="s">
        <v>1937</v>
      </c>
      <c r="U449" s="34">
        <v>13.076169999999999</v>
      </c>
      <c r="V449" s="7"/>
      <c r="W449" s="7" t="str">
        <f>VLOOKUP($Q449,Mapping!$E$11:$I$96,3,0)</f>
        <v>Metering Opex</v>
      </c>
      <c r="X449" s="7" t="str">
        <f>VLOOKUP($S449,Mapping!$E$140:$K$2771,5,0)</f>
        <v>CSG MG</v>
      </c>
      <c r="Y449" s="7" t="str">
        <f>VLOOKUP($S449,Mapping!$E$140:$K$2771,7,0)</f>
        <v>ENDirect</v>
      </c>
      <c r="Z449" s="7" t="str">
        <f>IFERROR(HLOOKUP(X449,'Calc|Weightings'!$K$5:$M$5,1,0),"Excl")</f>
        <v>Excl</v>
      </c>
      <c r="AA449" s="7" t="str">
        <f>VLOOKUP(Q449,Mapping!$E$11:$I$96,5,0)</f>
        <v>Connection Services</v>
      </c>
      <c r="AC449" s="111">
        <v>115</v>
      </c>
      <c r="AD449" s="111" t="s">
        <v>2129</v>
      </c>
      <c r="AE449" s="111">
        <v>613716</v>
      </c>
      <c r="AF449" s="111" t="s">
        <v>1865</v>
      </c>
      <c r="AG449" s="112">
        <v>198.11279999999999</v>
      </c>
      <c r="AI449" s="7" t="str">
        <f>VLOOKUP($AC449,Mapping!$E$11:$I$96,3,0)</f>
        <v>Metering Opex</v>
      </c>
      <c r="AJ449" s="7" t="str">
        <f>VLOOKUP($AE449,Mapping!$E$140:$K$2771,5,0)</f>
        <v>Contracts</v>
      </c>
      <c r="AK449" s="7" t="str">
        <f>VLOOKUP($AE449,Mapping!$E$140:$K$2771,7,0)</f>
        <v>ENDirect</v>
      </c>
      <c r="AL449" s="7" t="str">
        <f>IFERROR(HLOOKUP(AJ449,'Calc|Weightings'!$K$5:$M$5,1,0),"Excl")</f>
        <v>Contracts</v>
      </c>
      <c r="AM449" s="7" t="str">
        <f>VLOOKUP(AC449,Mapping!$E$11:$I$96,5,0)</f>
        <v>Connection Services</v>
      </c>
      <c r="AO449" s="134">
        <v>116</v>
      </c>
      <c r="AP449" s="135" t="s">
        <v>2130</v>
      </c>
      <c r="AQ449" s="135">
        <v>531465</v>
      </c>
      <c r="AR449" s="135" t="s">
        <v>257</v>
      </c>
      <c r="AS449" s="136">
        <v>16.877230000000001</v>
      </c>
      <c r="AU449" s="7" t="str">
        <f>VLOOKUP($AO449,Mapping!$E$11:$I$96,3,0)</f>
        <v>Connections</v>
      </c>
      <c r="AV449" s="7" t="str">
        <f>VLOOKUP($AQ449,Mapping!$E$140:$K$2771,5,0)</f>
        <v>Contracts</v>
      </c>
      <c r="AW449" s="7" t="str">
        <f>VLOOKUP($AQ449,Mapping!$E$140:$K$2771,7,0)</f>
        <v>ENDirect</v>
      </c>
      <c r="AX449" s="7" t="str">
        <f>IFERROR(HLOOKUP(AV449,'Calc|Weightings'!$K$5:$M$5,1,0),"Excl")</f>
        <v>Contracts</v>
      </c>
      <c r="AY449" s="7" t="str">
        <f>VLOOKUP(AO449,Mapping!$E$11:$I$96,5,0)</f>
        <v>SCS</v>
      </c>
    </row>
    <row r="450" spans="1:51" x14ac:dyDescent="0.2">
      <c r="A450" s="7"/>
      <c r="B450" s="7"/>
      <c r="C450" s="7"/>
      <c r="D450" s="7"/>
      <c r="E450" s="36">
        <v>111</v>
      </c>
      <c r="F450" s="36" t="s">
        <v>2126</v>
      </c>
      <c r="G450" s="36">
        <v>613439</v>
      </c>
      <c r="H450" s="36" t="s">
        <v>1437</v>
      </c>
      <c r="I450" s="37">
        <v>0.76995000000000002</v>
      </c>
      <c r="J450" s="7"/>
      <c r="K450" s="7" t="str">
        <f>VLOOKUP($E450,Mapping!$E$11:$I$96,3,0)</f>
        <v>Connections</v>
      </c>
      <c r="L450" s="7" t="str">
        <f>VLOOKUP($G450,Mapping!$E$140:$K$2771,5,0)</f>
        <v>Labour</v>
      </c>
      <c r="M450" s="7" t="str">
        <f>VLOOKUP($G450,Mapping!$E$140:$K$2771,7,0)</f>
        <v>ENDirect</v>
      </c>
      <c r="N450" s="7" t="str">
        <f>IFERROR(HLOOKUP(L450,'Calc|Weightings'!$K$5:$M$5,1,0),"Excl")</f>
        <v>Labour</v>
      </c>
      <c r="O450" s="7" t="str">
        <f>VLOOKUP(E450,Mapping!$E$11:$I$96,5,0)</f>
        <v>SCS</v>
      </c>
      <c r="Q450" s="33">
        <v>115</v>
      </c>
      <c r="R450" s="33" t="s">
        <v>2129</v>
      </c>
      <c r="S450" s="33">
        <v>639000</v>
      </c>
      <c r="T450" s="33" t="s">
        <v>2112</v>
      </c>
      <c r="U450" s="34">
        <v>69.281080000000003</v>
      </c>
      <c r="V450" s="7"/>
      <c r="W450" s="7" t="str">
        <f>VLOOKUP($Q450,Mapping!$E$11:$I$96,3,0)</f>
        <v>Metering Opex</v>
      </c>
      <c r="X450" s="7" t="str">
        <f>VLOOKUP($S450,Mapping!$E$140:$K$2771,5,0)</f>
        <v>PNS Corporate OH</v>
      </c>
      <c r="Y450" s="7" t="str">
        <f>VLOOKUP($S450,Mapping!$E$140:$K$2771,7,0)</f>
        <v>OH</v>
      </c>
      <c r="Z450" s="7" t="str">
        <f>IFERROR(HLOOKUP(X450,'Calc|Weightings'!$K$5:$M$5,1,0),"Excl")</f>
        <v>Excl</v>
      </c>
      <c r="AA450" s="7" t="str">
        <f>VLOOKUP(Q450,Mapping!$E$11:$I$96,5,0)</f>
        <v>Connection Services</v>
      </c>
      <c r="AC450" s="111">
        <v>115</v>
      </c>
      <c r="AD450" s="111" t="s">
        <v>2129</v>
      </c>
      <c r="AE450" s="111">
        <v>613717</v>
      </c>
      <c r="AF450" s="111" t="s">
        <v>1866</v>
      </c>
      <c r="AG450" s="112">
        <v>759.97883000000002</v>
      </c>
      <c r="AI450" s="7" t="str">
        <f>VLOOKUP($AC450,Mapping!$E$11:$I$96,3,0)</f>
        <v>Metering Opex</v>
      </c>
      <c r="AJ450" s="7" t="str">
        <f>VLOOKUP($AE450,Mapping!$E$140:$K$2771,5,0)</f>
        <v>Contracts</v>
      </c>
      <c r="AK450" s="7" t="str">
        <f>VLOOKUP($AE450,Mapping!$E$140:$K$2771,7,0)</f>
        <v>ENDirect</v>
      </c>
      <c r="AL450" s="7" t="str">
        <f>IFERROR(HLOOKUP(AJ450,'Calc|Weightings'!$K$5:$M$5,1,0),"Excl")</f>
        <v>Contracts</v>
      </c>
      <c r="AM450" s="7" t="str">
        <f>VLOOKUP(AC450,Mapping!$E$11:$I$96,5,0)</f>
        <v>Connection Services</v>
      </c>
      <c r="AO450" s="134">
        <v>116</v>
      </c>
      <c r="AP450" s="135" t="s">
        <v>2130</v>
      </c>
      <c r="AQ450" s="135">
        <v>531466</v>
      </c>
      <c r="AR450" s="135" t="s">
        <v>258</v>
      </c>
      <c r="AS450" s="136">
        <v>397.31785000000002</v>
      </c>
      <c r="AU450" s="7" t="str">
        <f>VLOOKUP($AO450,Mapping!$E$11:$I$96,3,0)</f>
        <v>Connections</v>
      </c>
      <c r="AV450" s="7" t="str">
        <f>VLOOKUP($AQ450,Mapping!$E$140:$K$2771,5,0)</f>
        <v>Contracts</v>
      </c>
      <c r="AW450" s="7" t="str">
        <f>VLOOKUP($AQ450,Mapping!$E$140:$K$2771,7,0)</f>
        <v>ENDirect</v>
      </c>
      <c r="AX450" s="7" t="str">
        <f>IFERROR(HLOOKUP(AV450,'Calc|Weightings'!$K$5:$M$5,1,0),"Excl")</f>
        <v>Contracts</v>
      </c>
      <c r="AY450" s="7" t="str">
        <f>VLOOKUP(AO450,Mapping!$E$11:$I$96,5,0)</f>
        <v>SCS</v>
      </c>
    </row>
    <row r="451" spans="1:51" x14ac:dyDescent="0.2">
      <c r="A451" s="7"/>
      <c r="B451" s="7"/>
      <c r="C451" s="7"/>
      <c r="D451" s="7"/>
      <c r="E451" s="36">
        <v>111</v>
      </c>
      <c r="F451" s="36" t="s">
        <v>2126</v>
      </c>
      <c r="G451" s="36">
        <v>613566</v>
      </c>
      <c r="H451" s="36" t="s">
        <v>1482</v>
      </c>
      <c r="I451" s="37">
        <v>13.266389999999999</v>
      </c>
      <c r="J451" s="7"/>
      <c r="K451" s="7" t="str">
        <f>VLOOKUP($E451,Mapping!$E$11:$I$96,3,0)</f>
        <v>Connections</v>
      </c>
      <c r="L451" s="7" t="str">
        <f>VLOOKUP($G451,Mapping!$E$140:$K$2771,5,0)</f>
        <v>Labour</v>
      </c>
      <c r="M451" s="7" t="str">
        <f>VLOOKUP($G451,Mapping!$E$140:$K$2771,7,0)</f>
        <v>ENDirect</v>
      </c>
      <c r="N451" s="7" t="str">
        <f>IFERROR(HLOOKUP(L451,'Calc|Weightings'!$K$5:$M$5,1,0),"Excl")</f>
        <v>Labour</v>
      </c>
      <c r="O451" s="7" t="str">
        <f>VLOOKUP(E451,Mapping!$E$11:$I$96,5,0)</f>
        <v>SCS</v>
      </c>
      <c r="Q451" s="33">
        <v>115</v>
      </c>
      <c r="R451" s="33" t="s">
        <v>2129</v>
      </c>
      <c r="S451" s="33">
        <v>639050</v>
      </c>
      <c r="T451" s="33" t="s">
        <v>2113</v>
      </c>
      <c r="U451" s="34">
        <v>1.5387900000000001</v>
      </c>
      <c r="V451" s="7"/>
      <c r="W451" s="7" t="str">
        <f>VLOOKUP($Q451,Mapping!$E$11:$I$96,3,0)</f>
        <v>Metering Opex</v>
      </c>
      <c r="X451" s="7" t="str">
        <f>VLOOKUP($S451,Mapping!$E$140:$K$2771,5,0)</f>
        <v>PNS Fleet &amp; Property OH</v>
      </c>
      <c r="Y451" s="7" t="str">
        <f>VLOOKUP($S451,Mapping!$E$140:$K$2771,7,0)</f>
        <v>OH</v>
      </c>
      <c r="Z451" s="7" t="str">
        <f>IFERROR(HLOOKUP(X451,'Calc|Weightings'!$K$5:$M$5,1,0),"Excl")</f>
        <v>Excl</v>
      </c>
      <c r="AA451" s="7" t="str">
        <f>VLOOKUP(Q451,Mapping!$E$11:$I$96,5,0)</f>
        <v>Connection Services</v>
      </c>
      <c r="AC451" s="111">
        <v>115</v>
      </c>
      <c r="AD451" s="111" t="s">
        <v>2129</v>
      </c>
      <c r="AE451" s="111">
        <v>613718</v>
      </c>
      <c r="AF451" s="111" t="s">
        <v>1862</v>
      </c>
      <c r="AG451" s="112">
        <v>37.902859999999997</v>
      </c>
      <c r="AI451" s="7" t="str">
        <f>VLOOKUP($AC451,Mapping!$E$11:$I$96,3,0)</f>
        <v>Metering Opex</v>
      </c>
      <c r="AJ451" s="7" t="str">
        <f>VLOOKUP($AE451,Mapping!$E$140:$K$2771,5,0)</f>
        <v>Contracts</v>
      </c>
      <c r="AK451" s="7" t="str">
        <f>VLOOKUP($AE451,Mapping!$E$140:$K$2771,7,0)</f>
        <v>ENDirect</v>
      </c>
      <c r="AL451" s="7" t="str">
        <f>IFERROR(HLOOKUP(AJ451,'Calc|Weightings'!$K$5:$M$5,1,0),"Excl")</f>
        <v>Contracts</v>
      </c>
      <c r="AM451" s="7" t="str">
        <f>VLOOKUP(AC451,Mapping!$E$11:$I$96,5,0)</f>
        <v>Connection Services</v>
      </c>
      <c r="AO451" s="134">
        <v>116</v>
      </c>
      <c r="AP451" s="135" t="s">
        <v>2130</v>
      </c>
      <c r="AQ451" s="135">
        <v>531467</v>
      </c>
      <c r="AR451" s="135" t="s">
        <v>259</v>
      </c>
      <c r="AS451" s="136">
        <v>1772.7843399999999</v>
      </c>
      <c r="AU451" s="7" t="str">
        <f>VLOOKUP($AO451,Mapping!$E$11:$I$96,3,0)</f>
        <v>Connections</v>
      </c>
      <c r="AV451" s="7" t="str">
        <f>VLOOKUP($AQ451,Mapping!$E$140:$K$2771,5,0)</f>
        <v>Contracts</v>
      </c>
      <c r="AW451" s="7" t="str">
        <f>VLOOKUP($AQ451,Mapping!$E$140:$K$2771,7,0)</f>
        <v>ENDirect</v>
      </c>
      <c r="AX451" s="7" t="str">
        <f>IFERROR(HLOOKUP(AV451,'Calc|Weightings'!$K$5:$M$5,1,0),"Excl")</f>
        <v>Contracts</v>
      </c>
      <c r="AY451" s="7" t="str">
        <f>VLOOKUP(AO451,Mapping!$E$11:$I$96,5,0)</f>
        <v>SCS</v>
      </c>
    </row>
    <row r="452" spans="1:51" x14ac:dyDescent="0.2">
      <c r="A452" s="7"/>
      <c r="B452" s="7"/>
      <c r="C452" s="7"/>
      <c r="D452" s="7"/>
      <c r="E452" s="36">
        <v>111</v>
      </c>
      <c r="F452" s="36" t="s">
        <v>2126</v>
      </c>
      <c r="G452" s="36">
        <v>613567</v>
      </c>
      <c r="H452" s="36" t="s">
        <v>1483</v>
      </c>
      <c r="I452" s="37">
        <v>1.52138</v>
      </c>
      <c r="J452" s="7"/>
      <c r="K452" s="7" t="str">
        <f>VLOOKUP($E452,Mapping!$E$11:$I$96,3,0)</f>
        <v>Connections</v>
      </c>
      <c r="L452" s="7" t="str">
        <f>VLOOKUP($G452,Mapping!$E$140:$K$2771,5,0)</f>
        <v>Labour</v>
      </c>
      <c r="M452" s="7" t="str">
        <f>VLOOKUP($G452,Mapping!$E$140:$K$2771,7,0)</f>
        <v>ENDirect</v>
      </c>
      <c r="N452" s="7" t="str">
        <f>IFERROR(HLOOKUP(L452,'Calc|Weightings'!$K$5:$M$5,1,0),"Excl")</f>
        <v>Labour</v>
      </c>
      <c r="O452" s="7" t="str">
        <f>VLOOKUP(E452,Mapping!$E$11:$I$96,5,0)</f>
        <v>SCS</v>
      </c>
      <c r="Q452" s="33">
        <v>116</v>
      </c>
      <c r="R452" s="33" t="s">
        <v>2130</v>
      </c>
      <c r="S452" s="33">
        <v>503330</v>
      </c>
      <c r="T452" s="33" t="s">
        <v>180</v>
      </c>
      <c r="U452" s="34">
        <v>0.16703000000000001</v>
      </c>
      <c r="V452" s="7"/>
      <c r="W452" s="7" t="str">
        <f>VLOOKUP($Q452,Mapping!$E$11:$I$96,3,0)</f>
        <v>Connections</v>
      </c>
      <c r="X452" s="7" t="str">
        <f>VLOOKUP($S452,Mapping!$E$140:$K$2771,5,0)</f>
        <v>Contracts</v>
      </c>
      <c r="Y452" s="7" t="str">
        <f>VLOOKUP($S452,Mapping!$E$140:$K$2771,7,0)</f>
        <v>ENDirect</v>
      </c>
      <c r="Z452" s="7" t="str">
        <f>IFERROR(HLOOKUP(X452,'Calc|Weightings'!$K$5:$M$5,1,0),"Excl")</f>
        <v>Contracts</v>
      </c>
      <c r="AA452" s="7" t="str">
        <f>VLOOKUP(Q452,Mapping!$E$11:$I$96,5,0)</f>
        <v>SCS</v>
      </c>
      <c r="AC452" s="111">
        <v>115</v>
      </c>
      <c r="AD452" s="111" t="s">
        <v>2129</v>
      </c>
      <c r="AE452" s="111">
        <v>613719</v>
      </c>
      <c r="AF452" s="111" t="s">
        <v>1867</v>
      </c>
      <c r="AG452" s="112">
        <v>97.030640000000005</v>
      </c>
      <c r="AI452" s="7" t="str">
        <f>VLOOKUP($AC452,Mapping!$E$11:$I$96,3,0)</f>
        <v>Metering Opex</v>
      </c>
      <c r="AJ452" s="7" t="str">
        <f>VLOOKUP($AE452,Mapping!$E$140:$K$2771,5,0)</f>
        <v>Contracts</v>
      </c>
      <c r="AK452" s="7" t="str">
        <f>VLOOKUP($AE452,Mapping!$E$140:$K$2771,7,0)</f>
        <v>ENDirect</v>
      </c>
      <c r="AL452" s="7" t="str">
        <f>IFERROR(HLOOKUP(AJ452,'Calc|Weightings'!$K$5:$M$5,1,0),"Excl")</f>
        <v>Contracts</v>
      </c>
      <c r="AM452" s="7" t="str">
        <f>VLOOKUP(AC452,Mapping!$E$11:$I$96,5,0)</f>
        <v>Connection Services</v>
      </c>
      <c r="AO452" s="134">
        <v>116</v>
      </c>
      <c r="AP452" s="135" t="s">
        <v>2130</v>
      </c>
      <c r="AQ452" s="135">
        <v>531468</v>
      </c>
      <c r="AR452" s="135" t="s">
        <v>260</v>
      </c>
      <c r="AS452" s="136">
        <v>1182.2055399999999</v>
      </c>
      <c r="AU452" s="7" t="str">
        <f>VLOOKUP($AO452,Mapping!$E$11:$I$96,3,0)</f>
        <v>Connections</v>
      </c>
      <c r="AV452" s="7" t="str">
        <f>VLOOKUP($AQ452,Mapping!$E$140:$K$2771,5,0)</f>
        <v>Contracts</v>
      </c>
      <c r="AW452" s="7" t="str">
        <f>VLOOKUP($AQ452,Mapping!$E$140:$K$2771,7,0)</f>
        <v>ENDirect</v>
      </c>
      <c r="AX452" s="7" t="str">
        <f>IFERROR(HLOOKUP(AV452,'Calc|Weightings'!$K$5:$M$5,1,0),"Excl")</f>
        <v>Contracts</v>
      </c>
      <c r="AY452" s="7" t="str">
        <f>VLOOKUP(AO452,Mapping!$E$11:$I$96,5,0)</f>
        <v>SCS</v>
      </c>
    </row>
    <row r="453" spans="1:51" x14ac:dyDescent="0.2">
      <c r="A453" s="7"/>
      <c r="B453" s="7"/>
      <c r="C453" s="7"/>
      <c r="D453" s="7"/>
      <c r="E453" s="36">
        <v>111</v>
      </c>
      <c r="F453" s="36" t="s">
        <v>2126</v>
      </c>
      <c r="G453" s="36">
        <v>613570</v>
      </c>
      <c r="H453" s="36" t="s">
        <v>1484</v>
      </c>
      <c r="I453" s="37">
        <v>1.46052</v>
      </c>
      <c r="J453" s="7"/>
      <c r="K453" s="7" t="str">
        <f>VLOOKUP($E453,Mapping!$E$11:$I$96,3,0)</f>
        <v>Connections</v>
      </c>
      <c r="L453" s="7" t="str">
        <f>VLOOKUP($G453,Mapping!$E$140:$K$2771,5,0)</f>
        <v>Labour</v>
      </c>
      <c r="M453" s="7" t="str">
        <f>VLOOKUP($G453,Mapping!$E$140:$K$2771,7,0)</f>
        <v>ENDirect</v>
      </c>
      <c r="N453" s="7" t="str">
        <f>IFERROR(HLOOKUP(L453,'Calc|Weightings'!$K$5:$M$5,1,0),"Excl")</f>
        <v>Labour</v>
      </c>
      <c r="O453" s="7" t="str">
        <f>VLOOKUP(E453,Mapping!$E$11:$I$96,5,0)</f>
        <v>SCS</v>
      </c>
      <c r="Q453" s="33">
        <v>116</v>
      </c>
      <c r="R453" s="33" t="s">
        <v>2130</v>
      </c>
      <c r="S453" s="33">
        <v>503350</v>
      </c>
      <c r="T453" s="33" t="s">
        <v>182</v>
      </c>
      <c r="U453" s="34">
        <v>33.767000000000003</v>
      </c>
      <c r="V453" s="7"/>
      <c r="W453" s="7" t="str">
        <f>VLOOKUP($Q453,Mapping!$E$11:$I$96,3,0)</f>
        <v>Connections</v>
      </c>
      <c r="X453" s="7" t="str">
        <f>VLOOKUP($S453,Mapping!$E$140:$K$2771,5,0)</f>
        <v>Contracts</v>
      </c>
      <c r="Y453" s="7" t="str">
        <f>VLOOKUP($S453,Mapping!$E$140:$K$2771,7,0)</f>
        <v>ENDirect</v>
      </c>
      <c r="Z453" s="7" t="str">
        <f>IFERROR(HLOOKUP(X453,'Calc|Weightings'!$K$5:$M$5,1,0),"Excl")</f>
        <v>Contracts</v>
      </c>
      <c r="AA453" s="7" t="str">
        <f>VLOOKUP(Q453,Mapping!$E$11:$I$96,5,0)</f>
        <v>SCS</v>
      </c>
      <c r="AC453" s="111">
        <v>115</v>
      </c>
      <c r="AD453" s="111" t="s">
        <v>2129</v>
      </c>
      <c r="AE453" s="111">
        <v>613801</v>
      </c>
      <c r="AF453" s="111" t="s">
        <v>656</v>
      </c>
      <c r="AG453" s="112">
        <v>-47.182499999999997</v>
      </c>
      <c r="AI453" s="7" t="str">
        <f>VLOOKUP($AC453,Mapping!$E$11:$I$96,3,0)</f>
        <v>Metering Opex</v>
      </c>
      <c r="AJ453" s="7" t="str">
        <f>VLOOKUP($AE453,Mapping!$E$140:$K$2771,5,0)</f>
        <v>Materials</v>
      </c>
      <c r="AK453" s="7" t="str">
        <f>VLOOKUP($AE453,Mapping!$E$140:$K$2771,7,0)</f>
        <v>ENDirect</v>
      </c>
      <c r="AL453" s="7" t="str">
        <f>IFERROR(HLOOKUP(AJ453,'Calc|Weightings'!$K$5:$M$5,1,0),"Excl")</f>
        <v>Materials</v>
      </c>
      <c r="AM453" s="7" t="str">
        <f>VLOOKUP(AC453,Mapping!$E$11:$I$96,5,0)</f>
        <v>Connection Services</v>
      </c>
      <c r="AO453" s="134">
        <v>116</v>
      </c>
      <c r="AP453" s="135" t="s">
        <v>2130</v>
      </c>
      <c r="AQ453" s="135">
        <v>531469</v>
      </c>
      <c r="AR453" s="135" t="s">
        <v>261</v>
      </c>
      <c r="AS453" s="136">
        <v>208.21641</v>
      </c>
      <c r="AU453" s="7" t="str">
        <f>VLOOKUP($AO453,Mapping!$E$11:$I$96,3,0)</f>
        <v>Connections</v>
      </c>
      <c r="AV453" s="7" t="str">
        <f>VLOOKUP($AQ453,Mapping!$E$140:$K$2771,5,0)</f>
        <v>Labour</v>
      </c>
      <c r="AW453" s="7" t="str">
        <f>VLOOKUP($AQ453,Mapping!$E$140:$K$2771,7,0)</f>
        <v>ENDirect</v>
      </c>
      <c r="AX453" s="7" t="str">
        <f>IFERROR(HLOOKUP(AV453,'Calc|Weightings'!$K$5:$M$5,1,0),"Excl")</f>
        <v>Labour</v>
      </c>
      <c r="AY453" s="7" t="str">
        <f>VLOOKUP(AO453,Mapping!$E$11:$I$96,5,0)</f>
        <v>SCS</v>
      </c>
    </row>
    <row r="454" spans="1:51" x14ac:dyDescent="0.2">
      <c r="A454" s="7"/>
      <c r="B454" s="7"/>
      <c r="C454" s="7"/>
      <c r="D454" s="7"/>
      <c r="E454" s="36">
        <v>111</v>
      </c>
      <c r="F454" s="36" t="s">
        <v>2126</v>
      </c>
      <c r="G454" s="36">
        <v>613574</v>
      </c>
      <c r="H454" s="36" t="s">
        <v>1488</v>
      </c>
      <c r="I454" s="37">
        <v>19.737279999999998</v>
      </c>
      <c r="J454" s="7"/>
      <c r="K454" s="7" t="str">
        <f>VLOOKUP($E454,Mapping!$E$11:$I$96,3,0)</f>
        <v>Connections</v>
      </c>
      <c r="L454" s="7" t="str">
        <f>VLOOKUP($G454,Mapping!$E$140:$K$2771,5,0)</f>
        <v>Labour</v>
      </c>
      <c r="M454" s="7" t="str">
        <f>VLOOKUP($G454,Mapping!$E$140:$K$2771,7,0)</f>
        <v>ENDirect</v>
      </c>
      <c r="N454" s="7" t="str">
        <f>IFERROR(HLOOKUP(L454,'Calc|Weightings'!$K$5:$M$5,1,0),"Excl")</f>
        <v>Labour</v>
      </c>
      <c r="O454" s="7" t="str">
        <f>VLOOKUP(E454,Mapping!$E$11:$I$96,5,0)</f>
        <v>SCS</v>
      </c>
      <c r="Q454" s="33">
        <v>116</v>
      </c>
      <c r="R454" s="33" t="s">
        <v>2130</v>
      </c>
      <c r="S454" s="33">
        <v>520100</v>
      </c>
      <c r="T454" s="33" t="s">
        <v>2072</v>
      </c>
      <c r="U454" s="34">
        <v>1441.81276</v>
      </c>
      <c r="V454" s="7"/>
      <c r="W454" s="7" t="str">
        <f>VLOOKUP($Q454,Mapping!$E$11:$I$96,3,0)</f>
        <v>Connections</v>
      </c>
      <c r="X454" s="7" t="str">
        <f>VLOOKUP($S454,Mapping!$E$140:$K$2771,5,0)</f>
        <v>Materials</v>
      </c>
      <c r="Y454" s="7" t="str">
        <f>VLOOKUP($S454,Mapping!$E$140:$K$2771,7,0)</f>
        <v>ENDirect</v>
      </c>
      <c r="Z454" s="7" t="str">
        <f>IFERROR(HLOOKUP(X454,'Calc|Weightings'!$K$5:$M$5,1,0),"Excl")</f>
        <v>Materials</v>
      </c>
      <c r="AA454" s="7" t="str">
        <f>VLOOKUP(Q454,Mapping!$E$11:$I$96,5,0)</f>
        <v>SCS</v>
      </c>
      <c r="AC454" s="111">
        <v>115</v>
      </c>
      <c r="AD454" s="111" t="s">
        <v>2129</v>
      </c>
      <c r="AE454" s="111">
        <v>613803</v>
      </c>
      <c r="AF454" s="111" t="s">
        <v>658</v>
      </c>
      <c r="AG454" s="112">
        <v>-24.512619999999998</v>
      </c>
      <c r="AI454" s="7" t="str">
        <f>VLOOKUP($AC454,Mapping!$E$11:$I$96,3,0)</f>
        <v>Metering Opex</v>
      </c>
      <c r="AJ454" s="7" t="str">
        <f>VLOOKUP($AE454,Mapping!$E$140:$K$2771,5,0)</f>
        <v>Materials</v>
      </c>
      <c r="AK454" s="7" t="str">
        <f>VLOOKUP($AE454,Mapping!$E$140:$K$2771,7,0)</f>
        <v>ENDirect</v>
      </c>
      <c r="AL454" s="7" t="str">
        <f>IFERROR(HLOOKUP(AJ454,'Calc|Weightings'!$K$5:$M$5,1,0),"Excl")</f>
        <v>Materials</v>
      </c>
      <c r="AM454" s="7" t="str">
        <f>VLOOKUP(AC454,Mapping!$E$11:$I$96,5,0)</f>
        <v>Connection Services</v>
      </c>
      <c r="AO454" s="134">
        <v>116</v>
      </c>
      <c r="AP454" s="135" t="s">
        <v>2130</v>
      </c>
      <c r="AQ454" s="135">
        <v>531480</v>
      </c>
      <c r="AR454" s="135" t="s">
        <v>2076</v>
      </c>
      <c r="AS454" s="136">
        <v>109.09950000000001</v>
      </c>
      <c r="AU454" s="7" t="str">
        <f>VLOOKUP($AO454,Mapping!$E$11:$I$96,3,0)</f>
        <v>Connections</v>
      </c>
      <c r="AV454" s="7" t="str">
        <f>VLOOKUP($AQ454,Mapping!$E$140:$K$2771,5,0)</f>
        <v>Labour</v>
      </c>
      <c r="AW454" s="7" t="str">
        <f>VLOOKUP($AQ454,Mapping!$E$140:$K$2771,7,0)</f>
        <v>ENDirect</v>
      </c>
      <c r="AX454" s="7" t="str">
        <f>IFERROR(HLOOKUP(AV454,'Calc|Weightings'!$K$5:$M$5,1,0),"Excl")</f>
        <v>Labour</v>
      </c>
      <c r="AY454" s="7" t="str">
        <f>VLOOKUP(AO454,Mapping!$E$11:$I$96,5,0)</f>
        <v>SCS</v>
      </c>
    </row>
    <row r="455" spans="1:51" x14ac:dyDescent="0.2">
      <c r="A455" s="7"/>
      <c r="B455" s="7"/>
      <c r="C455" s="7"/>
      <c r="D455" s="7"/>
      <c r="E455" s="36">
        <v>111</v>
      </c>
      <c r="F455" s="36" t="s">
        <v>2126</v>
      </c>
      <c r="G455" s="36">
        <v>613575</v>
      </c>
      <c r="H455" s="36" t="s">
        <v>1489</v>
      </c>
      <c r="I455" s="37">
        <v>0.18966</v>
      </c>
      <c r="J455" s="7"/>
      <c r="K455" s="7" t="str">
        <f>VLOOKUP($E455,Mapping!$E$11:$I$96,3,0)</f>
        <v>Connections</v>
      </c>
      <c r="L455" s="7" t="str">
        <f>VLOOKUP($G455,Mapping!$E$140:$K$2771,5,0)</f>
        <v>Labour</v>
      </c>
      <c r="M455" s="7" t="str">
        <f>VLOOKUP($G455,Mapping!$E$140:$K$2771,7,0)</f>
        <v>ENDirect</v>
      </c>
      <c r="N455" s="7" t="str">
        <f>IFERROR(HLOOKUP(L455,'Calc|Weightings'!$K$5:$M$5,1,0),"Excl")</f>
        <v>Labour</v>
      </c>
      <c r="O455" s="7" t="str">
        <f>VLOOKUP(E455,Mapping!$E$11:$I$96,5,0)</f>
        <v>SCS</v>
      </c>
      <c r="Q455" s="33">
        <v>116</v>
      </c>
      <c r="R455" s="33" t="s">
        <v>2130</v>
      </c>
      <c r="S455" s="33">
        <v>520200</v>
      </c>
      <c r="T455" s="33" t="s">
        <v>2073</v>
      </c>
      <c r="U455" s="34">
        <v>13.31232</v>
      </c>
      <c r="V455" s="7"/>
      <c r="W455" s="7" t="str">
        <f>VLOOKUP($Q455,Mapping!$E$11:$I$96,3,0)</f>
        <v>Connections</v>
      </c>
      <c r="X455" s="7" t="str">
        <f>VLOOKUP($S455,Mapping!$E$140:$K$2771,5,0)</f>
        <v>Materials</v>
      </c>
      <c r="Y455" s="7" t="str">
        <f>VLOOKUP($S455,Mapping!$E$140:$K$2771,7,0)</f>
        <v>ENDirect</v>
      </c>
      <c r="Z455" s="7" t="str">
        <f>IFERROR(HLOOKUP(X455,'Calc|Weightings'!$K$5:$M$5,1,0),"Excl")</f>
        <v>Materials</v>
      </c>
      <c r="AA455" s="7" t="str">
        <f>VLOOKUP(Q455,Mapping!$E$11:$I$96,5,0)</f>
        <v>SCS</v>
      </c>
      <c r="AC455" s="111">
        <v>115</v>
      </c>
      <c r="AD455" s="111" t="s">
        <v>2129</v>
      </c>
      <c r="AE455" s="111">
        <v>614115</v>
      </c>
      <c r="AF455" s="111" t="s">
        <v>2109</v>
      </c>
      <c r="AG455" s="112">
        <v>66.431970000000007</v>
      </c>
      <c r="AI455" s="7" t="str">
        <f>VLOOKUP($AC455,Mapping!$E$11:$I$96,3,0)</f>
        <v>Metering Opex</v>
      </c>
      <c r="AJ455" s="7" t="str">
        <f>VLOOKUP($AE455,Mapping!$E$140:$K$2771,5,0)</f>
        <v>Labour</v>
      </c>
      <c r="AK455" s="7" t="str">
        <f>VLOOKUP($AE455,Mapping!$E$140:$K$2771,7,0)</f>
        <v>ENDirect</v>
      </c>
      <c r="AL455" s="7" t="str">
        <f>IFERROR(HLOOKUP(AJ455,'Calc|Weightings'!$K$5:$M$5,1,0),"Excl")</f>
        <v>Labour</v>
      </c>
      <c r="AM455" s="7" t="str">
        <f>VLOOKUP(AC455,Mapping!$E$11:$I$96,5,0)</f>
        <v>Connection Services</v>
      </c>
      <c r="AO455" s="134">
        <v>116</v>
      </c>
      <c r="AP455" s="135" t="s">
        <v>2130</v>
      </c>
      <c r="AQ455" s="135">
        <v>531702</v>
      </c>
      <c r="AR455" s="135" t="s">
        <v>277</v>
      </c>
      <c r="AS455" s="136">
        <v>3.3000000000000002E-2</v>
      </c>
      <c r="AU455" s="7" t="str">
        <f>VLOOKUP($AO455,Mapping!$E$11:$I$96,3,0)</f>
        <v>Connections</v>
      </c>
      <c r="AV455" s="7" t="str">
        <f>VLOOKUP($AQ455,Mapping!$E$140:$K$2771,5,0)</f>
        <v>Contracts</v>
      </c>
      <c r="AW455" s="7" t="str">
        <f>VLOOKUP($AQ455,Mapping!$E$140:$K$2771,7,0)</f>
        <v>ENDirect</v>
      </c>
      <c r="AX455" s="7" t="str">
        <f>IFERROR(HLOOKUP(AV455,'Calc|Weightings'!$K$5:$M$5,1,0),"Excl")</f>
        <v>Contracts</v>
      </c>
      <c r="AY455" s="7" t="str">
        <f>VLOOKUP(AO455,Mapping!$E$11:$I$96,5,0)</f>
        <v>SCS</v>
      </c>
    </row>
    <row r="456" spans="1:51" x14ac:dyDescent="0.2">
      <c r="A456" s="7"/>
      <c r="B456" s="7"/>
      <c r="C456" s="7"/>
      <c r="D456" s="7"/>
      <c r="E456" s="36">
        <v>111</v>
      </c>
      <c r="F456" s="36" t="s">
        <v>2126</v>
      </c>
      <c r="G456" s="36">
        <v>613576</v>
      </c>
      <c r="H456" s="36" t="s">
        <v>1490</v>
      </c>
      <c r="I456" s="37">
        <v>1.6282000000000001</v>
      </c>
      <c r="J456" s="7"/>
      <c r="K456" s="7" t="str">
        <f>VLOOKUP($E456,Mapping!$E$11:$I$96,3,0)</f>
        <v>Connections</v>
      </c>
      <c r="L456" s="7" t="str">
        <f>VLOOKUP($G456,Mapping!$E$140:$K$2771,5,0)</f>
        <v>Labour</v>
      </c>
      <c r="M456" s="7" t="str">
        <f>VLOOKUP($G456,Mapping!$E$140:$K$2771,7,0)</f>
        <v>ENDirect</v>
      </c>
      <c r="N456" s="7" t="str">
        <f>IFERROR(HLOOKUP(L456,'Calc|Weightings'!$K$5:$M$5,1,0),"Excl")</f>
        <v>Labour</v>
      </c>
      <c r="O456" s="7" t="str">
        <f>VLOOKUP(E456,Mapping!$E$11:$I$96,5,0)</f>
        <v>SCS</v>
      </c>
      <c r="Q456" s="33">
        <v>116</v>
      </c>
      <c r="R456" s="33" t="s">
        <v>2130</v>
      </c>
      <c r="S456" s="33">
        <v>522100</v>
      </c>
      <c r="T456" s="33" t="s">
        <v>2115</v>
      </c>
      <c r="U456" s="34">
        <v>8.8016299999999994</v>
      </c>
      <c r="V456" s="7"/>
      <c r="W456" s="7" t="str">
        <f>VLOOKUP($Q456,Mapping!$E$11:$I$96,3,0)</f>
        <v>Connections</v>
      </c>
      <c r="X456" s="7" t="str">
        <f>VLOOKUP($S456,Mapping!$E$140:$K$2771,5,0)</f>
        <v>Materials</v>
      </c>
      <c r="Y456" s="7" t="str">
        <f>VLOOKUP($S456,Mapping!$E$140:$K$2771,7,0)</f>
        <v>ENDirect</v>
      </c>
      <c r="Z456" s="7" t="str">
        <f>IFERROR(HLOOKUP(X456,'Calc|Weightings'!$K$5:$M$5,1,0),"Excl")</f>
        <v>Materials</v>
      </c>
      <c r="AA456" s="7" t="str">
        <f>VLOOKUP(Q456,Mapping!$E$11:$I$96,5,0)</f>
        <v>SCS</v>
      </c>
      <c r="AC456" s="111">
        <v>115</v>
      </c>
      <c r="AD456" s="111" t="s">
        <v>2129</v>
      </c>
      <c r="AE456" s="111">
        <v>634001</v>
      </c>
      <c r="AF456" s="111" t="s">
        <v>2110</v>
      </c>
      <c r="AG456" s="112">
        <v>-0.21088000000000001</v>
      </c>
      <c r="AI456" s="7" t="str">
        <f>VLOOKUP($AC456,Mapping!$E$11:$I$96,3,0)</f>
        <v>Metering Opex</v>
      </c>
      <c r="AJ456" s="7" t="str">
        <f>VLOOKUP($AE456,Mapping!$E$140:$K$2771,5,0)</f>
        <v>Local OH</v>
      </c>
      <c r="AK456" s="7" t="str">
        <f>VLOOKUP($AE456,Mapping!$E$140:$K$2771,7,0)</f>
        <v>OH</v>
      </c>
      <c r="AL456" s="7" t="str">
        <f>IFERROR(HLOOKUP(AJ456,'Calc|Weightings'!$K$5:$M$5,1,0),"Excl")</f>
        <v>Excl</v>
      </c>
      <c r="AM456" s="7" t="str">
        <f>VLOOKUP(AC456,Mapping!$E$11:$I$96,5,0)</f>
        <v>Connection Services</v>
      </c>
      <c r="AO456" s="134">
        <v>116</v>
      </c>
      <c r="AP456" s="135" t="s">
        <v>2130</v>
      </c>
      <c r="AQ456" s="135">
        <v>532050</v>
      </c>
      <c r="AR456" s="135" t="s">
        <v>279</v>
      </c>
      <c r="AS456" s="136">
        <v>38.53425</v>
      </c>
      <c r="AU456" s="7" t="str">
        <f>VLOOKUP($AO456,Mapping!$E$11:$I$96,3,0)</f>
        <v>Connections</v>
      </c>
      <c r="AV456" s="7" t="str">
        <f>VLOOKUP($AQ456,Mapping!$E$140:$K$2771,5,0)</f>
        <v>Contracts</v>
      </c>
      <c r="AW456" s="7" t="str">
        <f>VLOOKUP($AQ456,Mapping!$E$140:$K$2771,7,0)</f>
        <v>ENDirect</v>
      </c>
      <c r="AX456" s="7" t="str">
        <f>IFERROR(HLOOKUP(AV456,'Calc|Weightings'!$K$5:$M$5,1,0),"Excl")</f>
        <v>Contracts</v>
      </c>
      <c r="AY456" s="7" t="str">
        <f>VLOOKUP(AO456,Mapping!$E$11:$I$96,5,0)</f>
        <v>SCS</v>
      </c>
    </row>
    <row r="457" spans="1:51" x14ac:dyDescent="0.2">
      <c r="A457" s="7"/>
      <c r="B457" s="7"/>
      <c r="C457" s="7"/>
      <c r="D457" s="7"/>
      <c r="E457" s="36">
        <v>111</v>
      </c>
      <c r="F457" s="36" t="s">
        <v>2126</v>
      </c>
      <c r="G457" s="36">
        <v>613602</v>
      </c>
      <c r="H457" s="36" t="s">
        <v>1494</v>
      </c>
      <c r="I457" s="37">
        <v>0.9304</v>
      </c>
      <c r="J457" s="7"/>
      <c r="K457" s="7" t="str">
        <f>VLOOKUP($E457,Mapping!$E$11:$I$96,3,0)</f>
        <v>Connections</v>
      </c>
      <c r="L457" s="7" t="str">
        <f>VLOOKUP($G457,Mapping!$E$140:$K$2771,5,0)</f>
        <v>Labour</v>
      </c>
      <c r="M457" s="7" t="str">
        <f>VLOOKUP($G457,Mapping!$E$140:$K$2771,7,0)</f>
        <v>ENDirect</v>
      </c>
      <c r="N457" s="7" t="str">
        <f>IFERROR(HLOOKUP(L457,'Calc|Weightings'!$K$5:$M$5,1,0),"Excl")</f>
        <v>Labour</v>
      </c>
      <c r="O457" s="7" t="str">
        <f>VLOOKUP(E457,Mapping!$E$11:$I$96,5,0)</f>
        <v>SCS</v>
      </c>
      <c r="Q457" s="33">
        <v>116</v>
      </c>
      <c r="R457" s="33" t="s">
        <v>2130</v>
      </c>
      <c r="S457" s="33">
        <v>523100</v>
      </c>
      <c r="T457" s="33" t="s">
        <v>2074</v>
      </c>
      <c r="U457" s="34">
        <v>20.248480000000001</v>
      </c>
      <c r="V457" s="7"/>
      <c r="W457" s="7" t="str">
        <f>VLOOKUP($Q457,Mapping!$E$11:$I$96,3,0)</f>
        <v>Connections</v>
      </c>
      <c r="X457" s="7" t="str">
        <f>VLOOKUP($S457,Mapping!$E$140:$K$2771,5,0)</f>
        <v>Materials</v>
      </c>
      <c r="Y457" s="7" t="str">
        <f>VLOOKUP($S457,Mapping!$E$140:$K$2771,7,0)</f>
        <v>ENDirect</v>
      </c>
      <c r="Z457" s="7" t="str">
        <f>IFERROR(HLOOKUP(X457,'Calc|Weightings'!$K$5:$M$5,1,0),"Excl")</f>
        <v>Materials</v>
      </c>
      <c r="AA457" s="7" t="str">
        <f>VLOOKUP(Q457,Mapping!$E$11:$I$96,5,0)</f>
        <v>SCS</v>
      </c>
      <c r="AC457" s="111">
        <v>115</v>
      </c>
      <c r="AD457" s="111" t="s">
        <v>2129</v>
      </c>
      <c r="AE457" s="111">
        <v>635001</v>
      </c>
      <c r="AF457" s="111" t="s">
        <v>1929</v>
      </c>
      <c r="AG457" s="112">
        <v>68.377589999999998</v>
      </c>
      <c r="AI457" s="7" t="str">
        <f>VLOOKUP($AC457,Mapping!$E$11:$I$96,3,0)</f>
        <v>Metering Opex</v>
      </c>
      <c r="AJ457" s="7" t="str">
        <f>VLOOKUP($AE457,Mapping!$E$140:$K$2771,5,0)</f>
        <v>PNS MG</v>
      </c>
      <c r="AK457" s="7" t="str">
        <f>VLOOKUP($AE457,Mapping!$E$140:$K$2771,7,0)</f>
        <v>ENDirect</v>
      </c>
      <c r="AL457" s="7" t="str">
        <f>IFERROR(HLOOKUP(AJ457,'Calc|Weightings'!$K$5:$M$5,1,0),"Excl")</f>
        <v>Excl</v>
      </c>
      <c r="AM457" s="7" t="str">
        <f>VLOOKUP(AC457,Mapping!$E$11:$I$96,5,0)</f>
        <v>Connection Services</v>
      </c>
      <c r="AO457" s="134">
        <v>116</v>
      </c>
      <c r="AP457" s="135" t="s">
        <v>2130</v>
      </c>
      <c r="AQ457" s="135">
        <v>532100</v>
      </c>
      <c r="AR457" s="135" t="s">
        <v>286</v>
      </c>
      <c r="AS457" s="136">
        <v>2.145</v>
      </c>
      <c r="AU457" s="7" t="str">
        <f>VLOOKUP($AO457,Mapping!$E$11:$I$96,3,0)</f>
        <v>Connections</v>
      </c>
      <c r="AV457" s="7" t="str">
        <f>VLOOKUP($AQ457,Mapping!$E$140:$K$2771,5,0)</f>
        <v>Contracts</v>
      </c>
      <c r="AW457" s="7" t="str">
        <f>VLOOKUP($AQ457,Mapping!$E$140:$K$2771,7,0)</f>
        <v>ENDirect</v>
      </c>
      <c r="AX457" s="7" t="str">
        <f>IFERROR(HLOOKUP(AV457,'Calc|Weightings'!$K$5:$M$5,1,0),"Excl")</f>
        <v>Contracts</v>
      </c>
      <c r="AY457" s="7" t="str">
        <f>VLOOKUP(AO457,Mapping!$E$11:$I$96,5,0)</f>
        <v>SCS</v>
      </c>
    </row>
    <row r="458" spans="1:51" x14ac:dyDescent="0.2">
      <c r="A458" s="7"/>
      <c r="B458" s="7"/>
      <c r="C458" s="7"/>
      <c r="D458" s="7"/>
      <c r="E458" s="36">
        <v>111</v>
      </c>
      <c r="F458" s="36" t="s">
        <v>2126</v>
      </c>
      <c r="G458" s="36">
        <v>613680</v>
      </c>
      <c r="H458" s="36" t="s">
        <v>2107</v>
      </c>
      <c r="I458" s="37">
        <v>235.92911000000001</v>
      </c>
      <c r="J458" s="7"/>
      <c r="K458" s="7" t="str">
        <f>VLOOKUP($E458,Mapping!$E$11:$I$96,3,0)</f>
        <v>Connections</v>
      </c>
      <c r="L458" s="7" t="str">
        <f>VLOOKUP($G458,Mapping!$E$140:$K$2771,5,0)</f>
        <v>Labour</v>
      </c>
      <c r="M458" s="7" t="str">
        <f>VLOOKUP($G458,Mapping!$E$140:$K$2771,7,0)</f>
        <v>ENDirect</v>
      </c>
      <c r="N458" s="7" t="str">
        <f>IFERROR(HLOOKUP(L458,'Calc|Weightings'!$K$5:$M$5,1,0),"Excl")</f>
        <v>Labour</v>
      </c>
      <c r="O458" s="7" t="str">
        <f>VLOOKUP(E458,Mapping!$E$11:$I$96,5,0)</f>
        <v>SCS</v>
      </c>
      <c r="Q458" s="33">
        <v>116</v>
      </c>
      <c r="R458" s="33" t="s">
        <v>2130</v>
      </c>
      <c r="S458" s="33">
        <v>523300</v>
      </c>
      <c r="T458" s="33" t="s">
        <v>2075</v>
      </c>
      <c r="U458" s="34">
        <v>1.35344</v>
      </c>
      <c r="V458" s="7"/>
      <c r="W458" s="7" t="str">
        <f>VLOOKUP($Q458,Mapping!$E$11:$I$96,3,0)</f>
        <v>Connections</v>
      </c>
      <c r="X458" s="7" t="str">
        <f>VLOOKUP($S458,Mapping!$E$140:$K$2771,5,0)</f>
        <v>Materials</v>
      </c>
      <c r="Y458" s="7" t="str">
        <f>VLOOKUP($S458,Mapping!$E$140:$K$2771,7,0)</f>
        <v>ENDirect</v>
      </c>
      <c r="Z458" s="7" t="str">
        <f>IFERROR(HLOOKUP(X458,'Calc|Weightings'!$K$5:$M$5,1,0),"Excl")</f>
        <v>Materials</v>
      </c>
      <c r="AA458" s="7" t="str">
        <f>VLOOKUP(Q458,Mapping!$E$11:$I$96,5,0)</f>
        <v>SCS</v>
      </c>
      <c r="AC458" s="111">
        <v>115</v>
      </c>
      <c r="AD458" s="111" t="s">
        <v>2129</v>
      </c>
      <c r="AE458" s="111">
        <v>636001</v>
      </c>
      <c r="AF458" s="111" t="s">
        <v>2111</v>
      </c>
      <c r="AG458" s="112">
        <v>0.12484000000000001</v>
      </c>
      <c r="AI458" s="7" t="str">
        <f>VLOOKUP($AC458,Mapping!$E$11:$I$96,3,0)</f>
        <v>Metering Opex</v>
      </c>
      <c r="AJ458" s="7" t="str">
        <f>VLOOKUP($AE458,Mapping!$E$140:$K$2771,5,0)</f>
        <v>System Control OH</v>
      </c>
      <c r="AK458" s="7" t="str">
        <f>VLOOKUP($AE458,Mapping!$E$140:$K$2771,7,0)</f>
        <v>OH</v>
      </c>
      <c r="AL458" s="7" t="str">
        <f>IFERROR(HLOOKUP(AJ458,'Calc|Weightings'!$K$5:$M$5,1,0),"Excl")</f>
        <v>Excl</v>
      </c>
      <c r="AM458" s="7" t="str">
        <f>VLOOKUP(AC458,Mapping!$E$11:$I$96,5,0)</f>
        <v>Connection Services</v>
      </c>
      <c r="AO458" s="134">
        <v>116</v>
      </c>
      <c r="AP458" s="135" t="s">
        <v>2130</v>
      </c>
      <c r="AQ458" s="135">
        <v>532140</v>
      </c>
      <c r="AR458" s="135" t="s">
        <v>288</v>
      </c>
      <c r="AS458" s="136">
        <v>55.096679999999999</v>
      </c>
      <c r="AU458" s="7" t="str">
        <f>VLOOKUP($AO458,Mapping!$E$11:$I$96,3,0)</f>
        <v>Connections</v>
      </c>
      <c r="AV458" s="7" t="str">
        <f>VLOOKUP($AQ458,Mapping!$E$140:$K$2771,5,0)</f>
        <v>Contracts</v>
      </c>
      <c r="AW458" s="7" t="str">
        <f>VLOOKUP($AQ458,Mapping!$E$140:$K$2771,7,0)</f>
        <v>ENDirect</v>
      </c>
      <c r="AX458" s="7" t="str">
        <f>IFERROR(HLOOKUP(AV458,'Calc|Weightings'!$K$5:$M$5,1,0),"Excl")</f>
        <v>Contracts</v>
      </c>
      <c r="AY458" s="7" t="str">
        <f>VLOOKUP(AO458,Mapping!$E$11:$I$96,5,0)</f>
        <v>SCS</v>
      </c>
    </row>
    <row r="459" spans="1:51" x14ac:dyDescent="0.2">
      <c r="A459" s="7"/>
      <c r="B459" s="7"/>
      <c r="C459" s="7"/>
      <c r="D459" s="7"/>
      <c r="E459" s="36">
        <v>111</v>
      </c>
      <c r="F459" s="36" t="s">
        <v>2126</v>
      </c>
      <c r="G459" s="36">
        <v>613681</v>
      </c>
      <c r="H459" s="36" t="s">
        <v>2108</v>
      </c>
      <c r="I459" s="37">
        <v>3.4929999999999999</v>
      </c>
      <c r="J459" s="7"/>
      <c r="K459" s="7" t="str">
        <f>VLOOKUP($E459,Mapping!$E$11:$I$96,3,0)</f>
        <v>Connections</v>
      </c>
      <c r="L459" s="7" t="str">
        <f>VLOOKUP($G459,Mapping!$E$140:$K$2771,5,0)</f>
        <v>Labour</v>
      </c>
      <c r="M459" s="7" t="str">
        <f>VLOOKUP($G459,Mapping!$E$140:$K$2771,7,0)</f>
        <v>ENDirect</v>
      </c>
      <c r="N459" s="7" t="str">
        <f>IFERROR(HLOOKUP(L459,'Calc|Weightings'!$K$5:$M$5,1,0),"Excl")</f>
        <v>Labour</v>
      </c>
      <c r="O459" s="7" t="str">
        <f>VLOOKUP(E459,Mapping!$E$11:$I$96,5,0)</f>
        <v>SCS</v>
      </c>
      <c r="Q459" s="33">
        <v>116</v>
      </c>
      <c r="R459" s="33" t="s">
        <v>2130</v>
      </c>
      <c r="S459" s="33">
        <v>531000</v>
      </c>
      <c r="T459" s="33" t="s">
        <v>242</v>
      </c>
      <c r="U459" s="34">
        <v>3.6912699999999998</v>
      </c>
      <c r="V459" s="7"/>
      <c r="W459" s="7" t="str">
        <f>VLOOKUP($Q459,Mapping!$E$11:$I$96,3,0)</f>
        <v>Connections</v>
      </c>
      <c r="X459" s="7" t="str">
        <f>VLOOKUP($S459,Mapping!$E$140:$K$2771,5,0)</f>
        <v>Contracts</v>
      </c>
      <c r="Y459" s="7" t="str">
        <f>VLOOKUP($S459,Mapping!$E$140:$K$2771,7,0)</f>
        <v>ENDirect</v>
      </c>
      <c r="Z459" s="7" t="str">
        <f>IFERROR(HLOOKUP(X459,'Calc|Weightings'!$K$5:$M$5,1,0),"Excl")</f>
        <v>Contracts</v>
      </c>
      <c r="AA459" s="7" t="str">
        <f>VLOOKUP(Q459,Mapping!$E$11:$I$96,5,0)</f>
        <v>SCS</v>
      </c>
      <c r="AC459" s="111">
        <v>115</v>
      </c>
      <c r="AD459" s="111" t="s">
        <v>2129</v>
      </c>
      <c r="AE459" s="111">
        <v>636105</v>
      </c>
      <c r="AF459" s="111" t="s">
        <v>1937</v>
      </c>
      <c r="AG459" s="112">
        <v>6.9753600000000002</v>
      </c>
      <c r="AI459" s="7" t="str">
        <f>VLOOKUP($AC459,Mapping!$E$11:$I$96,3,0)</f>
        <v>Metering Opex</v>
      </c>
      <c r="AJ459" s="7" t="str">
        <f>VLOOKUP($AE459,Mapping!$E$140:$K$2771,5,0)</f>
        <v>CSG MG</v>
      </c>
      <c r="AK459" s="7" t="str">
        <f>VLOOKUP($AE459,Mapping!$E$140:$K$2771,7,0)</f>
        <v>ENDirect</v>
      </c>
      <c r="AL459" s="7" t="str">
        <f>IFERROR(HLOOKUP(AJ459,'Calc|Weightings'!$K$5:$M$5,1,0),"Excl")</f>
        <v>Excl</v>
      </c>
      <c r="AM459" s="7" t="str">
        <f>VLOOKUP(AC459,Mapping!$E$11:$I$96,5,0)</f>
        <v>Connection Services</v>
      </c>
      <c r="AO459" s="134">
        <v>116</v>
      </c>
      <c r="AP459" s="135" t="s">
        <v>2130</v>
      </c>
      <c r="AQ459" s="135">
        <v>532200</v>
      </c>
      <c r="AR459" s="135" t="s">
        <v>291</v>
      </c>
      <c r="AS459" s="136">
        <v>18.210260000000002</v>
      </c>
      <c r="AU459" s="7" t="str">
        <f>VLOOKUP($AO459,Mapping!$E$11:$I$96,3,0)</f>
        <v>Connections</v>
      </c>
      <c r="AV459" s="7" t="str">
        <f>VLOOKUP($AQ459,Mapping!$E$140:$K$2771,5,0)</f>
        <v>Contracts</v>
      </c>
      <c r="AW459" s="7" t="str">
        <f>VLOOKUP($AQ459,Mapping!$E$140:$K$2771,7,0)</f>
        <v>ENDirect</v>
      </c>
      <c r="AX459" s="7" t="str">
        <f>IFERROR(HLOOKUP(AV459,'Calc|Weightings'!$K$5:$M$5,1,0),"Excl")</f>
        <v>Contracts</v>
      </c>
      <c r="AY459" s="7" t="str">
        <f>VLOOKUP(AO459,Mapping!$E$11:$I$96,5,0)</f>
        <v>SCS</v>
      </c>
    </row>
    <row r="460" spans="1:51" x14ac:dyDescent="0.2">
      <c r="A460" s="7"/>
      <c r="B460" s="7"/>
      <c r="C460" s="7"/>
      <c r="D460" s="7"/>
      <c r="E460" s="36">
        <v>111</v>
      </c>
      <c r="F460" s="36" t="s">
        <v>2126</v>
      </c>
      <c r="G460" s="36">
        <v>613963</v>
      </c>
      <c r="H460" s="36" t="s">
        <v>1649</v>
      </c>
      <c r="I460" s="37">
        <v>1.522</v>
      </c>
      <c r="J460" s="7"/>
      <c r="K460" s="7" t="str">
        <f>VLOOKUP($E460,Mapping!$E$11:$I$96,3,0)</f>
        <v>Connections</v>
      </c>
      <c r="L460" s="7" t="str">
        <f>VLOOKUP($G460,Mapping!$E$140:$K$2771,5,0)</f>
        <v>Contracts</v>
      </c>
      <c r="M460" s="7" t="str">
        <f>VLOOKUP($G460,Mapping!$E$140:$K$2771,7,0)</f>
        <v>ENDirect</v>
      </c>
      <c r="N460" s="7" t="str">
        <f>IFERROR(HLOOKUP(L460,'Calc|Weightings'!$K$5:$M$5,1,0),"Excl")</f>
        <v>Contracts</v>
      </c>
      <c r="O460" s="7" t="str">
        <f>VLOOKUP(E460,Mapping!$E$11:$I$96,5,0)</f>
        <v>SCS</v>
      </c>
      <c r="Q460" s="33">
        <v>116</v>
      </c>
      <c r="R460" s="33" t="s">
        <v>2130</v>
      </c>
      <c r="S460" s="33">
        <v>531020</v>
      </c>
      <c r="T460" s="33" t="s">
        <v>219</v>
      </c>
      <c r="U460" s="34">
        <v>44.982660000000003</v>
      </c>
      <c r="V460" s="7"/>
      <c r="W460" s="7" t="str">
        <f>VLOOKUP($Q460,Mapping!$E$11:$I$96,3,0)</f>
        <v>Connections</v>
      </c>
      <c r="X460" s="7" t="str">
        <f>VLOOKUP($S460,Mapping!$E$140:$K$2771,5,0)</f>
        <v>Labour</v>
      </c>
      <c r="Y460" s="7" t="str">
        <f>VLOOKUP($S460,Mapping!$E$140:$K$2771,7,0)</f>
        <v>ENDirect</v>
      </c>
      <c r="Z460" s="7" t="str">
        <f>IFERROR(HLOOKUP(X460,'Calc|Weightings'!$K$5:$M$5,1,0),"Excl")</f>
        <v>Labour</v>
      </c>
      <c r="AA460" s="7" t="str">
        <f>VLOOKUP(Q460,Mapping!$E$11:$I$96,5,0)</f>
        <v>SCS</v>
      </c>
      <c r="AC460" s="111">
        <v>115</v>
      </c>
      <c r="AD460" s="111" t="s">
        <v>2129</v>
      </c>
      <c r="AE460" s="111">
        <v>639000</v>
      </c>
      <c r="AF460" s="111" t="s">
        <v>2112</v>
      </c>
      <c r="AG460" s="112">
        <v>57.685209999999998</v>
      </c>
      <c r="AI460" s="7" t="str">
        <f>VLOOKUP($AC460,Mapping!$E$11:$I$96,3,0)</f>
        <v>Metering Opex</v>
      </c>
      <c r="AJ460" s="7" t="str">
        <f>VLOOKUP($AE460,Mapping!$E$140:$K$2771,5,0)</f>
        <v>PNS Corporate OH</v>
      </c>
      <c r="AK460" s="7" t="str">
        <f>VLOOKUP($AE460,Mapping!$E$140:$K$2771,7,0)</f>
        <v>OH</v>
      </c>
      <c r="AL460" s="7" t="str">
        <f>IFERROR(HLOOKUP(AJ460,'Calc|Weightings'!$K$5:$M$5,1,0),"Excl")</f>
        <v>Excl</v>
      </c>
      <c r="AM460" s="7" t="str">
        <f>VLOOKUP(AC460,Mapping!$E$11:$I$96,5,0)</f>
        <v>Connection Services</v>
      </c>
      <c r="AO460" s="134">
        <v>116</v>
      </c>
      <c r="AP460" s="135" t="s">
        <v>2130</v>
      </c>
      <c r="AQ460" s="135">
        <v>532220</v>
      </c>
      <c r="AR460" s="135" t="s">
        <v>292</v>
      </c>
      <c r="AS460" s="136">
        <v>1.24</v>
      </c>
      <c r="AU460" s="7" t="str">
        <f>VLOOKUP($AO460,Mapping!$E$11:$I$96,3,0)</f>
        <v>Connections</v>
      </c>
      <c r="AV460" s="7" t="str">
        <f>VLOOKUP($AQ460,Mapping!$E$140:$K$2771,5,0)</f>
        <v>Contracts</v>
      </c>
      <c r="AW460" s="7" t="str">
        <f>VLOOKUP($AQ460,Mapping!$E$140:$K$2771,7,0)</f>
        <v>ENDirect</v>
      </c>
      <c r="AX460" s="7" t="str">
        <f>IFERROR(HLOOKUP(AV460,'Calc|Weightings'!$K$5:$M$5,1,0),"Excl")</f>
        <v>Contracts</v>
      </c>
      <c r="AY460" s="7" t="str">
        <f>VLOOKUP(AO460,Mapping!$E$11:$I$96,5,0)</f>
        <v>SCS</v>
      </c>
    </row>
    <row r="461" spans="1:51" x14ac:dyDescent="0.2">
      <c r="A461" s="7"/>
      <c r="B461" s="7"/>
      <c r="C461" s="7"/>
      <c r="D461" s="7"/>
      <c r="E461" s="36">
        <v>111</v>
      </c>
      <c r="F461" s="36" t="s">
        <v>2126</v>
      </c>
      <c r="G461" s="36">
        <v>613965</v>
      </c>
      <c r="H461" s="36" t="s">
        <v>1651</v>
      </c>
      <c r="I461" s="37">
        <v>0.81899999999999995</v>
      </c>
      <c r="J461" s="7"/>
      <c r="K461" s="7" t="str">
        <f>VLOOKUP($E461,Mapping!$E$11:$I$96,3,0)</f>
        <v>Connections</v>
      </c>
      <c r="L461" s="7" t="str">
        <f>VLOOKUP($G461,Mapping!$E$140:$K$2771,5,0)</f>
        <v>Contracts</v>
      </c>
      <c r="M461" s="7" t="str">
        <f>VLOOKUP($G461,Mapping!$E$140:$K$2771,7,0)</f>
        <v>ENDirect</v>
      </c>
      <c r="N461" s="7" t="str">
        <f>IFERROR(HLOOKUP(L461,'Calc|Weightings'!$K$5:$M$5,1,0),"Excl")</f>
        <v>Contracts</v>
      </c>
      <c r="O461" s="7" t="str">
        <f>VLOOKUP(E461,Mapping!$E$11:$I$96,5,0)</f>
        <v>SCS</v>
      </c>
      <c r="Q461" s="33">
        <v>116</v>
      </c>
      <c r="R461" s="33" t="s">
        <v>2130</v>
      </c>
      <c r="S461" s="33">
        <v>531035</v>
      </c>
      <c r="T461" s="33" t="s">
        <v>244</v>
      </c>
      <c r="U461" s="34">
        <v>15.94496</v>
      </c>
      <c r="V461" s="7"/>
      <c r="W461" s="7" t="str">
        <f>VLOOKUP($Q461,Mapping!$E$11:$I$96,3,0)</f>
        <v>Connections</v>
      </c>
      <c r="X461" s="7" t="str">
        <f>VLOOKUP($S461,Mapping!$E$140:$K$2771,5,0)</f>
        <v>Labour</v>
      </c>
      <c r="Y461" s="7" t="str">
        <f>VLOOKUP($S461,Mapping!$E$140:$K$2771,7,0)</f>
        <v>ENDirect</v>
      </c>
      <c r="Z461" s="7" t="str">
        <f>IFERROR(HLOOKUP(X461,'Calc|Weightings'!$K$5:$M$5,1,0),"Excl")</f>
        <v>Labour</v>
      </c>
      <c r="AA461" s="7" t="str">
        <f>VLOOKUP(Q461,Mapping!$E$11:$I$96,5,0)</f>
        <v>SCS</v>
      </c>
      <c r="AC461" s="111">
        <v>115</v>
      </c>
      <c r="AD461" s="111" t="s">
        <v>2129</v>
      </c>
      <c r="AE461" s="111">
        <v>639050</v>
      </c>
      <c r="AF461" s="111" t="s">
        <v>2113</v>
      </c>
      <c r="AG461" s="112">
        <v>0.89129000000000003</v>
      </c>
      <c r="AI461" s="7" t="str">
        <f>VLOOKUP($AC461,Mapping!$E$11:$I$96,3,0)</f>
        <v>Metering Opex</v>
      </c>
      <c r="AJ461" s="7" t="str">
        <f>VLOOKUP($AE461,Mapping!$E$140:$K$2771,5,0)</f>
        <v>PNS Fleet &amp; Property OH</v>
      </c>
      <c r="AK461" s="7" t="str">
        <f>VLOOKUP($AE461,Mapping!$E$140:$K$2771,7,0)</f>
        <v>OH</v>
      </c>
      <c r="AL461" s="7" t="str">
        <f>IFERROR(HLOOKUP(AJ461,'Calc|Weightings'!$K$5:$M$5,1,0),"Excl")</f>
        <v>Excl</v>
      </c>
      <c r="AM461" s="7" t="str">
        <f>VLOOKUP(AC461,Mapping!$E$11:$I$96,5,0)</f>
        <v>Connection Services</v>
      </c>
      <c r="AO461" s="134">
        <v>116</v>
      </c>
      <c r="AP461" s="135" t="s">
        <v>2130</v>
      </c>
      <c r="AQ461" s="135">
        <v>532360</v>
      </c>
      <c r="AR461" s="135" t="s">
        <v>2131</v>
      </c>
      <c r="AS461" s="136">
        <v>7.2349999999999998E-2</v>
      </c>
      <c r="AU461" s="7" t="str">
        <f>VLOOKUP($AO461,Mapping!$E$11:$I$96,3,0)</f>
        <v>Connections</v>
      </c>
      <c r="AV461" s="7" t="str">
        <f>VLOOKUP($AQ461,Mapping!$E$140:$K$2771,5,0)</f>
        <v>Contracts</v>
      </c>
      <c r="AW461" s="7" t="str">
        <f>VLOOKUP($AQ461,Mapping!$E$140:$K$2771,7,0)</f>
        <v>ENDirect</v>
      </c>
      <c r="AX461" s="7" t="str">
        <f>IFERROR(HLOOKUP(AV461,'Calc|Weightings'!$K$5:$M$5,1,0),"Excl")</f>
        <v>Contracts</v>
      </c>
      <c r="AY461" s="7" t="str">
        <f>VLOOKUP(AO461,Mapping!$E$11:$I$96,5,0)</f>
        <v>SCS</v>
      </c>
    </row>
    <row r="462" spans="1:51" x14ac:dyDescent="0.2">
      <c r="A462" s="7"/>
      <c r="B462" s="7"/>
      <c r="C462" s="7"/>
      <c r="D462" s="7"/>
      <c r="E462" s="36">
        <v>111</v>
      </c>
      <c r="F462" s="36" t="s">
        <v>2126</v>
      </c>
      <c r="G462" s="36">
        <v>615375</v>
      </c>
      <c r="H462" s="36" t="s">
        <v>1717</v>
      </c>
      <c r="I462" s="37">
        <v>20.34</v>
      </c>
      <c r="J462" s="7"/>
      <c r="K462" s="7" t="str">
        <f>VLOOKUP($E462,Mapping!$E$11:$I$96,3,0)</f>
        <v>Connections</v>
      </c>
      <c r="L462" s="7" t="str">
        <f>VLOOKUP($G462,Mapping!$E$140:$K$2771,5,0)</f>
        <v>Labour</v>
      </c>
      <c r="M462" s="7" t="str">
        <f>VLOOKUP($G462,Mapping!$E$140:$K$2771,7,0)</f>
        <v>ENDirect</v>
      </c>
      <c r="N462" s="7" t="str">
        <f>IFERROR(HLOOKUP(L462,'Calc|Weightings'!$K$5:$M$5,1,0),"Excl")</f>
        <v>Labour</v>
      </c>
      <c r="O462" s="7" t="str">
        <f>VLOOKUP(E462,Mapping!$E$11:$I$96,5,0)</f>
        <v>SCS</v>
      </c>
      <c r="Q462" s="33">
        <v>116</v>
      </c>
      <c r="R462" s="33" t="s">
        <v>2130</v>
      </c>
      <c r="S462" s="33">
        <v>531200</v>
      </c>
      <c r="T462" s="33" t="s">
        <v>250</v>
      </c>
      <c r="U462" s="34">
        <v>254.90523999999999</v>
      </c>
      <c r="V462" s="7"/>
      <c r="W462" s="7" t="str">
        <f>VLOOKUP($Q462,Mapping!$E$11:$I$96,3,0)</f>
        <v>Connections</v>
      </c>
      <c r="X462" s="7" t="str">
        <f>VLOOKUP($S462,Mapping!$E$140:$K$2771,5,0)</f>
        <v>Contracts</v>
      </c>
      <c r="Y462" s="7" t="str">
        <f>VLOOKUP($S462,Mapping!$E$140:$K$2771,7,0)</f>
        <v>ENDirect</v>
      </c>
      <c r="Z462" s="7" t="str">
        <f>IFERROR(HLOOKUP(X462,'Calc|Weightings'!$K$5:$M$5,1,0),"Excl")</f>
        <v>Contracts</v>
      </c>
      <c r="AA462" s="7" t="str">
        <f>VLOOKUP(Q462,Mapping!$E$11:$I$96,5,0)</f>
        <v>SCS</v>
      </c>
      <c r="AC462" s="111">
        <v>116</v>
      </c>
      <c r="AD462" s="111" t="s">
        <v>2130</v>
      </c>
      <c r="AE462" s="111">
        <v>500200</v>
      </c>
      <c r="AF462" s="111" t="s">
        <v>136</v>
      </c>
      <c r="AG462" s="112">
        <v>0.28050000000000003</v>
      </c>
      <c r="AI462" s="7" t="str">
        <f>VLOOKUP($AC462,Mapping!$E$11:$I$96,3,0)</f>
        <v>Connections</v>
      </c>
      <c r="AJ462" s="7" t="str">
        <f>VLOOKUP($AE462,Mapping!$E$140:$K$2771,5,0)</f>
        <v>Labour</v>
      </c>
      <c r="AK462" s="7" t="str">
        <f>VLOOKUP($AE462,Mapping!$E$140:$K$2771,7,0)</f>
        <v>ENDirect</v>
      </c>
      <c r="AL462" s="7" t="str">
        <f>IFERROR(HLOOKUP(AJ462,'Calc|Weightings'!$K$5:$M$5,1,0),"Excl")</f>
        <v>Labour</v>
      </c>
      <c r="AM462" s="7" t="str">
        <f>VLOOKUP(AC462,Mapping!$E$11:$I$96,5,0)</f>
        <v>SCS</v>
      </c>
      <c r="AO462" s="134">
        <v>116</v>
      </c>
      <c r="AP462" s="135" t="s">
        <v>2130</v>
      </c>
      <c r="AQ462" s="135">
        <v>533003</v>
      </c>
      <c r="AR462" s="135" t="s">
        <v>315</v>
      </c>
      <c r="AS462" s="136">
        <v>7.8849999999999998</v>
      </c>
      <c r="AU462" s="7" t="str">
        <f>VLOOKUP($AO462,Mapping!$E$11:$I$96,3,0)</f>
        <v>Connections</v>
      </c>
      <c r="AV462" s="7" t="str">
        <f>VLOOKUP($AQ462,Mapping!$E$140:$K$2771,5,0)</f>
        <v>Contracts</v>
      </c>
      <c r="AW462" s="7" t="str">
        <f>VLOOKUP($AQ462,Mapping!$E$140:$K$2771,7,0)</f>
        <v>ENDirect</v>
      </c>
      <c r="AX462" s="7" t="str">
        <f>IFERROR(HLOOKUP(AV462,'Calc|Weightings'!$K$5:$M$5,1,0),"Excl")</f>
        <v>Contracts</v>
      </c>
      <c r="AY462" s="7" t="str">
        <f>VLOOKUP(AO462,Mapping!$E$11:$I$96,5,0)</f>
        <v>SCS</v>
      </c>
    </row>
    <row r="463" spans="1:51" x14ac:dyDescent="0.2">
      <c r="A463" s="7"/>
      <c r="B463" s="7"/>
      <c r="C463" s="7"/>
      <c r="D463" s="7"/>
      <c r="E463" s="36">
        <v>111</v>
      </c>
      <c r="F463" s="36" t="s">
        <v>2126</v>
      </c>
      <c r="G463" s="36">
        <v>615395</v>
      </c>
      <c r="H463" s="36" t="s">
        <v>2196</v>
      </c>
      <c r="I463" s="37">
        <v>5.3392499999999998</v>
      </c>
      <c r="J463" s="7"/>
      <c r="K463" s="7" t="str">
        <f>VLOOKUP($E463,Mapping!$E$11:$I$96,3,0)</f>
        <v>Connections</v>
      </c>
      <c r="L463" s="7" t="str">
        <f>VLOOKUP($G463,Mapping!$E$140:$K$2771,5,0)</f>
        <v>Labour</v>
      </c>
      <c r="M463" s="7" t="str">
        <f>VLOOKUP($G463,Mapping!$E$140:$K$2771,7,0)</f>
        <v>ENDirect</v>
      </c>
      <c r="N463" s="7" t="str">
        <f>IFERROR(HLOOKUP(L463,'Calc|Weightings'!$K$5:$M$5,1,0),"Excl")</f>
        <v>Labour</v>
      </c>
      <c r="O463" s="7" t="str">
        <f>VLOOKUP(E463,Mapping!$E$11:$I$96,5,0)</f>
        <v>SCS</v>
      </c>
      <c r="Q463" s="33">
        <v>116</v>
      </c>
      <c r="R463" s="33" t="s">
        <v>2130</v>
      </c>
      <c r="S463" s="33">
        <v>531201</v>
      </c>
      <c r="T463" s="33" t="s">
        <v>251</v>
      </c>
      <c r="U463" s="34">
        <v>77.485870000000006</v>
      </c>
      <c r="V463" s="7"/>
      <c r="W463" s="7" t="str">
        <f>VLOOKUP($Q463,Mapping!$E$11:$I$96,3,0)</f>
        <v>Connections</v>
      </c>
      <c r="X463" s="7" t="str">
        <f>VLOOKUP($S463,Mapping!$E$140:$K$2771,5,0)</f>
        <v>Contracts</v>
      </c>
      <c r="Y463" s="7" t="str">
        <f>VLOOKUP($S463,Mapping!$E$140:$K$2771,7,0)</f>
        <v>ENDirect</v>
      </c>
      <c r="Z463" s="7" t="str">
        <f>IFERROR(HLOOKUP(X463,'Calc|Weightings'!$K$5:$M$5,1,0),"Excl")</f>
        <v>Contracts</v>
      </c>
      <c r="AA463" s="7" t="str">
        <f>VLOOKUP(Q463,Mapping!$E$11:$I$96,5,0)</f>
        <v>SCS</v>
      </c>
      <c r="AC463" s="111">
        <v>116</v>
      </c>
      <c r="AD463" s="111" t="s">
        <v>2130</v>
      </c>
      <c r="AE463" s="111">
        <v>503240</v>
      </c>
      <c r="AF463" s="111" t="s">
        <v>169</v>
      </c>
      <c r="AG463" s="112">
        <v>0.83099999999999996</v>
      </c>
      <c r="AI463" s="7" t="str">
        <f>VLOOKUP($AC463,Mapping!$E$11:$I$96,3,0)</f>
        <v>Connections</v>
      </c>
      <c r="AJ463" s="7" t="str">
        <f>VLOOKUP($AE463,Mapping!$E$140:$K$2771,5,0)</f>
        <v>Contracts</v>
      </c>
      <c r="AK463" s="7" t="str">
        <f>VLOOKUP($AE463,Mapping!$E$140:$K$2771,7,0)</f>
        <v>ENDirect</v>
      </c>
      <c r="AL463" s="7" t="str">
        <f>IFERROR(HLOOKUP(AJ463,'Calc|Weightings'!$K$5:$M$5,1,0),"Excl")</f>
        <v>Contracts</v>
      </c>
      <c r="AM463" s="7" t="str">
        <f>VLOOKUP(AC463,Mapping!$E$11:$I$96,5,0)</f>
        <v>SCS</v>
      </c>
      <c r="AO463" s="134">
        <v>116</v>
      </c>
      <c r="AP463" s="135" t="s">
        <v>2130</v>
      </c>
      <c r="AQ463" s="135">
        <v>545150</v>
      </c>
      <c r="AR463" s="135" t="s">
        <v>345</v>
      </c>
      <c r="AS463" s="136">
        <v>6.8640000000000007E-2</v>
      </c>
      <c r="AU463" s="7" t="str">
        <f>VLOOKUP($AO463,Mapping!$E$11:$I$96,3,0)</f>
        <v>Connections</v>
      </c>
      <c r="AV463" s="7" t="str">
        <f>VLOOKUP($AQ463,Mapping!$E$140:$K$2771,5,0)</f>
        <v>Contracts</v>
      </c>
      <c r="AW463" s="7" t="str">
        <f>VLOOKUP($AQ463,Mapping!$E$140:$K$2771,7,0)</f>
        <v>ENDirect</v>
      </c>
      <c r="AX463" s="7" t="str">
        <f>IFERROR(HLOOKUP(AV463,'Calc|Weightings'!$K$5:$M$5,1,0),"Excl")</f>
        <v>Contracts</v>
      </c>
      <c r="AY463" s="7" t="str">
        <f>VLOOKUP(AO463,Mapping!$E$11:$I$96,5,0)</f>
        <v>SCS</v>
      </c>
    </row>
    <row r="464" spans="1:51" x14ac:dyDescent="0.2">
      <c r="A464" s="7"/>
      <c r="B464" s="7"/>
      <c r="C464" s="7"/>
      <c r="D464" s="7"/>
      <c r="E464" s="36">
        <v>111</v>
      </c>
      <c r="F464" s="36" t="s">
        <v>2126</v>
      </c>
      <c r="G464" s="36">
        <v>633000</v>
      </c>
      <c r="H464" s="36" t="s">
        <v>2202</v>
      </c>
      <c r="I464" s="37">
        <v>4031.4272000000001</v>
      </c>
      <c r="J464" s="7"/>
      <c r="K464" s="7" t="str">
        <f>VLOOKUP($E464,Mapping!$E$11:$I$96,3,0)</f>
        <v>Connections</v>
      </c>
      <c r="L464" s="7" t="str">
        <f>VLOOKUP($G464,Mapping!$E$140:$K$2771,5,0)</f>
        <v>Contracts</v>
      </c>
      <c r="M464" s="7" t="str">
        <f>VLOOKUP($G464,Mapping!$E$140:$K$2771,7,0)</f>
        <v>OH</v>
      </c>
      <c r="N464" s="7" t="str">
        <f>IFERROR(HLOOKUP(L464,'Calc|Weightings'!$K$5:$M$5,1,0),"Excl")</f>
        <v>Contracts</v>
      </c>
      <c r="O464" s="7" t="str">
        <f>VLOOKUP(E464,Mapping!$E$11:$I$96,5,0)</f>
        <v>SCS</v>
      </c>
      <c r="Q464" s="33">
        <v>116</v>
      </c>
      <c r="R464" s="33" t="s">
        <v>2130</v>
      </c>
      <c r="S464" s="33">
        <v>531210</v>
      </c>
      <c r="T464" s="33" t="s">
        <v>252</v>
      </c>
      <c r="U464" s="34">
        <v>1.0725</v>
      </c>
      <c r="V464" s="7"/>
      <c r="W464" s="7" t="str">
        <f>VLOOKUP($Q464,Mapping!$E$11:$I$96,3,0)</f>
        <v>Connections</v>
      </c>
      <c r="X464" s="7" t="str">
        <f>VLOOKUP($S464,Mapping!$E$140:$K$2771,5,0)</f>
        <v>Labour</v>
      </c>
      <c r="Y464" s="7" t="str">
        <f>VLOOKUP($S464,Mapping!$E$140:$K$2771,7,0)</f>
        <v>ENDirect</v>
      </c>
      <c r="Z464" s="7" t="str">
        <f>IFERROR(HLOOKUP(X464,'Calc|Weightings'!$K$5:$M$5,1,0),"Excl")</f>
        <v>Labour</v>
      </c>
      <c r="AA464" s="7" t="str">
        <f>VLOOKUP(Q464,Mapping!$E$11:$I$96,5,0)</f>
        <v>SCS</v>
      </c>
      <c r="AC464" s="111">
        <v>116</v>
      </c>
      <c r="AD464" s="111" t="s">
        <v>2130</v>
      </c>
      <c r="AE464" s="111">
        <v>503281</v>
      </c>
      <c r="AF464" s="111" t="s">
        <v>2198</v>
      </c>
      <c r="AG464" s="112">
        <v>5.2720000000000003E-2</v>
      </c>
      <c r="AI464" s="7" t="str">
        <f>VLOOKUP($AC464,Mapping!$E$11:$I$96,3,0)</f>
        <v>Connections</v>
      </c>
      <c r="AJ464" s="7" t="str">
        <f>VLOOKUP($AE464,Mapping!$E$140:$K$2771,5,0)</f>
        <v>Contracts</v>
      </c>
      <c r="AK464" s="7" t="str">
        <f>VLOOKUP($AE464,Mapping!$E$140:$K$2771,7,0)</f>
        <v>ENDirect</v>
      </c>
      <c r="AL464" s="7" t="str">
        <f>IFERROR(HLOOKUP(AJ464,'Calc|Weightings'!$K$5:$M$5,1,0),"Excl")</f>
        <v>Contracts</v>
      </c>
      <c r="AM464" s="7" t="str">
        <f>VLOOKUP(AC464,Mapping!$E$11:$I$96,5,0)</f>
        <v>SCS</v>
      </c>
      <c r="AO464" s="134">
        <v>116</v>
      </c>
      <c r="AP464" s="135" t="s">
        <v>2130</v>
      </c>
      <c r="AQ464" s="135">
        <v>591200</v>
      </c>
      <c r="AR464" s="135" t="s">
        <v>398</v>
      </c>
      <c r="AS464" s="136">
        <v>0.7</v>
      </c>
      <c r="AU464" s="7" t="str">
        <f>VLOOKUP($AO464,Mapping!$E$11:$I$96,3,0)</f>
        <v>Connections</v>
      </c>
      <c r="AV464" s="7" t="str">
        <f>VLOOKUP($AQ464,Mapping!$E$140:$K$2771,5,0)</f>
        <v>Contracts</v>
      </c>
      <c r="AW464" s="7" t="str">
        <f>VLOOKUP($AQ464,Mapping!$E$140:$K$2771,7,0)</f>
        <v>ENDirect</v>
      </c>
      <c r="AX464" s="7" t="str">
        <f>IFERROR(HLOOKUP(AV464,'Calc|Weightings'!$K$5:$M$5,1,0),"Excl")</f>
        <v>Contracts</v>
      </c>
      <c r="AY464" s="7" t="str">
        <f>VLOOKUP(AO464,Mapping!$E$11:$I$96,5,0)</f>
        <v>SCS</v>
      </c>
    </row>
    <row r="465" spans="1:51" x14ac:dyDescent="0.2">
      <c r="A465" s="7"/>
      <c r="B465" s="7"/>
      <c r="C465" s="7"/>
      <c r="D465" s="7"/>
      <c r="E465" s="36">
        <v>111</v>
      </c>
      <c r="F465" s="36" t="s">
        <v>2126</v>
      </c>
      <c r="G465" s="36">
        <v>634001</v>
      </c>
      <c r="H465" s="36" t="s">
        <v>2110</v>
      </c>
      <c r="I465" s="37">
        <v>1616.36339</v>
      </c>
      <c r="J465" s="7"/>
      <c r="K465" s="7" t="str">
        <f>VLOOKUP($E465,Mapping!$E$11:$I$96,3,0)</f>
        <v>Connections</v>
      </c>
      <c r="L465" s="7" t="str">
        <f>VLOOKUP($G465,Mapping!$E$140:$K$2771,5,0)</f>
        <v>Local OH</v>
      </c>
      <c r="M465" s="7" t="str">
        <f>VLOOKUP($G465,Mapping!$E$140:$K$2771,7,0)</f>
        <v>OH</v>
      </c>
      <c r="N465" s="7" t="str">
        <f>IFERROR(HLOOKUP(L465,'Calc|Weightings'!$K$5:$M$5,1,0),"Excl")</f>
        <v>Excl</v>
      </c>
      <c r="O465" s="7" t="str">
        <f>VLOOKUP(E465,Mapping!$E$11:$I$96,5,0)</f>
        <v>SCS</v>
      </c>
      <c r="Q465" s="33">
        <v>116</v>
      </c>
      <c r="R465" s="33" t="s">
        <v>2130</v>
      </c>
      <c r="S465" s="33">
        <v>531211</v>
      </c>
      <c r="T465" s="33" t="s">
        <v>253</v>
      </c>
      <c r="U465" s="34">
        <v>6.22</v>
      </c>
      <c r="V465" s="7"/>
      <c r="W465" s="7" t="str">
        <f>VLOOKUP($Q465,Mapping!$E$11:$I$96,3,0)</f>
        <v>Connections</v>
      </c>
      <c r="X465" s="7" t="str">
        <f>VLOOKUP($S465,Mapping!$E$140:$K$2771,5,0)</f>
        <v>Labour</v>
      </c>
      <c r="Y465" s="7" t="str">
        <f>VLOOKUP($S465,Mapping!$E$140:$K$2771,7,0)</f>
        <v>ENDirect</v>
      </c>
      <c r="Z465" s="7" t="str">
        <f>IFERROR(HLOOKUP(X465,'Calc|Weightings'!$K$5:$M$5,1,0),"Excl")</f>
        <v>Labour</v>
      </c>
      <c r="AA465" s="7" t="str">
        <f>VLOOKUP(Q465,Mapping!$E$11:$I$96,5,0)</f>
        <v>SCS</v>
      </c>
      <c r="AC465" s="111">
        <v>116</v>
      </c>
      <c r="AD465" s="111" t="s">
        <v>2130</v>
      </c>
      <c r="AE465" s="111">
        <v>503330</v>
      </c>
      <c r="AF465" s="111" t="s">
        <v>180</v>
      </c>
      <c r="AG465" s="112">
        <v>0.2039</v>
      </c>
      <c r="AI465" s="7" t="str">
        <f>VLOOKUP($AC465,Mapping!$E$11:$I$96,3,0)</f>
        <v>Connections</v>
      </c>
      <c r="AJ465" s="7" t="str">
        <f>VLOOKUP($AE465,Mapping!$E$140:$K$2771,5,0)</f>
        <v>Contracts</v>
      </c>
      <c r="AK465" s="7" t="str">
        <f>VLOOKUP($AE465,Mapping!$E$140:$K$2771,7,0)</f>
        <v>ENDirect</v>
      </c>
      <c r="AL465" s="7" t="str">
        <f>IFERROR(HLOOKUP(AJ465,'Calc|Weightings'!$K$5:$M$5,1,0),"Excl")</f>
        <v>Contracts</v>
      </c>
      <c r="AM465" s="7" t="str">
        <f>VLOOKUP(AC465,Mapping!$E$11:$I$96,5,0)</f>
        <v>SCS</v>
      </c>
      <c r="AO465" s="134">
        <v>116</v>
      </c>
      <c r="AP465" s="135" t="s">
        <v>2130</v>
      </c>
      <c r="AQ465" s="135">
        <v>591997</v>
      </c>
      <c r="AR465" s="135" t="s">
        <v>2194</v>
      </c>
      <c r="AS465" s="136">
        <v>-83.234629999999996</v>
      </c>
      <c r="AU465" s="7" t="str">
        <f>VLOOKUP($AO465,Mapping!$E$11:$I$96,3,0)</f>
        <v>Connections</v>
      </c>
      <c r="AV465" s="7" t="str">
        <f>VLOOKUP($AQ465,Mapping!$E$140:$K$2771,5,0)</f>
        <v>Contracts</v>
      </c>
      <c r="AW465" s="7" t="str">
        <f>VLOOKUP($AQ465,Mapping!$E$140:$K$2771,7,0)</f>
        <v>ENDirect</v>
      </c>
      <c r="AX465" s="7" t="str">
        <f>IFERROR(HLOOKUP(AV465,'Calc|Weightings'!$K$5:$M$5,1,0),"Excl")</f>
        <v>Contracts</v>
      </c>
      <c r="AY465" s="7" t="str">
        <f>VLOOKUP(AO465,Mapping!$E$11:$I$96,5,0)</f>
        <v>SCS</v>
      </c>
    </row>
    <row r="466" spans="1:51" x14ac:dyDescent="0.2">
      <c r="A466" s="7"/>
      <c r="B466" s="7"/>
      <c r="C466" s="7"/>
      <c r="D466" s="7"/>
      <c r="E466" s="36">
        <v>111</v>
      </c>
      <c r="F466" s="36" t="s">
        <v>2126</v>
      </c>
      <c r="G466" s="36">
        <v>635001</v>
      </c>
      <c r="H466" s="36" t="s">
        <v>1929</v>
      </c>
      <c r="I466" s="37">
        <v>750.92924000000005</v>
      </c>
      <c r="J466" s="7"/>
      <c r="K466" s="7" t="str">
        <f>VLOOKUP($E466,Mapping!$E$11:$I$96,3,0)</f>
        <v>Connections</v>
      </c>
      <c r="L466" s="7" t="str">
        <f>VLOOKUP($G466,Mapping!$E$140:$K$2771,5,0)</f>
        <v>PNS MG</v>
      </c>
      <c r="M466" s="7" t="str">
        <f>VLOOKUP($G466,Mapping!$E$140:$K$2771,7,0)</f>
        <v>ENDirect</v>
      </c>
      <c r="N466" s="7" t="str">
        <f>IFERROR(HLOOKUP(L466,'Calc|Weightings'!$K$5:$M$5,1,0),"Excl")</f>
        <v>Excl</v>
      </c>
      <c r="O466" s="7" t="str">
        <f>VLOOKUP(E466,Mapping!$E$11:$I$96,5,0)</f>
        <v>SCS</v>
      </c>
      <c r="Q466" s="33">
        <v>116</v>
      </c>
      <c r="R466" s="33" t="s">
        <v>2130</v>
      </c>
      <c r="S466" s="33">
        <v>531464</v>
      </c>
      <c r="T466" s="33" t="s">
        <v>256</v>
      </c>
      <c r="U466" s="34">
        <v>7915.4849299999996</v>
      </c>
      <c r="V466" s="7"/>
      <c r="W466" s="7" t="str">
        <f>VLOOKUP($Q466,Mapping!$E$11:$I$96,3,0)</f>
        <v>Connections</v>
      </c>
      <c r="X466" s="7" t="str">
        <f>VLOOKUP($S466,Mapping!$E$140:$K$2771,5,0)</f>
        <v>Contracts</v>
      </c>
      <c r="Y466" s="7" t="str">
        <f>VLOOKUP($S466,Mapping!$E$140:$K$2771,7,0)</f>
        <v>ENDirect</v>
      </c>
      <c r="Z466" s="7" t="str">
        <f>IFERROR(HLOOKUP(X466,'Calc|Weightings'!$K$5:$M$5,1,0),"Excl")</f>
        <v>Contracts</v>
      </c>
      <c r="AA466" s="7" t="str">
        <f>VLOOKUP(Q466,Mapping!$E$11:$I$96,5,0)</f>
        <v>SCS</v>
      </c>
      <c r="AC466" s="111">
        <v>116</v>
      </c>
      <c r="AD466" s="111" t="s">
        <v>2130</v>
      </c>
      <c r="AE466" s="111">
        <v>503350</v>
      </c>
      <c r="AF466" s="111" t="s">
        <v>182</v>
      </c>
      <c r="AG466" s="112">
        <v>6.6475</v>
      </c>
      <c r="AI466" s="7" t="str">
        <f>VLOOKUP($AC466,Mapping!$E$11:$I$96,3,0)</f>
        <v>Connections</v>
      </c>
      <c r="AJ466" s="7" t="str">
        <f>VLOOKUP($AE466,Mapping!$E$140:$K$2771,5,0)</f>
        <v>Contracts</v>
      </c>
      <c r="AK466" s="7" t="str">
        <f>VLOOKUP($AE466,Mapping!$E$140:$K$2771,7,0)</f>
        <v>ENDirect</v>
      </c>
      <c r="AL466" s="7" t="str">
        <f>IFERROR(HLOOKUP(AJ466,'Calc|Weightings'!$K$5:$M$5,1,0),"Excl")</f>
        <v>Contracts</v>
      </c>
      <c r="AM466" s="7" t="str">
        <f>VLOOKUP(AC466,Mapping!$E$11:$I$96,5,0)</f>
        <v>SCS</v>
      </c>
      <c r="AO466" s="134">
        <v>116</v>
      </c>
      <c r="AP466" s="135" t="s">
        <v>2130</v>
      </c>
      <c r="AQ466" s="135">
        <v>591998</v>
      </c>
      <c r="AR466" s="135" t="s">
        <v>2077</v>
      </c>
      <c r="AS466" s="136">
        <v>-408.93043999999998</v>
      </c>
      <c r="AU466" s="7" t="str">
        <f>VLOOKUP($AO466,Mapping!$E$11:$I$96,3,0)</f>
        <v>Connections</v>
      </c>
      <c r="AV466" s="7" t="str">
        <f>VLOOKUP($AQ466,Mapping!$E$140:$K$2771,5,0)</f>
        <v>Contracts</v>
      </c>
      <c r="AW466" s="7" t="str">
        <f>VLOOKUP($AQ466,Mapping!$E$140:$K$2771,7,0)</f>
        <v>ENDirect</v>
      </c>
      <c r="AX466" s="7" t="str">
        <f>IFERROR(HLOOKUP(AV466,'Calc|Weightings'!$K$5:$M$5,1,0),"Excl")</f>
        <v>Contracts</v>
      </c>
      <c r="AY466" s="7" t="str">
        <f>VLOOKUP(AO466,Mapping!$E$11:$I$96,5,0)</f>
        <v>SCS</v>
      </c>
    </row>
    <row r="467" spans="1:51" x14ac:dyDescent="0.2">
      <c r="A467" s="7"/>
      <c r="B467" s="7"/>
      <c r="C467" s="7"/>
      <c r="D467" s="7"/>
      <c r="E467" s="36">
        <v>111</v>
      </c>
      <c r="F467" s="36" t="s">
        <v>2126</v>
      </c>
      <c r="G467" s="36">
        <v>636001</v>
      </c>
      <c r="H467" s="36" t="s">
        <v>2111</v>
      </c>
      <c r="I467" s="37">
        <v>508.13553999999999</v>
      </c>
      <c r="J467" s="7"/>
      <c r="K467" s="7" t="str">
        <f>VLOOKUP($E467,Mapping!$E$11:$I$96,3,0)</f>
        <v>Connections</v>
      </c>
      <c r="L467" s="7" t="str">
        <f>VLOOKUP($G467,Mapping!$E$140:$K$2771,5,0)</f>
        <v>System Control OH</v>
      </c>
      <c r="M467" s="7" t="str">
        <f>VLOOKUP($G467,Mapping!$E$140:$K$2771,7,0)</f>
        <v>OH</v>
      </c>
      <c r="N467" s="7" t="str">
        <f>IFERROR(HLOOKUP(L467,'Calc|Weightings'!$K$5:$M$5,1,0),"Excl")</f>
        <v>Excl</v>
      </c>
      <c r="O467" s="7" t="str">
        <f>VLOOKUP(E467,Mapping!$E$11:$I$96,5,0)</f>
        <v>SCS</v>
      </c>
      <c r="Q467" s="33">
        <v>116</v>
      </c>
      <c r="R467" s="33" t="s">
        <v>2130</v>
      </c>
      <c r="S467" s="33">
        <v>531465</v>
      </c>
      <c r="T467" s="33" t="s">
        <v>257</v>
      </c>
      <c r="U467" s="34">
        <v>78.572829999999996</v>
      </c>
      <c r="V467" s="7"/>
      <c r="W467" s="7" t="str">
        <f>VLOOKUP($Q467,Mapping!$E$11:$I$96,3,0)</f>
        <v>Connections</v>
      </c>
      <c r="X467" s="7" t="str">
        <f>VLOOKUP($S467,Mapping!$E$140:$K$2771,5,0)</f>
        <v>Contracts</v>
      </c>
      <c r="Y467" s="7" t="str">
        <f>VLOOKUP($S467,Mapping!$E$140:$K$2771,7,0)</f>
        <v>ENDirect</v>
      </c>
      <c r="Z467" s="7" t="str">
        <f>IFERROR(HLOOKUP(X467,'Calc|Weightings'!$K$5:$M$5,1,0),"Excl")</f>
        <v>Contracts</v>
      </c>
      <c r="AA467" s="7" t="str">
        <f>VLOOKUP(Q467,Mapping!$E$11:$I$96,5,0)</f>
        <v>SCS</v>
      </c>
      <c r="AC467" s="111">
        <v>116</v>
      </c>
      <c r="AD467" s="111" t="s">
        <v>2130</v>
      </c>
      <c r="AE467" s="111">
        <v>520100</v>
      </c>
      <c r="AF467" s="111" t="s">
        <v>2072</v>
      </c>
      <c r="AG467" s="112">
        <v>3306.6326399999998</v>
      </c>
      <c r="AI467" s="7" t="str">
        <f>VLOOKUP($AC467,Mapping!$E$11:$I$96,3,0)</f>
        <v>Connections</v>
      </c>
      <c r="AJ467" s="7" t="str">
        <f>VLOOKUP($AE467,Mapping!$E$140:$K$2771,5,0)</f>
        <v>Materials</v>
      </c>
      <c r="AK467" s="7" t="str">
        <f>VLOOKUP($AE467,Mapping!$E$140:$K$2771,7,0)</f>
        <v>ENDirect</v>
      </c>
      <c r="AL467" s="7" t="str">
        <f>IFERROR(HLOOKUP(AJ467,'Calc|Weightings'!$K$5:$M$5,1,0),"Excl")</f>
        <v>Materials</v>
      </c>
      <c r="AM467" s="7" t="str">
        <f>VLOOKUP(AC467,Mapping!$E$11:$I$96,5,0)</f>
        <v>SCS</v>
      </c>
      <c r="AO467" s="134">
        <v>116</v>
      </c>
      <c r="AP467" s="135" t="s">
        <v>2130</v>
      </c>
      <c r="AQ467" s="135">
        <v>591999</v>
      </c>
      <c r="AR467" s="135" t="s">
        <v>2195</v>
      </c>
      <c r="AS467" s="136">
        <v>-303.70335999999998</v>
      </c>
      <c r="AU467" s="7" t="str">
        <f>VLOOKUP($AO467,Mapping!$E$11:$I$96,3,0)</f>
        <v>Connections</v>
      </c>
      <c r="AV467" s="7" t="str">
        <f>VLOOKUP($AQ467,Mapping!$E$140:$K$2771,5,0)</f>
        <v>Contracts</v>
      </c>
      <c r="AW467" s="7" t="str">
        <f>VLOOKUP($AQ467,Mapping!$E$140:$K$2771,7,0)</f>
        <v>ENDirect</v>
      </c>
      <c r="AX467" s="7" t="str">
        <f>IFERROR(HLOOKUP(AV467,'Calc|Weightings'!$K$5:$M$5,1,0),"Excl")</f>
        <v>Contracts</v>
      </c>
      <c r="AY467" s="7" t="str">
        <f>VLOOKUP(AO467,Mapping!$E$11:$I$96,5,0)</f>
        <v>SCS</v>
      </c>
    </row>
    <row r="468" spans="1:51" x14ac:dyDescent="0.2">
      <c r="A468" s="7"/>
      <c r="B468" s="7"/>
      <c r="C468" s="7"/>
      <c r="D468" s="7"/>
      <c r="E468" s="36">
        <v>111</v>
      </c>
      <c r="F468" s="36" t="s">
        <v>2126</v>
      </c>
      <c r="G468" s="36">
        <v>639000</v>
      </c>
      <c r="H468" s="36" t="s">
        <v>2112</v>
      </c>
      <c r="I468" s="37">
        <v>1040.9892600000001</v>
      </c>
      <c r="J468" s="7"/>
      <c r="K468" s="7" t="str">
        <f>VLOOKUP($E468,Mapping!$E$11:$I$96,3,0)</f>
        <v>Connections</v>
      </c>
      <c r="L468" s="7" t="str">
        <f>VLOOKUP($G468,Mapping!$E$140:$K$2771,5,0)</f>
        <v>PNS Corporate OH</v>
      </c>
      <c r="M468" s="7" t="str">
        <f>VLOOKUP($G468,Mapping!$E$140:$K$2771,7,0)</f>
        <v>OH</v>
      </c>
      <c r="N468" s="7" t="str">
        <f>IFERROR(HLOOKUP(L468,'Calc|Weightings'!$K$5:$M$5,1,0),"Excl")</f>
        <v>Excl</v>
      </c>
      <c r="O468" s="7" t="str">
        <f>VLOOKUP(E468,Mapping!$E$11:$I$96,5,0)</f>
        <v>SCS</v>
      </c>
      <c r="Q468" s="33">
        <v>116</v>
      </c>
      <c r="R468" s="33" t="s">
        <v>2130</v>
      </c>
      <c r="S468" s="33">
        <v>531466</v>
      </c>
      <c r="T468" s="33" t="s">
        <v>258</v>
      </c>
      <c r="U468" s="34">
        <v>1443.4581000000001</v>
      </c>
      <c r="V468" s="7"/>
      <c r="W468" s="7" t="str">
        <f>VLOOKUP($Q468,Mapping!$E$11:$I$96,3,0)</f>
        <v>Connections</v>
      </c>
      <c r="X468" s="7" t="str">
        <f>VLOOKUP($S468,Mapping!$E$140:$K$2771,5,0)</f>
        <v>Contracts</v>
      </c>
      <c r="Y468" s="7" t="str">
        <f>VLOOKUP($S468,Mapping!$E$140:$K$2771,7,0)</f>
        <v>ENDirect</v>
      </c>
      <c r="Z468" s="7" t="str">
        <f>IFERROR(HLOOKUP(X468,'Calc|Weightings'!$K$5:$M$5,1,0),"Excl")</f>
        <v>Contracts</v>
      </c>
      <c r="AA468" s="7" t="str">
        <f>VLOOKUP(Q468,Mapping!$E$11:$I$96,5,0)</f>
        <v>SCS</v>
      </c>
      <c r="AC468" s="111">
        <v>116</v>
      </c>
      <c r="AD468" s="111" t="s">
        <v>2130</v>
      </c>
      <c r="AE468" s="111">
        <v>520150</v>
      </c>
      <c r="AF468" s="111" t="s">
        <v>2205</v>
      </c>
      <c r="AG468" s="112">
        <v>7.1389999999999995E-2</v>
      </c>
      <c r="AI468" s="7" t="str">
        <f>VLOOKUP($AC468,Mapping!$E$11:$I$96,3,0)</f>
        <v>Connections</v>
      </c>
      <c r="AJ468" s="7" t="str">
        <f>VLOOKUP($AE468,Mapping!$E$140:$K$2771,5,0)</f>
        <v>Materials</v>
      </c>
      <c r="AK468" s="7" t="str">
        <f>VLOOKUP($AE468,Mapping!$E$140:$K$2771,7,0)</f>
        <v>ENDirect</v>
      </c>
      <c r="AL468" s="7" t="str">
        <f>IFERROR(HLOOKUP(AJ468,'Calc|Weightings'!$K$5:$M$5,1,0),"Excl")</f>
        <v>Materials</v>
      </c>
      <c r="AM468" s="7" t="str">
        <f>VLOOKUP(AC468,Mapping!$E$11:$I$96,5,0)</f>
        <v>SCS</v>
      </c>
      <c r="AO468" s="134">
        <v>116</v>
      </c>
      <c r="AP468" s="135" t="s">
        <v>2130</v>
      </c>
      <c r="AQ468" s="135">
        <v>611900</v>
      </c>
      <c r="AR468" s="135" t="s">
        <v>2079</v>
      </c>
      <c r="AS468" s="136">
        <v>41.894350000000003</v>
      </c>
      <c r="AU468" s="7" t="str">
        <f>VLOOKUP($AO468,Mapping!$E$11:$I$96,3,0)</f>
        <v>Connections</v>
      </c>
      <c r="AV468" s="7" t="str">
        <f>VLOOKUP($AQ468,Mapping!$E$140:$K$2771,5,0)</f>
        <v>Contracts</v>
      </c>
      <c r="AW468" s="7" t="str">
        <f>VLOOKUP($AQ468,Mapping!$E$140:$K$2771,7,0)</f>
        <v>ENDirect</v>
      </c>
      <c r="AX468" s="7" t="str">
        <f>IFERROR(HLOOKUP(AV468,'Calc|Weightings'!$K$5:$M$5,1,0),"Excl")</f>
        <v>Contracts</v>
      </c>
      <c r="AY468" s="7" t="str">
        <f>VLOOKUP(AO468,Mapping!$E$11:$I$96,5,0)</f>
        <v>SCS</v>
      </c>
    </row>
    <row r="469" spans="1:51" x14ac:dyDescent="0.2">
      <c r="A469" s="7"/>
      <c r="B469" s="7"/>
      <c r="C469" s="7"/>
      <c r="D469" s="7"/>
      <c r="E469" s="36">
        <v>111</v>
      </c>
      <c r="F469" s="36" t="s">
        <v>2126</v>
      </c>
      <c r="G469" s="36">
        <v>639050</v>
      </c>
      <c r="H469" s="36" t="s">
        <v>2113</v>
      </c>
      <c r="I469" s="37">
        <v>98.899420000000006</v>
      </c>
      <c r="J469" s="7"/>
      <c r="K469" s="7" t="str">
        <f>VLOOKUP($E469,Mapping!$E$11:$I$96,3,0)</f>
        <v>Connections</v>
      </c>
      <c r="L469" s="7" t="str">
        <f>VLOOKUP($G469,Mapping!$E$140:$K$2771,5,0)</f>
        <v>PNS Fleet &amp; Property OH</v>
      </c>
      <c r="M469" s="7" t="str">
        <f>VLOOKUP($G469,Mapping!$E$140:$K$2771,7,0)</f>
        <v>OH</v>
      </c>
      <c r="N469" s="7" t="str">
        <f>IFERROR(HLOOKUP(L469,'Calc|Weightings'!$K$5:$M$5,1,0),"Excl")</f>
        <v>Excl</v>
      </c>
      <c r="O469" s="7" t="str">
        <f>VLOOKUP(E469,Mapping!$E$11:$I$96,5,0)</f>
        <v>SCS</v>
      </c>
      <c r="Q469" s="33">
        <v>116</v>
      </c>
      <c r="R469" s="33" t="s">
        <v>2130</v>
      </c>
      <c r="S469" s="33">
        <v>531467</v>
      </c>
      <c r="T469" s="33" t="s">
        <v>259</v>
      </c>
      <c r="U469" s="34">
        <v>1066.6822099999999</v>
      </c>
      <c r="V469" s="7"/>
      <c r="W469" s="7" t="str">
        <f>VLOOKUP($Q469,Mapping!$E$11:$I$96,3,0)</f>
        <v>Connections</v>
      </c>
      <c r="X469" s="7" t="str">
        <f>VLOOKUP($S469,Mapping!$E$140:$K$2771,5,0)</f>
        <v>Contracts</v>
      </c>
      <c r="Y469" s="7" t="str">
        <f>VLOOKUP($S469,Mapping!$E$140:$K$2771,7,0)</f>
        <v>ENDirect</v>
      </c>
      <c r="Z469" s="7" t="str">
        <f>IFERROR(HLOOKUP(X469,'Calc|Weightings'!$K$5:$M$5,1,0),"Excl")</f>
        <v>Contracts</v>
      </c>
      <c r="AA469" s="7" t="str">
        <f>VLOOKUP(Q469,Mapping!$E$11:$I$96,5,0)</f>
        <v>SCS</v>
      </c>
      <c r="AC469" s="111">
        <v>116</v>
      </c>
      <c r="AD469" s="111" t="s">
        <v>2130</v>
      </c>
      <c r="AE469" s="111">
        <v>520200</v>
      </c>
      <c r="AF469" s="111" t="s">
        <v>2073</v>
      </c>
      <c r="AG469" s="112">
        <v>41.549480000000003</v>
      </c>
      <c r="AI469" s="7" t="str">
        <f>VLOOKUP($AC469,Mapping!$E$11:$I$96,3,0)</f>
        <v>Connections</v>
      </c>
      <c r="AJ469" s="7" t="str">
        <f>VLOOKUP($AE469,Mapping!$E$140:$K$2771,5,0)</f>
        <v>Materials</v>
      </c>
      <c r="AK469" s="7" t="str">
        <f>VLOOKUP($AE469,Mapping!$E$140:$K$2771,7,0)</f>
        <v>ENDirect</v>
      </c>
      <c r="AL469" s="7" t="str">
        <f>IFERROR(HLOOKUP(AJ469,'Calc|Weightings'!$K$5:$M$5,1,0),"Excl")</f>
        <v>Materials</v>
      </c>
      <c r="AM469" s="7" t="str">
        <f>VLOOKUP(AC469,Mapping!$E$11:$I$96,5,0)</f>
        <v>SCS</v>
      </c>
      <c r="AO469" s="134">
        <v>116</v>
      </c>
      <c r="AP469" s="135" t="s">
        <v>2130</v>
      </c>
      <c r="AQ469" s="135">
        <v>611901</v>
      </c>
      <c r="AR469" s="135" t="s">
        <v>2080</v>
      </c>
      <c r="AS469" s="136">
        <v>47.321100000000001</v>
      </c>
      <c r="AU469" s="7" t="str">
        <f>VLOOKUP($AO469,Mapping!$E$11:$I$96,3,0)</f>
        <v>Connections</v>
      </c>
      <c r="AV469" s="7" t="str">
        <f>VLOOKUP($AQ469,Mapping!$E$140:$K$2771,5,0)</f>
        <v>Contracts</v>
      </c>
      <c r="AW469" s="7" t="str">
        <f>VLOOKUP($AQ469,Mapping!$E$140:$K$2771,7,0)</f>
        <v>ENDirect</v>
      </c>
      <c r="AX469" s="7" t="str">
        <f>IFERROR(HLOOKUP(AV469,'Calc|Weightings'!$K$5:$M$5,1,0),"Excl")</f>
        <v>Contracts</v>
      </c>
      <c r="AY469" s="7" t="str">
        <f>VLOOKUP(AO469,Mapping!$E$11:$I$96,5,0)</f>
        <v>SCS</v>
      </c>
    </row>
    <row r="470" spans="1:51" x14ac:dyDescent="0.2">
      <c r="A470" s="7"/>
      <c r="B470" s="7"/>
      <c r="C470" s="7"/>
      <c r="D470" s="7"/>
      <c r="E470" s="36">
        <v>114</v>
      </c>
      <c r="F470" s="36" t="s">
        <v>2127</v>
      </c>
      <c r="G470" s="36">
        <v>624577</v>
      </c>
      <c r="H470" s="36" t="s">
        <v>1858</v>
      </c>
      <c r="I470" s="37">
        <v>1.8475600000000001</v>
      </c>
      <c r="J470" s="7"/>
      <c r="K470" s="7" t="s">
        <v>2299</v>
      </c>
      <c r="L470" s="7" t="str">
        <f>VLOOKUP($G470,Mapping!$E$140:$K$2771,5,0)</f>
        <v>Materials</v>
      </c>
      <c r="M470" s="7" t="str">
        <f>VLOOKUP($G470,Mapping!$E$140:$K$2771,7,0)</f>
        <v>ENDirect</v>
      </c>
      <c r="N470" s="7" t="str">
        <f>IFERROR(HLOOKUP(L470,'Calc|Weightings'!$K$5:$M$5,1,0),"Excl")</f>
        <v>Materials</v>
      </c>
      <c r="O470" s="7" t="s">
        <v>28</v>
      </c>
      <c r="Q470" s="33">
        <v>116</v>
      </c>
      <c r="R470" s="33" t="s">
        <v>2130</v>
      </c>
      <c r="S470" s="33">
        <v>531468</v>
      </c>
      <c r="T470" s="33" t="s">
        <v>260</v>
      </c>
      <c r="U470" s="34">
        <v>1918.6584</v>
      </c>
      <c r="V470" s="7"/>
      <c r="W470" s="7" t="str">
        <f>VLOOKUP($Q470,Mapping!$E$11:$I$96,3,0)</f>
        <v>Connections</v>
      </c>
      <c r="X470" s="7" t="str">
        <f>VLOOKUP($S470,Mapping!$E$140:$K$2771,5,0)</f>
        <v>Contracts</v>
      </c>
      <c r="Y470" s="7" t="str">
        <f>VLOOKUP($S470,Mapping!$E$140:$K$2771,7,0)</f>
        <v>ENDirect</v>
      </c>
      <c r="Z470" s="7" t="str">
        <f>IFERROR(HLOOKUP(X470,'Calc|Weightings'!$K$5:$M$5,1,0),"Excl")</f>
        <v>Contracts</v>
      </c>
      <c r="AA470" s="7" t="str">
        <f>VLOOKUP(Q470,Mapping!$E$11:$I$96,5,0)</f>
        <v>SCS</v>
      </c>
      <c r="AC470" s="111">
        <v>116</v>
      </c>
      <c r="AD470" s="111" t="s">
        <v>2130</v>
      </c>
      <c r="AE470" s="111">
        <v>522300</v>
      </c>
      <c r="AF470" s="111" t="s">
        <v>2191</v>
      </c>
      <c r="AG470" s="112">
        <v>1.087</v>
      </c>
      <c r="AI470" s="7" t="str">
        <f>VLOOKUP($AC470,Mapping!$E$11:$I$96,3,0)</f>
        <v>Connections</v>
      </c>
      <c r="AJ470" s="7" t="str">
        <f>VLOOKUP($AE470,Mapping!$E$140:$K$2771,5,0)</f>
        <v>Materials</v>
      </c>
      <c r="AK470" s="7" t="str">
        <f>VLOOKUP($AE470,Mapping!$E$140:$K$2771,7,0)</f>
        <v>ENDirect</v>
      </c>
      <c r="AL470" s="7" t="str">
        <f>IFERROR(HLOOKUP(AJ470,'Calc|Weightings'!$K$5:$M$5,1,0),"Excl")</f>
        <v>Materials</v>
      </c>
      <c r="AM470" s="7" t="str">
        <f>VLOOKUP(AC470,Mapping!$E$11:$I$96,5,0)</f>
        <v>SCS</v>
      </c>
      <c r="AO470" s="134">
        <v>116</v>
      </c>
      <c r="AP470" s="135" t="s">
        <v>2130</v>
      </c>
      <c r="AQ470" s="135">
        <v>611902</v>
      </c>
      <c r="AR470" s="135" t="s">
        <v>2081</v>
      </c>
      <c r="AS470" s="136">
        <v>42.326590000000003</v>
      </c>
      <c r="AU470" s="7" t="str">
        <f>VLOOKUP($AO470,Mapping!$E$11:$I$96,3,0)</f>
        <v>Connections</v>
      </c>
      <c r="AV470" s="7" t="str">
        <f>VLOOKUP($AQ470,Mapping!$E$140:$K$2771,5,0)</f>
        <v>Contracts</v>
      </c>
      <c r="AW470" s="7" t="str">
        <f>VLOOKUP($AQ470,Mapping!$E$140:$K$2771,7,0)</f>
        <v>ENDirect</v>
      </c>
      <c r="AX470" s="7" t="str">
        <f>IFERROR(HLOOKUP(AV470,'Calc|Weightings'!$K$5:$M$5,1,0),"Excl")</f>
        <v>Contracts</v>
      </c>
      <c r="AY470" s="7" t="str">
        <f>VLOOKUP(AO470,Mapping!$E$11:$I$96,5,0)</f>
        <v>SCS</v>
      </c>
    </row>
    <row r="471" spans="1:51" x14ac:dyDescent="0.2">
      <c r="A471" s="7"/>
      <c r="B471" s="7"/>
      <c r="C471" s="7"/>
      <c r="D471" s="7"/>
      <c r="E471" s="36">
        <v>114</v>
      </c>
      <c r="F471" s="36" t="s">
        <v>2127</v>
      </c>
      <c r="G471" s="36">
        <v>624578</v>
      </c>
      <c r="H471" s="36" t="s">
        <v>1859</v>
      </c>
      <c r="I471" s="37">
        <v>3.1072500000000001</v>
      </c>
      <c r="J471" s="7"/>
      <c r="K471" s="7" t="s">
        <v>2299</v>
      </c>
      <c r="L471" s="7" t="str">
        <f>VLOOKUP($G471,Mapping!$E$140:$K$2771,5,0)</f>
        <v>Materials</v>
      </c>
      <c r="M471" s="7" t="str">
        <f>VLOOKUP($G471,Mapping!$E$140:$K$2771,7,0)</f>
        <v>ENDirect</v>
      </c>
      <c r="N471" s="7" t="str">
        <f>IFERROR(HLOOKUP(L471,'Calc|Weightings'!$K$5:$M$5,1,0),"Excl")</f>
        <v>Materials</v>
      </c>
      <c r="O471" s="7" t="s">
        <v>28</v>
      </c>
      <c r="Q471" s="33">
        <v>116</v>
      </c>
      <c r="R471" s="33" t="s">
        <v>2130</v>
      </c>
      <c r="S471" s="33">
        <v>531469</v>
      </c>
      <c r="T471" s="33" t="s">
        <v>261</v>
      </c>
      <c r="U471" s="34">
        <v>102.6643</v>
      </c>
      <c r="V471" s="7"/>
      <c r="W471" s="7" t="str">
        <f>VLOOKUP($Q471,Mapping!$E$11:$I$96,3,0)</f>
        <v>Connections</v>
      </c>
      <c r="X471" s="7" t="str">
        <f>VLOOKUP($S471,Mapping!$E$140:$K$2771,5,0)</f>
        <v>Labour</v>
      </c>
      <c r="Y471" s="7" t="str">
        <f>VLOOKUP($S471,Mapping!$E$140:$K$2771,7,0)</f>
        <v>ENDirect</v>
      </c>
      <c r="Z471" s="7" t="str">
        <f>IFERROR(HLOOKUP(X471,'Calc|Weightings'!$K$5:$M$5,1,0),"Excl")</f>
        <v>Labour</v>
      </c>
      <c r="AA471" s="7" t="str">
        <f>VLOOKUP(Q471,Mapping!$E$11:$I$96,5,0)</f>
        <v>SCS</v>
      </c>
      <c r="AC471" s="111">
        <v>116</v>
      </c>
      <c r="AD471" s="111" t="s">
        <v>2130</v>
      </c>
      <c r="AE471" s="111">
        <v>523100</v>
      </c>
      <c r="AF471" s="111" t="s">
        <v>2074</v>
      </c>
      <c r="AG471" s="112">
        <v>28.91497</v>
      </c>
      <c r="AI471" s="7" t="str">
        <f>VLOOKUP($AC471,Mapping!$E$11:$I$96,3,0)</f>
        <v>Connections</v>
      </c>
      <c r="AJ471" s="7" t="str">
        <f>VLOOKUP($AE471,Mapping!$E$140:$K$2771,5,0)</f>
        <v>Materials</v>
      </c>
      <c r="AK471" s="7" t="str">
        <f>VLOOKUP($AE471,Mapping!$E$140:$K$2771,7,0)</f>
        <v>ENDirect</v>
      </c>
      <c r="AL471" s="7" t="str">
        <f>IFERROR(HLOOKUP(AJ471,'Calc|Weightings'!$K$5:$M$5,1,0),"Excl")</f>
        <v>Materials</v>
      </c>
      <c r="AM471" s="7" t="str">
        <f>VLOOKUP(AC471,Mapping!$E$11:$I$96,5,0)</f>
        <v>SCS</v>
      </c>
      <c r="AO471" s="134">
        <v>116</v>
      </c>
      <c r="AP471" s="135" t="s">
        <v>2130</v>
      </c>
      <c r="AQ471" s="135">
        <v>612210</v>
      </c>
      <c r="AR471" s="135" t="s">
        <v>1184</v>
      </c>
      <c r="AS471" s="136">
        <v>31.381360000000001</v>
      </c>
      <c r="AU471" s="7" t="str">
        <f>VLOOKUP($AO471,Mapping!$E$11:$I$96,3,0)</f>
        <v>Connections</v>
      </c>
      <c r="AV471" s="7" t="str">
        <f>VLOOKUP($AQ471,Mapping!$E$140:$K$2771,5,0)</f>
        <v>Labour</v>
      </c>
      <c r="AW471" s="7" t="str">
        <f>VLOOKUP($AQ471,Mapping!$E$140:$K$2771,7,0)</f>
        <v>ENDirect</v>
      </c>
      <c r="AX471" s="7" t="str">
        <f>IFERROR(HLOOKUP(AV471,'Calc|Weightings'!$K$5:$M$5,1,0),"Excl")</f>
        <v>Labour</v>
      </c>
      <c r="AY471" s="7" t="str">
        <f>VLOOKUP(AO471,Mapping!$E$11:$I$96,5,0)</f>
        <v>SCS</v>
      </c>
    </row>
    <row r="472" spans="1:51" x14ac:dyDescent="0.2">
      <c r="A472" s="7"/>
      <c r="B472" s="7"/>
      <c r="C472" s="7"/>
      <c r="D472" s="7"/>
      <c r="E472" s="36">
        <v>114</v>
      </c>
      <c r="F472" s="36" t="s">
        <v>2127</v>
      </c>
      <c r="G472" s="36">
        <v>624579</v>
      </c>
      <c r="H472" s="36" t="s">
        <v>1860</v>
      </c>
      <c r="I472" s="37">
        <v>29.663550000000001</v>
      </c>
      <c r="J472" s="7"/>
      <c r="K472" s="7" t="s">
        <v>2299</v>
      </c>
      <c r="L472" s="7" t="str">
        <f>VLOOKUP($G472,Mapping!$E$140:$K$2771,5,0)</f>
        <v>Materials</v>
      </c>
      <c r="M472" s="7" t="str">
        <f>VLOOKUP($G472,Mapping!$E$140:$K$2771,7,0)</f>
        <v>ENDirect</v>
      </c>
      <c r="N472" s="7" t="str">
        <f>IFERROR(HLOOKUP(L472,'Calc|Weightings'!$K$5:$M$5,1,0),"Excl")</f>
        <v>Materials</v>
      </c>
      <c r="O472" s="7" t="s">
        <v>28</v>
      </c>
      <c r="Q472" s="33">
        <v>116</v>
      </c>
      <c r="R472" s="33" t="s">
        <v>2130</v>
      </c>
      <c r="S472" s="33">
        <v>531480</v>
      </c>
      <c r="T472" s="33" t="s">
        <v>2076</v>
      </c>
      <c r="U472" s="34">
        <v>7.89</v>
      </c>
      <c r="V472" s="7"/>
      <c r="W472" s="7" t="str">
        <f>VLOOKUP($Q472,Mapping!$E$11:$I$96,3,0)</f>
        <v>Connections</v>
      </c>
      <c r="X472" s="7" t="str">
        <f>VLOOKUP($S472,Mapping!$E$140:$K$2771,5,0)</f>
        <v>Labour</v>
      </c>
      <c r="Y472" s="7" t="str">
        <f>VLOOKUP($S472,Mapping!$E$140:$K$2771,7,0)</f>
        <v>ENDirect</v>
      </c>
      <c r="Z472" s="7" t="str">
        <f>IFERROR(HLOOKUP(X472,'Calc|Weightings'!$K$5:$M$5,1,0),"Excl")</f>
        <v>Labour</v>
      </c>
      <c r="AA472" s="7" t="str">
        <f>VLOOKUP(Q472,Mapping!$E$11:$I$96,5,0)</f>
        <v>SCS</v>
      </c>
      <c r="AC472" s="111">
        <v>116</v>
      </c>
      <c r="AD472" s="111" t="s">
        <v>2130</v>
      </c>
      <c r="AE472" s="111">
        <v>523300</v>
      </c>
      <c r="AF472" s="111" t="s">
        <v>2075</v>
      </c>
      <c r="AG472" s="112">
        <v>71.627570000000006</v>
      </c>
      <c r="AI472" s="7" t="str">
        <f>VLOOKUP($AC472,Mapping!$E$11:$I$96,3,0)</f>
        <v>Connections</v>
      </c>
      <c r="AJ472" s="7" t="str">
        <f>VLOOKUP($AE472,Mapping!$E$140:$K$2771,5,0)</f>
        <v>Materials</v>
      </c>
      <c r="AK472" s="7" t="str">
        <f>VLOOKUP($AE472,Mapping!$E$140:$K$2771,7,0)</f>
        <v>ENDirect</v>
      </c>
      <c r="AL472" s="7" t="str">
        <f>IFERROR(HLOOKUP(AJ472,'Calc|Weightings'!$K$5:$M$5,1,0),"Excl")</f>
        <v>Materials</v>
      </c>
      <c r="AM472" s="7" t="str">
        <f>VLOOKUP(AC472,Mapping!$E$11:$I$96,5,0)</f>
        <v>SCS</v>
      </c>
      <c r="AO472" s="134">
        <v>116</v>
      </c>
      <c r="AP472" s="135" t="s">
        <v>2130</v>
      </c>
      <c r="AQ472" s="135">
        <v>613237</v>
      </c>
      <c r="AR472" s="135" t="s">
        <v>2421</v>
      </c>
      <c r="AS472" s="136">
        <v>1.5874200000000001</v>
      </c>
      <c r="AU472" s="7" t="str">
        <f>VLOOKUP($AO472,Mapping!$E$11:$I$96,3,0)</f>
        <v>Connections</v>
      </c>
      <c r="AV472" s="7" t="str">
        <f>VLOOKUP($AQ472,Mapping!$E$140:$K$2771,5,0)</f>
        <v>Labour</v>
      </c>
      <c r="AW472" s="7" t="str">
        <f>VLOOKUP($AQ472,Mapping!$E$140:$K$2771,7,0)</f>
        <v>ENDirect</v>
      </c>
      <c r="AX472" s="7" t="str">
        <f>IFERROR(HLOOKUP(AV472,'Calc|Weightings'!$K$5:$M$5,1,0),"Excl")</f>
        <v>Labour</v>
      </c>
      <c r="AY472" s="7" t="str">
        <f>VLOOKUP(AO472,Mapping!$E$11:$I$96,5,0)</f>
        <v>SCS</v>
      </c>
    </row>
    <row r="473" spans="1:51" x14ac:dyDescent="0.2">
      <c r="A473" s="7"/>
      <c r="B473" s="7"/>
      <c r="C473" s="7"/>
      <c r="D473" s="7"/>
      <c r="E473" s="36">
        <v>114</v>
      </c>
      <c r="F473" s="36" t="s">
        <v>2127</v>
      </c>
      <c r="G473" s="36">
        <v>624580</v>
      </c>
      <c r="H473" s="36" t="s">
        <v>1861</v>
      </c>
      <c r="I473" s="37">
        <v>171.512</v>
      </c>
      <c r="J473" s="7"/>
      <c r="K473" s="7" t="s">
        <v>2299</v>
      </c>
      <c r="L473" s="7" t="str">
        <f>VLOOKUP($G473,Mapping!$E$140:$K$2771,5,0)</f>
        <v>Materials</v>
      </c>
      <c r="M473" s="7" t="str">
        <f>VLOOKUP($G473,Mapping!$E$140:$K$2771,7,0)</f>
        <v>ENDirect</v>
      </c>
      <c r="N473" s="7" t="str">
        <f>IFERROR(HLOOKUP(L473,'Calc|Weightings'!$K$5:$M$5,1,0),"Excl")</f>
        <v>Materials</v>
      </c>
      <c r="O473" s="7" t="s">
        <v>28</v>
      </c>
      <c r="Q473" s="33">
        <v>116</v>
      </c>
      <c r="R473" s="33" t="s">
        <v>2130</v>
      </c>
      <c r="S473" s="33">
        <v>532050</v>
      </c>
      <c r="T473" s="33" t="s">
        <v>279</v>
      </c>
      <c r="U473" s="34">
        <v>8.0284700000000004</v>
      </c>
      <c r="V473" s="7"/>
      <c r="W473" s="7" t="str">
        <f>VLOOKUP($Q473,Mapping!$E$11:$I$96,3,0)</f>
        <v>Connections</v>
      </c>
      <c r="X473" s="7" t="str">
        <f>VLOOKUP($S473,Mapping!$E$140:$K$2771,5,0)</f>
        <v>Contracts</v>
      </c>
      <c r="Y473" s="7" t="str">
        <f>VLOOKUP($S473,Mapping!$E$140:$K$2771,7,0)</f>
        <v>ENDirect</v>
      </c>
      <c r="Z473" s="7" t="str">
        <f>IFERROR(HLOOKUP(X473,'Calc|Weightings'!$K$5:$M$5,1,0),"Excl")</f>
        <v>Contracts</v>
      </c>
      <c r="AA473" s="7" t="str">
        <f>VLOOKUP(Q473,Mapping!$E$11:$I$96,5,0)</f>
        <v>SCS</v>
      </c>
      <c r="AC473" s="111">
        <v>116</v>
      </c>
      <c r="AD473" s="111" t="s">
        <v>2130</v>
      </c>
      <c r="AE473" s="111">
        <v>531000</v>
      </c>
      <c r="AF473" s="111" t="s">
        <v>242</v>
      </c>
      <c r="AG473" s="112">
        <v>17.555209999999999</v>
      </c>
      <c r="AI473" s="7" t="str">
        <f>VLOOKUP($AC473,Mapping!$E$11:$I$96,3,0)</f>
        <v>Connections</v>
      </c>
      <c r="AJ473" s="7" t="str">
        <f>VLOOKUP($AE473,Mapping!$E$140:$K$2771,5,0)</f>
        <v>Contracts</v>
      </c>
      <c r="AK473" s="7" t="str">
        <f>VLOOKUP($AE473,Mapping!$E$140:$K$2771,7,0)</f>
        <v>ENDirect</v>
      </c>
      <c r="AL473" s="7" t="str">
        <f>IFERROR(HLOOKUP(AJ473,'Calc|Weightings'!$K$5:$M$5,1,0),"Excl")</f>
        <v>Contracts</v>
      </c>
      <c r="AM473" s="7" t="str">
        <f>VLOOKUP(AC473,Mapping!$E$11:$I$96,5,0)</f>
        <v>SCS</v>
      </c>
      <c r="AO473" s="134">
        <v>116</v>
      </c>
      <c r="AP473" s="135" t="s">
        <v>2130</v>
      </c>
      <c r="AQ473" s="135">
        <v>613240</v>
      </c>
      <c r="AR473" s="135" t="s">
        <v>2082</v>
      </c>
      <c r="AS473" s="136">
        <v>487.16793999999999</v>
      </c>
      <c r="AU473" s="7" t="str">
        <f>VLOOKUP($AO473,Mapping!$E$11:$I$96,3,0)</f>
        <v>Connections</v>
      </c>
      <c r="AV473" s="7" t="str">
        <f>VLOOKUP($AQ473,Mapping!$E$140:$K$2771,5,0)</f>
        <v>Labour</v>
      </c>
      <c r="AW473" s="7" t="str">
        <f>VLOOKUP($AQ473,Mapping!$E$140:$K$2771,7,0)</f>
        <v>ENDirect</v>
      </c>
      <c r="AX473" s="7" t="str">
        <f>IFERROR(HLOOKUP(AV473,'Calc|Weightings'!$K$5:$M$5,1,0),"Excl")</f>
        <v>Labour</v>
      </c>
      <c r="AY473" s="7" t="str">
        <f>VLOOKUP(AO473,Mapping!$E$11:$I$96,5,0)</f>
        <v>SCS</v>
      </c>
    </row>
    <row r="474" spans="1:51" x14ac:dyDescent="0.2">
      <c r="A474" s="7"/>
      <c r="B474" s="7"/>
      <c r="C474" s="7"/>
      <c r="D474" s="7"/>
      <c r="E474" s="36">
        <v>114</v>
      </c>
      <c r="F474" s="36" t="s">
        <v>2127</v>
      </c>
      <c r="G474" s="36">
        <v>624581</v>
      </c>
      <c r="H474" s="36" t="s">
        <v>1862</v>
      </c>
      <c r="I474" s="37">
        <v>8.5290999999999997</v>
      </c>
      <c r="J474" s="7"/>
      <c r="K474" s="7" t="s">
        <v>2299</v>
      </c>
      <c r="L474" s="7" t="str">
        <f>VLOOKUP($G474,Mapping!$E$140:$K$2771,5,0)</f>
        <v>Materials</v>
      </c>
      <c r="M474" s="7" t="str">
        <f>VLOOKUP($G474,Mapping!$E$140:$K$2771,7,0)</f>
        <v>ENDirect</v>
      </c>
      <c r="N474" s="7" t="str">
        <f>IFERROR(HLOOKUP(L474,'Calc|Weightings'!$K$5:$M$5,1,0),"Excl")</f>
        <v>Materials</v>
      </c>
      <c r="O474" s="7" t="s">
        <v>28</v>
      </c>
      <c r="Q474" s="33">
        <v>116</v>
      </c>
      <c r="R474" s="33" t="s">
        <v>2130</v>
      </c>
      <c r="S474" s="33">
        <v>532140</v>
      </c>
      <c r="T474" s="33" t="s">
        <v>288</v>
      </c>
      <c r="U474" s="34">
        <v>9.6850000000000005</v>
      </c>
      <c r="V474" s="7"/>
      <c r="W474" s="7" t="str">
        <f>VLOOKUP($Q474,Mapping!$E$11:$I$96,3,0)</f>
        <v>Connections</v>
      </c>
      <c r="X474" s="7" t="str">
        <f>VLOOKUP($S474,Mapping!$E$140:$K$2771,5,0)</f>
        <v>Contracts</v>
      </c>
      <c r="Y474" s="7" t="str">
        <f>VLOOKUP($S474,Mapping!$E$140:$K$2771,7,0)</f>
        <v>ENDirect</v>
      </c>
      <c r="Z474" s="7" t="str">
        <f>IFERROR(HLOOKUP(X474,'Calc|Weightings'!$K$5:$M$5,1,0),"Excl")</f>
        <v>Contracts</v>
      </c>
      <c r="AA474" s="7" t="str">
        <f>VLOOKUP(Q474,Mapping!$E$11:$I$96,5,0)</f>
        <v>SCS</v>
      </c>
      <c r="AC474" s="111">
        <v>116</v>
      </c>
      <c r="AD474" s="111" t="s">
        <v>2130</v>
      </c>
      <c r="AE474" s="111">
        <v>531020</v>
      </c>
      <c r="AF474" s="111" t="s">
        <v>219</v>
      </c>
      <c r="AG474" s="112">
        <v>60.616509999999998</v>
      </c>
      <c r="AI474" s="7" t="str">
        <f>VLOOKUP($AC474,Mapping!$E$11:$I$96,3,0)</f>
        <v>Connections</v>
      </c>
      <c r="AJ474" s="7" t="str">
        <f>VLOOKUP($AE474,Mapping!$E$140:$K$2771,5,0)</f>
        <v>Labour</v>
      </c>
      <c r="AK474" s="7" t="str">
        <f>VLOOKUP($AE474,Mapping!$E$140:$K$2771,7,0)</f>
        <v>ENDirect</v>
      </c>
      <c r="AL474" s="7" t="str">
        <f>IFERROR(HLOOKUP(AJ474,'Calc|Weightings'!$K$5:$M$5,1,0),"Excl")</f>
        <v>Labour</v>
      </c>
      <c r="AM474" s="7" t="str">
        <f>VLOOKUP(AC474,Mapping!$E$11:$I$96,5,0)</f>
        <v>SCS</v>
      </c>
      <c r="AO474" s="134">
        <v>116</v>
      </c>
      <c r="AP474" s="135" t="s">
        <v>2130</v>
      </c>
      <c r="AQ474" s="135">
        <v>613241</v>
      </c>
      <c r="AR474" s="135" t="s">
        <v>2083</v>
      </c>
      <c r="AS474" s="136">
        <v>144.83645999999999</v>
      </c>
      <c r="AU474" s="7" t="str">
        <f>VLOOKUP($AO474,Mapping!$E$11:$I$96,3,0)</f>
        <v>Connections</v>
      </c>
      <c r="AV474" s="7" t="str">
        <f>VLOOKUP($AQ474,Mapping!$E$140:$K$2771,5,0)</f>
        <v>Labour</v>
      </c>
      <c r="AW474" s="7" t="str">
        <f>VLOOKUP($AQ474,Mapping!$E$140:$K$2771,7,0)</f>
        <v>ENDirect</v>
      </c>
      <c r="AX474" s="7" t="str">
        <f>IFERROR(HLOOKUP(AV474,'Calc|Weightings'!$K$5:$M$5,1,0),"Excl")</f>
        <v>Labour</v>
      </c>
      <c r="AY474" s="7" t="str">
        <f>VLOOKUP(AO474,Mapping!$E$11:$I$96,5,0)</f>
        <v>SCS</v>
      </c>
    </row>
    <row r="475" spans="1:51" x14ac:dyDescent="0.2">
      <c r="A475" s="7"/>
      <c r="B475" s="7"/>
      <c r="C475" s="7"/>
      <c r="D475" s="7"/>
      <c r="E475" s="36">
        <v>114</v>
      </c>
      <c r="F475" s="36" t="s">
        <v>2127</v>
      </c>
      <c r="G475" s="36">
        <v>624582</v>
      </c>
      <c r="H475" s="36" t="s">
        <v>1863</v>
      </c>
      <c r="I475" s="37">
        <v>17.361820000000002</v>
      </c>
      <c r="J475" s="7"/>
      <c r="K475" s="7" t="s">
        <v>2299</v>
      </c>
      <c r="L475" s="7" t="str">
        <f>VLOOKUP($G475,Mapping!$E$140:$K$2771,5,0)</f>
        <v>Materials</v>
      </c>
      <c r="M475" s="7" t="str">
        <f>VLOOKUP($G475,Mapping!$E$140:$K$2771,7,0)</f>
        <v>ENDirect</v>
      </c>
      <c r="N475" s="7" t="str">
        <f>IFERROR(HLOOKUP(L475,'Calc|Weightings'!$K$5:$M$5,1,0),"Excl")</f>
        <v>Materials</v>
      </c>
      <c r="O475" s="7" t="s">
        <v>28</v>
      </c>
      <c r="Q475" s="33">
        <v>116</v>
      </c>
      <c r="R475" s="33" t="s">
        <v>2130</v>
      </c>
      <c r="S475" s="33">
        <v>582301</v>
      </c>
      <c r="T475" s="33" t="s">
        <v>382</v>
      </c>
      <c r="U475" s="34">
        <v>7.7930000000000001</v>
      </c>
      <c r="V475" s="7"/>
      <c r="W475" s="7" t="str">
        <f>VLOOKUP($Q475,Mapping!$E$11:$I$96,3,0)</f>
        <v>Connections</v>
      </c>
      <c r="X475" s="7" t="str">
        <f>VLOOKUP($S475,Mapping!$E$140:$K$2771,5,0)</f>
        <v>Contracts</v>
      </c>
      <c r="Y475" s="7" t="str">
        <f>VLOOKUP($S475,Mapping!$E$140:$K$2771,7,0)</f>
        <v>ENDirect</v>
      </c>
      <c r="Z475" s="7" t="str">
        <f>IFERROR(HLOOKUP(X475,'Calc|Weightings'!$K$5:$M$5,1,0),"Excl")</f>
        <v>Contracts</v>
      </c>
      <c r="AA475" s="7" t="str">
        <f>VLOOKUP(Q475,Mapping!$E$11:$I$96,5,0)</f>
        <v>SCS</v>
      </c>
      <c r="AC475" s="111">
        <v>116</v>
      </c>
      <c r="AD475" s="111" t="s">
        <v>2130</v>
      </c>
      <c r="AE475" s="111">
        <v>531200</v>
      </c>
      <c r="AF475" s="111" t="s">
        <v>250</v>
      </c>
      <c r="AG475" s="112">
        <v>193.55488</v>
      </c>
      <c r="AI475" s="7" t="str">
        <f>VLOOKUP($AC475,Mapping!$E$11:$I$96,3,0)</f>
        <v>Connections</v>
      </c>
      <c r="AJ475" s="7" t="str">
        <f>VLOOKUP($AE475,Mapping!$E$140:$K$2771,5,0)</f>
        <v>Contracts</v>
      </c>
      <c r="AK475" s="7" t="str">
        <f>VLOOKUP($AE475,Mapping!$E$140:$K$2771,7,0)</f>
        <v>ENDirect</v>
      </c>
      <c r="AL475" s="7" t="str">
        <f>IFERROR(HLOOKUP(AJ475,'Calc|Weightings'!$K$5:$M$5,1,0),"Excl")</f>
        <v>Contracts</v>
      </c>
      <c r="AM475" s="7" t="str">
        <f>VLOOKUP(AC475,Mapping!$E$11:$I$96,5,0)</f>
        <v>SCS</v>
      </c>
      <c r="AO475" s="134">
        <v>116</v>
      </c>
      <c r="AP475" s="135" t="s">
        <v>2130</v>
      </c>
      <c r="AQ475" s="135">
        <v>613250</v>
      </c>
      <c r="AR475" s="135" t="s">
        <v>2086</v>
      </c>
      <c r="AS475" s="136">
        <v>784.55200000000002</v>
      </c>
      <c r="AU475" s="7" t="str">
        <f>VLOOKUP($AO475,Mapping!$E$11:$I$96,3,0)</f>
        <v>Connections</v>
      </c>
      <c r="AV475" s="7" t="str">
        <f>VLOOKUP($AQ475,Mapping!$E$140:$K$2771,5,0)</f>
        <v>Labour</v>
      </c>
      <c r="AW475" s="7" t="str">
        <f>VLOOKUP($AQ475,Mapping!$E$140:$K$2771,7,0)</f>
        <v>ENDirect</v>
      </c>
      <c r="AX475" s="7" t="str">
        <f>IFERROR(HLOOKUP(AV475,'Calc|Weightings'!$K$5:$M$5,1,0),"Excl")</f>
        <v>Labour</v>
      </c>
      <c r="AY475" s="7" t="str">
        <f>VLOOKUP(AO475,Mapping!$E$11:$I$96,5,0)</f>
        <v>SCS</v>
      </c>
    </row>
    <row r="476" spans="1:51" x14ac:dyDescent="0.2">
      <c r="A476" s="7"/>
      <c r="B476" s="7"/>
      <c r="C476" s="7"/>
      <c r="D476" s="7"/>
      <c r="E476" s="36">
        <v>114</v>
      </c>
      <c r="F476" s="36" t="s">
        <v>2127</v>
      </c>
      <c r="G476" s="36">
        <v>624599</v>
      </c>
      <c r="H476" s="36" t="s">
        <v>620</v>
      </c>
      <c r="I476" s="37">
        <v>33.586799999999997</v>
      </c>
      <c r="J476" s="7"/>
      <c r="K476" s="7" t="s">
        <v>2299</v>
      </c>
      <c r="L476" s="7" t="str">
        <f>VLOOKUP($G476,Mapping!$E$140:$K$2771,5,0)</f>
        <v>Contracts</v>
      </c>
      <c r="M476" s="7" t="str">
        <f>VLOOKUP($G476,Mapping!$E$140:$K$2771,7,0)</f>
        <v>ENDirect</v>
      </c>
      <c r="N476" s="7" t="str">
        <f>IFERROR(HLOOKUP(L476,'Calc|Weightings'!$K$5:$M$5,1,0),"Excl")</f>
        <v>Contracts</v>
      </c>
      <c r="O476" s="7" t="s">
        <v>28</v>
      </c>
      <c r="Q476" s="33">
        <v>116</v>
      </c>
      <c r="R476" s="33" t="s">
        <v>2130</v>
      </c>
      <c r="S476" s="33">
        <v>591200</v>
      </c>
      <c r="T476" s="33" t="s">
        <v>398</v>
      </c>
      <c r="U476" s="34">
        <v>0.73799999999999999</v>
      </c>
      <c r="V476" s="7"/>
      <c r="W476" s="7" t="str">
        <f>VLOOKUP($Q476,Mapping!$E$11:$I$96,3,0)</f>
        <v>Connections</v>
      </c>
      <c r="X476" s="7" t="str">
        <f>VLOOKUP($S476,Mapping!$E$140:$K$2771,5,0)</f>
        <v>Contracts</v>
      </c>
      <c r="Y476" s="7" t="str">
        <f>VLOOKUP($S476,Mapping!$E$140:$K$2771,7,0)</f>
        <v>ENDirect</v>
      </c>
      <c r="Z476" s="7" t="str">
        <f>IFERROR(HLOOKUP(X476,'Calc|Weightings'!$K$5:$M$5,1,0),"Excl")</f>
        <v>Contracts</v>
      </c>
      <c r="AA476" s="7" t="str">
        <f>VLOOKUP(Q476,Mapping!$E$11:$I$96,5,0)</f>
        <v>SCS</v>
      </c>
      <c r="AC476" s="111">
        <v>116</v>
      </c>
      <c r="AD476" s="111" t="s">
        <v>2130</v>
      </c>
      <c r="AE476" s="111">
        <v>531201</v>
      </c>
      <c r="AF476" s="111" t="s">
        <v>251</v>
      </c>
      <c r="AG476" s="112">
        <v>21.159500000000001</v>
      </c>
      <c r="AI476" s="7" t="str">
        <f>VLOOKUP($AC476,Mapping!$E$11:$I$96,3,0)</f>
        <v>Connections</v>
      </c>
      <c r="AJ476" s="7" t="str">
        <f>VLOOKUP($AE476,Mapping!$E$140:$K$2771,5,0)</f>
        <v>Contracts</v>
      </c>
      <c r="AK476" s="7" t="str">
        <f>VLOOKUP($AE476,Mapping!$E$140:$K$2771,7,0)</f>
        <v>ENDirect</v>
      </c>
      <c r="AL476" s="7" t="str">
        <f>IFERROR(HLOOKUP(AJ476,'Calc|Weightings'!$K$5:$M$5,1,0),"Excl")</f>
        <v>Contracts</v>
      </c>
      <c r="AM476" s="7" t="str">
        <f>VLOOKUP(AC476,Mapping!$E$11:$I$96,5,0)</f>
        <v>SCS</v>
      </c>
      <c r="AO476" s="134">
        <v>116</v>
      </c>
      <c r="AP476" s="135" t="s">
        <v>2130</v>
      </c>
      <c r="AQ476" s="135">
        <v>613251</v>
      </c>
      <c r="AR476" s="135" t="s">
        <v>2087</v>
      </c>
      <c r="AS476" s="136">
        <v>221.92308</v>
      </c>
      <c r="AU476" s="7" t="str">
        <f>VLOOKUP($AO476,Mapping!$E$11:$I$96,3,0)</f>
        <v>Connections</v>
      </c>
      <c r="AV476" s="7" t="str">
        <f>VLOOKUP($AQ476,Mapping!$E$140:$K$2771,5,0)</f>
        <v>Labour</v>
      </c>
      <c r="AW476" s="7" t="str">
        <f>VLOOKUP($AQ476,Mapping!$E$140:$K$2771,7,0)</f>
        <v>ENDirect</v>
      </c>
      <c r="AX476" s="7" t="str">
        <f>IFERROR(HLOOKUP(AV476,'Calc|Weightings'!$K$5:$M$5,1,0),"Excl")</f>
        <v>Labour</v>
      </c>
      <c r="AY476" s="7" t="str">
        <f>VLOOKUP(AO476,Mapping!$E$11:$I$96,5,0)</f>
        <v>SCS</v>
      </c>
    </row>
    <row r="477" spans="1:51" x14ac:dyDescent="0.2">
      <c r="A477" s="7"/>
      <c r="B477" s="7"/>
      <c r="C477" s="7"/>
      <c r="D477" s="7"/>
      <c r="E477" s="36">
        <v>114</v>
      </c>
      <c r="F477" s="36" t="s">
        <v>2127</v>
      </c>
      <c r="G477" s="36">
        <v>633000</v>
      </c>
      <c r="H477" s="36" t="s">
        <v>2202</v>
      </c>
      <c r="I477" s="37">
        <v>43.742600000000003</v>
      </c>
      <c r="J477" s="7"/>
      <c r="K477" s="7" t="s">
        <v>2299</v>
      </c>
      <c r="L477" s="7" t="str">
        <f>VLOOKUP($G477,Mapping!$E$140:$K$2771,5,0)</f>
        <v>Contracts</v>
      </c>
      <c r="M477" s="7" t="str">
        <f>VLOOKUP($G477,Mapping!$E$140:$K$2771,7,0)</f>
        <v>OH</v>
      </c>
      <c r="N477" s="7" t="str">
        <f>IFERROR(HLOOKUP(L477,'Calc|Weightings'!$K$5:$M$5,1,0),"Excl")</f>
        <v>Contracts</v>
      </c>
      <c r="O477" s="7" t="s">
        <v>28</v>
      </c>
      <c r="Q477" s="33">
        <v>116</v>
      </c>
      <c r="R477" s="33" t="s">
        <v>2130</v>
      </c>
      <c r="S477" s="33">
        <v>591997</v>
      </c>
      <c r="T477" s="33" t="s">
        <v>399</v>
      </c>
      <c r="U477" s="34">
        <v>-204.00388000000001</v>
      </c>
      <c r="V477" s="7"/>
      <c r="W477" s="7" t="str">
        <f>VLOOKUP($Q477,Mapping!$E$11:$I$96,3,0)</f>
        <v>Connections</v>
      </c>
      <c r="X477" s="7" t="str">
        <f>VLOOKUP($S477,Mapping!$E$140:$K$2771,5,0)</f>
        <v>Contracts</v>
      </c>
      <c r="Y477" s="7" t="str">
        <f>VLOOKUP($S477,Mapping!$E$140:$K$2771,7,0)</f>
        <v>ENDirect</v>
      </c>
      <c r="Z477" s="7" t="str">
        <f>IFERROR(HLOOKUP(X477,'Calc|Weightings'!$K$5:$M$5,1,0),"Excl")</f>
        <v>Contracts</v>
      </c>
      <c r="AA477" s="7" t="str">
        <f>VLOOKUP(Q477,Mapping!$E$11:$I$96,5,0)</f>
        <v>SCS</v>
      </c>
      <c r="AC477" s="111">
        <v>116</v>
      </c>
      <c r="AD477" s="111" t="s">
        <v>2130</v>
      </c>
      <c r="AE477" s="111">
        <v>531210</v>
      </c>
      <c r="AF477" s="111" t="s">
        <v>252</v>
      </c>
      <c r="AG477" s="112">
        <v>1.12524</v>
      </c>
      <c r="AI477" s="7" t="str">
        <f>VLOOKUP($AC477,Mapping!$E$11:$I$96,3,0)</f>
        <v>Connections</v>
      </c>
      <c r="AJ477" s="7" t="str">
        <f>VLOOKUP($AE477,Mapping!$E$140:$K$2771,5,0)</f>
        <v>Labour</v>
      </c>
      <c r="AK477" s="7" t="str">
        <f>VLOOKUP($AE477,Mapping!$E$140:$K$2771,7,0)</f>
        <v>ENDirect</v>
      </c>
      <c r="AL477" s="7" t="str">
        <f>IFERROR(HLOOKUP(AJ477,'Calc|Weightings'!$K$5:$M$5,1,0),"Excl")</f>
        <v>Labour</v>
      </c>
      <c r="AM477" s="7" t="str">
        <f>VLOOKUP(AC477,Mapping!$E$11:$I$96,5,0)</f>
        <v>SCS</v>
      </c>
      <c r="AO477" s="134">
        <v>116</v>
      </c>
      <c r="AP477" s="135" t="s">
        <v>2130</v>
      </c>
      <c r="AQ477" s="135">
        <v>613260</v>
      </c>
      <c r="AR477" s="135" t="s">
        <v>2090</v>
      </c>
      <c r="AS477" s="136">
        <v>71.720269999999999</v>
      </c>
      <c r="AU477" s="7" t="str">
        <f>VLOOKUP($AO477,Mapping!$E$11:$I$96,3,0)</f>
        <v>Connections</v>
      </c>
      <c r="AV477" s="7" t="str">
        <f>VLOOKUP($AQ477,Mapping!$E$140:$K$2771,5,0)</f>
        <v>Labour</v>
      </c>
      <c r="AW477" s="7" t="str">
        <f>VLOOKUP($AQ477,Mapping!$E$140:$K$2771,7,0)</f>
        <v>ENDirect</v>
      </c>
      <c r="AX477" s="7" t="str">
        <f>IFERROR(HLOOKUP(AV477,'Calc|Weightings'!$K$5:$M$5,1,0),"Excl")</f>
        <v>Labour</v>
      </c>
      <c r="AY477" s="7" t="str">
        <f>VLOOKUP(AO477,Mapping!$E$11:$I$96,5,0)</f>
        <v>SCS</v>
      </c>
    </row>
    <row r="478" spans="1:51" x14ac:dyDescent="0.2">
      <c r="A478" s="7"/>
      <c r="B478" s="7"/>
      <c r="C478" s="7"/>
      <c r="D478" s="7"/>
      <c r="E478" s="36">
        <v>114</v>
      </c>
      <c r="F478" s="36" t="s">
        <v>2127</v>
      </c>
      <c r="G478" s="36">
        <v>638000</v>
      </c>
      <c r="H478" s="36" t="s">
        <v>1147</v>
      </c>
      <c r="I478" s="37">
        <v>7.4356200000000001</v>
      </c>
      <c r="J478" s="7"/>
      <c r="K478" s="7" t="s">
        <v>2299</v>
      </c>
      <c r="L478" s="7" t="str">
        <f>VLOOKUP($G478,Mapping!$E$140:$K$2771,5,0)</f>
        <v>CHEDS AMI BAU MG</v>
      </c>
      <c r="M478" s="7" t="str">
        <f>VLOOKUP($G478,Mapping!$E$140:$K$2771,7,0)</f>
        <v>ENDirect</v>
      </c>
      <c r="N478" s="7" t="str">
        <f>IFERROR(HLOOKUP(L478,'Calc|Weightings'!$K$5:$M$5,1,0),"Excl")</f>
        <v>Excl</v>
      </c>
      <c r="O478" s="7" t="s">
        <v>28</v>
      </c>
      <c r="Q478" s="33">
        <v>116</v>
      </c>
      <c r="R478" s="33" t="s">
        <v>2130</v>
      </c>
      <c r="S478" s="33">
        <v>591998</v>
      </c>
      <c r="T478" s="33" t="s">
        <v>2077</v>
      </c>
      <c r="U478" s="34">
        <v>-377.29181999999997</v>
      </c>
      <c r="V478" s="7"/>
      <c r="W478" s="7" t="str">
        <f>VLOOKUP($Q478,Mapping!$E$11:$I$96,3,0)</f>
        <v>Connections</v>
      </c>
      <c r="X478" s="7" t="str">
        <f>VLOOKUP($S478,Mapping!$E$140:$K$2771,5,0)</f>
        <v>Contracts</v>
      </c>
      <c r="Y478" s="7" t="str">
        <f>VLOOKUP($S478,Mapping!$E$140:$K$2771,7,0)</f>
        <v>ENDirect</v>
      </c>
      <c r="Z478" s="7" t="str">
        <f>IFERROR(HLOOKUP(X478,'Calc|Weightings'!$K$5:$M$5,1,0),"Excl")</f>
        <v>Contracts</v>
      </c>
      <c r="AA478" s="7" t="str">
        <f>VLOOKUP(Q478,Mapping!$E$11:$I$96,5,0)</f>
        <v>SCS</v>
      </c>
      <c r="AC478" s="111">
        <v>116</v>
      </c>
      <c r="AD478" s="111" t="s">
        <v>2130</v>
      </c>
      <c r="AE478" s="111">
        <v>531464</v>
      </c>
      <c r="AF478" s="111" t="s">
        <v>256</v>
      </c>
      <c r="AG478" s="112">
        <v>7287.3398399999996</v>
      </c>
      <c r="AI478" s="7" t="str">
        <f>VLOOKUP($AC478,Mapping!$E$11:$I$96,3,0)</f>
        <v>Connections</v>
      </c>
      <c r="AJ478" s="7" t="str">
        <f>VLOOKUP($AE478,Mapping!$E$140:$K$2771,5,0)</f>
        <v>Contracts</v>
      </c>
      <c r="AK478" s="7" t="str">
        <f>VLOOKUP($AE478,Mapping!$E$140:$K$2771,7,0)</f>
        <v>ENDirect</v>
      </c>
      <c r="AL478" s="7" t="str">
        <f>IFERROR(HLOOKUP(AJ478,'Calc|Weightings'!$K$5:$M$5,1,0),"Excl")</f>
        <v>Contracts</v>
      </c>
      <c r="AM478" s="7" t="str">
        <f>VLOOKUP(AC478,Mapping!$E$11:$I$96,5,0)</f>
        <v>SCS</v>
      </c>
      <c r="AO478" s="134">
        <v>116</v>
      </c>
      <c r="AP478" s="135" t="s">
        <v>2130</v>
      </c>
      <c r="AQ478" s="135">
        <v>613261</v>
      </c>
      <c r="AR478" s="135" t="s">
        <v>2091</v>
      </c>
      <c r="AS478" s="136">
        <v>41.434890000000003</v>
      </c>
      <c r="AU478" s="7" t="str">
        <f>VLOOKUP($AO478,Mapping!$E$11:$I$96,3,0)</f>
        <v>Connections</v>
      </c>
      <c r="AV478" s="7" t="str">
        <f>VLOOKUP($AQ478,Mapping!$E$140:$K$2771,5,0)</f>
        <v>Labour</v>
      </c>
      <c r="AW478" s="7" t="str">
        <f>VLOOKUP($AQ478,Mapping!$E$140:$K$2771,7,0)</f>
        <v>ENDirect</v>
      </c>
      <c r="AX478" s="7" t="str">
        <f>IFERROR(HLOOKUP(AV478,'Calc|Weightings'!$K$5:$M$5,1,0),"Excl")</f>
        <v>Labour</v>
      </c>
      <c r="AY478" s="7" t="str">
        <f>VLOOKUP(AO478,Mapping!$E$11:$I$96,5,0)</f>
        <v>SCS</v>
      </c>
    </row>
    <row r="479" spans="1:51" x14ac:dyDescent="0.2">
      <c r="A479" s="7"/>
      <c r="B479" s="7"/>
      <c r="C479" s="7"/>
      <c r="D479" s="7"/>
      <c r="E479" s="36">
        <v>114</v>
      </c>
      <c r="F479" s="36" t="s">
        <v>2127</v>
      </c>
      <c r="G479" s="36">
        <v>639050</v>
      </c>
      <c r="H479" s="36" t="s">
        <v>2113</v>
      </c>
      <c r="I479" s="37">
        <v>1.7253099999999999</v>
      </c>
      <c r="J479" s="7"/>
      <c r="K479" s="7" t="s">
        <v>2299</v>
      </c>
      <c r="L479" s="7" t="str">
        <f>VLOOKUP($G479,Mapping!$E$140:$K$2771,5,0)</f>
        <v>PNS Fleet &amp; Property OH</v>
      </c>
      <c r="M479" s="7" t="str">
        <f>VLOOKUP($G479,Mapping!$E$140:$K$2771,7,0)</f>
        <v>OH</v>
      </c>
      <c r="N479" s="7" t="str">
        <f>IFERROR(HLOOKUP(L479,'Calc|Weightings'!$K$5:$M$5,1,0),"Excl")</f>
        <v>Excl</v>
      </c>
      <c r="O479" s="7" t="s">
        <v>28</v>
      </c>
      <c r="Q479" s="33">
        <v>116</v>
      </c>
      <c r="R479" s="33" t="s">
        <v>2130</v>
      </c>
      <c r="S479" s="33">
        <v>591999</v>
      </c>
      <c r="T479" s="33" t="s">
        <v>2078</v>
      </c>
      <c r="U479" s="34">
        <v>-584.58407</v>
      </c>
      <c r="V479" s="7"/>
      <c r="W479" s="7" t="str">
        <f>VLOOKUP($Q479,Mapping!$E$11:$I$96,3,0)</f>
        <v>Connections</v>
      </c>
      <c r="X479" s="7" t="str">
        <f>VLOOKUP($S479,Mapping!$E$140:$K$2771,5,0)</f>
        <v>Contracts</v>
      </c>
      <c r="Y479" s="7" t="str">
        <f>VLOOKUP($S479,Mapping!$E$140:$K$2771,7,0)</f>
        <v>ENDirect</v>
      </c>
      <c r="Z479" s="7" t="str">
        <f>IFERROR(HLOOKUP(X479,'Calc|Weightings'!$K$5:$M$5,1,0),"Excl")</f>
        <v>Contracts</v>
      </c>
      <c r="AA479" s="7" t="str">
        <f>VLOOKUP(Q479,Mapping!$E$11:$I$96,5,0)</f>
        <v>SCS</v>
      </c>
      <c r="AC479" s="111">
        <v>116</v>
      </c>
      <c r="AD479" s="111" t="s">
        <v>2130</v>
      </c>
      <c r="AE479" s="111">
        <v>531465</v>
      </c>
      <c r="AF479" s="111" t="s">
        <v>257</v>
      </c>
      <c r="AG479" s="112">
        <v>82.991249999999994</v>
      </c>
      <c r="AI479" s="7" t="str">
        <f>VLOOKUP($AC479,Mapping!$E$11:$I$96,3,0)</f>
        <v>Connections</v>
      </c>
      <c r="AJ479" s="7" t="str">
        <f>VLOOKUP($AE479,Mapping!$E$140:$K$2771,5,0)</f>
        <v>Contracts</v>
      </c>
      <c r="AK479" s="7" t="str">
        <f>VLOOKUP($AE479,Mapping!$E$140:$K$2771,7,0)</f>
        <v>ENDirect</v>
      </c>
      <c r="AL479" s="7" t="str">
        <f>IFERROR(HLOOKUP(AJ479,'Calc|Weightings'!$K$5:$M$5,1,0),"Excl")</f>
        <v>Contracts</v>
      </c>
      <c r="AM479" s="7" t="str">
        <f>VLOOKUP(AC479,Mapping!$E$11:$I$96,5,0)</f>
        <v>SCS</v>
      </c>
      <c r="AO479" s="134">
        <v>116</v>
      </c>
      <c r="AP479" s="135" t="s">
        <v>2130</v>
      </c>
      <c r="AQ479" s="135">
        <v>613280</v>
      </c>
      <c r="AR479" s="135" t="s">
        <v>1342</v>
      </c>
      <c r="AS479" s="136">
        <v>622.17214999999999</v>
      </c>
      <c r="AU479" s="7" t="str">
        <f>VLOOKUP($AO479,Mapping!$E$11:$I$96,3,0)</f>
        <v>Connections</v>
      </c>
      <c r="AV479" s="7" t="str">
        <f>VLOOKUP($AQ479,Mapping!$E$140:$K$2771,5,0)</f>
        <v>Labour</v>
      </c>
      <c r="AW479" s="7" t="str">
        <f>VLOOKUP($AQ479,Mapping!$E$140:$K$2771,7,0)</f>
        <v>ENDirect</v>
      </c>
      <c r="AX479" s="7" t="str">
        <f>IFERROR(HLOOKUP(AV479,'Calc|Weightings'!$K$5:$M$5,1,0),"Excl")</f>
        <v>Labour</v>
      </c>
      <c r="AY479" s="7" t="str">
        <f>VLOOKUP(AO479,Mapping!$E$11:$I$96,5,0)</f>
        <v>SCS</v>
      </c>
    </row>
    <row r="480" spans="1:51" x14ac:dyDescent="0.2">
      <c r="A480" s="7"/>
      <c r="B480" s="7"/>
      <c r="C480" s="7"/>
      <c r="D480" s="7"/>
      <c r="E480" s="36">
        <v>115</v>
      </c>
      <c r="F480" s="36" t="s">
        <v>2129</v>
      </c>
      <c r="G480" s="36">
        <v>624583</v>
      </c>
      <c r="H480" s="36" t="s">
        <v>1864</v>
      </c>
      <c r="I480" s="37">
        <v>16.558</v>
      </c>
      <c r="J480" s="7"/>
      <c r="K480" s="7" t="s">
        <v>2299</v>
      </c>
      <c r="L480" s="7" t="str">
        <f>VLOOKUP($G480,Mapping!$E$140:$K$2771,5,0)</f>
        <v>Labour</v>
      </c>
      <c r="M480" s="7" t="str">
        <f>VLOOKUP($G480,Mapping!$E$140:$K$2771,7,0)</f>
        <v>ENDirect</v>
      </c>
      <c r="N480" s="7" t="str">
        <f>IFERROR(HLOOKUP(L480,'Calc|Weightings'!$K$5:$M$5,1,0),"Excl")</f>
        <v>Labour</v>
      </c>
      <c r="O480" s="7" t="s">
        <v>28</v>
      </c>
      <c r="Q480" s="33">
        <v>116</v>
      </c>
      <c r="R480" s="33" t="s">
        <v>2130</v>
      </c>
      <c r="S480" s="33">
        <v>611900</v>
      </c>
      <c r="T480" s="33" t="s">
        <v>2079</v>
      </c>
      <c r="U480" s="34">
        <v>45.956119999999999</v>
      </c>
      <c r="V480" s="7"/>
      <c r="W480" s="7" t="str">
        <f>VLOOKUP($Q480,Mapping!$E$11:$I$96,3,0)</f>
        <v>Connections</v>
      </c>
      <c r="X480" s="7" t="str">
        <f>VLOOKUP($S480,Mapping!$E$140:$K$2771,5,0)</f>
        <v>Contracts</v>
      </c>
      <c r="Y480" s="7" t="str">
        <f>VLOOKUP($S480,Mapping!$E$140:$K$2771,7,0)</f>
        <v>ENDirect</v>
      </c>
      <c r="Z480" s="7" t="str">
        <f>IFERROR(HLOOKUP(X480,'Calc|Weightings'!$K$5:$M$5,1,0),"Excl")</f>
        <v>Contracts</v>
      </c>
      <c r="AA480" s="7" t="str">
        <f>VLOOKUP(Q480,Mapping!$E$11:$I$96,5,0)</f>
        <v>SCS</v>
      </c>
      <c r="AC480" s="111">
        <v>116</v>
      </c>
      <c r="AD480" s="111" t="s">
        <v>2130</v>
      </c>
      <c r="AE480" s="111">
        <v>531466</v>
      </c>
      <c r="AF480" s="111" t="s">
        <v>258</v>
      </c>
      <c r="AG480" s="112">
        <v>393.96230000000003</v>
      </c>
      <c r="AI480" s="7" t="str">
        <f>VLOOKUP($AC480,Mapping!$E$11:$I$96,3,0)</f>
        <v>Connections</v>
      </c>
      <c r="AJ480" s="7" t="str">
        <f>VLOOKUP($AE480,Mapping!$E$140:$K$2771,5,0)</f>
        <v>Contracts</v>
      </c>
      <c r="AK480" s="7" t="str">
        <f>VLOOKUP($AE480,Mapping!$E$140:$K$2771,7,0)</f>
        <v>ENDirect</v>
      </c>
      <c r="AL480" s="7" t="str">
        <f>IFERROR(HLOOKUP(AJ480,'Calc|Weightings'!$K$5:$M$5,1,0),"Excl")</f>
        <v>Contracts</v>
      </c>
      <c r="AM480" s="7" t="str">
        <f>VLOOKUP(AC480,Mapping!$E$11:$I$96,5,0)</f>
        <v>SCS</v>
      </c>
      <c r="AO480" s="134">
        <v>116</v>
      </c>
      <c r="AP480" s="135" t="s">
        <v>2130</v>
      </c>
      <c r="AQ480" s="135">
        <v>613281</v>
      </c>
      <c r="AR480" s="135" t="s">
        <v>1343</v>
      </c>
      <c r="AS480" s="136">
        <v>16.627520000000001</v>
      </c>
      <c r="AU480" s="7" t="str">
        <f>VLOOKUP($AO480,Mapping!$E$11:$I$96,3,0)</f>
        <v>Connections</v>
      </c>
      <c r="AV480" s="7" t="str">
        <f>VLOOKUP($AQ480,Mapping!$E$140:$K$2771,5,0)</f>
        <v>Labour</v>
      </c>
      <c r="AW480" s="7" t="str">
        <f>VLOOKUP($AQ480,Mapping!$E$140:$K$2771,7,0)</f>
        <v>ENDirect</v>
      </c>
      <c r="AX480" s="7" t="str">
        <f>IFERROR(HLOOKUP(AV480,'Calc|Weightings'!$K$5:$M$5,1,0),"Excl")</f>
        <v>Labour</v>
      </c>
      <c r="AY480" s="7" t="str">
        <f>VLOOKUP(AO480,Mapping!$E$11:$I$96,5,0)</f>
        <v>SCS</v>
      </c>
    </row>
    <row r="481" spans="1:51" x14ac:dyDescent="0.2">
      <c r="A481" s="7"/>
      <c r="B481" s="7"/>
      <c r="C481" s="7"/>
      <c r="D481" s="7"/>
      <c r="E481" s="36">
        <v>115</v>
      </c>
      <c r="F481" s="36" t="s">
        <v>2129</v>
      </c>
      <c r="G481" s="36">
        <v>624584</v>
      </c>
      <c r="H481" s="36" t="s">
        <v>1859</v>
      </c>
      <c r="I481" s="37">
        <v>25.5627</v>
      </c>
      <c r="J481" s="7"/>
      <c r="K481" s="7" t="s">
        <v>2299</v>
      </c>
      <c r="L481" s="7" t="str">
        <f>VLOOKUP($G481,Mapping!$E$140:$K$2771,5,0)</f>
        <v>Labour</v>
      </c>
      <c r="M481" s="7" t="str">
        <f>VLOOKUP($G481,Mapping!$E$140:$K$2771,7,0)</f>
        <v>ENDirect</v>
      </c>
      <c r="N481" s="7" t="str">
        <f>IFERROR(HLOOKUP(L481,'Calc|Weightings'!$K$5:$M$5,1,0),"Excl")</f>
        <v>Labour</v>
      </c>
      <c r="O481" s="7" t="s">
        <v>28</v>
      </c>
      <c r="Q481" s="33">
        <v>116</v>
      </c>
      <c r="R481" s="33" t="s">
        <v>2130</v>
      </c>
      <c r="S481" s="33">
        <v>611901</v>
      </c>
      <c r="T481" s="33" t="s">
        <v>2080</v>
      </c>
      <c r="U481" s="34">
        <v>37.85284</v>
      </c>
      <c r="V481" s="7"/>
      <c r="W481" s="7" t="str">
        <f>VLOOKUP($Q481,Mapping!$E$11:$I$96,3,0)</f>
        <v>Connections</v>
      </c>
      <c r="X481" s="7" t="str">
        <f>VLOOKUP($S481,Mapping!$E$140:$K$2771,5,0)</f>
        <v>Contracts</v>
      </c>
      <c r="Y481" s="7" t="str">
        <f>VLOOKUP($S481,Mapping!$E$140:$K$2771,7,0)</f>
        <v>ENDirect</v>
      </c>
      <c r="Z481" s="7" t="str">
        <f>IFERROR(HLOOKUP(X481,'Calc|Weightings'!$K$5:$M$5,1,0),"Excl")</f>
        <v>Contracts</v>
      </c>
      <c r="AA481" s="7" t="str">
        <f>VLOOKUP(Q481,Mapping!$E$11:$I$96,5,0)</f>
        <v>SCS</v>
      </c>
      <c r="AC481" s="111">
        <v>116</v>
      </c>
      <c r="AD481" s="111" t="s">
        <v>2130</v>
      </c>
      <c r="AE481" s="111">
        <v>531467</v>
      </c>
      <c r="AF481" s="111" t="s">
        <v>259</v>
      </c>
      <c r="AG481" s="112">
        <v>1551.55153</v>
      </c>
      <c r="AI481" s="7" t="str">
        <f>VLOOKUP($AC481,Mapping!$E$11:$I$96,3,0)</f>
        <v>Connections</v>
      </c>
      <c r="AJ481" s="7" t="str">
        <f>VLOOKUP($AE481,Mapping!$E$140:$K$2771,5,0)</f>
        <v>Contracts</v>
      </c>
      <c r="AK481" s="7" t="str">
        <f>VLOOKUP($AE481,Mapping!$E$140:$K$2771,7,0)</f>
        <v>ENDirect</v>
      </c>
      <c r="AL481" s="7" t="str">
        <f>IFERROR(HLOOKUP(AJ481,'Calc|Weightings'!$K$5:$M$5,1,0),"Excl")</f>
        <v>Contracts</v>
      </c>
      <c r="AM481" s="7" t="str">
        <f>VLOOKUP(AC481,Mapping!$E$11:$I$96,5,0)</f>
        <v>SCS</v>
      </c>
      <c r="AO481" s="134">
        <v>116</v>
      </c>
      <c r="AP481" s="135" t="s">
        <v>2130</v>
      </c>
      <c r="AQ481" s="135">
        <v>613290</v>
      </c>
      <c r="AR481" s="135" t="s">
        <v>2093</v>
      </c>
      <c r="AS481" s="136">
        <v>1237.99164</v>
      </c>
      <c r="AU481" s="7" t="str">
        <f>VLOOKUP($AO481,Mapping!$E$11:$I$96,3,0)</f>
        <v>Connections</v>
      </c>
      <c r="AV481" s="7" t="str">
        <f>VLOOKUP($AQ481,Mapping!$E$140:$K$2771,5,0)</f>
        <v>Labour</v>
      </c>
      <c r="AW481" s="7" t="str">
        <f>VLOOKUP($AQ481,Mapping!$E$140:$K$2771,7,0)</f>
        <v>ENDirect</v>
      </c>
      <c r="AX481" s="7" t="str">
        <f>IFERROR(HLOOKUP(AV481,'Calc|Weightings'!$K$5:$M$5,1,0),"Excl")</f>
        <v>Labour</v>
      </c>
      <c r="AY481" s="7" t="str">
        <f>VLOOKUP(AO481,Mapping!$E$11:$I$96,5,0)</f>
        <v>SCS</v>
      </c>
    </row>
    <row r="482" spans="1:51" x14ac:dyDescent="0.2">
      <c r="A482" s="7"/>
      <c r="B482" s="7"/>
      <c r="C482" s="7"/>
      <c r="D482" s="7"/>
      <c r="E482" s="36">
        <v>115</v>
      </c>
      <c r="F482" s="36" t="s">
        <v>2129</v>
      </c>
      <c r="G482" s="36">
        <v>624585</v>
      </c>
      <c r="H482" s="36" t="s">
        <v>1865</v>
      </c>
      <c r="I482" s="37">
        <v>376.61714999999998</v>
      </c>
      <c r="J482" s="7"/>
      <c r="K482" s="7" t="s">
        <v>2299</v>
      </c>
      <c r="L482" s="7" t="str">
        <f>VLOOKUP($G482,Mapping!$E$140:$K$2771,5,0)</f>
        <v>Labour</v>
      </c>
      <c r="M482" s="7" t="str">
        <f>VLOOKUP($G482,Mapping!$E$140:$K$2771,7,0)</f>
        <v>ENDirect</v>
      </c>
      <c r="N482" s="7" t="str">
        <f>IFERROR(HLOOKUP(L482,'Calc|Weightings'!$K$5:$M$5,1,0),"Excl")</f>
        <v>Labour</v>
      </c>
      <c r="O482" s="7" t="s">
        <v>28</v>
      </c>
      <c r="Q482" s="33">
        <v>116</v>
      </c>
      <c r="R482" s="33" t="s">
        <v>2130</v>
      </c>
      <c r="S482" s="33">
        <v>611902</v>
      </c>
      <c r="T482" s="33" t="s">
        <v>2081</v>
      </c>
      <c r="U482" s="34">
        <v>28.117229999999999</v>
      </c>
      <c r="V482" s="7"/>
      <c r="W482" s="7" t="str">
        <f>VLOOKUP($Q482,Mapping!$E$11:$I$96,3,0)</f>
        <v>Connections</v>
      </c>
      <c r="X482" s="7" t="str">
        <f>VLOOKUP($S482,Mapping!$E$140:$K$2771,5,0)</f>
        <v>Contracts</v>
      </c>
      <c r="Y482" s="7" t="str">
        <f>VLOOKUP($S482,Mapping!$E$140:$K$2771,7,0)</f>
        <v>ENDirect</v>
      </c>
      <c r="Z482" s="7" t="str">
        <f>IFERROR(HLOOKUP(X482,'Calc|Weightings'!$K$5:$M$5,1,0),"Excl")</f>
        <v>Contracts</v>
      </c>
      <c r="AA482" s="7" t="str">
        <f>VLOOKUP(Q482,Mapping!$E$11:$I$96,5,0)</f>
        <v>SCS</v>
      </c>
      <c r="AC482" s="111">
        <v>116</v>
      </c>
      <c r="AD482" s="111" t="s">
        <v>2130</v>
      </c>
      <c r="AE482" s="111">
        <v>531468</v>
      </c>
      <c r="AF482" s="111" t="s">
        <v>260</v>
      </c>
      <c r="AG482" s="112">
        <v>3176.2540600000002</v>
      </c>
      <c r="AI482" s="7" t="str">
        <f>VLOOKUP($AC482,Mapping!$E$11:$I$96,3,0)</f>
        <v>Connections</v>
      </c>
      <c r="AJ482" s="7" t="str">
        <f>VLOOKUP($AE482,Mapping!$E$140:$K$2771,5,0)</f>
        <v>Contracts</v>
      </c>
      <c r="AK482" s="7" t="str">
        <f>VLOOKUP($AE482,Mapping!$E$140:$K$2771,7,0)</f>
        <v>ENDirect</v>
      </c>
      <c r="AL482" s="7" t="str">
        <f>IFERROR(HLOOKUP(AJ482,'Calc|Weightings'!$K$5:$M$5,1,0),"Excl")</f>
        <v>Contracts</v>
      </c>
      <c r="AM482" s="7" t="str">
        <f>VLOOKUP(AC482,Mapping!$E$11:$I$96,5,0)</f>
        <v>SCS</v>
      </c>
      <c r="AO482" s="134">
        <v>116</v>
      </c>
      <c r="AP482" s="135" t="s">
        <v>2130</v>
      </c>
      <c r="AQ482" s="135">
        <v>613291</v>
      </c>
      <c r="AR482" s="135" t="s">
        <v>2094</v>
      </c>
      <c r="AS482" s="136">
        <v>41.530459999999998</v>
      </c>
      <c r="AU482" s="7" t="str">
        <f>VLOOKUP($AO482,Mapping!$E$11:$I$96,3,0)</f>
        <v>Connections</v>
      </c>
      <c r="AV482" s="7" t="str">
        <f>VLOOKUP($AQ482,Mapping!$E$140:$K$2771,5,0)</f>
        <v>Labour</v>
      </c>
      <c r="AW482" s="7" t="str">
        <f>VLOOKUP($AQ482,Mapping!$E$140:$K$2771,7,0)</f>
        <v>ENDirect</v>
      </c>
      <c r="AX482" s="7" t="str">
        <f>IFERROR(HLOOKUP(AV482,'Calc|Weightings'!$K$5:$M$5,1,0),"Excl")</f>
        <v>Labour</v>
      </c>
      <c r="AY482" s="7" t="str">
        <f>VLOOKUP(AO482,Mapping!$E$11:$I$96,5,0)</f>
        <v>SCS</v>
      </c>
    </row>
    <row r="483" spans="1:51" x14ac:dyDescent="0.2">
      <c r="A483" s="7"/>
      <c r="B483" s="7"/>
      <c r="C483" s="7"/>
      <c r="D483" s="7"/>
      <c r="E483" s="36">
        <v>115</v>
      </c>
      <c r="F483" s="36" t="s">
        <v>2129</v>
      </c>
      <c r="G483" s="36">
        <v>624586</v>
      </c>
      <c r="H483" s="36" t="s">
        <v>1866</v>
      </c>
      <c r="I483" s="37">
        <v>1274.2224000000001</v>
      </c>
      <c r="J483" s="7"/>
      <c r="K483" s="7" t="s">
        <v>2299</v>
      </c>
      <c r="L483" s="7" t="str">
        <f>VLOOKUP($G483,Mapping!$E$140:$K$2771,5,0)</f>
        <v>Labour</v>
      </c>
      <c r="M483" s="7" t="str">
        <f>VLOOKUP($G483,Mapping!$E$140:$K$2771,7,0)</f>
        <v>ENDirect</v>
      </c>
      <c r="N483" s="7" t="str">
        <f>IFERROR(HLOOKUP(L483,'Calc|Weightings'!$K$5:$M$5,1,0),"Excl")</f>
        <v>Labour</v>
      </c>
      <c r="O483" s="7" t="s">
        <v>28</v>
      </c>
      <c r="Q483" s="33">
        <v>116</v>
      </c>
      <c r="R483" s="33" t="s">
        <v>2130</v>
      </c>
      <c r="S483" s="33">
        <v>612210</v>
      </c>
      <c r="T483" s="33" t="s">
        <v>1184</v>
      </c>
      <c r="U483" s="34">
        <v>37.638820000000003</v>
      </c>
      <c r="V483" s="7"/>
      <c r="W483" s="7" t="str">
        <f>VLOOKUP($Q483,Mapping!$E$11:$I$96,3,0)</f>
        <v>Connections</v>
      </c>
      <c r="X483" s="7" t="str">
        <f>VLOOKUP($S483,Mapping!$E$140:$K$2771,5,0)</f>
        <v>Labour</v>
      </c>
      <c r="Y483" s="7" t="str">
        <f>VLOOKUP($S483,Mapping!$E$140:$K$2771,7,0)</f>
        <v>ENDirect</v>
      </c>
      <c r="Z483" s="7" t="str">
        <f>IFERROR(HLOOKUP(X483,'Calc|Weightings'!$K$5:$M$5,1,0),"Excl")</f>
        <v>Labour</v>
      </c>
      <c r="AA483" s="7" t="str">
        <f>VLOOKUP(Q483,Mapping!$E$11:$I$96,5,0)</f>
        <v>SCS</v>
      </c>
      <c r="AC483" s="111">
        <v>116</v>
      </c>
      <c r="AD483" s="111" t="s">
        <v>2130</v>
      </c>
      <c r="AE483" s="111">
        <v>531469</v>
      </c>
      <c r="AF483" s="111" t="s">
        <v>261</v>
      </c>
      <c r="AG483" s="112">
        <v>125.61828</v>
      </c>
      <c r="AI483" s="7" t="str">
        <f>VLOOKUP($AC483,Mapping!$E$11:$I$96,3,0)</f>
        <v>Connections</v>
      </c>
      <c r="AJ483" s="7" t="str">
        <f>VLOOKUP($AE483,Mapping!$E$140:$K$2771,5,0)</f>
        <v>Labour</v>
      </c>
      <c r="AK483" s="7" t="str">
        <f>VLOOKUP($AE483,Mapping!$E$140:$K$2771,7,0)</f>
        <v>ENDirect</v>
      </c>
      <c r="AL483" s="7" t="str">
        <f>IFERROR(HLOOKUP(AJ483,'Calc|Weightings'!$K$5:$M$5,1,0),"Excl")</f>
        <v>Labour</v>
      </c>
      <c r="AM483" s="7" t="str">
        <f>VLOOKUP(AC483,Mapping!$E$11:$I$96,5,0)</f>
        <v>SCS</v>
      </c>
      <c r="AO483" s="134">
        <v>116</v>
      </c>
      <c r="AP483" s="135" t="s">
        <v>2130</v>
      </c>
      <c r="AQ483" s="135">
        <v>613298</v>
      </c>
      <c r="AR483" s="135" t="s">
        <v>2122</v>
      </c>
      <c r="AS483" s="136">
        <v>4.7810800000000002</v>
      </c>
      <c r="AU483" s="7" t="str">
        <f>VLOOKUP($AO483,Mapping!$E$11:$I$96,3,0)</f>
        <v>Connections</v>
      </c>
      <c r="AV483" s="7" t="str">
        <f>VLOOKUP($AQ483,Mapping!$E$140:$K$2771,5,0)</f>
        <v>Labour</v>
      </c>
      <c r="AW483" s="7" t="str">
        <f>VLOOKUP($AQ483,Mapping!$E$140:$K$2771,7,0)</f>
        <v>ENDirect</v>
      </c>
      <c r="AX483" s="7" t="str">
        <f>IFERROR(HLOOKUP(AV483,'Calc|Weightings'!$K$5:$M$5,1,0),"Excl")</f>
        <v>Labour</v>
      </c>
      <c r="AY483" s="7" t="str">
        <f>VLOOKUP(AO483,Mapping!$E$11:$I$96,5,0)</f>
        <v>SCS</v>
      </c>
    </row>
    <row r="484" spans="1:51" x14ac:dyDescent="0.2">
      <c r="A484" s="7"/>
      <c r="B484" s="7"/>
      <c r="C484" s="7"/>
      <c r="D484" s="7"/>
      <c r="E484" s="36">
        <v>115</v>
      </c>
      <c r="F484" s="36" t="s">
        <v>2129</v>
      </c>
      <c r="G484" s="36">
        <v>624587</v>
      </c>
      <c r="H484" s="36" t="s">
        <v>1862</v>
      </c>
      <c r="I484" s="37">
        <v>52.019469999999998</v>
      </c>
      <c r="J484" s="7"/>
      <c r="K484" s="7" t="s">
        <v>2299</v>
      </c>
      <c r="L484" s="7" t="str">
        <f>VLOOKUP($G484,Mapping!$E$140:$K$2771,5,0)</f>
        <v>Labour</v>
      </c>
      <c r="M484" s="7" t="str">
        <f>VLOOKUP($G484,Mapping!$E$140:$K$2771,7,0)</f>
        <v>ENDirect</v>
      </c>
      <c r="N484" s="7" t="str">
        <f>IFERROR(HLOOKUP(L484,'Calc|Weightings'!$K$5:$M$5,1,0),"Excl")</f>
        <v>Labour</v>
      </c>
      <c r="O484" s="7" t="s">
        <v>28</v>
      </c>
      <c r="Q484" s="33">
        <v>116</v>
      </c>
      <c r="R484" s="33" t="s">
        <v>2130</v>
      </c>
      <c r="S484" s="33">
        <v>612211</v>
      </c>
      <c r="T484" s="33" t="s">
        <v>1185</v>
      </c>
      <c r="U484" s="34">
        <v>10.98132</v>
      </c>
      <c r="V484" s="7"/>
      <c r="W484" s="7" t="str">
        <f>VLOOKUP($Q484,Mapping!$E$11:$I$96,3,0)</f>
        <v>Connections</v>
      </c>
      <c r="X484" s="7" t="str">
        <f>VLOOKUP($S484,Mapping!$E$140:$K$2771,5,0)</f>
        <v>Labour</v>
      </c>
      <c r="Y484" s="7" t="str">
        <f>VLOOKUP($S484,Mapping!$E$140:$K$2771,7,0)</f>
        <v>ENDirect</v>
      </c>
      <c r="Z484" s="7" t="str">
        <f>IFERROR(HLOOKUP(X484,'Calc|Weightings'!$K$5:$M$5,1,0),"Excl")</f>
        <v>Labour</v>
      </c>
      <c r="AA484" s="7" t="str">
        <f>VLOOKUP(Q484,Mapping!$E$11:$I$96,5,0)</f>
        <v>SCS</v>
      </c>
      <c r="AC484" s="111">
        <v>116</v>
      </c>
      <c r="AD484" s="111" t="s">
        <v>2130</v>
      </c>
      <c r="AE484" s="111">
        <v>531480</v>
      </c>
      <c r="AF484" s="111" t="s">
        <v>2076</v>
      </c>
      <c r="AG484" s="112">
        <v>4.2</v>
      </c>
      <c r="AI484" s="7" t="str">
        <f>VLOOKUP($AC484,Mapping!$E$11:$I$96,3,0)</f>
        <v>Connections</v>
      </c>
      <c r="AJ484" s="7" t="str">
        <f>VLOOKUP($AE484,Mapping!$E$140:$K$2771,5,0)</f>
        <v>Labour</v>
      </c>
      <c r="AK484" s="7" t="str">
        <f>VLOOKUP($AE484,Mapping!$E$140:$K$2771,7,0)</f>
        <v>ENDirect</v>
      </c>
      <c r="AL484" s="7" t="str">
        <f>IFERROR(HLOOKUP(AJ484,'Calc|Weightings'!$K$5:$M$5,1,0),"Excl")</f>
        <v>Labour</v>
      </c>
      <c r="AM484" s="7" t="str">
        <f>VLOOKUP(AC484,Mapping!$E$11:$I$96,5,0)</f>
        <v>SCS</v>
      </c>
      <c r="AO484" s="134">
        <v>116</v>
      </c>
      <c r="AP484" s="135" t="s">
        <v>2130</v>
      </c>
      <c r="AQ484" s="135">
        <v>613310</v>
      </c>
      <c r="AR484" s="135" t="s">
        <v>2095</v>
      </c>
      <c r="AS484" s="136">
        <v>33.186869999999999</v>
      </c>
      <c r="AU484" s="7" t="str">
        <f>VLOOKUP($AO484,Mapping!$E$11:$I$96,3,0)</f>
        <v>Connections</v>
      </c>
      <c r="AV484" s="7" t="str">
        <f>VLOOKUP($AQ484,Mapping!$E$140:$K$2771,5,0)</f>
        <v>Labour</v>
      </c>
      <c r="AW484" s="7" t="str">
        <f>VLOOKUP($AQ484,Mapping!$E$140:$K$2771,7,0)</f>
        <v>ENDirect</v>
      </c>
      <c r="AX484" s="7" t="str">
        <f>IFERROR(HLOOKUP(AV484,'Calc|Weightings'!$K$5:$M$5,1,0),"Excl")</f>
        <v>Labour</v>
      </c>
      <c r="AY484" s="7" t="str">
        <f>VLOOKUP(AO484,Mapping!$E$11:$I$96,5,0)</f>
        <v>SCS</v>
      </c>
    </row>
    <row r="485" spans="1:51" x14ac:dyDescent="0.2">
      <c r="A485" s="7"/>
      <c r="B485" s="7"/>
      <c r="C485" s="7"/>
      <c r="D485" s="7"/>
      <c r="E485" s="36">
        <v>115</v>
      </c>
      <c r="F485" s="36" t="s">
        <v>2129</v>
      </c>
      <c r="G485" s="36">
        <v>624588</v>
      </c>
      <c r="H485" s="36" t="s">
        <v>1867</v>
      </c>
      <c r="I485" s="37">
        <v>214.15880000000001</v>
      </c>
      <c r="J485" s="7"/>
      <c r="K485" s="7" t="s">
        <v>2299</v>
      </c>
      <c r="L485" s="7" t="str">
        <f>VLOOKUP($G485,Mapping!$E$140:$K$2771,5,0)</f>
        <v>Labour</v>
      </c>
      <c r="M485" s="7" t="str">
        <f>VLOOKUP($G485,Mapping!$E$140:$K$2771,7,0)</f>
        <v>ENDirect</v>
      </c>
      <c r="N485" s="7" t="str">
        <f>IFERROR(HLOOKUP(L485,'Calc|Weightings'!$K$5:$M$5,1,0),"Excl")</f>
        <v>Labour</v>
      </c>
      <c r="O485" s="7" t="s">
        <v>28</v>
      </c>
      <c r="Q485" s="33">
        <v>116</v>
      </c>
      <c r="R485" s="33" t="s">
        <v>2130</v>
      </c>
      <c r="S485" s="33">
        <v>612460</v>
      </c>
      <c r="T485" s="33" t="s">
        <v>1243</v>
      </c>
      <c r="U485" s="34">
        <v>-0.25380000000000003</v>
      </c>
      <c r="V485" s="7"/>
      <c r="W485" s="7" t="str">
        <f>VLOOKUP($Q485,Mapping!$E$11:$I$96,3,0)</f>
        <v>Connections</v>
      </c>
      <c r="X485" s="7" t="str">
        <f>VLOOKUP($S485,Mapping!$E$140:$K$2771,5,0)</f>
        <v>Labour</v>
      </c>
      <c r="Y485" s="7" t="str">
        <f>VLOOKUP($S485,Mapping!$E$140:$K$2771,7,0)</f>
        <v>ENDirect</v>
      </c>
      <c r="Z485" s="7" t="str">
        <f>IFERROR(HLOOKUP(X485,'Calc|Weightings'!$K$5:$M$5,1,0),"Excl")</f>
        <v>Labour</v>
      </c>
      <c r="AA485" s="7" t="str">
        <f>VLOOKUP(Q485,Mapping!$E$11:$I$96,5,0)</f>
        <v>SCS</v>
      </c>
      <c r="AC485" s="111">
        <v>116</v>
      </c>
      <c r="AD485" s="111" t="s">
        <v>2130</v>
      </c>
      <c r="AE485" s="111">
        <v>532050</v>
      </c>
      <c r="AF485" s="111" t="s">
        <v>279</v>
      </c>
      <c r="AG485" s="112">
        <v>180.58018000000001</v>
      </c>
      <c r="AI485" s="7" t="str">
        <f>VLOOKUP($AC485,Mapping!$E$11:$I$96,3,0)</f>
        <v>Connections</v>
      </c>
      <c r="AJ485" s="7" t="str">
        <f>VLOOKUP($AE485,Mapping!$E$140:$K$2771,5,0)</f>
        <v>Contracts</v>
      </c>
      <c r="AK485" s="7" t="str">
        <f>VLOOKUP($AE485,Mapping!$E$140:$K$2771,7,0)</f>
        <v>ENDirect</v>
      </c>
      <c r="AL485" s="7" t="str">
        <f>IFERROR(HLOOKUP(AJ485,'Calc|Weightings'!$K$5:$M$5,1,0),"Excl")</f>
        <v>Contracts</v>
      </c>
      <c r="AM485" s="7" t="str">
        <f>VLOOKUP(AC485,Mapping!$E$11:$I$96,5,0)</f>
        <v>SCS</v>
      </c>
      <c r="AO485" s="134">
        <v>116</v>
      </c>
      <c r="AP485" s="135" t="s">
        <v>2130</v>
      </c>
      <c r="AQ485" s="135">
        <v>613311</v>
      </c>
      <c r="AR485" s="135" t="s">
        <v>2116</v>
      </c>
      <c r="AS485" s="136">
        <v>3.8428200000000001</v>
      </c>
      <c r="AU485" s="7" t="str">
        <f>VLOOKUP($AO485,Mapping!$E$11:$I$96,3,0)</f>
        <v>Connections</v>
      </c>
      <c r="AV485" s="7" t="str">
        <f>VLOOKUP($AQ485,Mapping!$E$140:$K$2771,5,0)</f>
        <v>Labour</v>
      </c>
      <c r="AW485" s="7" t="str">
        <f>VLOOKUP($AQ485,Mapping!$E$140:$K$2771,7,0)</f>
        <v>ENDirect</v>
      </c>
      <c r="AX485" s="7" t="str">
        <f>IFERROR(HLOOKUP(AV485,'Calc|Weightings'!$K$5:$M$5,1,0),"Excl")</f>
        <v>Labour</v>
      </c>
      <c r="AY485" s="7" t="str">
        <f>VLOOKUP(AO485,Mapping!$E$11:$I$96,5,0)</f>
        <v>SCS</v>
      </c>
    </row>
    <row r="486" spans="1:51" x14ac:dyDescent="0.2">
      <c r="A486" s="7"/>
      <c r="B486" s="7"/>
      <c r="C486" s="7"/>
      <c r="D486" s="7"/>
      <c r="E486" s="36">
        <v>115</v>
      </c>
      <c r="F486" s="36" t="s">
        <v>2129</v>
      </c>
      <c r="G486" s="36">
        <v>633000</v>
      </c>
      <c r="H486" s="36" t="s">
        <v>2202</v>
      </c>
      <c r="I486" s="37">
        <v>322.06473999999997</v>
      </c>
      <c r="J486" s="7"/>
      <c r="K486" s="7" t="s">
        <v>2299</v>
      </c>
      <c r="L486" s="7" t="str">
        <f>VLOOKUP($G486,Mapping!$E$140:$K$2771,5,0)</f>
        <v>Contracts</v>
      </c>
      <c r="M486" s="7" t="str">
        <f>VLOOKUP($G486,Mapping!$E$140:$K$2771,7,0)</f>
        <v>OH</v>
      </c>
      <c r="N486" s="7" t="str">
        <f>IFERROR(HLOOKUP(L486,'Calc|Weightings'!$K$5:$M$5,1,0),"Excl")</f>
        <v>Contracts</v>
      </c>
      <c r="O486" s="7" t="s">
        <v>28</v>
      </c>
      <c r="Q486" s="33">
        <v>116</v>
      </c>
      <c r="R486" s="33" t="s">
        <v>2130</v>
      </c>
      <c r="S486" s="33">
        <v>613240</v>
      </c>
      <c r="T486" s="33" t="s">
        <v>2082</v>
      </c>
      <c r="U486" s="34">
        <v>118.77385</v>
      </c>
      <c r="V486" s="7"/>
      <c r="W486" s="7" t="str">
        <f>VLOOKUP($Q486,Mapping!$E$11:$I$96,3,0)</f>
        <v>Connections</v>
      </c>
      <c r="X486" s="7" t="str">
        <f>VLOOKUP($S486,Mapping!$E$140:$K$2771,5,0)</f>
        <v>Labour</v>
      </c>
      <c r="Y486" s="7" t="str">
        <f>VLOOKUP($S486,Mapping!$E$140:$K$2771,7,0)</f>
        <v>ENDirect</v>
      </c>
      <c r="Z486" s="7" t="str">
        <f>IFERROR(HLOOKUP(X486,'Calc|Weightings'!$K$5:$M$5,1,0),"Excl")</f>
        <v>Labour</v>
      </c>
      <c r="AA486" s="7" t="str">
        <f>VLOOKUP(Q486,Mapping!$E$11:$I$96,5,0)</f>
        <v>SCS</v>
      </c>
      <c r="AC486" s="111">
        <v>116</v>
      </c>
      <c r="AD486" s="111" t="s">
        <v>2130</v>
      </c>
      <c r="AE486" s="111">
        <v>532140</v>
      </c>
      <c r="AF486" s="111" t="s">
        <v>288</v>
      </c>
      <c r="AG486" s="112">
        <v>19.522500000000001</v>
      </c>
      <c r="AI486" s="7" t="str">
        <f>VLOOKUP($AC486,Mapping!$E$11:$I$96,3,0)</f>
        <v>Connections</v>
      </c>
      <c r="AJ486" s="7" t="str">
        <f>VLOOKUP($AE486,Mapping!$E$140:$K$2771,5,0)</f>
        <v>Contracts</v>
      </c>
      <c r="AK486" s="7" t="str">
        <f>VLOOKUP($AE486,Mapping!$E$140:$K$2771,7,0)</f>
        <v>ENDirect</v>
      </c>
      <c r="AL486" s="7" t="str">
        <f>IFERROR(HLOOKUP(AJ486,'Calc|Weightings'!$K$5:$M$5,1,0),"Excl")</f>
        <v>Contracts</v>
      </c>
      <c r="AM486" s="7" t="str">
        <f>VLOOKUP(AC486,Mapping!$E$11:$I$96,5,0)</f>
        <v>SCS</v>
      </c>
      <c r="AO486" s="134">
        <v>116</v>
      </c>
      <c r="AP486" s="135" t="s">
        <v>2130</v>
      </c>
      <c r="AQ486" s="135">
        <v>613350</v>
      </c>
      <c r="AR486" s="135" t="s">
        <v>2096</v>
      </c>
      <c r="AS486" s="136">
        <v>4.8047399999999998</v>
      </c>
      <c r="AU486" s="7" t="str">
        <f>VLOOKUP($AO486,Mapping!$E$11:$I$96,3,0)</f>
        <v>Connections</v>
      </c>
      <c r="AV486" s="7" t="str">
        <f>VLOOKUP($AQ486,Mapping!$E$140:$K$2771,5,0)</f>
        <v>Labour</v>
      </c>
      <c r="AW486" s="7" t="str">
        <f>VLOOKUP($AQ486,Mapping!$E$140:$K$2771,7,0)</f>
        <v>ENDirect</v>
      </c>
      <c r="AX486" s="7" t="str">
        <f>IFERROR(HLOOKUP(AV486,'Calc|Weightings'!$K$5:$M$5,1,0),"Excl")</f>
        <v>Labour</v>
      </c>
      <c r="AY486" s="7" t="str">
        <f>VLOOKUP(AO486,Mapping!$E$11:$I$96,5,0)</f>
        <v>SCS</v>
      </c>
    </row>
    <row r="487" spans="1:51" x14ac:dyDescent="0.2">
      <c r="A487" s="7"/>
      <c r="B487" s="7"/>
      <c r="C487" s="7"/>
      <c r="D487" s="7"/>
      <c r="E487" s="36">
        <v>115</v>
      </c>
      <c r="F487" s="36" t="s">
        <v>2129</v>
      </c>
      <c r="G487" s="36">
        <v>638000</v>
      </c>
      <c r="H487" s="36" t="s">
        <v>1147</v>
      </c>
      <c r="I487" s="37">
        <v>54.932380000000002</v>
      </c>
      <c r="J487" s="7"/>
      <c r="K487" s="7" t="s">
        <v>2299</v>
      </c>
      <c r="L487" s="7" t="str">
        <f>VLOOKUP($G487,Mapping!$E$140:$K$2771,5,0)</f>
        <v>CHEDS AMI BAU MG</v>
      </c>
      <c r="M487" s="7" t="str">
        <f>VLOOKUP($G487,Mapping!$E$140:$K$2771,7,0)</f>
        <v>ENDirect</v>
      </c>
      <c r="N487" s="7" t="str">
        <f>IFERROR(HLOOKUP(L487,'Calc|Weightings'!$K$5:$M$5,1,0),"Excl")</f>
        <v>Excl</v>
      </c>
      <c r="O487" s="7" t="s">
        <v>28</v>
      </c>
      <c r="Q487" s="33">
        <v>116</v>
      </c>
      <c r="R487" s="33" t="s">
        <v>2130</v>
      </c>
      <c r="S487" s="33">
        <v>613241</v>
      </c>
      <c r="T487" s="33" t="s">
        <v>2083</v>
      </c>
      <c r="U487" s="34">
        <v>24.048030000000001</v>
      </c>
      <c r="V487" s="7"/>
      <c r="W487" s="7" t="str">
        <f>VLOOKUP($Q487,Mapping!$E$11:$I$96,3,0)</f>
        <v>Connections</v>
      </c>
      <c r="X487" s="7" t="str">
        <f>VLOOKUP($S487,Mapping!$E$140:$K$2771,5,0)</f>
        <v>Labour</v>
      </c>
      <c r="Y487" s="7" t="str">
        <f>VLOOKUP($S487,Mapping!$E$140:$K$2771,7,0)</f>
        <v>ENDirect</v>
      </c>
      <c r="Z487" s="7" t="str">
        <f>IFERROR(HLOOKUP(X487,'Calc|Weightings'!$K$5:$M$5,1,0),"Excl")</f>
        <v>Labour</v>
      </c>
      <c r="AA487" s="7" t="str">
        <f>VLOOKUP(Q487,Mapping!$E$11:$I$96,5,0)</f>
        <v>SCS</v>
      </c>
      <c r="AC487" s="111">
        <v>116</v>
      </c>
      <c r="AD487" s="111" t="s">
        <v>2130</v>
      </c>
      <c r="AE487" s="111">
        <v>532200</v>
      </c>
      <c r="AF487" s="111" t="s">
        <v>291</v>
      </c>
      <c r="AG487" s="112">
        <v>14.9513</v>
      </c>
      <c r="AI487" s="7" t="str">
        <f>VLOOKUP($AC487,Mapping!$E$11:$I$96,3,0)</f>
        <v>Connections</v>
      </c>
      <c r="AJ487" s="7" t="str">
        <f>VLOOKUP($AE487,Mapping!$E$140:$K$2771,5,0)</f>
        <v>Contracts</v>
      </c>
      <c r="AK487" s="7" t="str">
        <f>VLOOKUP($AE487,Mapping!$E$140:$K$2771,7,0)</f>
        <v>ENDirect</v>
      </c>
      <c r="AL487" s="7" t="str">
        <f>IFERROR(HLOOKUP(AJ487,'Calc|Weightings'!$K$5:$M$5,1,0),"Excl")</f>
        <v>Contracts</v>
      </c>
      <c r="AM487" s="7" t="str">
        <f>VLOOKUP(AC487,Mapping!$E$11:$I$96,5,0)</f>
        <v>SCS</v>
      </c>
      <c r="AO487" s="134">
        <v>116</v>
      </c>
      <c r="AP487" s="135" t="s">
        <v>2130</v>
      </c>
      <c r="AQ487" s="135">
        <v>613360</v>
      </c>
      <c r="AR487" s="135" t="s">
        <v>2097</v>
      </c>
      <c r="AS487" s="136">
        <v>221.58183</v>
      </c>
      <c r="AU487" s="7" t="str">
        <f>VLOOKUP($AO487,Mapping!$E$11:$I$96,3,0)</f>
        <v>Connections</v>
      </c>
      <c r="AV487" s="7" t="str">
        <f>VLOOKUP($AQ487,Mapping!$E$140:$K$2771,5,0)</f>
        <v>Labour</v>
      </c>
      <c r="AW487" s="7" t="str">
        <f>VLOOKUP($AQ487,Mapping!$E$140:$K$2771,7,0)</f>
        <v>ENDirect</v>
      </c>
      <c r="AX487" s="7" t="str">
        <f>IFERROR(HLOOKUP(AV487,'Calc|Weightings'!$K$5:$M$5,1,0),"Excl")</f>
        <v>Labour</v>
      </c>
      <c r="AY487" s="7" t="str">
        <f>VLOOKUP(AO487,Mapping!$E$11:$I$96,5,0)</f>
        <v>SCS</v>
      </c>
    </row>
    <row r="488" spans="1:51" x14ac:dyDescent="0.2">
      <c r="A488" s="7"/>
      <c r="B488" s="7"/>
      <c r="C488" s="7"/>
      <c r="D488" s="7"/>
      <c r="E488" s="36">
        <v>115</v>
      </c>
      <c r="F488" s="36" t="s">
        <v>2129</v>
      </c>
      <c r="G488" s="36">
        <v>639050</v>
      </c>
      <c r="H488" s="36" t="s">
        <v>2113</v>
      </c>
      <c r="I488" s="37">
        <v>12.6876</v>
      </c>
      <c r="J488" s="7"/>
      <c r="K488" s="7" t="s">
        <v>2299</v>
      </c>
      <c r="L488" s="7" t="str">
        <f>VLOOKUP($G488,Mapping!$E$140:$K$2771,5,0)</f>
        <v>PNS Fleet &amp; Property OH</v>
      </c>
      <c r="M488" s="7" t="str">
        <f>VLOOKUP($G488,Mapping!$E$140:$K$2771,7,0)</f>
        <v>OH</v>
      </c>
      <c r="N488" s="7" t="str">
        <f>IFERROR(HLOOKUP(L488,'Calc|Weightings'!$K$5:$M$5,1,0),"Excl")</f>
        <v>Excl</v>
      </c>
      <c r="O488" s="7" t="s">
        <v>28</v>
      </c>
      <c r="Q488" s="33">
        <v>116</v>
      </c>
      <c r="R488" s="33" t="s">
        <v>2130</v>
      </c>
      <c r="S488" s="33">
        <v>613250</v>
      </c>
      <c r="T488" s="33" t="s">
        <v>2086</v>
      </c>
      <c r="U488" s="34">
        <v>382.01949000000002</v>
      </c>
      <c r="V488" s="7"/>
      <c r="W488" s="7" t="str">
        <f>VLOOKUP($Q488,Mapping!$E$11:$I$96,3,0)</f>
        <v>Connections</v>
      </c>
      <c r="X488" s="7" t="str">
        <f>VLOOKUP($S488,Mapping!$E$140:$K$2771,5,0)</f>
        <v>Labour</v>
      </c>
      <c r="Y488" s="7" t="str">
        <f>VLOOKUP($S488,Mapping!$E$140:$K$2771,7,0)</f>
        <v>ENDirect</v>
      </c>
      <c r="Z488" s="7" t="str">
        <f>IFERROR(HLOOKUP(X488,'Calc|Weightings'!$K$5:$M$5,1,0),"Excl")</f>
        <v>Labour</v>
      </c>
      <c r="AA488" s="7" t="str">
        <f>VLOOKUP(Q488,Mapping!$E$11:$I$96,5,0)</f>
        <v>SCS</v>
      </c>
      <c r="AC488" s="111">
        <v>116</v>
      </c>
      <c r="AD488" s="111" t="s">
        <v>2130</v>
      </c>
      <c r="AE488" s="111">
        <v>545150</v>
      </c>
      <c r="AF488" s="111" t="s">
        <v>345</v>
      </c>
      <c r="AG488" s="112">
        <v>0.91290000000000004</v>
      </c>
      <c r="AI488" s="7" t="str">
        <f>VLOOKUP($AC488,Mapping!$E$11:$I$96,3,0)</f>
        <v>Connections</v>
      </c>
      <c r="AJ488" s="7" t="str">
        <f>VLOOKUP($AE488,Mapping!$E$140:$K$2771,5,0)</f>
        <v>Contracts</v>
      </c>
      <c r="AK488" s="7" t="str">
        <f>VLOOKUP($AE488,Mapping!$E$140:$K$2771,7,0)</f>
        <v>ENDirect</v>
      </c>
      <c r="AL488" s="7" t="str">
        <f>IFERROR(HLOOKUP(AJ488,'Calc|Weightings'!$K$5:$M$5,1,0),"Excl")</f>
        <v>Contracts</v>
      </c>
      <c r="AM488" s="7" t="str">
        <f>VLOOKUP(AC488,Mapping!$E$11:$I$96,5,0)</f>
        <v>SCS</v>
      </c>
      <c r="AO488" s="134">
        <v>116</v>
      </c>
      <c r="AP488" s="135" t="s">
        <v>2130</v>
      </c>
      <c r="AQ488" s="135">
        <v>613370</v>
      </c>
      <c r="AR488" s="135" t="s">
        <v>1402</v>
      </c>
      <c r="AS488" s="136">
        <v>42.380969999999998</v>
      </c>
      <c r="AU488" s="7" t="str">
        <f>VLOOKUP($AO488,Mapping!$E$11:$I$96,3,0)</f>
        <v>Connections</v>
      </c>
      <c r="AV488" s="7" t="str">
        <f>VLOOKUP($AQ488,Mapping!$E$140:$K$2771,5,0)</f>
        <v>Labour</v>
      </c>
      <c r="AW488" s="7" t="str">
        <f>VLOOKUP($AQ488,Mapping!$E$140:$K$2771,7,0)</f>
        <v>ENDirect</v>
      </c>
      <c r="AX488" s="7" t="str">
        <f>IFERROR(HLOOKUP(AV488,'Calc|Weightings'!$K$5:$M$5,1,0),"Excl")</f>
        <v>Labour</v>
      </c>
      <c r="AY488" s="7" t="str">
        <f>VLOOKUP(AO488,Mapping!$E$11:$I$96,5,0)</f>
        <v>SCS</v>
      </c>
    </row>
    <row r="489" spans="1:51" x14ac:dyDescent="0.2">
      <c r="A489" s="7"/>
      <c r="B489" s="7"/>
      <c r="C489" s="7"/>
      <c r="D489" s="7"/>
      <c r="E489" s="36">
        <v>116</v>
      </c>
      <c r="F489" s="36" t="s">
        <v>2130</v>
      </c>
      <c r="G489" s="36">
        <v>500200</v>
      </c>
      <c r="H489" s="36" t="s">
        <v>136</v>
      </c>
      <c r="I489" s="37">
        <v>3.4000000000000002E-2</v>
      </c>
      <c r="J489" s="7"/>
      <c r="K489" s="7" t="str">
        <f>VLOOKUP($E489,Mapping!$E$11:$I$96,3,0)</f>
        <v>Connections</v>
      </c>
      <c r="L489" s="7" t="str">
        <f>VLOOKUP($G489,Mapping!$E$140:$K$2771,5,0)</f>
        <v>Labour</v>
      </c>
      <c r="M489" s="7" t="str">
        <f>VLOOKUP($G489,Mapping!$E$140:$K$2771,7,0)</f>
        <v>ENDirect</v>
      </c>
      <c r="N489" s="7" t="str">
        <f>IFERROR(HLOOKUP(L489,'Calc|Weightings'!$K$5:$M$5,1,0),"Excl")</f>
        <v>Labour</v>
      </c>
      <c r="O489" s="7" t="str">
        <f>VLOOKUP(E489,Mapping!$E$11:$I$96,5,0)</f>
        <v>SCS</v>
      </c>
      <c r="Q489" s="33">
        <v>116</v>
      </c>
      <c r="R489" s="33" t="s">
        <v>2130</v>
      </c>
      <c r="S489" s="33">
        <v>613251</v>
      </c>
      <c r="T489" s="33" t="s">
        <v>2087</v>
      </c>
      <c r="U489" s="34">
        <v>112.15801999999999</v>
      </c>
      <c r="V489" s="7"/>
      <c r="W489" s="7" t="str">
        <f>VLOOKUP($Q489,Mapping!$E$11:$I$96,3,0)</f>
        <v>Connections</v>
      </c>
      <c r="X489" s="7" t="str">
        <f>VLOOKUP($S489,Mapping!$E$140:$K$2771,5,0)</f>
        <v>Labour</v>
      </c>
      <c r="Y489" s="7" t="str">
        <f>VLOOKUP($S489,Mapping!$E$140:$K$2771,7,0)</f>
        <v>ENDirect</v>
      </c>
      <c r="Z489" s="7" t="str">
        <f>IFERROR(HLOOKUP(X489,'Calc|Weightings'!$K$5:$M$5,1,0),"Excl")</f>
        <v>Labour</v>
      </c>
      <c r="AA489" s="7" t="str">
        <f>VLOOKUP(Q489,Mapping!$E$11:$I$96,5,0)</f>
        <v>SCS</v>
      </c>
      <c r="AC489" s="111">
        <v>116</v>
      </c>
      <c r="AD489" s="111" t="s">
        <v>2130</v>
      </c>
      <c r="AE489" s="111">
        <v>582301</v>
      </c>
      <c r="AF489" s="111" t="s">
        <v>382</v>
      </c>
      <c r="AG489" s="112">
        <v>0.75</v>
      </c>
      <c r="AI489" s="7" t="str">
        <f>VLOOKUP($AC489,Mapping!$E$11:$I$96,3,0)</f>
        <v>Connections</v>
      </c>
      <c r="AJ489" s="7" t="str">
        <f>VLOOKUP($AE489,Mapping!$E$140:$K$2771,5,0)</f>
        <v>Contracts</v>
      </c>
      <c r="AK489" s="7" t="str">
        <f>VLOOKUP($AE489,Mapping!$E$140:$K$2771,7,0)</f>
        <v>ENDirect</v>
      </c>
      <c r="AL489" s="7" t="str">
        <f>IFERROR(HLOOKUP(AJ489,'Calc|Weightings'!$K$5:$M$5,1,0),"Excl")</f>
        <v>Contracts</v>
      </c>
      <c r="AM489" s="7" t="str">
        <f>VLOOKUP(AC489,Mapping!$E$11:$I$96,5,0)</f>
        <v>SCS</v>
      </c>
      <c r="AO489" s="134">
        <v>116</v>
      </c>
      <c r="AP489" s="135" t="s">
        <v>2130</v>
      </c>
      <c r="AQ489" s="135">
        <v>613371</v>
      </c>
      <c r="AR489" s="135" t="s">
        <v>1403</v>
      </c>
      <c r="AS489" s="136">
        <v>3.1415799999999998</v>
      </c>
      <c r="AU489" s="7" t="str">
        <f>VLOOKUP($AO489,Mapping!$E$11:$I$96,3,0)</f>
        <v>Connections</v>
      </c>
      <c r="AV489" s="7" t="str">
        <f>VLOOKUP($AQ489,Mapping!$E$140:$K$2771,5,0)</f>
        <v>Labour</v>
      </c>
      <c r="AW489" s="7" t="str">
        <f>VLOOKUP($AQ489,Mapping!$E$140:$K$2771,7,0)</f>
        <v>ENDirect</v>
      </c>
      <c r="AX489" s="7" t="str">
        <f>IFERROR(HLOOKUP(AV489,'Calc|Weightings'!$K$5:$M$5,1,0),"Excl")</f>
        <v>Labour</v>
      </c>
      <c r="AY489" s="7" t="str">
        <f>VLOOKUP(AO489,Mapping!$E$11:$I$96,5,0)</f>
        <v>SCS</v>
      </c>
    </row>
    <row r="490" spans="1:51" x14ac:dyDescent="0.2">
      <c r="A490" s="7"/>
      <c r="B490" s="7"/>
      <c r="C490" s="7"/>
      <c r="D490" s="7"/>
      <c r="E490" s="36">
        <v>116</v>
      </c>
      <c r="F490" s="36" t="s">
        <v>2130</v>
      </c>
      <c r="G490" s="36">
        <v>503281</v>
      </c>
      <c r="H490" s="36" t="s">
        <v>2198</v>
      </c>
      <c r="I490" s="37">
        <v>4.4940000000000001E-2</v>
      </c>
      <c r="J490" s="7"/>
      <c r="K490" s="7" t="str">
        <f>VLOOKUP($E490,Mapping!$E$11:$I$96,3,0)</f>
        <v>Connections</v>
      </c>
      <c r="L490" s="7" t="str">
        <f>VLOOKUP($G490,Mapping!$E$140:$K$2771,5,0)</f>
        <v>Contracts</v>
      </c>
      <c r="M490" s="7" t="str">
        <f>VLOOKUP($G490,Mapping!$E$140:$K$2771,7,0)</f>
        <v>ENDirect</v>
      </c>
      <c r="N490" s="7" t="str">
        <f>IFERROR(HLOOKUP(L490,'Calc|Weightings'!$K$5:$M$5,1,0),"Excl")</f>
        <v>Contracts</v>
      </c>
      <c r="O490" s="7" t="str">
        <f>VLOOKUP(E490,Mapping!$E$11:$I$96,5,0)</f>
        <v>SCS</v>
      </c>
      <c r="Q490" s="33">
        <v>116</v>
      </c>
      <c r="R490" s="33" t="s">
        <v>2130</v>
      </c>
      <c r="S490" s="33">
        <v>613254</v>
      </c>
      <c r="T490" s="33" t="s">
        <v>2088</v>
      </c>
      <c r="U490" s="34">
        <v>1.1870099999999999</v>
      </c>
      <c r="V490" s="7"/>
      <c r="W490" s="7" t="str">
        <f>VLOOKUP($Q490,Mapping!$E$11:$I$96,3,0)</f>
        <v>Connections</v>
      </c>
      <c r="X490" s="7" t="str">
        <f>VLOOKUP($S490,Mapping!$E$140:$K$2771,5,0)</f>
        <v>Labour</v>
      </c>
      <c r="Y490" s="7" t="str">
        <f>VLOOKUP($S490,Mapping!$E$140:$K$2771,7,0)</f>
        <v>ENDirect</v>
      </c>
      <c r="Z490" s="7" t="str">
        <f>IFERROR(HLOOKUP(X490,'Calc|Weightings'!$K$5:$M$5,1,0),"Excl")</f>
        <v>Labour</v>
      </c>
      <c r="AA490" s="7" t="str">
        <f>VLOOKUP(Q490,Mapping!$E$11:$I$96,5,0)</f>
        <v>SCS</v>
      </c>
      <c r="AC490" s="111">
        <v>116</v>
      </c>
      <c r="AD490" s="111" t="s">
        <v>2130</v>
      </c>
      <c r="AE490" s="111">
        <v>591200</v>
      </c>
      <c r="AF490" s="111" t="s">
        <v>398</v>
      </c>
      <c r="AG490" s="112">
        <v>0.4</v>
      </c>
      <c r="AI490" s="7" t="str">
        <f>VLOOKUP($AC490,Mapping!$E$11:$I$96,3,0)</f>
        <v>Connections</v>
      </c>
      <c r="AJ490" s="7" t="str">
        <f>VLOOKUP($AE490,Mapping!$E$140:$K$2771,5,0)</f>
        <v>Contracts</v>
      </c>
      <c r="AK490" s="7" t="str">
        <f>VLOOKUP($AE490,Mapping!$E$140:$K$2771,7,0)</f>
        <v>ENDirect</v>
      </c>
      <c r="AL490" s="7" t="str">
        <f>IFERROR(HLOOKUP(AJ490,'Calc|Weightings'!$K$5:$M$5,1,0),"Excl")</f>
        <v>Contracts</v>
      </c>
      <c r="AM490" s="7" t="str">
        <f>VLOOKUP(AC490,Mapping!$E$11:$I$96,5,0)</f>
        <v>SCS</v>
      </c>
      <c r="AO490" s="134">
        <v>116</v>
      </c>
      <c r="AP490" s="135" t="s">
        <v>2130</v>
      </c>
      <c r="AQ490" s="135">
        <v>613400</v>
      </c>
      <c r="AR490" s="135" t="s">
        <v>2099</v>
      </c>
      <c r="AS490" s="136">
        <v>99.022390000000001</v>
      </c>
      <c r="AU490" s="7" t="str">
        <f>VLOOKUP($AO490,Mapping!$E$11:$I$96,3,0)</f>
        <v>Connections</v>
      </c>
      <c r="AV490" s="7" t="str">
        <f>VLOOKUP($AQ490,Mapping!$E$140:$K$2771,5,0)</f>
        <v>Labour</v>
      </c>
      <c r="AW490" s="7" t="str">
        <f>VLOOKUP($AQ490,Mapping!$E$140:$K$2771,7,0)</f>
        <v>ENDirect</v>
      </c>
      <c r="AX490" s="7" t="str">
        <f>IFERROR(HLOOKUP(AV490,'Calc|Weightings'!$K$5:$M$5,1,0),"Excl")</f>
        <v>Labour</v>
      </c>
      <c r="AY490" s="7" t="str">
        <f>VLOOKUP(AO490,Mapping!$E$11:$I$96,5,0)</f>
        <v>SCS</v>
      </c>
    </row>
    <row r="491" spans="1:51" x14ac:dyDescent="0.2">
      <c r="A491" s="7"/>
      <c r="B491" s="7"/>
      <c r="C491" s="7"/>
      <c r="D491" s="7"/>
      <c r="E491" s="36">
        <v>116</v>
      </c>
      <c r="F491" s="36" t="s">
        <v>2130</v>
      </c>
      <c r="G491" s="36">
        <v>520100</v>
      </c>
      <c r="H491" s="36" t="s">
        <v>2072</v>
      </c>
      <c r="I491" s="37">
        <v>1063.16788</v>
      </c>
      <c r="J491" s="7"/>
      <c r="K491" s="7" t="str">
        <f>VLOOKUP($E491,Mapping!$E$11:$I$96,3,0)</f>
        <v>Connections</v>
      </c>
      <c r="L491" s="7" t="str">
        <f>VLOOKUP($G491,Mapping!$E$140:$K$2771,5,0)</f>
        <v>Materials</v>
      </c>
      <c r="M491" s="7" t="str">
        <f>VLOOKUP($G491,Mapping!$E$140:$K$2771,7,0)</f>
        <v>ENDirect</v>
      </c>
      <c r="N491" s="7" t="str">
        <f>IFERROR(HLOOKUP(L491,'Calc|Weightings'!$K$5:$M$5,1,0),"Excl")</f>
        <v>Materials</v>
      </c>
      <c r="O491" s="7" t="str">
        <f>VLOOKUP(E491,Mapping!$E$11:$I$96,5,0)</f>
        <v>SCS</v>
      </c>
      <c r="Q491" s="33">
        <v>116</v>
      </c>
      <c r="R491" s="33" t="s">
        <v>2130</v>
      </c>
      <c r="S491" s="33">
        <v>613255</v>
      </c>
      <c r="T491" s="33" t="s">
        <v>2089</v>
      </c>
      <c r="U491" s="34">
        <v>0.20022999999999999</v>
      </c>
      <c r="V491" s="7"/>
      <c r="W491" s="7" t="str">
        <f>VLOOKUP($Q491,Mapping!$E$11:$I$96,3,0)</f>
        <v>Connections</v>
      </c>
      <c r="X491" s="7" t="str">
        <f>VLOOKUP($S491,Mapping!$E$140:$K$2771,5,0)</f>
        <v>Labour</v>
      </c>
      <c r="Y491" s="7" t="str">
        <f>VLOOKUP($S491,Mapping!$E$140:$K$2771,7,0)</f>
        <v>ENDirect</v>
      </c>
      <c r="Z491" s="7" t="str">
        <f>IFERROR(HLOOKUP(X491,'Calc|Weightings'!$K$5:$M$5,1,0),"Excl")</f>
        <v>Labour</v>
      </c>
      <c r="AA491" s="7" t="str">
        <f>VLOOKUP(Q491,Mapping!$E$11:$I$96,5,0)</f>
        <v>SCS</v>
      </c>
      <c r="AC491" s="111">
        <v>116</v>
      </c>
      <c r="AD491" s="111" t="s">
        <v>2130</v>
      </c>
      <c r="AE491" s="111">
        <v>591997</v>
      </c>
      <c r="AF491" s="111" t="s">
        <v>2194</v>
      </c>
      <c r="AG491" s="112">
        <v>-135.70523</v>
      </c>
      <c r="AI491" s="7" t="str">
        <f>VLOOKUP($AC491,Mapping!$E$11:$I$96,3,0)</f>
        <v>Connections</v>
      </c>
      <c r="AJ491" s="7" t="str">
        <f>VLOOKUP($AE491,Mapping!$E$140:$K$2771,5,0)</f>
        <v>Contracts</v>
      </c>
      <c r="AK491" s="7" t="str">
        <f>VLOOKUP($AE491,Mapping!$E$140:$K$2771,7,0)</f>
        <v>ENDirect</v>
      </c>
      <c r="AL491" s="7" t="str">
        <f>IFERROR(HLOOKUP(AJ491,'Calc|Weightings'!$K$5:$M$5,1,0),"Excl")</f>
        <v>Contracts</v>
      </c>
      <c r="AM491" s="7" t="str">
        <f>VLOOKUP(AC491,Mapping!$E$11:$I$96,5,0)</f>
        <v>SCS</v>
      </c>
      <c r="AO491" s="134">
        <v>116</v>
      </c>
      <c r="AP491" s="135" t="s">
        <v>2130</v>
      </c>
      <c r="AQ491" s="135">
        <v>613401</v>
      </c>
      <c r="AR491" s="135" t="s">
        <v>2117</v>
      </c>
      <c r="AS491" s="136">
        <v>44.004980000000003</v>
      </c>
      <c r="AU491" s="7" t="str">
        <f>VLOOKUP($AO491,Mapping!$E$11:$I$96,3,0)</f>
        <v>Connections</v>
      </c>
      <c r="AV491" s="7" t="str">
        <f>VLOOKUP($AQ491,Mapping!$E$140:$K$2771,5,0)</f>
        <v>Labour</v>
      </c>
      <c r="AW491" s="7" t="str">
        <f>VLOOKUP($AQ491,Mapping!$E$140:$K$2771,7,0)</f>
        <v>ENDirect</v>
      </c>
      <c r="AX491" s="7" t="str">
        <f>IFERROR(HLOOKUP(AV491,'Calc|Weightings'!$K$5:$M$5,1,0),"Excl")</f>
        <v>Labour</v>
      </c>
      <c r="AY491" s="7" t="str">
        <f>VLOOKUP(AO491,Mapping!$E$11:$I$96,5,0)</f>
        <v>SCS</v>
      </c>
    </row>
    <row r="492" spans="1:51" x14ac:dyDescent="0.2">
      <c r="A492" s="7"/>
      <c r="B492" s="7"/>
      <c r="C492" s="7"/>
      <c r="D492" s="7"/>
      <c r="E492" s="36">
        <v>116</v>
      </c>
      <c r="F492" s="36" t="s">
        <v>2130</v>
      </c>
      <c r="G492" s="36">
        <v>520200</v>
      </c>
      <c r="H492" s="36" t="s">
        <v>2073</v>
      </c>
      <c r="I492" s="37">
        <v>7.0124000000000004</v>
      </c>
      <c r="J492" s="7"/>
      <c r="K492" s="7" t="str">
        <f>VLOOKUP($E492,Mapping!$E$11:$I$96,3,0)</f>
        <v>Connections</v>
      </c>
      <c r="L492" s="7" t="str">
        <f>VLOOKUP($G492,Mapping!$E$140:$K$2771,5,0)</f>
        <v>Materials</v>
      </c>
      <c r="M492" s="7" t="str">
        <f>VLOOKUP($G492,Mapping!$E$140:$K$2771,7,0)</f>
        <v>ENDirect</v>
      </c>
      <c r="N492" s="7" t="str">
        <f>IFERROR(HLOOKUP(L492,'Calc|Weightings'!$K$5:$M$5,1,0),"Excl")</f>
        <v>Materials</v>
      </c>
      <c r="O492" s="7" t="str">
        <f>VLOOKUP(E492,Mapping!$E$11:$I$96,5,0)</f>
        <v>SCS</v>
      </c>
      <c r="Q492" s="33">
        <v>116</v>
      </c>
      <c r="R492" s="33" t="s">
        <v>2130</v>
      </c>
      <c r="S492" s="33">
        <v>613260</v>
      </c>
      <c r="T492" s="33" t="s">
        <v>2090</v>
      </c>
      <c r="U492" s="34">
        <v>1.4100900000000001</v>
      </c>
      <c r="V492" s="7"/>
      <c r="W492" s="7" t="str">
        <f>VLOOKUP($Q492,Mapping!$E$11:$I$96,3,0)</f>
        <v>Connections</v>
      </c>
      <c r="X492" s="7" t="str">
        <f>VLOOKUP($S492,Mapping!$E$140:$K$2771,5,0)</f>
        <v>Labour</v>
      </c>
      <c r="Y492" s="7" t="str">
        <f>VLOOKUP($S492,Mapping!$E$140:$K$2771,7,0)</f>
        <v>ENDirect</v>
      </c>
      <c r="Z492" s="7" t="str">
        <f>IFERROR(HLOOKUP(X492,'Calc|Weightings'!$K$5:$M$5,1,0),"Excl")</f>
        <v>Labour</v>
      </c>
      <c r="AA492" s="7" t="str">
        <f>VLOOKUP(Q492,Mapping!$E$11:$I$96,5,0)</f>
        <v>SCS</v>
      </c>
      <c r="AC492" s="111">
        <v>116</v>
      </c>
      <c r="AD492" s="111" t="s">
        <v>2130</v>
      </c>
      <c r="AE492" s="111">
        <v>591998</v>
      </c>
      <c r="AF492" s="111" t="s">
        <v>2077</v>
      </c>
      <c r="AG492" s="112">
        <v>-446.20481999999998</v>
      </c>
      <c r="AI492" s="7" t="str">
        <f>VLOOKUP($AC492,Mapping!$E$11:$I$96,3,0)</f>
        <v>Connections</v>
      </c>
      <c r="AJ492" s="7" t="str">
        <f>VLOOKUP($AE492,Mapping!$E$140:$K$2771,5,0)</f>
        <v>Contracts</v>
      </c>
      <c r="AK492" s="7" t="str">
        <f>VLOOKUP($AE492,Mapping!$E$140:$K$2771,7,0)</f>
        <v>ENDirect</v>
      </c>
      <c r="AL492" s="7" t="str">
        <f>IFERROR(HLOOKUP(AJ492,'Calc|Weightings'!$K$5:$M$5,1,0),"Excl")</f>
        <v>Contracts</v>
      </c>
      <c r="AM492" s="7" t="str">
        <f>VLOOKUP(AC492,Mapping!$E$11:$I$96,5,0)</f>
        <v>SCS</v>
      </c>
      <c r="AO492" s="134">
        <v>116</v>
      </c>
      <c r="AP492" s="135" t="s">
        <v>2130</v>
      </c>
      <c r="AQ492" s="135">
        <v>613410</v>
      </c>
      <c r="AR492" s="135" t="s">
        <v>2100</v>
      </c>
      <c r="AS492" s="136">
        <v>193.18611000000001</v>
      </c>
      <c r="AU492" s="7" t="str">
        <f>VLOOKUP($AO492,Mapping!$E$11:$I$96,3,0)</f>
        <v>Connections</v>
      </c>
      <c r="AV492" s="7" t="str">
        <f>VLOOKUP($AQ492,Mapping!$E$140:$K$2771,5,0)</f>
        <v>Labour</v>
      </c>
      <c r="AW492" s="7" t="str">
        <f>VLOOKUP($AQ492,Mapping!$E$140:$K$2771,7,0)</f>
        <v>ENDirect</v>
      </c>
      <c r="AX492" s="7" t="str">
        <f>IFERROR(HLOOKUP(AV492,'Calc|Weightings'!$K$5:$M$5,1,0),"Excl")</f>
        <v>Labour</v>
      </c>
      <c r="AY492" s="7" t="str">
        <f>VLOOKUP(AO492,Mapping!$E$11:$I$96,5,0)</f>
        <v>SCS</v>
      </c>
    </row>
    <row r="493" spans="1:51" x14ac:dyDescent="0.2">
      <c r="A493" s="7"/>
      <c r="B493" s="7"/>
      <c r="C493" s="7"/>
      <c r="D493" s="7"/>
      <c r="E493" s="36">
        <v>116</v>
      </c>
      <c r="F493" s="36" t="s">
        <v>2130</v>
      </c>
      <c r="G493" s="36">
        <v>523100</v>
      </c>
      <c r="H493" s="36" t="s">
        <v>2074</v>
      </c>
      <c r="I493" s="37">
        <v>11.41616</v>
      </c>
      <c r="J493" s="7"/>
      <c r="K493" s="7" t="str">
        <f>VLOOKUP($E493,Mapping!$E$11:$I$96,3,0)</f>
        <v>Connections</v>
      </c>
      <c r="L493" s="7" t="str">
        <f>VLOOKUP($G493,Mapping!$E$140:$K$2771,5,0)</f>
        <v>Materials</v>
      </c>
      <c r="M493" s="7" t="str">
        <f>VLOOKUP($G493,Mapping!$E$140:$K$2771,7,0)</f>
        <v>ENDirect</v>
      </c>
      <c r="N493" s="7" t="str">
        <f>IFERROR(HLOOKUP(L493,'Calc|Weightings'!$K$5:$M$5,1,0),"Excl")</f>
        <v>Materials</v>
      </c>
      <c r="O493" s="7" t="str">
        <f>VLOOKUP(E493,Mapping!$E$11:$I$96,5,0)</f>
        <v>SCS</v>
      </c>
      <c r="Q493" s="33">
        <v>116</v>
      </c>
      <c r="R493" s="33" t="s">
        <v>2130</v>
      </c>
      <c r="S493" s="33">
        <v>613280</v>
      </c>
      <c r="T493" s="33" t="s">
        <v>1342</v>
      </c>
      <c r="U493" s="34">
        <v>461.60291000000001</v>
      </c>
      <c r="V493" s="7"/>
      <c r="W493" s="7" t="str">
        <f>VLOOKUP($Q493,Mapping!$E$11:$I$96,3,0)</f>
        <v>Connections</v>
      </c>
      <c r="X493" s="7" t="str">
        <f>VLOOKUP($S493,Mapping!$E$140:$K$2771,5,0)</f>
        <v>Labour</v>
      </c>
      <c r="Y493" s="7" t="str">
        <f>VLOOKUP($S493,Mapping!$E$140:$K$2771,7,0)</f>
        <v>ENDirect</v>
      </c>
      <c r="Z493" s="7" t="str">
        <f>IFERROR(HLOOKUP(X493,'Calc|Weightings'!$K$5:$M$5,1,0),"Excl")</f>
        <v>Labour</v>
      </c>
      <c r="AA493" s="7" t="str">
        <f>VLOOKUP(Q493,Mapping!$E$11:$I$96,5,0)</f>
        <v>SCS</v>
      </c>
      <c r="AC493" s="111">
        <v>116</v>
      </c>
      <c r="AD493" s="111" t="s">
        <v>2130</v>
      </c>
      <c r="AE493" s="111">
        <v>591999</v>
      </c>
      <c r="AF493" s="111" t="s">
        <v>2195</v>
      </c>
      <c r="AG493" s="112">
        <v>-623.09734000000003</v>
      </c>
      <c r="AI493" s="7" t="str">
        <f>VLOOKUP($AC493,Mapping!$E$11:$I$96,3,0)</f>
        <v>Connections</v>
      </c>
      <c r="AJ493" s="7" t="str">
        <f>VLOOKUP($AE493,Mapping!$E$140:$K$2771,5,0)</f>
        <v>Contracts</v>
      </c>
      <c r="AK493" s="7" t="str">
        <f>VLOOKUP($AE493,Mapping!$E$140:$K$2771,7,0)</f>
        <v>ENDirect</v>
      </c>
      <c r="AL493" s="7" t="str">
        <f>IFERROR(HLOOKUP(AJ493,'Calc|Weightings'!$K$5:$M$5,1,0),"Excl")</f>
        <v>Contracts</v>
      </c>
      <c r="AM493" s="7" t="str">
        <f>VLOOKUP(AC493,Mapping!$E$11:$I$96,5,0)</f>
        <v>SCS</v>
      </c>
      <c r="AO493" s="134">
        <v>116</v>
      </c>
      <c r="AP493" s="135" t="s">
        <v>2130</v>
      </c>
      <c r="AQ493" s="135">
        <v>613411</v>
      </c>
      <c r="AR493" s="135" t="s">
        <v>2101</v>
      </c>
      <c r="AS493" s="136">
        <v>61.556620000000002</v>
      </c>
      <c r="AU493" s="7" t="str">
        <f>VLOOKUP($AO493,Mapping!$E$11:$I$96,3,0)</f>
        <v>Connections</v>
      </c>
      <c r="AV493" s="7" t="str">
        <f>VLOOKUP($AQ493,Mapping!$E$140:$K$2771,5,0)</f>
        <v>Labour</v>
      </c>
      <c r="AW493" s="7" t="str">
        <f>VLOOKUP($AQ493,Mapping!$E$140:$K$2771,7,0)</f>
        <v>ENDirect</v>
      </c>
      <c r="AX493" s="7" t="str">
        <f>IFERROR(HLOOKUP(AV493,'Calc|Weightings'!$K$5:$M$5,1,0),"Excl")</f>
        <v>Labour</v>
      </c>
      <c r="AY493" s="7" t="str">
        <f>VLOOKUP(AO493,Mapping!$E$11:$I$96,5,0)</f>
        <v>SCS</v>
      </c>
    </row>
    <row r="494" spans="1:51" x14ac:dyDescent="0.2">
      <c r="A494" s="7"/>
      <c r="B494" s="7"/>
      <c r="C494" s="7"/>
      <c r="D494" s="7"/>
      <c r="E494" s="36">
        <v>116</v>
      </c>
      <c r="F494" s="36" t="s">
        <v>2130</v>
      </c>
      <c r="G494" s="36">
        <v>523300</v>
      </c>
      <c r="H494" s="36" t="s">
        <v>2075</v>
      </c>
      <c r="I494" s="37">
        <v>0.35641</v>
      </c>
      <c r="J494" s="7"/>
      <c r="K494" s="7" t="str">
        <f>VLOOKUP($E494,Mapping!$E$11:$I$96,3,0)</f>
        <v>Connections</v>
      </c>
      <c r="L494" s="7" t="str">
        <f>VLOOKUP($G494,Mapping!$E$140:$K$2771,5,0)</f>
        <v>Materials</v>
      </c>
      <c r="M494" s="7" t="str">
        <f>VLOOKUP($G494,Mapping!$E$140:$K$2771,7,0)</f>
        <v>ENDirect</v>
      </c>
      <c r="N494" s="7" t="str">
        <f>IFERROR(HLOOKUP(L494,'Calc|Weightings'!$K$5:$M$5,1,0),"Excl")</f>
        <v>Materials</v>
      </c>
      <c r="O494" s="7" t="str">
        <f>VLOOKUP(E494,Mapping!$E$11:$I$96,5,0)</f>
        <v>SCS</v>
      </c>
      <c r="Q494" s="33">
        <v>116</v>
      </c>
      <c r="R494" s="33" t="s">
        <v>2130</v>
      </c>
      <c r="S494" s="33">
        <v>613281</v>
      </c>
      <c r="T494" s="33" t="s">
        <v>1343</v>
      </c>
      <c r="U494" s="34">
        <v>1.7552399999999999</v>
      </c>
      <c r="V494" s="7"/>
      <c r="W494" s="7" t="str">
        <f>VLOOKUP($Q494,Mapping!$E$11:$I$96,3,0)</f>
        <v>Connections</v>
      </c>
      <c r="X494" s="7" t="str">
        <f>VLOOKUP($S494,Mapping!$E$140:$K$2771,5,0)</f>
        <v>Labour</v>
      </c>
      <c r="Y494" s="7" t="str">
        <f>VLOOKUP($S494,Mapping!$E$140:$K$2771,7,0)</f>
        <v>ENDirect</v>
      </c>
      <c r="Z494" s="7" t="str">
        <f>IFERROR(HLOOKUP(X494,'Calc|Weightings'!$K$5:$M$5,1,0),"Excl")</f>
        <v>Labour</v>
      </c>
      <c r="AA494" s="7" t="str">
        <f>VLOOKUP(Q494,Mapping!$E$11:$I$96,5,0)</f>
        <v>SCS</v>
      </c>
      <c r="AC494" s="111">
        <v>116</v>
      </c>
      <c r="AD494" s="111" t="s">
        <v>2130</v>
      </c>
      <c r="AE494" s="111">
        <v>611900</v>
      </c>
      <c r="AF494" s="111" t="s">
        <v>2079</v>
      </c>
      <c r="AG494" s="112">
        <v>46.964680000000001</v>
      </c>
      <c r="AI494" s="7" t="str">
        <f>VLOOKUP($AC494,Mapping!$E$11:$I$96,3,0)</f>
        <v>Connections</v>
      </c>
      <c r="AJ494" s="7" t="str">
        <f>VLOOKUP($AE494,Mapping!$E$140:$K$2771,5,0)</f>
        <v>Contracts</v>
      </c>
      <c r="AK494" s="7" t="str">
        <f>VLOOKUP($AE494,Mapping!$E$140:$K$2771,7,0)</f>
        <v>ENDirect</v>
      </c>
      <c r="AL494" s="7" t="str">
        <f>IFERROR(HLOOKUP(AJ494,'Calc|Weightings'!$K$5:$M$5,1,0),"Excl")</f>
        <v>Contracts</v>
      </c>
      <c r="AM494" s="7" t="str">
        <f>VLOOKUP(AC494,Mapping!$E$11:$I$96,5,0)</f>
        <v>SCS</v>
      </c>
      <c r="AO494" s="134">
        <v>116</v>
      </c>
      <c r="AP494" s="135" t="s">
        <v>2130</v>
      </c>
      <c r="AQ494" s="135">
        <v>613420</v>
      </c>
      <c r="AR494" s="135" t="s">
        <v>2393</v>
      </c>
      <c r="AS494" s="136">
        <v>4.3807600000000004</v>
      </c>
      <c r="AU494" s="7" t="str">
        <f>VLOOKUP($AO494,Mapping!$E$11:$I$96,3,0)</f>
        <v>Connections</v>
      </c>
      <c r="AV494" s="7" t="str">
        <f>VLOOKUP($AQ494,Mapping!$E$140:$K$2771,5,0)</f>
        <v>Labour</v>
      </c>
      <c r="AW494" s="7" t="str">
        <f>VLOOKUP($AQ494,Mapping!$E$140:$K$2771,7,0)</f>
        <v>ENDirect</v>
      </c>
      <c r="AX494" s="7" t="str">
        <f>IFERROR(HLOOKUP(AV494,'Calc|Weightings'!$K$5:$M$5,1,0),"Excl")</f>
        <v>Labour</v>
      </c>
      <c r="AY494" s="7" t="str">
        <f>VLOOKUP(AO494,Mapping!$E$11:$I$96,5,0)</f>
        <v>SCS</v>
      </c>
    </row>
    <row r="495" spans="1:51" x14ac:dyDescent="0.2">
      <c r="A495" s="7"/>
      <c r="B495" s="7"/>
      <c r="C495" s="7"/>
      <c r="D495" s="7"/>
      <c r="E495" s="36">
        <v>116</v>
      </c>
      <c r="F495" s="36" t="s">
        <v>2130</v>
      </c>
      <c r="G495" s="36">
        <v>531020</v>
      </c>
      <c r="H495" s="36" t="s">
        <v>219</v>
      </c>
      <c r="I495" s="37">
        <v>-6.22675</v>
      </c>
      <c r="J495" s="7"/>
      <c r="K495" s="7" t="str">
        <f>VLOOKUP($E495,Mapping!$E$11:$I$96,3,0)</f>
        <v>Connections</v>
      </c>
      <c r="L495" s="7" t="str">
        <f>VLOOKUP($G495,Mapping!$E$140:$K$2771,5,0)</f>
        <v>Labour</v>
      </c>
      <c r="M495" s="7" t="str">
        <f>VLOOKUP($G495,Mapping!$E$140:$K$2771,7,0)</f>
        <v>ENDirect</v>
      </c>
      <c r="N495" s="7" t="str">
        <f>IFERROR(HLOOKUP(L495,'Calc|Weightings'!$K$5:$M$5,1,0),"Excl")</f>
        <v>Labour</v>
      </c>
      <c r="O495" s="7" t="str">
        <f>VLOOKUP(E495,Mapping!$E$11:$I$96,5,0)</f>
        <v>SCS</v>
      </c>
      <c r="Q495" s="33">
        <v>116</v>
      </c>
      <c r="R495" s="33" t="s">
        <v>2130</v>
      </c>
      <c r="S495" s="33">
        <v>613290</v>
      </c>
      <c r="T495" s="33" t="s">
        <v>2093</v>
      </c>
      <c r="U495" s="34">
        <v>744.32505000000003</v>
      </c>
      <c r="V495" s="7"/>
      <c r="W495" s="7" t="str">
        <f>VLOOKUP($Q495,Mapping!$E$11:$I$96,3,0)</f>
        <v>Connections</v>
      </c>
      <c r="X495" s="7" t="str">
        <f>VLOOKUP($S495,Mapping!$E$140:$K$2771,5,0)</f>
        <v>Labour</v>
      </c>
      <c r="Y495" s="7" t="str">
        <f>VLOOKUP($S495,Mapping!$E$140:$K$2771,7,0)</f>
        <v>ENDirect</v>
      </c>
      <c r="Z495" s="7" t="str">
        <f>IFERROR(HLOOKUP(X495,'Calc|Weightings'!$K$5:$M$5,1,0),"Excl")</f>
        <v>Labour</v>
      </c>
      <c r="AA495" s="7" t="str">
        <f>VLOOKUP(Q495,Mapping!$E$11:$I$96,5,0)</f>
        <v>SCS</v>
      </c>
      <c r="AC495" s="111">
        <v>116</v>
      </c>
      <c r="AD495" s="111" t="s">
        <v>2130</v>
      </c>
      <c r="AE495" s="111">
        <v>611901</v>
      </c>
      <c r="AF495" s="111" t="s">
        <v>2080</v>
      </c>
      <c r="AG495" s="112">
        <v>43.721640000000001</v>
      </c>
      <c r="AI495" s="7" t="str">
        <f>VLOOKUP($AC495,Mapping!$E$11:$I$96,3,0)</f>
        <v>Connections</v>
      </c>
      <c r="AJ495" s="7" t="str">
        <f>VLOOKUP($AE495,Mapping!$E$140:$K$2771,5,0)</f>
        <v>Contracts</v>
      </c>
      <c r="AK495" s="7" t="str">
        <f>VLOOKUP($AE495,Mapping!$E$140:$K$2771,7,0)</f>
        <v>ENDirect</v>
      </c>
      <c r="AL495" s="7" t="str">
        <f>IFERROR(HLOOKUP(AJ495,'Calc|Weightings'!$K$5:$M$5,1,0),"Excl")</f>
        <v>Contracts</v>
      </c>
      <c r="AM495" s="7" t="str">
        <f>VLOOKUP(AC495,Mapping!$E$11:$I$96,5,0)</f>
        <v>SCS</v>
      </c>
      <c r="AO495" s="134">
        <v>116</v>
      </c>
      <c r="AP495" s="135" t="s">
        <v>2130</v>
      </c>
      <c r="AQ495" s="135">
        <v>613421</v>
      </c>
      <c r="AR495" s="135" t="s">
        <v>2419</v>
      </c>
      <c r="AS495" s="136">
        <v>0.18299000000000001</v>
      </c>
      <c r="AU495" s="7" t="str">
        <f>VLOOKUP($AO495,Mapping!$E$11:$I$96,3,0)</f>
        <v>Connections</v>
      </c>
      <c r="AV495" s="7" t="str">
        <f>VLOOKUP($AQ495,Mapping!$E$140:$K$2771,5,0)</f>
        <v>Labour</v>
      </c>
      <c r="AW495" s="7" t="str">
        <f>VLOOKUP($AQ495,Mapping!$E$140:$K$2771,7,0)</f>
        <v>ENDirect</v>
      </c>
      <c r="AX495" s="7" t="str">
        <f>IFERROR(HLOOKUP(AV495,'Calc|Weightings'!$K$5:$M$5,1,0),"Excl")</f>
        <v>Labour</v>
      </c>
      <c r="AY495" s="7" t="str">
        <f>VLOOKUP(AO495,Mapping!$E$11:$I$96,5,0)</f>
        <v>SCS</v>
      </c>
    </row>
    <row r="496" spans="1:51" x14ac:dyDescent="0.2">
      <c r="A496" s="7"/>
      <c r="B496" s="7"/>
      <c r="C496" s="7"/>
      <c r="D496" s="7"/>
      <c r="E496" s="36">
        <v>116</v>
      </c>
      <c r="F496" s="36" t="s">
        <v>2130</v>
      </c>
      <c r="G496" s="36">
        <v>531035</v>
      </c>
      <c r="H496" s="36" t="s">
        <v>244</v>
      </c>
      <c r="I496" s="37">
        <v>158.85929999999999</v>
      </c>
      <c r="J496" s="7"/>
      <c r="K496" s="7" t="str">
        <f>VLOOKUP($E496,Mapping!$E$11:$I$96,3,0)</f>
        <v>Connections</v>
      </c>
      <c r="L496" s="7" t="str">
        <f>VLOOKUP($G496,Mapping!$E$140:$K$2771,5,0)</f>
        <v>Labour</v>
      </c>
      <c r="M496" s="7" t="str">
        <f>VLOOKUP($G496,Mapping!$E$140:$K$2771,7,0)</f>
        <v>ENDirect</v>
      </c>
      <c r="N496" s="7" t="str">
        <f>IFERROR(HLOOKUP(L496,'Calc|Weightings'!$K$5:$M$5,1,0),"Excl")</f>
        <v>Labour</v>
      </c>
      <c r="O496" s="7" t="str">
        <f>VLOOKUP(E496,Mapping!$E$11:$I$96,5,0)</f>
        <v>SCS</v>
      </c>
      <c r="Q496" s="33">
        <v>116</v>
      </c>
      <c r="R496" s="33" t="s">
        <v>2130</v>
      </c>
      <c r="S496" s="33">
        <v>613291</v>
      </c>
      <c r="T496" s="33" t="s">
        <v>2094</v>
      </c>
      <c r="U496" s="34">
        <v>93.574650000000005</v>
      </c>
      <c r="V496" s="7"/>
      <c r="W496" s="7" t="str">
        <f>VLOOKUP($Q496,Mapping!$E$11:$I$96,3,0)</f>
        <v>Connections</v>
      </c>
      <c r="X496" s="7" t="str">
        <f>VLOOKUP($S496,Mapping!$E$140:$K$2771,5,0)</f>
        <v>Labour</v>
      </c>
      <c r="Y496" s="7" t="str">
        <f>VLOOKUP($S496,Mapping!$E$140:$K$2771,7,0)</f>
        <v>ENDirect</v>
      </c>
      <c r="Z496" s="7" t="str">
        <f>IFERROR(HLOOKUP(X496,'Calc|Weightings'!$K$5:$M$5,1,0),"Excl")</f>
        <v>Labour</v>
      </c>
      <c r="AA496" s="7" t="str">
        <f>VLOOKUP(Q496,Mapping!$E$11:$I$96,5,0)</f>
        <v>SCS</v>
      </c>
      <c r="AC496" s="111">
        <v>116</v>
      </c>
      <c r="AD496" s="111" t="s">
        <v>2130</v>
      </c>
      <c r="AE496" s="111">
        <v>611902</v>
      </c>
      <c r="AF496" s="111" t="s">
        <v>2081</v>
      </c>
      <c r="AG496" s="112">
        <v>78.9221</v>
      </c>
      <c r="AI496" s="7" t="str">
        <f>VLOOKUP($AC496,Mapping!$E$11:$I$96,3,0)</f>
        <v>Connections</v>
      </c>
      <c r="AJ496" s="7" t="str">
        <f>VLOOKUP($AE496,Mapping!$E$140:$K$2771,5,0)</f>
        <v>Contracts</v>
      </c>
      <c r="AK496" s="7" t="str">
        <f>VLOOKUP($AE496,Mapping!$E$140:$K$2771,7,0)</f>
        <v>ENDirect</v>
      </c>
      <c r="AL496" s="7" t="str">
        <f>IFERROR(HLOOKUP(AJ496,'Calc|Weightings'!$K$5:$M$5,1,0),"Excl")</f>
        <v>Contracts</v>
      </c>
      <c r="AM496" s="7" t="str">
        <f>VLOOKUP(AC496,Mapping!$E$11:$I$96,5,0)</f>
        <v>SCS</v>
      </c>
      <c r="AO496" s="134">
        <v>116</v>
      </c>
      <c r="AP496" s="135" t="s">
        <v>2130</v>
      </c>
      <c r="AQ496" s="135">
        <v>613434</v>
      </c>
      <c r="AR496" s="135" t="s">
        <v>2102</v>
      </c>
      <c r="AS496" s="136">
        <v>163.88873000000001</v>
      </c>
      <c r="AU496" s="7" t="str">
        <f>VLOOKUP($AO496,Mapping!$E$11:$I$96,3,0)</f>
        <v>Connections</v>
      </c>
      <c r="AV496" s="7" t="str">
        <f>VLOOKUP($AQ496,Mapping!$E$140:$K$2771,5,0)</f>
        <v>Labour</v>
      </c>
      <c r="AW496" s="7" t="str">
        <f>VLOOKUP($AQ496,Mapping!$E$140:$K$2771,7,0)</f>
        <v>ENDirect</v>
      </c>
      <c r="AX496" s="7" t="str">
        <f>IFERROR(HLOOKUP(AV496,'Calc|Weightings'!$K$5:$M$5,1,0),"Excl")</f>
        <v>Labour</v>
      </c>
      <c r="AY496" s="7" t="str">
        <f>VLOOKUP(AO496,Mapping!$E$11:$I$96,5,0)</f>
        <v>SCS</v>
      </c>
    </row>
    <row r="497" spans="1:51" x14ac:dyDescent="0.2">
      <c r="A497" s="7"/>
      <c r="B497" s="7"/>
      <c r="C497" s="7"/>
      <c r="D497" s="7"/>
      <c r="E497" s="36">
        <v>116</v>
      </c>
      <c r="F497" s="36" t="s">
        <v>2130</v>
      </c>
      <c r="G497" s="36">
        <v>531200</v>
      </c>
      <c r="H497" s="36" t="s">
        <v>250</v>
      </c>
      <c r="I497" s="37">
        <v>711.90944000000002</v>
      </c>
      <c r="J497" s="7"/>
      <c r="K497" s="7" t="str">
        <f>VLOOKUP($E497,Mapping!$E$11:$I$96,3,0)</f>
        <v>Connections</v>
      </c>
      <c r="L497" s="7" t="str">
        <f>VLOOKUP($G497,Mapping!$E$140:$K$2771,5,0)</f>
        <v>Contracts</v>
      </c>
      <c r="M497" s="7" t="str">
        <f>VLOOKUP($G497,Mapping!$E$140:$K$2771,7,0)</f>
        <v>ENDirect</v>
      </c>
      <c r="N497" s="7" t="str">
        <f>IFERROR(HLOOKUP(L497,'Calc|Weightings'!$K$5:$M$5,1,0),"Excl")</f>
        <v>Contracts</v>
      </c>
      <c r="O497" s="7" t="str">
        <f>VLOOKUP(E497,Mapping!$E$11:$I$96,5,0)</f>
        <v>SCS</v>
      </c>
      <c r="Q497" s="33">
        <v>116</v>
      </c>
      <c r="R497" s="33" t="s">
        <v>2130</v>
      </c>
      <c r="S497" s="33">
        <v>613298</v>
      </c>
      <c r="T497" s="33" t="s">
        <v>2122</v>
      </c>
      <c r="U497" s="34">
        <v>826.05943000000002</v>
      </c>
      <c r="V497" s="7"/>
      <c r="W497" s="7" t="str">
        <f>VLOOKUP($Q497,Mapping!$E$11:$I$96,3,0)</f>
        <v>Connections</v>
      </c>
      <c r="X497" s="7" t="str">
        <f>VLOOKUP($S497,Mapping!$E$140:$K$2771,5,0)</f>
        <v>Labour</v>
      </c>
      <c r="Y497" s="7" t="str">
        <f>VLOOKUP($S497,Mapping!$E$140:$K$2771,7,0)</f>
        <v>ENDirect</v>
      </c>
      <c r="Z497" s="7" t="str">
        <f>IFERROR(HLOOKUP(X497,'Calc|Weightings'!$K$5:$M$5,1,0),"Excl")</f>
        <v>Labour</v>
      </c>
      <c r="AA497" s="7" t="str">
        <f>VLOOKUP(Q497,Mapping!$E$11:$I$96,5,0)</f>
        <v>SCS</v>
      </c>
      <c r="AC497" s="111">
        <v>116</v>
      </c>
      <c r="AD497" s="111" t="s">
        <v>2130</v>
      </c>
      <c r="AE497" s="111">
        <v>612210</v>
      </c>
      <c r="AF497" s="111" t="s">
        <v>1184</v>
      </c>
      <c r="AG497" s="112">
        <v>39.060380000000002</v>
      </c>
      <c r="AI497" s="7" t="str">
        <f>VLOOKUP($AC497,Mapping!$E$11:$I$96,3,0)</f>
        <v>Connections</v>
      </c>
      <c r="AJ497" s="7" t="str">
        <f>VLOOKUP($AE497,Mapping!$E$140:$K$2771,5,0)</f>
        <v>Labour</v>
      </c>
      <c r="AK497" s="7" t="str">
        <f>VLOOKUP($AE497,Mapping!$E$140:$K$2771,7,0)</f>
        <v>ENDirect</v>
      </c>
      <c r="AL497" s="7" t="str">
        <f>IFERROR(HLOOKUP(AJ497,'Calc|Weightings'!$K$5:$M$5,1,0),"Excl")</f>
        <v>Labour</v>
      </c>
      <c r="AM497" s="7" t="str">
        <f>VLOOKUP(AC497,Mapping!$E$11:$I$96,5,0)</f>
        <v>SCS</v>
      </c>
      <c r="AO497" s="134">
        <v>116</v>
      </c>
      <c r="AP497" s="135" t="s">
        <v>2130</v>
      </c>
      <c r="AQ497" s="135">
        <v>613440</v>
      </c>
      <c r="AR497" s="135" t="s">
        <v>2103</v>
      </c>
      <c r="AS497" s="136">
        <v>61.431370000000001</v>
      </c>
      <c r="AU497" s="7" t="str">
        <f>VLOOKUP($AO497,Mapping!$E$11:$I$96,3,0)</f>
        <v>Connections</v>
      </c>
      <c r="AV497" s="7" t="str">
        <f>VLOOKUP($AQ497,Mapping!$E$140:$K$2771,5,0)</f>
        <v>Labour</v>
      </c>
      <c r="AW497" s="7" t="str">
        <f>VLOOKUP($AQ497,Mapping!$E$140:$K$2771,7,0)</f>
        <v>ENDirect</v>
      </c>
      <c r="AX497" s="7" t="str">
        <f>IFERROR(HLOOKUP(AV497,'Calc|Weightings'!$K$5:$M$5,1,0),"Excl")</f>
        <v>Labour</v>
      </c>
      <c r="AY497" s="7" t="str">
        <f>VLOOKUP(AO497,Mapping!$E$11:$I$96,5,0)</f>
        <v>SCS</v>
      </c>
    </row>
    <row r="498" spans="1:51" x14ac:dyDescent="0.2">
      <c r="A498" s="7"/>
      <c r="B498" s="7"/>
      <c r="C498" s="7"/>
      <c r="D498" s="7"/>
      <c r="E498" s="36">
        <v>116</v>
      </c>
      <c r="F498" s="36" t="s">
        <v>2130</v>
      </c>
      <c r="G498" s="36">
        <v>531201</v>
      </c>
      <c r="H498" s="36" t="s">
        <v>251</v>
      </c>
      <c r="I498" s="37">
        <v>67.646000000000001</v>
      </c>
      <c r="J498" s="7"/>
      <c r="K498" s="7" t="str">
        <f>VLOOKUP($E498,Mapping!$E$11:$I$96,3,0)</f>
        <v>Connections</v>
      </c>
      <c r="L498" s="7" t="str">
        <f>VLOOKUP($G498,Mapping!$E$140:$K$2771,5,0)</f>
        <v>Contracts</v>
      </c>
      <c r="M498" s="7" t="str">
        <f>VLOOKUP($G498,Mapping!$E$140:$K$2771,7,0)</f>
        <v>ENDirect</v>
      </c>
      <c r="N498" s="7" t="str">
        <f>IFERROR(HLOOKUP(L498,'Calc|Weightings'!$K$5:$M$5,1,0),"Excl")</f>
        <v>Contracts</v>
      </c>
      <c r="O498" s="7" t="str">
        <f>VLOOKUP(E498,Mapping!$E$11:$I$96,5,0)</f>
        <v>SCS</v>
      </c>
      <c r="Q498" s="33">
        <v>116</v>
      </c>
      <c r="R498" s="33" t="s">
        <v>2130</v>
      </c>
      <c r="S498" s="33">
        <v>613299</v>
      </c>
      <c r="T498" s="33" t="s">
        <v>2385</v>
      </c>
      <c r="U498" s="34">
        <v>0.26956999999999998</v>
      </c>
      <c r="V498" s="7"/>
      <c r="W498" s="7" t="str">
        <f>VLOOKUP($Q498,Mapping!$E$11:$I$96,3,0)</f>
        <v>Connections</v>
      </c>
      <c r="X498" s="7" t="str">
        <f>VLOOKUP($S498,Mapping!$E$140:$K$2771,5,0)</f>
        <v>Labour</v>
      </c>
      <c r="Y498" s="7" t="str">
        <f>VLOOKUP($S498,Mapping!$E$140:$K$2771,7,0)</f>
        <v>ENDirect</v>
      </c>
      <c r="Z498" s="7" t="str">
        <f>IFERROR(HLOOKUP(X498,'Calc|Weightings'!$K$5:$M$5,1,0),"Excl")</f>
        <v>Labour</v>
      </c>
      <c r="AA498" s="7" t="str">
        <f>VLOOKUP(Q498,Mapping!$E$11:$I$96,5,0)</f>
        <v>SCS</v>
      </c>
      <c r="AC498" s="111">
        <v>116</v>
      </c>
      <c r="AD498" s="111" t="s">
        <v>2130</v>
      </c>
      <c r="AE498" s="111">
        <v>612211</v>
      </c>
      <c r="AF498" s="111" t="s">
        <v>1185</v>
      </c>
      <c r="AG498" s="112">
        <v>-8.5559999999999997E-2</v>
      </c>
      <c r="AI498" s="7" t="str">
        <f>VLOOKUP($AC498,Mapping!$E$11:$I$96,3,0)</f>
        <v>Connections</v>
      </c>
      <c r="AJ498" s="7" t="str">
        <f>VLOOKUP($AE498,Mapping!$E$140:$K$2771,5,0)</f>
        <v>Labour</v>
      </c>
      <c r="AK498" s="7" t="str">
        <f>VLOOKUP($AE498,Mapping!$E$140:$K$2771,7,0)</f>
        <v>ENDirect</v>
      </c>
      <c r="AL498" s="7" t="str">
        <f>IFERROR(HLOOKUP(AJ498,'Calc|Weightings'!$K$5:$M$5,1,0),"Excl")</f>
        <v>Labour</v>
      </c>
      <c r="AM498" s="7" t="str">
        <f>VLOOKUP(AC498,Mapping!$E$11:$I$96,5,0)</f>
        <v>SCS</v>
      </c>
      <c r="AO498" s="134">
        <v>116</v>
      </c>
      <c r="AP498" s="135" t="s">
        <v>2130</v>
      </c>
      <c r="AQ498" s="135">
        <v>613441</v>
      </c>
      <c r="AR498" s="135" t="s">
        <v>2104</v>
      </c>
      <c r="AS498" s="136">
        <v>5.2258399999999998</v>
      </c>
      <c r="AU498" s="7" t="str">
        <f>VLOOKUP($AO498,Mapping!$E$11:$I$96,3,0)</f>
        <v>Connections</v>
      </c>
      <c r="AV498" s="7" t="str">
        <f>VLOOKUP($AQ498,Mapping!$E$140:$K$2771,5,0)</f>
        <v>Labour</v>
      </c>
      <c r="AW498" s="7" t="str">
        <f>VLOOKUP($AQ498,Mapping!$E$140:$K$2771,7,0)</f>
        <v>ENDirect</v>
      </c>
      <c r="AX498" s="7" t="str">
        <f>IFERROR(HLOOKUP(AV498,'Calc|Weightings'!$K$5:$M$5,1,0),"Excl")</f>
        <v>Labour</v>
      </c>
      <c r="AY498" s="7" t="str">
        <f>VLOOKUP(AO498,Mapping!$E$11:$I$96,5,0)</f>
        <v>SCS</v>
      </c>
    </row>
    <row r="499" spans="1:51" x14ac:dyDescent="0.2">
      <c r="A499" s="7"/>
      <c r="B499" s="7"/>
      <c r="C499" s="7"/>
      <c r="D499" s="7"/>
      <c r="E499" s="36">
        <v>116</v>
      </c>
      <c r="F499" s="36" t="s">
        <v>2130</v>
      </c>
      <c r="G499" s="36">
        <v>531464</v>
      </c>
      <c r="H499" s="36" t="s">
        <v>256</v>
      </c>
      <c r="I499" s="37">
        <v>4692.9474899999996</v>
      </c>
      <c r="J499" s="7"/>
      <c r="K499" s="7" t="str">
        <f>VLOOKUP($E499,Mapping!$E$11:$I$96,3,0)</f>
        <v>Connections</v>
      </c>
      <c r="L499" s="7" t="str">
        <f>VLOOKUP($G499,Mapping!$E$140:$K$2771,5,0)</f>
        <v>Contracts</v>
      </c>
      <c r="M499" s="7" t="str">
        <f>VLOOKUP($G499,Mapping!$E$140:$K$2771,7,0)</f>
        <v>ENDirect</v>
      </c>
      <c r="N499" s="7" t="str">
        <f>IFERROR(HLOOKUP(L499,'Calc|Weightings'!$K$5:$M$5,1,0),"Excl")</f>
        <v>Contracts</v>
      </c>
      <c r="O499" s="7" t="str">
        <f>VLOOKUP(E499,Mapping!$E$11:$I$96,5,0)</f>
        <v>SCS</v>
      </c>
      <c r="Q499" s="33">
        <v>116</v>
      </c>
      <c r="R499" s="33" t="s">
        <v>2130</v>
      </c>
      <c r="S499" s="33">
        <v>613310</v>
      </c>
      <c r="T499" s="33" t="s">
        <v>2095</v>
      </c>
      <c r="U499" s="34">
        <v>59.04336</v>
      </c>
      <c r="V499" s="7"/>
      <c r="W499" s="7" t="str">
        <f>VLOOKUP($Q499,Mapping!$E$11:$I$96,3,0)</f>
        <v>Connections</v>
      </c>
      <c r="X499" s="7" t="str">
        <f>VLOOKUP($S499,Mapping!$E$140:$K$2771,5,0)</f>
        <v>Labour</v>
      </c>
      <c r="Y499" s="7" t="str">
        <f>VLOOKUP($S499,Mapping!$E$140:$K$2771,7,0)</f>
        <v>ENDirect</v>
      </c>
      <c r="Z499" s="7" t="str">
        <f>IFERROR(HLOOKUP(X499,'Calc|Weightings'!$K$5:$M$5,1,0),"Excl")</f>
        <v>Labour</v>
      </c>
      <c r="AA499" s="7" t="str">
        <f>VLOOKUP(Q499,Mapping!$E$11:$I$96,5,0)</f>
        <v>SCS</v>
      </c>
      <c r="AC499" s="111">
        <v>116</v>
      </c>
      <c r="AD499" s="111" t="s">
        <v>2130</v>
      </c>
      <c r="AE499" s="111">
        <v>613101</v>
      </c>
      <c r="AF499" s="111" t="s">
        <v>2394</v>
      </c>
      <c r="AG499" s="112">
        <v>2.1388400000000001</v>
      </c>
      <c r="AI499" s="7" t="str">
        <f>VLOOKUP($AC499,Mapping!$E$11:$I$96,3,0)</f>
        <v>Connections</v>
      </c>
      <c r="AJ499" s="7" t="str">
        <f>VLOOKUP($AE499,Mapping!$E$140:$K$2771,5,0)</f>
        <v>Labour (50%)/ Contracts (50%)</v>
      </c>
      <c r="AK499" s="7" t="str">
        <f>VLOOKUP($AE499,Mapping!$E$140:$K$2771,7,0)</f>
        <v>ENDirect</v>
      </c>
      <c r="AL499" s="7" t="str">
        <f>IFERROR(HLOOKUP(AJ499,'Calc|Weightings'!$K$5:$M$5,1,0),"Excl")</f>
        <v>Excl</v>
      </c>
      <c r="AM499" s="7" t="str">
        <f>VLOOKUP(AC499,Mapping!$E$11:$I$96,5,0)</f>
        <v>SCS</v>
      </c>
      <c r="AO499" s="134">
        <v>116</v>
      </c>
      <c r="AP499" s="135" t="s">
        <v>2130</v>
      </c>
      <c r="AQ499" s="135">
        <v>613448</v>
      </c>
      <c r="AR499" s="135" t="s">
        <v>2105</v>
      </c>
      <c r="AS499" s="136">
        <v>0.28009000000000001</v>
      </c>
      <c r="AU499" s="7" t="str">
        <f>VLOOKUP($AO499,Mapping!$E$11:$I$96,3,0)</f>
        <v>Connections</v>
      </c>
      <c r="AV499" s="7" t="str">
        <f>VLOOKUP($AQ499,Mapping!$E$140:$K$2771,5,0)</f>
        <v>Labour</v>
      </c>
      <c r="AW499" s="7" t="str">
        <f>VLOOKUP($AQ499,Mapping!$E$140:$K$2771,7,0)</f>
        <v>ENDirect</v>
      </c>
      <c r="AX499" s="7" t="str">
        <f>IFERROR(HLOOKUP(AV499,'Calc|Weightings'!$K$5:$M$5,1,0),"Excl")</f>
        <v>Labour</v>
      </c>
      <c r="AY499" s="7" t="str">
        <f>VLOOKUP(AO499,Mapping!$E$11:$I$96,5,0)</f>
        <v>SCS</v>
      </c>
    </row>
    <row r="500" spans="1:51" x14ac:dyDescent="0.2">
      <c r="A500" s="7"/>
      <c r="B500" s="7"/>
      <c r="C500" s="7"/>
      <c r="D500" s="7"/>
      <c r="E500" s="36">
        <v>116</v>
      </c>
      <c r="F500" s="36" t="s">
        <v>2130</v>
      </c>
      <c r="G500" s="36">
        <v>531466</v>
      </c>
      <c r="H500" s="36" t="s">
        <v>258</v>
      </c>
      <c r="I500" s="37">
        <v>557.46225000000004</v>
      </c>
      <c r="J500" s="7"/>
      <c r="K500" s="7" t="str">
        <f>VLOOKUP($E500,Mapping!$E$11:$I$96,3,0)</f>
        <v>Connections</v>
      </c>
      <c r="L500" s="7" t="str">
        <f>VLOOKUP($G500,Mapping!$E$140:$K$2771,5,0)</f>
        <v>Contracts</v>
      </c>
      <c r="M500" s="7" t="str">
        <f>VLOOKUP($G500,Mapping!$E$140:$K$2771,7,0)</f>
        <v>ENDirect</v>
      </c>
      <c r="N500" s="7" t="str">
        <f>IFERROR(HLOOKUP(L500,'Calc|Weightings'!$K$5:$M$5,1,0),"Excl")</f>
        <v>Contracts</v>
      </c>
      <c r="O500" s="7" t="str">
        <f>VLOOKUP(E500,Mapping!$E$11:$I$96,5,0)</f>
        <v>SCS</v>
      </c>
      <c r="Q500" s="33">
        <v>116</v>
      </c>
      <c r="R500" s="33" t="s">
        <v>2130</v>
      </c>
      <c r="S500" s="33">
        <v>613311</v>
      </c>
      <c r="T500" s="33" t="s">
        <v>2116</v>
      </c>
      <c r="U500" s="34">
        <v>1.8168599999999999</v>
      </c>
      <c r="V500" s="7"/>
      <c r="W500" s="7" t="str">
        <f>VLOOKUP($Q500,Mapping!$E$11:$I$96,3,0)</f>
        <v>Connections</v>
      </c>
      <c r="X500" s="7" t="str">
        <f>VLOOKUP($S500,Mapping!$E$140:$K$2771,5,0)</f>
        <v>Labour</v>
      </c>
      <c r="Y500" s="7" t="str">
        <f>VLOOKUP($S500,Mapping!$E$140:$K$2771,7,0)</f>
        <v>ENDirect</v>
      </c>
      <c r="Z500" s="7" t="str">
        <f>IFERROR(HLOOKUP(X500,'Calc|Weightings'!$K$5:$M$5,1,0),"Excl")</f>
        <v>Labour</v>
      </c>
      <c r="AA500" s="7" t="str">
        <f>VLOOKUP(Q500,Mapping!$E$11:$I$96,5,0)</f>
        <v>SCS</v>
      </c>
      <c r="AC500" s="111">
        <v>116</v>
      </c>
      <c r="AD500" s="111" t="s">
        <v>2130</v>
      </c>
      <c r="AE500" s="111">
        <v>613240</v>
      </c>
      <c r="AF500" s="111" t="s">
        <v>2082</v>
      </c>
      <c r="AG500" s="112">
        <v>268.63936999999999</v>
      </c>
      <c r="AI500" s="7" t="str">
        <f>VLOOKUP($AC500,Mapping!$E$11:$I$96,3,0)</f>
        <v>Connections</v>
      </c>
      <c r="AJ500" s="7" t="str">
        <f>VLOOKUP($AE500,Mapping!$E$140:$K$2771,5,0)</f>
        <v>Labour</v>
      </c>
      <c r="AK500" s="7" t="str">
        <f>VLOOKUP($AE500,Mapping!$E$140:$K$2771,7,0)</f>
        <v>ENDirect</v>
      </c>
      <c r="AL500" s="7" t="str">
        <f>IFERROR(HLOOKUP(AJ500,'Calc|Weightings'!$K$5:$M$5,1,0),"Excl")</f>
        <v>Labour</v>
      </c>
      <c r="AM500" s="7" t="str">
        <f>VLOOKUP(AC500,Mapping!$E$11:$I$96,5,0)</f>
        <v>SCS</v>
      </c>
      <c r="AO500" s="134">
        <v>116</v>
      </c>
      <c r="AP500" s="135" t="s">
        <v>2130</v>
      </c>
      <c r="AQ500" s="135">
        <v>613450</v>
      </c>
      <c r="AR500" s="135" t="s">
        <v>2175</v>
      </c>
      <c r="AS500" s="136">
        <v>255.71884</v>
      </c>
      <c r="AU500" s="7" t="str">
        <f>VLOOKUP($AO500,Mapping!$E$11:$I$96,3,0)</f>
        <v>Connections</v>
      </c>
      <c r="AV500" s="7" t="str">
        <f>VLOOKUP($AQ500,Mapping!$E$140:$K$2771,5,0)</f>
        <v>Labour</v>
      </c>
      <c r="AW500" s="7" t="str">
        <f>VLOOKUP($AQ500,Mapping!$E$140:$K$2771,7,0)</f>
        <v>ENDirect</v>
      </c>
      <c r="AX500" s="7" t="str">
        <f>IFERROR(HLOOKUP(AV500,'Calc|Weightings'!$K$5:$M$5,1,0),"Excl")</f>
        <v>Labour</v>
      </c>
      <c r="AY500" s="7" t="str">
        <f>VLOOKUP(AO500,Mapping!$E$11:$I$96,5,0)</f>
        <v>SCS</v>
      </c>
    </row>
    <row r="501" spans="1:51" x14ac:dyDescent="0.2">
      <c r="A501" s="7"/>
      <c r="B501" s="7"/>
      <c r="C501" s="7"/>
      <c r="D501" s="7"/>
      <c r="E501" s="36">
        <v>116</v>
      </c>
      <c r="F501" s="36" t="s">
        <v>2130</v>
      </c>
      <c r="G501" s="36">
        <v>531467</v>
      </c>
      <c r="H501" s="36" t="s">
        <v>259</v>
      </c>
      <c r="I501" s="37">
        <v>592.34380999999996</v>
      </c>
      <c r="J501" s="7"/>
      <c r="K501" s="7" t="str">
        <f>VLOOKUP($E501,Mapping!$E$11:$I$96,3,0)</f>
        <v>Connections</v>
      </c>
      <c r="L501" s="7" t="str">
        <f>VLOOKUP($G501,Mapping!$E$140:$K$2771,5,0)</f>
        <v>Contracts</v>
      </c>
      <c r="M501" s="7" t="str">
        <f>VLOOKUP($G501,Mapping!$E$140:$K$2771,7,0)</f>
        <v>ENDirect</v>
      </c>
      <c r="N501" s="7" t="str">
        <f>IFERROR(HLOOKUP(L501,'Calc|Weightings'!$K$5:$M$5,1,0),"Excl")</f>
        <v>Contracts</v>
      </c>
      <c r="O501" s="7" t="str">
        <f>VLOOKUP(E501,Mapping!$E$11:$I$96,5,0)</f>
        <v>SCS</v>
      </c>
      <c r="Q501" s="33">
        <v>116</v>
      </c>
      <c r="R501" s="33" t="s">
        <v>2130</v>
      </c>
      <c r="S501" s="33">
        <v>613350</v>
      </c>
      <c r="T501" s="33" t="s">
        <v>2096</v>
      </c>
      <c r="U501" s="34">
        <v>31.324860000000001</v>
      </c>
      <c r="V501" s="7"/>
      <c r="W501" s="7" t="str">
        <f>VLOOKUP($Q501,Mapping!$E$11:$I$96,3,0)</f>
        <v>Connections</v>
      </c>
      <c r="X501" s="7" t="str">
        <f>VLOOKUP($S501,Mapping!$E$140:$K$2771,5,0)</f>
        <v>Labour</v>
      </c>
      <c r="Y501" s="7" t="str">
        <f>VLOOKUP($S501,Mapping!$E$140:$K$2771,7,0)</f>
        <v>ENDirect</v>
      </c>
      <c r="Z501" s="7" t="str">
        <f>IFERROR(HLOOKUP(X501,'Calc|Weightings'!$K$5:$M$5,1,0),"Excl")</f>
        <v>Labour</v>
      </c>
      <c r="AA501" s="7" t="str">
        <f>VLOOKUP(Q501,Mapping!$E$11:$I$96,5,0)</f>
        <v>SCS</v>
      </c>
      <c r="AC501" s="111">
        <v>116</v>
      </c>
      <c r="AD501" s="111" t="s">
        <v>2130</v>
      </c>
      <c r="AE501" s="111">
        <v>613241</v>
      </c>
      <c r="AF501" s="111" t="s">
        <v>2083</v>
      </c>
      <c r="AG501" s="112">
        <v>61.608550000000001</v>
      </c>
      <c r="AI501" s="7" t="str">
        <f>VLOOKUP($AC501,Mapping!$E$11:$I$96,3,0)</f>
        <v>Connections</v>
      </c>
      <c r="AJ501" s="7" t="str">
        <f>VLOOKUP($AE501,Mapping!$E$140:$K$2771,5,0)</f>
        <v>Labour</v>
      </c>
      <c r="AK501" s="7" t="str">
        <f>VLOOKUP($AE501,Mapping!$E$140:$K$2771,7,0)</f>
        <v>ENDirect</v>
      </c>
      <c r="AL501" s="7" t="str">
        <f>IFERROR(HLOOKUP(AJ501,'Calc|Weightings'!$K$5:$M$5,1,0),"Excl")</f>
        <v>Labour</v>
      </c>
      <c r="AM501" s="7" t="str">
        <f>VLOOKUP(AC501,Mapping!$E$11:$I$96,5,0)</f>
        <v>SCS</v>
      </c>
      <c r="AO501" s="134">
        <v>116</v>
      </c>
      <c r="AP501" s="135" t="s">
        <v>2130</v>
      </c>
      <c r="AQ501" s="135">
        <v>613460</v>
      </c>
      <c r="AR501" s="135" t="s">
        <v>2167</v>
      </c>
      <c r="AS501" s="136">
        <v>71.471159999999998</v>
      </c>
      <c r="AU501" s="7" t="str">
        <f>VLOOKUP($AO501,Mapping!$E$11:$I$96,3,0)</f>
        <v>Connections</v>
      </c>
      <c r="AV501" s="7" t="str">
        <f>VLOOKUP($AQ501,Mapping!$E$140:$K$2771,5,0)</f>
        <v>Labour</v>
      </c>
      <c r="AW501" s="7" t="str">
        <f>VLOOKUP($AQ501,Mapping!$E$140:$K$2771,7,0)</f>
        <v>ENDirect</v>
      </c>
      <c r="AX501" s="7" t="str">
        <f>IFERROR(HLOOKUP(AV501,'Calc|Weightings'!$K$5:$M$5,1,0),"Excl")</f>
        <v>Labour</v>
      </c>
      <c r="AY501" s="7" t="str">
        <f>VLOOKUP(AO501,Mapping!$E$11:$I$96,5,0)</f>
        <v>SCS</v>
      </c>
    </row>
    <row r="502" spans="1:51" x14ac:dyDescent="0.2">
      <c r="A502" s="7"/>
      <c r="B502" s="7"/>
      <c r="C502" s="7"/>
      <c r="D502" s="7"/>
      <c r="E502" s="36">
        <v>116</v>
      </c>
      <c r="F502" s="36" t="s">
        <v>2130</v>
      </c>
      <c r="G502" s="36">
        <v>531468</v>
      </c>
      <c r="H502" s="36" t="s">
        <v>260</v>
      </c>
      <c r="I502" s="37">
        <v>899.86964</v>
      </c>
      <c r="J502" s="7"/>
      <c r="K502" s="7" t="str">
        <f>VLOOKUP($E502,Mapping!$E$11:$I$96,3,0)</f>
        <v>Connections</v>
      </c>
      <c r="L502" s="7" t="str">
        <f>VLOOKUP($G502,Mapping!$E$140:$K$2771,5,0)</f>
        <v>Contracts</v>
      </c>
      <c r="M502" s="7" t="str">
        <f>VLOOKUP($G502,Mapping!$E$140:$K$2771,7,0)</f>
        <v>ENDirect</v>
      </c>
      <c r="N502" s="7" t="str">
        <f>IFERROR(HLOOKUP(L502,'Calc|Weightings'!$K$5:$M$5,1,0),"Excl")</f>
        <v>Contracts</v>
      </c>
      <c r="O502" s="7" t="str">
        <f>VLOOKUP(E502,Mapping!$E$11:$I$96,5,0)</f>
        <v>SCS</v>
      </c>
      <c r="Q502" s="33">
        <v>116</v>
      </c>
      <c r="R502" s="33" t="s">
        <v>2130</v>
      </c>
      <c r="S502" s="33">
        <v>613360</v>
      </c>
      <c r="T502" s="33" t="s">
        <v>2097</v>
      </c>
      <c r="U502" s="34">
        <v>486.54282000000001</v>
      </c>
      <c r="V502" s="7"/>
      <c r="W502" s="7" t="str">
        <f>VLOOKUP($Q502,Mapping!$E$11:$I$96,3,0)</f>
        <v>Connections</v>
      </c>
      <c r="X502" s="7" t="str">
        <f>VLOOKUP($S502,Mapping!$E$140:$K$2771,5,0)</f>
        <v>Labour</v>
      </c>
      <c r="Y502" s="7" t="str">
        <f>VLOOKUP($S502,Mapping!$E$140:$K$2771,7,0)</f>
        <v>ENDirect</v>
      </c>
      <c r="Z502" s="7" t="str">
        <f>IFERROR(HLOOKUP(X502,'Calc|Weightings'!$K$5:$M$5,1,0),"Excl")</f>
        <v>Labour</v>
      </c>
      <c r="AA502" s="7" t="str">
        <f>VLOOKUP(Q502,Mapping!$E$11:$I$96,5,0)</f>
        <v>SCS</v>
      </c>
      <c r="AC502" s="111">
        <v>116</v>
      </c>
      <c r="AD502" s="111" t="s">
        <v>2130</v>
      </c>
      <c r="AE502" s="111">
        <v>613250</v>
      </c>
      <c r="AF502" s="111" t="s">
        <v>2086</v>
      </c>
      <c r="AG502" s="112">
        <v>640.38085999999998</v>
      </c>
      <c r="AI502" s="7" t="str">
        <f>VLOOKUP($AC502,Mapping!$E$11:$I$96,3,0)</f>
        <v>Connections</v>
      </c>
      <c r="AJ502" s="7" t="str">
        <f>VLOOKUP($AE502,Mapping!$E$140:$K$2771,5,0)</f>
        <v>Labour</v>
      </c>
      <c r="AK502" s="7" t="str">
        <f>VLOOKUP($AE502,Mapping!$E$140:$K$2771,7,0)</f>
        <v>ENDirect</v>
      </c>
      <c r="AL502" s="7" t="str">
        <f>IFERROR(HLOOKUP(AJ502,'Calc|Weightings'!$K$5:$M$5,1,0),"Excl")</f>
        <v>Labour</v>
      </c>
      <c r="AM502" s="7" t="str">
        <f>VLOOKUP(AC502,Mapping!$E$11:$I$96,5,0)</f>
        <v>SCS</v>
      </c>
      <c r="AO502" s="134">
        <v>116</v>
      </c>
      <c r="AP502" s="135" t="s">
        <v>2130</v>
      </c>
      <c r="AQ502" s="135">
        <v>613461</v>
      </c>
      <c r="AR502" s="135" t="s">
        <v>2168</v>
      </c>
      <c r="AS502" s="136">
        <v>1.1671800000000001</v>
      </c>
      <c r="AU502" s="7" t="str">
        <f>VLOOKUP($AO502,Mapping!$E$11:$I$96,3,0)</f>
        <v>Connections</v>
      </c>
      <c r="AV502" s="7" t="str">
        <f>VLOOKUP($AQ502,Mapping!$E$140:$K$2771,5,0)</f>
        <v>Labour</v>
      </c>
      <c r="AW502" s="7" t="str">
        <f>VLOOKUP($AQ502,Mapping!$E$140:$K$2771,7,0)</f>
        <v>ENDirect</v>
      </c>
      <c r="AX502" s="7" t="str">
        <f>IFERROR(HLOOKUP(AV502,'Calc|Weightings'!$K$5:$M$5,1,0),"Excl")</f>
        <v>Labour</v>
      </c>
      <c r="AY502" s="7" t="str">
        <f>VLOOKUP(AO502,Mapping!$E$11:$I$96,5,0)</f>
        <v>SCS</v>
      </c>
    </row>
    <row r="503" spans="1:51" x14ac:dyDescent="0.2">
      <c r="A503" s="7"/>
      <c r="B503" s="7"/>
      <c r="C503" s="7"/>
      <c r="D503" s="7"/>
      <c r="E503" s="36">
        <v>116</v>
      </c>
      <c r="F503" s="36" t="s">
        <v>2130</v>
      </c>
      <c r="G503" s="36">
        <v>531469</v>
      </c>
      <c r="H503" s="36" t="s">
        <v>261</v>
      </c>
      <c r="I503" s="37">
        <v>6.3739999999999997</v>
      </c>
      <c r="J503" s="7"/>
      <c r="K503" s="7" t="str">
        <f>VLOOKUP($E503,Mapping!$E$11:$I$96,3,0)</f>
        <v>Connections</v>
      </c>
      <c r="L503" s="7" t="str">
        <f>VLOOKUP($G503,Mapping!$E$140:$K$2771,5,0)</f>
        <v>Labour</v>
      </c>
      <c r="M503" s="7" t="str">
        <f>VLOOKUP($G503,Mapping!$E$140:$K$2771,7,0)</f>
        <v>ENDirect</v>
      </c>
      <c r="N503" s="7" t="str">
        <f>IFERROR(HLOOKUP(L503,'Calc|Weightings'!$K$5:$M$5,1,0),"Excl")</f>
        <v>Labour</v>
      </c>
      <c r="O503" s="7" t="str">
        <f>VLOOKUP(E503,Mapping!$E$11:$I$96,5,0)</f>
        <v>SCS</v>
      </c>
      <c r="Q503" s="33">
        <v>116</v>
      </c>
      <c r="R503" s="33" t="s">
        <v>2130</v>
      </c>
      <c r="S503" s="33">
        <v>613361</v>
      </c>
      <c r="T503" s="33" t="s">
        <v>2098</v>
      </c>
      <c r="U503" s="34">
        <v>5.4297700000000004</v>
      </c>
      <c r="V503" s="7"/>
      <c r="W503" s="7" t="str">
        <f>VLOOKUP($Q503,Mapping!$E$11:$I$96,3,0)</f>
        <v>Connections</v>
      </c>
      <c r="X503" s="7" t="str">
        <f>VLOOKUP($S503,Mapping!$E$140:$K$2771,5,0)</f>
        <v>Labour</v>
      </c>
      <c r="Y503" s="7" t="str">
        <f>VLOOKUP($S503,Mapping!$E$140:$K$2771,7,0)</f>
        <v>ENDirect</v>
      </c>
      <c r="Z503" s="7" t="str">
        <f>IFERROR(HLOOKUP(X503,'Calc|Weightings'!$K$5:$M$5,1,0),"Excl")</f>
        <v>Labour</v>
      </c>
      <c r="AA503" s="7" t="str">
        <f>VLOOKUP(Q503,Mapping!$E$11:$I$96,5,0)</f>
        <v>SCS</v>
      </c>
      <c r="AC503" s="111">
        <v>116</v>
      </c>
      <c r="AD503" s="111" t="s">
        <v>2130</v>
      </c>
      <c r="AE503" s="111">
        <v>613251</v>
      </c>
      <c r="AF503" s="111" t="s">
        <v>2087</v>
      </c>
      <c r="AG503" s="112">
        <v>145.26111</v>
      </c>
      <c r="AI503" s="7" t="str">
        <f>VLOOKUP($AC503,Mapping!$E$11:$I$96,3,0)</f>
        <v>Connections</v>
      </c>
      <c r="AJ503" s="7" t="str">
        <f>VLOOKUP($AE503,Mapping!$E$140:$K$2771,5,0)</f>
        <v>Labour</v>
      </c>
      <c r="AK503" s="7" t="str">
        <f>VLOOKUP($AE503,Mapping!$E$140:$K$2771,7,0)</f>
        <v>ENDirect</v>
      </c>
      <c r="AL503" s="7" t="str">
        <f>IFERROR(HLOOKUP(AJ503,'Calc|Weightings'!$K$5:$M$5,1,0),"Excl")</f>
        <v>Labour</v>
      </c>
      <c r="AM503" s="7" t="str">
        <f>VLOOKUP(AC503,Mapping!$E$11:$I$96,5,0)</f>
        <v>SCS</v>
      </c>
      <c r="AO503" s="134">
        <v>116</v>
      </c>
      <c r="AP503" s="135" t="s">
        <v>2130</v>
      </c>
      <c r="AQ503" s="135">
        <v>613566</v>
      </c>
      <c r="AR503" s="135" t="s">
        <v>1482</v>
      </c>
      <c r="AS503" s="136">
        <v>135.87352999999999</v>
      </c>
      <c r="AU503" s="7" t="str">
        <f>VLOOKUP($AO503,Mapping!$E$11:$I$96,3,0)</f>
        <v>Connections</v>
      </c>
      <c r="AV503" s="7" t="str">
        <f>VLOOKUP($AQ503,Mapping!$E$140:$K$2771,5,0)</f>
        <v>Labour</v>
      </c>
      <c r="AW503" s="7" t="str">
        <f>VLOOKUP($AQ503,Mapping!$E$140:$K$2771,7,0)</f>
        <v>ENDirect</v>
      </c>
      <c r="AX503" s="7" t="str">
        <f>IFERROR(HLOOKUP(AV503,'Calc|Weightings'!$K$5:$M$5,1,0),"Excl")</f>
        <v>Labour</v>
      </c>
      <c r="AY503" s="7" t="str">
        <f>VLOOKUP(AO503,Mapping!$E$11:$I$96,5,0)</f>
        <v>SCS</v>
      </c>
    </row>
    <row r="504" spans="1:51" x14ac:dyDescent="0.2">
      <c r="A504" s="7"/>
      <c r="B504" s="7"/>
      <c r="C504" s="7"/>
      <c r="D504" s="7"/>
      <c r="E504" s="36">
        <v>116</v>
      </c>
      <c r="F504" s="36" t="s">
        <v>2130</v>
      </c>
      <c r="G504" s="36">
        <v>531475</v>
      </c>
      <c r="H504" s="36" t="s">
        <v>2355</v>
      </c>
      <c r="I504" s="37">
        <v>16.101369999999999</v>
      </c>
      <c r="J504" s="7"/>
      <c r="K504" s="7" t="str">
        <f>VLOOKUP($E504,Mapping!$E$11:$I$96,3,0)</f>
        <v>Connections</v>
      </c>
      <c r="L504" s="7" t="str">
        <f>VLOOKUP($G504,Mapping!$E$140:$K$2771,5,0)</f>
        <v>Contracts</v>
      </c>
      <c r="M504" s="7" t="str">
        <f>VLOOKUP($G504,Mapping!$E$140:$K$2771,7,0)</f>
        <v>ENDirect</v>
      </c>
      <c r="N504" s="7" t="str">
        <f>IFERROR(HLOOKUP(L504,'Calc|Weightings'!$K$5:$M$5,1,0),"Excl")</f>
        <v>Contracts</v>
      </c>
      <c r="O504" s="7" t="str">
        <f>VLOOKUP(E504,Mapping!$E$11:$I$96,5,0)</f>
        <v>SCS</v>
      </c>
      <c r="Q504" s="33">
        <v>116</v>
      </c>
      <c r="R504" s="33" t="s">
        <v>2130</v>
      </c>
      <c r="S504" s="33">
        <v>613366</v>
      </c>
      <c r="T504" s="33" t="s">
        <v>1400</v>
      </c>
      <c r="U504" s="34">
        <v>9.7761800000000001</v>
      </c>
      <c r="V504" s="7"/>
      <c r="W504" s="7" t="str">
        <f>VLOOKUP($Q504,Mapping!$E$11:$I$96,3,0)</f>
        <v>Connections</v>
      </c>
      <c r="X504" s="7" t="str">
        <f>VLOOKUP($S504,Mapping!$E$140:$K$2771,5,0)</f>
        <v>Labour</v>
      </c>
      <c r="Y504" s="7" t="str">
        <f>VLOOKUP($S504,Mapping!$E$140:$K$2771,7,0)</f>
        <v>ENDirect</v>
      </c>
      <c r="Z504" s="7" t="str">
        <f>IFERROR(HLOOKUP(X504,'Calc|Weightings'!$K$5:$M$5,1,0),"Excl")</f>
        <v>Labour</v>
      </c>
      <c r="AA504" s="7" t="str">
        <f>VLOOKUP(Q504,Mapping!$E$11:$I$96,5,0)</f>
        <v>SCS</v>
      </c>
      <c r="AC504" s="111">
        <v>116</v>
      </c>
      <c r="AD504" s="111" t="s">
        <v>2130</v>
      </c>
      <c r="AE504" s="111">
        <v>613260</v>
      </c>
      <c r="AF504" s="111" t="s">
        <v>2090</v>
      </c>
      <c r="AG504" s="112">
        <v>30.341419999999999</v>
      </c>
      <c r="AI504" s="7" t="str">
        <f>VLOOKUP($AC504,Mapping!$E$11:$I$96,3,0)</f>
        <v>Connections</v>
      </c>
      <c r="AJ504" s="7" t="str">
        <f>VLOOKUP($AE504,Mapping!$E$140:$K$2771,5,0)</f>
        <v>Labour</v>
      </c>
      <c r="AK504" s="7" t="str">
        <f>VLOOKUP($AE504,Mapping!$E$140:$K$2771,7,0)</f>
        <v>ENDirect</v>
      </c>
      <c r="AL504" s="7" t="str">
        <f>IFERROR(HLOOKUP(AJ504,'Calc|Weightings'!$K$5:$M$5,1,0),"Excl")</f>
        <v>Labour</v>
      </c>
      <c r="AM504" s="7" t="str">
        <f>VLOOKUP(AC504,Mapping!$E$11:$I$96,5,0)</f>
        <v>SCS</v>
      </c>
      <c r="AO504" s="134">
        <v>116</v>
      </c>
      <c r="AP504" s="135" t="s">
        <v>2130</v>
      </c>
      <c r="AQ504" s="135">
        <v>613567</v>
      </c>
      <c r="AR504" s="135" t="s">
        <v>1483</v>
      </c>
      <c r="AS504" s="136">
        <v>34.574159999999999</v>
      </c>
      <c r="AU504" s="7" t="str">
        <f>VLOOKUP($AO504,Mapping!$E$11:$I$96,3,0)</f>
        <v>Connections</v>
      </c>
      <c r="AV504" s="7" t="str">
        <f>VLOOKUP($AQ504,Mapping!$E$140:$K$2771,5,0)</f>
        <v>Labour</v>
      </c>
      <c r="AW504" s="7" t="str">
        <f>VLOOKUP($AQ504,Mapping!$E$140:$K$2771,7,0)</f>
        <v>ENDirect</v>
      </c>
      <c r="AX504" s="7" t="str">
        <f>IFERROR(HLOOKUP(AV504,'Calc|Weightings'!$K$5:$M$5,1,0),"Excl")</f>
        <v>Labour</v>
      </c>
      <c r="AY504" s="7" t="str">
        <f>VLOOKUP(AO504,Mapping!$E$11:$I$96,5,0)</f>
        <v>SCS</v>
      </c>
    </row>
    <row r="505" spans="1:51" x14ac:dyDescent="0.2">
      <c r="A505" s="7"/>
      <c r="B505" s="7"/>
      <c r="C505" s="7"/>
      <c r="D505" s="7"/>
      <c r="E505" s="36">
        <v>116</v>
      </c>
      <c r="F505" s="36" t="s">
        <v>2130</v>
      </c>
      <c r="G505" s="36">
        <v>531480</v>
      </c>
      <c r="H505" s="36" t="s">
        <v>2076</v>
      </c>
      <c r="I505" s="37">
        <v>4.7721799999999996</v>
      </c>
      <c r="J505" s="7"/>
      <c r="K505" s="7" t="str">
        <f>VLOOKUP($E505,Mapping!$E$11:$I$96,3,0)</f>
        <v>Connections</v>
      </c>
      <c r="L505" s="7" t="str">
        <f>VLOOKUP($G505,Mapping!$E$140:$K$2771,5,0)</f>
        <v>Labour</v>
      </c>
      <c r="M505" s="7" t="str">
        <f>VLOOKUP($G505,Mapping!$E$140:$K$2771,7,0)</f>
        <v>ENDirect</v>
      </c>
      <c r="N505" s="7" t="str">
        <f>IFERROR(HLOOKUP(L505,'Calc|Weightings'!$K$5:$M$5,1,0),"Excl")</f>
        <v>Labour</v>
      </c>
      <c r="O505" s="7" t="str">
        <f>VLOOKUP(E505,Mapping!$E$11:$I$96,5,0)</f>
        <v>SCS</v>
      </c>
      <c r="Q505" s="33">
        <v>116</v>
      </c>
      <c r="R505" s="33" t="s">
        <v>2130</v>
      </c>
      <c r="S505" s="33">
        <v>613370</v>
      </c>
      <c r="T505" s="33" t="s">
        <v>1402</v>
      </c>
      <c r="U505" s="34">
        <v>86.579599999999999</v>
      </c>
      <c r="V505" s="7"/>
      <c r="W505" s="7" t="str">
        <f>VLOOKUP($Q505,Mapping!$E$11:$I$96,3,0)</f>
        <v>Connections</v>
      </c>
      <c r="X505" s="7" t="str">
        <f>VLOOKUP($S505,Mapping!$E$140:$K$2771,5,0)</f>
        <v>Labour</v>
      </c>
      <c r="Y505" s="7" t="str">
        <f>VLOOKUP($S505,Mapping!$E$140:$K$2771,7,0)</f>
        <v>ENDirect</v>
      </c>
      <c r="Z505" s="7" t="str">
        <f>IFERROR(HLOOKUP(X505,'Calc|Weightings'!$K$5:$M$5,1,0),"Excl")</f>
        <v>Labour</v>
      </c>
      <c r="AA505" s="7" t="str">
        <f>VLOOKUP(Q505,Mapping!$E$11:$I$96,5,0)</f>
        <v>SCS</v>
      </c>
      <c r="AC505" s="111">
        <v>116</v>
      </c>
      <c r="AD505" s="111" t="s">
        <v>2130</v>
      </c>
      <c r="AE505" s="111">
        <v>613261</v>
      </c>
      <c r="AF505" s="111" t="s">
        <v>2091</v>
      </c>
      <c r="AG505" s="112">
        <v>3.9925000000000002</v>
      </c>
      <c r="AI505" s="7" t="str">
        <f>VLOOKUP($AC505,Mapping!$E$11:$I$96,3,0)</f>
        <v>Connections</v>
      </c>
      <c r="AJ505" s="7" t="str">
        <f>VLOOKUP($AE505,Mapping!$E$140:$K$2771,5,0)</f>
        <v>Labour</v>
      </c>
      <c r="AK505" s="7" t="str">
        <f>VLOOKUP($AE505,Mapping!$E$140:$K$2771,7,0)</f>
        <v>ENDirect</v>
      </c>
      <c r="AL505" s="7" t="str">
        <f>IFERROR(HLOOKUP(AJ505,'Calc|Weightings'!$K$5:$M$5,1,0),"Excl")</f>
        <v>Labour</v>
      </c>
      <c r="AM505" s="7" t="str">
        <f>VLOOKUP(AC505,Mapping!$E$11:$I$96,5,0)</f>
        <v>SCS</v>
      </c>
      <c r="AO505" s="134">
        <v>116</v>
      </c>
      <c r="AP505" s="135" t="s">
        <v>2130</v>
      </c>
      <c r="AQ505" s="135">
        <v>613570</v>
      </c>
      <c r="AR505" s="135" t="s">
        <v>1484</v>
      </c>
      <c r="AS505" s="136">
        <v>24.807860000000002</v>
      </c>
      <c r="AU505" s="7" t="str">
        <f>VLOOKUP($AO505,Mapping!$E$11:$I$96,3,0)</f>
        <v>Connections</v>
      </c>
      <c r="AV505" s="7" t="str">
        <f>VLOOKUP($AQ505,Mapping!$E$140:$K$2771,5,0)</f>
        <v>Labour</v>
      </c>
      <c r="AW505" s="7" t="str">
        <f>VLOOKUP($AQ505,Mapping!$E$140:$K$2771,7,0)</f>
        <v>ENDirect</v>
      </c>
      <c r="AX505" s="7" t="str">
        <f>IFERROR(HLOOKUP(AV505,'Calc|Weightings'!$K$5:$M$5,1,0),"Excl")</f>
        <v>Labour</v>
      </c>
      <c r="AY505" s="7" t="str">
        <f>VLOOKUP(AO505,Mapping!$E$11:$I$96,5,0)</f>
        <v>SCS</v>
      </c>
    </row>
    <row r="506" spans="1:51" x14ac:dyDescent="0.2">
      <c r="A506" s="7"/>
      <c r="B506" s="7"/>
      <c r="C506" s="7"/>
      <c r="D506" s="7"/>
      <c r="E506" s="36">
        <v>116</v>
      </c>
      <c r="F506" s="36" t="s">
        <v>2130</v>
      </c>
      <c r="G506" s="36">
        <v>531485</v>
      </c>
      <c r="H506" s="36" t="s">
        <v>2350</v>
      </c>
      <c r="I506" s="37">
        <v>-11.744899999999999</v>
      </c>
      <c r="J506" s="7"/>
      <c r="K506" s="7" t="str">
        <f>VLOOKUP($E506,Mapping!$E$11:$I$96,3,0)</f>
        <v>Connections</v>
      </c>
      <c r="L506" s="7" t="str">
        <f>VLOOKUP($G506,Mapping!$E$140:$K$2771,5,0)</f>
        <v>Contracts</v>
      </c>
      <c r="M506" s="7" t="str">
        <f>VLOOKUP($G506,Mapping!$E$140:$K$2771,7,0)</f>
        <v>ENDirect</v>
      </c>
      <c r="N506" s="7" t="str">
        <f>IFERROR(HLOOKUP(L506,'Calc|Weightings'!$K$5:$M$5,1,0),"Excl")</f>
        <v>Contracts</v>
      </c>
      <c r="O506" s="7" t="str">
        <f>VLOOKUP(E506,Mapping!$E$11:$I$96,5,0)</f>
        <v>SCS</v>
      </c>
      <c r="Q506" s="33">
        <v>116</v>
      </c>
      <c r="R506" s="33" t="s">
        <v>2130</v>
      </c>
      <c r="S506" s="33">
        <v>613371</v>
      </c>
      <c r="T506" s="33" t="s">
        <v>1403</v>
      </c>
      <c r="U506" s="34">
        <v>3.71184</v>
      </c>
      <c r="V506" s="7"/>
      <c r="W506" s="7" t="str">
        <f>VLOOKUP($Q506,Mapping!$E$11:$I$96,3,0)</f>
        <v>Connections</v>
      </c>
      <c r="X506" s="7" t="str">
        <f>VLOOKUP($S506,Mapping!$E$140:$K$2771,5,0)</f>
        <v>Labour</v>
      </c>
      <c r="Y506" s="7" t="str">
        <f>VLOOKUP($S506,Mapping!$E$140:$K$2771,7,0)</f>
        <v>ENDirect</v>
      </c>
      <c r="Z506" s="7" t="str">
        <f>IFERROR(HLOOKUP(X506,'Calc|Weightings'!$K$5:$M$5,1,0),"Excl")</f>
        <v>Labour</v>
      </c>
      <c r="AA506" s="7" t="str">
        <f>VLOOKUP(Q506,Mapping!$E$11:$I$96,5,0)</f>
        <v>SCS</v>
      </c>
      <c r="AC506" s="111">
        <v>116</v>
      </c>
      <c r="AD506" s="111" t="s">
        <v>2130</v>
      </c>
      <c r="AE506" s="111">
        <v>613280</v>
      </c>
      <c r="AF506" s="111" t="s">
        <v>1342</v>
      </c>
      <c r="AG506" s="112">
        <v>483.99502999999999</v>
      </c>
      <c r="AI506" s="7" t="str">
        <f>VLOOKUP($AC506,Mapping!$E$11:$I$96,3,0)</f>
        <v>Connections</v>
      </c>
      <c r="AJ506" s="7" t="str">
        <f>VLOOKUP($AE506,Mapping!$E$140:$K$2771,5,0)</f>
        <v>Labour</v>
      </c>
      <c r="AK506" s="7" t="str">
        <f>VLOOKUP($AE506,Mapping!$E$140:$K$2771,7,0)</f>
        <v>ENDirect</v>
      </c>
      <c r="AL506" s="7" t="str">
        <f>IFERROR(HLOOKUP(AJ506,'Calc|Weightings'!$K$5:$M$5,1,0),"Excl")</f>
        <v>Labour</v>
      </c>
      <c r="AM506" s="7" t="str">
        <f>VLOOKUP(AC506,Mapping!$E$11:$I$96,5,0)</f>
        <v>SCS</v>
      </c>
      <c r="AO506" s="134">
        <v>116</v>
      </c>
      <c r="AP506" s="135" t="s">
        <v>2130</v>
      </c>
      <c r="AQ506" s="135">
        <v>613571</v>
      </c>
      <c r="AR506" s="135" t="s">
        <v>1485</v>
      </c>
      <c r="AS506" s="136">
        <v>11.00287</v>
      </c>
      <c r="AU506" s="7" t="str">
        <f>VLOOKUP($AO506,Mapping!$E$11:$I$96,3,0)</f>
        <v>Connections</v>
      </c>
      <c r="AV506" s="7" t="str">
        <f>VLOOKUP($AQ506,Mapping!$E$140:$K$2771,5,0)</f>
        <v>Labour</v>
      </c>
      <c r="AW506" s="7" t="str">
        <f>VLOOKUP($AQ506,Mapping!$E$140:$K$2771,7,0)</f>
        <v>ENDirect</v>
      </c>
      <c r="AX506" s="7" t="str">
        <f>IFERROR(HLOOKUP(AV506,'Calc|Weightings'!$K$5:$M$5,1,0),"Excl")</f>
        <v>Labour</v>
      </c>
      <c r="AY506" s="7" t="str">
        <f>VLOOKUP(AO506,Mapping!$E$11:$I$96,5,0)</f>
        <v>SCS</v>
      </c>
    </row>
    <row r="507" spans="1:51" x14ac:dyDescent="0.2">
      <c r="A507" s="7"/>
      <c r="B507" s="7"/>
      <c r="C507" s="7"/>
      <c r="D507" s="7"/>
      <c r="E507" s="36">
        <v>116</v>
      </c>
      <c r="F507" s="36" t="s">
        <v>2130</v>
      </c>
      <c r="G507" s="36">
        <v>531492</v>
      </c>
      <c r="H507" s="36" t="s">
        <v>2382</v>
      </c>
      <c r="I507" s="37">
        <v>-3.5</v>
      </c>
      <c r="J507" s="7"/>
      <c r="K507" s="7" t="str">
        <f>VLOOKUP($E507,Mapping!$E$11:$I$96,3,0)</f>
        <v>Connections</v>
      </c>
      <c r="L507" s="7" t="str">
        <f>VLOOKUP($G507,Mapping!$E$140:$K$2771,5,0)</f>
        <v>Contracts</v>
      </c>
      <c r="M507" s="7" t="str">
        <f>VLOOKUP($G507,Mapping!$E$140:$K$2771,7,0)</f>
        <v>ENDirect</v>
      </c>
      <c r="N507" s="7" t="str">
        <f>IFERROR(HLOOKUP(L507,'Calc|Weightings'!$K$5:$M$5,1,0),"Excl")</f>
        <v>Contracts</v>
      </c>
      <c r="O507" s="7" t="str">
        <f>VLOOKUP(E507,Mapping!$E$11:$I$96,5,0)</f>
        <v>SCS</v>
      </c>
      <c r="Q507" s="33">
        <v>116</v>
      </c>
      <c r="R507" s="33" t="s">
        <v>2130</v>
      </c>
      <c r="S507" s="33">
        <v>613400</v>
      </c>
      <c r="T507" s="33" t="s">
        <v>2099</v>
      </c>
      <c r="U507" s="34">
        <v>277.41669000000002</v>
      </c>
      <c r="V507" s="7"/>
      <c r="W507" s="7" t="str">
        <f>VLOOKUP($Q507,Mapping!$E$11:$I$96,3,0)</f>
        <v>Connections</v>
      </c>
      <c r="X507" s="7" t="str">
        <f>VLOOKUP($S507,Mapping!$E$140:$K$2771,5,0)</f>
        <v>Labour</v>
      </c>
      <c r="Y507" s="7" t="str">
        <f>VLOOKUP($S507,Mapping!$E$140:$K$2771,7,0)</f>
        <v>ENDirect</v>
      </c>
      <c r="Z507" s="7" t="str">
        <f>IFERROR(HLOOKUP(X507,'Calc|Weightings'!$K$5:$M$5,1,0),"Excl")</f>
        <v>Labour</v>
      </c>
      <c r="AA507" s="7" t="str">
        <f>VLOOKUP(Q507,Mapping!$E$11:$I$96,5,0)</f>
        <v>SCS</v>
      </c>
      <c r="AC507" s="111">
        <v>116</v>
      </c>
      <c r="AD507" s="111" t="s">
        <v>2130</v>
      </c>
      <c r="AE507" s="111">
        <v>613281</v>
      </c>
      <c r="AF507" s="111" t="s">
        <v>1343</v>
      </c>
      <c r="AG507" s="112">
        <v>8.8073800000000002</v>
      </c>
      <c r="AI507" s="7" t="str">
        <f>VLOOKUP($AC507,Mapping!$E$11:$I$96,3,0)</f>
        <v>Connections</v>
      </c>
      <c r="AJ507" s="7" t="str">
        <f>VLOOKUP($AE507,Mapping!$E$140:$K$2771,5,0)</f>
        <v>Labour</v>
      </c>
      <c r="AK507" s="7" t="str">
        <f>VLOOKUP($AE507,Mapping!$E$140:$K$2771,7,0)</f>
        <v>ENDirect</v>
      </c>
      <c r="AL507" s="7" t="str">
        <f>IFERROR(HLOOKUP(AJ507,'Calc|Weightings'!$K$5:$M$5,1,0),"Excl")</f>
        <v>Labour</v>
      </c>
      <c r="AM507" s="7" t="str">
        <f>VLOOKUP(AC507,Mapping!$E$11:$I$96,5,0)</f>
        <v>SCS</v>
      </c>
      <c r="AO507" s="134">
        <v>116</v>
      </c>
      <c r="AP507" s="135" t="s">
        <v>2130</v>
      </c>
      <c r="AQ507" s="135">
        <v>613572</v>
      </c>
      <c r="AR507" s="135" t="s">
        <v>1486</v>
      </c>
      <c r="AS507" s="136">
        <v>1.11496</v>
      </c>
      <c r="AU507" s="7" t="str">
        <f>VLOOKUP($AO507,Mapping!$E$11:$I$96,3,0)</f>
        <v>Connections</v>
      </c>
      <c r="AV507" s="7" t="str">
        <f>VLOOKUP($AQ507,Mapping!$E$140:$K$2771,5,0)</f>
        <v>Labour</v>
      </c>
      <c r="AW507" s="7" t="str">
        <f>VLOOKUP($AQ507,Mapping!$E$140:$K$2771,7,0)</f>
        <v>ENDirect</v>
      </c>
      <c r="AX507" s="7" t="str">
        <f>IFERROR(HLOOKUP(AV507,'Calc|Weightings'!$K$5:$M$5,1,0),"Excl")</f>
        <v>Labour</v>
      </c>
      <c r="AY507" s="7" t="str">
        <f>VLOOKUP(AO507,Mapping!$E$11:$I$96,5,0)</f>
        <v>SCS</v>
      </c>
    </row>
    <row r="508" spans="1:51" x14ac:dyDescent="0.2">
      <c r="A508" s="7"/>
      <c r="B508" s="7"/>
      <c r="C508" s="7"/>
      <c r="D508" s="7"/>
      <c r="E508" s="36">
        <v>116</v>
      </c>
      <c r="F508" s="36" t="s">
        <v>2130</v>
      </c>
      <c r="G508" s="36">
        <v>531495</v>
      </c>
      <c r="H508" s="36" t="s">
        <v>2353</v>
      </c>
      <c r="I508" s="37">
        <v>-165.35851</v>
      </c>
      <c r="J508" s="7"/>
      <c r="K508" s="7" t="str">
        <f>VLOOKUP($E508,Mapping!$E$11:$I$96,3,0)</f>
        <v>Connections</v>
      </c>
      <c r="L508" s="7" t="str">
        <f>VLOOKUP($G508,Mapping!$E$140:$K$2771,5,0)</f>
        <v>Contracts</v>
      </c>
      <c r="M508" s="7" t="str">
        <f>VLOOKUP($G508,Mapping!$E$140:$K$2771,7,0)</f>
        <v>ENDirect</v>
      </c>
      <c r="N508" s="7" t="str">
        <f>IFERROR(HLOOKUP(L508,'Calc|Weightings'!$K$5:$M$5,1,0),"Excl")</f>
        <v>Contracts</v>
      </c>
      <c r="O508" s="7" t="str">
        <f>VLOOKUP(E508,Mapping!$E$11:$I$96,5,0)</f>
        <v>SCS</v>
      </c>
      <c r="Q508" s="33">
        <v>116</v>
      </c>
      <c r="R508" s="33" t="s">
        <v>2130</v>
      </c>
      <c r="S508" s="33">
        <v>613401</v>
      </c>
      <c r="T508" s="33" t="s">
        <v>2117</v>
      </c>
      <c r="U508" s="34">
        <v>89.118080000000006</v>
      </c>
      <c r="V508" s="7"/>
      <c r="W508" s="7" t="str">
        <f>VLOOKUP($Q508,Mapping!$E$11:$I$96,3,0)</f>
        <v>Connections</v>
      </c>
      <c r="X508" s="7" t="str">
        <f>VLOOKUP($S508,Mapping!$E$140:$K$2771,5,0)</f>
        <v>Labour</v>
      </c>
      <c r="Y508" s="7" t="str">
        <f>VLOOKUP($S508,Mapping!$E$140:$K$2771,7,0)</f>
        <v>ENDirect</v>
      </c>
      <c r="Z508" s="7" t="str">
        <f>IFERROR(HLOOKUP(X508,'Calc|Weightings'!$K$5:$M$5,1,0),"Excl")</f>
        <v>Labour</v>
      </c>
      <c r="AA508" s="7" t="str">
        <f>VLOOKUP(Q508,Mapping!$E$11:$I$96,5,0)</f>
        <v>SCS</v>
      </c>
      <c r="AC508" s="111">
        <v>116</v>
      </c>
      <c r="AD508" s="111" t="s">
        <v>2130</v>
      </c>
      <c r="AE508" s="111">
        <v>613290</v>
      </c>
      <c r="AF508" s="111" t="s">
        <v>2093</v>
      </c>
      <c r="AG508" s="112">
        <v>1603.4312399999999</v>
      </c>
      <c r="AI508" s="7" t="str">
        <f>VLOOKUP($AC508,Mapping!$E$11:$I$96,3,0)</f>
        <v>Connections</v>
      </c>
      <c r="AJ508" s="7" t="str">
        <f>VLOOKUP($AE508,Mapping!$E$140:$K$2771,5,0)</f>
        <v>Labour</v>
      </c>
      <c r="AK508" s="7" t="str">
        <f>VLOOKUP($AE508,Mapping!$E$140:$K$2771,7,0)</f>
        <v>ENDirect</v>
      </c>
      <c r="AL508" s="7" t="str">
        <f>IFERROR(HLOOKUP(AJ508,'Calc|Weightings'!$K$5:$M$5,1,0),"Excl")</f>
        <v>Labour</v>
      </c>
      <c r="AM508" s="7" t="str">
        <f>VLOOKUP(AC508,Mapping!$E$11:$I$96,5,0)</f>
        <v>SCS</v>
      </c>
      <c r="AO508" s="134">
        <v>116</v>
      </c>
      <c r="AP508" s="135" t="s">
        <v>2130</v>
      </c>
      <c r="AQ508" s="135">
        <v>613574</v>
      </c>
      <c r="AR508" s="135" t="s">
        <v>1488</v>
      </c>
      <c r="AS508" s="136">
        <v>313.94776000000002</v>
      </c>
      <c r="AU508" s="7" t="str">
        <f>VLOOKUP($AO508,Mapping!$E$11:$I$96,3,0)</f>
        <v>Connections</v>
      </c>
      <c r="AV508" s="7" t="str">
        <f>VLOOKUP($AQ508,Mapping!$E$140:$K$2771,5,0)</f>
        <v>Labour</v>
      </c>
      <c r="AW508" s="7" t="str">
        <f>VLOOKUP($AQ508,Mapping!$E$140:$K$2771,7,0)</f>
        <v>ENDirect</v>
      </c>
      <c r="AX508" s="7" t="str">
        <f>IFERROR(HLOOKUP(AV508,'Calc|Weightings'!$K$5:$M$5,1,0),"Excl")</f>
        <v>Labour</v>
      </c>
      <c r="AY508" s="7" t="str">
        <f>VLOOKUP(AO508,Mapping!$E$11:$I$96,5,0)</f>
        <v>SCS</v>
      </c>
    </row>
    <row r="509" spans="1:51" x14ac:dyDescent="0.2">
      <c r="A509" s="7"/>
      <c r="B509" s="7"/>
      <c r="C509" s="7"/>
      <c r="D509" s="7"/>
      <c r="E509" s="36">
        <v>116</v>
      </c>
      <c r="F509" s="36" t="s">
        <v>2130</v>
      </c>
      <c r="G509" s="36">
        <v>532050</v>
      </c>
      <c r="H509" s="36" t="s">
        <v>279</v>
      </c>
      <c r="I509" s="37">
        <v>0.62570000000000003</v>
      </c>
      <c r="J509" s="7"/>
      <c r="K509" s="7" t="str">
        <f>VLOOKUP($E509,Mapping!$E$11:$I$96,3,0)</f>
        <v>Connections</v>
      </c>
      <c r="L509" s="7" t="str">
        <f>VLOOKUP($G509,Mapping!$E$140:$K$2771,5,0)</f>
        <v>Contracts</v>
      </c>
      <c r="M509" s="7" t="str">
        <f>VLOOKUP($G509,Mapping!$E$140:$K$2771,7,0)</f>
        <v>ENDirect</v>
      </c>
      <c r="N509" s="7" t="str">
        <f>IFERROR(HLOOKUP(L509,'Calc|Weightings'!$K$5:$M$5,1,0),"Excl")</f>
        <v>Contracts</v>
      </c>
      <c r="O509" s="7" t="str">
        <f>VLOOKUP(E509,Mapping!$E$11:$I$96,5,0)</f>
        <v>SCS</v>
      </c>
      <c r="Q509" s="33">
        <v>116</v>
      </c>
      <c r="R509" s="33" t="s">
        <v>2130</v>
      </c>
      <c r="S509" s="33">
        <v>613410</v>
      </c>
      <c r="T509" s="33" t="s">
        <v>2100</v>
      </c>
      <c r="U509" s="34">
        <v>347.92603000000003</v>
      </c>
      <c r="V509" s="7"/>
      <c r="W509" s="7" t="str">
        <f>VLOOKUP($Q509,Mapping!$E$11:$I$96,3,0)</f>
        <v>Connections</v>
      </c>
      <c r="X509" s="7" t="str">
        <f>VLOOKUP($S509,Mapping!$E$140:$K$2771,5,0)</f>
        <v>Labour</v>
      </c>
      <c r="Y509" s="7" t="str">
        <f>VLOOKUP($S509,Mapping!$E$140:$K$2771,7,0)</f>
        <v>ENDirect</v>
      </c>
      <c r="Z509" s="7" t="str">
        <f>IFERROR(HLOOKUP(X509,'Calc|Weightings'!$K$5:$M$5,1,0),"Excl")</f>
        <v>Labour</v>
      </c>
      <c r="AA509" s="7" t="str">
        <f>VLOOKUP(Q509,Mapping!$E$11:$I$96,5,0)</f>
        <v>SCS</v>
      </c>
      <c r="AC509" s="111">
        <v>116</v>
      </c>
      <c r="AD509" s="111" t="s">
        <v>2130</v>
      </c>
      <c r="AE509" s="111">
        <v>613291</v>
      </c>
      <c r="AF509" s="111" t="s">
        <v>2094</v>
      </c>
      <c r="AG509" s="112">
        <v>32.135559999999998</v>
      </c>
      <c r="AI509" s="7" t="str">
        <f>VLOOKUP($AC509,Mapping!$E$11:$I$96,3,0)</f>
        <v>Connections</v>
      </c>
      <c r="AJ509" s="7" t="str">
        <f>VLOOKUP($AE509,Mapping!$E$140:$K$2771,5,0)</f>
        <v>Labour</v>
      </c>
      <c r="AK509" s="7" t="str">
        <f>VLOOKUP($AE509,Mapping!$E$140:$K$2771,7,0)</f>
        <v>ENDirect</v>
      </c>
      <c r="AL509" s="7" t="str">
        <f>IFERROR(HLOOKUP(AJ509,'Calc|Weightings'!$K$5:$M$5,1,0),"Excl")</f>
        <v>Labour</v>
      </c>
      <c r="AM509" s="7" t="str">
        <f>VLOOKUP(AC509,Mapping!$E$11:$I$96,5,0)</f>
        <v>SCS</v>
      </c>
      <c r="AO509" s="134">
        <v>116</v>
      </c>
      <c r="AP509" s="135" t="s">
        <v>2130</v>
      </c>
      <c r="AQ509" s="135">
        <v>613575</v>
      </c>
      <c r="AR509" s="135" t="s">
        <v>1489</v>
      </c>
      <c r="AS509" s="136">
        <v>29.239460000000001</v>
      </c>
      <c r="AU509" s="7" t="str">
        <f>VLOOKUP($AO509,Mapping!$E$11:$I$96,3,0)</f>
        <v>Connections</v>
      </c>
      <c r="AV509" s="7" t="str">
        <f>VLOOKUP($AQ509,Mapping!$E$140:$K$2771,5,0)</f>
        <v>Labour</v>
      </c>
      <c r="AW509" s="7" t="str">
        <f>VLOOKUP($AQ509,Mapping!$E$140:$K$2771,7,0)</f>
        <v>ENDirect</v>
      </c>
      <c r="AX509" s="7" t="str">
        <f>IFERROR(HLOOKUP(AV509,'Calc|Weightings'!$K$5:$M$5,1,0),"Excl")</f>
        <v>Labour</v>
      </c>
      <c r="AY509" s="7" t="str">
        <f>VLOOKUP(AO509,Mapping!$E$11:$I$96,5,0)</f>
        <v>SCS</v>
      </c>
    </row>
    <row r="510" spans="1:51" x14ac:dyDescent="0.2">
      <c r="A510" s="7"/>
      <c r="B510" s="7"/>
      <c r="C510" s="7"/>
      <c r="D510" s="7"/>
      <c r="E510" s="36">
        <v>116</v>
      </c>
      <c r="F510" s="36" t="s">
        <v>2130</v>
      </c>
      <c r="G510" s="36">
        <v>532140</v>
      </c>
      <c r="H510" s="36" t="s">
        <v>288</v>
      </c>
      <c r="I510" s="37">
        <v>9.2783999999999995</v>
      </c>
      <c r="J510" s="7"/>
      <c r="K510" s="7" t="str">
        <f>VLOOKUP($E510,Mapping!$E$11:$I$96,3,0)</f>
        <v>Connections</v>
      </c>
      <c r="L510" s="7" t="str">
        <f>VLOOKUP($G510,Mapping!$E$140:$K$2771,5,0)</f>
        <v>Contracts</v>
      </c>
      <c r="M510" s="7" t="str">
        <f>VLOOKUP($G510,Mapping!$E$140:$K$2771,7,0)</f>
        <v>ENDirect</v>
      </c>
      <c r="N510" s="7" t="str">
        <f>IFERROR(HLOOKUP(L510,'Calc|Weightings'!$K$5:$M$5,1,0),"Excl")</f>
        <v>Contracts</v>
      </c>
      <c r="O510" s="7" t="str">
        <f>VLOOKUP(E510,Mapping!$E$11:$I$96,5,0)</f>
        <v>SCS</v>
      </c>
      <c r="Q510" s="33">
        <v>116</v>
      </c>
      <c r="R510" s="33" t="s">
        <v>2130</v>
      </c>
      <c r="S510" s="33">
        <v>613411</v>
      </c>
      <c r="T510" s="33" t="s">
        <v>2101</v>
      </c>
      <c r="U510" s="34">
        <v>65.705820000000003</v>
      </c>
      <c r="V510" s="7"/>
      <c r="W510" s="7" t="str">
        <f>VLOOKUP($Q510,Mapping!$E$11:$I$96,3,0)</f>
        <v>Connections</v>
      </c>
      <c r="X510" s="7" t="str">
        <f>VLOOKUP($S510,Mapping!$E$140:$K$2771,5,0)</f>
        <v>Labour</v>
      </c>
      <c r="Y510" s="7" t="str">
        <f>VLOOKUP($S510,Mapping!$E$140:$K$2771,7,0)</f>
        <v>ENDirect</v>
      </c>
      <c r="Z510" s="7" t="str">
        <f>IFERROR(HLOOKUP(X510,'Calc|Weightings'!$K$5:$M$5,1,0),"Excl")</f>
        <v>Labour</v>
      </c>
      <c r="AA510" s="7" t="str">
        <f>VLOOKUP(Q510,Mapping!$E$11:$I$96,5,0)</f>
        <v>SCS</v>
      </c>
      <c r="AC510" s="111">
        <v>116</v>
      </c>
      <c r="AD510" s="111" t="s">
        <v>2130</v>
      </c>
      <c r="AE510" s="111">
        <v>613298</v>
      </c>
      <c r="AF510" s="111" t="s">
        <v>2122</v>
      </c>
      <c r="AG510" s="112">
        <v>56.247190000000003</v>
      </c>
      <c r="AI510" s="7" t="str">
        <f>VLOOKUP($AC510,Mapping!$E$11:$I$96,3,0)</f>
        <v>Connections</v>
      </c>
      <c r="AJ510" s="7" t="str">
        <f>VLOOKUP($AE510,Mapping!$E$140:$K$2771,5,0)</f>
        <v>Labour</v>
      </c>
      <c r="AK510" s="7" t="str">
        <f>VLOOKUP($AE510,Mapping!$E$140:$K$2771,7,0)</f>
        <v>ENDirect</v>
      </c>
      <c r="AL510" s="7" t="str">
        <f>IFERROR(HLOOKUP(AJ510,'Calc|Weightings'!$K$5:$M$5,1,0),"Excl")</f>
        <v>Labour</v>
      </c>
      <c r="AM510" s="7" t="str">
        <f>VLOOKUP(AC510,Mapping!$E$11:$I$96,5,0)</f>
        <v>SCS</v>
      </c>
      <c r="AO510" s="134">
        <v>116</v>
      </c>
      <c r="AP510" s="135" t="s">
        <v>2130</v>
      </c>
      <c r="AQ510" s="135">
        <v>613576</v>
      </c>
      <c r="AR510" s="135" t="s">
        <v>1490</v>
      </c>
      <c r="AS510" s="136">
        <v>77.87988</v>
      </c>
      <c r="AU510" s="7" t="str">
        <f>VLOOKUP($AO510,Mapping!$E$11:$I$96,3,0)</f>
        <v>Connections</v>
      </c>
      <c r="AV510" s="7" t="str">
        <f>VLOOKUP($AQ510,Mapping!$E$140:$K$2771,5,0)</f>
        <v>Labour</v>
      </c>
      <c r="AW510" s="7" t="str">
        <f>VLOOKUP($AQ510,Mapping!$E$140:$K$2771,7,0)</f>
        <v>ENDirect</v>
      </c>
      <c r="AX510" s="7" t="str">
        <f>IFERROR(HLOOKUP(AV510,'Calc|Weightings'!$K$5:$M$5,1,0),"Excl")</f>
        <v>Labour</v>
      </c>
      <c r="AY510" s="7" t="str">
        <f>VLOOKUP(AO510,Mapping!$E$11:$I$96,5,0)</f>
        <v>SCS</v>
      </c>
    </row>
    <row r="511" spans="1:51" x14ac:dyDescent="0.2">
      <c r="A511" s="7"/>
      <c r="B511" s="7"/>
      <c r="C511" s="7"/>
      <c r="D511" s="7"/>
      <c r="E511" s="36">
        <v>116</v>
      </c>
      <c r="F511" s="36" t="s">
        <v>2130</v>
      </c>
      <c r="G511" s="36">
        <v>532200</v>
      </c>
      <c r="H511" s="36" t="s">
        <v>291</v>
      </c>
      <c r="I511" s="37">
        <v>-10.9</v>
      </c>
      <c r="J511" s="7"/>
      <c r="K511" s="7" t="str">
        <f>VLOOKUP($E511,Mapping!$E$11:$I$96,3,0)</f>
        <v>Connections</v>
      </c>
      <c r="L511" s="7" t="str">
        <f>VLOOKUP($G511,Mapping!$E$140:$K$2771,5,0)</f>
        <v>Contracts</v>
      </c>
      <c r="M511" s="7" t="str">
        <f>VLOOKUP($G511,Mapping!$E$140:$K$2771,7,0)</f>
        <v>ENDirect</v>
      </c>
      <c r="N511" s="7" t="str">
        <f>IFERROR(HLOOKUP(L511,'Calc|Weightings'!$K$5:$M$5,1,0),"Excl")</f>
        <v>Contracts</v>
      </c>
      <c r="O511" s="7" t="str">
        <f>VLOOKUP(E511,Mapping!$E$11:$I$96,5,0)</f>
        <v>SCS</v>
      </c>
      <c r="Q511" s="33">
        <v>116</v>
      </c>
      <c r="R511" s="33" t="s">
        <v>2130</v>
      </c>
      <c r="S511" s="33">
        <v>613434</v>
      </c>
      <c r="T511" s="33" t="s">
        <v>2102</v>
      </c>
      <c r="U511" s="34">
        <v>232.38240999999999</v>
      </c>
      <c r="V511" s="7"/>
      <c r="W511" s="7" t="str">
        <f>VLOOKUP($Q511,Mapping!$E$11:$I$96,3,0)</f>
        <v>Connections</v>
      </c>
      <c r="X511" s="7" t="str">
        <f>VLOOKUP($S511,Mapping!$E$140:$K$2771,5,0)</f>
        <v>Labour</v>
      </c>
      <c r="Y511" s="7" t="str">
        <f>VLOOKUP($S511,Mapping!$E$140:$K$2771,7,0)</f>
        <v>ENDirect</v>
      </c>
      <c r="Z511" s="7" t="str">
        <f>IFERROR(HLOOKUP(X511,'Calc|Weightings'!$K$5:$M$5,1,0),"Excl")</f>
        <v>Labour</v>
      </c>
      <c r="AA511" s="7" t="str">
        <f>VLOOKUP(Q511,Mapping!$E$11:$I$96,5,0)</f>
        <v>SCS</v>
      </c>
      <c r="AC511" s="111">
        <v>116</v>
      </c>
      <c r="AD511" s="111" t="s">
        <v>2130</v>
      </c>
      <c r="AE511" s="111">
        <v>613310</v>
      </c>
      <c r="AF511" s="111" t="s">
        <v>2095</v>
      </c>
      <c r="AG511" s="112">
        <v>175.35717</v>
      </c>
      <c r="AI511" s="7" t="str">
        <f>VLOOKUP($AC511,Mapping!$E$11:$I$96,3,0)</f>
        <v>Connections</v>
      </c>
      <c r="AJ511" s="7" t="str">
        <f>VLOOKUP($AE511,Mapping!$E$140:$K$2771,5,0)</f>
        <v>Labour</v>
      </c>
      <c r="AK511" s="7" t="str">
        <f>VLOOKUP($AE511,Mapping!$E$140:$K$2771,7,0)</f>
        <v>ENDirect</v>
      </c>
      <c r="AL511" s="7" t="str">
        <f>IFERROR(HLOOKUP(AJ511,'Calc|Weightings'!$K$5:$M$5,1,0),"Excl")</f>
        <v>Labour</v>
      </c>
      <c r="AM511" s="7" t="str">
        <f>VLOOKUP(AC511,Mapping!$E$11:$I$96,5,0)</f>
        <v>SCS</v>
      </c>
      <c r="AO511" s="134">
        <v>116</v>
      </c>
      <c r="AP511" s="135" t="s">
        <v>2130</v>
      </c>
      <c r="AQ511" s="135">
        <v>613577</v>
      </c>
      <c r="AR511" s="135" t="s">
        <v>1491</v>
      </c>
      <c r="AS511" s="136">
        <v>14.83986</v>
      </c>
      <c r="AU511" s="7" t="str">
        <f>VLOOKUP($AO511,Mapping!$E$11:$I$96,3,0)</f>
        <v>Connections</v>
      </c>
      <c r="AV511" s="7" t="str">
        <f>VLOOKUP($AQ511,Mapping!$E$140:$K$2771,5,0)</f>
        <v>Labour</v>
      </c>
      <c r="AW511" s="7" t="str">
        <f>VLOOKUP($AQ511,Mapping!$E$140:$K$2771,7,0)</f>
        <v>ENDirect</v>
      </c>
      <c r="AX511" s="7" t="str">
        <f>IFERROR(HLOOKUP(AV511,'Calc|Weightings'!$K$5:$M$5,1,0),"Excl")</f>
        <v>Labour</v>
      </c>
      <c r="AY511" s="7" t="str">
        <f>VLOOKUP(AO511,Mapping!$E$11:$I$96,5,0)</f>
        <v>SCS</v>
      </c>
    </row>
    <row r="512" spans="1:51" x14ac:dyDescent="0.2">
      <c r="A512" s="7"/>
      <c r="B512" s="7"/>
      <c r="C512" s="7"/>
      <c r="D512" s="7"/>
      <c r="E512" s="36">
        <v>116</v>
      </c>
      <c r="F512" s="36" t="s">
        <v>2130</v>
      </c>
      <c r="G512" s="36">
        <v>533000</v>
      </c>
      <c r="H512" s="36" t="s">
        <v>312</v>
      </c>
      <c r="I512" s="37">
        <v>0.95850000000000002</v>
      </c>
      <c r="J512" s="7"/>
      <c r="K512" s="7" t="str">
        <f>VLOOKUP($E512,Mapping!$E$11:$I$96,3,0)</f>
        <v>Connections</v>
      </c>
      <c r="L512" s="7" t="str">
        <f>VLOOKUP($G512,Mapping!$E$140:$K$2771,5,0)</f>
        <v>Contracts</v>
      </c>
      <c r="M512" s="7" t="str">
        <f>VLOOKUP($G512,Mapping!$E$140:$K$2771,7,0)</f>
        <v>ENDirect</v>
      </c>
      <c r="N512" s="7" t="str">
        <f>IFERROR(HLOOKUP(L512,'Calc|Weightings'!$K$5:$M$5,1,0),"Excl")</f>
        <v>Contracts</v>
      </c>
      <c r="O512" s="7" t="str">
        <f>VLOOKUP(E512,Mapping!$E$11:$I$96,5,0)</f>
        <v>SCS</v>
      </c>
      <c r="Q512" s="33">
        <v>116</v>
      </c>
      <c r="R512" s="33" t="s">
        <v>2130</v>
      </c>
      <c r="S512" s="33">
        <v>613440</v>
      </c>
      <c r="T512" s="33" t="s">
        <v>2103</v>
      </c>
      <c r="U512" s="34">
        <v>40.869540000000001</v>
      </c>
      <c r="V512" s="7"/>
      <c r="W512" s="7" t="str">
        <f>VLOOKUP($Q512,Mapping!$E$11:$I$96,3,0)</f>
        <v>Connections</v>
      </c>
      <c r="X512" s="7" t="str">
        <f>VLOOKUP($S512,Mapping!$E$140:$K$2771,5,0)</f>
        <v>Labour</v>
      </c>
      <c r="Y512" s="7" t="str">
        <f>VLOOKUP($S512,Mapping!$E$140:$K$2771,7,0)</f>
        <v>ENDirect</v>
      </c>
      <c r="Z512" s="7" t="str">
        <f>IFERROR(HLOOKUP(X512,'Calc|Weightings'!$K$5:$M$5,1,0),"Excl")</f>
        <v>Labour</v>
      </c>
      <c r="AA512" s="7" t="str">
        <f>VLOOKUP(Q512,Mapping!$E$11:$I$96,5,0)</f>
        <v>SCS</v>
      </c>
      <c r="AC512" s="111">
        <v>116</v>
      </c>
      <c r="AD512" s="111" t="s">
        <v>2130</v>
      </c>
      <c r="AE512" s="111">
        <v>613311</v>
      </c>
      <c r="AF512" s="111" t="s">
        <v>2116</v>
      </c>
      <c r="AG512" s="112">
        <v>9.9912500000000009</v>
      </c>
      <c r="AI512" s="7" t="str">
        <f>VLOOKUP($AC512,Mapping!$E$11:$I$96,3,0)</f>
        <v>Connections</v>
      </c>
      <c r="AJ512" s="7" t="str">
        <f>VLOOKUP($AE512,Mapping!$E$140:$K$2771,5,0)</f>
        <v>Labour</v>
      </c>
      <c r="AK512" s="7" t="str">
        <f>VLOOKUP($AE512,Mapping!$E$140:$K$2771,7,0)</f>
        <v>ENDirect</v>
      </c>
      <c r="AL512" s="7" t="str">
        <f>IFERROR(HLOOKUP(AJ512,'Calc|Weightings'!$K$5:$M$5,1,0),"Excl")</f>
        <v>Labour</v>
      </c>
      <c r="AM512" s="7" t="str">
        <f>VLOOKUP(AC512,Mapping!$E$11:$I$96,5,0)</f>
        <v>SCS</v>
      </c>
      <c r="AO512" s="134">
        <v>116</v>
      </c>
      <c r="AP512" s="135" t="s">
        <v>2130</v>
      </c>
      <c r="AQ512" s="135">
        <v>613602</v>
      </c>
      <c r="AR512" s="135" t="s">
        <v>1494</v>
      </c>
      <c r="AS512" s="136">
        <v>10.41783</v>
      </c>
      <c r="AU512" s="7" t="str">
        <f>VLOOKUP($AO512,Mapping!$E$11:$I$96,3,0)</f>
        <v>Connections</v>
      </c>
      <c r="AV512" s="7" t="str">
        <f>VLOOKUP($AQ512,Mapping!$E$140:$K$2771,5,0)</f>
        <v>Labour</v>
      </c>
      <c r="AW512" s="7" t="str">
        <f>VLOOKUP($AQ512,Mapping!$E$140:$K$2771,7,0)</f>
        <v>ENDirect</v>
      </c>
      <c r="AX512" s="7" t="str">
        <f>IFERROR(HLOOKUP(AV512,'Calc|Weightings'!$K$5:$M$5,1,0),"Excl")</f>
        <v>Labour</v>
      </c>
      <c r="AY512" s="7" t="str">
        <f>VLOOKUP(AO512,Mapping!$E$11:$I$96,5,0)</f>
        <v>SCS</v>
      </c>
    </row>
    <row r="513" spans="1:51" x14ac:dyDescent="0.2">
      <c r="A513" s="7"/>
      <c r="B513" s="7"/>
      <c r="C513" s="7"/>
      <c r="D513" s="7"/>
      <c r="E513" s="36">
        <v>116</v>
      </c>
      <c r="F513" s="36" t="s">
        <v>2130</v>
      </c>
      <c r="G513" s="36">
        <v>582301</v>
      </c>
      <c r="H513" s="36" t="s">
        <v>382</v>
      </c>
      <c r="I513" s="37">
        <v>0.61507999999999996</v>
      </c>
      <c r="J513" s="7"/>
      <c r="K513" s="7" t="str">
        <f>VLOOKUP($E513,Mapping!$E$11:$I$96,3,0)</f>
        <v>Connections</v>
      </c>
      <c r="L513" s="7" t="str">
        <f>VLOOKUP($G513,Mapping!$E$140:$K$2771,5,0)</f>
        <v>Contracts</v>
      </c>
      <c r="M513" s="7" t="str">
        <f>VLOOKUP($G513,Mapping!$E$140:$K$2771,7,0)</f>
        <v>ENDirect</v>
      </c>
      <c r="N513" s="7" t="str">
        <f>IFERROR(HLOOKUP(L513,'Calc|Weightings'!$K$5:$M$5,1,0),"Excl")</f>
        <v>Contracts</v>
      </c>
      <c r="O513" s="7" t="str">
        <f>VLOOKUP(E513,Mapping!$E$11:$I$96,5,0)</f>
        <v>SCS</v>
      </c>
      <c r="Q513" s="33">
        <v>116</v>
      </c>
      <c r="R513" s="33" t="s">
        <v>2130</v>
      </c>
      <c r="S513" s="33">
        <v>613441</v>
      </c>
      <c r="T513" s="33" t="s">
        <v>2104</v>
      </c>
      <c r="U513" s="34">
        <v>5.2486100000000002</v>
      </c>
      <c r="V513" s="7"/>
      <c r="W513" s="7" t="str">
        <f>VLOOKUP($Q513,Mapping!$E$11:$I$96,3,0)</f>
        <v>Connections</v>
      </c>
      <c r="X513" s="7" t="str">
        <f>VLOOKUP($S513,Mapping!$E$140:$K$2771,5,0)</f>
        <v>Labour</v>
      </c>
      <c r="Y513" s="7" t="str">
        <f>VLOOKUP($S513,Mapping!$E$140:$K$2771,7,0)</f>
        <v>ENDirect</v>
      </c>
      <c r="Z513" s="7" t="str">
        <f>IFERROR(HLOOKUP(X513,'Calc|Weightings'!$K$5:$M$5,1,0),"Excl")</f>
        <v>Labour</v>
      </c>
      <c r="AA513" s="7" t="str">
        <f>VLOOKUP(Q513,Mapping!$E$11:$I$96,5,0)</f>
        <v>SCS</v>
      </c>
      <c r="AC513" s="111">
        <v>116</v>
      </c>
      <c r="AD513" s="111" t="s">
        <v>2130</v>
      </c>
      <c r="AE513" s="111">
        <v>613350</v>
      </c>
      <c r="AF513" s="111" t="s">
        <v>2096</v>
      </c>
      <c r="AG513" s="112">
        <v>6.03993</v>
      </c>
      <c r="AI513" s="7" t="str">
        <f>VLOOKUP($AC513,Mapping!$E$11:$I$96,3,0)</f>
        <v>Connections</v>
      </c>
      <c r="AJ513" s="7" t="str">
        <f>VLOOKUP($AE513,Mapping!$E$140:$K$2771,5,0)</f>
        <v>Labour</v>
      </c>
      <c r="AK513" s="7" t="str">
        <f>VLOOKUP($AE513,Mapping!$E$140:$K$2771,7,0)</f>
        <v>ENDirect</v>
      </c>
      <c r="AL513" s="7" t="str">
        <f>IFERROR(HLOOKUP(AJ513,'Calc|Weightings'!$K$5:$M$5,1,0),"Excl")</f>
        <v>Labour</v>
      </c>
      <c r="AM513" s="7" t="str">
        <f>VLOOKUP(AC513,Mapping!$E$11:$I$96,5,0)</f>
        <v>SCS</v>
      </c>
      <c r="AO513" s="134">
        <v>116</v>
      </c>
      <c r="AP513" s="135" t="s">
        <v>2130</v>
      </c>
      <c r="AQ513" s="135">
        <v>613603</v>
      </c>
      <c r="AR513" s="135" t="s">
        <v>1495</v>
      </c>
      <c r="AS513" s="136">
        <v>2.7828499999999998</v>
      </c>
      <c r="AU513" s="7" t="str">
        <f>VLOOKUP($AO513,Mapping!$E$11:$I$96,3,0)</f>
        <v>Connections</v>
      </c>
      <c r="AV513" s="7" t="str">
        <f>VLOOKUP($AQ513,Mapping!$E$140:$K$2771,5,0)</f>
        <v>Labour</v>
      </c>
      <c r="AW513" s="7" t="str">
        <f>VLOOKUP($AQ513,Mapping!$E$140:$K$2771,7,0)</f>
        <v>ENDirect</v>
      </c>
      <c r="AX513" s="7" t="str">
        <f>IFERROR(HLOOKUP(AV513,'Calc|Weightings'!$K$5:$M$5,1,0),"Excl")</f>
        <v>Labour</v>
      </c>
      <c r="AY513" s="7" t="str">
        <f>VLOOKUP(AO513,Mapping!$E$11:$I$96,5,0)</f>
        <v>SCS</v>
      </c>
    </row>
    <row r="514" spans="1:51" x14ac:dyDescent="0.2">
      <c r="A514" s="7"/>
      <c r="B514" s="7"/>
      <c r="C514" s="7"/>
      <c r="D514" s="7"/>
      <c r="E514" s="36">
        <v>116</v>
      </c>
      <c r="F514" s="36" t="s">
        <v>2130</v>
      </c>
      <c r="G514" s="36">
        <v>591200</v>
      </c>
      <c r="H514" s="36" t="s">
        <v>398</v>
      </c>
      <c r="I514" s="37">
        <v>0.2</v>
      </c>
      <c r="J514" s="7"/>
      <c r="K514" s="7" t="str">
        <f>VLOOKUP($E514,Mapping!$E$11:$I$96,3,0)</f>
        <v>Connections</v>
      </c>
      <c r="L514" s="7" t="str">
        <f>VLOOKUP($G514,Mapping!$E$140:$K$2771,5,0)</f>
        <v>Contracts</v>
      </c>
      <c r="M514" s="7" t="str">
        <f>VLOOKUP($G514,Mapping!$E$140:$K$2771,7,0)</f>
        <v>ENDirect</v>
      </c>
      <c r="N514" s="7" t="str">
        <f>IFERROR(HLOOKUP(L514,'Calc|Weightings'!$K$5:$M$5,1,0),"Excl")</f>
        <v>Contracts</v>
      </c>
      <c r="O514" s="7" t="str">
        <f>VLOOKUP(E514,Mapping!$E$11:$I$96,5,0)</f>
        <v>SCS</v>
      </c>
      <c r="Q514" s="33">
        <v>116</v>
      </c>
      <c r="R514" s="33" t="s">
        <v>2130</v>
      </c>
      <c r="S514" s="33">
        <v>613448</v>
      </c>
      <c r="T514" s="33" t="s">
        <v>2105</v>
      </c>
      <c r="U514" s="34">
        <v>103.1486</v>
      </c>
      <c r="V514" s="7"/>
      <c r="W514" s="7" t="str">
        <f>VLOOKUP($Q514,Mapping!$E$11:$I$96,3,0)</f>
        <v>Connections</v>
      </c>
      <c r="X514" s="7" t="str">
        <f>VLOOKUP($S514,Mapping!$E$140:$K$2771,5,0)</f>
        <v>Labour</v>
      </c>
      <c r="Y514" s="7" t="str">
        <f>VLOOKUP($S514,Mapping!$E$140:$K$2771,7,0)</f>
        <v>ENDirect</v>
      </c>
      <c r="Z514" s="7" t="str">
        <f>IFERROR(HLOOKUP(X514,'Calc|Weightings'!$K$5:$M$5,1,0),"Excl")</f>
        <v>Labour</v>
      </c>
      <c r="AA514" s="7" t="str">
        <f>VLOOKUP(Q514,Mapping!$E$11:$I$96,5,0)</f>
        <v>SCS</v>
      </c>
      <c r="AC514" s="111">
        <v>116</v>
      </c>
      <c r="AD514" s="111" t="s">
        <v>2130</v>
      </c>
      <c r="AE514" s="111">
        <v>613360</v>
      </c>
      <c r="AF514" s="111" t="s">
        <v>2097</v>
      </c>
      <c r="AG514" s="112">
        <v>209.87635</v>
      </c>
      <c r="AI514" s="7" t="str">
        <f>VLOOKUP($AC514,Mapping!$E$11:$I$96,3,0)</f>
        <v>Connections</v>
      </c>
      <c r="AJ514" s="7" t="str">
        <f>VLOOKUP($AE514,Mapping!$E$140:$K$2771,5,0)</f>
        <v>Labour</v>
      </c>
      <c r="AK514" s="7" t="str">
        <f>VLOOKUP($AE514,Mapping!$E$140:$K$2771,7,0)</f>
        <v>ENDirect</v>
      </c>
      <c r="AL514" s="7" t="str">
        <f>IFERROR(HLOOKUP(AJ514,'Calc|Weightings'!$K$5:$M$5,1,0),"Excl")</f>
        <v>Labour</v>
      </c>
      <c r="AM514" s="7" t="str">
        <f>VLOOKUP(AC514,Mapping!$E$11:$I$96,5,0)</f>
        <v>SCS</v>
      </c>
      <c r="AO514" s="134">
        <v>116</v>
      </c>
      <c r="AP514" s="135" t="s">
        <v>2130</v>
      </c>
      <c r="AQ514" s="135">
        <v>613630</v>
      </c>
      <c r="AR514" s="135" t="s">
        <v>1498</v>
      </c>
      <c r="AS514" s="136">
        <v>201.15692999999999</v>
      </c>
      <c r="AU514" s="7" t="str">
        <f>VLOOKUP($AO514,Mapping!$E$11:$I$96,3,0)</f>
        <v>Connections</v>
      </c>
      <c r="AV514" s="7" t="str">
        <f>VLOOKUP($AQ514,Mapping!$E$140:$K$2771,5,0)</f>
        <v>Labour</v>
      </c>
      <c r="AW514" s="7" t="str">
        <f>VLOOKUP($AQ514,Mapping!$E$140:$K$2771,7,0)</f>
        <v>ENDirect</v>
      </c>
      <c r="AX514" s="7" t="str">
        <f>IFERROR(HLOOKUP(AV514,'Calc|Weightings'!$K$5:$M$5,1,0),"Excl")</f>
        <v>Labour</v>
      </c>
      <c r="AY514" s="7" t="str">
        <f>VLOOKUP(AO514,Mapping!$E$11:$I$96,5,0)</f>
        <v>SCS</v>
      </c>
    </row>
    <row r="515" spans="1:51" x14ac:dyDescent="0.2">
      <c r="A515" s="7"/>
      <c r="B515" s="7"/>
      <c r="C515" s="7"/>
      <c r="D515" s="7"/>
      <c r="E515" s="36">
        <v>116</v>
      </c>
      <c r="F515" s="36" t="s">
        <v>2130</v>
      </c>
      <c r="G515" s="36">
        <v>591997</v>
      </c>
      <c r="H515" s="36" t="s">
        <v>2194</v>
      </c>
      <c r="I515" s="37">
        <v>-441.91834</v>
      </c>
      <c r="J515" s="7"/>
      <c r="K515" s="7" t="str">
        <f>VLOOKUP($E515,Mapping!$E$11:$I$96,3,0)</f>
        <v>Connections</v>
      </c>
      <c r="L515" s="7" t="str">
        <f>VLOOKUP($G515,Mapping!$E$140:$K$2771,5,0)</f>
        <v>Contracts</v>
      </c>
      <c r="M515" s="7" t="str">
        <f>VLOOKUP($G515,Mapping!$E$140:$K$2771,7,0)</f>
        <v>ENDirect</v>
      </c>
      <c r="N515" s="7" t="str">
        <f>IFERROR(HLOOKUP(L515,'Calc|Weightings'!$K$5:$M$5,1,0),"Excl")</f>
        <v>Contracts</v>
      </c>
      <c r="O515" s="7" t="str">
        <f>VLOOKUP(E515,Mapping!$E$11:$I$96,5,0)</f>
        <v>SCS</v>
      </c>
      <c r="Q515" s="33">
        <v>116</v>
      </c>
      <c r="R515" s="33" t="s">
        <v>2130</v>
      </c>
      <c r="S515" s="33">
        <v>613449</v>
      </c>
      <c r="T515" s="33" t="s">
        <v>2106</v>
      </c>
      <c r="U515" s="34">
        <v>16.981670000000001</v>
      </c>
      <c r="V515" s="7"/>
      <c r="W515" s="7" t="str">
        <f>VLOOKUP($Q515,Mapping!$E$11:$I$96,3,0)</f>
        <v>Connections</v>
      </c>
      <c r="X515" s="7" t="str">
        <f>VLOOKUP($S515,Mapping!$E$140:$K$2771,5,0)</f>
        <v>Labour</v>
      </c>
      <c r="Y515" s="7" t="str">
        <f>VLOOKUP($S515,Mapping!$E$140:$K$2771,7,0)</f>
        <v>ENDirect</v>
      </c>
      <c r="Z515" s="7" t="str">
        <f>IFERROR(HLOOKUP(X515,'Calc|Weightings'!$K$5:$M$5,1,0),"Excl")</f>
        <v>Labour</v>
      </c>
      <c r="AA515" s="7" t="str">
        <f>VLOOKUP(Q515,Mapping!$E$11:$I$96,5,0)</f>
        <v>SCS</v>
      </c>
      <c r="AC515" s="111">
        <v>116</v>
      </c>
      <c r="AD515" s="111" t="s">
        <v>2130</v>
      </c>
      <c r="AE515" s="111">
        <v>613361</v>
      </c>
      <c r="AF515" s="111" t="s">
        <v>2098</v>
      </c>
      <c r="AG515" s="112">
        <v>4.5529200000000003</v>
      </c>
      <c r="AI515" s="7" t="str">
        <f>VLOOKUP($AC515,Mapping!$E$11:$I$96,3,0)</f>
        <v>Connections</v>
      </c>
      <c r="AJ515" s="7" t="str">
        <f>VLOOKUP($AE515,Mapping!$E$140:$K$2771,5,0)</f>
        <v>Labour</v>
      </c>
      <c r="AK515" s="7" t="str">
        <f>VLOOKUP($AE515,Mapping!$E$140:$K$2771,7,0)</f>
        <v>ENDirect</v>
      </c>
      <c r="AL515" s="7" t="str">
        <f>IFERROR(HLOOKUP(AJ515,'Calc|Weightings'!$K$5:$M$5,1,0),"Excl")</f>
        <v>Labour</v>
      </c>
      <c r="AM515" s="7" t="str">
        <f>VLOOKUP(AC515,Mapping!$E$11:$I$96,5,0)</f>
        <v>SCS</v>
      </c>
      <c r="AO515" s="134">
        <v>116</v>
      </c>
      <c r="AP515" s="135" t="s">
        <v>2130</v>
      </c>
      <c r="AQ515" s="135">
        <v>613631</v>
      </c>
      <c r="AR515" s="135" t="s">
        <v>1499</v>
      </c>
      <c r="AS515" s="136">
        <v>5.7397999999999998</v>
      </c>
      <c r="AU515" s="7" t="str">
        <f>VLOOKUP($AO515,Mapping!$E$11:$I$96,3,0)</f>
        <v>Connections</v>
      </c>
      <c r="AV515" s="7" t="str">
        <f>VLOOKUP($AQ515,Mapping!$E$140:$K$2771,5,0)</f>
        <v>Labour</v>
      </c>
      <c r="AW515" s="7" t="str">
        <f>VLOOKUP($AQ515,Mapping!$E$140:$K$2771,7,0)</f>
        <v>ENDirect</v>
      </c>
      <c r="AX515" s="7" t="str">
        <f>IFERROR(HLOOKUP(AV515,'Calc|Weightings'!$K$5:$M$5,1,0),"Excl")</f>
        <v>Labour</v>
      </c>
      <c r="AY515" s="7" t="str">
        <f>VLOOKUP(AO515,Mapping!$E$11:$I$96,5,0)</f>
        <v>SCS</v>
      </c>
    </row>
    <row r="516" spans="1:51" x14ac:dyDescent="0.2">
      <c r="A516" s="7"/>
      <c r="B516" s="7"/>
      <c r="C516" s="7"/>
      <c r="D516" s="7"/>
      <c r="E516" s="36">
        <v>116</v>
      </c>
      <c r="F516" s="36" t="s">
        <v>2130</v>
      </c>
      <c r="G516" s="36">
        <v>591998</v>
      </c>
      <c r="H516" s="36" t="s">
        <v>2077</v>
      </c>
      <c r="I516" s="37">
        <v>-962.07896000000005</v>
      </c>
      <c r="J516" s="7"/>
      <c r="K516" s="7" t="str">
        <f>VLOOKUP($E516,Mapping!$E$11:$I$96,3,0)</f>
        <v>Connections</v>
      </c>
      <c r="L516" s="7" t="str">
        <f>VLOOKUP($G516,Mapping!$E$140:$K$2771,5,0)</f>
        <v>Contracts</v>
      </c>
      <c r="M516" s="7" t="str">
        <f>VLOOKUP($G516,Mapping!$E$140:$K$2771,7,0)</f>
        <v>ENDirect</v>
      </c>
      <c r="N516" s="7" t="str">
        <f>IFERROR(HLOOKUP(L516,'Calc|Weightings'!$K$5:$M$5,1,0),"Excl")</f>
        <v>Contracts</v>
      </c>
      <c r="O516" s="7" t="str">
        <f>VLOOKUP(E516,Mapping!$E$11:$I$96,5,0)</f>
        <v>SCS</v>
      </c>
      <c r="Q516" s="33">
        <v>116</v>
      </c>
      <c r="R516" s="33" t="s">
        <v>2130</v>
      </c>
      <c r="S516" s="33">
        <v>613566</v>
      </c>
      <c r="T516" s="33" t="s">
        <v>1482</v>
      </c>
      <c r="U516" s="34">
        <v>196.22049999999999</v>
      </c>
      <c r="V516" s="7"/>
      <c r="W516" s="7" t="str">
        <f>VLOOKUP($Q516,Mapping!$E$11:$I$96,3,0)</f>
        <v>Connections</v>
      </c>
      <c r="X516" s="7" t="str">
        <f>VLOOKUP($S516,Mapping!$E$140:$K$2771,5,0)</f>
        <v>Labour</v>
      </c>
      <c r="Y516" s="7" t="str">
        <f>VLOOKUP($S516,Mapping!$E$140:$K$2771,7,0)</f>
        <v>ENDirect</v>
      </c>
      <c r="Z516" s="7" t="str">
        <f>IFERROR(HLOOKUP(X516,'Calc|Weightings'!$K$5:$M$5,1,0),"Excl")</f>
        <v>Labour</v>
      </c>
      <c r="AA516" s="7" t="str">
        <f>VLOOKUP(Q516,Mapping!$E$11:$I$96,5,0)</f>
        <v>SCS</v>
      </c>
      <c r="AC516" s="111">
        <v>116</v>
      </c>
      <c r="AD516" s="111" t="s">
        <v>2130</v>
      </c>
      <c r="AE516" s="111">
        <v>613370</v>
      </c>
      <c r="AF516" s="111" t="s">
        <v>1402</v>
      </c>
      <c r="AG516" s="112">
        <v>59.648650000000004</v>
      </c>
      <c r="AI516" s="7" t="str">
        <f>VLOOKUP($AC516,Mapping!$E$11:$I$96,3,0)</f>
        <v>Connections</v>
      </c>
      <c r="AJ516" s="7" t="str">
        <f>VLOOKUP($AE516,Mapping!$E$140:$K$2771,5,0)</f>
        <v>Labour</v>
      </c>
      <c r="AK516" s="7" t="str">
        <f>VLOOKUP($AE516,Mapping!$E$140:$K$2771,7,0)</f>
        <v>ENDirect</v>
      </c>
      <c r="AL516" s="7" t="str">
        <f>IFERROR(HLOOKUP(AJ516,'Calc|Weightings'!$K$5:$M$5,1,0),"Excl")</f>
        <v>Labour</v>
      </c>
      <c r="AM516" s="7" t="str">
        <f>VLOOKUP(AC516,Mapping!$E$11:$I$96,5,0)</f>
        <v>SCS</v>
      </c>
      <c r="AO516" s="134">
        <v>116</v>
      </c>
      <c r="AP516" s="135" t="s">
        <v>2130</v>
      </c>
      <c r="AQ516" s="135">
        <v>613680</v>
      </c>
      <c r="AR516" s="135" t="s">
        <v>2107</v>
      </c>
      <c r="AS516" s="136">
        <v>269.39512000000002</v>
      </c>
      <c r="AU516" s="7" t="str">
        <f>VLOOKUP($AO516,Mapping!$E$11:$I$96,3,0)</f>
        <v>Connections</v>
      </c>
      <c r="AV516" s="7" t="str">
        <f>VLOOKUP($AQ516,Mapping!$E$140:$K$2771,5,0)</f>
        <v>Labour</v>
      </c>
      <c r="AW516" s="7" t="str">
        <f>VLOOKUP($AQ516,Mapping!$E$140:$K$2771,7,0)</f>
        <v>ENDirect</v>
      </c>
      <c r="AX516" s="7" t="str">
        <f>IFERROR(HLOOKUP(AV516,'Calc|Weightings'!$K$5:$M$5,1,0),"Excl")</f>
        <v>Labour</v>
      </c>
      <c r="AY516" s="7" t="str">
        <f>VLOOKUP(AO516,Mapping!$E$11:$I$96,5,0)</f>
        <v>SCS</v>
      </c>
    </row>
    <row r="517" spans="1:51" x14ac:dyDescent="0.2">
      <c r="A517" s="7"/>
      <c r="B517" s="7"/>
      <c r="C517" s="7"/>
      <c r="D517" s="7"/>
      <c r="E517" s="36">
        <v>116</v>
      </c>
      <c r="F517" s="36" t="s">
        <v>2130</v>
      </c>
      <c r="G517" s="36">
        <v>591999</v>
      </c>
      <c r="H517" s="36" t="s">
        <v>2195</v>
      </c>
      <c r="I517" s="37">
        <v>-1401.24288</v>
      </c>
      <c r="J517" s="7"/>
      <c r="K517" s="7" t="str">
        <f>VLOOKUP($E517,Mapping!$E$11:$I$96,3,0)</f>
        <v>Connections</v>
      </c>
      <c r="L517" s="7" t="str">
        <f>VLOOKUP($G517,Mapping!$E$140:$K$2771,5,0)</f>
        <v>Contracts</v>
      </c>
      <c r="M517" s="7" t="str">
        <f>VLOOKUP($G517,Mapping!$E$140:$K$2771,7,0)</f>
        <v>ENDirect</v>
      </c>
      <c r="N517" s="7" t="str">
        <f>IFERROR(HLOOKUP(L517,'Calc|Weightings'!$K$5:$M$5,1,0),"Excl")</f>
        <v>Contracts</v>
      </c>
      <c r="O517" s="7" t="str">
        <f>VLOOKUP(E517,Mapping!$E$11:$I$96,5,0)</f>
        <v>SCS</v>
      </c>
      <c r="Q517" s="33">
        <v>116</v>
      </c>
      <c r="R517" s="33" t="s">
        <v>2130</v>
      </c>
      <c r="S517" s="33">
        <v>613567</v>
      </c>
      <c r="T517" s="33" t="s">
        <v>1483</v>
      </c>
      <c r="U517" s="34">
        <v>37.289470000000001</v>
      </c>
      <c r="V517" s="7"/>
      <c r="W517" s="7" t="str">
        <f>VLOOKUP($Q517,Mapping!$E$11:$I$96,3,0)</f>
        <v>Connections</v>
      </c>
      <c r="X517" s="7" t="str">
        <f>VLOOKUP($S517,Mapping!$E$140:$K$2771,5,0)</f>
        <v>Labour</v>
      </c>
      <c r="Y517" s="7" t="str">
        <f>VLOOKUP($S517,Mapping!$E$140:$K$2771,7,0)</f>
        <v>ENDirect</v>
      </c>
      <c r="Z517" s="7" t="str">
        <f>IFERROR(HLOOKUP(X517,'Calc|Weightings'!$K$5:$M$5,1,0),"Excl")</f>
        <v>Labour</v>
      </c>
      <c r="AA517" s="7" t="str">
        <f>VLOOKUP(Q517,Mapping!$E$11:$I$96,5,0)</f>
        <v>SCS</v>
      </c>
      <c r="AC517" s="111">
        <v>116</v>
      </c>
      <c r="AD517" s="111" t="s">
        <v>2130</v>
      </c>
      <c r="AE517" s="111">
        <v>613371</v>
      </c>
      <c r="AF517" s="111" t="s">
        <v>1403</v>
      </c>
      <c r="AG517" s="112">
        <v>0.45602999999999999</v>
      </c>
      <c r="AI517" s="7" t="str">
        <f>VLOOKUP($AC517,Mapping!$E$11:$I$96,3,0)</f>
        <v>Connections</v>
      </c>
      <c r="AJ517" s="7" t="str">
        <f>VLOOKUP($AE517,Mapping!$E$140:$K$2771,5,0)</f>
        <v>Labour</v>
      </c>
      <c r="AK517" s="7" t="str">
        <f>VLOOKUP($AE517,Mapping!$E$140:$K$2771,7,0)</f>
        <v>ENDirect</v>
      </c>
      <c r="AL517" s="7" t="str">
        <f>IFERROR(HLOOKUP(AJ517,'Calc|Weightings'!$K$5:$M$5,1,0),"Excl")</f>
        <v>Labour</v>
      </c>
      <c r="AM517" s="7" t="str">
        <f>VLOOKUP(AC517,Mapping!$E$11:$I$96,5,0)</f>
        <v>SCS</v>
      </c>
      <c r="AO517" s="134">
        <v>116</v>
      </c>
      <c r="AP517" s="135" t="s">
        <v>2130</v>
      </c>
      <c r="AQ517" s="135">
        <v>613681</v>
      </c>
      <c r="AR517" s="135" t="s">
        <v>2108</v>
      </c>
      <c r="AS517" s="136">
        <v>0.21448</v>
      </c>
      <c r="AU517" s="7" t="str">
        <f>VLOOKUP($AO517,Mapping!$E$11:$I$96,3,0)</f>
        <v>Connections</v>
      </c>
      <c r="AV517" s="7" t="str">
        <f>VLOOKUP($AQ517,Mapping!$E$140:$K$2771,5,0)</f>
        <v>Labour</v>
      </c>
      <c r="AW517" s="7" t="str">
        <f>VLOOKUP($AQ517,Mapping!$E$140:$K$2771,7,0)</f>
        <v>ENDirect</v>
      </c>
      <c r="AX517" s="7" t="str">
        <f>IFERROR(HLOOKUP(AV517,'Calc|Weightings'!$K$5:$M$5,1,0),"Excl")</f>
        <v>Labour</v>
      </c>
      <c r="AY517" s="7" t="str">
        <f>VLOOKUP(AO517,Mapping!$E$11:$I$96,5,0)</f>
        <v>SCS</v>
      </c>
    </row>
    <row r="518" spans="1:51" x14ac:dyDescent="0.2">
      <c r="A518" s="7"/>
      <c r="B518" s="7"/>
      <c r="C518" s="7"/>
      <c r="D518" s="7"/>
      <c r="E518" s="36">
        <v>116</v>
      </c>
      <c r="F518" s="36" t="s">
        <v>2130</v>
      </c>
      <c r="G518" s="36">
        <v>611900</v>
      </c>
      <c r="H518" s="36" t="s">
        <v>2079</v>
      </c>
      <c r="I518" s="37">
        <v>39.085250000000002</v>
      </c>
      <c r="J518" s="7"/>
      <c r="K518" s="7" t="str">
        <f>VLOOKUP($E518,Mapping!$E$11:$I$96,3,0)</f>
        <v>Connections</v>
      </c>
      <c r="L518" s="7" t="str">
        <f>VLOOKUP($G518,Mapping!$E$140:$K$2771,5,0)</f>
        <v>Contracts</v>
      </c>
      <c r="M518" s="7" t="str">
        <f>VLOOKUP($G518,Mapping!$E$140:$K$2771,7,0)</f>
        <v>ENDirect</v>
      </c>
      <c r="N518" s="7" t="str">
        <f>IFERROR(HLOOKUP(L518,'Calc|Weightings'!$K$5:$M$5,1,0),"Excl")</f>
        <v>Contracts</v>
      </c>
      <c r="O518" s="7" t="str">
        <f>VLOOKUP(E518,Mapping!$E$11:$I$96,5,0)</f>
        <v>SCS</v>
      </c>
      <c r="Q518" s="33">
        <v>116</v>
      </c>
      <c r="R518" s="33" t="s">
        <v>2130</v>
      </c>
      <c r="S518" s="33">
        <v>613570</v>
      </c>
      <c r="T518" s="33" t="s">
        <v>1484</v>
      </c>
      <c r="U518" s="34">
        <v>23.580100000000002</v>
      </c>
      <c r="V518" s="7"/>
      <c r="W518" s="7" t="str">
        <f>VLOOKUP($Q518,Mapping!$E$11:$I$96,3,0)</f>
        <v>Connections</v>
      </c>
      <c r="X518" s="7" t="str">
        <f>VLOOKUP($S518,Mapping!$E$140:$K$2771,5,0)</f>
        <v>Labour</v>
      </c>
      <c r="Y518" s="7" t="str">
        <f>VLOOKUP($S518,Mapping!$E$140:$K$2771,7,0)</f>
        <v>ENDirect</v>
      </c>
      <c r="Z518" s="7" t="str">
        <f>IFERROR(HLOOKUP(X518,'Calc|Weightings'!$K$5:$M$5,1,0),"Excl")</f>
        <v>Labour</v>
      </c>
      <c r="AA518" s="7" t="str">
        <f>VLOOKUP(Q518,Mapping!$E$11:$I$96,5,0)</f>
        <v>SCS</v>
      </c>
      <c r="AC518" s="111">
        <v>116</v>
      </c>
      <c r="AD518" s="111" t="s">
        <v>2130</v>
      </c>
      <c r="AE518" s="111">
        <v>613400</v>
      </c>
      <c r="AF518" s="111" t="s">
        <v>2099</v>
      </c>
      <c r="AG518" s="112">
        <v>186.14974000000001</v>
      </c>
      <c r="AI518" s="7" t="str">
        <f>VLOOKUP($AC518,Mapping!$E$11:$I$96,3,0)</f>
        <v>Connections</v>
      </c>
      <c r="AJ518" s="7" t="str">
        <f>VLOOKUP($AE518,Mapping!$E$140:$K$2771,5,0)</f>
        <v>Labour</v>
      </c>
      <c r="AK518" s="7" t="str">
        <f>VLOOKUP($AE518,Mapping!$E$140:$K$2771,7,0)</f>
        <v>ENDirect</v>
      </c>
      <c r="AL518" s="7" t="str">
        <f>IFERROR(HLOOKUP(AJ518,'Calc|Weightings'!$K$5:$M$5,1,0),"Excl")</f>
        <v>Labour</v>
      </c>
      <c r="AM518" s="7" t="str">
        <f>VLOOKUP(AC518,Mapping!$E$11:$I$96,5,0)</f>
        <v>SCS</v>
      </c>
      <c r="AO518" s="134">
        <v>116</v>
      </c>
      <c r="AP518" s="135" t="s">
        <v>2130</v>
      </c>
      <c r="AQ518" s="135">
        <v>614115</v>
      </c>
      <c r="AR518" s="135" t="s">
        <v>2109</v>
      </c>
      <c r="AS518" s="136">
        <v>97.608900000000006</v>
      </c>
      <c r="AU518" s="7" t="str">
        <f>VLOOKUP($AO518,Mapping!$E$11:$I$96,3,0)</f>
        <v>Connections</v>
      </c>
      <c r="AV518" s="7" t="str">
        <f>VLOOKUP($AQ518,Mapping!$E$140:$K$2771,5,0)</f>
        <v>Labour</v>
      </c>
      <c r="AW518" s="7" t="str">
        <f>VLOOKUP($AQ518,Mapping!$E$140:$K$2771,7,0)</f>
        <v>ENDirect</v>
      </c>
      <c r="AX518" s="7" t="str">
        <f>IFERROR(HLOOKUP(AV518,'Calc|Weightings'!$K$5:$M$5,1,0),"Excl")</f>
        <v>Labour</v>
      </c>
      <c r="AY518" s="7" t="str">
        <f>VLOOKUP(AO518,Mapping!$E$11:$I$96,5,0)</f>
        <v>SCS</v>
      </c>
    </row>
    <row r="519" spans="1:51" x14ac:dyDescent="0.2">
      <c r="A519" s="7"/>
      <c r="B519" s="7"/>
      <c r="C519" s="7"/>
      <c r="D519" s="7"/>
      <c r="E519" s="36">
        <v>116</v>
      </c>
      <c r="F519" s="36" t="s">
        <v>2130</v>
      </c>
      <c r="G519" s="36">
        <v>611901</v>
      </c>
      <c r="H519" s="36" t="s">
        <v>2080</v>
      </c>
      <c r="I519" s="37">
        <v>38.297939999999997</v>
      </c>
      <c r="J519" s="7"/>
      <c r="K519" s="7" t="str">
        <f>VLOOKUP($E519,Mapping!$E$11:$I$96,3,0)</f>
        <v>Connections</v>
      </c>
      <c r="L519" s="7" t="str">
        <f>VLOOKUP($G519,Mapping!$E$140:$K$2771,5,0)</f>
        <v>Contracts</v>
      </c>
      <c r="M519" s="7" t="str">
        <f>VLOOKUP($G519,Mapping!$E$140:$K$2771,7,0)</f>
        <v>ENDirect</v>
      </c>
      <c r="N519" s="7" t="str">
        <f>IFERROR(HLOOKUP(L519,'Calc|Weightings'!$K$5:$M$5,1,0),"Excl")</f>
        <v>Contracts</v>
      </c>
      <c r="O519" s="7" t="str">
        <f>VLOOKUP(E519,Mapping!$E$11:$I$96,5,0)</f>
        <v>SCS</v>
      </c>
      <c r="Q519" s="33">
        <v>116</v>
      </c>
      <c r="R519" s="33" t="s">
        <v>2130</v>
      </c>
      <c r="S519" s="33">
        <v>613571</v>
      </c>
      <c r="T519" s="33" t="s">
        <v>1485</v>
      </c>
      <c r="U519" s="34">
        <v>9.1399299999999997</v>
      </c>
      <c r="V519" s="7"/>
      <c r="W519" s="7" t="str">
        <f>VLOOKUP($Q519,Mapping!$E$11:$I$96,3,0)</f>
        <v>Connections</v>
      </c>
      <c r="X519" s="7" t="str">
        <f>VLOOKUP($S519,Mapping!$E$140:$K$2771,5,0)</f>
        <v>Labour</v>
      </c>
      <c r="Y519" s="7" t="str">
        <f>VLOOKUP($S519,Mapping!$E$140:$K$2771,7,0)</f>
        <v>ENDirect</v>
      </c>
      <c r="Z519" s="7" t="str">
        <f>IFERROR(HLOOKUP(X519,'Calc|Weightings'!$K$5:$M$5,1,0),"Excl")</f>
        <v>Labour</v>
      </c>
      <c r="AA519" s="7" t="str">
        <f>VLOOKUP(Q519,Mapping!$E$11:$I$96,5,0)</f>
        <v>SCS</v>
      </c>
      <c r="AC519" s="111">
        <v>116</v>
      </c>
      <c r="AD519" s="111" t="s">
        <v>2130</v>
      </c>
      <c r="AE519" s="111">
        <v>613401</v>
      </c>
      <c r="AF519" s="111" t="s">
        <v>2117</v>
      </c>
      <c r="AG519" s="112">
        <v>23.01632</v>
      </c>
      <c r="AI519" s="7" t="str">
        <f>VLOOKUP($AC519,Mapping!$E$11:$I$96,3,0)</f>
        <v>Connections</v>
      </c>
      <c r="AJ519" s="7" t="str">
        <f>VLOOKUP($AE519,Mapping!$E$140:$K$2771,5,0)</f>
        <v>Labour</v>
      </c>
      <c r="AK519" s="7" t="str">
        <f>VLOOKUP($AE519,Mapping!$E$140:$K$2771,7,0)</f>
        <v>ENDirect</v>
      </c>
      <c r="AL519" s="7" t="str">
        <f>IFERROR(HLOOKUP(AJ519,'Calc|Weightings'!$K$5:$M$5,1,0),"Excl")</f>
        <v>Labour</v>
      </c>
      <c r="AM519" s="7" t="str">
        <f>VLOOKUP(AC519,Mapping!$E$11:$I$96,5,0)</f>
        <v>SCS</v>
      </c>
      <c r="AO519" s="134">
        <v>116</v>
      </c>
      <c r="AP519" s="135" t="s">
        <v>2130</v>
      </c>
      <c r="AQ519" s="135">
        <v>634001</v>
      </c>
      <c r="AR519" s="135" t="s">
        <v>2110</v>
      </c>
      <c r="AS519" s="136">
        <v>1416.2264600000001</v>
      </c>
      <c r="AU519" s="7" t="str">
        <f>VLOOKUP($AO519,Mapping!$E$11:$I$96,3,0)</f>
        <v>Connections</v>
      </c>
      <c r="AV519" s="7" t="str">
        <f>VLOOKUP($AQ519,Mapping!$E$140:$K$2771,5,0)</f>
        <v>Local OH</v>
      </c>
      <c r="AW519" s="7" t="str">
        <f>VLOOKUP($AQ519,Mapping!$E$140:$K$2771,7,0)</f>
        <v>OH</v>
      </c>
      <c r="AX519" s="7" t="str">
        <f>IFERROR(HLOOKUP(AV519,'Calc|Weightings'!$K$5:$M$5,1,0),"Excl")</f>
        <v>Excl</v>
      </c>
      <c r="AY519" s="7" t="str">
        <f>VLOOKUP(AO519,Mapping!$E$11:$I$96,5,0)</f>
        <v>SCS</v>
      </c>
    </row>
    <row r="520" spans="1:51" x14ac:dyDescent="0.2">
      <c r="A520" s="7"/>
      <c r="B520" s="7"/>
      <c r="C520" s="7"/>
      <c r="D520" s="7"/>
      <c r="E520" s="36">
        <v>116</v>
      </c>
      <c r="F520" s="36" t="s">
        <v>2130</v>
      </c>
      <c r="G520" s="36">
        <v>611902</v>
      </c>
      <c r="H520" s="36" t="s">
        <v>2081</v>
      </c>
      <c r="I520" s="37">
        <v>11.975669999999999</v>
      </c>
      <c r="J520" s="7"/>
      <c r="K520" s="7" t="str">
        <f>VLOOKUP($E520,Mapping!$E$11:$I$96,3,0)</f>
        <v>Connections</v>
      </c>
      <c r="L520" s="7" t="str">
        <f>VLOOKUP($G520,Mapping!$E$140:$K$2771,5,0)</f>
        <v>Contracts</v>
      </c>
      <c r="M520" s="7" t="str">
        <f>VLOOKUP($G520,Mapping!$E$140:$K$2771,7,0)</f>
        <v>ENDirect</v>
      </c>
      <c r="N520" s="7" t="str">
        <f>IFERROR(HLOOKUP(L520,'Calc|Weightings'!$K$5:$M$5,1,0),"Excl")</f>
        <v>Contracts</v>
      </c>
      <c r="O520" s="7" t="str">
        <f>VLOOKUP(E520,Mapping!$E$11:$I$96,5,0)</f>
        <v>SCS</v>
      </c>
      <c r="Q520" s="33">
        <v>116</v>
      </c>
      <c r="R520" s="33" t="s">
        <v>2130</v>
      </c>
      <c r="S520" s="33">
        <v>613572</v>
      </c>
      <c r="T520" s="33" t="s">
        <v>1486</v>
      </c>
      <c r="U520" s="34">
        <v>1.0196799999999999</v>
      </c>
      <c r="V520" s="7"/>
      <c r="W520" s="7" t="str">
        <f>VLOOKUP($Q520,Mapping!$E$11:$I$96,3,0)</f>
        <v>Connections</v>
      </c>
      <c r="X520" s="7" t="str">
        <f>VLOOKUP($S520,Mapping!$E$140:$K$2771,5,0)</f>
        <v>Labour</v>
      </c>
      <c r="Y520" s="7" t="str">
        <f>VLOOKUP($S520,Mapping!$E$140:$K$2771,7,0)</f>
        <v>ENDirect</v>
      </c>
      <c r="Z520" s="7" t="str">
        <f>IFERROR(HLOOKUP(X520,'Calc|Weightings'!$K$5:$M$5,1,0),"Excl")</f>
        <v>Labour</v>
      </c>
      <c r="AA520" s="7" t="str">
        <f>VLOOKUP(Q520,Mapping!$E$11:$I$96,5,0)</f>
        <v>SCS</v>
      </c>
      <c r="AC520" s="111">
        <v>116</v>
      </c>
      <c r="AD520" s="111" t="s">
        <v>2130</v>
      </c>
      <c r="AE520" s="111">
        <v>613410</v>
      </c>
      <c r="AF520" s="111" t="s">
        <v>2100</v>
      </c>
      <c r="AG520" s="112">
        <v>335.83548000000002</v>
      </c>
      <c r="AI520" s="7" t="str">
        <f>VLOOKUP($AC520,Mapping!$E$11:$I$96,3,0)</f>
        <v>Connections</v>
      </c>
      <c r="AJ520" s="7" t="str">
        <f>VLOOKUP($AE520,Mapping!$E$140:$K$2771,5,0)</f>
        <v>Labour</v>
      </c>
      <c r="AK520" s="7" t="str">
        <f>VLOOKUP($AE520,Mapping!$E$140:$K$2771,7,0)</f>
        <v>ENDirect</v>
      </c>
      <c r="AL520" s="7" t="str">
        <f>IFERROR(HLOOKUP(AJ520,'Calc|Weightings'!$K$5:$M$5,1,0),"Excl")</f>
        <v>Labour</v>
      </c>
      <c r="AM520" s="7" t="str">
        <f>VLOOKUP(AC520,Mapping!$E$11:$I$96,5,0)</f>
        <v>SCS</v>
      </c>
      <c r="AO520" s="134">
        <v>116</v>
      </c>
      <c r="AP520" s="135" t="s">
        <v>2130</v>
      </c>
      <c r="AQ520" s="135">
        <v>635001</v>
      </c>
      <c r="AR520" s="135" t="s">
        <v>1929</v>
      </c>
      <c r="AS520" s="136">
        <v>1031.7139500000001</v>
      </c>
      <c r="AU520" s="7" t="str">
        <f>VLOOKUP($AO520,Mapping!$E$11:$I$96,3,0)</f>
        <v>Connections</v>
      </c>
      <c r="AV520" s="7" t="str">
        <f>VLOOKUP($AQ520,Mapping!$E$140:$K$2771,5,0)</f>
        <v>PNS MG</v>
      </c>
      <c r="AW520" s="7" t="str">
        <f>VLOOKUP($AQ520,Mapping!$E$140:$K$2771,7,0)</f>
        <v>ENDirect</v>
      </c>
      <c r="AX520" s="7" t="str">
        <f>IFERROR(HLOOKUP(AV520,'Calc|Weightings'!$K$5:$M$5,1,0),"Excl")</f>
        <v>Excl</v>
      </c>
      <c r="AY520" s="7" t="str">
        <f>VLOOKUP(AO520,Mapping!$E$11:$I$96,5,0)</f>
        <v>SCS</v>
      </c>
    </row>
    <row r="521" spans="1:51" x14ac:dyDescent="0.2">
      <c r="A521" s="7"/>
      <c r="B521" s="7"/>
      <c r="C521" s="7"/>
      <c r="D521" s="7"/>
      <c r="E521" s="36">
        <v>116</v>
      </c>
      <c r="F521" s="36" t="s">
        <v>2130</v>
      </c>
      <c r="G521" s="36">
        <v>612210</v>
      </c>
      <c r="H521" s="36" t="s">
        <v>1184</v>
      </c>
      <c r="I521" s="37">
        <v>33.065869999999997</v>
      </c>
      <c r="J521" s="7"/>
      <c r="K521" s="7" t="str">
        <f>VLOOKUP($E521,Mapping!$E$11:$I$96,3,0)</f>
        <v>Connections</v>
      </c>
      <c r="L521" s="7" t="str">
        <f>VLOOKUP($G521,Mapping!$E$140:$K$2771,5,0)</f>
        <v>Labour</v>
      </c>
      <c r="M521" s="7" t="str">
        <f>VLOOKUP($G521,Mapping!$E$140:$K$2771,7,0)</f>
        <v>ENDirect</v>
      </c>
      <c r="N521" s="7" t="str">
        <f>IFERROR(HLOOKUP(L521,'Calc|Weightings'!$K$5:$M$5,1,0),"Excl")</f>
        <v>Labour</v>
      </c>
      <c r="O521" s="7" t="str">
        <f>VLOOKUP(E521,Mapping!$E$11:$I$96,5,0)</f>
        <v>SCS</v>
      </c>
      <c r="Q521" s="33">
        <v>116</v>
      </c>
      <c r="R521" s="33" t="s">
        <v>2130</v>
      </c>
      <c r="S521" s="33">
        <v>613574</v>
      </c>
      <c r="T521" s="33" t="s">
        <v>1488</v>
      </c>
      <c r="U521" s="34">
        <v>201.15948</v>
      </c>
      <c r="V521" s="7"/>
      <c r="W521" s="7" t="str">
        <f>VLOOKUP($Q521,Mapping!$E$11:$I$96,3,0)</f>
        <v>Connections</v>
      </c>
      <c r="X521" s="7" t="str">
        <f>VLOOKUP($S521,Mapping!$E$140:$K$2771,5,0)</f>
        <v>Labour</v>
      </c>
      <c r="Y521" s="7" t="str">
        <f>VLOOKUP($S521,Mapping!$E$140:$K$2771,7,0)</f>
        <v>ENDirect</v>
      </c>
      <c r="Z521" s="7" t="str">
        <f>IFERROR(HLOOKUP(X521,'Calc|Weightings'!$K$5:$M$5,1,0),"Excl")</f>
        <v>Labour</v>
      </c>
      <c r="AA521" s="7" t="str">
        <f>VLOOKUP(Q521,Mapping!$E$11:$I$96,5,0)</f>
        <v>SCS</v>
      </c>
      <c r="AC521" s="111">
        <v>116</v>
      </c>
      <c r="AD521" s="111" t="s">
        <v>2130</v>
      </c>
      <c r="AE521" s="111">
        <v>613411</v>
      </c>
      <c r="AF521" s="111" t="s">
        <v>2101</v>
      </c>
      <c r="AG521" s="112">
        <v>28.575990000000001</v>
      </c>
      <c r="AI521" s="7" t="str">
        <f>VLOOKUP($AC521,Mapping!$E$11:$I$96,3,0)</f>
        <v>Connections</v>
      </c>
      <c r="AJ521" s="7" t="str">
        <f>VLOOKUP($AE521,Mapping!$E$140:$K$2771,5,0)</f>
        <v>Labour</v>
      </c>
      <c r="AK521" s="7" t="str">
        <f>VLOOKUP($AE521,Mapping!$E$140:$K$2771,7,0)</f>
        <v>ENDirect</v>
      </c>
      <c r="AL521" s="7" t="str">
        <f>IFERROR(HLOOKUP(AJ521,'Calc|Weightings'!$K$5:$M$5,1,0),"Excl")</f>
        <v>Labour</v>
      </c>
      <c r="AM521" s="7" t="str">
        <f>VLOOKUP(AC521,Mapping!$E$11:$I$96,5,0)</f>
        <v>SCS</v>
      </c>
      <c r="AO521" s="134">
        <v>116</v>
      </c>
      <c r="AP521" s="135" t="s">
        <v>2130</v>
      </c>
      <c r="AQ521" s="135">
        <v>636001</v>
      </c>
      <c r="AR521" s="135" t="s">
        <v>2111</v>
      </c>
      <c r="AS521" s="136">
        <v>960.31057999999996</v>
      </c>
      <c r="AU521" s="7" t="str">
        <f>VLOOKUP($AO521,Mapping!$E$11:$I$96,3,0)</f>
        <v>Connections</v>
      </c>
      <c r="AV521" s="7" t="str">
        <f>VLOOKUP($AQ521,Mapping!$E$140:$K$2771,5,0)</f>
        <v>System Control OH</v>
      </c>
      <c r="AW521" s="7" t="str">
        <f>VLOOKUP($AQ521,Mapping!$E$140:$K$2771,7,0)</f>
        <v>OH</v>
      </c>
      <c r="AX521" s="7" t="str">
        <f>IFERROR(HLOOKUP(AV521,'Calc|Weightings'!$K$5:$M$5,1,0),"Excl")</f>
        <v>Excl</v>
      </c>
      <c r="AY521" s="7" t="str">
        <f>VLOOKUP(AO521,Mapping!$E$11:$I$96,5,0)</f>
        <v>SCS</v>
      </c>
    </row>
    <row r="522" spans="1:51" x14ac:dyDescent="0.2">
      <c r="A522" s="7"/>
      <c r="B522" s="7"/>
      <c r="C522" s="7"/>
      <c r="D522" s="7"/>
      <c r="E522" s="36">
        <v>116</v>
      </c>
      <c r="F522" s="36" t="s">
        <v>2130</v>
      </c>
      <c r="G522" s="36">
        <v>612211</v>
      </c>
      <c r="H522" s="36" t="s">
        <v>1185</v>
      </c>
      <c r="I522" s="37">
        <v>4.8340699999999996</v>
      </c>
      <c r="J522" s="7"/>
      <c r="K522" s="7" t="str">
        <f>VLOOKUP($E522,Mapping!$E$11:$I$96,3,0)</f>
        <v>Connections</v>
      </c>
      <c r="L522" s="7" t="str">
        <f>VLOOKUP($G522,Mapping!$E$140:$K$2771,5,0)</f>
        <v>Labour</v>
      </c>
      <c r="M522" s="7" t="str">
        <f>VLOOKUP($G522,Mapping!$E$140:$K$2771,7,0)</f>
        <v>ENDirect</v>
      </c>
      <c r="N522" s="7" t="str">
        <f>IFERROR(HLOOKUP(L522,'Calc|Weightings'!$K$5:$M$5,1,0),"Excl")</f>
        <v>Labour</v>
      </c>
      <c r="O522" s="7" t="str">
        <f>VLOOKUP(E522,Mapping!$E$11:$I$96,5,0)</f>
        <v>SCS</v>
      </c>
      <c r="Q522" s="33">
        <v>116</v>
      </c>
      <c r="R522" s="33" t="s">
        <v>2130</v>
      </c>
      <c r="S522" s="33">
        <v>613575</v>
      </c>
      <c r="T522" s="33" t="s">
        <v>1489</v>
      </c>
      <c r="U522" s="34">
        <v>13.27144</v>
      </c>
      <c r="V522" s="7"/>
      <c r="W522" s="7" t="str">
        <f>VLOOKUP($Q522,Mapping!$E$11:$I$96,3,0)</f>
        <v>Connections</v>
      </c>
      <c r="X522" s="7" t="str">
        <f>VLOOKUP($S522,Mapping!$E$140:$K$2771,5,0)</f>
        <v>Labour</v>
      </c>
      <c r="Y522" s="7" t="str">
        <f>VLOOKUP($S522,Mapping!$E$140:$K$2771,7,0)</f>
        <v>ENDirect</v>
      </c>
      <c r="Z522" s="7" t="str">
        <f>IFERROR(HLOOKUP(X522,'Calc|Weightings'!$K$5:$M$5,1,0),"Excl")</f>
        <v>Labour</v>
      </c>
      <c r="AA522" s="7" t="str">
        <f>VLOOKUP(Q522,Mapping!$E$11:$I$96,5,0)</f>
        <v>SCS</v>
      </c>
      <c r="AC522" s="111">
        <v>116</v>
      </c>
      <c r="AD522" s="111" t="s">
        <v>2130</v>
      </c>
      <c r="AE522" s="111">
        <v>613420</v>
      </c>
      <c r="AF522" s="111" t="s">
        <v>2393</v>
      </c>
      <c r="AG522" s="112">
        <v>3.8482599999999998</v>
      </c>
      <c r="AI522" s="7" t="str">
        <f>VLOOKUP($AC522,Mapping!$E$11:$I$96,3,0)</f>
        <v>Connections</v>
      </c>
      <c r="AJ522" s="7" t="str">
        <f>VLOOKUP($AE522,Mapping!$E$140:$K$2771,5,0)</f>
        <v>Labour</v>
      </c>
      <c r="AK522" s="7" t="str">
        <f>VLOOKUP($AE522,Mapping!$E$140:$K$2771,7,0)</f>
        <v>ENDirect</v>
      </c>
      <c r="AL522" s="7" t="str">
        <f>IFERROR(HLOOKUP(AJ522,'Calc|Weightings'!$K$5:$M$5,1,0),"Excl")</f>
        <v>Labour</v>
      </c>
      <c r="AM522" s="7" t="str">
        <f>VLOOKUP(AC522,Mapping!$E$11:$I$96,5,0)</f>
        <v>SCS</v>
      </c>
      <c r="AO522" s="134">
        <v>116</v>
      </c>
      <c r="AP522" s="135" t="s">
        <v>2130</v>
      </c>
      <c r="AQ522" s="135">
        <v>636105</v>
      </c>
      <c r="AR522" s="135" t="s">
        <v>1937</v>
      </c>
      <c r="AS522" s="136">
        <v>7.9878</v>
      </c>
      <c r="AU522" s="7" t="str">
        <f>VLOOKUP($AO522,Mapping!$E$11:$I$96,3,0)</f>
        <v>Connections</v>
      </c>
      <c r="AV522" s="7" t="str">
        <f>VLOOKUP($AQ522,Mapping!$E$140:$K$2771,5,0)</f>
        <v>CSG MG</v>
      </c>
      <c r="AW522" s="7" t="str">
        <f>VLOOKUP($AQ522,Mapping!$E$140:$K$2771,7,0)</f>
        <v>ENDirect</v>
      </c>
      <c r="AX522" s="7" t="str">
        <f>IFERROR(HLOOKUP(AV522,'Calc|Weightings'!$K$5:$M$5,1,0),"Excl")</f>
        <v>Excl</v>
      </c>
      <c r="AY522" s="7" t="str">
        <f>VLOOKUP(AO522,Mapping!$E$11:$I$96,5,0)</f>
        <v>SCS</v>
      </c>
    </row>
    <row r="523" spans="1:51" x14ac:dyDescent="0.2">
      <c r="A523" s="7"/>
      <c r="B523" s="7"/>
      <c r="C523" s="7"/>
      <c r="D523" s="7"/>
      <c r="E523" s="36">
        <v>116</v>
      </c>
      <c r="F523" s="36" t="s">
        <v>2130</v>
      </c>
      <c r="G523" s="36">
        <v>612221</v>
      </c>
      <c r="H523" s="36" t="s">
        <v>2354</v>
      </c>
      <c r="I523" s="37">
        <v>1.0327200000000001</v>
      </c>
      <c r="J523" s="7"/>
      <c r="K523" s="7" t="str">
        <f>VLOOKUP($E523,Mapping!$E$11:$I$96,3,0)</f>
        <v>Connections</v>
      </c>
      <c r="L523" s="7" t="str">
        <f>VLOOKUP($G523,Mapping!$E$140:$K$2771,5,0)</f>
        <v>Labour</v>
      </c>
      <c r="M523" s="7" t="str">
        <f>VLOOKUP($G523,Mapping!$E$140:$K$2771,7,0)</f>
        <v>ENDirect</v>
      </c>
      <c r="N523" s="7" t="str">
        <f>IFERROR(HLOOKUP(L523,'Calc|Weightings'!$K$5:$M$5,1,0),"Excl")</f>
        <v>Labour</v>
      </c>
      <c r="O523" s="7" t="str">
        <f>VLOOKUP(E523,Mapping!$E$11:$I$96,5,0)</f>
        <v>SCS</v>
      </c>
      <c r="Q523" s="33">
        <v>116</v>
      </c>
      <c r="R523" s="33" t="s">
        <v>2130</v>
      </c>
      <c r="S523" s="33">
        <v>613576</v>
      </c>
      <c r="T523" s="33" t="s">
        <v>1490</v>
      </c>
      <c r="U523" s="34">
        <v>4.6148400000000001</v>
      </c>
      <c r="V523" s="7"/>
      <c r="W523" s="7" t="str">
        <f>VLOOKUP($Q523,Mapping!$E$11:$I$96,3,0)</f>
        <v>Connections</v>
      </c>
      <c r="X523" s="7" t="str">
        <f>VLOOKUP($S523,Mapping!$E$140:$K$2771,5,0)</f>
        <v>Labour</v>
      </c>
      <c r="Y523" s="7" t="str">
        <f>VLOOKUP($S523,Mapping!$E$140:$K$2771,7,0)</f>
        <v>ENDirect</v>
      </c>
      <c r="Z523" s="7" t="str">
        <f>IFERROR(HLOOKUP(X523,'Calc|Weightings'!$K$5:$M$5,1,0),"Excl")</f>
        <v>Labour</v>
      </c>
      <c r="AA523" s="7" t="str">
        <f>VLOOKUP(Q523,Mapping!$E$11:$I$96,5,0)</f>
        <v>SCS</v>
      </c>
      <c r="AC523" s="111">
        <v>116</v>
      </c>
      <c r="AD523" s="111" t="s">
        <v>2130</v>
      </c>
      <c r="AE523" s="111">
        <v>613434</v>
      </c>
      <c r="AF523" s="111" t="s">
        <v>2102</v>
      </c>
      <c r="AG523" s="112">
        <v>300.99736000000001</v>
      </c>
      <c r="AI523" s="7" t="str">
        <f>VLOOKUP($AC523,Mapping!$E$11:$I$96,3,0)</f>
        <v>Connections</v>
      </c>
      <c r="AJ523" s="7" t="str">
        <f>VLOOKUP($AE523,Mapping!$E$140:$K$2771,5,0)</f>
        <v>Labour</v>
      </c>
      <c r="AK523" s="7" t="str">
        <f>VLOOKUP($AE523,Mapping!$E$140:$K$2771,7,0)</f>
        <v>ENDirect</v>
      </c>
      <c r="AL523" s="7" t="str">
        <f>IFERROR(HLOOKUP(AJ523,'Calc|Weightings'!$K$5:$M$5,1,0),"Excl")</f>
        <v>Labour</v>
      </c>
      <c r="AM523" s="7" t="str">
        <f>VLOOKUP(AC523,Mapping!$E$11:$I$96,5,0)</f>
        <v>SCS</v>
      </c>
      <c r="AO523" s="134">
        <v>116</v>
      </c>
      <c r="AP523" s="135" t="s">
        <v>2130</v>
      </c>
      <c r="AQ523" s="135">
        <v>639000</v>
      </c>
      <c r="AR523" s="135" t="s">
        <v>2112</v>
      </c>
      <c r="AS523" s="136">
        <v>1013.32654</v>
      </c>
      <c r="AU523" s="7" t="str">
        <f>VLOOKUP($AO523,Mapping!$E$11:$I$96,3,0)</f>
        <v>Connections</v>
      </c>
      <c r="AV523" s="7" t="str">
        <f>VLOOKUP($AQ523,Mapping!$E$140:$K$2771,5,0)</f>
        <v>PNS Corporate OH</v>
      </c>
      <c r="AW523" s="7" t="str">
        <f>VLOOKUP($AQ523,Mapping!$E$140:$K$2771,7,0)</f>
        <v>OH</v>
      </c>
      <c r="AX523" s="7" t="str">
        <f>IFERROR(HLOOKUP(AV523,'Calc|Weightings'!$K$5:$M$5,1,0),"Excl")</f>
        <v>Excl</v>
      </c>
      <c r="AY523" s="7" t="str">
        <f>VLOOKUP(AO523,Mapping!$E$11:$I$96,5,0)</f>
        <v>SCS</v>
      </c>
    </row>
    <row r="524" spans="1:51" x14ac:dyDescent="0.2">
      <c r="A524" s="7"/>
      <c r="B524" s="7"/>
      <c r="C524" s="7"/>
      <c r="D524" s="7"/>
      <c r="E524" s="36">
        <v>116</v>
      </c>
      <c r="F524" s="36" t="s">
        <v>2130</v>
      </c>
      <c r="G524" s="36">
        <v>612460</v>
      </c>
      <c r="H524" s="36" t="s">
        <v>1243</v>
      </c>
      <c r="I524" s="37">
        <v>43.112200000000001</v>
      </c>
      <c r="J524" s="7"/>
      <c r="K524" s="7" t="str">
        <f>VLOOKUP($E524,Mapping!$E$11:$I$96,3,0)</f>
        <v>Connections</v>
      </c>
      <c r="L524" s="7" t="str">
        <f>VLOOKUP($G524,Mapping!$E$140:$K$2771,5,0)</f>
        <v>Labour</v>
      </c>
      <c r="M524" s="7" t="str">
        <f>VLOOKUP($G524,Mapping!$E$140:$K$2771,7,0)</f>
        <v>ENDirect</v>
      </c>
      <c r="N524" s="7" t="str">
        <f>IFERROR(HLOOKUP(L524,'Calc|Weightings'!$K$5:$M$5,1,0),"Excl")</f>
        <v>Labour</v>
      </c>
      <c r="O524" s="7" t="str">
        <f>VLOOKUP(E524,Mapping!$E$11:$I$96,5,0)</f>
        <v>SCS</v>
      </c>
      <c r="Q524" s="33">
        <v>116</v>
      </c>
      <c r="R524" s="33" t="s">
        <v>2130</v>
      </c>
      <c r="S524" s="33">
        <v>613577</v>
      </c>
      <c r="T524" s="33" t="s">
        <v>1491</v>
      </c>
      <c r="U524" s="34">
        <v>7.2911999999999999</v>
      </c>
      <c r="V524" s="7"/>
      <c r="W524" s="7" t="str">
        <f>VLOOKUP($Q524,Mapping!$E$11:$I$96,3,0)</f>
        <v>Connections</v>
      </c>
      <c r="X524" s="7" t="str">
        <f>VLOOKUP($S524,Mapping!$E$140:$K$2771,5,0)</f>
        <v>Labour</v>
      </c>
      <c r="Y524" s="7" t="str">
        <f>VLOOKUP($S524,Mapping!$E$140:$K$2771,7,0)</f>
        <v>ENDirect</v>
      </c>
      <c r="Z524" s="7" t="str">
        <f>IFERROR(HLOOKUP(X524,'Calc|Weightings'!$K$5:$M$5,1,0),"Excl")</f>
        <v>Labour</v>
      </c>
      <c r="AA524" s="7" t="str">
        <f>VLOOKUP(Q524,Mapping!$E$11:$I$96,5,0)</f>
        <v>SCS</v>
      </c>
      <c r="AC524" s="111">
        <v>116</v>
      </c>
      <c r="AD524" s="111" t="s">
        <v>2130</v>
      </c>
      <c r="AE524" s="111">
        <v>613440</v>
      </c>
      <c r="AF524" s="111" t="s">
        <v>2103</v>
      </c>
      <c r="AG524" s="112">
        <v>26.375080000000001</v>
      </c>
      <c r="AI524" s="7" t="str">
        <f>VLOOKUP($AC524,Mapping!$E$11:$I$96,3,0)</f>
        <v>Connections</v>
      </c>
      <c r="AJ524" s="7" t="str">
        <f>VLOOKUP($AE524,Mapping!$E$140:$K$2771,5,0)</f>
        <v>Labour</v>
      </c>
      <c r="AK524" s="7" t="str">
        <f>VLOOKUP($AE524,Mapping!$E$140:$K$2771,7,0)</f>
        <v>ENDirect</v>
      </c>
      <c r="AL524" s="7" t="str">
        <f>IFERROR(HLOOKUP(AJ524,'Calc|Weightings'!$K$5:$M$5,1,0),"Excl")</f>
        <v>Labour</v>
      </c>
      <c r="AM524" s="7" t="str">
        <f>VLOOKUP(AC524,Mapping!$E$11:$I$96,5,0)</f>
        <v>SCS</v>
      </c>
      <c r="AO524" s="134">
        <v>116</v>
      </c>
      <c r="AP524" s="135" t="s">
        <v>2130</v>
      </c>
      <c r="AQ524" s="135">
        <v>639050</v>
      </c>
      <c r="AR524" s="135" t="s">
        <v>2113</v>
      </c>
      <c r="AS524" s="136">
        <v>239.77610000000001</v>
      </c>
      <c r="AU524" s="7" t="str">
        <f>VLOOKUP($AO524,Mapping!$E$11:$I$96,3,0)</f>
        <v>Connections</v>
      </c>
      <c r="AV524" s="7" t="str">
        <f>VLOOKUP($AQ524,Mapping!$E$140:$K$2771,5,0)</f>
        <v>PNS Fleet &amp; Property OH</v>
      </c>
      <c r="AW524" s="7" t="str">
        <f>VLOOKUP($AQ524,Mapping!$E$140:$K$2771,7,0)</f>
        <v>OH</v>
      </c>
      <c r="AX524" s="7" t="str">
        <f>IFERROR(HLOOKUP(AV524,'Calc|Weightings'!$K$5:$M$5,1,0),"Excl")</f>
        <v>Excl</v>
      </c>
      <c r="AY524" s="7" t="str">
        <f>VLOOKUP(AO524,Mapping!$E$11:$I$96,5,0)</f>
        <v>SCS</v>
      </c>
    </row>
    <row r="525" spans="1:51" x14ac:dyDescent="0.2">
      <c r="A525" s="7"/>
      <c r="B525" s="7"/>
      <c r="C525" s="7"/>
      <c r="D525" s="7"/>
      <c r="E525" s="36">
        <v>116</v>
      </c>
      <c r="F525" s="36" t="s">
        <v>2130</v>
      </c>
      <c r="G525" s="36">
        <v>612462</v>
      </c>
      <c r="H525" s="36" t="s">
        <v>1244</v>
      </c>
      <c r="I525" s="37">
        <v>-13.365729999999999</v>
      </c>
      <c r="J525" s="7"/>
      <c r="K525" s="7" t="str">
        <f>VLOOKUP($E525,Mapping!$E$11:$I$96,3,0)</f>
        <v>Connections</v>
      </c>
      <c r="L525" s="7" t="str">
        <f>VLOOKUP($G525,Mapping!$E$140:$K$2771,5,0)</f>
        <v>Labour</v>
      </c>
      <c r="M525" s="7" t="str">
        <f>VLOOKUP($G525,Mapping!$E$140:$K$2771,7,0)</f>
        <v>ENDirect</v>
      </c>
      <c r="N525" s="7" t="str">
        <f>IFERROR(HLOOKUP(L525,'Calc|Weightings'!$K$5:$M$5,1,0),"Excl")</f>
        <v>Labour</v>
      </c>
      <c r="O525" s="7" t="str">
        <f>VLOOKUP(E525,Mapping!$E$11:$I$96,5,0)</f>
        <v>SCS</v>
      </c>
      <c r="Q525" s="33">
        <v>116</v>
      </c>
      <c r="R525" s="33" t="s">
        <v>2130</v>
      </c>
      <c r="S525" s="33">
        <v>613602</v>
      </c>
      <c r="T525" s="33" t="s">
        <v>1494</v>
      </c>
      <c r="U525" s="34">
        <v>5.1276000000000002</v>
      </c>
      <c r="V525" s="7"/>
      <c r="W525" s="7" t="str">
        <f>VLOOKUP($Q525,Mapping!$E$11:$I$96,3,0)</f>
        <v>Connections</v>
      </c>
      <c r="X525" s="7" t="str">
        <f>VLOOKUP($S525,Mapping!$E$140:$K$2771,5,0)</f>
        <v>Labour</v>
      </c>
      <c r="Y525" s="7" t="str">
        <f>VLOOKUP($S525,Mapping!$E$140:$K$2771,7,0)</f>
        <v>ENDirect</v>
      </c>
      <c r="Z525" s="7" t="str">
        <f>IFERROR(HLOOKUP(X525,'Calc|Weightings'!$K$5:$M$5,1,0),"Excl")</f>
        <v>Labour</v>
      </c>
      <c r="AA525" s="7" t="str">
        <f>VLOOKUP(Q525,Mapping!$E$11:$I$96,5,0)</f>
        <v>SCS</v>
      </c>
      <c r="AC525" s="111">
        <v>116</v>
      </c>
      <c r="AD525" s="111" t="s">
        <v>2130</v>
      </c>
      <c r="AE525" s="111">
        <v>613441</v>
      </c>
      <c r="AF525" s="111" t="s">
        <v>2104</v>
      </c>
      <c r="AG525" s="112">
        <v>4.1091300000000004</v>
      </c>
      <c r="AI525" s="7" t="str">
        <f>VLOOKUP($AC525,Mapping!$E$11:$I$96,3,0)</f>
        <v>Connections</v>
      </c>
      <c r="AJ525" s="7" t="str">
        <f>VLOOKUP($AE525,Mapping!$E$140:$K$2771,5,0)</f>
        <v>Labour</v>
      </c>
      <c r="AK525" s="7" t="str">
        <f>VLOOKUP($AE525,Mapping!$E$140:$K$2771,7,0)</f>
        <v>ENDirect</v>
      </c>
      <c r="AL525" s="7" t="str">
        <f>IFERROR(HLOOKUP(AJ525,'Calc|Weightings'!$K$5:$M$5,1,0),"Excl")</f>
        <v>Labour</v>
      </c>
      <c r="AM525" s="7" t="str">
        <f>VLOOKUP(AC525,Mapping!$E$11:$I$96,5,0)</f>
        <v>SCS</v>
      </c>
      <c r="AO525" s="134">
        <v>118</v>
      </c>
      <c r="AP525" s="135" t="s">
        <v>2132</v>
      </c>
      <c r="AQ525" s="135">
        <v>591997</v>
      </c>
      <c r="AR525" s="135" t="s">
        <v>2194</v>
      </c>
      <c r="AS525" s="136">
        <v>-1.07E-3</v>
      </c>
      <c r="AU525" s="7" t="str">
        <f>VLOOKUP($AO525,Mapping!$E$11:$I$96,3,0)</f>
        <v>Connections</v>
      </c>
      <c r="AV525" s="7" t="str">
        <f>VLOOKUP($AQ525,Mapping!$E$140:$K$2771,5,0)</f>
        <v>Contracts</v>
      </c>
      <c r="AW525" s="7" t="str">
        <f>VLOOKUP($AQ525,Mapping!$E$140:$K$2771,7,0)</f>
        <v>ENDirect</v>
      </c>
      <c r="AX525" s="7" t="str">
        <f>IFERROR(HLOOKUP(AV525,'Calc|Weightings'!$K$5:$M$5,1,0),"Excl")</f>
        <v>Contracts</v>
      </c>
      <c r="AY525" s="7" t="str">
        <f>VLOOKUP(AO525,Mapping!$E$11:$I$96,5,0)</f>
        <v>SCS</v>
      </c>
    </row>
    <row r="526" spans="1:51" x14ac:dyDescent="0.2">
      <c r="A526" s="7"/>
      <c r="B526" s="7"/>
      <c r="C526" s="7"/>
      <c r="D526" s="7"/>
      <c r="E526" s="36">
        <v>116</v>
      </c>
      <c r="F526" s="36" t="s">
        <v>2130</v>
      </c>
      <c r="G526" s="36">
        <v>613240</v>
      </c>
      <c r="H526" s="36" t="s">
        <v>2082</v>
      </c>
      <c r="I526" s="37">
        <v>9.7368000000000006</v>
      </c>
      <c r="J526" s="7"/>
      <c r="K526" s="7" t="str">
        <f>VLOOKUP($E526,Mapping!$E$11:$I$96,3,0)</f>
        <v>Connections</v>
      </c>
      <c r="L526" s="7" t="str">
        <f>VLOOKUP($G526,Mapping!$E$140:$K$2771,5,0)</f>
        <v>Labour</v>
      </c>
      <c r="M526" s="7" t="str">
        <f>VLOOKUP($G526,Mapping!$E$140:$K$2771,7,0)</f>
        <v>ENDirect</v>
      </c>
      <c r="N526" s="7" t="str">
        <f>IFERROR(HLOOKUP(L526,'Calc|Weightings'!$K$5:$M$5,1,0),"Excl")</f>
        <v>Labour</v>
      </c>
      <c r="O526" s="7" t="str">
        <f>VLOOKUP(E526,Mapping!$E$11:$I$96,5,0)</f>
        <v>SCS</v>
      </c>
      <c r="Q526" s="33">
        <v>116</v>
      </c>
      <c r="R526" s="33" t="s">
        <v>2130</v>
      </c>
      <c r="S526" s="33">
        <v>613630</v>
      </c>
      <c r="T526" s="33" t="s">
        <v>1498</v>
      </c>
      <c r="U526" s="34">
        <v>133.02081000000001</v>
      </c>
      <c r="V526" s="7"/>
      <c r="W526" s="7" t="str">
        <f>VLOOKUP($Q526,Mapping!$E$11:$I$96,3,0)</f>
        <v>Connections</v>
      </c>
      <c r="X526" s="7" t="str">
        <f>VLOOKUP($S526,Mapping!$E$140:$K$2771,5,0)</f>
        <v>Labour</v>
      </c>
      <c r="Y526" s="7" t="str">
        <f>VLOOKUP($S526,Mapping!$E$140:$K$2771,7,0)</f>
        <v>ENDirect</v>
      </c>
      <c r="Z526" s="7" t="str">
        <f>IFERROR(HLOOKUP(X526,'Calc|Weightings'!$K$5:$M$5,1,0),"Excl")</f>
        <v>Labour</v>
      </c>
      <c r="AA526" s="7" t="str">
        <f>VLOOKUP(Q526,Mapping!$E$11:$I$96,5,0)</f>
        <v>SCS</v>
      </c>
      <c r="AC526" s="111">
        <v>116</v>
      </c>
      <c r="AD526" s="111" t="s">
        <v>2130</v>
      </c>
      <c r="AE526" s="111">
        <v>613448</v>
      </c>
      <c r="AF526" s="111" t="s">
        <v>2105</v>
      </c>
      <c r="AG526" s="112">
        <v>44.04739</v>
      </c>
      <c r="AI526" s="7" t="str">
        <f>VLOOKUP($AC526,Mapping!$E$11:$I$96,3,0)</f>
        <v>Connections</v>
      </c>
      <c r="AJ526" s="7" t="str">
        <f>VLOOKUP($AE526,Mapping!$E$140:$K$2771,5,0)</f>
        <v>Labour</v>
      </c>
      <c r="AK526" s="7" t="str">
        <f>VLOOKUP($AE526,Mapping!$E$140:$K$2771,7,0)</f>
        <v>ENDirect</v>
      </c>
      <c r="AL526" s="7" t="str">
        <f>IFERROR(HLOOKUP(AJ526,'Calc|Weightings'!$K$5:$M$5,1,0),"Excl")</f>
        <v>Labour</v>
      </c>
      <c r="AM526" s="7" t="str">
        <f>VLOOKUP(AC526,Mapping!$E$11:$I$96,5,0)</f>
        <v>SCS</v>
      </c>
      <c r="AO526" s="134">
        <v>118</v>
      </c>
      <c r="AP526" s="135" t="s">
        <v>2132</v>
      </c>
      <c r="AQ526" s="135">
        <v>591998</v>
      </c>
      <c r="AR526" s="135" t="s">
        <v>2077</v>
      </c>
      <c r="AS526" s="136">
        <v>-0.11809</v>
      </c>
      <c r="AU526" s="7" t="str">
        <f>VLOOKUP($AO526,Mapping!$E$11:$I$96,3,0)</f>
        <v>Connections</v>
      </c>
      <c r="AV526" s="7" t="str">
        <f>VLOOKUP($AQ526,Mapping!$E$140:$K$2771,5,0)</f>
        <v>Contracts</v>
      </c>
      <c r="AW526" s="7" t="str">
        <f>VLOOKUP($AQ526,Mapping!$E$140:$K$2771,7,0)</f>
        <v>ENDirect</v>
      </c>
      <c r="AX526" s="7" t="str">
        <f>IFERROR(HLOOKUP(AV526,'Calc|Weightings'!$K$5:$M$5,1,0),"Excl")</f>
        <v>Contracts</v>
      </c>
      <c r="AY526" s="7" t="str">
        <f>VLOOKUP(AO526,Mapping!$E$11:$I$96,5,0)</f>
        <v>SCS</v>
      </c>
    </row>
    <row r="527" spans="1:51" x14ac:dyDescent="0.2">
      <c r="A527" s="7"/>
      <c r="B527" s="7"/>
      <c r="C527" s="7"/>
      <c r="D527" s="7"/>
      <c r="E527" s="36">
        <v>116</v>
      </c>
      <c r="F527" s="36" t="s">
        <v>2130</v>
      </c>
      <c r="G527" s="36">
        <v>613241</v>
      </c>
      <c r="H527" s="36" t="s">
        <v>2083</v>
      </c>
      <c r="I527" s="37">
        <v>4.7466900000000001</v>
      </c>
      <c r="J527" s="7"/>
      <c r="K527" s="7" t="str">
        <f>VLOOKUP($E527,Mapping!$E$11:$I$96,3,0)</f>
        <v>Connections</v>
      </c>
      <c r="L527" s="7" t="str">
        <f>VLOOKUP($G527,Mapping!$E$140:$K$2771,5,0)</f>
        <v>Labour</v>
      </c>
      <c r="M527" s="7" t="str">
        <f>VLOOKUP($G527,Mapping!$E$140:$K$2771,7,0)</f>
        <v>ENDirect</v>
      </c>
      <c r="N527" s="7" t="str">
        <f>IFERROR(HLOOKUP(L527,'Calc|Weightings'!$K$5:$M$5,1,0),"Excl")</f>
        <v>Labour</v>
      </c>
      <c r="O527" s="7" t="str">
        <f>VLOOKUP(E527,Mapping!$E$11:$I$96,5,0)</f>
        <v>SCS</v>
      </c>
      <c r="Q527" s="33">
        <v>116</v>
      </c>
      <c r="R527" s="33" t="s">
        <v>2130</v>
      </c>
      <c r="S527" s="33">
        <v>613680</v>
      </c>
      <c r="T527" s="33" t="s">
        <v>2107</v>
      </c>
      <c r="U527" s="34">
        <v>365.18405000000001</v>
      </c>
      <c r="V527" s="7"/>
      <c r="W527" s="7" t="str">
        <f>VLOOKUP($Q527,Mapping!$E$11:$I$96,3,0)</f>
        <v>Connections</v>
      </c>
      <c r="X527" s="7" t="str">
        <f>VLOOKUP($S527,Mapping!$E$140:$K$2771,5,0)</f>
        <v>Labour</v>
      </c>
      <c r="Y527" s="7" t="str">
        <f>VLOOKUP($S527,Mapping!$E$140:$K$2771,7,0)</f>
        <v>ENDirect</v>
      </c>
      <c r="Z527" s="7" t="str">
        <f>IFERROR(HLOOKUP(X527,'Calc|Weightings'!$K$5:$M$5,1,0),"Excl")</f>
        <v>Labour</v>
      </c>
      <c r="AA527" s="7" t="str">
        <f>VLOOKUP(Q527,Mapping!$E$11:$I$96,5,0)</f>
        <v>SCS</v>
      </c>
      <c r="AC527" s="111">
        <v>116</v>
      </c>
      <c r="AD527" s="111" t="s">
        <v>2130</v>
      </c>
      <c r="AE527" s="111">
        <v>613449</v>
      </c>
      <c r="AF527" s="111" t="s">
        <v>2106</v>
      </c>
      <c r="AG527" s="112">
        <v>3.7322299999999999</v>
      </c>
      <c r="AI527" s="7" t="str">
        <f>VLOOKUP($AC527,Mapping!$E$11:$I$96,3,0)</f>
        <v>Connections</v>
      </c>
      <c r="AJ527" s="7" t="str">
        <f>VLOOKUP($AE527,Mapping!$E$140:$K$2771,5,0)</f>
        <v>Labour</v>
      </c>
      <c r="AK527" s="7" t="str">
        <f>VLOOKUP($AE527,Mapping!$E$140:$K$2771,7,0)</f>
        <v>ENDirect</v>
      </c>
      <c r="AL527" s="7" t="str">
        <f>IFERROR(HLOOKUP(AJ527,'Calc|Weightings'!$K$5:$M$5,1,0),"Excl")</f>
        <v>Labour</v>
      </c>
      <c r="AM527" s="7" t="str">
        <f>VLOOKUP(AC527,Mapping!$E$11:$I$96,5,0)</f>
        <v>SCS</v>
      </c>
      <c r="AO527" s="134">
        <v>118</v>
      </c>
      <c r="AP527" s="135" t="s">
        <v>2132</v>
      </c>
      <c r="AQ527" s="135">
        <v>591999</v>
      </c>
      <c r="AR527" s="135" t="s">
        <v>2195</v>
      </c>
      <c r="AS527" s="136">
        <v>-1.24E-2</v>
      </c>
      <c r="AU527" s="7" t="str">
        <f>VLOOKUP($AO527,Mapping!$E$11:$I$96,3,0)</f>
        <v>Connections</v>
      </c>
      <c r="AV527" s="7" t="str">
        <f>VLOOKUP($AQ527,Mapping!$E$140:$K$2771,5,0)</f>
        <v>Contracts</v>
      </c>
      <c r="AW527" s="7" t="str">
        <f>VLOOKUP($AQ527,Mapping!$E$140:$K$2771,7,0)</f>
        <v>ENDirect</v>
      </c>
      <c r="AX527" s="7" t="str">
        <f>IFERROR(HLOOKUP(AV527,'Calc|Weightings'!$K$5:$M$5,1,0),"Excl")</f>
        <v>Contracts</v>
      </c>
      <c r="AY527" s="7" t="str">
        <f>VLOOKUP(AO527,Mapping!$E$11:$I$96,5,0)</f>
        <v>SCS</v>
      </c>
    </row>
    <row r="528" spans="1:51" x14ac:dyDescent="0.2">
      <c r="A528" s="7"/>
      <c r="B528" s="7"/>
      <c r="C528" s="7"/>
      <c r="D528" s="7"/>
      <c r="E528" s="36">
        <v>116</v>
      </c>
      <c r="F528" s="36" t="s">
        <v>2130</v>
      </c>
      <c r="G528" s="36">
        <v>613248</v>
      </c>
      <c r="H528" s="36" t="s">
        <v>2383</v>
      </c>
      <c r="I528" s="37">
        <v>297.42887000000002</v>
      </c>
      <c r="J528" s="7"/>
      <c r="K528" s="7" t="str">
        <f>VLOOKUP($E528,Mapping!$E$11:$I$96,3,0)</f>
        <v>Connections</v>
      </c>
      <c r="L528" s="7" t="str">
        <f>VLOOKUP($G528,Mapping!$E$140:$K$2771,5,0)</f>
        <v>Labour</v>
      </c>
      <c r="M528" s="7" t="str">
        <f>VLOOKUP($G528,Mapping!$E$140:$K$2771,7,0)</f>
        <v>ENDirect</v>
      </c>
      <c r="N528" s="7" t="str">
        <f>IFERROR(HLOOKUP(L528,'Calc|Weightings'!$K$5:$M$5,1,0),"Excl")</f>
        <v>Labour</v>
      </c>
      <c r="O528" s="7" t="str">
        <f>VLOOKUP(E528,Mapping!$E$11:$I$96,5,0)</f>
        <v>SCS</v>
      </c>
      <c r="Q528" s="33">
        <v>116</v>
      </c>
      <c r="R528" s="33" t="s">
        <v>2130</v>
      </c>
      <c r="S528" s="33">
        <v>613681</v>
      </c>
      <c r="T528" s="33" t="s">
        <v>2108</v>
      </c>
      <c r="U528" s="34">
        <v>3.1405500000000002</v>
      </c>
      <c r="V528" s="7"/>
      <c r="W528" s="7" t="str">
        <f>VLOOKUP($Q528,Mapping!$E$11:$I$96,3,0)</f>
        <v>Connections</v>
      </c>
      <c r="X528" s="7" t="str">
        <f>VLOOKUP($S528,Mapping!$E$140:$K$2771,5,0)</f>
        <v>Labour</v>
      </c>
      <c r="Y528" s="7" t="str">
        <f>VLOOKUP($S528,Mapping!$E$140:$K$2771,7,0)</f>
        <v>ENDirect</v>
      </c>
      <c r="Z528" s="7" t="str">
        <f>IFERROR(HLOOKUP(X528,'Calc|Weightings'!$K$5:$M$5,1,0),"Excl")</f>
        <v>Labour</v>
      </c>
      <c r="AA528" s="7" t="str">
        <f>VLOOKUP(Q528,Mapping!$E$11:$I$96,5,0)</f>
        <v>SCS</v>
      </c>
      <c r="AC528" s="111">
        <v>116</v>
      </c>
      <c r="AD528" s="111" t="s">
        <v>2130</v>
      </c>
      <c r="AE528" s="111">
        <v>613450</v>
      </c>
      <c r="AF528" s="111" t="s">
        <v>2175</v>
      </c>
      <c r="AG528" s="112">
        <v>153.40261000000001</v>
      </c>
      <c r="AI528" s="7" t="str">
        <f>VLOOKUP($AC528,Mapping!$E$11:$I$96,3,0)</f>
        <v>Connections</v>
      </c>
      <c r="AJ528" s="7" t="str">
        <f>VLOOKUP($AE528,Mapping!$E$140:$K$2771,5,0)</f>
        <v>Labour</v>
      </c>
      <c r="AK528" s="7" t="str">
        <f>VLOOKUP($AE528,Mapping!$E$140:$K$2771,7,0)</f>
        <v>ENDirect</v>
      </c>
      <c r="AL528" s="7" t="str">
        <f>IFERROR(HLOOKUP(AJ528,'Calc|Weightings'!$K$5:$M$5,1,0),"Excl")</f>
        <v>Labour</v>
      </c>
      <c r="AM528" s="7" t="str">
        <f>VLOOKUP(AC528,Mapping!$E$11:$I$96,5,0)</f>
        <v>SCS</v>
      </c>
      <c r="AO528" s="134">
        <v>118</v>
      </c>
      <c r="AP528" s="135" t="s">
        <v>2132</v>
      </c>
      <c r="AQ528" s="135">
        <v>612210</v>
      </c>
      <c r="AR528" s="135" t="s">
        <v>1184</v>
      </c>
      <c r="AS528" s="136">
        <v>2.4914399999999999</v>
      </c>
      <c r="AU528" s="7" t="str">
        <f>VLOOKUP($AO528,Mapping!$E$11:$I$96,3,0)</f>
        <v>Connections</v>
      </c>
      <c r="AV528" s="7" t="str">
        <f>VLOOKUP($AQ528,Mapping!$E$140:$K$2771,5,0)</f>
        <v>Labour</v>
      </c>
      <c r="AW528" s="7" t="str">
        <f>VLOOKUP($AQ528,Mapping!$E$140:$K$2771,7,0)</f>
        <v>ENDirect</v>
      </c>
      <c r="AX528" s="7" t="str">
        <f>IFERROR(HLOOKUP(AV528,'Calc|Weightings'!$K$5:$M$5,1,0),"Excl")</f>
        <v>Labour</v>
      </c>
      <c r="AY528" s="7" t="str">
        <f>VLOOKUP(AO528,Mapping!$E$11:$I$96,5,0)</f>
        <v>SCS</v>
      </c>
    </row>
    <row r="529" spans="1:51" x14ac:dyDescent="0.2">
      <c r="A529" s="7"/>
      <c r="B529" s="7"/>
      <c r="C529" s="7"/>
      <c r="D529" s="7"/>
      <c r="E529" s="36">
        <v>116</v>
      </c>
      <c r="F529" s="36" t="s">
        <v>2130</v>
      </c>
      <c r="G529" s="36">
        <v>613249</v>
      </c>
      <c r="H529" s="36" t="s">
        <v>2384</v>
      </c>
      <c r="I529" s="37">
        <v>111.79073</v>
      </c>
      <c r="J529" s="7"/>
      <c r="K529" s="7" t="str">
        <f>VLOOKUP($E529,Mapping!$E$11:$I$96,3,0)</f>
        <v>Connections</v>
      </c>
      <c r="L529" s="7" t="str">
        <f>VLOOKUP($G529,Mapping!$E$140:$K$2771,5,0)</f>
        <v>Labour</v>
      </c>
      <c r="M529" s="7" t="str">
        <f>VLOOKUP($G529,Mapping!$E$140:$K$2771,7,0)</f>
        <v>ENDirect</v>
      </c>
      <c r="N529" s="7" t="str">
        <f>IFERROR(HLOOKUP(L529,'Calc|Weightings'!$K$5:$M$5,1,0),"Excl")</f>
        <v>Labour</v>
      </c>
      <c r="O529" s="7" t="str">
        <f>VLOOKUP(E529,Mapping!$E$11:$I$96,5,0)</f>
        <v>SCS</v>
      </c>
      <c r="Q529" s="33">
        <v>116</v>
      </c>
      <c r="R529" s="33" t="s">
        <v>2130</v>
      </c>
      <c r="S529" s="33">
        <v>613962</v>
      </c>
      <c r="T529" s="33" t="s">
        <v>1648</v>
      </c>
      <c r="U529" s="34">
        <v>0.44691999999999998</v>
      </c>
      <c r="V529" s="7"/>
      <c r="W529" s="7" t="str">
        <f>VLOOKUP($Q529,Mapping!$E$11:$I$96,3,0)</f>
        <v>Connections</v>
      </c>
      <c r="X529" s="7" t="str">
        <f>VLOOKUP($S529,Mapping!$E$140:$K$2771,5,0)</f>
        <v>Contracts</v>
      </c>
      <c r="Y529" s="7" t="str">
        <f>VLOOKUP($S529,Mapping!$E$140:$K$2771,7,0)</f>
        <v>ENDirect</v>
      </c>
      <c r="Z529" s="7" t="str">
        <f>IFERROR(HLOOKUP(X529,'Calc|Weightings'!$K$5:$M$5,1,0),"Excl")</f>
        <v>Contracts</v>
      </c>
      <c r="AA529" s="7" t="str">
        <f>VLOOKUP(Q529,Mapping!$E$11:$I$96,5,0)</f>
        <v>SCS</v>
      </c>
      <c r="AC529" s="111">
        <v>116</v>
      </c>
      <c r="AD529" s="111" t="s">
        <v>2130</v>
      </c>
      <c r="AE529" s="111">
        <v>613477</v>
      </c>
      <c r="AF529" s="111" t="s">
        <v>2200</v>
      </c>
      <c r="AG529" s="112">
        <v>0.35097</v>
      </c>
      <c r="AI529" s="7" t="str">
        <f>VLOOKUP($AC529,Mapping!$E$11:$I$96,3,0)</f>
        <v>Connections</v>
      </c>
      <c r="AJ529" s="7" t="str">
        <f>VLOOKUP($AE529,Mapping!$E$140:$K$2771,5,0)</f>
        <v>Labour</v>
      </c>
      <c r="AK529" s="7" t="str">
        <f>VLOOKUP($AE529,Mapping!$E$140:$K$2771,7,0)</f>
        <v>ENDirect</v>
      </c>
      <c r="AL529" s="7" t="str">
        <f>IFERROR(HLOOKUP(AJ529,'Calc|Weightings'!$K$5:$M$5,1,0),"Excl")</f>
        <v>Labour</v>
      </c>
      <c r="AM529" s="7" t="str">
        <f>VLOOKUP(AC529,Mapping!$E$11:$I$96,5,0)</f>
        <v>SCS</v>
      </c>
      <c r="AO529" s="134">
        <v>118</v>
      </c>
      <c r="AP529" s="135" t="s">
        <v>2132</v>
      </c>
      <c r="AQ529" s="135">
        <v>613290</v>
      </c>
      <c r="AR529" s="135" t="s">
        <v>2093</v>
      </c>
      <c r="AS529" s="136">
        <v>2.0145</v>
      </c>
      <c r="AU529" s="7" t="str">
        <f>VLOOKUP($AO529,Mapping!$E$11:$I$96,3,0)</f>
        <v>Connections</v>
      </c>
      <c r="AV529" s="7" t="str">
        <f>VLOOKUP($AQ529,Mapping!$E$140:$K$2771,5,0)</f>
        <v>Labour</v>
      </c>
      <c r="AW529" s="7" t="str">
        <f>VLOOKUP($AQ529,Mapping!$E$140:$K$2771,7,0)</f>
        <v>ENDirect</v>
      </c>
      <c r="AX529" s="7" t="str">
        <f>IFERROR(HLOOKUP(AV529,'Calc|Weightings'!$K$5:$M$5,1,0),"Excl")</f>
        <v>Labour</v>
      </c>
      <c r="AY529" s="7" t="str">
        <f>VLOOKUP(AO529,Mapping!$E$11:$I$96,5,0)</f>
        <v>SCS</v>
      </c>
    </row>
    <row r="530" spans="1:51" x14ac:dyDescent="0.2">
      <c r="A530" s="7"/>
      <c r="B530" s="7"/>
      <c r="C530" s="7"/>
      <c r="D530" s="7"/>
      <c r="E530" s="36">
        <v>116</v>
      </c>
      <c r="F530" s="36" t="s">
        <v>2130</v>
      </c>
      <c r="G530" s="36">
        <v>613250</v>
      </c>
      <c r="H530" s="36" t="s">
        <v>2086</v>
      </c>
      <c r="I530" s="37">
        <v>19.505009999999999</v>
      </c>
      <c r="J530" s="7"/>
      <c r="K530" s="7" t="str">
        <f>VLOOKUP($E530,Mapping!$E$11:$I$96,3,0)</f>
        <v>Connections</v>
      </c>
      <c r="L530" s="7" t="str">
        <f>VLOOKUP($G530,Mapping!$E$140:$K$2771,5,0)</f>
        <v>Labour</v>
      </c>
      <c r="M530" s="7" t="str">
        <f>VLOOKUP($G530,Mapping!$E$140:$K$2771,7,0)</f>
        <v>ENDirect</v>
      </c>
      <c r="N530" s="7" t="str">
        <f>IFERROR(HLOOKUP(L530,'Calc|Weightings'!$K$5:$M$5,1,0),"Excl")</f>
        <v>Labour</v>
      </c>
      <c r="O530" s="7" t="str">
        <f>VLOOKUP(E530,Mapping!$E$11:$I$96,5,0)</f>
        <v>SCS</v>
      </c>
      <c r="Q530" s="33">
        <v>116</v>
      </c>
      <c r="R530" s="33" t="s">
        <v>2130</v>
      </c>
      <c r="S530" s="33">
        <v>613963</v>
      </c>
      <c r="T530" s="33" t="s">
        <v>1649</v>
      </c>
      <c r="U530" s="34">
        <v>7.8371000000000004</v>
      </c>
      <c r="V530" s="7"/>
      <c r="W530" s="7" t="str">
        <f>VLOOKUP($Q530,Mapping!$E$11:$I$96,3,0)</f>
        <v>Connections</v>
      </c>
      <c r="X530" s="7" t="str">
        <f>VLOOKUP($S530,Mapping!$E$140:$K$2771,5,0)</f>
        <v>Contracts</v>
      </c>
      <c r="Y530" s="7" t="str">
        <f>VLOOKUP($S530,Mapping!$E$140:$K$2771,7,0)</f>
        <v>ENDirect</v>
      </c>
      <c r="Z530" s="7" t="str">
        <f>IFERROR(HLOOKUP(X530,'Calc|Weightings'!$K$5:$M$5,1,0),"Excl")</f>
        <v>Contracts</v>
      </c>
      <c r="AA530" s="7" t="str">
        <f>VLOOKUP(Q530,Mapping!$E$11:$I$96,5,0)</f>
        <v>SCS</v>
      </c>
      <c r="AC530" s="111">
        <v>116</v>
      </c>
      <c r="AD530" s="111" t="s">
        <v>2130</v>
      </c>
      <c r="AE530" s="111">
        <v>613566</v>
      </c>
      <c r="AF530" s="111" t="s">
        <v>1482</v>
      </c>
      <c r="AG530" s="112">
        <v>164.00636</v>
      </c>
      <c r="AI530" s="7" t="str">
        <f>VLOOKUP($AC530,Mapping!$E$11:$I$96,3,0)</f>
        <v>Connections</v>
      </c>
      <c r="AJ530" s="7" t="str">
        <f>VLOOKUP($AE530,Mapping!$E$140:$K$2771,5,0)</f>
        <v>Labour</v>
      </c>
      <c r="AK530" s="7" t="str">
        <f>VLOOKUP($AE530,Mapping!$E$140:$K$2771,7,0)</f>
        <v>ENDirect</v>
      </c>
      <c r="AL530" s="7" t="str">
        <f>IFERROR(HLOOKUP(AJ530,'Calc|Weightings'!$K$5:$M$5,1,0),"Excl")</f>
        <v>Labour</v>
      </c>
      <c r="AM530" s="7" t="str">
        <f>VLOOKUP(AC530,Mapping!$E$11:$I$96,5,0)</f>
        <v>SCS</v>
      </c>
      <c r="AO530" s="134">
        <v>118</v>
      </c>
      <c r="AP530" s="135" t="s">
        <v>2132</v>
      </c>
      <c r="AQ530" s="135">
        <v>614115</v>
      </c>
      <c r="AR530" s="135" t="s">
        <v>2109</v>
      </c>
      <c r="AS530" s="136">
        <v>4.0317999999999996</v>
      </c>
      <c r="AU530" s="7" t="str">
        <f>VLOOKUP($AO530,Mapping!$E$11:$I$96,3,0)</f>
        <v>Connections</v>
      </c>
      <c r="AV530" s="7" t="str">
        <f>VLOOKUP($AQ530,Mapping!$E$140:$K$2771,5,0)</f>
        <v>Labour</v>
      </c>
      <c r="AW530" s="7" t="str">
        <f>VLOOKUP($AQ530,Mapping!$E$140:$K$2771,7,0)</f>
        <v>ENDirect</v>
      </c>
      <c r="AX530" s="7" t="str">
        <f>IFERROR(HLOOKUP(AV530,'Calc|Weightings'!$K$5:$M$5,1,0),"Excl")</f>
        <v>Labour</v>
      </c>
      <c r="AY530" s="7" t="str">
        <f>VLOOKUP(AO530,Mapping!$E$11:$I$96,5,0)</f>
        <v>SCS</v>
      </c>
    </row>
    <row r="531" spans="1:51" x14ac:dyDescent="0.2">
      <c r="A531" s="7"/>
      <c r="B531" s="7"/>
      <c r="C531" s="7"/>
      <c r="D531" s="7"/>
      <c r="E531" s="36">
        <v>116</v>
      </c>
      <c r="F531" s="36" t="s">
        <v>2130</v>
      </c>
      <c r="G531" s="36">
        <v>613251</v>
      </c>
      <c r="H531" s="36" t="s">
        <v>2087</v>
      </c>
      <c r="I531" s="37">
        <v>10.78434</v>
      </c>
      <c r="J531" s="7"/>
      <c r="K531" s="7" t="str">
        <f>VLOOKUP($E531,Mapping!$E$11:$I$96,3,0)</f>
        <v>Connections</v>
      </c>
      <c r="L531" s="7" t="str">
        <f>VLOOKUP($G531,Mapping!$E$140:$K$2771,5,0)</f>
        <v>Labour</v>
      </c>
      <c r="M531" s="7" t="str">
        <f>VLOOKUP($G531,Mapping!$E$140:$K$2771,7,0)</f>
        <v>ENDirect</v>
      </c>
      <c r="N531" s="7" t="str">
        <f>IFERROR(HLOOKUP(L531,'Calc|Weightings'!$K$5:$M$5,1,0),"Excl")</f>
        <v>Labour</v>
      </c>
      <c r="O531" s="7" t="str">
        <f>VLOOKUP(E531,Mapping!$E$11:$I$96,5,0)</f>
        <v>SCS</v>
      </c>
      <c r="Q531" s="33">
        <v>116</v>
      </c>
      <c r="R531" s="33" t="s">
        <v>2130</v>
      </c>
      <c r="S531" s="33">
        <v>613968</v>
      </c>
      <c r="T531" s="33" t="s">
        <v>1654</v>
      </c>
      <c r="U531" s="34">
        <v>0.36971999999999999</v>
      </c>
      <c r="V531" s="7"/>
      <c r="W531" s="7" t="str">
        <f>VLOOKUP($Q531,Mapping!$E$11:$I$96,3,0)</f>
        <v>Connections</v>
      </c>
      <c r="X531" s="7" t="str">
        <f>VLOOKUP($S531,Mapping!$E$140:$K$2771,5,0)</f>
        <v>Contracts</v>
      </c>
      <c r="Y531" s="7" t="str">
        <f>VLOOKUP($S531,Mapping!$E$140:$K$2771,7,0)</f>
        <v>ENDirect</v>
      </c>
      <c r="Z531" s="7" t="str">
        <f>IFERROR(HLOOKUP(X531,'Calc|Weightings'!$K$5:$M$5,1,0),"Excl")</f>
        <v>Contracts</v>
      </c>
      <c r="AA531" s="7" t="str">
        <f>VLOOKUP(Q531,Mapping!$E$11:$I$96,5,0)</f>
        <v>SCS</v>
      </c>
      <c r="AC531" s="111">
        <v>116</v>
      </c>
      <c r="AD531" s="111" t="s">
        <v>2130</v>
      </c>
      <c r="AE531" s="111">
        <v>613567</v>
      </c>
      <c r="AF531" s="111" t="s">
        <v>1483</v>
      </c>
      <c r="AG531" s="112">
        <v>39.30847</v>
      </c>
      <c r="AI531" s="7" t="str">
        <f>VLOOKUP($AC531,Mapping!$E$11:$I$96,3,0)</f>
        <v>Connections</v>
      </c>
      <c r="AJ531" s="7" t="str">
        <f>VLOOKUP($AE531,Mapping!$E$140:$K$2771,5,0)</f>
        <v>Labour</v>
      </c>
      <c r="AK531" s="7" t="str">
        <f>VLOOKUP($AE531,Mapping!$E$140:$K$2771,7,0)</f>
        <v>ENDirect</v>
      </c>
      <c r="AL531" s="7" t="str">
        <f>IFERROR(HLOOKUP(AJ531,'Calc|Weightings'!$K$5:$M$5,1,0),"Excl")</f>
        <v>Labour</v>
      </c>
      <c r="AM531" s="7" t="str">
        <f>VLOOKUP(AC531,Mapping!$E$11:$I$96,5,0)</f>
        <v>SCS</v>
      </c>
      <c r="AO531" s="134">
        <v>118</v>
      </c>
      <c r="AP531" s="135" t="s">
        <v>2132</v>
      </c>
      <c r="AQ531" s="135">
        <v>634001</v>
      </c>
      <c r="AR531" s="135" t="s">
        <v>2110</v>
      </c>
      <c r="AS531" s="136">
        <v>0.29366999999999999</v>
      </c>
      <c r="AU531" s="7" t="str">
        <f>VLOOKUP($AO531,Mapping!$E$11:$I$96,3,0)</f>
        <v>Connections</v>
      </c>
      <c r="AV531" s="7" t="str">
        <f>VLOOKUP($AQ531,Mapping!$E$140:$K$2771,5,0)</f>
        <v>Local OH</v>
      </c>
      <c r="AW531" s="7" t="str">
        <f>VLOOKUP($AQ531,Mapping!$E$140:$K$2771,7,0)</f>
        <v>OH</v>
      </c>
      <c r="AX531" s="7" t="str">
        <f>IFERROR(HLOOKUP(AV531,'Calc|Weightings'!$K$5:$M$5,1,0),"Excl")</f>
        <v>Excl</v>
      </c>
      <c r="AY531" s="7" t="str">
        <f>VLOOKUP(AO531,Mapping!$E$11:$I$96,5,0)</f>
        <v>SCS</v>
      </c>
    </row>
    <row r="532" spans="1:51" x14ac:dyDescent="0.2">
      <c r="A532" s="7"/>
      <c r="B532" s="7"/>
      <c r="C532" s="7"/>
      <c r="D532" s="7"/>
      <c r="E532" s="36">
        <v>116</v>
      </c>
      <c r="F532" s="36" t="s">
        <v>2130</v>
      </c>
      <c r="G532" s="36">
        <v>613258</v>
      </c>
      <c r="H532" s="36" t="s">
        <v>2356</v>
      </c>
      <c r="I532" s="37">
        <v>148.91709</v>
      </c>
      <c r="J532" s="7"/>
      <c r="K532" s="7" t="str">
        <f>VLOOKUP($E532,Mapping!$E$11:$I$96,3,0)</f>
        <v>Connections</v>
      </c>
      <c r="L532" s="7" t="str">
        <f>VLOOKUP($G532,Mapping!$E$140:$K$2771,5,0)</f>
        <v>Labour</v>
      </c>
      <c r="M532" s="7" t="str">
        <f>VLOOKUP($G532,Mapping!$E$140:$K$2771,7,0)</f>
        <v>ENDirect</v>
      </c>
      <c r="N532" s="7" t="str">
        <f>IFERROR(HLOOKUP(L532,'Calc|Weightings'!$K$5:$M$5,1,0),"Excl")</f>
        <v>Labour</v>
      </c>
      <c r="O532" s="7" t="str">
        <f>VLOOKUP(E532,Mapping!$E$11:$I$96,5,0)</f>
        <v>SCS</v>
      </c>
      <c r="Q532" s="33">
        <v>116</v>
      </c>
      <c r="R532" s="33" t="s">
        <v>2130</v>
      </c>
      <c r="S532" s="33">
        <v>614115</v>
      </c>
      <c r="T532" s="33" t="s">
        <v>2109</v>
      </c>
      <c r="U532" s="34">
        <v>12.56959</v>
      </c>
      <c r="V532" s="7"/>
      <c r="W532" s="7" t="str">
        <f>VLOOKUP($Q532,Mapping!$E$11:$I$96,3,0)</f>
        <v>Connections</v>
      </c>
      <c r="X532" s="7" t="str">
        <f>VLOOKUP($S532,Mapping!$E$140:$K$2771,5,0)</f>
        <v>Labour</v>
      </c>
      <c r="Y532" s="7" t="str">
        <f>VLOOKUP($S532,Mapping!$E$140:$K$2771,7,0)</f>
        <v>ENDirect</v>
      </c>
      <c r="Z532" s="7" t="str">
        <f>IFERROR(HLOOKUP(X532,'Calc|Weightings'!$K$5:$M$5,1,0),"Excl")</f>
        <v>Labour</v>
      </c>
      <c r="AA532" s="7" t="str">
        <f>VLOOKUP(Q532,Mapping!$E$11:$I$96,5,0)</f>
        <v>SCS</v>
      </c>
      <c r="AC532" s="111">
        <v>116</v>
      </c>
      <c r="AD532" s="111" t="s">
        <v>2130</v>
      </c>
      <c r="AE532" s="111">
        <v>613570</v>
      </c>
      <c r="AF532" s="111" t="s">
        <v>1484</v>
      </c>
      <c r="AG532" s="112">
        <v>28.196639999999999</v>
      </c>
      <c r="AI532" s="7" t="str">
        <f>VLOOKUP($AC532,Mapping!$E$11:$I$96,3,0)</f>
        <v>Connections</v>
      </c>
      <c r="AJ532" s="7" t="str">
        <f>VLOOKUP($AE532,Mapping!$E$140:$K$2771,5,0)</f>
        <v>Labour</v>
      </c>
      <c r="AK532" s="7" t="str">
        <f>VLOOKUP($AE532,Mapping!$E$140:$K$2771,7,0)</f>
        <v>ENDirect</v>
      </c>
      <c r="AL532" s="7" t="str">
        <f>IFERROR(HLOOKUP(AJ532,'Calc|Weightings'!$K$5:$M$5,1,0),"Excl")</f>
        <v>Labour</v>
      </c>
      <c r="AM532" s="7" t="str">
        <f>VLOOKUP(AC532,Mapping!$E$11:$I$96,5,0)</f>
        <v>SCS</v>
      </c>
      <c r="AO532" s="134">
        <v>118</v>
      </c>
      <c r="AP532" s="135" t="s">
        <v>2132</v>
      </c>
      <c r="AQ532" s="135">
        <v>635001</v>
      </c>
      <c r="AR532" s="135" t="s">
        <v>1929</v>
      </c>
      <c r="AS532" s="136">
        <v>0.11959</v>
      </c>
      <c r="AU532" s="7" t="str">
        <f>VLOOKUP($AO532,Mapping!$E$11:$I$96,3,0)</f>
        <v>Connections</v>
      </c>
      <c r="AV532" s="7" t="str">
        <f>VLOOKUP($AQ532,Mapping!$E$140:$K$2771,5,0)</f>
        <v>PNS MG</v>
      </c>
      <c r="AW532" s="7" t="str">
        <f>VLOOKUP($AQ532,Mapping!$E$140:$K$2771,7,0)</f>
        <v>ENDirect</v>
      </c>
      <c r="AX532" s="7" t="str">
        <f>IFERROR(HLOOKUP(AV532,'Calc|Weightings'!$K$5:$M$5,1,0),"Excl")</f>
        <v>Excl</v>
      </c>
      <c r="AY532" s="7" t="str">
        <f>VLOOKUP(AO532,Mapping!$E$11:$I$96,5,0)</f>
        <v>SCS</v>
      </c>
    </row>
    <row r="533" spans="1:51" x14ac:dyDescent="0.2">
      <c r="A533" s="7"/>
      <c r="B533" s="7"/>
      <c r="C533" s="7"/>
      <c r="D533" s="7"/>
      <c r="E533" s="36">
        <v>116</v>
      </c>
      <c r="F533" s="36" t="s">
        <v>2130</v>
      </c>
      <c r="G533" s="36">
        <v>613259</v>
      </c>
      <c r="H533" s="36" t="s">
        <v>2359</v>
      </c>
      <c r="I533" s="37">
        <v>50.193779999999997</v>
      </c>
      <c r="J533" s="7"/>
      <c r="K533" s="7" t="str">
        <f>VLOOKUP($E533,Mapping!$E$11:$I$96,3,0)</f>
        <v>Connections</v>
      </c>
      <c r="L533" s="7" t="str">
        <f>VLOOKUP($G533,Mapping!$E$140:$K$2771,5,0)</f>
        <v>Labour</v>
      </c>
      <c r="M533" s="7" t="str">
        <f>VLOOKUP($G533,Mapping!$E$140:$K$2771,7,0)</f>
        <v>ENDirect</v>
      </c>
      <c r="N533" s="7" t="str">
        <f>IFERROR(HLOOKUP(L533,'Calc|Weightings'!$K$5:$M$5,1,0),"Excl")</f>
        <v>Labour</v>
      </c>
      <c r="O533" s="7" t="str">
        <f>VLOOKUP(E533,Mapping!$E$11:$I$96,5,0)</f>
        <v>SCS</v>
      </c>
      <c r="Q533" s="33">
        <v>116</v>
      </c>
      <c r="R533" s="33" t="s">
        <v>2130</v>
      </c>
      <c r="S533" s="33">
        <v>615375</v>
      </c>
      <c r="T533" s="33" t="s">
        <v>1717</v>
      </c>
      <c r="U533" s="34">
        <v>4.68</v>
      </c>
      <c r="V533" s="7"/>
      <c r="W533" s="7" t="str">
        <f>VLOOKUP($Q533,Mapping!$E$11:$I$96,3,0)</f>
        <v>Connections</v>
      </c>
      <c r="X533" s="7" t="str">
        <f>VLOOKUP($S533,Mapping!$E$140:$K$2771,5,0)</f>
        <v>Labour</v>
      </c>
      <c r="Y533" s="7" t="str">
        <f>VLOOKUP($S533,Mapping!$E$140:$K$2771,7,0)</f>
        <v>ENDirect</v>
      </c>
      <c r="Z533" s="7" t="str">
        <f>IFERROR(HLOOKUP(X533,'Calc|Weightings'!$K$5:$M$5,1,0),"Excl")</f>
        <v>Labour</v>
      </c>
      <c r="AA533" s="7" t="str">
        <f>VLOOKUP(Q533,Mapping!$E$11:$I$96,5,0)</f>
        <v>SCS</v>
      </c>
      <c r="AC533" s="111">
        <v>116</v>
      </c>
      <c r="AD533" s="111" t="s">
        <v>2130</v>
      </c>
      <c r="AE533" s="111">
        <v>613571</v>
      </c>
      <c r="AF533" s="111" t="s">
        <v>1485</v>
      </c>
      <c r="AG533" s="112">
        <v>6.0616700000000003</v>
      </c>
      <c r="AI533" s="7" t="str">
        <f>VLOOKUP($AC533,Mapping!$E$11:$I$96,3,0)</f>
        <v>Connections</v>
      </c>
      <c r="AJ533" s="7" t="str">
        <f>VLOOKUP($AE533,Mapping!$E$140:$K$2771,5,0)</f>
        <v>Labour</v>
      </c>
      <c r="AK533" s="7" t="str">
        <f>VLOOKUP($AE533,Mapping!$E$140:$K$2771,7,0)</f>
        <v>ENDirect</v>
      </c>
      <c r="AL533" s="7" t="str">
        <f>IFERROR(HLOOKUP(AJ533,'Calc|Weightings'!$K$5:$M$5,1,0),"Excl")</f>
        <v>Labour</v>
      </c>
      <c r="AM533" s="7" t="str">
        <f>VLOOKUP(AC533,Mapping!$E$11:$I$96,5,0)</f>
        <v>SCS</v>
      </c>
      <c r="AO533" s="134">
        <v>118</v>
      </c>
      <c r="AP533" s="135" t="s">
        <v>2132</v>
      </c>
      <c r="AQ533" s="135">
        <v>636001</v>
      </c>
      <c r="AR533" s="135" t="s">
        <v>2111</v>
      </c>
      <c r="AS533" s="136">
        <v>0.22286</v>
      </c>
      <c r="AU533" s="7" t="str">
        <f>VLOOKUP($AO533,Mapping!$E$11:$I$96,3,0)</f>
        <v>Connections</v>
      </c>
      <c r="AV533" s="7" t="str">
        <f>VLOOKUP($AQ533,Mapping!$E$140:$K$2771,5,0)</f>
        <v>System Control OH</v>
      </c>
      <c r="AW533" s="7" t="str">
        <f>VLOOKUP($AQ533,Mapping!$E$140:$K$2771,7,0)</f>
        <v>OH</v>
      </c>
      <c r="AX533" s="7" t="str">
        <f>IFERROR(HLOOKUP(AV533,'Calc|Weightings'!$K$5:$M$5,1,0),"Excl")</f>
        <v>Excl</v>
      </c>
      <c r="AY533" s="7" t="str">
        <f>VLOOKUP(AO533,Mapping!$E$11:$I$96,5,0)</f>
        <v>SCS</v>
      </c>
    </row>
    <row r="534" spans="1:51" x14ac:dyDescent="0.2">
      <c r="A534" s="7"/>
      <c r="B534" s="7"/>
      <c r="C534" s="7"/>
      <c r="D534" s="7"/>
      <c r="E534" s="36">
        <v>116</v>
      </c>
      <c r="F534" s="36" t="s">
        <v>2130</v>
      </c>
      <c r="G534" s="36">
        <v>613260</v>
      </c>
      <c r="H534" s="36" t="s">
        <v>2090</v>
      </c>
      <c r="I534" s="37">
        <v>2.3260000000000001</v>
      </c>
      <c r="J534" s="7"/>
      <c r="K534" s="7" t="str">
        <f>VLOOKUP($E534,Mapping!$E$11:$I$96,3,0)</f>
        <v>Connections</v>
      </c>
      <c r="L534" s="7" t="str">
        <f>VLOOKUP($G534,Mapping!$E$140:$K$2771,5,0)</f>
        <v>Labour</v>
      </c>
      <c r="M534" s="7" t="str">
        <f>VLOOKUP($G534,Mapping!$E$140:$K$2771,7,0)</f>
        <v>ENDirect</v>
      </c>
      <c r="N534" s="7" t="str">
        <f>IFERROR(HLOOKUP(L534,'Calc|Weightings'!$K$5:$M$5,1,0),"Excl")</f>
        <v>Labour</v>
      </c>
      <c r="O534" s="7" t="str">
        <f>VLOOKUP(E534,Mapping!$E$11:$I$96,5,0)</f>
        <v>SCS</v>
      </c>
      <c r="Q534" s="33">
        <v>116</v>
      </c>
      <c r="R534" s="33" t="s">
        <v>2130</v>
      </c>
      <c r="S534" s="33">
        <v>634001</v>
      </c>
      <c r="T534" s="33" t="s">
        <v>2110</v>
      </c>
      <c r="U534" s="34">
        <v>1639.28396</v>
      </c>
      <c r="V534" s="7"/>
      <c r="W534" s="7" t="str">
        <f>VLOOKUP($Q534,Mapping!$E$11:$I$96,3,0)</f>
        <v>Connections</v>
      </c>
      <c r="X534" s="7" t="str">
        <f>VLOOKUP($S534,Mapping!$E$140:$K$2771,5,0)</f>
        <v>Local OH</v>
      </c>
      <c r="Y534" s="7" t="str">
        <f>VLOOKUP($S534,Mapping!$E$140:$K$2771,7,0)</f>
        <v>OH</v>
      </c>
      <c r="Z534" s="7" t="str">
        <f>IFERROR(HLOOKUP(X534,'Calc|Weightings'!$K$5:$M$5,1,0),"Excl")</f>
        <v>Excl</v>
      </c>
      <c r="AA534" s="7" t="str">
        <f>VLOOKUP(Q534,Mapping!$E$11:$I$96,5,0)</f>
        <v>SCS</v>
      </c>
      <c r="AC534" s="111">
        <v>116</v>
      </c>
      <c r="AD534" s="111" t="s">
        <v>2130</v>
      </c>
      <c r="AE534" s="111">
        <v>613574</v>
      </c>
      <c r="AF534" s="111" t="s">
        <v>1488</v>
      </c>
      <c r="AG534" s="112">
        <v>524.02946999999995</v>
      </c>
      <c r="AI534" s="7" t="str">
        <f>VLOOKUP($AC534,Mapping!$E$11:$I$96,3,0)</f>
        <v>Connections</v>
      </c>
      <c r="AJ534" s="7" t="str">
        <f>VLOOKUP($AE534,Mapping!$E$140:$K$2771,5,0)</f>
        <v>Labour</v>
      </c>
      <c r="AK534" s="7" t="str">
        <f>VLOOKUP($AE534,Mapping!$E$140:$K$2771,7,0)</f>
        <v>ENDirect</v>
      </c>
      <c r="AL534" s="7" t="str">
        <f>IFERROR(HLOOKUP(AJ534,'Calc|Weightings'!$K$5:$M$5,1,0),"Excl")</f>
        <v>Labour</v>
      </c>
      <c r="AM534" s="7" t="str">
        <f>VLOOKUP(AC534,Mapping!$E$11:$I$96,5,0)</f>
        <v>SCS</v>
      </c>
      <c r="AO534" s="134">
        <v>118</v>
      </c>
      <c r="AP534" s="135" t="s">
        <v>2132</v>
      </c>
      <c r="AQ534" s="135">
        <v>636105</v>
      </c>
      <c r="AR534" s="135" t="s">
        <v>1937</v>
      </c>
      <c r="AS534" s="136">
        <v>0.35718</v>
      </c>
      <c r="AU534" s="7" t="str">
        <f>VLOOKUP($AO534,Mapping!$E$11:$I$96,3,0)</f>
        <v>Connections</v>
      </c>
      <c r="AV534" s="7" t="str">
        <f>VLOOKUP($AQ534,Mapping!$E$140:$K$2771,5,0)</f>
        <v>CSG MG</v>
      </c>
      <c r="AW534" s="7" t="str">
        <f>VLOOKUP($AQ534,Mapping!$E$140:$K$2771,7,0)</f>
        <v>ENDirect</v>
      </c>
      <c r="AX534" s="7" t="str">
        <f>IFERROR(HLOOKUP(AV534,'Calc|Weightings'!$K$5:$M$5,1,0),"Excl")</f>
        <v>Excl</v>
      </c>
      <c r="AY534" s="7" t="str">
        <f>VLOOKUP(AO534,Mapping!$E$11:$I$96,5,0)</f>
        <v>SCS</v>
      </c>
    </row>
    <row r="535" spans="1:51" x14ac:dyDescent="0.2">
      <c r="A535" s="7"/>
      <c r="B535" s="7"/>
      <c r="C535" s="7"/>
      <c r="D535" s="7"/>
      <c r="E535" s="36">
        <v>116</v>
      </c>
      <c r="F535" s="36" t="s">
        <v>2130</v>
      </c>
      <c r="G535" s="36">
        <v>613268</v>
      </c>
      <c r="H535" s="36" t="s">
        <v>1335</v>
      </c>
      <c r="I535" s="37">
        <v>4.9427500000000002</v>
      </c>
      <c r="J535" s="7"/>
      <c r="K535" s="7" t="str">
        <f>VLOOKUP($E535,Mapping!$E$11:$I$96,3,0)</f>
        <v>Connections</v>
      </c>
      <c r="L535" s="7" t="str">
        <f>VLOOKUP($G535,Mapping!$E$140:$K$2771,5,0)</f>
        <v>Labour</v>
      </c>
      <c r="M535" s="7" t="str">
        <f>VLOOKUP($G535,Mapping!$E$140:$K$2771,7,0)</f>
        <v>ENDirect</v>
      </c>
      <c r="N535" s="7" t="str">
        <f>IFERROR(HLOOKUP(L535,'Calc|Weightings'!$K$5:$M$5,1,0),"Excl")</f>
        <v>Labour</v>
      </c>
      <c r="O535" s="7" t="str">
        <f>VLOOKUP(E535,Mapping!$E$11:$I$96,5,0)</f>
        <v>SCS</v>
      </c>
      <c r="Q535" s="33">
        <v>116</v>
      </c>
      <c r="R535" s="33" t="s">
        <v>2130</v>
      </c>
      <c r="S535" s="33">
        <v>635001</v>
      </c>
      <c r="T535" s="33" t="s">
        <v>1929</v>
      </c>
      <c r="U535" s="34">
        <v>1010.24476</v>
      </c>
      <c r="V535" s="7"/>
      <c r="W535" s="7" t="str">
        <f>VLOOKUP($Q535,Mapping!$E$11:$I$96,3,0)</f>
        <v>Connections</v>
      </c>
      <c r="X535" s="7" t="str">
        <f>VLOOKUP($S535,Mapping!$E$140:$K$2771,5,0)</f>
        <v>PNS MG</v>
      </c>
      <c r="Y535" s="7" t="str">
        <f>VLOOKUP($S535,Mapping!$E$140:$K$2771,7,0)</f>
        <v>ENDirect</v>
      </c>
      <c r="Z535" s="7" t="str">
        <f>IFERROR(HLOOKUP(X535,'Calc|Weightings'!$K$5:$M$5,1,0),"Excl")</f>
        <v>Excl</v>
      </c>
      <c r="AA535" s="7" t="str">
        <f>VLOOKUP(Q535,Mapping!$E$11:$I$96,5,0)</f>
        <v>SCS</v>
      </c>
      <c r="AC535" s="111">
        <v>116</v>
      </c>
      <c r="AD535" s="111" t="s">
        <v>2130</v>
      </c>
      <c r="AE535" s="111">
        <v>613575</v>
      </c>
      <c r="AF535" s="111" t="s">
        <v>1489</v>
      </c>
      <c r="AG535" s="112">
        <v>30.093240000000002</v>
      </c>
      <c r="AI535" s="7" t="str">
        <f>VLOOKUP($AC535,Mapping!$E$11:$I$96,3,0)</f>
        <v>Connections</v>
      </c>
      <c r="AJ535" s="7" t="str">
        <f>VLOOKUP($AE535,Mapping!$E$140:$K$2771,5,0)</f>
        <v>Labour</v>
      </c>
      <c r="AK535" s="7" t="str">
        <f>VLOOKUP($AE535,Mapping!$E$140:$K$2771,7,0)</f>
        <v>ENDirect</v>
      </c>
      <c r="AL535" s="7" t="str">
        <f>IFERROR(HLOOKUP(AJ535,'Calc|Weightings'!$K$5:$M$5,1,0),"Excl")</f>
        <v>Labour</v>
      </c>
      <c r="AM535" s="7" t="str">
        <f>VLOOKUP(AC535,Mapping!$E$11:$I$96,5,0)</f>
        <v>SCS</v>
      </c>
      <c r="AO535" s="134">
        <v>118</v>
      </c>
      <c r="AP535" s="135" t="s">
        <v>2132</v>
      </c>
      <c r="AQ535" s="135">
        <v>639000</v>
      </c>
      <c r="AR535" s="135" t="s">
        <v>2112</v>
      </c>
      <c r="AS535" s="136">
        <v>8.3799999999999999E-2</v>
      </c>
      <c r="AU535" s="7" t="str">
        <f>VLOOKUP($AO535,Mapping!$E$11:$I$96,3,0)</f>
        <v>Connections</v>
      </c>
      <c r="AV535" s="7" t="str">
        <f>VLOOKUP($AQ535,Mapping!$E$140:$K$2771,5,0)</f>
        <v>PNS Corporate OH</v>
      </c>
      <c r="AW535" s="7" t="str">
        <f>VLOOKUP($AQ535,Mapping!$E$140:$K$2771,7,0)</f>
        <v>OH</v>
      </c>
      <c r="AX535" s="7" t="str">
        <f>IFERROR(HLOOKUP(AV535,'Calc|Weightings'!$K$5:$M$5,1,0),"Excl")</f>
        <v>Excl</v>
      </c>
      <c r="AY535" s="7" t="str">
        <f>VLOOKUP(AO535,Mapping!$E$11:$I$96,5,0)</f>
        <v>SCS</v>
      </c>
    </row>
    <row r="536" spans="1:51" x14ac:dyDescent="0.2">
      <c r="A536" s="7"/>
      <c r="B536" s="7"/>
      <c r="C536" s="7"/>
      <c r="D536" s="7"/>
      <c r="E536" s="36">
        <v>116</v>
      </c>
      <c r="F536" s="36" t="s">
        <v>2130</v>
      </c>
      <c r="G536" s="36">
        <v>613269</v>
      </c>
      <c r="H536" s="36" t="s">
        <v>1336</v>
      </c>
      <c r="I536" s="37">
        <v>0.81410000000000005</v>
      </c>
      <c r="J536" s="7"/>
      <c r="K536" s="7" t="str">
        <f>VLOOKUP($E536,Mapping!$E$11:$I$96,3,0)</f>
        <v>Connections</v>
      </c>
      <c r="L536" s="7" t="str">
        <f>VLOOKUP($G536,Mapping!$E$140:$K$2771,5,0)</f>
        <v>Labour</v>
      </c>
      <c r="M536" s="7" t="str">
        <f>VLOOKUP($G536,Mapping!$E$140:$K$2771,7,0)</f>
        <v>ENDirect</v>
      </c>
      <c r="N536" s="7" t="str">
        <f>IFERROR(HLOOKUP(L536,'Calc|Weightings'!$K$5:$M$5,1,0),"Excl")</f>
        <v>Labour</v>
      </c>
      <c r="O536" s="7" t="str">
        <f>VLOOKUP(E536,Mapping!$E$11:$I$96,5,0)</f>
        <v>SCS</v>
      </c>
      <c r="Q536" s="33">
        <v>116</v>
      </c>
      <c r="R536" s="33" t="s">
        <v>2130</v>
      </c>
      <c r="S536" s="33">
        <v>636001</v>
      </c>
      <c r="T536" s="33" t="s">
        <v>2111</v>
      </c>
      <c r="U536" s="34">
        <v>490.36043000000001</v>
      </c>
      <c r="V536" s="7"/>
      <c r="W536" s="7" t="str">
        <f>VLOOKUP($Q536,Mapping!$E$11:$I$96,3,0)</f>
        <v>Connections</v>
      </c>
      <c r="X536" s="7" t="str">
        <f>VLOOKUP($S536,Mapping!$E$140:$K$2771,5,0)</f>
        <v>System Control OH</v>
      </c>
      <c r="Y536" s="7" t="str">
        <f>VLOOKUP($S536,Mapping!$E$140:$K$2771,7,0)</f>
        <v>OH</v>
      </c>
      <c r="Z536" s="7" t="str">
        <f>IFERROR(HLOOKUP(X536,'Calc|Weightings'!$K$5:$M$5,1,0),"Excl")</f>
        <v>Excl</v>
      </c>
      <c r="AA536" s="7" t="str">
        <f>VLOOKUP(Q536,Mapping!$E$11:$I$96,5,0)</f>
        <v>SCS</v>
      </c>
      <c r="AC536" s="111">
        <v>116</v>
      </c>
      <c r="AD536" s="111" t="s">
        <v>2130</v>
      </c>
      <c r="AE536" s="111">
        <v>613576</v>
      </c>
      <c r="AF536" s="111" t="s">
        <v>1490</v>
      </c>
      <c r="AG536" s="112">
        <v>183.43928</v>
      </c>
      <c r="AI536" s="7" t="str">
        <f>VLOOKUP($AC536,Mapping!$E$11:$I$96,3,0)</f>
        <v>Connections</v>
      </c>
      <c r="AJ536" s="7" t="str">
        <f>VLOOKUP($AE536,Mapping!$E$140:$K$2771,5,0)</f>
        <v>Labour</v>
      </c>
      <c r="AK536" s="7" t="str">
        <f>VLOOKUP($AE536,Mapping!$E$140:$K$2771,7,0)</f>
        <v>ENDirect</v>
      </c>
      <c r="AL536" s="7" t="str">
        <f>IFERROR(HLOOKUP(AJ536,'Calc|Weightings'!$K$5:$M$5,1,0),"Excl")</f>
        <v>Labour</v>
      </c>
      <c r="AM536" s="7" t="str">
        <f>VLOOKUP(AC536,Mapping!$E$11:$I$96,5,0)</f>
        <v>SCS</v>
      </c>
      <c r="AO536" s="134">
        <v>118</v>
      </c>
      <c r="AP536" s="135" t="s">
        <v>2132</v>
      </c>
      <c r="AQ536" s="135">
        <v>639050</v>
      </c>
      <c r="AR536" s="135" t="s">
        <v>2113</v>
      </c>
      <c r="AS536" s="136">
        <v>2.4410000000000001E-2</v>
      </c>
      <c r="AU536" s="7" t="str">
        <f>VLOOKUP($AO536,Mapping!$E$11:$I$96,3,0)</f>
        <v>Connections</v>
      </c>
      <c r="AV536" s="7" t="str">
        <f>VLOOKUP($AQ536,Mapping!$E$140:$K$2771,5,0)</f>
        <v>PNS Fleet &amp; Property OH</v>
      </c>
      <c r="AW536" s="7" t="str">
        <f>VLOOKUP($AQ536,Mapping!$E$140:$K$2771,7,0)</f>
        <v>OH</v>
      </c>
      <c r="AX536" s="7" t="str">
        <f>IFERROR(HLOOKUP(AV536,'Calc|Weightings'!$K$5:$M$5,1,0),"Excl")</f>
        <v>Excl</v>
      </c>
      <c r="AY536" s="7" t="str">
        <f>VLOOKUP(AO536,Mapping!$E$11:$I$96,5,0)</f>
        <v>SCS</v>
      </c>
    </row>
    <row r="537" spans="1:51" x14ac:dyDescent="0.2">
      <c r="A537" s="7"/>
      <c r="B537" s="7"/>
      <c r="C537" s="7"/>
      <c r="D537" s="7"/>
      <c r="E537" s="36">
        <v>116</v>
      </c>
      <c r="F537" s="36" t="s">
        <v>2130</v>
      </c>
      <c r="G537" s="36">
        <v>613270</v>
      </c>
      <c r="H537" s="36" t="s">
        <v>2092</v>
      </c>
      <c r="I537" s="37">
        <v>2.9397899999999999</v>
      </c>
      <c r="J537" s="7"/>
      <c r="K537" s="7" t="str">
        <f>VLOOKUP($E537,Mapping!$E$11:$I$96,3,0)</f>
        <v>Connections</v>
      </c>
      <c r="L537" s="7" t="str">
        <f>VLOOKUP($G537,Mapping!$E$140:$K$2771,5,0)</f>
        <v>Labour</v>
      </c>
      <c r="M537" s="7" t="str">
        <f>VLOOKUP($G537,Mapping!$E$140:$K$2771,7,0)</f>
        <v>ENDirect</v>
      </c>
      <c r="N537" s="7" t="str">
        <f>IFERROR(HLOOKUP(L537,'Calc|Weightings'!$K$5:$M$5,1,0),"Excl")</f>
        <v>Labour</v>
      </c>
      <c r="O537" s="7" t="str">
        <f>VLOOKUP(E537,Mapping!$E$11:$I$96,5,0)</f>
        <v>SCS</v>
      </c>
      <c r="Q537" s="33">
        <v>116</v>
      </c>
      <c r="R537" s="33" t="s">
        <v>2130</v>
      </c>
      <c r="S537" s="33">
        <v>636105</v>
      </c>
      <c r="T537" s="33" t="s">
        <v>1937</v>
      </c>
      <c r="U537" s="34">
        <v>1.23349</v>
      </c>
      <c r="V537" s="7"/>
      <c r="W537" s="7" t="str">
        <f>VLOOKUP($Q537,Mapping!$E$11:$I$96,3,0)</f>
        <v>Connections</v>
      </c>
      <c r="X537" s="7" t="str">
        <f>VLOOKUP($S537,Mapping!$E$140:$K$2771,5,0)</f>
        <v>CSG MG</v>
      </c>
      <c r="Y537" s="7" t="str">
        <f>VLOOKUP($S537,Mapping!$E$140:$K$2771,7,0)</f>
        <v>ENDirect</v>
      </c>
      <c r="Z537" s="7" t="str">
        <f>IFERROR(HLOOKUP(X537,'Calc|Weightings'!$K$5:$M$5,1,0),"Excl")</f>
        <v>Excl</v>
      </c>
      <c r="AA537" s="7" t="str">
        <f>VLOOKUP(Q537,Mapping!$E$11:$I$96,5,0)</f>
        <v>SCS</v>
      </c>
      <c r="AC537" s="111">
        <v>116</v>
      </c>
      <c r="AD537" s="111" t="s">
        <v>2130</v>
      </c>
      <c r="AE537" s="111">
        <v>613577</v>
      </c>
      <c r="AF537" s="111" t="s">
        <v>1491</v>
      </c>
      <c r="AG537" s="112">
        <v>54.617400000000004</v>
      </c>
      <c r="AI537" s="7" t="str">
        <f>VLOOKUP($AC537,Mapping!$E$11:$I$96,3,0)</f>
        <v>Connections</v>
      </c>
      <c r="AJ537" s="7" t="str">
        <f>VLOOKUP($AE537,Mapping!$E$140:$K$2771,5,0)</f>
        <v>Labour</v>
      </c>
      <c r="AK537" s="7" t="str">
        <f>VLOOKUP($AE537,Mapping!$E$140:$K$2771,7,0)</f>
        <v>ENDirect</v>
      </c>
      <c r="AL537" s="7" t="str">
        <f>IFERROR(HLOOKUP(AJ537,'Calc|Weightings'!$K$5:$M$5,1,0),"Excl")</f>
        <v>Labour</v>
      </c>
      <c r="AM537" s="7" t="str">
        <f>VLOOKUP(AC537,Mapping!$E$11:$I$96,5,0)</f>
        <v>SCS</v>
      </c>
      <c r="AO537" s="134">
        <v>119</v>
      </c>
      <c r="AP537" s="135" t="s">
        <v>2133</v>
      </c>
      <c r="AQ537" s="135">
        <v>503240</v>
      </c>
      <c r="AR537" s="135" t="s">
        <v>169</v>
      </c>
      <c r="AS537" s="136">
        <v>0.28369</v>
      </c>
      <c r="AU537" s="7" t="str">
        <f>VLOOKUP($AO537,Mapping!$E$11:$I$96,3,0)</f>
        <v>Negotiated Capex</v>
      </c>
      <c r="AV537" s="7" t="str">
        <f>VLOOKUP($AQ537,Mapping!$E$140:$K$2771,5,0)</f>
        <v>Contracts</v>
      </c>
      <c r="AW537" s="7" t="str">
        <f>VLOOKUP($AQ537,Mapping!$E$140:$K$2771,7,0)</f>
        <v>ENDirect</v>
      </c>
      <c r="AX537" s="7" t="str">
        <f>IFERROR(HLOOKUP(AV537,'Calc|Weightings'!$K$5:$M$5,1,0),"Excl")</f>
        <v>Contracts</v>
      </c>
      <c r="AY537" s="7" t="str">
        <f>VLOOKUP(AO537,Mapping!$E$11:$I$96,5,0)</f>
        <v>Negotiated Capex</v>
      </c>
    </row>
    <row r="538" spans="1:51" x14ac:dyDescent="0.2">
      <c r="A538" s="7"/>
      <c r="B538" s="7"/>
      <c r="C538" s="7"/>
      <c r="D538" s="7"/>
      <c r="E538" s="36">
        <v>116</v>
      </c>
      <c r="F538" s="36" t="s">
        <v>2130</v>
      </c>
      <c r="G538" s="36">
        <v>613278</v>
      </c>
      <c r="H538" s="36" t="s">
        <v>2357</v>
      </c>
      <c r="I538" s="37">
        <v>204.28742</v>
      </c>
      <c r="J538" s="7"/>
      <c r="K538" s="7" t="str">
        <f>VLOOKUP($E538,Mapping!$E$11:$I$96,3,0)</f>
        <v>Connections</v>
      </c>
      <c r="L538" s="7" t="str">
        <f>VLOOKUP($G538,Mapping!$E$140:$K$2771,5,0)</f>
        <v>Labour</v>
      </c>
      <c r="M538" s="7" t="str">
        <f>VLOOKUP($G538,Mapping!$E$140:$K$2771,7,0)</f>
        <v>ENDirect</v>
      </c>
      <c r="N538" s="7" t="str">
        <f>IFERROR(HLOOKUP(L538,'Calc|Weightings'!$K$5:$M$5,1,0),"Excl")</f>
        <v>Labour</v>
      </c>
      <c r="O538" s="7" t="str">
        <f>VLOOKUP(E538,Mapping!$E$11:$I$96,5,0)</f>
        <v>SCS</v>
      </c>
      <c r="Q538" s="33">
        <v>116</v>
      </c>
      <c r="R538" s="33" t="s">
        <v>2130</v>
      </c>
      <c r="S538" s="33">
        <v>639000</v>
      </c>
      <c r="T538" s="33" t="s">
        <v>2112</v>
      </c>
      <c r="U538" s="34">
        <v>1295.05297</v>
      </c>
      <c r="V538" s="7"/>
      <c r="W538" s="7" t="str">
        <f>VLOOKUP($Q538,Mapping!$E$11:$I$96,3,0)</f>
        <v>Connections</v>
      </c>
      <c r="X538" s="7" t="str">
        <f>VLOOKUP($S538,Mapping!$E$140:$K$2771,5,0)</f>
        <v>PNS Corporate OH</v>
      </c>
      <c r="Y538" s="7" t="str">
        <f>VLOOKUP($S538,Mapping!$E$140:$K$2771,7,0)</f>
        <v>OH</v>
      </c>
      <c r="Z538" s="7" t="str">
        <f>IFERROR(HLOOKUP(X538,'Calc|Weightings'!$K$5:$M$5,1,0),"Excl")</f>
        <v>Excl</v>
      </c>
      <c r="AA538" s="7" t="str">
        <f>VLOOKUP(Q538,Mapping!$E$11:$I$96,5,0)</f>
        <v>SCS</v>
      </c>
      <c r="AC538" s="111">
        <v>116</v>
      </c>
      <c r="AD538" s="111" t="s">
        <v>2130</v>
      </c>
      <c r="AE538" s="111">
        <v>613602</v>
      </c>
      <c r="AF538" s="111" t="s">
        <v>1494</v>
      </c>
      <c r="AG538" s="112">
        <v>5.1089599999999997</v>
      </c>
      <c r="AI538" s="7" t="str">
        <f>VLOOKUP($AC538,Mapping!$E$11:$I$96,3,0)</f>
        <v>Connections</v>
      </c>
      <c r="AJ538" s="7" t="str">
        <f>VLOOKUP($AE538,Mapping!$E$140:$K$2771,5,0)</f>
        <v>Labour</v>
      </c>
      <c r="AK538" s="7" t="str">
        <f>VLOOKUP($AE538,Mapping!$E$140:$K$2771,7,0)</f>
        <v>ENDirect</v>
      </c>
      <c r="AL538" s="7" t="str">
        <f>IFERROR(HLOOKUP(AJ538,'Calc|Weightings'!$K$5:$M$5,1,0),"Excl")</f>
        <v>Labour</v>
      </c>
      <c r="AM538" s="7" t="str">
        <f>VLOOKUP(AC538,Mapping!$E$11:$I$96,5,0)</f>
        <v>SCS</v>
      </c>
      <c r="AO538" s="134">
        <v>119</v>
      </c>
      <c r="AP538" s="135" t="s">
        <v>2133</v>
      </c>
      <c r="AQ538" s="135">
        <v>503250</v>
      </c>
      <c r="AR538" s="135" t="s">
        <v>170</v>
      </c>
      <c r="AS538" s="136">
        <v>-3.5790000000000002E-2</v>
      </c>
      <c r="AU538" s="7" t="str">
        <f>VLOOKUP($AO538,Mapping!$E$11:$I$96,3,0)</f>
        <v>Negotiated Capex</v>
      </c>
      <c r="AV538" s="7" t="str">
        <f>VLOOKUP($AQ538,Mapping!$E$140:$K$2771,5,0)</f>
        <v>Contracts</v>
      </c>
      <c r="AW538" s="7" t="str">
        <f>VLOOKUP($AQ538,Mapping!$E$140:$K$2771,7,0)</f>
        <v>ENDirect</v>
      </c>
      <c r="AX538" s="7" t="str">
        <f>IFERROR(HLOOKUP(AV538,'Calc|Weightings'!$K$5:$M$5,1,0),"Excl")</f>
        <v>Contracts</v>
      </c>
      <c r="AY538" s="7" t="str">
        <f>VLOOKUP(AO538,Mapping!$E$11:$I$96,5,0)</f>
        <v>Negotiated Capex</v>
      </c>
    </row>
    <row r="539" spans="1:51" x14ac:dyDescent="0.2">
      <c r="A539" s="7"/>
      <c r="B539" s="7"/>
      <c r="C539" s="7"/>
      <c r="D539" s="7"/>
      <c r="E539" s="36">
        <v>116</v>
      </c>
      <c r="F539" s="36" t="s">
        <v>2130</v>
      </c>
      <c r="G539" s="36">
        <v>613279</v>
      </c>
      <c r="H539" s="36" t="s">
        <v>2360</v>
      </c>
      <c r="I539" s="37">
        <v>62.435580000000002</v>
      </c>
      <c r="J539" s="7"/>
      <c r="K539" s="7" t="str">
        <f>VLOOKUP($E539,Mapping!$E$11:$I$96,3,0)</f>
        <v>Connections</v>
      </c>
      <c r="L539" s="7" t="str">
        <f>VLOOKUP($G539,Mapping!$E$140:$K$2771,5,0)</f>
        <v>Labour</v>
      </c>
      <c r="M539" s="7" t="str">
        <f>VLOOKUP($G539,Mapping!$E$140:$K$2771,7,0)</f>
        <v>ENDirect</v>
      </c>
      <c r="N539" s="7" t="str">
        <f>IFERROR(HLOOKUP(L539,'Calc|Weightings'!$K$5:$M$5,1,0),"Excl")</f>
        <v>Labour</v>
      </c>
      <c r="O539" s="7" t="str">
        <f>VLOOKUP(E539,Mapping!$E$11:$I$96,5,0)</f>
        <v>SCS</v>
      </c>
      <c r="Q539" s="33">
        <v>116</v>
      </c>
      <c r="R539" s="33" t="s">
        <v>2130</v>
      </c>
      <c r="S539" s="33">
        <v>639050</v>
      </c>
      <c r="T539" s="33" t="s">
        <v>2113</v>
      </c>
      <c r="U539" s="34">
        <v>222.79650000000001</v>
      </c>
      <c r="V539" s="7"/>
      <c r="W539" s="7" t="str">
        <f>VLOOKUP($Q539,Mapping!$E$11:$I$96,3,0)</f>
        <v>Connections</v>
      </c>
      <c r="X539" s="7" t="str">
        <f>VLOOKUP($S539,Mapping!$E$140:$K$2771,5,0)</f>
        <v>PNS Fleet &amp; Property OH</v>
      </c>
      <c r="Y539" s="7" t="str">
        <f>VLOOKUP($S539,Mapping!$E$140:$K$2771,7,0)</f>
        <v>OH</v>
      </c>
      <c r="Z539" s="7" t="str">
        <f>IFERROR(HLOOKUP(X539,'Calc|Weightings'!$K$5:$M$5,1,0),"Excl")</f>
        <v>Excl</v>
      </c>
      <c r="AA539" s="7" t="str">
        <f>VLOOKUP(Q539,Mapping!$E$11:$I$96,5,0)</f>
        <v>SCS</v>
      </c>
      <c r="AC539" s="111">
        <v>116</v>
      </c>
      <c r="AD539" s="111" t="s">
        <v>2130</v>
      </c>
      <c r="AE539" s="111">
        <v>613603</v>
      </c>
      <c r="AF539" s="111" t="s">
        <v>1495</v>
      </c>
      <c r="AG539" s="112">
        <v>0.55894999999999995</v>
      </c>
      <c r="AI539" s="7" t="str">
        <f>VLOOKUP($AC539,Mapping!$E$11:$I$96,3,0)</f>
        <v>Connections</v>
      </c>
      <c r="AJ539" s="7" t="str">
        <f>VLOOKUP($AE539,Mapping!$E$140:$K$2771,5,0)</f>
        <v>Labour</v>
      </c>
      <c r="AK539" s="7" t="str">
        <f>VLOOKUP($AE539,Mapping!$E$140:$K$2771,7,0)</f>
        <v>ENDirect</v>
      </c>
      <c r="AL539" s="7" t="str">
        <f>IFERROR(HLOOKUP(AJ539,'Calc|Weightings'!$K$5:$M$5,1,0),"Excl")</f>
        <v>Labour</v>
      </c>
      <c r="AM539" s="7" t="str">
        <f>VLOOKUP(AC539,Mapping!$E$11:$I$96,5,0)</f>
        <v>SCS</v>
      </c>
      <c r="AO539" s="134">
        <v>119</v>
      </c>
      <c r="AP539" s="135" t="s">
        <v>2133</v>
      </c>
      <c r="AQ539" s="135">
        <v>503281</v>
      </c>
      <c r="AR539" s="135" t="s">
        <v>2198</v>
      </c>
      <c r="AS539" s="136">
        <v>-1.873E-2</v>
      </c>
      <c r="AU539" s="7" t="str">
        <f>VLOOKUP($AO539,Mapping!$E$11:$I$96,3,0)</f>
        <v>Negotiated Capex</v>
      </c>
      <c r="AV539" s="7" t="str">
        <f>VLOOKUP($AQ539,Mapping!$E$140:$K$2771,5,0)</f>
        <v>Contracts</v>
      </c>
      <c r="AW539" s="7" t="str">
        <f>VLOOKUP($AQ539,Mapping!$E$140:$K$2771,7,0)</f>
        <v>ENDirect</v>
      </c>
      <c r="AX539" s="7" t="str">
        <f>IFERROR(HLOOKUP(AV539,'Calc|Weightings'!$K$5:$M$5,1,0),"Excl")</f>
        <v>Contracts</v>
      </c>
      <c r="AY539" s="7" t="str">
        <f>VLOOKUP(AO539,Mapping!$E$11:$I$96,5,0)</f>
        <v>Negotiated Capex</v>
      </c>
    </row>
    <row r="540" spans="1:51" x14ac:dyDescent="0.2">
      <c r="A540" s="7"/>
      <c r="B540" s="7"/>
      <c r="C540" s="7"/>
      <c r="D540" s="7"/>
      <c r="E540" s="36">
        <v>116</v>
      </c>
      <c r="F540" s="36" t="s">
        <v>2130</v>
      </c>
      <c r="G540" s="36">
        <v>613280</v>
      </c>
      <c r="H540" s="36" t="s">
        <v>1342</v>
      </c>
      <c r="I540" s="37">
        <v>468.04011000000003</v>
      </c>
      <c r="J540" s="7"/>
      <c r="K540" s="7" t="str">
        <f>VLOOKUP($E540,Mapping!$E$11:$I$96,3,0)</f>
        <v>Connections</v>
      </c>
      <c r="L540" s="7" t="str">
        <f>VLOOKUP($G540,Mapping!$E$140:$K$2771,5,0)</f>
        <v>Labour</v>
      </c>
      <c r="M540" s="7" t="str">
        <f>VLOOKUP($G540,Mapping!$E$140:$K$2771,7,0)</f>
        <v>ENDirect</v>
      </c>
      <c r="N540" s="7" t="str">
        <f>IFERROR(HLOOKUP(L540,'Calc|Weightings'!$K$5:$M$5,1,0),"Excl")</f>
        <v>Labour</v>
      </c>
      <c r="O540" s="7" t="str">
        <f>VLOOKUP(E540,Mapping!$E$11:$I$96,5,0)</f>
        <v>SCS</v>
      </c>
      <c r="Q540" s="33">
        <v>118</v>
      </c>
      <c r="R540" s="33" t="s">
        <v>2132</v>
      </c>
      <c r="S540" s="33">
        <v>503281</v>
      </c>
      <c r="T540" s="33" t="s">
        <v>174</v>
      </c>
      <c r="U540" s="34">
        <v>5.1249999999999997E-2</v>
      </c>
      <c r="V540" s="7"/>
      <c r="W540" s="7" t="str">
        <f>VLOOKUP($Q540,Mapping!$E$11:$I$96,3,0)</f>
        <v>Connections</v>
      </c>
      <c r="X540" s="7" t="str">
        <f>VLOOKUP($S540,Mapping!$E$140:$K$2771,5,0)</f>
        <v>Contracts</v>
      </c>
      <c r="Y540" s="7" t="str">
        <f>VLOOKUP($S540,Mapping!$E$140:$K$2771,7,0)</f>
        <v>ENDirect</v>
      </c>
      <c r="Z540" s="7" t="str">
        <f>IFERROR(HLOOKUP(X540,'Calc|Weightings'!$K$5:$M$5,1,0),"Excl")</f>
        <v>Contracts</v>
      </c>
      <c r="AA540" s="7" t="str">
        <f>VLOOKUP(Q540,Mapping!$E$11:$I$96,5,0)</f>
        <v>SCS</v>
      </c>
      <c r="AC540" s="111">
        <v>116</v>
      </c>
      <c r="AD540" s="111" t="s">
        <v>2130</v>
      </c>
      <c r="AE540" s="111">
        <v>613630</v>
      </c>
      <c r="AF540" s="111" t="s">
        <v>1498</v>
      </c>
      <c r="AG540" s="112">
        <v>401.56196</v>
      </c>
      <c r="AI540" s="7" t="str">
        <f>VLOOKUP($AC540,Mapping!$E$11:$I$96,3,0)</f>
        <v>Connections</v>
      </c>
      <c r="AJ540" s="7" t="str">
        <f>VLOOKUP($AE540,Mapping!$E$140:$K$2771,5,0)</f>
        <v>Labour</v>
      </c>
      <c r="AK540" s="7" t="str">
        <f>VLOOKUP($AE540,Mapping!$E$140:$K$2771,7,0)</f>
        <v>ENDirect</v>
      </c>
      <c r="AL540" s="7" t="str">
        <f>IFERROR(HLOOKUP(AJ540,'Calc|Weightings'!$K$5:$M$5,1,0),"Excl")</f>
        <v>Labour</v>
      </c>
      <c r="AM540" s="7" t="str">
        <f>VLOOKUP(AC540,Mapping!$E$11:$I$96,5,0)</f>
        <v>SCS</v>
      </c>
      <c r="AO540" s="134">
        <v>119</v>
      </c>
      <c r="AP540" s="135" t="s">
        <v>2133</v>
      </c>
      <c r="AQ540" s="135">
        <v>503330</v>
      </c>
      <c r="AR540" s="135" t="s">
        <v>180</v>
      </c>
      <c r="AS540" s="136">
        <v>-0.17638000000000001</v>
      </c>
      <c r="AU540" s="7" t="str">
        <f>VLOOKUP($AO540,Mapping!$E$11:$I$96,3,0)</f>
        <v>Negotiated Capex</v>
      </c>
      <c r="AV540" s="7" t="str">
        <f>VLOOKUP($AQ540,Mapping!$E$140:$K$2771,5,0)</f>
        <v>Contracts</v>
      </c>
      <c r="AW540" s="7" t="str">
        <f>VLOOKUP($AQ540,Mapping!$E$140:$K$2771,7,0)</f>
        <v>ENDirect</v>
      </c>
      <c r="AX540" s="7" t="str">
        <f>IFERROR(HLOOKUP(AV540,'Calc|Weightings'!$K$5:$M$5,1,0),"Excl")</f>
        <v>Contracts</v>
      </c>
      <c r="AY540" s="7" t="str">
        <f>VLOOKUP(AO540,Mapping!$E$11:$I$96,5,0)</f>
        <v>Negotiated Capex</v>
      </c>
    </row>
    <row r="541" spans="1:51" x14ac:dyDescent="0.2">
      <c r="A541" s="7"/>
      <c r="B541" s="7"/>
      <c r="C541" s="7"/>
      <c r="D541" s="7"/>
      <c r="E541" s="36">
        <v>116</v>
      </c>
      <c r="F541" s="36" t="s">
        <v>2130</v>
      </c>
      <c r="G541" s="36">
        <v>613281</v>
      </c>
      <c r="H541" s="36" t="s">
        <v>1343</v>
      </c>
      <c r="I541" s="37">
        <v>28.979199999999999</v>
      </c>
      <c r="J541" s="7"/>
      <c r="K541" s="7" t="str">
        <f>VLOOKUP($E541,Mapping!$E$11:$I$96,3,0)</f>
        <v>Connections</v>
      </c>
      <c r="L541" s="7" t="str">
        <f>VLOOKUP($G541,Mapping!$E$140:$K$2771,5,0)</f>
        <v>Labour</v>
      </c>
      <c r="M541" s="7" t="str">
        <f>VLOOKUP($G541,Mapping!$E$140:$K$2771,7,0)</f>
        <v>ENDirect</v>
      </c>
      <c r="N541" s="7" t="str">
        <f>IFERROR(HLOOKUP(L541,'Calc|Weightings'!$K$5:$M$5,1,0),"Excl")</f>
        <v>Labour</v>
      </c>
      <c r="O541" s="7" t="str">
        <f>VLOOKUP(E541,Mapping!$E$11:$I$96,5,0)</f>
        <v>SCS</v>
      </c>
      <c r="Q541" s="33">
        <v>118</v>
      </c>
      <c r="R541" s="33" t="s">
        <v>2132</v>
      </c>
      <c r="S541" s="33">
        <v>520100</v>
      </c>
      <c r="T541" s="33" t="s">
        <v>2072</v>
      </c>
      <c r="U541" s="34">
        <v>-0.35899999999999999</v>
      </c>
      <c r="V541" s="7"/>
      <c r="W541" s="7" t="str">
        <f>VLOOKUP($Q541,Mapping!$E$11:$I$96,3,0)</f>
        <v>Connections</v>
      </c>
      <c r="X541" s="7" t="str">
        <f>VLOOKUP($S541,Mapping!$E$140:$K$2771,5,0)</f>
        <v>Materials</v>
      </c>
      <c r="Y541" s="7" t="str">
        <f>VLOOKUP($S541,Mapping!$E$140:$K$2771,7,0)</f>
        <v>ENDirect</v>
      </c>
      <c r="Z541" s="7" t="str">
        <f>IFERROR(HLOOKUP(X541,'Calc|Weightings'!$K$5:$M$5,1,0),"Excl")</f>
        <v>Materials</v>
      </c>
      <c r="AA541" s="7" t="str">
        <f>VLOOKUP(Q541,Mapping!$E$11:$I$96,5,0)</f>
        <v>SCS</v>
      </c>
      <c r="AC541" s="111">
        <v>116</v>
      </c>
      <c r="AD541" s="111" t="s">
        <v>2130</v>
      </c>
      <c r="AE541" s="111">
        <v>613640</v>
      </c>
      <c r="AF541" s="111" t="s">
        <v>2201</v>
      </c>
      <c r="AG541" s="112">
        <v>1.8113300000000001</v>
      </c>
      <c r="AI541" s="7" t="str">
        <f>VLOOKUP($AC541,Mapping!$E$11:$I$96,3,0)</f>
        <v>Connections</v>
      </c>
      <c r="AJ541" s="7" t="str">
        <f>VLOOKUP($AE541,Mapping!$E$140:$K$2771,5,0)</f>
        <v>Labour</v>
      </c>
      <c r="AK541" s="7" t="str">
        <f>VLOOKUP($AE541,Mapping!$E$140:$K$2771,7,0)</f>
        <v>ENDirect</v>
      </c>
      <c r="AL541" s="7" t="str">
        <f>IFERROR(HLOOKUP(AJ541,'Calc|Weightings'!$K$5:$M$5,1,0),"Excl")</f>
        <v>Labour</v>
      </c>
      <c r="AM541" s="7" t="str">
        <f>VLOOKUP(AC541,Mapping!$E$11:$I$96,5,0)</f>
        <v>SCS</v>
      </c>
      <c r="AO541" s="134">
        <v>119</v>
      </c>
      <c r="AP541" s="135" t="s">
        <v>2133</v>
      </c>
      <c r="AQ541" s="135">
        <v>520100</v>
      </c>
      <c r="AR541" s="135" t="s">
        <v>2072</v>
      </c>
      <c r="AS541" s="136">
        <v>2873.2589400000002</v>
      </c>
      <c r="AU541" s="7" t="str">
        <f>VLOOKUP($AO541,Mapping!$E$11:$I$96,3,0)</f>
        <v>Negotiated Capex</v>
      </c>
      <c r="AV541" s="7" t="str">
        <f>VLOOKUP($AQ541,Mapping!$E$140:$K$2771,5,0)</f>
        <v>Materials</v>
      </c>
      <c r="AW541" s="7" t="str">
        <f>VLOOKUP($AQ541,Mapping!$E$140:$K$2771,7,0)</f>
        <v>ENDirect</v>
      </c>
      <c r="AX541" s="7" t="str">
        <f>IFERROR(HLOOKUP(AV541,'Calc|Weightings'!$K$5:$M$5,1,0),"Excl")</f>
        <v>Materials</v>
      </c>
      <c r="AY541" s="7" t="str">
        <f>VLOOKUP(AO541,Mapping!$E$11:$I$96,5,0)</f>
        <v>Negotiated Capex</v>
      </c>
    </row>
    <row r="542" spans="1:51" x14ac:dyDescent="0.2">
      <c r="A542" s="7"/>
      <c r="B542" s="7"/>
      <c r="C542" s="7"/>
      <c r="D542" s="7"/>
      <c r="E542" s="36">
        <v>116</v>
      </c>
      <c r="F542" s="36" t="s">
        <v>2130</v>
      </c>
      <c r="G542" s="36">
        <v>613290</v>
      </c>
      <c r="H542" s="36" t="s">
        <v>2093</v>
      </c>
      <c r="I542" s="37">
        <v>39.367420000000003</v>
      </c>
      <c r="J542" s="7"/>
      <c r="K542" s="7" t="str">
        <f>VLOOKUP($E542,Mapping!$E$11:$I$96,3,0)</f>
        <v>Connections</v>
      </c>
      <c r="L542" s="7" t="str">
        <f>VLOOKUP($G542,Mapping!$E$140:$K$2771,5,0)</f>
        <v>Labour</v>
      </c>
      <c r="M542" s="7" t="str">
        <f>VLOOKUP($G542,Mapping!$E$140:$K$2771,7,0)</f>
        <v>ENDirect</v>
      </c>
      <c r="N542" s="7" t="str">
        <f>IFERROR(HLOOKUP(L542,'Calc|Weightings'!$K$5:$M$5,1,0),"Excl")</f>
        <v>Labour</v>
      </c>
      <c r="O542" s="7" t="str">
        <f>VLOOKUP(E542,Mapping!$E$11:$I$96,5,0)</f>
        <v>SCS</v>
      </c>
      <c r="Q542" s="33">
        <v>118</v>
      </c>
      <c r="R542" s="33" t="s">
        <v>2132</v>
      </c>
      <c r="S542" s="33">
        <v>520200</v>
      </c>
      <c r="T542" s="33" t="s">
        <v>2073</v>
      </c>
      <c r="U542" s="34">
        <v>-0.32007999999999998</v>
      </c>
      <c r="V542" s="7"/>
      <c r="W542" s="7" t="str">
        <f>VLOOKUP($Q542,Mapping!$E$11:$I$96,3,0)</f>
        <v>Connections</v>
      </c>
      <c r="X542" s="7" t="str">
        <f>VLOOKUP($S542,Mapping!$E$140:$K$2771,5,0)</f>
        <v>Materials</v>
      </c>
      <c r="Y542" s="7" t="str">
        <f>VLOOKUP($S542,Mapping!$E$140:$K$2771,7,0)</f>
        <v>ENDirect</v>
      </c>
      <c r="Z542" s="7" t="str">
        <f>IFERROR(HLOOKUP(X542,'Calc|Weightings'!$K$5:$M$5,1,0),"Excl")</f>
        <v>Materials</v>
      </c>
      <c r="AA542" s="7" t="str">
        <f>VLOOKUP(Q542,Mapping!$E$11:$I$96,5,0)</f>
        <v>SCS</v>
      </c>
      <c r="AC542" s="111">
        <v>116</v>
      </c>
      <c r="AD542" s="111" t="s">
        <v>2130</v>
      </c>
      <c r="AE542" s="111">
        <v>613680</v>
      </c>
      <c r="AF542" s="111" t="s">
        <v>2107</v>
      </c>
      <c r="AG542" s="112">
        <v>211.86010999999999</v>
      </c>
      <c r="AI542" s="7" t="str">
        <f>VLOOKUP($AC542,Mapping!$E$11:$I$96,3,0)</f>
        <v>Connections</v>
      </c>
      <c r="AJ542" s="7" t="str">
        <f>VLOOKUP($AE542,Mapping!$E$140:$K$2771,5,0)</f>
        <v>Labour</v>
      </c>
      <c r="AK542" s="7" t="str">
        <f>VLOOKUP($AE542,Mapping!$E$140:$K$2771,7,0)</f>
        <v>ENDirect</v>
      </c>
      <c r="AL542" s="7" t="str">
        <f>IFERROR(HLOOKUP(AJ542,'Calc|Weightings'!$K$5:$M$5,1,0),"Excl")</f>
        <v>Labour</v>
      </c>
      <c r="AM542" s="7" t="str">
        <f>VLOOKUP(AC542,Mapping!$E$11:$I$96,5,0)</f>
        <v>SCS</v>
      </c>
      <c r="AO542" s="134">
        <v>119</v>
      </c>
      <c r="AP542" s="135" t="s">
        <v>2133</v>
      </c>
      <c r="AQ542" s="135">
        <v>523100</v>
      </c>
      <c r="AR542" s="135" t="s">
        <v>2074</v>
      </c>
      <c r="AS542" s="136">
        <v>0.20968999999999999</v>
      </c>
      <c r="AU542" s="7" t="str">
        <f>VLOOKUP($AO542,Mapping!$E$11:$I$96,3,0)</f>
        <v>Negotiated Capex</v>
      </c>
      <c r="AV542" s="7" t="str">
        <f>VLOOKUP($AQ542,Mapping!$E$140:$K$2771,5,0)</f>
        <v>Materials</v>
      </c>
      <c r="AW542" s="7" t="str">
        <f>VLOOKUP($AQ542,Mapping!$E$140:$K$2771,7,0)</f>
        <v>ENDirect</v>
      </c>
      <c r="AX542" s="7" t="str">
        <f>IFERROR(HLOOKUP(AV542,'Calc|Weightings'!$K$5:$M$5,1,0),"Excl")</f>
        <v>Materials</v>
      </c>
      <c r="AY542" s="7" t="str">
        <f>VLOOKUP(AO542,Mapping!$E$11:$I$96,5,0)</f>
        <v>Negotiated Capex</v>
      </c>
    </row>
    <row r="543" spans="1:51" x14ac:dyDescent="0.2">
      <c r="A543" s="7"/>
      <c r="B543" s="7"/>
      <c r="C543" s="7"/>
      <c r="D543" s="7"/>
      <c r="E543" s="36">
        <v>116</v>
      </c>
      <c r="F543" s="36" t="s">
        <v>2130</v>
      </c>
      <c r="G543" s="36">
        <v>613298</v>
      </c>
      <c r="H543" s="36" t="s">
        <v>2122</v>
      </c>
      <c r="I543" s="37">
        <v>1608.91327</v>
      </c>
      <c r="J543" s="7"/>
      <c r="K543" s="7" t="str">
        <f>VLOOKUP($E543,Mapping!$E$11:$I$96,3,0)</f>
        <v>Connections</v>
      </c>
      <c r="L543" s="7" t="str">
        <f>VLOOKUP($G543,Mapping!$E$140:$K$2771,5,0)</f>
        <v>Labour</v>
      </c>
      <c r="M543" s="7" t="str">
        <f>VLOOKUP($G543,Mapping!$E$140:$K$2771,7,0)</f>
        <v>ENDirect</v>
      </c>
      <c r="N543" s="7" t="str">
        <f>IFERROR(HLOOKUP(L543,'Calc|Weightings'!$K$5:$M$5,1,0),"Excl")</f>
        <v>Labour</v>
      </c>
      <c r="O543" s="7" t="str">
        <f>VLOOKUP(E543,Mapping!$E$11:$I$96,5,0)</f>
        <v>SCS</v>
      </c>
      <c r="Q543" s="33">
        <v>118</v>
      </c>
      <c r="R543" s="33" t="s">
        <v>2132</v>
      </c>
      <c r="S543" s="33">
        <v>531469</v>
      </c>
      <c r="T543" s="33" t="s">
        <v>261</v>
      </c>
      <c r="U543" s="34">
        <v>9.7960000000000005E-2</v>
      </c>
      <c r="V543" s="7"/>
      <c r="W543" s="7" t="str">
        <f>VLOOKUP($Q543,Mapping!$E$11:$I$96,3,0)</f>
        <v>Connections</v>
      </c>
      <c r="X543" s="7" t="str">
        <f>VLOOKUP($S543,Mapping!$E$140:$K$2771,5,0)</f>
        <v>Labour</v>
      </c>
      <c r="Y543" s="7" t="str">
        <f>VLOOKUP($S543,Mapping!$E$140:$K$2771,7,0)</f>
        <v>ENDirect</v>
      </c>
      <c r="Z543" s="7" t="str">
        <f>IFERROR(HLOOKUP(X543,'Calc|Weightings'!$K$5:$M$5,1,0),"Excl")</f>
        <v>Labour</v>
      </c>
      <c r="AA543" s="7" t="str">
        <f>VLOOKUP(Q543,Mapping!$E$11:$I$96,5,0)</f>
        <v>SCS</v>
      </c>
      <c r="AC543" s="111">
        <v>116</v>
      </c>
      <c r="AD543" s="111" t="s">
        <v>2130</v>
      </c>
      <c r="AE543" s="111">
        <v>613681</v>
      </c>
      <c r="AF543" s="111" t="s">
        <v>2108</v>
      </c>
      <c r="AG543" s="112">
        <v>0.54366000000000003</v>
      </c>
      <c r="AI543" s="7" t="str">
        <f>VLOOKUP($AC543,Mapping!$E$11:$I$96,3,0)</f>
        <v>Connections</v>
      </c>
      <c r="AJ543" s="7" t="str">
        <f>VLOOKUP($AE543,Mapping!$E$140:$K$2771,5,0)</f>
        <v>Labour</v>
      </c>
      <c r="AK543" s="7" t="str">
        <f>VLOOKUP($AE543,Mapping!$E$140:$K$2771,7,0)</f>
        <v>ENDirect</v>
      </c>
      <c r="AL543" s="7" t="str">
        <f>IFERROR(HLOOKUP(AJ543,'Calc|Weightings'!$K$5:$M$5,1,0),"Excl")</f>
        <v>Labour</v>
      </c>
      <c r="AM543" s="7" t="str">
        <f>VLOOKUP(AC543,Mapping!$E$11:$I$96,5,0)</f>
        <v>SCS</v>
      </c>
      <c r="AO543" s="134">
        <v>119</v>
      </c>
      <c r="AP543" s="135" t="s">
        <v>2133</v>
      </c>
      <c r="AQ543" s="135">
        <v>531020</v>
      </c>
      <c r="AR543" s="135" t="s">
        <v>219</v>
      </c>
      <c r="AS543" s="136">
        <v>-38.258000000000003</v>
      </c>
      <c r="AU543" s="7" t="str">
        <f>VLOOKUP($AO543,Mapping!$E$11:$I$96,3,0)</f>
        <v>Negotiated Capex</v>
      </c>
      <c r="AV543" s="7" t="str">
        <f>VLOOKUP($AQ543,Mapping!$E$140:$K$2771,5,0)</f>
        <v>Labour</v>
      </c>
      <c r="AW543" s="7" t="str">
        <f>VLOOKUP($AQ543,Mapping!$E$140:$K$2771,7,0)</f>
        <v>ENDirect</v>
      </c>
      <c r="AX543" s="7" t="str">
        <f>IFERROR(HLOOKUP(AV543,'Calc|Weightings'!$K$5:$M$5,1,0),"Excl")</f>
        <v>Labour</v>
      </c>
      <c r="AY543" s="7" t="str">
        <f>VLOOKUP(AO543,Mapping!$E$11:$I$96,5,0)</f>
        <v>Negotiated Capex</v>
      </c>
    </row>
    <row r="544" spans="1:51" x14ac:dyDescent="0.2">
      <c r="A544" s="7"/>
      <c r="B544" s="7"/>
      <c r="C544" s="7"/>
      <c r="D544" s="7"/>
      <c r="E544" s="36">
        <v>116</v>
      </c>
      <c r="F544" s="36" t="s">
        <v>2130</v>
      </c>
      <c r="G544" s="36">
        <v>613299</v>
      </c>
      <c r="H544" s="36" t="s">
        <v>2385</v>
      </c>
      <c r="I544" s="37">
        <v>3.2593800000000002</v>
      </c>
      <c r="J544" s="7"/>
      <c r="K544" s="7" t="str">
        <f>VLOOKUP($E544,Mapping!$E$11:$I$96,3,0)</f>
        <v>Connections</v>
      </c>
      <c r="L544" s="7" t="str">
        <f>VLOOKUP($G544,Mapping!$E$140:$K$2771,5,0)</f>
        <v>Labour</v>
      </c>
      <c r="M544" s="7" t="str">
        <f>VLOOKUP($G544,Mapping!$E$140:$K$2771,7,0)</f>
        <v>ENDirect</v>
      </c>
      <c r="N544" s="7" t="str">
        <f>IFERROR(HLOOKUP(L544,'Calc|Weightings'!$K$5:$M$5,1,0),"Excl")</f>
        <v>Labour</v>
      </c>
      <c r="O544" s="7" t="str">
        <f>VLOOKUP(E544,Mapping!$E$11:$I$96,5,0)</f>
        <v>SCS</v>
      </c>
      <c r="Q544" s="33">
        <v>118</v>
      </c>
      <c r="R544" s="33" t="s">
        <v>2132</v>
      </c>
      <c r="S544" s="33">
        <v>591997</v>
      </c>
      <c r="T544" s="33" t="s">
        <v>399</v>
      </c>
      <c r="U544" s="34">
        <v>-0.37918000000000002</v>
      </c>
      <c r="V544" s="7"/>
      <c r="W544" s="7" t="str">
        <f>VLOOKUP($Q544,Mapping!$E$11:$I$96,3,0)</f>
        <v>Connections</v>
      </c>
      <c r="X544" s="7" t="str">
        <f>VLOOKUP($S544,Mapping!$E$140:$K$2771,5,0)</f>
        <v>Contracts</v>
      </c>
      <c r="Y544" s="7" t="str">
        <f>VLOOKUP($S544,Mapping!$E$140:$K$2771,7,0)</f>
        <v>ENDirect</v>
      </c>
      <c r="Z544" s="7" t="str">
        <f>IFERROR(HLOOKUP(X544,'Calc|Weightings'!$K$5:$M$5,1,0),"Excl")</f>
        <v>Contracts</v>
      </c>
      <c r="AA544" s="7" t="str">
        <f>VLOOKUP(Q544,Mapping!$E$11:$I$96,5,0)</f>
        <v>SCS</v>
      </c>
      <c r="AC544" s="111">
        <v>116</v>
      </c>
      <c r="AD544" s="111" t="s">
        <v>2130</v>
      </c>
      <c r="AE544" s="111">
        <v>613964</v>
      </c>
      <c r="AF544" s="111" t="s">
        <v>1650</v>
      </c>
      <c r="AG544" s="112">
        <v>0.54559999999999997</v>
      </c>
      <c r="AI544" s="7" t="str">
        <f>VLOOKUP($AC544,Mapping!$E$11:$I$96,3,0)</f>
        <v>Connections</v>
      </c>
      <c r="AJ544" s="7" t="str">
        <f>VLOOKUP($AE544,Mapping!$E$140:$K$2771,5,0)</f>
        <v>Contracts</v>
      </c>
      <c r="AK544" s="7" t="str">
        <f>VLOOKUP($AE544,Mapping!$E$140:$K$2771,7,0)</f>
        <v>ENDirect</v>
      </c>
      <c r="AL544" s="7" t="str">
        <f>IFERROR(HLOOKUP(AJ544,'Calc|Weightings'!$K$5:$M$5,1,0),"Excl")</f>
        <v>Contracts</v>
      </c>
      <c r="AM544" s="7" t="str">
        <f>VLOOKUP(AC544,Mapping!$E$11:$I$96,5,0)</f>
        <v>SCS</v>
      </c>
      <c r="AO544" s="134">
        <v>119</v>
      </c>
      <c r="AP544" s="135" t="s">
        <v>2133</v>
      </c>
      <c r="AQ544" s="135">
        <v>531200</v>
      </c>
      <c r="AR544" s="135" t="s">
        <v>250</v>
      </c>
      <c r="AS544" s="136">
        <v>1.4572000000000001</v>
      </c>
      <c r="AU544" s="7" t="str">
        <f>VLOOKUP($AO544,Mapping!$E$11:$I$96,3,0)</f>
        <v>Negotiated Capex</v>
      </c>
      <c r="AV544" s="7" t="str">
        <f>VLOOKUP($AQ544,Mapping!$E$140:$K$2771,5,0)</f>
        <v>Contracts</v>
      </c>
      <c r="AW544" s="7" t="str">
        <f>VLOOKUP($AQ544,Mapping!$E$140:$K$2771,7,0)</f>
        <v>ENDirect</v>
      </c>
      <c r="AX544" s="7" t="str">
        <f>IFERROR(HLOOKUP(AV544,'Calc|Weightings'!$K$5:$M$5,1,0),"Excl")</f>
        <v>Contracts</v>
      </c>
      <c r="AY544" s="7" t="str">
        <f>VLOOKUP(AO544,Mapping!$E$11:$I$96,5,0)</f>
        <v>Negotiated Capex</v>
      </c>
    </row>
    <row r="545" spans="1:51" x14ac:dyDescent="0.2">
      <c r="A545" s="7"/>
      <c r="B545" s="7"/>
      <c r="C545" s="7"/>
      <c r="D545" s="7"/>
      <c r="E545" s="36">
        <v>116</v>
      </c>
      <c r="F545" s="36" t="s">
        <v>2130</v>
      </c>
      <c r="G545" s="36">
        <v>613310</v>
      </c>
      <c r="H545" s="36" t="s">
        <v>2095</v>
      </c>
      <c r="I545" s="37">
        <v>23.7075</v>
      </c>
      <c r="J545" s="7"/>
      <c r="K545" s="7" t="str">
        <f>VLOOKUP($E545,Mapping!$E$11:$I$96,3,0)</f>
        <v>Connections</v>
      </c>
      <c r="L545" s="7" t="str">
        <f>VLOOKUP($G545,Mapping!$E$140:$K$2771,5,0)</f>
        <v>Labour</v>
      </c>
      <c r="M545" s="7" t="str">
        <f>VLOOKUP($G545,Mapping!$E$140:$K$2771,7,0)</f>
        <v>ENDirect</v>
      </c>
      <c r="N545" s="7" t="str">
        <f>IFERROR(HLOOKUP(L545,'Calc|Weightings'!$K$5:$M$5,1,0),"Excl")</f>
        <v>Labour</v>
      </c>
      <c r="O545" s="7" t="str">
        <f>VLOOKUP(E545,Mapping!$E$11:$I$96,5,0)</f>
        <v>SCS</v>
      </c>
      <c r="Q545" s="33">
        <v>118</v>
      </c>
      <c r="R545" s="33" t="s">
        <v>2132</v>
      </c>
      <c r="S545" s="33">
        <v>591999</v>
      </c>
      <c r="T545" s="33" t="s">
        <v>2078</v>
      </c>
      <c r="U545" s="34">
        <v>-3.0686100000000001</v>
      </c>
      <c r="V545" s="7"/>
      <c r="W545" s="7" t="str">
        <f>VLOOKUP($Q545,Mapping!$E$11:$I$96,3,0)</f>
        <v>Connections</v>
      </c>
      <c r="X545" s="7" t="str">
        <f>VLOOKUP($S545,Mapping!$E$140:$K$2771,5,0)</f>
        <v>Contracts</v>
      </c>
      <c r="Y545" s="7" t="str">
        <f>VLOOKUP($S545,Mapping!$E$140:$K$2771,7,0)</f>
        <v>ENDirect</v>
      </c>
      <c r="Z545" s="7" t="str">
        <f>IFERROR(HLOOKUP(X545,'Calc|Weightings'!$K$5:$M$5,1,0),"Excl")</f>
        <v>Contracts</v>
      </c>
      <c r="AA545" s="7" t="str">
        <f>VLOOKUP(Q545,Mapping!$E$11:$I$96,5,0)</f>
        <v>SCS</v>
      </c>
      <c r="AC545" s="111">
        <v>116</v>
      </c>
      <c r="AD545" s="111" t="s">
        <v>2130</v>
      </c>
      <c r="AE545" s="111">
        <v>614115</v>
      </c>
      <c r="AF545" s="111" t="s">
        <v>2109</v>
      </c>
      <c r="AG545" s="112">
        <v>46.759990000000002</v>
      </c>
      <c r="AI545" s="7" t="str">
        <f>VLOOKUP($AC545,Mapping!$E$11:$I$96,3,0)</f>
        <v>Connections</v>
      </c>
      <c r="AJ545" s="7" t="str">
        <f>VLOOKUP($AE545,Mapping!$E$140:$K$2771,5,0)</f>
        <v>Labour</v>
      </c>
      <c r="AK545" s="7" t="str">
        <f>VLOOKUP($AE545,Mapping!$E$140:$K$2771,7,0)</f>
        <v>ENDirect</v>
      </c>
      <c r="AL545" s="7" t="str">
        <f>IFERROR(HLOOKUP(AJ545,'Calc|Weightings'!$K$5:$M$5,1,0),"Excl")</f>
        <v>Labour</v>
      </c>
      <c r="AM545" s="7" t="str">
        <f>VLOOKUP(AC545,Mapping!$E$11:$I$96,5,0)</f>
        <v>SCS</v>
      </c>
      <c r="AO545" s="134">
        <v>119</v>
      </c>
      <c r="AP545" s="135" t="s">
        <v>2133</v>
      </c>
      <c r="AQ545" s="135">
        <v>531464</v>
      </c>
      <c r="AR545" s="135" t="s">
        <v>256</v>
      </c>
      <c r="AS545" s="136">
        <v>1083.26856</v>
      </c>
      <c r="AU545" s="7" t="str">
        <f>VLOOKUP($AO545,Mapping!$E$11:$I$96,3,0)</f>
        <v>Negotiated Capex</v>
      </c>
      <c r="AV545" s="7" t="str">
        <f>VLOOKUP($AQ545,Mapping!$E$140:$K$2771,5,0)</f>
        <v>Contracts</v>
      </c>
      <c r="AW545" s="7" t="str">
        <f>VLOOKUP($AQ545,Mapping!$E$140:$K$2771,7,0)</f>
        <v>ENDirect</v>
      </c>
      <c r="AX545" s="7" t="str">
        <f>IFERROR(HLOOKUP(AV545,'Calc|Weightings'!$K$5:$M$5,1,0),"Excl")</f>
        <v>Contracts</v>
      </c>
      <c r="AY545" s="7" t="str">
        <f>VLOOKUP(AO545,Mapping!$E$11:$I$96,5,0)</f>
        <v>Negotiated Capex</v>
      </c>
    </row>
    <row r="546" spans="1:51" x14ac:dyDescent="0.2">
      <c r="A546" s="7"/>
      <c r="B546" s="7"/>
      <c r="C546" s="7"/>
      <c r="D546" s="7"/>
      <c r="E546" s="36">
        <v>116</v>
      </c>
      <c r="F546" s="36" t="s">
        <v>2130</v>
      </c>
      <c r="G546" s="36">
        <v>613311</v>
      </c>
      <c r="H546" s="36" t="s">
        <v>2116</v>
      </c>
      <c r="I546" s="37">
        <v>0.28449000000000002</v>
      </c>
      <c r="J546" s="7"/>
      <c r="K546" s="7" t="str">
        <f>VLOOKUP($E546,Mapping!$E$11:$I$96,3,0)</f>
        <v>Connections</v>
      </c>
      <c r="L546" s="7" t="str">
        <f>VLOOKUP($G546,Mapping!$E$140:$K$2771,5,0)</f>
        <v>Labour</v>
      </c>
      <c r="M546" s="7" t="str">
        <f>VLOOKUP($G546,Mapping!$E$140:$K$2771,7,0)</f>
        <v>ENDirect</v>
      </c>
      <c r="N546" s="7" t="str">
        <f>IFERROR(HLOOKUP(L546,'Calc|Weightings'!$K$5:$M$5,1,0),"Excl")</f>
        <v>Labour</v>
      </c>
      <c r="O546" s="7" t="str">
        <f>VLOOKUP(E546,Mapping!$E$11:$I$96,5,0)</f>
        <v>SCS</v>
      </c>
      <c r="Q546" s="33">
        <v>118</v>
      </c>
      <c r="R546" s="33" t="s">
        <v>2132</v>
      </c>
      <c r="S546" s="33">
        <v>611901</v>
      </c>
      <c r="T546" s="33" t="s">
        <v>2080</v>
      </c>
      <c r="U546" s="34">
        <v>-5.185E-2</v>
      </c>
      <c r="V546" s="7"/>
      <c r="W546" s="7" t="str">
        <f>VLOOKUP($Q546,Mapping!$E$11:$I$96,3,0)</f>
        <v>Connections</v>
      </c>
      <c r="X546" s="7" t="str">
        <f>VLOOKUP($S546,Mapping!$E$140:$K$2771,5,0)</f>
        <v>Contracts</v>
      </c>
      <c r="Y546" s="7" t="str">
        <f>VLOOKUP($S546,Mapping!$E$140:$K$2771,7,0)</f>
        <v>ENDirect</v>
      </c>
      <c r="Z546" s="7" t="str">
        <f>IFERROR(HLOOKUP(X546,'Calc|Weightings'!$K$5:$M$5,1,0),"Excl")</f>
        <v>Contracts</v>
      </c>
      <c r="AA546" s="7" t="str">
        <f>VLOOKUP(Q546,Mapping!$E$11:$I$96,5,0)</f>
        <v>SCS</v>
      </c>
      <c r="AC546" s="111">
        <v>116</v>
      </c>
      <c r="AD546" s="111" t="s">
        <v>2130</v>
      </c>
      <c r="AE546" s="111">
        <v>615395</v>
      </c>
      <c r="AF546" s="111" t="s">
        <v>2196</v>
      </c>
      <c r="AG546" s="112">
        <v>3.7185000000000001</v>
      </c>
      <c r="AI546" s="7" t="str">
        <f>VLOOKUP($AC546,Mapping!$E$11:$I$96,3,0)</f>
        <v>Connections</v>
      </c>
      <c r="AJ546" s="7" t="str">
        <f>VLOOKUP($AE546,Mapping!$E$140:$K$2771,5,0)</f>
        <v>Labour</v>
      </c>
      <c r="AK546" s="7" t="str">
        <f>VLOOKUP($AE546,Mapping!$E$140:$K$2771,7,0)</f>
        <v>ENDirect</v>
      </c>
      <c r="AL546" s="7" t="str">
        <f>IFERROR(HLOOKUP(AJ546,'Calc|Weightings'!$K$5:$M$5,1,0),"Excl")</f>
        <v>Labour</v>
      </c>
      <c r="AM546" s="7" t="str">
        <f>VLOOKUP(AC546,Mapping!$E$11:$I$96,5,0)</f>
        <v>SCS</v>
      </c>
      <c r="AO546" s="134">
        <v>119</v>
      </c>
      <c r="AP546" s="135" t="s">
        <v>2133</v>
      </c>
      <c r="AQ546" s="135">
        <v>531465</v>
      </c>
      <c r="AR546" s="135" t="s">
        <v>257</v>
      </c>
      <c r="AS546" s="136">
        <v>8.2985100000000003</v>
      </c>
      <c r="AU546" s="7" t="str">
        <f>VLOOKUP($AO546,Mapping!$E$11:$I$96,3,0)</f>
        <v>Negotiated Capex</v>
      </c>
      <c r="AV546" s="7" t="str">
        <f>VLOOKUP($AQ546,Mapping!$E$140:$K$2771,5,0)</f>
        <v>Contracts</v>
      </c>
      <c r="AW546" s="7" t="str">
        <f>VLOOKUP($AQ546,Mapping!$E$140:$K$2771,7,0)</f>
        <v>ENDirect</v>
      </c>
      <c r="AX546" s="7" t="str">
        <f>IFERROR(HLOOKUP(AV546,'Calc|Weightings'!$K$5:$M$5,1,0),"Excl")</f>
        <v>Contracts</v>
      </c>
      <c r="AY546" s="7" t="str">
        <f>VLOOKUP(AO546,Mapping!$E$11:$I$96,5,0)</f>
        <v>Negotiated Capex</v>
      </c>
    </row>
    <row r="547" spans="1:51" x14ac:dyDescent="0.2">
      <c r="A547" s="7"/>
      <c r="B547" s="7"/>
      <c r="C547" s="7"/>
      <c r="D547" s="7"/>
      <c r="E547" s="36">
        <v>116</v>
      </c>
      <c r="F547" s="36" t="s">
        <v>2130</v>
      </c>
      <c r="G547" s="36">
        <v>613318</v>
      </c>
      <c r="H547" s="36" t="s">
        <v>1360</v>
      </c>
      <c r="I547" s="37">
        <v>103.13706999999999</v>
      </c>
      <c r="J547" s="7"/>
      <c r="K547" s="7" t="str">
        <f>VLOOKUP($E547,Mapping!$E$11:$I$96,3,0)</f>
        <v>Connections</v>
      </c>
      <c r="L547" s="7" t="str">
        <f>VLOOKUP($G547,Mapping!$E$140:$K$2771,5,0)</f>
        <v>Labour</v>
      </c>
      <c r="M547" s="7" t="str">
        <f>VLOOKUP($G547,Mapping!$E$140:$K$2771,7,0)</f>
        <v>ENDirect</v>
      </c>
      <c r="N547" s="7" t="str">
        <f>IFERROR(HLOOKUP(L547,'Calc|Weightings'!$K$5:$M$5,1,0),"Excl")</f>
        <v>Labour</v>
      </c>
      <c r="O547" s="7" t="str">
        <f>VLOOKUP(E547,Mapping!$E$11:$I$96,5,0)</f>
        <v>SCS</v>
      </c>
      <c r="Q547" s="33">
        <v>118</v>
      </c>
      <c r="R547" s="33" t="s">
        <v>2132</v>
      </c>
      <c r="S547" s="33">
        <v>611902</v>
      </c>
      <c r="T547" s="33" t="s">
        <v>2081</v>
      </c>
      <c r="U547" s="34">
        <v>-1.2919999999999999E-2</v>
      </c>
      <c r="V547" s="7"/>
      <c r="W547" s="7" t="str">
        <f>VLOOKUP($Q547,Mapping!$E$11:$I$96,3,0)</f>
        <v>Connections</v>
      </c>
      <c r="X547" s="7" t="str">
        <f>VLOOKUP($S547,Mapping!$E$140:$K$2771,5,0)</f>
        <v>Contracts</v>
      </c>
      <c r="Y547" s="7" t="str">
        <f>VLOOKUP($S547,Mapping!$E$140:$K$2771,7,0)</f>
        <v>ENDirect</v>
      </c>
      <c r="Z547" s="7" t="str">
        <f>IFERROR(HLOOKUP(X547,'Calc|Weightings'!$K$5:$M$5,1,0),"Excl")</f>
        <v>Contracts</v>
      </c>
      <c r="AA547" s="7" t="str">
        <f>VLOOKUP(Q547,Mapping!$E$11:$I$96,5,0)</f>
        <v>SCS</v>
      </c>
      <c r="AC547" s="111">
        <v>116</v>
      </c>
      <c r="AD547" s="111" t="s">
        <v>2130</v>
      </c>
      <c r="AE547" s="111">
        <v>634001</v>
      </c>
      <c r="AF547" s="111" t="s">
        <v>2110</v>
      </c>
      <c r="AG547" s="112">
        <v>1748.62673</v>
      </c>
      <c r="AI547" s="7" t="str">
        <f>VLOOKUP($AC547,Mapping!$E$11:$I$96,3,0)</f>
        <v>Connections</v>
      </c>
      <c r="AJ547" s="7" t="str">
        <f>VLOOKUP($AE547,Mapping!$E$140:$K$2771,5,0)</f>
        <v>Local OH</v>
      </c>
      <c r="AK547" s="7" t="str">
        <f>VLOOKUP($AE547,Mapping!$E$140:$K$2771,7,0)</f>
        <v>OH</v>
      </c>
      <c r="AL547" s="7" t="str">
        <f>IFERROR(HLOOKUP(AJ547,'Calc|Weightings'!$K$5:$M$5,1,0),"Excl")</f>
        <v>Excl</v>
      </c>
      <c r="AM547" s="7" t="str">
        <f>VLOOKUP(AC547,Mapping!$E$11:$I$96,5,0)</f>
        <v>SCS</v>
      </c>
      <c r="AO547" s="134">
        <v>119</v>
      </c>
      <c r="AP547" s="135" t="s">
        <v>2133</v>
      </c>
      <c r="AQ547" s="135">
        <v>531466</v>
      </c>
      <c r="AR547" s="135" t="s">
        <v>258</v>
      </c>
      <c r="AS547" s="136">
        <v>8.8277999999999999</v>
      </c>
      <c r="AU547" s="7" t="str">
        <f>VLOOKUP($AO547,Mapping!$E$11:$I$96,3,0)</f>
        <v>Negotiated Capex</v>
      </c>
      <c r="AV547" s="7" t="str">
        <f>VLOOKUP($AQ547,Mapping!$E$140:$K$2771,5,0)</f>
        <v>Contracts</v>
      </c>
      <c r="AW547" s="7" t="str">
        <f>VLOOKUP($AQ547,Mapping!$E$140:$K$2771,7,0)</f>
        <v>ENDirect</v>
      </c>
      <c r="AX547" s="7" t="str">
        <f>IFERROR(HLOOKUP(AV547,'Calc|Weightings'!$K$5:$M$5,1,0),"Excl")</f>
        <v>Contracts</v>
      </c>
      <c r="AY547" s="7" t="str">
        <f>VLOOKUP(AO547,Mapping!$E$11:$I$96,5,0)</f>
        <v>Negotiated Capex</v>
      </c>
    </row>
    <row r="548" spans="1:51" x14ac:dyDescent="0.2">
      <c r="A548" s="7"/>
      <c r="B548" s="7"/>
      <c r="C548" s="7"/>
      <c r="D548" s="7"/>
      <c r="E548" s="36">
        <v>116</v>
      </c>
      <c r="F548" s="36" t="s">
        <v>2130</v>
      </c>
      <c r="G548" s="36">
        <v>613319</v>
      </c>
      <c r="H548" s="36" t="s">
        <v>2358</v>
      </c>
      <c r="I548" s="37">
        <v>7.7191599999999996</v>
      </c>
      <c r="J548" s="7"/>
      <c r="K548" s="7" t="str">
        <f>VLOOKUP($E548,Mapping!$E$11:$I$96,3,0)</f>
        <v>Connections</v>
      </c>
      <c r="L548" s="7" t="str">
        <f>VLOOKUP($G548,Mapping!$E$140:$K$2771,5,0)</f>
        <v>Labour</v>
      </c>
      <c r="M548" s="7" t="str">
        <f>VLOOKUP($G548,Mapping!$E$140:$K$2771,7,0)</f>
        <v>ENDirect</v>
      </c>
      <c r="N548" s="7" t="str">
        <f>IFERROR(HLOOKUP(L548,'Calc|Weightings'!$K$5:$M$5,1,0),"Excl")</f>
        <v>Labour</v>
      </c>
      <c r="O548" s="7" t="str">
        <f>VLOOKUP(E548,Mapping!$E$11:$I$96,5,0)</f>
        <v>SCS</v>
      </c>
      <c r="Q548" s="33">
        <v>118</v>
      </c>
      <c r="R548" s="33" t="s">
        <v>2132</v>
      </c>
      <c r="S548" s="33">
        <v>612210</v>
      </c>
      <c r="T548" s="33" t="s">
        <v>1184</v>
      </c>
      <c r="U548" s="34">
        <v>0.51678000000000002</v>
      </c>
      <c r="V548" s="7"/>
      <c r="W548" s="7" t="str">
        <f>VLOOKUP($Q548,Mapping!$E$11:$I$96,3,0)</f>
        <v>Connections</v>
      </c>
      <c r="X548" s="7" t="str">
        <f>VLOOKUP($S548,Mapping!$E$140:$K$2771,5,0)</f>
        <v>Labour</v>
      </c>
      <c r="Y548" s="7" t="str">
        <f>VLOOKUP($S548,Mapping!$E$140:$K$2771,7,0)</f>
        <v>ENDirect</v>
      </c>
      <c r="Z548" s="7" t="str">
        <f>IFERROR(HLOOKUP(X548,'Calc|Weightings'!$K$5:$M$5,1,0),"Excl")</f>
        <v>Labour</v>
      </c>
      <c r="AA548" s="7" t="str">
        <f>VLOOKUP(Q548,Mapping!$E$11:$I$96,5,0)</f>
        <v>SCS</v>
      </c>
      <c r="AC548" s="111">
        <v>116</v>
      </c>
      <c r="AD548" s="111" t="s">
        <v>2130</v>
      </c>
      <c r="AE548" s="111">
        <v>635001</v>
      </c>
      <c r="AF548" s="111" t="s">
        <v>1929</v>
      </c>
      <c r="AG548" s="112">
        <v>1116.39842</v>
      </c>
      <c r="AI548" s="7" t="str">
        <f>VLOOKUP($AC548,Mapping!$E$11:$I$96,3,0)</f>
        <v>Connections</v>
      </c>
      <c r="AJ548" s="7" t="str">
        <f>VLOOKUP($AE548,Mapping!$E$140:$K$2771,5,0)</f>
        <v>PNS MG</v>
      </c>
      <c r="AK548" s="7" t="str">
        <f>VLOOKUP($AE548,Mapping!$E$140:$K$2771,7,0)</f>
        <v>ENDirect</v>
      </c>
      <c r="AL548" s="7" t="str">
        <f>IFERROR(HLOOKUP(AJ548,'Calc|Weightings'!$K$5:$M$5,1,0),"Excl")</f>
        <v>Excl</v>
      </c>
      <c r="AM548" s="7" t="str">
        <f>VLOOKUP(AC548,Mapping!$E$11:$I$96,5,0)</f>
        <v>SCS</v>
      </c>
      <c r="AO548" s="134">
        <v>119</v>
      </c>
      <c r="AP548" s="135" t="s">
        <v>2133</v>
      </c>
      <c r="AQ548" s="135">
        <v>531467</v>
      </c>
      <c r="AR548" s="135" t="s">
        <v>259</v>
      </c>
      <c r="AS548" s="136">
        <v>10.43084</v>
      </c>
      <c r="AU548" s="7" t="str">
        <f>VLOOKUP($AO548,Mapping!$E$11:$I$96,3,0)</f>
        <v>Negotiated Capex</v>
      </c>
      <c r="AV548" s="7" t="str">
        <f>VLOOKUP($AQ548,Mapping!$E$140:$K$2771,5,0)</f>
        <v>Contracts</v>
      </c>
      <c r="AW548" s="7" t="str">
        <f>VLOOKUP($AQ548,Mapping!$E$140:$K$2771,7,0)</f>
        <v>ENDirect</v>
      </c>
      <c r="AX548" s="7" t="str">
        <f>IFERROR(HLOOKUP(AV548,'Calc|Weightings'!$K$5:$M$5,1,0),"Excl")</f>
        <v>Contracts</v>
      </c>
      <c r="AY548" s="7" t="str">
        <f>VLOOKUP(AO548,Mapping!$E$11:$I$96,5,0)</f>
        <v>Negotiated Capex</v>
      </c>
    </row>
    <row r="549" spans="1:51" x14ac:dyDescent="0.2">
      <c r="A549" s="7"/>
      <c r="B549" s="7"/>
      <c r="C549" s="7"/>
      <c r="D549" s="7"/>
      <c r="E549" s="36">
        <v>116</v>
      </c>
      <c r="F549" s="36" t="s">
        <v>2130</v>
      </c>
      <c r="G549" s="36">
        <v>613350</v>
      </c>
      <c r="H549" s="36" t="s">
        <v>2096</v>
      </c>
      <c r="I549" s="37">
        <v>53.121549999999999</v>
      </c>
      <c r="J549" s="7"/>
      <c r="K549" s="7" t="str">
        <f>VLOOKUP($E549,Mapping!$E$11:$I$96,3,0)</f>
        <v>Connections</v>
      </c>
      <c r="L549" s="7" t="str">
        <f>VLOOKUP($G549,Mapping!$E$140:$K$2771,5,0)</f>
        <v>Labour</v>
      </c>
      <c r="M549" s="7" t="str">
        <f>VLOOKUP($G549,Mapping!$E$140:$K$2771,7,0)</f>
        <v>ENDirect</v>
      </c>
      <c r="N549" s="7" t="str">
        <f>IFERROR(HLOOKUP(L549,'Calc|Weightings'!$K$5:$M$5,1,0),"Excl")</f>
        <v>Labour</v>
      </c>
      <c r="O549" s="7" t="str">
        <f>VLOOKUP(E549,Mapping!$E$11:$I$96,5,0)</f>
        <v>SCS</v>
      </c>
      <c r="Q549" s="33">
        <v>118</v>
      </c>
      <c r="R549" s="33" t="s">
        <v>2132</v>
      </c>
      <c r="S549" s="33">
        <v>613260</v>
      </c>
      <c r="T549" s="33" t="s">
        <v>2090</v>
      </c>
      <c r="U549" s="34">
        <v>2.05104</v>
      </c>
      <c r="V549" s="7"/>
      <c r="W549" s="7" t="str">
        <f>VLOOKUP($Q549,Mapping!$E$11:$I$96,3,0)</f>
        <v>Connections</v>
      </c>
      <c r="X549" s="7" t="str">
        <f>VLOOKUP($S549,Mapping!$E$140:$K$2771,5,0)</f>
        <v>Labour</v>
      </c>
      <c r="Y549" s="7" t="str">
        <f>VLOOKUP($S549,Mapping!$E$140:$K$2771,7,0)</f>
        <v>ENDirect</v>
      </c>
      <c r="Z549" s="7" t="str">
        <f>IFERROR(HLOOKUP(X549,'Calc|Weightings'!$K$5:$M$5,1,0),"Excl")</f>
        <v>Labour</v>
      </c>
      <c r="AA549" s="7" t="str">
        <f>VLOOKUP(Q549,Mapping!$E$11:$I$96,5,0)</f>
        <v>SCS</v>
      </c>
      <c r="AC549" s="111">
        <v>116</v>
      </c>
      <c r="AD549" s="111" t="s">
        <v>2130</v>
      </c>
      <c r="AE549" s="111">
        <v>636001</v>
      </c>
      <c r="AF549" s="111" t="s">
        <v>2111</v>
      </c>
      <c r="AG549" s="112">
        <v>912.17561999999998</v>
      </c>
      <c r="AI549" s="7" t="str">
        <f>VLOOKUP($AC549,Mapping!$E$11:$I$96,3,0)</f>
        <v>Connections</v>
      </c>
      <c r="AJ549" s="7" t="str">
        <f>VLOOKUP($AE549,Mapping!$E$140:$K$2771,5,0)</f>
        <v>System Control OH</v>
      </c>
      <c r="AK549" s="7" t="str">
        <f>VLOOKUP($AE549,Mapping!$E$140:$K$2771,7,0)</f>
        <v>OH</v>
      </c>
      <c r="AL549" s="7" t="str">
        <f>IFERROR(HLOOKUP(AJ549,'Calc|Weightings'!$K$5:$M$5,1,0),"Excl")</f>
        <v>Excl</v>
      </c>
      <c r="AM549" s="7" t="str">
        <f>VLOOKUP(AC549,Mapping!$E$11:$I$96,5,0)</f>
        <v>SCS</v>
      </c>
      <c r="AO549" s="134">
        <v>119</v>
      </c>
      <c r="AP549" s="135" t="s">
        <v>2133</v>
      </c>
      <c r="AQ549" s="135">
        <v>531468</v>
      </c>
      <c r="AR549" s="135" t="s">
        <v>260</v>
      </c>
      <c r="AS549" s="136">
        <v>1.77488</v>
      </c>
      <c r="AU549" s="7" t="str">
        <f>VLOOKUP($AO549,Mapping!$E$11:$I$96,3,0)</f>
        <v>Negotiated Capex</v>
      </c>
      <c r="AV549" s="7" t="str">
        <f>VLOOKUP($AQ549,Mapping!$E$140:$K$2771,5,0)</f>
        <v>Contracts</v>
      </c>
      <c r="AW549" s="7" t="str">
        <f>VLOOKUP($AQ549,Mapping!$E$140:$K$2771,7,0)</f>
        <v>ENDirect</v>
      </c>
      <c r="AX549" s="7" t="str">
        <f>IFERROR(HLOOKUP(AV549,'Calc|Weightings'!$K$5:$M$5,1,0),"Excl")</f>
        <v>Contracts</v>
      </c>
      <c r="AY549" s="7" t="str">
        <f>VLOOKUP(AO549,Mapping!$E$11:$I$96,5,0)</f>
        <v>Negotiated Capex</v>
      </c>
    </row>
    <row r="550" spans="1:51" x14ac:dyDescent="0.2">
      <c r="A550" s="7"/>
      <c r="B550" s="7"/>
      <c r="C550" s="7"/>
      <c r="D550" s="7"/>
      <c r="E550" s="36">
        <v>116</v>
      </c>
      <c r="F550" s="36" t="s">
        <v>2130</v>
      </c>
      <c r="G550" s="36">
        <v>613351</v>
      </c>
      <c r="H550" s="36" t="s">
        <v>2151</v>
      </c>
      <c r="I550" s="37">
        <v>6.2429999999999999E-2</v>
      </c>
      <c r="J550" s="7"/>
      <c r="K550" s="7" t="str">
        <f>VLOOKUP($E550,Mapping!$E$11:$I$96,3,0)</f>
        <v>Connections</v>
      </c>
      <c r="L550" s="7" t="str">
        <f>VLOOKUP($G550,Mapping!$E$140:$K$2771,5,0)</f>
        <v>Labour</v>
      </c>
      <c r="M550" s="7" t="str">
        <f>VLOOKUP($G550,Mapping!$E$140:$K$2771,7,0)</f>
        <v>ENDirect</v>
      </c>
      <c r="N550" s="7" t="str">
        <f>IFERROR(HLOOKUP(L550,'Calc|Weightings'!$K$5:$M$5,1,0),"Excl")</f>
        <v>Labour</v>
      </c>
      <c r="O550" s="7" t="str">
        <f>VLOOKUP(E550,Mapping!$E$11:$I$96,5,0)</f>
        <v>SCS</v>
      </c>
      <c r="Q550" s="33">
        <v>118</v>
      </c>
      <c r="R550" s="33" t="s">
        <v>2132</v>
      </c>
      <c r="S550" s="33">
        <v>613280</v>
      </c>
      <c r="T550" s="33" t="s">
        <v>1342</v>
      </c>
      <c r="U550" s="34">
        <v>0.86828000000000005</v>
      </c>
      <c r="V550" s="7"/>
      <c r="W550" s="7" t="str">
        <f>VLOOKUP($Q550,Mapping!$E$11:$I$96,3,0)</f>
        <v>Connections</v>
      </c>
      <c r="X550" s="7" t="str">
        <f>VLOOKUP($S550,Mapping!$E$140:$K$2771,5,0)</f>
        <v>Labour</v>
      </c>
      <c r="Y550" s="7" t="str">
        <f>VLOOKUP($S550,Mapping!$E$140:$K$2771,7,0)</f>
        <v>ENDirect</v>
      </c>
      <c r="Z550" s="7" t="str">
        <f>IFERROR(HLOOKUP(X550,'Calc|Weightings'!$K$5:$M$5,1,0),"Excl")</f>
        <v>Labour</v>
      </c>
      <c r="AA550" s="7" t="str">
        <f>VLOOKUP(Q550,Mapping!$E$11:$I$96,5,0)</f>
        <v>SCS</v>
      </c>
      <c r="AC550" s="111">
        <v>116</v>
      </c>
      <c r="AD550" s="111" t="s">
        <v>2130</v>
      </c>
      <c r="AE550" s="111">
        <v>636105</v>
      </c>
      <c r="AF550" s="111" t="s">
        <v>1937</v>
      </c>
      <c r="AG550" s="112">
        <v>4.6932999999999998</v>
      </c>
      <c r="AI550" s="7" t="str">
        <f>VLOOKUP($AC550,Mapping!$E$11:$I$96,3,0)</f>
        <v>Connections</v>
      </c>
      <c r="AJ550" s="7" t="str">
        <f>VLOOKUP($AE550,Mapping!$E$140:$K$2771,5,0)</f>
        <v>CSG MG</v>
      </c>
      <c r="AK550" s="7" t="str">
        <f>VLOOKUP($AE550,Mapping!$E$140:$K$2771,7,0)</f>
        <v>ENDirect</v>
      </c>
      <c r="AL550" s="7" t="str">
        <f>IFERROR(HLOOKUP(AJ550,'Calc|Weightings'!$K$5:$M$5,1,0),"Excl")</f>
        <v>Excl</v>
      </c>
      <c r="AM550" s="7" t="str">
        <f>VLOOKUP(AC550,Mapping!$E$11:$I$96,5,0)</f>
        <v>SCS</v>
      </c>
      <c r="AO550" s="134">
        <v>119</v>
      </c>
      <c r="AP550" s="135" t="s">
        <v>2133</v>
      </c>
      <c r="AQ550" s="135">
        <v>591997</v>
      </c>
      <c r="AR550" s="135" t="s">
        <v>2194</v>
      </c>
      <c r="AS550" s="136">
        <v>-3.50427</v>
      </c>
      <c r="AU550" s="7" t="str">
        <f>VLOOKUP($AO550,Mapping!$E$11:$I$96,3,0)</f>
        <v>Negotiated Capex</v>
      </c>
      <c r="AV550" s="7" t="str">
        <f>VLOOKUP($AQ550,Mapping!$E$140:$K$2771,5,0)</f>
        <v>Contracts</v>
      </c>
      <c r="AW550" s="7" t="str">
        <f>VLOOKUP($AQ550,Mapping!$E$140:$K$2771,7,0)</f>
        <v>ENDirect</v>
      </c>
      <c r="AX550" s="7" t="str">
        <f>IFERROR(HLOOKUP(AV550,'Calc|Weightings'!$K$5:$M$5,1,0),"Excl")</f>
        <v>Contracts</v>
      </c>
      <c r="AY550" s="7" t="str">
        <f>VLOOKUP(AO550,Mapping!$E$11:$I$96,5,0)</f>
        <v>Negotiated Capex</v>
      </c>
    </row>
    <row r="551" spans="1:51" x14ac:dyDescent="0.2">
      <c r="A551" s="7"/>
      <c r="B551" s="7"/>
      <c r="C551" s="7"/>
      <c r="D551" s="7"/>
      <c r="E551" s="36">
        <v>116</v>
      </c>
      <c r="F551" s="36" t="s">
        <v>2130</v>
      </c>
      <c r="G551" s="36">
        <v>613360</v>
      </c>
      <c r="H551" s="36" t="s">
        <v>2097</v>
      </c>
      <c r="I551" s="37">
        <v>458.35795999999999</v>
      </c>
      <c r="J551" s="7"/>
      <c r="K551" s="7" t="str">
        <f>VLOOKUP($E551,Mapping!$E$11:$I$96,3,0)</f>
        <v>Connections</v>
      </c>
      <c r="L551" s="7" t="str">
        <f>VLOOKUP($G551,Mapping!$E$140:$K$2771,5,0)</f>
        <v>Labour</v>
      </c>
      <c r="M551" s="7" t="str">
        <f>VLOOKUP($G551,Mapping!$E$140:$K$2771,7,0)</f>
        <v>ENDirect</v>
      </c>
      <c r="N551" s="7" t="str">
        <f>IFERROR(HLOOKUP(L551,'Calc|Weightings'!$K$5:$M$5,1,0),"Excl")</f>
        <v>Labour</v>
      </c>
      <c r="O551" s="7" t="str">
        <f>VLOOKUP(E551,Mapping!$E$11:$I$96,5,0)</f>
        <v>SCS</v>
      </c>
      <c r="Q551" s="33">
        <v>118</v>
      </c>
      <c r="R551" s="33" t="s">
        <v>2132</v>
      </c>
      <c r="S551" s="33">
        <v>613290</v>
      </c>
      <c r="T551" s="33" t="s">
        <v>2093</v>
      </c>
      <c r="U551" s="34">
        <v>0.49759999999999999</v>
      </c>
      <c r="V551" s="7"/>
      <c r="W551" s="7" t="str">
        <f>VLOOKUP($Q551,Mapping!$E$11:$I$96,3,0)</f>
        <v>Connections</v>
      </c>
      <c r="X551" s="7" t="str">
        <f>VLOOKUP($S551,Mapping!$E$140:$K$2771,5,0)</f>
        <v>Labour</v>
      </c>
      <c r="Y551" s="7" t="str">
        <f>VLOOKUP($S551,Mapping!$E$140:$K$2771,7,0)</f>
        <v>ENDirect</v>
      </c>
      <c r="Z551" s="7" t="str">
        <f>IFERROR(HLOOKUP(X551,'Calc|Weightings'!$K$5:$M$5,1,0),"Excl")</f>
        <v>Labour</v>
      </c>
      <c r="AA551" s="7" t="str">
        <f>VLOOKUP(Q551,Mapping!$E$11:$I$96,5,0)</f>
        <v>SCS</v>
      </c>
      <c r="AC551" s="111">
        <v>116</v>
      </c>
      <c r="AD551" s="111" t="s">
        <v>2130</v>
      </c>
      <c r="AE551" s="111">
        <v>639000</v>
      </c>
      <c r="AF551" s="111" t="s">
        <v>2112</v>
      </c>
      <c r="AG551" s="112">
        <v>1221.8683699999999</v>
      </c>
      <c r="AI551" s="7" t="str">
        <f>VLOOKUP($AC551,Mapping!$E$11:$I$96,3,0)</f>
        <v>Connections</v>
      </c>
      <c r="AJ551" s="7" t="str">
        <f>VLOOKUP($AE551,Mapping!$E$140:$K$2771,5,0)</f>
        <v>PNS Corporate OH</v>
      </c>
      <c r="AK551" s="7" t="str">
        <f>VLOOKUP($AE551,Mapping!$E$140:$K$2771,7,0)</f>
        <v>OH</v>
      </c>
      <c r="AL551" s="7" t="str">
        <f>IFERROR(HLOOKUP(AJ551,'Calc|Weightings'!$K$5:$M$5,1,0),"Excl")</f>
        <v>Excl</v>
      </c>
      <c r="AM551" s="7" t="str">
        <f>VLOOKUP(AC551,Mapping!$E$11:$I$96,5,0)</f>
        <v>SCS</v>
      </c>
      <c r="AO551" s="134">
        <v>119</v>
      </c>
      <c r="AP551" s="135" t="s">
        <v>2133</v>
      </c>
      <c r="AQ551" s="135">
        <v>591998</v>
      </c>
      <c r="AR551" s="135" t="s">
        <v>2077</v>
      </c>
      <c r="AS551" s="136">
        <v>21.079910000000002</v>
      </c>
      <c r="AU551" s="7" t="str">
        <f>VLOOKUP($AO551,Mapping!$E$11:$I$96,3,0)</f>
        <v>Negotiated Capex</v>
      </c>
      <c r="AV551" s="7" t="str">
        <f>VLOOKUP($AQ551,Mapping!$E$140:$K$2771,5,0)</f>
        <v>Contracts</v>
      </c>
      <c r="AW551" s="7" t="str">
        <f>VLOOKUP($AQ551,Mapping!$E$140:$K$2771,7,0)</f>
        <v>ENDirect</v>
      </c>
      <c r="AX551" s="7" t="str">
        <f>IFERROR(HLOOKUP(AV551,'Calc|Weightings'!$K$5:$M$5,1,0),"Excl")</f>
        <v>Contracts</v>
      </c>
      <c r="AY551" s="7" t="str">
        <f>VLOOKUP(AO551,Mapping!$E$11:$I$96,5,0)</f>
        <v>Negotiated Capex</v>
      </c>
    </row>
    <row r="552" spans="1:51" x14ac:dyDescent="0.2">
      <c r="A552" s="7"/>
      <c r="B552" s="7"/>
      <c r="C552" s="7"/>
      <c r="D552" s="7"/>
      <c r="E552" s="36">
        <v>116</v>
      </c>
      <c r="F552" s="36" t="s">
        <v>2130</v>
      </c>
      <c r="G552" s="36">
        <v>613361</v>
      </c>
      <c r="H552" s="36" t="s">
        <v>2098</v>
      </c>
      <c r="I552" s="37">
        <v>1.8660099999999999</v>
      </c>
      <c r="J552" s="7"/>
      <c r="K552" s="7" t="str">
        <f>VLOOKUP($E552,Mapping!$E$11:$I$96,3,0)</f>
        <v>Connections</v>
      </c>
      <c r="L552" s="7" t="str">
        <f>VLOOKUP($G552,Mapping!$E$140:$K$2771,5,0)</f>
        <v>Labour</v>
      </c>
      <c r="M552" s="7" t="str">
        <f>VLOOKUP($G552,Mapping!$E$140:$K$2771,7,0)</f>
        <v>ENDirect</v>
      </c>
      <c r="N552" s="7" t="str">
        <f>IFERROR(HLOOKUP(L552,'Calc|Weightings'!$K$5:$M$5,1,0),"Excl")</f>
        <v>Labour</v>
      </c>
      <c r="O552" s="7" t="str">
        <f>VLOOKUP(E552,Mapping!$E$11:$I$96,5,0)</f>
        <v>SCS</v>
      </c>
      <c r="Q552" s="33">
        <v>118</v>
      </c>
      <c r="R552" s="33" t="s">
        <v>2132</v>
      </c>
      <c r="S552" s="33">
        <v>613298</v>
      </c>
      <c r="T552" s="33" t="s">
        <v>2122</v>
      </c>
      <c r="U552" s="34">
        <v>3.1722000000000001</v>
      </c>
      <c r="V552" s="7"/>
      <c r="W552" s="7" t="str">
        <f>VLOOKUP($Q552,Mapping!$E$11:$I$96,3,0)</f>
        <v>Connections</v>
      </c>
      <c r="X552" s="7" t="str">
        <f>VLOOKUP($S552,Mapping!$E$140:$K$2771,5,0)</f>
        <v>Labour</v>
      </c>
      <c r="Y552" s="7" t="str">
        <f>VLOOKUP($S552,Mapping!$E$140:$K$2771,7,0)</f>
        <v>ENDirect</v>
      </c>
      <c r="Z552" s="7" t="str">
        <f>IFERROR(HLOOKUP(X552,'Calc|Weightings'!$K$5:$M$5,1,0),"Excl")</f>
        <v>Labour</v>
      </c>
      <c r="AA552" s="7" t="str">
        <f>VLOOKUP(Q552,Mapping!$E$11:$I$96,5,0)</f>
        <v>SCS</v>
      </c>
      <c r="AC552" s="111">
        <v>116</v>
      </c>
      <c r="AD552" s="111" t="s">
        <v>2130</v>
      </c>
      <c r="AE552" s="111">
        <v>639050</v>
      </c>
      <c r="AF552" s="111" t="s">
        <v>2113</v>
      </c>
      <c r="AG552" s="112">
        <v>185.34056000000001</v>
      </c>
      <c r="AI552" s="7" t="str">
        <f>VLOOKUP($AC552,Mapping!$E$11:$I$96,3,0)</f>
        <v>Connections</v>
      </c>
      <c r="AJ552" s="7" t="str">
        <f>VLOOKUP($AE552,Mapping!$E$140:$K$2771,5,0)</f>
        <v>PNS Fleet &amp; Property OH</v>
      </c>
      <c r="AK552" s="7" t="str">
        <f>VLOOKUP($AE552,Mapping!$E$140:$K$2771,7,0)</f>
        <v>OH</v>
      </c>
      <c r="AL552" s="7" t="str">
        <f>IFERROR(HLOOKUP(AJ552,'Calc|Weightings'!$K$5:$M$5,1,0),"Excl")</f>
        <v>Excl</v>
      </c>
      <c r="AM552" s="7" t="str">
        <f>VLOOKUP(AC552,Mapping!$E$11:$I$96,5,0)</f>
        <v>SCS</v>
      </c>
      <c r="AO552" s="134">
        <v>119</v>
      </c>
      <c r="AP552" s="135" t="s">
        <v>2133</v>
      </c>
      <c r="AQ552" s="135">
        <v>591999</v>
      </c>
      <c r="AR552" s="135" t="s">
        <v>2195</v>
      </c>
      <c r="AS552" s="136">
        <v>-33.160870000000003</v>
      </c>
      <c r="AU552" s="7" t="str">
        <f>VLOOKUP($AO552,Mapping!$E$11:$I$96,3,0)</f>
        <v>Negotiated Capex</v>
      </c>
      <c r="AV552" s="7" t="str">
        <f>VLOOKUP($AQ552,Mapping!$E$140:$K$2771,5,0)</f>
        <v>Contracts</v>
      </c>
      <c r="AW552" s="7" t="str">
        <f>VLOOKUP($AQ552,Mapping!$E$140:$K$2771,7,0)</f>
        <v>ENDirect</v>
      </c>
      <c r="AX552" s="7" t="str">
        <f>IFERROR(HLOOKUP(AV552,'Calc|Weightings'!$K$5:$M$5,1,0),"Excl")</f>
        <v>Contracts</v>
      </c>
      <c r="AY552" s="7" t="str">
        <f>VLOOKUP(AO552,Mapping!$E$11:$I$96,5,0)</f>
        <v>Negotiated Capex</v>
      </c>
    </row>
    <row r="553" spans="1:51" x14ac:dyDescent="0.2">
      <c r="A553" s="7"/>
      <c r="B553" s="7"/>
      <c r="C553" s="7"/>
      <c r="D553" s="7"/>
      <c r="E553" s="36">
        <v>116</v>
      </c>
      <c r="F553" s="36" t="s">
        <v>2130</v>
      </c>
      <c r="G553" s="36">
        <v>613370</v>
      </c>
      <c r="H553" s="36" t="s">
        <v>1402</v>
      </c>
      <c r="I553" s="37">
        <v>74.509410000000003</v>
      </c>
      <c r="J553" s="7"/>
      <c r="K553" s="7" t="str">
        <f>VLOOKUP($E553,Mapping!$E$11:$I$96,3,0)</f>
        <v>Connections</v>
      </c>
      <c r="L553" s="7" t="str">
        <f>VLOOKUP($G553,Mapping!$E$140:$K$2771,5,0)</f>
        <v>Labour</v>
      </c>
      <c r="M553" s="7" t="str">
        <f>VLOOKUP($G553,Mapping!$E$140:$K$2771,7,0)</f>
        <v>ENDirect</v>
      </c>
      <c r="N553" s="7" t="str">
        <f>IFERROR(HLOOKUP(L553,'Calc|Weightings'!$K$5:$M$5,1,0),"Excl")</f>
        <v>Labour</v>
      </c>
      <c r="O553" s="7" t="str">
        <f>VLOOKUP(E553,Mapping!$E$11:$I$96,5,0)</f>
        <v>SCS</v>
      </c>
      <c r="Q553" s="33">
        <v>118</v>
      </c>
      <c r="R553" s="33" t="s">
        <v>2132</v>
      </c>
      <c r="S553" s="33">
        <v>613310</v>
      </c>
      <c r="T553" s="33" t="s">
        <v>2095</v>
      </c>
      <c r="U553" s="34">
        <v>9.7851099999999995</v>
      </c>
      <c r="V553" s="7"/>
      <c r="W553" s="7" t="str">
        <f>VLOOKUP($Q553,Mapping!$E$11:$I$96,3,0)</f>
        <v>Connections</v>
      </c>
      <c r="X553" s="7" t="str">
        <f>VLOOKUP($S553,Mapping!$E$140:$K$2771,5,0)</f>
        <v>Labour</v>
      </c>
      <c r="Y553" s="7" t="str">
        <f>VLOOKUP($S553,Mapping!$E$140:$K$2771,7,0)</f>
        <v>ENDirect</v>
      </c>
      <c r="Z553" s="7" t="str">
        <f>IFERROR(HLOOKUP(X553,'Calc|Weightings'!$K$5:$M$5,1,0),"Excl")</f>
        <v>Labour</v>
      </c>
      <c r="AA553" s="7" t="str">
        <f>VLOOKUP(Q553,Mapping!$E$11:$I$96,5,0)</f>
        <v>SCS</v>
      </c>
      <c r="AC553" s="111">
        <v>118</v>
      </c>
      <c r="AD553" s="111" t="s">
        <v>2132</v>
      </c>
      <c r="AE553" s="111">
        <v>591997</v>
      </c>
      <c r="AF553" s="111" t="s">
        <v>2194</v>
      </c>
      <c r="AG553" s="112">
        <v>-0.30210999999999999</v>
      </c>
      <c r="AI553" s="7" t="str">
        <f>VLOOKUP($AC553,Mapping!$E$11:$I$96,3,0)</f>
        <v>Connections</v>
      </c>
      <c r="AJ553" s="7" t="str">
        <f>VLOOKUP($AE553,Mapping!$E$140:$K$2771,5,0)</f>
        <v>Contracts</v>
      </c>
      <c r="AK553" s="7" t="str">
        <f>VLOOKUP($AE553,Mapping!$E$140:$K$2771,7,0)</f>
        <v>ENDirect</v>
      </c>
      <c r="AL553" s="7" t="str">
        <f>IFERROR(HLOOKUP(AJ553,'Calc|Weightings'!$K$5:$M$5,1,0),"Excl")</f>
        <v>Contracts</v>
      </c>
      <c r="AM553" s="7" t="str">
        <f>VLOOKUP(AC553,Mapping!$E$11:$I$96,5,0)</f>
        <v>SCS</v>
      </c>
      <c r="AO553" s="134">
        <v>119</v>
      </c>
      <c r="AP553" s="135" t="s">
        <v>2133</v>
      </c>
      <c r="AQ553" s="135">
        <v>611900</v>
      </c>
      <c r="AR553" s="135" t="s">
        <v>2079</v>
      </c>
      <c r="AS553" s="136">
        <v>2.9804499999999998</v>
      </c>
      <c r="AU553" s="7" t="str">
        <f>VLOOKUP($AO553,Mapping!$E$11:$I$96,3,0)</f>
        <v>Negotiated Capex</v>
      </c>
      <c r="AV553" s="7" t="str">
        <f>VLOOKUP($AQ553,Mapping!$E$140:$K$2771,5,0)</f>
        <v>Contracts</v>
      </c>
      <c r="AW553" s="7" t="str">
        <f>VLOOKUP($AQ553,Mapping!$E$140:$K$2771,7,0)</f>
        <v>ENDirect</v>
      </c>
      <c r="AX553" s="7" t="str">
        <f>IFERROR(HLOOKUP(AV553,'Calc|Weightings'!$K$5:$M$5,1,0),"Excl")</f>
        <v>Contracts</v>
      </c>
      <c r="AY553" s="7" t="str">
        <f>VLOOKUP(AO553,Mapping!$E$11:$I$96,5,0)</f>
        <v>Negotiated Capex</v>
      </c>
    </row>
    <row r="554" spans="1:51" x14ac:dyDescent="0.2">
      <c r="A554" s="7"/>
      <c r="B554" s="7"/>
      <c r="C554" s="7"/>
      <c r="D554" s="7"/>
      <c r="E554" s="36">
        <v>116</v>
      </c>
      <c r="F554" s="36" t="s">
        <v>2130</v>
      </c>
      <c r="G554" s="36">
        <v>613371</v>
      </c>
      <c r="H554" s="36" t="s">
        <v>1403</v>
      </c>
      <c r="I554" s="37">
        <v>3.6432000000000002</v>
      </c>
      <c r="J554" s="7"/>
      <c r="K554" s="7" t="str">
        <f>VLOOKUP($E554,Mapping!$E$11:$I$96,3,0)</f>
        <v>Connections</v>
      </c>
      <c r="L554" s="7" t="str">
        <f>VLOOKUP($G554,Mapping!$E$140:$K$2771,5,0)</f>
        <v>Labour</v>
      </c>
      <c r="M554" s="7" t="str">
        <f>VLOOKUP($G554,Mapping!$E$140:$K$2771,7,0)</f>
        <v>ENDirect</v>
      </c>
      <c r="N554" s="7" t="str">
        <f>IFERROR(HLOOKUP(L554,'Calc|Weightings'!$K$5:$M$5,1,0),"Excl")</f>
        <v>Labour</v>
      </c>
      <c r="O554" s="7" t="str">
        <f>VLOOKUP(E554,Mapping!$E$11:$I$96,5,0)</f>
        <v>SCS</v>
      </c>
      <c r="Q554" s="33">
        <v>118</v>
      </c>
      <c r="R554" s="33" t="s">
        <v>2132</v>
      </c>
      <c r="S554" s="33">
        <v>613566</v>
      </c>
      <c r="T554" s="33" t="s">
        <v>1482</v>
      </c>
      <c r="U554" s="34">
        <v>4.5586000000000002</v>
      </c>
      <c r="V554" s="7"/>
      <c r="W554" s="7" t="str">
        <f>VLOOKUP($Q554,Mapping!$E$11:$I$96,3,0)</f>
        <v>Connections</v>
      </c>
      <c r="X554" s="7" t="str">
        <f>VLOOKUP($S554,Mapping!$E$140:$K$2771,5,0)</f>
        <v>Labour</v>
      </c>
      <c r="Y554" s="7" t="str">
        <f>VLOOKUP($S554,Mapping!$E$140:$K$2771,7,0)</f>
        <v>ENDirect</v>
      </c>
      <c r="Z554" s="7" t="str">
        <f>IFERROR(HLOOKUP(X554,'Calc|Weightings'!$K$5:$M$5,1,0),"Excl")</f>
        <v>Labour</v>
      </c>
      <c r="AA554" s="7" t="str">
        <f>VLOOKUP(Q554,Mapping!$E$11:$I$96,5,0)</f>
        <v>SCS</v>
      </c>
      <c r="AC554" s="111">
        <v>118</v>
      </c>
      <c r="AD554" s="111" t="s">
        <v>2132</v>
      </c>
      <c r="AE554" s="111">
        <v>591998</v>
      </c>
      <c r="AF554" s="111" t="s">
        <v>2077</v>
      </c>
      <c r="AG554" s="112">
        <v>-1.62002</v>
      </c>
      <c r="AI554" s="7" t="str">
        <f>VLOOKUP($AC554,Mapping!$E$11:$I$96,3,0)</f>
        <v>Connections</v>
      </c>
      <c r="AJ554" s="7" t="str">
        <f>VLOOKUP($AE554,Mapping!$E$140:$K$2771,5,0)</f>
        <v>Contracts</v>
      </c>
      <c r="AK554" s="7" t="str">
        <f>VLOOKUP($AE554,Mapping!$E$140:$K$2771,7,0)</f>
        <v>ENDirect</v>
      </c>
      <c r="AL554" s="7" t="str">
        <f>IFERROR(HLOOKUP(AJ554,'Calc|Weightings'!$K$5:$M$5,1,0),"Excl")</f>
        <v>Contracts</v>
      </c>
      <c r="AM554" s="7" t="str">
        <f>VLOOKUP(AC554,Mapping!$E$11:$I$96,5,0)</f>
        <v>SCS</v>
      </c>
      <c r="AO554" s="134">
        <v>119</v>
      </c>
      <c r="AP554" s="135" t="s">
        <v>2133</v>
      </c>
      <c r="AQ554" s="135">
        <v>611901</v>
      </c>
      <c r="AR554" s="135" t="s">
        <v>2080</v>
      </c>
      <c r="AS554" s="136">
        <v>0.11423</v>
      </c>
      <c r="AU554" s="7" t="str">
        <f>VLOOKUP($AO554,Mapping!$E$11:$I$96,3,0)</f>
        <v>Negotiated Capex</v>
      </c>
      <c r="AV554" s="7" t="str">
        <f>VLOOKUP($AQ554,Mapping!$E$140:$K$2771,5,0)</f>
        <v>Contracts</v>
      </c>
      <c r="AW554" s="7" t="str">
        <f>VLOOKUP($AQ554,Mapping!$E$140:$K$2771,7,0)</f>
        <v>ENDirect</v>
      </c>
      <c r="AX554" s="7" t="str">
        <f>IFERROR(HLOOKUP(AV554,'Calc|Weightings'!$K$5:$M$5,1,0),"Excl")</f>
        <v>Contracts</v>
      </c>
      <c r="AY554" s="7" t="str">
        <f>VLOOKUP(AO554,Mapping!$E$11:$I$96,5,0)</f>
        <v>Negotiated Capex</v>
      </c>
    </row>
    <row r="555" spans="1:51" x14ac:dyDescent="0.2">
      <c r="A555" s="7"/>
      <c r="B555" s="7"/>
      <c r="C555" s="7"/>
      <c r="D555" s="7"/>
      <c r="E555" s="36">
        <v>116</v>
      </c>
      <c r="F555" s="36" t="s">
        <v>2130</v>
      </c>
      <c r="G555" s="36">
        <v>613400</v>
      </c>
      <c r="H555" s="36" t="s">
        <v>2099</v>
      </c>
      <c r="I555" s="37">
        <v>5.1118199999999998</v>
      </c>
      <c r="J555" s="7"/>
      <c r="K555" s="7" t="str">
        <f>VLOOKUP($E555,Mapping!$E$11:$I$96,3,0)</f>
        <v>Connections</v>
      </c>
      <c r="L555" s="7" t="str">
        <f>VLOOKUP($G555,Mapping!$E$140:$K$2771,5,0)</f>
        <v>Labour</v>
      </c>
      <c r="M555" s="7" t="str">
        <f>VLOOKUP($G555,Mapping!$E$140:$K$2771,7,0)</f>
        <v>ENDirect</v>
      </c>
      <c r="N555" s="7" t="str">
        <f>IFERROR(HLOOKUP(L555,'Calc|Weightings'!$K$5:$M$5,1,0),"Excl")</f>
        <v>Labour</v>
      </c>
      <c r="O555" s="7" t="str">
        <f>VLOOKUP(E555,Mapping!$E$11:$I$96,5,0)</f>
        <v>SCS</v>
      </c>
      <c r="Q555" s="33">
        <v>118</v>
      </c>
      <c r="R555" s="33" t="s">
        <v>2132</v>
      </c>
      <c r="S555" s="33">
        <v>613576</v>
      </c>
      <c r="T555" s="33" t="s">
        <v>1490</v>
      </c>
      <c r="U555" s="34">
        <v>0.76914000000000005</v>
      </c>
      <c r="V555" s="7"/>
      <c r="W555" s="7" t="str">
        <f>VLOOKUP($Q555,Mapping!$E$11:$I$96,3,0)</f>
        <v>Connections</v>
      </c>
      <c r="X555" s="7" t="str">
        <f>VLOOKUP($S555,Mapping!$E$140:$K$2771,5,0)</f>
        <v>Labour</v>
      </c>
      <c r="Y555" s="7" t="str">
        <f>VLOOKUP($S555,Mapping!$E$140:$K$2771,7,0)</f>
        <v>ENDirect</v>
      </c>
      <c r="Z555" s="7" t="str">
        <f>IFERROR(HLOOKUP(X555,'Calc|Weightings'!$K$5:$M$5,1,0),"Excl")</f>
        <v>Labour</v>
      </c>
      <c r="AA555" s="7" t="str">
        <f>VLOOKUP(Q555,Mapping!$E$11:$I$96,5,0)</f>
        <v>SCS</v>
      </c>
      <c r="AC555" s="111">
        <v>118</v>
      </c>
      <c r="AD555" s="111" t="s">
        <v>2132</v>
      </c>
      <c r="AE555" s="111">
        <v>591999</v>
      </c>
      <c r="AF555" s="111" t="s">
        <v>2195</v>
      </c>
      <c r="AG555" s="112">
        <v>-2.1194199999999999</v>
      </c>
      <c r="AI555" s="7" t="str">
        <f>VLOOKUP($AC555,Mapping!$E$11:$I$96,3,0)</f>
        <v>Connections</v>
      </c>
      <c r="AJ555" s="7" t="str">
        <f>VLOOKUP($AE555,Mapping!$E$140:$K$2771,5,0)</f>
        <v>Contracts</v>
      </c>
      <c r="AK555" s="7" t="str">
        <f>VLOOKUP($AE555,Mapping!$E$140:$K$2771,7,0)</f>
        <v>ENDirect</v>
      </c>
      <c r="AL555" s="7" t="str">
        <f>IFERROR(HLOOKUP(AJ555,'Calc|Weightings'!$K$5:$M$5,1,0),"Excl")</f>
        <v>Contracts</v>
      </c>
      <c r="AM555" s="7" t="str">
        <f>VLOOKUP(AC555,Mapping!$E$11:$I$96,5,0)</f>
        <v>SCS</v>
      </c>
      <c r="AO555" s="134">
        <v>119</v>
      </c>
      <c r="AP555" s="135" t="s">
        <v>2133</v>
      </c>
      <c r="AQ555" s="135">
        <v>611902</v>
      </c>
      <c r="AR555" s="135" t="s">
        <v>2081</v>
      </c>
      <c r="AS555" s="136">
        <v>32.869160000000001</v>
      </c>
      <c r="AU555" s="7" t="str">
        <f>VLOOKUP($AO555,Mapping!$E$11:$I$96,3,0)</f>
        <v>Negotiated Capex</v>
      </c>
      <c r="AV555" s="7" t="str">
        <f>VLOOKUP($AQ555,Mapping!$E$140:$K$2771,5,0)</f>
        <v>Contracts</v>
      </c>
      <c r="AW555" s="7" t="str">
        <f>VLOOKUP($AQ555,Mapping!$E$140:$K$2771,7,0)</f>
        <v>ENDirect</v>
      </c>
      <c r="AX555" s="7" t="str">
        <f>IFERROR(HLOOKUP(AV555,'Calc|Weightings'!$K$5:$M$5,1,0),"Excl")</f>
        <v>Contracts</v>
      </c>
      <c r="AY555" s="7" t="str">
        <f>VLOOKUP(AO555,Mapping!$E$11:$I$96,5,0)</f>
        <v>Negotiated Capex</v>
      </c>
    </row>
    <row r="556" spans="1:51" x14ac:dyDescent="0.2">
      <c r="A556" s="7"/>
      <c r="B556" s="7"/>
      <c r="C556" s="7"/>
      <c r="D556" s="7"/>
      <c r="E556" s="36">
        <v>116</v>
      </c>
      <c r="F556" s="36" t="s">
        <v>2130</v>
      </c>
      <c r="G556" s="36">
        <v>613408</v>
      </c>
      <c r="H556" s="36" t="s">
        <v>1418</v>
      </c>
      <c r="I556" s="37">
        <v>348.88179000000002</v>
      </c>
      <c r="J556" s="7"/>
      <c r="K556" s="7" t="str">
        <f>VLOOKUP($E556,Mapping!$E$11:$I$96,3,0)</f>
        <v>Connections</v>
      </c>
      <c r="L556" s="7" t="str">
        <f>VLOOKUP($G556,Mapping!$E$140:$K$2771,5,0)</f>
        <v>Labour</v>
      </c>
      <c r="M556" s="7" t="str">
        <f>VLOOKUP($G556,Mapping!$E$140:$K$2771,7,0)</f>
        <v>ENDirect</v>
      </c>
      <c r="N556" s="7" t="str">
        <f>IFERROR(HLOOKUP(L556,'Calc|Weightings'!$K$5:$M$5,1,0),"Excl")</f>
        <v>Labour</v>
      </c>
      <c r="O556" s="7" t="str">
        <f>VLOOKUP(E556,Mapping!$E$11:$I$96,5,0)</f>
        <v>SCS</v>
      </c>
      <c r="Q556" s="33">
        <v>118</v>
      </c>
      <c r="R556" s="33" t="s">
        <v>2132</v>
      </c>
      <c r="S556" s="33">
        <v>614115</v>
      </c>
      <c r="T556" s="33" t="s">
        <v>2109</v>
      </c>
      <c r="U556" s="34">
        <v>5.135E-2</v>
      </c>
      <c r="V556" s="7"/>
      <c r="W556" s="7" t="str">
        <f>VLOOKUP($Q556,Mapping!$E$11:$I$96,3,0)</f>
        <v>Connections</v>
      </c>
      <c r="X556" s="7" t="str">
        <f>VLOOKUP($S556,Mapping!$E$140:$K$2771,5,0)</f>
        <v>Labour</v>
      </c>
      <c r="Y556" s="7" t="str">
        <f>VLOOKUP($S556,Mapping!$E$140:$K$2771,7,0)</f>
        <v>ENDirect</v>
      </c>
      <c r="Z556" s="7" t="str">
        <f>IFERROR(HLOOKUP(X556,'Calc|Weightings'!$K$5:$M$5,1,0),"Excl")</f>
        <v>Labour</v>
      </c>
      <c r="AA556" s="7" t="str">
        <f>VLOOKUP(Q556,Mapping!$E$11:$I$96,5,0)</f>
        <v>SCS</v>
      </c>
      <c r="AC556" s="111">
        <v>118</v>
      </c>
      <c r="AD556" s="111" t="s">
        <v>2132</v>
      </c>
      <c r="AE556" s="111">
        <v>613290</v>
      </c>
      <c r="AF556" s="111" t="s">
        <v>2093</v>
      </c>
      <c r="AG556" s="112">
        <v>41.323950000000004</v>
      </c>
      <c r="AI556" s="7" t="str">
        <f>VLOOKUP($AC556,Mapping!$E$11:$I$96,3,0)</f>
        <v>Connections</v>
      </c>
      <c r="AJ556" s="7" t="str">
        <f>VLOOKUP($AE556,Mapping!$E$140:$K$2771,5,0)</f>
        <v>Labour</v>
      </c>
      <c r="AK556" s="7" t="str">
        <f>VLOOKUP($AE556,Mapping!$E$140:$K$2771,7,0)</f>
        <v>ENDirect</v>
      </c>
      <c r="AL556" s="7" t="str">
        <f>IFERROR(HLOOKUP(AJ556,'Calc|Weightings'!$K$5:$M$5,1,0),"Excl")</f>
        <v>Labour</v>
      </c>
      <c r="AM556" s="7" t="str">
        <f>VLOOKUP(AC556,Mapping!$E$11:$I$96,5,0)</f>
        <v>SCS</v>
      </c>
      <c r="AO556" s="134">
        <v>119</v>
      </c>
      <c r="AP556" s="135" t="s">
        <v>2133</v>
      </c>
      <c r="AQ556" s="135">
        <v>612210</v>
      </c>
      <c r="AR556" s="135" t="s">
        <v>1184</v>
      </c>
      <c r="AS556" s="136">
        <v>0.62285999999999997</v>
      </c>
      <c r="AU556" s="7" t="str">
        <f>VLOOKUP($AO556,Mapping!$E$11:$I$96,3,0)</f>
        <v>Negotiated Capex</v>
      </c>
      <c r="AV556" s="7" t="str">
        <f>VLOOKUP($AQ556,Mapping!$E$140:$K$2771,5,0)</f>
        <v>Labour</v>
      </c>
      <c r="AW556" s="7" t="str">
        <f>VLOOKUP($AQ556,Mapping!$E$140:$K$2771,7,0)</f>
        <v>ENDirect</v>
      </c>
      <c r="AX556" s="7" t="str">
        <f>IFERROR(HLOOKUP(AV556,'Calc|Weightings'!$K$5:$M$5,1,0),"Excl")</f>
        <v>Labour</v>
      </c>
      <c r="AY556" s="7" t="str">
        <f>VLOOKUP(AO556,Mapping!$E$11:$I$96,5,0)</f>
        <v>Negotiated Capex</v>
      </c>
    </row>
    <row r="557" spans="1:51" x14ac:dyDescent="0.2">
      <c r="A557" s="7"/>
      <c r="B557" s="7"/>
      <c r="C557" s="7"/>
      <c r="D557" s="7"/>
      <c r="E557" s="36">
        <v>116</v>
      </c>
      <c r="F557" s="36" t="s">
        <v>2130</v>
      </c>
      <c r="G557" s="36">
        <v>613409</v>
      </c>
      <c r="H557" s="36" t="s">
        <v>1419</v>
      </c>
      <c r="I557" s="37">
        <v>217.45963</v>
      </c>
      <c r="J557" s="7"/>
      <c r="K557" s="7" t="str">
        <f>VLOOKUP($E557,Mapping!$E$11:$I$96,3,0)</f>
        <v>Connections</v>
      </c>
      <c r="L557" s="7" t="str">
        <f>VLOOKUP($G557,Mapping!$E$140:$K$2771,5,0)</f>
        <v>Labour</v>
      </c>
      <c r="M557" s="7" t="str">
        <f>VLOOKUP($G557,Mapping!$E$140:$K$2771,7,0)</f>
        <v>ENDirect</v>
      </c>
      <c r="N557" s="7" t="str">
        <f>IFERROR(HLOOKUP(L557,'Calc|Weightings'!$K$5:$M$5,1,0),"Excl")</f>
        <v>Labour</v>
      </c>
      <c r="O557" s="7" t="str">
        <f>VLOOKUP(E557,Mapping!$E$11:$I$96,5,0)</f>
        <v>SCS</v>
      </c>
      <c r="Q557" s="33">
        <v>118</v>
      </c>
      <c r="R557" s="33" t="s">
        <v>2132</v>
      </c>
      <c r="S557" s="33">
        <v>615375</v>
      </c>
      <c r="T557" s="33" t="s">
        <v>1717</v>
      </c>
      <c r="U557" s="34">
        <v>2.25</v>
      </c>
      <c r="V557" s="7"/>
      <c r="W557" s="7" t="str">
        <f>VLOOKUP($Q557,Mapping!$E$11:$I$96,3,0)</f>
        <v>Connections</v>
      </c>
      <c r="X557" s="7" t="str">
        <f>VLOOKUP($S557,Mapping!$E$140:$K$2771,5,0)</f>
        <v>Labour</v>
      </c>
      <c r="Y557" s="7" t="str">
        <f>VLOOKUP($S557,Mapping!$E$140:$K$2771,7,0)</f>
        <v>ENDirect</v>
      </c>
      <c r="Z557" s="7" t="str">
        <f>IFERROR(HLOOKUP(X557,'Calc|Weightings'!$K$5:$M$5,1,0),"Excl")</f>
        <v>Labour</v>
      </c>
      <c r="AA557" s="7" t="str">
        <f>VLOOKUP(Q557,Mapping!$E$11:$I$96,5,0)</f>
        <v>SCS</v>
      </c>
      <c r="AC557" s="111">
        <v>118</v>
      </c>
      <c r="AD557" s="111" t="s">
        <v>2132</v>
      </c>
      <c r="AE557" s="111">
        <v>614115</v>
      </c>
      <c r="AF557" s="111" t="s">
        <v>2109</v>
      </c>
      <c r="AG557" s="112">
        <v>0.99095999999999995</v>
      </c>
      <c r="AI557" s="7" t="str">
        <f>VLOOKUP($AC557,Mapping!$E$11:$I$96,3,0)</f>
        <v>Connections</v>
      </c>
      <c r="AJ557" s="7" t="str">
        <f>VLOOKUP($AE557,Mapping!$E$140:$K$2771,5,0)</f>
        <v>Labour</v>
      </c>
      <c r="AK557" s="7" t="str">
        <f>VLOOKUP($AE557,Mapping!$E$140:$K$2771,7,0)</f>
        <v>ENDirect</v>
      </c>
      <c r="AL557" s="7" t="str">
        <f>IFERROR(HLOOKUP(AJ557,'Calc|Weightings'!$K$5:$M$5,1,0),"Excl")</f>
        <v>Labour</v>
      </c>
      <c r="AM557" s="7" t="str">
        <f>VLOOKUP(AC557,Mapping!$E$11:$I$96,5,0)</f>
        <v>SCS</v>
      </c>
      <c r="AO557" s="134">
        <v>119</v>
      </c>
      <c r="AP557" s="135" t="s">
        <v>2133</v>
      </c>
      <c r="AQ557" s="135">
        <v>613240</v>
      </c>
      <c r="AR557" s="135" t="s">
        <v>2082</v>
      </c>
      <c r="AS557" s="136">
        <v>13.58858</v>
      </c>
      <c r="AU557" s="7" t="str">
        <f>VLOOKUP($AO557,Mapping!$E$11:$I$96,3,0)</f>
        <v>Negotiated Capex</v>
      </c>
      <c r="AV557" s="7" t="str">
        <f>VLOOKUP($AQ557,Mapping!$E$140:$K$2771,5,0)</f>
        <v>Labour</v>
      </c>
      <c r="AW557" s="7" t="str">
        <f>VLOOKUP($AQ557,Mapping!$E$140:$K$2771,7,0)</f>
        <v>ENDirect</v>
      </c>
      <c r="AX557" s="7" t="str">
        <f>IFERROR(HLOOKUP(AV557,'Calc|Weightings'!$K$5:$M$5,1,0),"Excl")</f>
        <v>Labour</v>
      </c>
      <c r="AY557" s="7" t="str">
        <f>VLOOKUP(AO557,Mapping!$E$11:$I$96,5,0)</f>
        <v>Negotiated Capex</v>
      </c>
    </row>
    <row r="558" spans="1:51" x14ac:dyDescent="0.2">
      <c r="A558" s="7"/>
      <c r="B558" s="7"/>
      <c r="C558" s="7"/>
      <c r="D558" s="7"/>
      <c r="E558" s="36">
        <v>116</v>
      </c>
      <c r="F558" s="36" t="s">
        <v>2130</v>
      </c>
      <c r="G558" s="36">
        <v>613410</v>
      </c>
      <c r="H558" s="36" t="s">
        <v>2100</v>
      </c>
      <c r="I558" s="37">
        <v>22.50066</v>
      </c>
      <c r="J558" s="7"/>
      <c r="K558" s="7" t="str">
        <f>VLOOKUP($E558,Mapping!$E$11:$I$96,3,0)</f>
        <v>Connections</v>
      </c>
      <c r="L558" s="7" t="str">
        <f>VLOOKUP($G558,Mapping!$E$140:$K$2771,5,0)</f>
        <v>Labour</v>
      </c>
      <c r="M558" s="7" t="str">
        <f>VLOOKUP($G558,Mapping!$E$140:$K$2771,7,0)</f>
        <v>ENDirect</v>
      </c>
      <c r="N558" s="7" t="str">
        <f>IFERROR(HLOOKUP(L558,'Calc|Weightings'!$K$5:$M$5,1,0),"Excl")</f>
        <v>Labour</v>
      </c>
      <c r="O558" s="7" t="str">
        <f>VLOOKUP(E558,Mapping!$E$11:$I$96,5,0)</f>
        <v>SCS</v>
      </c>
      <c r="Q558" s="33">
        <v>118</v>
      </c>
      <c r="R558" s="33" t="s">
        <v>2132</v>
      </c>
      <c r="S558" s="33">
        <v>634001</v>
      </c>
      <c r="T558" s="33" t="s">
        <v>2110</v>
      </c>
      <c r="U558" s="34">
        <v>1.7749699999999999</v>
      </c>
      <c r="V558" s="7"/>
      <c r="W558" s="7" t="str">
        <f>VLOOKUP($Q558,Mapping!$E$11:$I$96,3,0)</f>
        <v>Connections</v>
      </c>
      <c r="X558" s="7" t="str">
        <f>VLOOKUP($S558,Mapping!$E$140:$K$2771,5,0)</f>
        <v>Local OH</v>
      </c>
      <c r="Y558" s="7" t="str">
        <f>VLOOKUP($S558,Mapping!$E$140:$K$2771,7,0)</f>
        <v>OH</v>
      </c>
      <c r="Z558" s="7" t="str">
        <f>IFERROR(HLOOKUP(X558,'Calc|Weightings'!$K$5:$M$5,1,0),"Excl")</f>
        <v>Excl</v>
      </c>
      <c r="AA558" s="7" t="str">
        <f>VLOOKUP(Q558,Mapping!$E$11:$I$96,5,0)</f>
        <v>SCS</v>
      </c>
      <c r="AC558" s="111">
        <v>118</v>
      </c>
      <c r="AD558" s="111" t="s">
        <v>2132</v>
      </c>
      <c r="AE558" s="111">
        <v>634001</v>
      </c>
      <c r="AF558" s="111" t="s">
        <v>2110</v>
      </c>
      <c r="AG558" s="112">
        <v>3.2308599999999998</v>
      </c>
      <c r="AI558" s="7" t="str">
        <f>VLOOKUP($AC558,Mapping!$E$11:$I$96,3,0)</f>
        <v>Connections</v>
      </c>
      <c r="AJ558" s="7" t="str">
        <f>VLOOKUP($AE558,Mapping!$E$140:$K$2771,5,0)</f>
        <v>Local OH</v>
      </c>
      <c r="AK558" s="7" t="str">
        <f>VLOOKUP($AE558,Mapping!$E$140:$K$2771,7,0)</f>
        <v>OH</v>
      </c>
      <c r="AL558" s="7" t="str">
        <f>IFERROR(HLOOKUP(AJ558,'Calc|Weightings'!$K$5:$M$5,1,0),"Excl")</f>
        <v>Excl</v>
      </c>
      <c r="AM558" s="7" t="str">
        <f>VLOOKUP(AC558,Mapping!$E$11:$I$96,5,0)</f>
        <v>SCS</v>
      </c>
      <c r="AO558" s="134">
        <v>119</v>
      </c>
      <c r="AP558" s="135" t="s">
        <v>2133</v>
      </c>
      <c r="AQ558" s="135">
        <v>613250</v>
      </c>
      <c r="AR558" s="135" t="s">
        <v>2086</v>
      </c>
      <c r="AS558" s="136">
        <v>33.843940000000003</v>
      </c>
      <c r="AU558" s="7" t="str">
        <f>VLOOKUP($AO558,Mapping!$E$11:$I$96,3,0)</f>
        <v>Negotiated Capex</v>
      </c>
      <c r="AV558" s="7" t="str">
        <f>VLOOKUP($AQ558,Mapping!$E$140:$K$2771,5,0)</f>
        <v>Labour</v>
      </c>
      <c r="AW558" s="7" t="str">
        <f>VLOOKUP($AQ558,Mapping!$E$140:$K$2771,7,0)</f>
        <v>ENDirect</v>
      </c>
      <c r="AX558" s="7" t="str">
        <f>IFERROR(HLOOKUP(AV558,'Calc|Weightings'!$K$5:$M$5,1,0),"Excl")</f>
        <v>Labour</v>
      </c>
      <c r="AY558" s="7" t="str">
        <f>VLOOKUP(AO558,Mapping!$E$11:$I$96,5,0)</f>
        <v>Negotiated Capex</v>
      </c>
    </row>
    <row r="559" spans="1:51" x14ac:dyDescent="0.2">
      <c r="A559" s="7"/>
      <c r="B559" s="7"/>
      <c r="C559" s="7"/>
      <c r="D559" s="7"/>
      <c r="E559" s="36">
        <v>116</v>
      </c>
      <c r="F559" s="36" t="s">
        <v>2130</v>
      </c>
      <c r="G559" s="36">
        <v>613411</v>
      </c>
      <c r="H559" s="36" t="s">
        <v>2101</v>
      </c>
      <c r="I559" s="37">
        <v>0.99855000000000005</v>
      </c>
      <c r="J559" s="7"/>
      <c r="K559" s="7" t="str">
        <f>VLOOKUP($E559,Mapping!$E$11:$I$96,3,0)</f>
        <v>Connections</v>
      </c>
      <c r="L559" s="7" t="str">
        <f>VLOOKUP($G559,Mapping!$E$140:$K$2771,5,0)</f>
        <v>Labour</v>
      </c>
      <c r="M559" s="7" t="str">
        <f>VLOOKUP($G559,Mapping!$E$140:$K$2771,7,0)</f>
        <v>ENDirect</v>
      </c>
      <c r="N559" s="7" t="str">
        <f>IFERROR(HLOOKUP(L559,'Calc|Weightings'!$K$5:$M$5,1,0),"Excl")</f>
        <v>Labour</v>
      </c>
      <c r="O559" s="7" t="str">
        <f>VLOOKUP(E559,Mapping!$E$11:$I$96,5,0)</f>
        <v>SCS</v>
      </c>
      <c r="Q559" s="33">
        <v>118</v>
      </c>
      <c r="R559" s="33" t="s">
        <v>2132</v>
      </c>
      <c r="S559" s="33">
        <v>635001</v>
      </c>
      <c r="T559" s="33" t="s">
        <v>1929</v>
      </c>
      <c r="U559" s="34">
        <v>0.89824999999999999</v>
      </c>
      <c r="V559" s="7"/>
      <c r="W559" s="7" t="str">
        <f>VLOOKUP($Q559,Mapping!$E$11:$I$96,3,0)</f>
        <v>Connections</v>
      </c>
      <c r="X559" s="7" t="str">
        <f>VLOOKUP($S559,Mapping!$E$140:$K$2771,5,0)</f>
        <v>PNS MG</v>
      </c>
      <c r="Y559" s="7" t="str">
        <f>VLOOKUP($S559,Mapping!$E$140:$K$2771,7,0)</f>
        <v>ENDirect</v>
      </c>
      <c r="Z559" s="7" t="str">
        <f>IFERROR(HLOOKUP(X559,'Calc|Weightings'!$K$5:$M$5,1,0),"Excl")</f>
        <v>Excl</v>
      </c>
      <c r="AA559" s="7" t="str">
        <f>VLOOKUP(Q559,Mapping!$E$11:$I$96,5,0)</f>
        <v>SCS</v>
      </c>
      <c r="AC559" s="111">
        <v>118</v>
      </c>
      <c r="AD559" s="111" t="s">
        <v>2132</v>
      </c>
      <c r="AE559" s="111">
        <v>635001</v>
      </c>
      <c r="AF559" s="111" t="s">
        <v>1929</v>
      </c>
      <c r="AG559" s="112">
        <v>2.4824299999999999</v>
      </c>
      <c r="AI559" s="7" t="str">
        <f>VLOOKUP($AC559,Mapping!$E$11:$I$96,3,0)</f>
        <v>Connections</v>
      </c>
      <c r="AJ559" s="7" t="str">
        <f>VLOOKUP($AE559,Mapping!$E$140:$K$2771,5,0)</f>
        <v>PNS MG</v>
      </c>
      <c r="AK559" s="7" t="str">
        <f>VLOOKUP($AE559,Mapping!$E$140:$K$2771,7,0)</f>
        <v>ENDirect</v>
      </c>
      <c r="AL559" s="7" t="str">
        <f>IFERROR(HLOOKUP(AJ559,'Calc|Weightings'!$K$5:$M$5,1,0),"Excl")</f>
        <v>Excl</v>
      </c>
      <c r="AM559" s="7" t="str">
        <f>VLOOKUP(AC559,Mapping!$E$11:$I$96,5,0)</f>
        <v>SCS</v>
      </c>
      <c r="AO559" s="134">
        <v>119</v>
      </c>
      <c r="AP559" s="135" t="s">
        <v>2133</v>
      </c>
      <c r="AQ559" s="135">
        <v>613251</v>
      </c>
      <c r="AR559" s="135" t="s">
        <v>2087</v>
      </c>
      <c r="AS559" s="136">
        <v>18.696280000000002</v>
      </c>
      <c r="AU559" s="7" t="str">
        <f>VLOOKUP($AO559,Mapping!$E$11:$I$96,3,0)</f>
        <v>Negotiated Capex</v>
      </c>
      <c r="AV559" s="7" t="str">
        <f>VLOOKUP($AQ559,Mapping!$E$140:$K$2771,5,0)</f>
        <v>Labour</v>
      </c>
      <c r="AW559" s="7" t="str">
        <f>VLOOKUP($AQ559,Mapping!$E$140:$K$2771,7,0)</f>
        <v>ENDirect</v>
      </c>
      <c r="AX559" s="7" t="str">
        <f>IFERROR(HLOOKUP(AV559,'Calc|Weightings'!$K$5:$M$5,1,0),"Excl")</f>
        <v>Labour</v>
      </c>
      <c r="AY559" s="7" t="str">
        <f>VLOOKUP(AO559,Mapping!$E$11:$I$96,5,0)</f>
        <v>Negotiated Capex</v>
      </c>
    </row>
    <row r="560" spans="1:51" x14ac:dyDescent="0.2">
      <c r="A560" s="7"/>
      <c r="B560" s="7"/>
      <c r="C560" s="7"/>
      <c r="D560" s="7"/>
      <c r="E560" s="36">
        <v>116</v>
      </c>
      <c r="F560" s="36" t="s">
        <v>2130</v>
      </c>
      <c r="G560" s="36">
        <v>613418</v>
      </c>
      <c r="H560" s="36" t="s">
        <v>1424</v>
      </c>
      <c r="I560" s="37">
        <v>166.15871999999999</v>
      </c>
      <c r="J560" s="7"/>
      <c r="K560" s="7" t="str">
        <f>VLOOKUP($E560,Mapping!$E$11:$I$96,3,0)</f>
        <v>Connections</v>
      </c>
      <c r="L560" s="7" t="str">
        <f>VLOOKUP($G560,Mapping!$E$140:$K$2771,5,0)</f>
        <v>Labour</v>
      </c>
      <c r="M560" s="7" t="str">
        <f>VLOOKUP($G560,Mapping!$E$140:$K$2771,7,0)</f>
        <v>ENDirect</v>
      </c>
      <c r="N560" s="7" t="str">
        <f>IFERROR(HLOOKUP(L560,'Calc|Weightings'!$K$5:$M$5,1,0),"Excl")</f>
        <v>Labour</v>
      </c>
      <c r="O560" s="7" t="str">
        <f>VLOOKUP(E560,Mapping!$E$11:$I$96,5,0)</f>
        <v>SCS</v>
      </c>
      <c r="Q560" s="33">
        <v>118</v>
      </c>
      <c r="R560" s="33" t="s">
        <v>2132</v>
      </c>
      <c r="S560" s="33">
        <v>636001</v>
      </c>
      <c r="T560" s="33" t="s">
        <v>2111</v>
      </c>
      <c r="U560" s="34">
        <v>0.46561999999999998</v>
      </c>
      <c r="V560" s="7"/>
      <c r="W560" s="7" t="str">
        <f>VLOOKUP($Q560,Mapping!$E$11:$I$96,3,0)</f>
        <v>Connections</v>
      </c>
      <c r="X560" s="7" t="str">
        <f>VLOOKUP($S560,Mapping!$E$140:$K$2771,5,0)</f>
        <v>System Control OH</v>
      </c>
      <c r="Y560" s="7" t="str">
        <f>VLOOKUP($S560,Mapping!$E$140:$K$2771,7,0)</f>
        <v>OH</v>
      </c>
      <c r="Z560" s="7" t="str">
        <f>IFERROR(HLOOKUP(X560,'Calc|Weightings'!$K$5:$M$5,1,0),"Excl")</f>
        <v>Excl</v>
      </c>
      <c r="AA560" s="7" t="str">
        <f>VLOOKUP(Q560,Mapping!$E$11:$I$96,5,0)</f>
        <v>SCS</v>
      </c>
      <c r="AC560" s="111">
        <v>118</v>
      </c>
      <c r="AD560" s="111" t="s">
        <v>2132</v>
      </c>
      <c r="AE560" s="111">
        <v>636001</v>
      </c>
      <c r="AF560" s="111" t="s">
        <v>2111</v>
      </c>
      <c r="AG560" s="112">
        <v>1.6108</v>
      </c>
      <c r="AI560" s="7" t="str">
        <f>VLOOKUP($AC560,Mapping!$E$11:$I$96,3,0)</f>
        <v>Connections</v>
      </c>
      <c r="AJ560" s="7" t="str">
        <f>VLOOKUP($AE560,Mapping!$E$140:$K$2771,5,0)</f>
        <v>System Control OH</v>
      </c>
      <c r="AK560" s="7" t="str">
        <f>VLOOKUP($AE560,Mapping!$E$140:$K$2771,7,0)</f>
        <v>OH</v>
      </c>
      <c r="AL560" s="7" t="str">
        <f>IFERROR(HLOOKUP(AJ560,'Calc|Weightings'!$K$5:$M$5,1,0),"Excl")</f>
        <v>Excl</v>
      </c>
      <c r="AM560" s="7" t="str">
        <f>VLOOKUP(AC560,Mapping!$E$11:$I$96,5,0)</f>
        <v>SCS</v>
      </c>
      <c r="AO560" s="134">
        <v>119</v>
      </c>
      <c r="AP560" s="135" t="s">
        <v>2133</v>
      </c>
      <c r="AQ560" s="135">
        <v>613280</v>
      </c>
      <c r="AR560" s="135" t="s">
        <v>1342</v>
      </c>
      <c r="AS560" s="136">
        <v>1.87531</v>
      </c>
      <c r="AU560" s="7" t="str">
        <f>VLOOKUP($AO560,Mapping!$E$11:$I$96,3,0)</f>
        <v>Negotiated Capex</v>
      </c>
      <c r="AV560" s="7" t="str">
        <f>VLOOKUP($AQ560,Mapping!$E$140:$K$2771,5,0)</f>
        <v>Labour</v>
      </c>
      <c r="AW560" s="7" t="str">
        <f>VLOOKUP($AQ560,Mapping!$E$140:$K$2771,7,0)</f>
        <v>ENDirect</v>
      </c>
      <c r="AX560" s="7" t="str">
        <f>IFERROR(HLOOKUP(AV560,'Calc|Weightings'!$K$5:$M$5,1,0),"Excl")</f>
        <v>Labour</v>
      </c>
      <c r="AY560" s="7" t="str">
        <f>VLOOKUP(AO560,Mapping!$E$11:$I$96,5,0)</f>
        <v>Negotiated Capex</v>
      </c>
    </row>
    <row r="561" spans="1:51" x14ac:dyDescent="0.2">
      <c r="A561" s="7"/>
      <c r="B561" s="7"/>
      <c r="C561" s="7"/>
      <c r="D561" s="7"/>
      <c r="E561" s="36">
        <v>116</v>
      </c>
      <c r="F561" s="36" t="s">
        <v>2130</v>
      </c>
      <c r="G561" s="36">
        <v>613419</v>
      </c>
      <c r="H561" s="36" t="s">
        <v>1425</v>
      </c>
      <c r="I561" s="37">
        <v>108.96178</v>
      </c>
      <c r="J561" s="7"/>
      <c r="K561" s="7" t="str">
        <f>VLOOKUP($E561,Mapping!$E$11:$I$96,3,0)</f>
        <v>Connections</v>
      </c>
      <c r="L561" s="7" t="str">
        <f>VLOOKUP($G561,Mapping!$E$140:$K$2771,5,0)</f>
        <v>Labour</v>
      </c>
      <c r="M561" s="7" t="str">
        <f>VLOOKUP($G561,Mapping!$E$140:$K$2771,7,0)</f>
        <v>ENDirect</v>
      </c>
      <c r="N561" s="7" t="str">
        <f>IFERROR(HLOOKUP(L561,'Calc|Weightings'!$K$5:$M$5,1,0),"Excl")</f>
        <v>Labour</v>
      </c>
      <c r="O561" s="7" t="str">
        <f>VLOOKUP(E561,Mapping!$E$11:$I$96,5,0)</f>
        <v>SCS</v>
      </c>
      <c r="Q561" s="33">
        <v>118</v>
      </c>
      <c r="R561" s="33" t="s">
        <v>2132</v>
      </c>
      <c r="S561" s="33">
        <v>636105</v>
      </c>
      <c r="T561" s="33" t="s">
        <v>1937</v>
      </c>
      <c r="U561" s="34">
        <v>5.3899999999999998E-3</v>
      </c>
      <c r="V561" s="7"/>
      <c r="W561" s="7" t="str">
        <f>VLOOKUP($Q561,Mapping!$E$11:$I$96,3,0)</f>
        <v>Connections</v>
      </c>
      <c r="X561" s="7" t="str">
        <f>VLOOKUP($S561,Mapping!$E$140:$K$2771,5,0)</f>
        <v>CSG MG</v>
      </c>
      <c r="Y561" s="7" t="str">
        <f>VLOOKUP($S561,Mapping!$E$140:$K$2771,7,0)</f>
        <v>ENDirect</v>
      </c>
      <c r="Z561" s="7" t="str">
        <f>IFERROR(HLOOKUP(X561,'Calc|Weightings'!$K$5:$M$5,1,0),"Excl")</f>
        <v>Excl</v>
      </c>
      <c r="AA561" s="7" t="str">
        <f>VLOOKUP(Q561,Mapping!$E$11:$I$96,5,0)</f>
        <v>SCS</v>
      </c>
      <c r="AC561" s="111">
        <v>118</v>
      </c>
      <c r="AD561" s="111" t="s">
        <v>2132</v>
      </c>
      <c r="AE561" s="111">
        <v>636105</v>
      </c>
      <c r="AF561" s="111" t="s">
        <v>1937</v>
      </c>
      <c r="AG561" s="112">
        <v>0.10403999999999999</v>
      </c>
      <c r="AI561" s="7" t="str">
        <f>VLOOKUP($AC561,Mapping!$E$11:$I$96,3,0)</f>
        <v>Connections</v>
      </c>
      <c r="AJ561" s="7" t="str">
        <f>VLOOKUP($AE561,Mapping!$E$140:$K$2771,5,0)</f>
        <v>CSG MG</v>
      </c>
      <c r="AK561" s="7" t="str">
        <f>VLOOKUP($AE561,Mapping!$E$140:$K$2771,7,0)</f>
        <v>ENDirect</v>
      </c>
      <c r="AL561" s="7" t="str">
        <f>IFERROR(HLOOKUP(AJ561,'Calc|Weightings'!$K$5:$M$5,1,0),"Excl")</f>
        <v>Excl</v>
      </c>
      <c r="AM561" s="7" t="str">
        <f>VLOOKUP(AC561,Mapping!$E$11:$I$96,5,0)</f>
        <v>SCS</v>
      </c>
      <c r="AO561" s="134">
        <v>119</v>
      </c>
      <c r="AP561" s="135" t="s">
        <v>2133</v>
      </c>
      <c r="AQ561" s="135">
        <v>613281</v>
      </c>
      <c r="AR561" s="135" t="s">
        <v>1343</v>
      </c>
      <c r="AS561" s="136">
        <v>1.3834</v>
      </c>
      <c r="AU561" s="7" t="str">
        <f>VLOOKUP($AO561,Mapping!$E$11:$I$96,3,0)</f>
        <v>Negotiated Capex</v>
      </c>
      <c r="AV561" s="7" t="str">
        <f>VLOOKUP($AQ561,Mapping!$E$140:$K$2771,5,0)</f>
        <v>Labour</v>
      </c>
      <c r="AW561" s="7" t="str">
        <f>VLOOKUP($AQ561,Mapping!$E$140:$K$2771,7,0)</f>
        <v>ENDirect</v>
      </c>
      <c r="AX561" s="7" t="str">
        <f>IFERROR(HLOOKUP(AV561,'Calc|Weightings'!$K$5:$M$5,1,0),"Excl")</f>
        <v>Labour</v>
      </c>
      <c r="AY561" s="7" t="str">
        <f>VLOOKUP(AO561,Mapping!$E$11:$I$96,5,0)</f>
        <v>Negotiated Capex</v>
      </c>
    </row>
    <row r="562" spans="1:51" x14ac:dyDescent="0.2">
      <c r="A562" s="7"/>
      <c r="B562" s="7"/>
      <c r="C562" s="7"/>
      <c r="D562" s="7"/>
      <c r="E562" s="36">
        <v>116</v>
      </c>
      <c r="F562" s="36" t="s">
        <v>2130</v>
      </c>
      <c r="G562" s="36">
        <v>613428</v>
      </c>
      <c r="H562" s="36" t="s">
        <v>1430</v>
      </c>
      <c r="I562" s="37">
        <v>35.731940000000002</v>
      </c>
      <c r="J562" s="7"/>
      <c r="K562" s="7" t="str">
        <f>VLOOKUP($E562,Mapping!$E$11:$I$96,3,0)</f>
        <v>Connections</v>
      </c>
      <c r="L562" s="7" t="str">
        <f>VLOOKUP($G562,Mapping!$E$140:$K$2771,5,0)</f>
        <v>Labour</v>
      </c>
      <c r="M562" s="7" t="str">
        <f>VLOOKUP($G562,Mapping!$E$140:$K$2771,7,0)</f>
        <v>ENDirect</v>
      </c>
      <c r="N562" s="7" t="str">
        <f>IFERROR(HLOOKUP(L562,'Calc|Weightings'!$K$5:$M$5,1,0),"Excl")</f>
        <v>Labour</v>
      </c>
      <c r="O562" s="7" t="str">
        <f>VLOOKUP(E562,Mapping!$E$11:$I$96,5,0)</f>
        <v>SCS</v>
      </c>
      <c r="Q562" s="33">
        <v>118</v>
      </c>
      <c r="R562" s="33" t="s">
        <v>2132</v>
      </c>
      <c r="S562" s="33">
        <v>639000</v>
      </c>
      <c r="T562" s="33" t="s">
        <v>2112</v>
      </c>
      <c r="U562" s="34">
        <v>1.1383700000000001</v>
      </c>
      <c r="V562" s="7"/>
      <c r="W562" s="7" t="str">
        <f>VLOOKUP($Q562,Mapping!$E$11:$I$96,3,0)</f>
        <v>Connections</v>
      </c>
      <c r="X562" s="7" t="str">
        <f>VLOOKUP($S562,Mapping!$E$140:$K$2771,5,0)</f>
        <v>PNS Corporate OH</v>
      </c>
      <c r="Y562" s="7" t="str">
        <f>VLOOKUP($S562,Mapping!$E$140:$K$2771,7,0)</f>
        <v>OH</v>
      </c>
      <c r="Z562" s="7" t="str">
        <f>IFERROR(HLOOKUP(X562,'Calc|Weightings'!$K$5:$M$5,1,0),"Excl")</f>
        <v>Excl</v>
      </c>
      <c r="AA562" s="7" t="str">
        <f>VLOOKUP(Q562,Mapping!$E$11:$I$96,5,0)</f>
        <v>SCS</v>
      </c>
      <c r="AC562" s="111">
        <v>118</v>
      </c>
      <c r="AD562" s="111" t="s">
        <v>2132</v>
      </c>
      <c r="AE562" s="111">
        <v>639000</v>
      </c>
      <c r="AF562" s="111" t="s">
        <v>2112</v>
      </c>
      <c r="AG562" s="112">
        <v>2.2273499999999999</v>
      </c>
      <c r="AI562" s="7" t="str">
        <f>VLOOKUP($AC562,Mapping!$E$11:$I$96,3,0)</f>
        <v>Connections</v>
      </c>
      <c r="AJ562" s="7" t="str">
        <f>VLOOKUP($AE562,Mapping!$E$140:$K$2771,5,0)</f>
        <v>PNS Corporate OH</v>
      </c>
      <c r="AK562" s="7" t="str">
        <f>VLOOKUP($AE562,Mapping!$E$140:$K$2771,7,0)</f>
        <v>OH</v>
      </c>
      <c r="AL562" s="7" t="str">
        <f>IFERROR(HLOOKUP(AJ562,'Calc|Weightings'!$K$5:$M$5,1,0),"Excl")</f>
        <v>Excl</v>
      </c>
      <c r="AM562" s="7" t="str">
        <f>VLOOKUP(AC562,Mapping!$E$11:$I$96,5,0)</f>
        <v>SCS</v>
      </c>
      <c r="AO562" s="134">
        <v>119</v>
      </c>
      <c r="AP562" s="135" t="s">
        <v>2133</v>
      </c>
      <c r="AQ562" s="135">
        <v>613290</v>
      </c>
      <c r="AR562" s="135" t="s">
        <v>2093</v>
      </c>
      <c r="AS562" s="136">
        <v>164.59139999999999</v>
      </c>
      <c r="AU562" s="7" t="str">
        <f>VLOOKUP($AO562,Mapping!$E$11:$I$96,3,0)</f>
        <v>Negotiated Capex</v>
      </c>
      <c r="AV562" s="7" t="str">
        <f>VLOOKUP($AQ562,Mapping!$E$140:$K$2771,5,0)</f>
        <v>Labour</v>
      </c>
      <c r="AW562" s="7" t="str">
        <f>VLOOKUP($AQ562,Mapping!$E$140:$K$2771,7,0)</f>
        <v>ENDirect</v>
      </c>
      <c r="AX562" s="7" t="str">
        <f>IFERROR(HLOOKUP(AV562,'Calc|Weightings'!$K$5:$M$5,1,0),"Excl")</f>
        <v>Labour</v>
      </c>
      <c r="AY562" s="7" t="str">
        <f>VLOOKUP(AO562,Mapping!$E$11:$I$96,5,0)</f>
        <v>Negotiated Capex</v>
      </c>
    </row>
    <row r="563" spans="1:51" x14ac:dyDescent="0.2">
      <c r="A563" s="7"/>
      <c r="B563" s="7"/>
      <c r="C563" s="7"/>
      <c r="D563" s="7"/>
      <c r="E563" s="36">
        <v>116</v>
      </c>
      <c r="F563" s="36" t="s">
        <v>2130</v>
      </c>
      <c r="G563" s="36">
        <v>613429</v>
      </c>
      <c r="H563" s="36" t="s">
        <v>1431</v>
      </c>
      <c r="I563" s="37">
        <v>2.2126999999999999</v>
      </c>
      <c r="J563" s="7"/>
      <c r="K563" s="7" t="str">
        <f>VLOOKUP($E563,Mapping!$E$11:$I$96,3,0)</f>
        <v>Connections</v>
      </c>
      <c r="L563" s="7" t="str">
        <f>VLOOKUP($G563,Mapping!$E$140:$K$2771,5,0)</f>
        <v>Labour</v>
      </c>
      <c r="M563" s="7" t="str">
        <f>VLOOKUP($G563,Mapping!$E$140:$K$2771,7,0)</f>
        <v>ENDirect</v>
      </c>
      <c r="N563" s="7" t="str">
        <f>IFERROR(HLOOKUP(L563,'Calc|Weightings'!$K$5:$M$5,1,0),"Excl")</f>
        <v>Labour</v>
      </c>
      <c r="O563" s="7" t="str">
        <f>VLOOKUP(E563,Mapping!$E$11:$I$96,5,0)</f>
        <v>SCS</v>
      </c>
      <c r="Q563" s="33">
        <v>118</v>
      </c>
      <c r="R563" s="33" t="s">
        <v>2132</v>
      </c>
      <c r="S563" s="33">
        <v>639050</v>
      </c>
      <c r="T563" s="33" t="s">
        <v>2113</v>
      </c>
      <c r="U563" s="34">
        <v>0.17444000000000001</v>
      </c>
      <c r="V563" s="7"/>
      <c r="W563" s="7" t="str">
        <f>VLOOKUP($Q563,Mapping!$E$11:$I$96,3,0)</f>
        <v>Connections</v>
      </c>
      <c r="X563" s="7" t="str">
        <f>VLOOKUP($S563,Mapping!$E$140:$K$2771,5,0)</f>
        <v>PNS Fleet &amp; Property OH</v>
      </c>
      <c r="Y563" s="7" t="str">
        <f>VLOOKUP($S563,Mapping!$E$140:$K$2771,7,0)</f>
        <v>OH</v>
      </c>
      <c r="Z563" s="7" t="str">
        <f>IFERROR(HLOOKUP(X563,'Calc|Weightings'!$K$5:$M$5,1,0),"Excl")</f>
        <v>Excl</v>
      </c>
      <c r="AA563" s="7" t="str">
        <f>VLOOKUP(Q563,Mapping!$E$11:$I$96,5,0)</f>
        <v>SCS</v>
      </c>
      <c r="AC563" s="111">
        <v>118</v>
      </c>
      <c r="AD563" s="111" t="s">
        <v>2132</v>
      </c>
      <c r="AE563" s="111">
        <v>639050</v>
      </c>
      <c r="AF563" s="111" t="s">
        <v>2113</v>
      </c>
      <c r="AG563" s="112">
        <v>0.34988000000000002</v>
      </c>
      <c r="AI563" s="7" t="str">
        <f>VLOOKUP($AC563,Mapping!$E$11:$I$96,3,0)</f>
        <v>Connections</v>
      </c>
      <c r="AJ563" s="7" t="str">
        <f>VLOOKUP($AE563,Mapping!$E$140:$K$2771,5,0)</f>
        <v>PNS Fleet &amp; Property OH</v>
      </c>
      <c r="AK563" s="7" t="str">
        <f>VLOOKUP($AE563,Mapping!$E$140:$K$2771,7,0)</f>
        <v>OH</v>
      </c>
      <c r="AL563" s="7" t="str">
        <f>IFERROR(HLOOKUP(AJ563,'Calc|Weightings'!$K$5:$M$5,1,0),"Excl")</f>
        <v>Excl</v>
      </c>
      <c r="AM563" s="7" t="str">
        <f>VLOOKUP(AC563,Mapping!$E$11:$I$96,5,0)</f>
        <v>SCS</v>
      </c>
      <c r="AO563" s="134">
        <v>119</v>
      </c>
      <c r="AP563" s="135" t="s">
        <v>2133</v>
      </c>
      <c r="AQ563" s="135">
        <v>613291</v>
      </c>
      <c r="AR563" s="135" t="s">
        <v>2094</v>
      </c>
      <c r="AS563" s="136">
        <v>0.69184000000000001</v>
      </c>
      <c r="AU563" s="7" t="str">
        <f>VLOOKUP($AO563,Mapping!$E$11:$I$96,3,0)</f>
        <v>Negotiated Capex</v>
      </c>
      <c r="AV563" s="7" t="str">
        <f>VLOOKUP($AQ563,Mapping!$E$140:$K$2771,5,0)</f>
        <v>Labour</v>
      </c>
      <c r="AW563" s="7" t="str">
        <f>VLOOKUP($AQ563,Mapping!$E$140:$K$2771,7,0)</f>
        <v>ENDirect</v>
      </c>
      <c r="AX563" s="7" t="str">
        <f>IFERROR(HLOOKUP(AV563,'Calc|Weightings'!$K$5:$M$5,1,0),"Excl")</f>
        <v>Labour</v>
      </c>
      <c r="AY563" s="7" t="str">
        <f>VLOOKUP(AO563,Mapping!$E$11:$I$96,5,0)</f>
        <v>Negotiated Capex</v>
      </c>
    </row>
    <row r="564" spans="1:51" x14ac:dyDescent="0.2">
      <c r="A564" s="7"/>
      <c r="B564" s="7"/>
      <c r="C564" s="7"/>
      <c r="D564" s="7"/>
      <c r="E564" s="36">
        <v>116</v>
      </c>
      <c r="F564" s="36" t="s">
        <v>2130</v>
      </c>
      <c r="G564" s="36">
        <v>613438</v>
      </c>
      <c r="H564" s="36" t="s">
        <v>1436</v>
      </c>
      <c r="I564" s="37">
        <v>19.388639999999999</v>
      </c>
      <c r="J564" s="7"/>
      <c r="K564" s="7" t="str">
        <f>VLOOKUP($E564,Mapping!$E$11:$I$96,3,0)</f>
        <v>Connections</v>
      </c>
      <c r="L564" s="7" t="str">
        <f>VLOOKUP($G564,Mapping!$E$140:$K$2771,5,0)</f>
        <v>Labour</v>
      </c>
      <c r="M564" s="7" t="str">
        <f>VLOOKUP($G564,Mapping!$E$140:$K$2771,7,0)</f>
        <v>ENDirect</v>
      </c>
      <c r="N564" s="7" t="str">
        <f>IFERROR(HLOOKUP(L564,'Calc|Weightings'!$K$5:$M$5,1,0),"Excl")</f>
        <v>Labour</v>
      </c>
      <c r="O564" s="7" t="str">
        <f>VLOOKUP(E564,Mapping!$E$11:$I$96,5,0)</f>
        <v>SCS</v>
      </c>
      <c r="Q564" s="33">
        <v>119</v>
      </c>
      <c r="R564" s="33" t="s">
        <v>2133</v>
      </c>
      <c r="S564" s="33">
        <v>503240</v>
      </c>
      <c r="T564" s="33" t="s">
        <v>169</v>
      </c>
      <c r="U564" s="34">
        <v>1.3010000000000001E-2</v>
      </c>
      <c r="V564" s="7"/>
      <c r="W564" s="7" t="str">
        <f>VLOOKUP($Q564,Mapping!$E$11:$I$96,3,0)</f>
        <v>Negotiated Capex</v>
      </c>
      <c r="X564" s="7" t="str">
        <f>VLOOKUP($S564,Mapping!$E$140:$K$2771,5,0)</f>
        <v>Contracts</v>
      </c>
      <c r="Y564" s="7" t="str">
        <f>VLOOKUP($S564,Mapping!$E$140:$K$2771,7,0)</f>
        <v>ENDirect</v>
      </c>
      <c r="Z564" s="7" t="str">
        <f>IFERROR(HLOOKUP(X564,'Calc|Weightings'!$K$5:$M$5,1,0),"Excl")</f>
        <v>Contracts</v>
      </c>
      <c r="AA564" s="7" t="str">
        <f>VLOOKUP(Q564,Mapping!$E$11:$I$96,5,0)</f>
        <v>Negotiated Capex</v>
      </c>
      <c r="AC564" s="111">
        <v>119</v>
      </c>
      <c r="AD564" s="111" t="s">
        <v>2133</v>
      </c>
      <c r="AE564" s="111">
        <v>503240</v>
      </c>
      <c r="AF564" s="111" t="s">
        <v>169</v>
      </c>
      <c r="AG564" s="112">
        <v>0.17580000000000001</v>
      </c>
      <c r="AI564" s="7" t="str">
        <f>VLOOKUP($AC564,Mapping!$E$11:$I$96,3,0)</f>
        <v>Negotiated Capex</v>
      </c>
      <c r="AJ564" s="7" t="str">
        <f>VLOOKUP($AE564,Mapping!$E$140:$K$2771,5,0)</f>
        <v>Contracts</v>
      </c>
      <c r="AK564" s="7" t="str">
        <f>VLOOKUP($AE564,Mapping!$E$140:$K$2771,7,0)</f>
        <v>ENDirect</v>
      </c>
      <c r="AL564" s="7" t="str">
        <f>IFERROR(HLOOKUP(AJ564,'Calc|Weightings'!$K$5:$M$5,1,0),"Excl")</f>
        <v>Contracts</v>
      </c>
      <c r="AM564" s="7" t="str">
        <f>VLOOKUP(AC564,Mapping!$E$11:$I$96,5,0)</f>
        <v>Negotiated Capex</v>
      </c>
      <c r="AO564" s="134">
        <v>119</v>
      </c>
      <c r="AP564" s="135" t="s">
        <v>2133</v>
      </c>
      <c r="AQ564" s="135">
        <v>613360</v>
      </c>
      <c r="AR564" s="135" t="s">
        <v>2097</v>
      </c>
      <c r="AS564" s="136">
        <v>2.2793899999999998</v>
      </c>
      <c r="AU564" s="7" t="str">
        <f>VLOOKUP($AO564,Mapping!$E$11:$I$96,3,0)</f>
        <v>Negotiated Capex</v>
      </c>
      <c r="AV564" s="7" t="str">
        <f>VLOOKUP($AQ564,Mapping!$E$140:$K$2771,5,0)</f>
        <v>Labour</v>
      </c>
      <c r="AW564" s="7" t="str">
        <f>VLOOKUP($AQ564,Mapping!$E$140:$K$2771,7,0)</f>
        <v>ENDirect</v>
      </c>
      <c r="AX564" s="7" t="str">
        <f>IFERROR(HLOOKUP(AV564,'Calc|Weightings'!$K$5:$M$5,1,0),"Excl")</f>
        <v>Labour</v>
      </c>
      <c r="AY564" s="7" t="str">
        <f>VLOOKUP(AO564,Mapping!$E$11:$I$96,5,0)</f>
        <v>Negotiated Capex</v>
      </c>
    </row>
    <row r="565" spans="1:51" x14ac:dyDescent="0.2">
      <c r="A565" s="7"/>
      <c r="B565" s="7"/>
      <c r="C565" s="7"/>
      <c r="D565" s="7"/>
      <c r="E565" s="36">
        <v>116</v>
      </c>
      <c r="F565" s="36" t="s">
        <v>2130</v>
      </c>
      <c r="G565" s="36">
        <v>613439</v>
      </c>
      <c r="H565" s="36" t="s">
        <v>1437</v>
      </c>
      <c r="I565" s="37">
        <v>11.68918</v>
      </c>
      <c r="J565" s="7"/>
      <c r="K565" s="7" t="str">
        <f>VLOOKUP($E565,Mapping!$E$11:$I$96,3,0)</f>
        <v>Connections</v>
      </c>
      <c r="L565" s="7" t="str">
        <f>VLOOKUP($G565,Mapping!$E$140:$K$2771,5,0)</f>
        <v>Labour</v>
      </c>
      <c r="M565" s="7" t="str">
        <f>VLOOKUP($G565,Mapping!$E$140:$K$2771,7,0)</f>
        <v>ENDirect</v>
      </c>
      <c r="N565" s="7" t="str">
        <f>IFERROR(HLOOKUP(L565,'Calc|Weightings'!$K$5:$M$5,1,0),"Excl")</f>
        <v>Labour</v>
      </c>
      <c r="O565" s="7" t="str">
        <f>VLOOKUP(E565,Mapping!$E$11:$I$96,5,0)</f>
        <v>SCS</v>
      </c>
      <c r="Q565" s="33">
        <v>119</v>
      </c>
      <c r="R565" s="33" t="s">
        <v>2133</v>
      </c>
      <c r="S565" s="33">
        <v>503250</v>
      </c>
      <c r="T565" s="33" t="s">
        <v>170</v>
      </c>
      <c r="U565" s="34">
        <v>3.5790000000000002E-2</v>
      </c>
      <c r="V565" s="7"/>
      <c r="W565" s="7" t="str">
        <f>VLOOKUP($Q565,Mapping!$E$11:$I$96,3,0)</f>
        <v>Negotiated Capex</v>
      </c>
      <c r="X565" s="7" t="str">
        <f>VLOOKUP($S565,Mapping!$E$140:$K$2771,5,0)</f>
        <v>Contracts</v>
      </c>
      <c r="Y565" s="7" t="str">
        <f>VLOOKUP($S565,Mapping!$E$140:$K$2771,7,0)</f>
        <v>ENDirect</v>
      </c>
      <c r="Z565" s="7" t="str">
        <f>IFERROR(HLOOKUP(X565,'Calc|Weightings'!$K$5:$M$5,1,0),"Excl")</f>
        <v>Contracts</v>
      </c>
      <c r="AA565" s="7" t="str">
        <f>VLOOKUP(Q565,Mapping!$E$11:$I$96,5,0)</f>
        <v>Negotiated Capex</v>
      </c>
      <c r="AC565" s="111">
        <v>119</v>
      </c>
      <c r="AD565" s="111" t="s">
        <v>2133</v>
      </c>
      <c r="AE565" s="111">
        <v>520100</v>
      </c>
      <c r="AF565" s="111" t="s">
        <v>2072</v>
      </c>
      <c r="AG565" s="112">
        <v>1261.9829999999999</v>
      </c>
      <c r="AI565" s="7" t="str">
        <f>VLOOKUP($AC565,Mapping!$E$11:$I$96,3,0)</f>
        <v>Negotiated Capex</v>
      </c>
      <c r="AJ565" s="7" t="str">
        <f>VLOOKUP($AE565,Mapping!$E$140:$K$2771,5,0)</f>
        <v>Materials</v>
      </c>
      <c r="AK565" s="7" t="str">
        <f>VLOOKUP($AE565,Mapping!$E$140:$K$2771,7,0)</f>
        <v>ENDirect</v>
      </c>
      <c r="AL565" s="7" t="str">
        <f>IFERROR(HLOOKUP(AJ565,'Calc|Weightings'!$K$5:$M$5,1,0),"Excl")</f>
        <v>Materials</v>
      </c>
      <c r="AM565" s="7" t="str">
        <f>VLOOKUP(AC565,Mapping!$E$11:$I$96,5,0)</f>
        <v>Negotiated Capex</v>
      </c>
      <c r="AO565" s="134">
        <v>119</v>
      </c>
      <c r="AP565" s="135" t="s">
        <v>2133</v>
      </c>
      <c r="AQ565" s="135">
        <v>613370</v>
      </c>
      <c r="AR565" s="135" t="s">
        <v>1402</v>
      </c>
      <c r="AS565" s="136">
        <v>0.50919999999999999</v>
      </c>
      <c r="AU565" s="7" t="str">
        <f>VLOOKUP($AO565,Mapping!$E$11:$I$96,3,0)</f>
        <v>Negotiated Capex</v>
      </c>
      <c r="AV565" s="7" t="str">
        <f>VLOOKUP($AQ565,Mapping!$E$140:$K$2771,5,0)</f>
        <v>Labour</v>
      </c>
      <c r="AW565" s="7" t="str">
        <f>VLOOKUP($AQ565,Mapping!$E$140:$K$2771,7,0)</f>
        <v>ENDirect</v>
      </c>
      <c r="AX565" s="7" t="str">
        <f>IFERROR(HLOOKUP(AV565,'Calc|Weightings'!$K$5:$M$5,1,0),"Excl")</f>
        <v>Labour</v>
      </c>
      <c r="AY565" s="7" t="str">
        <f>VLOOKUP(AO565,Mapping!$E$11:$I$96,5,0)</f>
        <v>Negotiated Capex</v>
      </c>
    </row>
    <row r="566" spans="1:51" x14ac:dyDescent="0.2">
      <c r="A566" s="7"/>
      <c r="B566" s="7"/>
      <c r="C566" s="7"/>
      <c r="D566" s="7"/>
      <c r="E566" s="36">
        <v>116</v>
      </c>
      <c r="F566" s="36" t="s">
        <v>2130</v>
      </c>
      <c r="G566" s="36">
        <v>613566</v>
      </c>
      <c r="H566" s="36" t="s">
        <v>1482</v>
      </c>
      <c r="I566" s="37">
        <v>11.68416</v>
      </c>
      <c r="J566" s="7"/>
      <c r="K566" s="7" t="str">
        <f>VLOOKUP($E566,Mapping!$E$11:$I$96,3,0)</f>
        <v>Connections</v>
      </c>
      <c r="L566" s="7" t="str">
        <f>VLOOKUP($G566,Mapping!$E$140:$K$2771,5,0)</f>
        <v>Labour</v>
      </c>
      <c r="M566" s="7" t="str">
        <f>VLOOKUP($G566,Mapping!$E$140:$K$2771,7,0)</f>
        <v>ENDirect</v>
      </c>
      <c r="N566" s="7" t="str">
        <f>IFERROR(HLOOKUP(L566,'Calc|Weightings'!$K$5:$M$5,1,0),"Excl")</f>
        <v>Labour</v>
      </c>
      <c r="O566" s="7" t="str">
        <f>VLOOKUP(E566,Mapping!$E$11:$I$96,5,0)</f>
        <v>SCS</v>
      </c>
      <c r="Q566" s="33">
        <v>119</v>
      </c>
      <c r="R566" s="33" t="s">
        <v>2133</v>
      </c>
      <c r="S566" s="33">
        <v>503281</v>
      </c>
      <c r="T566" s="33" t="s">
        <v>174</v>
      </c>
      <c r="U566" s="34">
        <v>1.873E-2</v>
      </c>
      <c r="V566" s="7"/>
      <c r="W566" s="7" t="str">
        <f>VLOOKUP($Q566,Mapping!$E$11:$I$96,3,0)</f>
        <v>Negotiated Capex</v>
      </c>
      <c r="X566" s="7" t="str">
        <f>VLOOKUP($S566,Mapping!$E$140:$K$2771,5,0)</f>
        <v>Contracts</v>
      </c>
      <c r="Y566" s="7" t="str">
        <f>VLOOKUP($S566,Mapping!$E$140:$K$2771,7,0)</f>
        <v>ENDirect</v>
      </c>
      <c r="Z566" s="7" t="str">
        <f>IFERROR(HLOOKUP(X566,'Calc|Weightings'!$K$5:$M$5,1,0),"Excl")</f>
        <v>Contracts</v>
      </c>
      <c r="AA566" s="7" t="str">
        <f>VLOOKUP(Q566,Mapping!$E$11:$I$96,5,0)</f>
        <v>Negotiated Capex</v>
      </c>
      <c r="AC566" s="111">
        <v>119</v>
      </c>
      <c r="AD566" s="111" t="s">
        <v>2133</v>
      </c>
      <c r="AE566" s="111">
        <v>523100</v>
      </c>
      <c r="AF566" s="111" t="s">
        <v>2074</v>
      </c>
      <c r="AG566" s="112">
        <v>2.9420000000000002E-2</v>
      </c>
      <c r="AI566" s="7" t="str">
        <f>VLOOKUP($AC566,Mapping!$E$11:$I$96,3,0)</f>
        <v>Negotiated Capex</v>
      </c>
      <c r="AJ566" s="7" t="str">
        <f>VLOOKUP($AE566,Mapping!$E$140:$K$2771,5,0)</f>
        <v>Materials</v>
      </c>
      <c r="AK566" s="7" t="str">
        <f>VLOOKUP($AE566,Mapping!$E$140:$K$2771,7,0)</f>
        <v>ENDirect</v>
      </c>
      <c r="AL566" s="7" t="str">
        <f>IFERROR(HLOOKUP(AJ566,'Calc|Weightings'!$K$5:$M$5,1,0),"Excl")</f>
        <v>Materials</v>
      </c>
      <c r="AM566" s="7" t="str">
        <f>VLOOKUP(AC566,Mapping!$E$11:$I$96,5,0)</f>
        <v>Negotiated Capex</v>
      </c>
      <c r="AO566" s="134">
        <v>119</v>
      </c>
      <c r="AP566" s="135" t="s">
        <v>2133</v>
      </c>
      <c r="AQ566" s="135">
        <v>613400</v>
      </c>
      <c r="AR566" s="135" t="s">
        <v>2099</v>
      </c>
      <c r="AS566" s="136">
        <v>0.27873999999999999</v>
      </c>
      <c r="AU566" s="7" t="str">
        <f>VLOOKUP($AO566,Mapping!$E$11:$I$96,3,0)</f>
        <v>Negotiated Capex</v>
      </c>
      <c r="AV566" s="7" t="str">
        <f>VLOOKUP($AQ566,Mapping!$E$140:$K$2771,5,0)</f>
        <v>Labour</v>
      </c>
      <c r="AW566" s="7" t="str">
        <f>VLOOKUP($AQ566,Mapping!$E$140:$K$2771,7,0)</f>
        <v>ENDirect</v>
      </c>
      <c r="AX566" s="7" t="str">
        <f>IFERROR(HLOOKUP(AV566,'Calc|Weightings'!$K$5:$M$5,1,0),"Excl")</f>
        <v>Labour</v>
      </c>
      <c r="AY566" s="7" t="str">
        <f>VLOOKUP(AO566,Mapping!$E$11:$I$96,5,0)</f>
        <v>Negotiated Capex</v>
      </c>
    </row>
    <row r="567" spans="1:51" x14ac:dyDescent="0.2">
      <c r="A567" s="7"/>
      <c r="B567" s="7"/>
      <c r="C567" s="7"/>
      <c r="D567" s="7"/>
      <c r="E567" s="36">
        <v>116</v>
      </c>
      <c r="F567" s="36" t="s">
        <v>2130</v>
      </c>
      <c r="G567" s="36">
        <v>613567</v>
      </c>
      <c r="H567" s="36" t="s">
        <v>1483</v>
      </c>
      <c r="I567" s="37">
        <v>2.5559099999999999</v>
      </c>
      <c r="J567" s="7"/>
      <c r="K567" s="7" t="str">
        <f>VLOOKUP($E567,Mapping!$E$11:$I$96,3,0)</f>
        <v>Connections</v>
      </c>
      <c r="L567" s="7" t="str">
        <f>VLOOKUP($G567,Mapping!$E$140:$K$2771,5,0)</f>
        <v>Labour</v>
      </c>
      <c r="M567" s="7" t="str">
        <f>VLOOKUP($G567,Mapping!$E$140:$K$2771,7,0)</f>
        <v>ENDirect</v>
      </c>
      <c r="N567" s="7" t="str">
        <f>IFERROR(HLOOKUP(L567,'Calc|Weightings'!$K$5:$M$5,1,0),"Excl")</f>
        <v>Labour</v>
      </c>
      <c r="O567" s="7" t="str">
        <f>VLOOKUP(E567,Mapping!$E$11:$I$96,5,0)</f>
        <v>SCS</v>
      </c>
      <c r="Q567" s="33">
        <v>119</v>
      </c>
      <c r="R567" s="33" t="s">
        <v>2133</v>
      </c>
      <c r="S567" s="33">
        <v>503330</v>
      </c>
      <c r="T567" s="33" t="s">
        <v>180</v>
      </c>
      <c r="U567" s="34">
        <v>0.17638000000000001</v>
      </c>
      <c r="V567" s="7"/>
      <c r="W567" s="7" t="str">
        <f>VLOOKUP($Q567,Mapping!$E$11:$I$96,3,0)</f>
        <v>Negotiated Capex</v>
      </c>
      <c r="X567" s="7" t="str">
        <f>VLOOKUP($S567,Mapping!$E$140:$K$2771,5,0)</f>
        <v>Contracts</v>
      </c>
      <c r="Y567" s="7" t="str">
        <f>VLOOKUP($S567,Mapping!$E$140:$K$2771,7,0)</f>
        <v>ENDirect</v>
      </c>
      <c r="Z567" s="7" t="str">
        <f>IFERROR(HLOOKUP(X567,'Calc|Weightings'!$K$5:$M$5,1,0),"Excl")</f>
        <v>Contracts</v>
      </c>
      <c r="AA567" s="7" t="str">
        <f>VLOOKUP(Q567,Mapping!$E$11:$I$96,5,0)</f>
        <v>Negotiated Capex</v>
      </c>
      <c r="AC567" s="111">
        <v>119</v>
      </c>
      <c r="AD567" s="111" t="s">
        <v>2133</v>
      </c>
      <c r="AE567" s="111">
        <v>531464</v>
      </c>
      <c r="AF567" s="111" t="s">
        <v>256</v>
      </c>
      <c r="AG567" s="112">
        <v>182.12092000000001</v>
      </c>
      <c r="AI567" s="7" t="str">
        <f>VLOOKUP($AC567,Mapping!$E$11:$I$96,3,0)</f>
        <v>Negotiated Capex</v>
      </c>
      <c r="AJ567" s="7" t="str">
        <f>VLOOKUP($AE567,Mapping!$E$140:$K$2771,5,0)</f>
        <v>Contracts</v>
      </c>
      <c r="AK567" s="7" t="str">
        <f>VLOOKUP($AE567,Mapping!$E$140:$K$2771,7,0)</f>
        <v>ENDirect</v>
      </c>
      <c r="AL567" s="7" t="str">
        <f>IFERROR(HLOOKUP(AJ567,'Calc|Weightings'!$K$5:$M$5,1,0),"Excl")</f>
        <v>Contracts</v>
      </c>
      <c r="AM567" s="7" t="str">
        <f>VLOOKUP(AC567,Mapping!$E$11:$I$96,5,0)</f>
        <v>Negotiated Capex</v>
      </c>
      <c r="AO567" s="134">
        <v>119</v>
      </c>
      <c r="AP567" s="135" t="s">
        <v>2133</v>
      </c>
      <c r="AQ567" s="135">
        <v>613434</v>
      </c>
      <c r="AR567" s="135" t="s">
        <v>2102</v>
      </c>
      <c r="AS567" s="136">
        <v>4.1756700000000002</v>
      </c>
      <c r="AU567" s="7" t="str">
        <f>VLOOKUP($AO567,Mapping!$E$11:$I$96,3,0)</f>
        <v>Negotiated Capex</v>
      </c>
      <c r="AV567" s="7" t="str">
        <f>VLOOKUP($AQ567,Mapping!$E$140:$K$2771,5,0)</f>
        <v>Labour</v>
      </c>
      <c r="AW567" s="7" t="str">
        <f>VLOOKUP($AQ567,Mapping!$E$140:$K$2771,7,0)</f>
        <v>ENDirect</v>
      </c>
      <c r="AX567" s="7" t="str">
        <f>IFERROR(HLOOKUP(AV567,'Calc|Weightings'!$K$5:$M$5,1,0),"Excl")</f>
        <v>Labour</v>
      </c>
      <c r="AY567" s="7" t="str">
        <f>VLOOKUP(AO567,Mapping!$E$11:$I$96,5,0)</f>
        <v>Negotiated Capex</v>
      </c>
    </row>
    <row r="568" spans="1:51" x14ac:dyDescent="0.2">
      <c r="A568" s="7"/>
      <c r="B568" s="7"/>
      <c r="C568" s="7"/>
      <c r="D568" s="7"/>
      <c r="E568" s="36">
        <v>116</v>
      </c>
      <c r="F568" s="36" t="s">
        <v>2130</v>
      </c>
      <c r="G568" s="36">
        <v>613570</v>
      </c>
      <c r="H568" s="36" t="s">
        <v>1484</v>
      </c>
      <c r="I568" s="37">
        <v>0.97367999999999999</v>
      </c>
      <c r="J568" s="7"/>
      <c r="K568" s="7" t="str">
        <f>VLOOKUP($E568,Mapping!$E$11:$I$96,3,0)</f>
        <v>Connections</v>
      </c>
      <c r="L568" s="7" t="str">
        <f>VLOOKUP($G568,Mapping!$E$140:$K$2771,5,0)</f>
        <v>Labour</v>
      </c>
      <c r="M568" s="7" t="str">
        <f>VLOOKUP($G568,Mapping!$E$140:$K$2771,7,0)</f>
        <v>ENDirect</v>
      </c>
      <c r="N568" s="7" t="str">
        <f>IFERROR(HLOOKUP(L568,'Calc|Weightings'!$K$5:$M$5,1,0),"Excl")</f>
        <v>Labour</v>
      </c>
      <c r="O568" s="7" t="str">
        <f>VLOOKUP(E568,Mapping!$E$11:$I$96,5,0)</f>
        <v>SCS</v>
      </c>
      <c r="Q568" s="33">
        <v>119</v>
      </c>
      <c r="R568" s="33" t="s">
        <v>2133</v>
      </c>
      <c r="S568" s="33">
        <v>520100</v>
      </c>
      <c r="T568" s="33" t="s">
        <v>2072</v>
      </c>
      <c r="U568" s="34">
        <v>10.63897</v>
      </c>
      <c r="V568" s="7"/>
      <c r="W568" s="7" t="str">
        <f>VLOOKUP($Q568,Mapping!$E$11:$I$96,3,0)</f>
        <v>Negotiated Capex</v>
      </c>
      <c r="X568" s="7" t="str">
        <f>VLOOKUP($S568,Mapping!$E$140:$K$2771,5,0)</f>
        <v>Materials</v>
      </c>
      <c r="Y568" s="7" t="str">
        <f>VLOOKUP($S568,Mapping!$E$140:$K$2771,7,0)</f>
        <v>ENDirect</v>
      </c>
      <c r="Z568" s="7" t="str">
        <f>IFERROR(HLOOKUP(X568,'Calc|Weightings'!$K$5:$M$5,1,0),"Excl")</f>
        <v>Materials</v>
      </c>
      <c r="AA568" s="7" t="str">
        <f>VLOOKUP(Q568,Mapping!$E$11:$I$96,5,0)</f>
        <v>Negotiated Capex</v>
      </c>
      <c r="AC568" s="111">
        <v>119</v>
      </c>
      <c r="AD568" s="111" t="s">
        <v>2133</v>
      </c>
      <c r="AE568" s="111">
        <v>531467</v>
      </c>
      <c r="AF568" s="111" t="s">
        <v>259</v>
      </c>
      <c r="AG568" s="112">
        <v>14.8575</v>
      </c>
      <c r="AI568" s="7" t="str">
        <f>VLOOKUP($AC568,Mapping!$E$11:$I$96,3,0)</f>
        <v>Negotiated Capex</v>
      </c>
      <c r="AJ568" s="7" t="str">
        <f>VLOOKUP($AE568,Mapping!$E$140:$K$2771,5,0)</f>
        <v>Contracts</v>
      </c>
      <c r="AK568" s="7" t="str">
        <f>VLOOKUP($AE568,Mapping!$E$140:$K$2771,7,0)</f>
        <v>ENDirect</v>
      </c>
      <c r="AL568" s="7" t="str">
        <f>IFERROR(HLOOKUP(AJ568,'Calc|Weightings'!$K$5:$M$5,1,0),"Excl")</f>
        <v>Contracts</v>
      </c>
      <c r="AM568" s="7" t="str">
        <f>VLOOKUP(AC568,Mapping!$E$11:$I$96,5,0)</f>
        <v>Negotiated Capex</v>
      </c>
      <c r="AO568" s="134">
        <v>119</v>
      </c>
      <c r="AP568" s="135" t="s">
        <v>2133</v>
      </c>
      <c r="AQ568" s="135">
        <v>613440</v>
      </c>
      <c r="AR568" s="135" t="s">
        <v>2103</v>
      </c>
      <c r="AS568" s="136">
        <v>1.2534000000000001</v>
      </c>
      <c r="AU568" s="7" t="str">
        <f>VLOOKUP($AO568,Mapping!$E$11:$I$96,3,0)</f>
        <v>Negotiated Capex</v>
      </c>
      <c r="AV568" s="7" t="str">
        <f>VLOOKUP($AQ568,Mapping!$E$140:$K$2771,5,0)</f>
        <v>Labour</v>
      </c>
      <c r="AW568" s="7" t="str">
        <f>VLOOKUP($AQ568,Mapping!$E$140:$K$2771,7,0)</f>
        <v>ENDirect</v>
      </c>
      <c r="AX568" s="7" t="str">
        <f>IFERROR(HLOOKUP(AV568,'Calc|Weightings'!$K$5:$M$5,1,0),"Excl")</f>
        <v>Labour</v>
      </c>
      <c r="AY568" s="7" t="str">
        <f>VLOOKUP(AO568,Mapping!$E$11:$I$96,5,0)</f>
        <v>Negotiated Capex</v>
      </c>
    </row>
    <row r="569" spans="1:51" x14ac:dyDescent="0.2">
      <c r="A569" s="7"/>
      <c r="B569" s="7"/>
      <c r="C569" s="7"/>
      <c r="D569" s="7"/>
      <c r="E569" s="36">
        <v>116</v>
      </c>
      <c r="F569" s="36" t="s">
        <v>2130</v>
      </c>
      <c r="G569" s="36">
        <v>613574</v>
      </c>
      <c r="H569" s="36" t="s">
        <v>1488</v>
      </c>
      <c r="I569" s="37">
        <v>5.2851900000000001</v>
      </c>
      <c r="J569" s="7"/>
      <c r="K569" s="7" t="str">
        <f>VLOOKUP($E569,Mapping!$E$11:$I$96,3,0)</f>
        <v>Connections</v>
      </c>
      <c r="L569" s="7" t="str">
        <f>VLOOKUP($G569,Mapping!$E$140:$K$2771,5,0)</f>
        <v>Labour</v>
      </c>
      <c r="M569" s="7" t="str">
        <f>VLOOKUP($G569,Mapping!$E$140:$K$2771,7,0)</f>
        <v>ENDirect</v>
      </c>
      <c r="N569" s="7" t="str">
        <f>IFERROR(HLOOKUP(L569,'Calc|Weightings'!$K$5:$M$5,1,0),"Excl")</f>
        <v>Labour</v>
      </c>
      <c r="O569" s="7" t="str">
        <f>VLOOKUP(E569,Mapping!$E$11:$I$96,5,0)</f>
        <v>SCS</v>
      </c>
      <c r="Q569" s="33">
        <v>119</v>
      </c>
      <c r="R569" s="33" t="s">
        <v>2133</v>
      </c>
      <c r="S569" s="33">
        <v>531020</v>
      </c>
      <c r="T569" s="33" t="s">
        <v>219</v>
      </c>
      <c r="U569" s="34">
        <v>120.75369999999999</v>
      </c>
      <c r="V569" s="7"/>
      <c r="W569" s="7" t="str">
        <f>VLOOKUP($Q569,Mapping!$E$11:$I$96,3,0)</f>
        <v>Negotiated Capex</v>
      </c>
      <c r="X569" s="7" t="str">
        <f>VLOOKUP($S569,Mapping!$E$140:$K$2771,5,0)</f>
        <v>Labour</v>
      </c>
      <c r="Y569" s="7" t="str">
        <f>VLOOKUP($S569,Mapping!$E$140:$K$2771,7,0)</f>
        <v>ENDirect</v>
      </c>
      <c r="Z569" s="7" t="str">
        <f>IFERROR(HLOOKUP(X569,'Calc|Weightings'!$K$5:$M$5,1,0),"Excl")</f>
        <v>Labour</v>
      </c>
      <c r="AA569" s="7" t="str">
        <f>VLOOKUP(Q569,Mapping!$E$11:$I$96,5,0)</f>
        <v>Negotiated Capex</v>
      </c>
      <c r="AC569" s="111">
        <v>119</v>
      </c>
      <c r="AD569" s="111" t="s">
        <v>2133</v>
      </c>
      <c r="AE569" s="111">
        <v>531468</v>
      </c>
      <c r="AF569" s="111" t="s">
        <v>260</v>
      </c>
      <c r="AG569" s="112">
        <v>1.90326</v>
      </c>
      <c r="AI569" s="7" t="str">
        <f>VLOOKUP($AC569,Mapping!$E$11:$I$96,3,0)</f>
        <v>Negotiated Capex</v>
      </c>
      <c r="AJ569" s="7" t="str">
        <f>VLOOKUP($AE569,Mapping!$E$140:$K$2771,5,0)</f>
        <v>Contracts</v>
      </c>
      <c r="AK569" s="7" t="str">
        <f>VLOOKUP($AE569,Mapping!$E$140:$K$2771,7,0)</f>
        <v>ENDirect</v>
      </c>
      <c r="AL569" s="7" t="str">
        <f>IFERROR(HLOOKUP(AJ569,'Calc|Weightings'!$K$5:$M$5,1,0),"Excl")</f>
        <v>Contracts</v>
      </c>
      <c r="AM569" s="7" t="str">
        <f>VLOOKUP(AC569,Mapping!$E$11:$I$96,5,0)</f>
        <v>Negotiated Capex</v>
      </c>
      <c r="AO569" s="134">
        <v>119</v>
      </c>
      <c r="AP569" s="135" t="s">
        <v>2133</v>
      </c>
      <c r="AQ569" s="135">
        <v>613441</v>
      </c>
      <c r="AR569" s="135" t="s">
        <v>2104</v>
      </c>
      <c r="AS569" s="136">
        <v>0.54583000000000004</v>
      </c>
      <c r="AU569" s="7" t="str">
        <f>VLOOKUP($AO569,Mapping!$E$11:$I$96,3,0)</f>
        <v>Negotiated Capex</v>
      </c>
      <c r="AV569" s="7" t="str">
        <f>VLOOKUP($AQ569,Mapping!$E$140:$K$2771,5,0)</f>
        <v>Labour</v>
      </c>
      <c r="AW569" s="7" t="str">
        <f>VLOOKUP($AQ569,Mapping!$E$140:$K$2771,7,0)</f>
        <v>ENDirect</v>
      </c>
      <c r="AX569" s="7" t="str">
        <f>IFERROR(HLOOKUP(AV569,'Calc|Weightings'!$K$5:$M$5,1,0),"Excl")</f>
        <v>Labour</v>
      </c>
      <c r="AY569" s="7" t="str">
        <f>VLOOKUP(AO569,Mapping!$E$11:$I$96,5,0)</f>
        <v>Negotiated Capex</v>
      </c>
    </row>
    <row r="570" spans="1:51" x14ac:dyDescent="0.2">
      <c r="A570" s="7"/>
      <c r="B570" s="7"/>
      <c r="C570" s="7"/>
      <c r="D570" s="7"/>
      <c r="E570" s="36">
        <v>116</v>
      </c>
      <c r="F570" s="36" t="s">
        <v>2130</v>
      </c>
      <c r="G570" s="36">
        <v>613575</v>
      </c>
      <c r="H570" s="36" t="s">
        <v>1489</v>
      </c>
      <c r="I570" s="37">
        <v>2.5287999999999999</v>
      </c>
      <c r="J570" s="7"/>
      <c r="K570" s="7" t="str">
        <f>VLOOKUP($E570,Mapping!$E$11:$I$96,3,0)</f>
        <v>Connections</v>
      </c>
      <c r="L570" s="7" t="str">
        <f>VLOOKUP($G570,Mapping!$E$140:$K$2771,5,0)</f>
        <v>Labour</v>
      </c>
      <c r="M570" s="7" t="str">
        <f>VLOOKUP($G570,Mapping!$E$140:$K$2771,7,0)</f>
        <v>ENDirect</v>
      </c>
      <c r="N570" s="7" t="str">
        <f>IFERROR(HLOOKUP(L570,'Calc|Weightings'!$K$5:$M$5,1,0),"Excl")</f>
        <v>Labour</v>
      </c>
      <c r="O570" s="7" t="str">
        <f>VLOOKUP(E570,Mapping!$E$11:$I$96,5,0)</f>
        <v>SCS</v>
      </c>
      <c r="Q570" s="33">
        <v>119</v>
      </c>
      <c r="R570" s="33" t="s">
        <v>2133</v>
      </c>
      <c r="S570" s="33">
        <v>531035</v>
      </c>
      <c r="T570" s="33" t="s">
        <v>244</v>
      </c>
      <c r="U570" s="34">
        <v>-0.67235999999999996</v>
      </c>
      <c r="V570" s="7"/>
      <c r="W570" s="7" t="str">
        <f>VLOOKUP($Q570,Mapping!$E$11:$I$96,3,0)</f>
        <v>Negotiated Capex</v>
      </c>
      <c r="X570" s="7" t="str">
        <f>VLOOKUP($S570,Mapping!$E$140:$K$2771,5,0)</f>
        <v>Labour</v>
      </c>
      <c r="Y570" s="7" t="str">
        <f>VLOOKUP($S570,Mapping!$E$140:$K$2771,7,0)</f>
        <v>ENDirect</v>
      </c>
      <c r="Z570" s="7" t="str">
        <f>IFERROR(HLOOKUP(X570,'Calc|Weightings'!$K$5:$M$5,1,0),"Excl")</f>
        <v>Labour</v>
      </c>
      <c r="AA570" s="7" t="str">
        <f>VLOOKUP(Q570,Mapping!$E$11:$I$96,5,0)</f>
        <v>Negotiated Capex</v>
      </c>
      <c r="AC570" s="111">
        <v>119</v>
      </c>
      <c r="AD570" s="111" t="s">
        <v>2133</v>
      </c>
      <c r="AE570" s="111">
        <v>591997</v>
      </c>
      <c r="AF570" s="111" t="s">
        <v>2194</v>
      </c>
      <c r="AG570" s="112">
        <v>-3.39907</v>
      </c>
      <c r="AI570" s="7" t="str">
        <f>VLOOKUP($AC570,Mapping!$E$11:$I$96,3,0)</f>
        <v>Negotiated Capex</v>
      </c>
      <c r="AJ570" s="7" t="str">
        <f>VLOOKUP($AE570,Mapping!$E$140:$K$2771,5,0)</f>
        <v>Contracts</v>
      </c>
      <c r="AK570" s="7" t="str">
        <f>VLOOKUP($AE570,Mapping!$E$140:$K$2771,7,0)</f>
        <v>ENDirect</v>
      </c>
      <c r="AL570" s="7" t="str">
        <f>IFERROR(HLOOKUP(AJ570,'Calc|Weightings'!$K$5:$M$5,1,0),"Excl")</f>
        <v>Contracts</v>
      </c>
      <c r="AM570" s="7" t="str">
        <f>VLOOKUP(AC570,Mapping!$E$11:$I$96,5,0)</f>
        <v>Negotiated Capex</v>
      </c>
      <c r="AO570" s="134">
        <v>119</v>
      </c>
      <c r="AP570" s="135" t="s">
        <v>2133</v>
      </c>
      <c r="AQ570" s="135">
        <v>613450</v>
      </c>
      <c r="AR570" s="135" t="s">
        <v>2175</v>
      </c>
      <c r="AS570" s="136">
        <v>2.15137</v>
      </c>
      <c r="AU570" s="7" t="str">
        <f>VLOOKUP($AO570,Mapping!$E$11:$I$96,3,0)</f>
        <v>Negotiated Capex</v>
      </c>
      <c r="AV570" s="7" t="str">
        <f>VLOOKUP($AQ570,Mapping!$E$140:$K$2771,5,0)</f>
        <v>Labour</v>
      </c>
      <c r="AW570" s="7" t="str">
        <f>VLOOKUP($AQ570,Mapping!$E$140:$K$2771,7,0)</f>
        <v>ENDirect</v>
      </c>
      <c r="AX570" s="7" t="str">
        <f>IFERROR(HLOOKUP(AV570,'Calc|Weightings'!$K$5:$M$5,1,0),"Excl")</f>
        <v>Labour</v>
      </c>
      <c r="AY570" s="7" t="str">
        <f>VLOOKUP(AO570,Mapping!$E$11:$I$96,5,0)</f>
        <v>Negotiated Capex</v>
      </c>
    </row>
    <row r="571" spans="1:51" x14ac:dyDescent="0.2">
      <c r="A571" s="7"/>
      <c r="B571" s="7"/>
      <c r="C571" s="7"/>
      <c r="D571" s="7"/>
      <c r="E571" s="36">
        <v>116</v>
      </c>
      <c r="F571" s="36" t="s">
        <v>2130</v>
      </c>
      <c r="G571" s="36">
        <v>613576</v>
      </c>
      <c r="H571" s="36" t="s">
        <v>1490</v>
      </c>
      <c r="I571" s="37">
        <v>0.9304</v>
      </c>
      <c r="J571" s="7"/>
      <c r="K571" s="7" t="str">
        <f>VLOOKUP($E571,Mapping!$E$11:$I$96,3,0)</f>
        <v>Connections</v>
      </c>
      <c r="L571" s="7" t="str">
        <f>VLOOKUP($G571,Mapping!$E$140:$K$2771,5,0)</f>
        <v>Labour</v>
      </c>
      <c r="M571" s="7" t="str">
        <f>VLOOKUP($G571,Mapping!$E$140:$K$2771,7,0)</f>
        <v>ENDirect</v>
      </c>
      <c r="N571" s="7" t="str">
        <f>IFERROR(HLOOKUP(L571,'Calc|Weightings'!$K$5:$M$5,1,0),"Excl")</f>
        <v>Labour</v>
      </c>
      <c r="O571" s="7" t="str">
        <f>VLOOKUP(E571,Mapping!$E$11:$I$96,5,0)</f>
        <v>SCS</v>
      </c>
      <c r="Q571" s="33">
        <v>119</v>
      </c>
      <c r="R571" s="33" t="s">
        <v>2133</v>
      </c>
      <c r="S571" s="33">
        <v>531201</v>
      </c>
      <c r="T571" s="33" t="s">
        <v>251</v>
      </c>
      <c r="U571" s="34">
        <v>1.5</v>
      </c>
      <c r="V571" s="7"/>
      <c r="W571" s="7" t="str">
        <f>VLOOKUP($Q571,Mapping!$E$11:$I$96,3,0)</f>
        <v>Negotiated Capex</v>
      </c>
      <c r="X571" s="7" t="str">
        <f>VLOOKUP($S571,Mapping!$E$140:$K$2771,5,0)</f>
        <v>Contracts</v>
      </c>
      <c r="Y571" s="7" t="str">
        <f>VLOOKUP($S571,Mapping!$E$140:$K$2771,7,0)</f>
        <v>ENDirect</v>
      </c>
      <c r="Z571" s="7" t="str">
        <f>IFERROR(HLOOKUP(X571,'Calc|Weightings'!$K$5:$M$5,1,0),"Excl")</f>
        <v>Contracts</v>
      </c>
      <c r="AA571" s="7" t="str">
        <f>VLOOKUP(Q571,Mapping!$E$11:$I$96,5,0)</f>
        <v>Negotiated Capex</v>
      </c>
      <c r="AC571" s="111">
        <v>119</v>
      </c>
      <c r="AD571" s="111" t="s">
        <v>2133</v>
      </c>
      <c r="AE571" s="111">
        <v>591998</v>
      </c>
      <c r="AF571" s="111" t="s">
        <v>2077</v>
      </c>
      <c r="AG571" s="112">
        <v>-11.18286</v>
      </c>
      <c r="AI571" s="7" t="str">
        <f>VLOOKUP($AC571,Mapping!$E$11:$I$96,3,0)</f>
        <v>Negotiated Capex</v>
      </c>
      <c r="AJ571" s="7" t="str">
        <f>VLOOKUP($AE571,Mapping!$E$140:$K$2771,5,0)</f>
        <v>Contracts</v>
      </c>
      <c r="AK571" s="7" t="str">
        <f>VLOOKUP($AE571,Mapping!$E$140:$K$2771,7,0)</f>
        <v>ENDirect</v>
      </c>
      <c r="AL571" s="7" t="str">
        <f>IFERROR(HLOOKUP(AJ571,'Calc|Weightings'!$K$5:$M$5,1,0),"Excl")</f>
        <v>Contracts</v>
      </c>
      <c r="AM571" s="7" t="str">
        <f>VLOOKUP(AC571,Mapping!$E$11:$I$96,5,0)</f>
        <v>Negotiated Capex</v>
      </c>
      <c r="AO571" s="134">
        <v>119</v>
      </c>
      <c r="AP571" s="135" t="s">
        <v>2133</v>
      </c>
      <c r="AQ571" s="135">
        <v>613566</v>
      </c>
      <c r="AR571" s="135" t="s">
        <v>1482</v>
      </c>
      <c r="AS571" s="136">
        <v>0.87585000000000002</v>
      </c>
      <c r="AU571" s="7" t="str">
        <f>VLOOKUP($AO571,Mapping!$E$11:$I$96,3,0)</f>
        <v>Negotiated Capex</v>
      </c>
      <c r="AV571" s="7" t="str">
        <f>VLOOKUP($AQ571,Mapping!$E$140:$K$2771,5,0)</f>
        <v>Labour</v>
      </c>
      <c r="AW571" s="7" t="str">
        <f>VLOOKUP($AQ571,Mapping!$E$140:$K$2771,7,0)</f>
        <v>ENDirect</v>
      </c>
      <c r="AX571" s="7" t="str">
        <f>IFERROR(HLOOKUP(AV571,'Calc|Weightings'!$K$5:$M$5,1,0),"Excl")</f>
        <v>Labour</v>
      </c>
      <c r="AY571" s="7" t="str">
        <f>VLOOKUP(AO571,Mapping!$E$11:$I$96,5,0)</f>
        <v>Negotiated Capex</v>
      </c>
    </row>
    <row r="572" spans="1:51" x14ac:dyDescent="0.2">
      <c r="A572" s="7"/>
      <c r="B572" s="7"/>
      <c r="C572" s="7"/>
      <c r="D572" s="7"/>
      <c r="E572" s="36">
        <v>116</v>
      </c>
      <c r="F572" s="36" t="s">
        <v>2130</v>
      </c>
      <c r="G572" s="36">
        <v>613577</v>
      </c>
      <c r="H572" s="36" t="s">
        <v>1491</v>
      </c>
      <c r="I572" s="37">
        <v>0.2326</v>
      </c>
      <c r="J572" s="7"/>
      <c r="K572" s="7" t="str">
        <f>VLOOKUP($E572,Mapping!$E$11:$I$96,3,0)</f>
        <v>Connections</v>
      </c>
      <c r="L572" s="7" t="str">
        <f>VLOOKUP($G572,Mapping!$E$140:$K$2771,5,0)</f>
        <v>Labour</v>
      </c>
      <c r="M572" s="7" t="str">
        <f>VLOOKUP($G572,Mapping!$E$140:$K$2771,7,0)</f>
        <v>ENDirect</v>
      </c>
      <c r="N572" s="7" t="str">
        <f>IFERROR(HLOOKUP(L572,'Calc|Weightings'!$K$5:$M$5,1,0),"Excl")</f>
        <v>Labour</v>
      </c>
      <c r="O572" s="7" t="str">
        <f>VLOOKUP(E572,Mapping!$E$11:$I$96,5,0)</f>
        <v>SCS</v>
      </c>
      <c r="Q572" s="33">
        <v>119</v>
      </c>
      <c r="R572" s="33" t="s">
        <v>2133</v>
      </c>
      <c r="S572" s="33">
        <v>531464</v>
      </c>
      <c r="T572" s="33" t="s">
        <v>256</v>
      </c>
      <c r="U572" s="34">
        <v>-6.7063199999999998</v>
      </c>
      <c r="V572" s="7"/>
      <c r="W572" s="7" t="str">
        <f>VLOOKUP($Q572,Mapping!$E$11:$I$96,3,0)</f>
        <v>Negotiated Capex</v>
      </c>
      <c r="X572" s="7" t="str">
        <f>VLOOKUP($S572,Mapping!$E$140:$K$2771,5,0)</f>
        <v>Contracts</v>
      </c>
      <c r="Y572" s="7" t="str">
        <f>VLOOKUP($S572,Mapping!$E$140:$K$2771,7,0)</f>
        <v>ENDirect</v>
      </c>
      <c r="Z572" s="7" t="str">
        <f>IFERROR(HLOOKUP(X572,'Calc|Weightings'!$K$5:$M$5,1,0),"Excl")</f>
        <v>Contracts</v>
      </c>
      <c r="AA572" s="7" t="str">
        <f>VLOOKUP(Q572,Mapping!$E$11:$I$96,5,0)</f>
        <v>Negotiated Capex</v>
      </c>
      <c r="AC572" s="111">
        <v>119</v>
      </c>
      <c r="AD572" s="111" t="s">
        <v>2133</v>
      </c>
      <c r="AE572" s="111">
        <v>591999</v>
      </c>
      <c r="AF572" s="111" t="s">
        <v>2195</v>
      </c>
      <c r="AG572" s="112">
        <v>-12.278790000000001</v>
      </c>
      <c r="AI572" s="7" t="str">
        <f>VLOOKUP($AC572,Mapping!$E$11:$I$96,3,0)</f>
        <v>Negotiated Capex</v>
      </c>
      <c r="AJ572" s="7" t="str">
        <f>VLOOKUP($AE572,Mapping!$E$140:$K$2771,5,0)</f>
        <v>Contracts</v>
      </c>
      <c r="AK572" s="7" t="str">
        <f>VLOOKUP($AE572,Mapping!$E$140:$K$2771,7,0)</f>
        <v>ENDirect</v>
      </c>
      <c r="AL572" s="7" t="str">
        <f>IFERROR(HLOOKUP(AJ572,'Calc|Weightings'!$K$5:$M$5,1,0),"Excl")</f>
        <v>Contracts</v>
      </c>
      <c r="AM572" s="7" t="str">
        <f>VLOOKUP(AC572,Mapping!$E$11:$I$96,5,0)</f>
        <v>Negotiated Capex</v>
      </c>
      <c r="AO572" s="134">
        <v>119</v>
      </c>
      <c r="AP572" s="135" t="s">
        <v>2133</v>
      </c>
      <c r="AQ572" s="135">
        <v>613574</v>
      </c>
      <c r="AR572" s="135" t="s">
        <v>1488</v>
      </c>
      <c r="AS572" s="136">
        <v>1.6908099999999999</v>
      </c>
      <c r="AU572" s="7" t="str">
        <f>VLOOKUP($AO572,Mapping!$E$11:$I$96,3,0)</f>
        <v>Negotiated Capex</v>
      </c>
      <c r="AV572" s="7" t="str">
        <f>VLOOKUP($AQ572,Mapping!$E$140:$K$2771,5,0)</f>
        <v>Labour</v>
      </c>
      <c r="AW572" s="7" t="str">
        <f>VLOOKUP($AQ572,Mapping!$E$140:$K$2771,7,0)</f>
        <v>ENDirect</v>
      </c>
      <c r="AX572" s="7" t="str">
        <f>IFERROR(HLOOKUP(AV572,'Calc|Weightings'!$K$5:$M$5,1,0),"Excl")</f>
        <v>Labour</v>
      </c>
      <c r="AY572" s="7" t="str">
        <f>VLOOKUP(AO572,Mapping!$E$11:$I$96,5,0)</f>
        <v>Negotiated Capex</v>
      </c>
    </row>
    <row r="573" spans="1:51" x14ac:dyDescent="0.2">
      <c r="A573" s="7"/>
      <c r="B573" s="7"/>
      <c r="C573" s="7"/>
      <c r="D573" s="7"/>
      <c r="E573" s="36">
        <v>116</v>
      </c>
      <c r="F573" s="36" t="s">
        <v>2130</v>
      </c>
      <c r="G573" s="36">
        <v>613630</v>
      </c>
      <c r="H573" s="36" t="s">
        <v>1498</v>
      </c>
      <c r="I573" s="37">
        <v>60.313220000000001</v>
      </c>
      <c r="J573" s="7"/>
      <c r="K573" s="7" t="str">
        <f>VLOOKUP($E573,Mapping!$E$11:$I$96,3,0)</f>
        <v>Connections</v>
      </c>
      <c r="L573" s="7" t="str">
        <f>VLOOKUP($G573,Mapping!$E$140:$K$2771,5,0)</f>
        <v>Labour</v>
      </c>
      <c r="M573" s="7" t="str">
        <f>VLOOKUP($G573,Mapping!$E$140:$K$2771,7,0)</f>
        <v>ENDirect</v>
      </c>
      <c r="N573" s="7" t="str">
        <f>IFERROR(HLOOKUP(L573,'Calc|Weightings'!$K$5:$M$5,1,0),"Excl")</f>
        <v>Labour</v>
      </c>
      <c r="O573" s="7" t="str">
        <f>VLOOKUP(E573,Mapping!$E$11:$I$96,5,0)</f>
        <v>SCS</v>
      </c>
      <c r="Q573" s="33">
        <v>119</v>
      </c>
      <c r="R573" s="33" t="s">
        <v>2133</v>
      </c>
      <c r="S573" s="33">
        <v>531465</v>
      </c>
      <c r="T573" s="33" t="s">
        <v>257</v>
      </c>
      <c r="U573" s="34">
        <v>6.2416299999999998</v>
      </c>
      <c r="V573" s="7"/>
      <c r="W573" s="7" t="str">
        <f>VLOOKUP($Q573,Mapping!$E$11:$I$96,3,0)</f>
        <v>Negotiated Capex</v>
      </c>
      <c r="X573" s="7" t="str">
        <f>VLOOKUP($S573,Mapping!$E$140:$K$2771,5,0)</f>
        <v>Contracts</v>
      </c>
      <c r="Y573" s="7" t="str">
        <f>VLOOKUP($S573,Mapping!$E$140:$K$2771,7,0)</f>
        <v>ENDirect</v>
      </c>
      <c r="Z573" s="7" t="str">
        <f>IFERROR(HLOOKUP(X573,'Calc|Weightings'!$K$5:$M$5,1,0),"Excl")</f>
        <v>Contracts</v>
      </c>
      <c r="AA573" s="7" t="str">
        <f>VLOOKUP(Q573,Mapping!$E$11:$I$96,5,0)</f>
        <v>Negotiated Capex</v>
      </c>
      <c r="AC573" s="111">
        <v>119</v>
      </c>
      <c r="AD573" s="111" t="s">
        <v>2133</v>
      </c>
      <c r="AE573" s="111">
        <v>611900</v>
      </c>
      <c r="AF573" s="111" t="s">
        <v>2079</v>
      </c>
      <c r="AG573" s="112">
        <v>0.64839999999999998</v>
      </c>
      <c r="AI573" s="7" t="str">
        <f>VLOOKUP($AC573,Mapping!$E$11:$I$96,3,0)</f>
        <v>Negotiated Capex</v>
      </c>
      <c r="AJ573" s="7" t="str">
        <f>VLOOKUP($AE573,Mapping!$E$140:$K$2771,5,0)</f>
        <v>Contracts</v>
      </c>
      <c r="AK573" s="7" t="str">
        <f>VLOOKUP($AE573,Mapping!$E$140:$K$2771,7,0)</f>
        <v>ENDirect</v>
      </c>
      <c r="AL573" s="7" t="str">
        <f>IFERROR(HLOOKUP(AJ573,'Calc|Weightings'!$K$5:$M$5,1,0),"Excl")</f>
        <v>Contracts</v>
      </c>
      <c r="AM573" s="7" t="str">
        <f>VLOOKUP(AC573,Mapping!$E$11:$I$96,5,0)</f>
        <v>Negotiated Capex</v>
      </c>
      <c r="AO573" s="134">
        <v>119</v>
      </c>
      <c r="AP573" s="135" t="s">
        <v>2133</v>
      </c>
      <c r="AQ573" s="135">
        <v>613575</v>
      </c>
      <c r="AR573" s="135" t="s">
        <v>1489</v>
      </c>
      <c r="AS573" s="136">
        <v>0.36598000000000003</v>
      </c>
      <c r="AU573" s="7" t="str">
        <f>VLOOKUP($AO573,Mapping!$E$11:$I$96,3,0)</f>
        <v>Negotiated Capex</v>
      </c>
      <c r="AV573" s="7" t="str">
        <f>VLOOKUP($AQ573,Mapping!$E$140:$K$2771,5,0)</f>
        <v>Labour</v>
      </c>
      <c r="AW573" s="7" t="str">
        <f>VLOOKUP($AQ573,Mapping!$E$140:$K$2771,7,0)</f>
        <v>ENDirect</v>
      </c>
      <c r="AX573" s="7" t="str">
        <f>IFERROR(HLOOKUP(AV573,'Calc|Weightings'!$K$5:$M$5,1,0),"Excl")</f>
        <v>Labour</v>
      </c>
      <c r="AY573" s="7" t="str">
        <f>VLOOKUP(AO573,Mapping!$E$11:$I$96,5,0)</f>
        <v>Negotiated Capex</v>
      </c>
    </row>
    <row r="574" spans="1:51" x14ac:dyDescent="0.2">
      <c r="A574" s="7"/>
      <c r="B574" s="7"/>
      <c r="C574" s="7"/>
      <c r="D574" s="7"/>
      <c r="E574" s="36">
        <v>116</v>
      </c>
      <c r="F574" s="36" t="s">
        <v>2130</v>
      </c>
      <c r="G574" s="36">
        <v>613680</v>
      </c>
      <c r="H574" s="36" t="s">
        <v>2107</v>
      </c>
      <c r="I574" s="37">
        <v>288.65204</v>
      </c>
      <c r="J574" s="7"/>
      <c r="K574" s="7" t="str">
        <f>VLOOKUP($E574,Mapping!$E$11:$I$96,3,0)</f>
        <v>Connections</v>
      </c>
      <c r="L574" s="7" t="str">
        <f>VLOOKUP($G574,Mapping!$E$140:$K$2771,5,0)</f>
        <v>Labour</v>
      </c>
      <c r="M574" s="7" t="str">
        <f>VLOOKUP($G574,Mapping!$E$140:$K$2771,7,0)</f>
        <v>ENDirect</v>
      </c>
      <c r="N574" s="7" t="str">
        <f>IFERROR(HLOOKUP(L574,'Calc|Weightings'!$K$5:$M$5,1,0),"Excl")</f>
        <v>Labour</v>
      </c>
      <c r="O574" s="7" t="str">
        <f>VLOOKUP(E574,Mapping!$E$11:$I$96,5,0)</f>
        <v>SCS</v>
      </c>
      <c r="Q574" s="33">
        <v>119</v>
      </c>
      <c r="R574" s="33" t="s">
        <v>2133</v>
      </c>
      <c r="S574" s="33">
        <v>531466</v>
      </c>
      <c r="T574" s="33" t="s">
        <v>258</v>
      </c>
      <c r="U574" s="34">
        <v>1.9248000000000001</v>
      </c>
      <c r="V574" s="7"/>
      <c r="W574" s="7" t="str">
        <f>VLOOKUP($Q574,Mapping!$E$11:$I$96,3,0)</f>
        <v>Negotiated Capex</v>
      </c>
      <c r="X574" s="7" t="str">
        <f>VLOOKUP($S574,Mapping!$E$140:$K$2771,5,0)</f>
        <v>Contracts</v>
      </c>
      <c r="Y574" s="7" t="str">
        <f>VLOOKUP($S574,Mapping!$E$140:$K$2771,7,0)</f>
        <v>ENDirect</v>
      </c>
      <c r="Z574" s="7" t="str">
        <f>IFERROR(HLOOKUP(X574,'Calc|Weightings'!$K$5:$M$5,1,0),"Excl")</f>
        <v>Contracts</v>
      </c>
      <c r="AA574" s="7" t="str">
        <f>VLOOKUP(Q574,Mapping!$E$11:$I$96,5,0)</f>
        <v>Negotiated Capex</v>
      </c>
      <c r="AC574" s="111">
        <v>119</v>
      </c>
      <c r="AD574" s="111" t="s">
        <v>2133</v>
      </c>
      <c r="AE574" s="111">
        <v>611901</v>
      </c>
      <c r="AF574" s="111" t="s">
        <v>2080</v>
      </c>
      <c r="AG574" s="112">
        <v>0.15367</v>
      </c>
      <c r="AI574" s="7" t="str">
        <f>VLOOKUP($AC574,Mapping!$E$11:$I$96,3,0)</f>
        <v>Negotiated Capex</v>
      </c>
      <c r="AJ574" s="7" t="str">
        <f>VLOOKUP($AE574,Mapping!$E$140:$K$2771,5,0)</f>
        <v>Contracts</v>
      </c>
      <c r="AK574" s="7" t="str">
        <f>VLOOKUP($AE574,Mapping!$E$140:$K$2771,7,0)</f>
        <v>ENDirect</v>
      </c>
      <c r="AL574" s="7" t="str">
        <f>IFERROR(HLOOKUP(AJ574,'Calc|Weightings'!$K$5:$M$5,1,0),"Excl")</f>
        <v>Contracts</v>
      </c>
      <c r="AM574" s="7" t="str">
        <f>VLOOKUP(AC574,Mapping!$E$11:$I$96,5,0)</f>
        <v>Negotiated Capex</v>
      </c>
      <c r="AO574" s="134">
        <v>119</v>
      </c>
      <c r="AP574" s="135" t="s">
        <v>2133</v>
      </c>
      <c r="AQ574" s="135">
        <v>613630</v>
      </c>
      <c r="AR574" s="135" t="s">
        <v>1498</v>
      </c>
      <c r="AS574" s="136">
        <v>0.57389999999999997</v>
      </c>
      <c r="AU574" s="7" t="str">
        <f>VLOOKUP($AO574,Mapping!$E$11:$I$96,3,0)</f>
        <v>Negotiated Capex</v>
      </c>
      <c r="AV574" s="7" t="str">
        <f>VLOOKUP($AQ574,Mapping!$E$140:$K$2771,5,0)</f>
        <v>Labour</v>
      </c>
      <c r="AW574" s="7" t="str">
        <f>VLOOKUP($AQ574,Mapping!$E$140:$K$2771,7,0)</f>
        <v>ENDirect</v>
      </c>
      <c r="AX574" s="7" t="str">
        <f>IFERROR(HLOOKUP(AV574,'Calc|Weightings'!$K$5:$M$5,1,0),"Excl")</f>
        <v>Labour</v>
      </c>
      <c r="AY574" s="7" t="str">
        <f>VLOOKUP(AO574,Mapping!$E$11:$I$96,5,0)</f>
        <v>Negotiated Capex</v>
      </c>
    </row>
    <row r="575" spans="1:51" x14ac:dyDescent="0.2">
      <c r="A575" s="7"/>
      <c r="B575" s="7"/>
      <c r="C575" s="7"/>
      <c r="D575" s="7"/>
      <c r="E575" s="36">
        <v>116</v>
      </c>
      <c r="F575" s="36" t="s">
        <v>2130</v>
      </c>
      <c r="G575" s="36">
        <v>613681</v>
      </c>
      <c r="H575" s="36" t="s">
        <v>2108</v>
      </c>
      <c r="I575" s="37">
        <v>1.94055</v>
      </c>
      <c r="J575" s="7"/>
      <c r="K575" s="7" t="str">
        <f>VLOOKUP($E575,Mapping!$E$11:$I$96,3,0)</f>
        <v>Connections</v>
      </c>
      <c r="L575" s="7" t="str">
        <f>VLOOKUP($G575,Mapping!$E$140:$K$2771,5,0)</f>
        <v>Labour</v>
      </c>
      <c r="M575" s="7" t="str">
        <f>VLOOKUP($G575,Mapping!$E$140:$K$2771,7,0)</f>
        <v>ENDirect</v>
      </c>
      <c r="N575" s="7" t="str">
        <f>IFERROR(HLOOKUP(L575,'Calc|Weightings'!$K$5:$M$5,1,0),"Excl")</f>
        <v>Labour</v>
      </c>
      <c r="O575" s="7" t="str">
        <f>VLOOKUP(E575,Mapping!$E$11:$I$96,5,0)</f>
        <v>SCS</v>
      </c>
      <c r="Q575" s="33">
        <v>119</v>
      </c>
      <c r="R575" s="33" t="s">
        <v>2133</v>
      </c>
      <c r="S575" s="33">
        <v>531467</v>
      </c>
      <c r="T575" s="33" t="s">
        <v>259</v>
      </c>
      <c r="U575" s="34">
        <v>1.06535</v>
      </c>
      <c r="V575" s="7"/>
      <c r="W575" s="7" t="str">
        <f>VLOOKUP($Q575,Mapping!$E$11:$I$96,3,0)</f>
        <v>Negotiated Capex</v>
      </c>
      <c r="X575" s="7" t="str">
        <f>VLOOKUP($S575,Mapping!$E$140:$K$2771,5,0)</f>
        <v>Contracts</v>
      </c>
      <c r="Y575" s="7" t="str">
        <f>VLOOKUP($S575,Mapping!$E$140:$K$2771,7,0)</f>
        <v>ENDirect</v>
      </c>
      <c r="Z575" s="7" t="str">
        <f>IFERROR(HLOOKUP(X575,'Calc|Weightings'!$K$5:$M$5,1,0),"Excl")</f>
        <v>Contracts</v>
      </c>
      <c r="AA575" s="7" t="str">
        <f>VLOOKUP(Q575,Mapping!$E$11:$I$96,5,0)</f>
        <v>Negotiated Capex</v>
      </c>
      <c r="AC575" s="111">
        <v>119</v>
      </c>
      <c r="AD575" s="111" t="s">
        <v>2133</v>
      </c>
      <c r="AE575" s="111">
        <v>611902</v>
      </c>
      <c r="AF575" s="111" t="s">
        <v>2081</v>
      </c>
      <c r="AG575" s="112">
        <v>19.999980000000001</v>
      </c>
      <c r="AI575" s="7" t="str">
        <f>VLOOKUP($AC575,Mapping!$E$11:$I$96,3,0)</f>
        <v>Negotiated Capex</v>
      </c>
      <c r="AJ575" s="7" t="str">
        <f>VLOOKUP($AE575,Mapping!$E$140:$K$2771,5,0)</f>
        <v>Contracts</v>
      </c>
      <c r="AK575" s="7" t="str">
        <f>VLOOKUP($AE575,Mapping!$E$140:$K$2771,7,0)</f>
        <v>ENDirect</v>
      </c>
      <c r="AL575" s="7" t="str">
        <f>IFERROR(HLOOKUP(AJ575,'Calc|Weightings'!$K$5:$M$5,1,0),"Excl")</f>
        <v>Contracts</v>
      </c>
      <c r="AM575" s="7" t="str">
        <f>VLOOKUP(AC575,Mapping!$E$11:$I$96,5,0)</f>
        <v>Negotiated Capex</v>
      </c>
      <c r="AO575" s="134">
        <v>119</v>
      </c>
      <c r="AP575" s="135" t="s">
        <v>2133</v>
      </c>
      <c r="AQ575" s="135">
        <v>613680</v>
      </c>
      <c r="AR575" s="135" t="s">
        <v>2107</v>
      </c>
      <c r="AS575" s="136">
        <v>1.51448</v>
      </c>
      <c r="AU575" s="7" t="str">
        <f>VLOOKUP($AO575,Mapping!$E$11:$I$96,3,0)</f>
        <v>Negotiated Capex</v>
      </c>
      <c r="AV575" s="7" t="str">
        <f>VLOOKUP($AQ575,Mapping!$E$140:$K$2771,5,0)</f>
        <v>Labour</v>
      </c>
      <c r="AW575" s="7" t="str">
        <f>VLOOKUP($AQ575,Mapping!$E$140:$K$2771,7,0)</f>
        <v>ENDirect</v>
      </c>
      <c r="AX575" s="7" t="str">
        <f>IFERROR(HLOOKUP(AV575,'Calc|Weightings'!$K$5:$M$5,1,0),"Excl")</f>
        <v>Labour</v>
      </c>
      <c r="AY575" s="7" t="str">
        <f>VLOOKUP(AO575,Mapping!$E$11:$I$96,5,0)</f>
        <v>Negotiated Capex</v>
      </c>
    </row>
    <row r="576" spans="1:51" x14ac:dyDescent="0.2">
      <c r="A576" s="7"/>
      <c r="B576" s="7"/>
      <c r="C576" s="7"/>
      <c r="D576" s="7"/>
      <c r="E576" s="36">
        <v>116</v>
      </c>
      <c r="F576" s="36" t="s">
        <v>2130</v>
      </c>
      <c r="G576" s="36">
        <v>615375</v>
      </c>
      <c r="H576" s="36" t="s">
        <v>1717</v>
      </c>
      <c r="I576" s="37">
        <v>0.27</v>
      </c>
      <c r="J576" s="7"/>
      <c r="K576" s="7" t="str">
        <f>VLOOKUP($E576,Mapping!$E$11:$I$96,3,0)</f>
        <v>Connections</v>
      </c>
      <c r="L576" s="7" t="str">
        <f>VLOOKUP($G576,Mapping!$E$140:$K$2771,5,0)</f>
        <v>Labour</v>
      </c>
      <c r="M576" s="7" t="str">
        <f>VLOOKUP($G576,Mapping!$E$140:$K$2771,7,0)</f>
        <v>ENDirect</v>
      </c>
      <c r="N576" s="7" t="str">
        <f>IFERROR(HLOOKUP(L576,'Calc|Weightings'!$K$5:$M$5,1,0),"Excl")</f>
        <v>Labour</v>
      </c>
      <c r="O576" s="7" t="str">
        <f>VLOOKUP(E576,Mapping!$E$11:$I$96,5,0)</f>
        <v>SCS</v>
      </c>
      <c r="Q576" s="33">
        <v>119</v>
      </c>
      <c r="R576" s="33" t="s">
        <v>2133</v>
      </c>
      <c r="S576" s="33">
        <v>531468</v>
      </c>
      <c r="T576" s="33" t="s">
        <v>260</v>
      </c>
      <c r="U576" s="34">
        <v>-2.16662</v>
      </c>
      <c r="V576" s="7"/>
      <c r="W576" s="7" t="str">
        <f>VLOOKUP($Q576,Mapping!$E$11:$I$96,3,0)</f>
        <v>Negotiated Capex</v>
      </c>
      <c r="X576" s="7" t="str">
        <f>VLOOKUP($S576,Mapping!$E$140:$K$2771,5,0)</f>
        <v>Contracts</v>
      </c>
      <c r="Y576" s="7" t="str">
        <f>VLOOKUP($S576,Mapping!$E$140:$K$2771,7,0)</f>
        <v>ENDirect</v>
      </c>
      <c r="Z576" s="7" t="str">
        <f>IFERROR(HLOOKUP(X576,'Calc|Weightings'!$K$5:$M$5,1,0),"Excl")</f>
        <v>Contracts</v>
      </c>
      <c r="AA576" s="7" t="str">
        <f>VLOOKUP(Q576,Mapping!$E$11:$I$96,5,0)</f>
        <v>Negotiated Capex</v>
      </c>
      <c r="AC576" s="111">
        <v>119</v>
      </c>
      <c r="AD576" s="111" t="s">
        <v>2133</v>
      </c>
      <c r="AE576" s="111">
        <v>612211</v>
      </c>
      <c r="AF576" s="111" t="s">
        <v>1185</v>
      </c>
      <c r="AG576" s="112">
        <v>8.5559999999999997E-2</v>
      </c>
      <c r="AI576" s="7" t="str">
        <f>VLOOKUP($AC576,Mapping!$E$11:$I$96,3,0)</f>
        <v>Negotiated Capex</v>
      </c>
      <c r="AJ576" s="7" t="str">
        <f>VLOOKUP($AE576,Mapping!$E$140:$K$2771,5,0)</f>
        <v>Labour</v>
      </c>
      <c r="AK576" s="7" t="str">
        <f>VLOOKUP($AE576,Mapping!$E$140:$K$2771,7,0)</f>
        <v>ENDirect</v>
      </c>
      <c r="AL576" s="7" t="str">
        <f>IFERROR(HLOOKUP(AJ576,'Calc|Weightings'!$K$5:$M$5,1,0),"Excl")</f>
        <v>Labour</v>
      </c>
      <c r="AM576" s="7" t="str">
        <f>VLOOKUP(AC576,Mapping!$E$11:$I$96,5,0)</f>
        <v>Negotiated Capex</v>
      </c>
      <c r="AO576" s="134">
        <v>119</v>
      </c>
      <c r="AP576" s="135" t="s">
        <v>2133</v>
      </c>
      <c r="AQ576" s="135">
        <v>614115</v>
      </c>
      <c r="AR576" s="135" t="s">
        <v>2109</v>
      </c>
      <c r="AS576" s="136">
        <v>11.46433</v>
      </c>
      <c r="AU576" s="7" t="str">
        <f>VLOOKUP($AO576,Mapping!$E$11:$I$96,3,0)</f>
        <v>Negotiated Capex</v>
      </c>
      <c r="AV576" s="7" t="str">
        <f>VLOOKUP($AQ576,Mapping!$E$140:$K$2771,5,0)</f>
        <v>Labour</v>
      </c>
      <c r="AW576" s="7" t="str">
        <f>VLOOKUP($AQ576,Mapping!$E$140:$K$2771,7,0)</f>
        <v>ENDirect</v>
      </c>
      <c r="AX576" s="7" t="str">
        <f>IFERROR(HLOOKUP(AV576,'Calc|Weightings'!$K$5:$M$5,1,0),"Excl")</f>
        <v>Labour</v>
      </c>
      <c r="AY576" s="7" t="str">
        <f>VLOOKUP(AO576,Mapping!$E$11:$I$96,5,0)</f>
        <v>Negotiated Capex</v>
      </c>
    </row>
    <row r="577" spans="1:51" x14ac:dyDescent="0.2">
      <c r="A577" s="7"/>
      <c r="B577" s="7"/>
      <c r="C577" s="7"/>
      <c r="D577" s="7"/>
      <c r="E577" s="36">
        <v>116</v>
      </c>
      <c r="F577" s="36" t="s">
        <v>2130</v>
      </c>
      <c r="G577" s="36">
        <v>633000</v>
      </c>
      <c r="H577" s="36" t="s">
        <v>2202</v>
      </c>
      <c r="I577" s="37">
        <v>2294.5264400000001</v>
      </c>
      <c r="J577" s="7"/>
      <c r="K577" s="7" t="str">
        <f>VLOOKUP($E577,Mapping!$E$11:$I$96,3,0)</f>
        <v>Connections</v>
      </c>
      <c r="L577" s="7" t="str">
        <f>VLOOKUP($G577,Mapping!$E$140:$K$2771,5,0)</f>
        <v>Contracts</v>
      </c>
      <c r="M577" s="7" t="str">
        <f>VLOOKUP($G577,Mapping!$E$140:$K$2771,7,0)</f>
        <v>OH</v>
      </c>
      <c r="N577" s="7" t="str">
        <f>IFERROR(HLOOKUP(L577,'Calc|Weightings'!$K$5:$M$5,1,0),"Excl")</f>
        <v>Contracts</v>
      </c>
      <c r="O577" s="7" t="str">
        <f>VLOOKUP(E577,Mapping!$E$11:$I$96,5,0)</f>
        <v>SCS</v>
      </c>
      <c r="Q577" s="33">
        <v>119</v>
      </c>
      <c r="R577" s="33" t="s">
        <v>2133</v>
      </c>
      <c r="S577" s="33">
        <v>531469</v>
      </c>
      <c r="T577" s="33" t="s">
        <v>261</v>
      </c>
      <c r="U577" s="34">
        <v>7.0952400000000004</v>
      </c>
      <c r="V577" s="7"/>
      <c r="W577" s="7" t="str">
        <f>VLOOKUP($Q577,Mapping!$E$11:$I$96,3,0)</f>
        <v>Negotiated Capex</v>
      </c>
      <c r="X577" s="7" t="str">
        <f>VLOOKUP($S577,Mapping!$E$140:$K$2771,5,0)</f>
        <v>Labour</v>
      </c>
      <c r="Y577" s="7" t="str">
        <f>VLOOKUP($S577,Mapping!$E$140:$K$2771,7,0)</f>
        <v>ENDirect</v>
      </c>
      <c r="Z577" s="7" t="str">
        <f>IFERROR(HLOOKUP(X577,'Calc|Weightings'!$K$5:$M$5,1,0),"Excl")</f>
        <v>Labour</v>
      </c>
      <c r="AA577" s="7" t="str">
        <f>VLOOKUP(Q577,Mapping!$E$11:$I$96,5,0)</f>
        <v>Negotiated Capex</v>
      </c>
      <c r="AC577" s="111">
        <v>119</v>
      </c>
      <c r="AD577" s="111" t="s">
        <v>2133</v>
      </c>
      <c r="AE577" s="111">
        <v>613240</v>
      </c>
      <c r="AF577" s="111" t="s">
        <v>2082</v>
      </c>
      <c r="AG577" s="112">
        <v>5.7311500000000004</v>
      </c>
      <c r="AI577" s="7" t="str">
        <f>VLOOKUP($AC577,Mapping!$E$11:$I$96,3,0)</f>
        <v>Negotiated Capex</v>
      </c>
      <c r="AJ577" s="7" t="str">
        <f>VLOOKUP($AE577,Mapping!$E$140:$K$2771,5,0)</f>
        <v>Labour</v>
      </c>
      <c r="AK577" s="7" t="str">
        <f>VLOOKUP($AE577,Mapping!$E$140:$K$2771,7,0)</f>
        <v>ENDirect</v>
      </c>
      <c r="AL577" s="7" t="str">
        <f>IFERROR(HLOOKUP(AJ577,'Calc|Weightings'!$K$5:$M$5,1,0),"Excl")</f>
        <v>Labour</v>
      </c>
      <c r="AM577" s="7" t="str">
        <f>VLOOKUP(AC577,Mapping!$E$11:$I$96,5,0)</f>
        <v>Negotiated Capex</v>
      </c>
      <c r="AO577" s="134">
        <v>119</v>
      </c>
      <c r="AP577" s="135" t="s">
        <v>2133</v>
      </c>
      <c r="AQ577" s="135">
        <v>634001</v>
      </c>
      <c r="AR577" s="135" t="s">
        <v>2110</v>
      </c>
      <c r="AS577" s="136">
        <v>249.08903000000001</v>
      </c>
      <c r="AU577" s="7" t="str">
        <f>VLOOKUP($AO577,Mapping!$E$11:$I$96,3,0)</f>
        <v>Negotiated Capex</v>
      </c>
      <c r="AV577" s="7" t="str">
        <f>VLOOKUP($AQ577,Mapping!$E$140:$K$2771,5,0)</f>
        <v>Local OH</v>
      </c>
      <c r="AW577" s="7" t="str">
        <f>VLOOKUP($AQ577,Mapping!$E$140:$K$2771,7,0)</f>
        <v>OH</v>
      </c>
      <c r="AX577" s="7" t="str">
        <f>IFERROR(HLOOKUP(AV577,'Calc|Weightings'!$K$5:$M$5,1,0),"Excl")</f>
        <v>Excl</v>
      </c>
      <c r="AY577" s="7" t="str">
        <f>VLOOKUP(AO577,Mapping!$E$11:$I$96,5,0)</f>
        <v>Negotiated Capex</v>
      </c>
    </row>
    <row r="578" spans="1:51" x14ac:dyDescent="0.2">
      <c r="A578" s="7"/>
      <c r="B578" s="7"/>
      <c r="C578" s="7"/>
      <c r="D578" s="7"/>
      <c r="E578" s="36">
        <v>116</v>
      </c>
      <c r="F578" s="36" t="s">
        <v>2130</v>
      </c>
      <c r="G578" s="36">
        <v>634001</v>
      </c>
      <c r="H578" s="36" t="s">
        <v>2110</v>
      </c>
      <c r="I578" s="37">
        <v>951.81410000000005</v>
      </c>
      <c r="J578" s="7"/>
      <c r="K578" s="7" t="str">
        <f>VLOOKUP($E578,Mapping!$E$11:$I$96,3,0)</f>
        <v>Connections</v>
      </c>
      <c r="L578" s="7" t="str">
        <f>VLOOKUP($G578,Mapping!$E$140:$K$2771,5,0)</f>
        <v>Local OH</v>
      </c>
      <c r="M578" s="7" t="str">
        <f>VLOOKUP($G578,Mapping!$E$140:$K$2771,7,0)</f>
        <v>OH</v>
      </c>
      <c r="N578" s="7" t="str">
        <f>IFERROR(HLOOKUP(L578,'Calc|Weightings'!$K$5:$M$5,1,0),"Excl")</f>
        <v>Excl</v>
      </c>
      <c r="O578" s="7" t="str">
        <f>VLOOKUP(E578,Mapping!$E$11:$I$96,5,0)</f>
        <v>SCS</v>
      </c>
      <c r="Q578" s="33">
        <v>119</v>
      </c>
      <c r="R578" s="33" t="s">
        <v>2133</v>
      </c>
      <c r="S578" s="33">
        <v>591997</v>
      </c>
      <c r="T578" s="33" t="s">
        <v>399</v>
      </c>
      <c r="U578" s="34">
        <v>-1.49804</v>
      </c>
      <c r="V578" s="7"/>
      <c r="W578" s="7" t="str">
        <f>VLOOKUP($Q578,Mapping!$E$11:$I$96,3,0)</f>
        <v>Negotiated Capex</v>
      </c>
      <c r="X578" s="7" t="str">
        <f>VLOOKUP($S578,Mapping!$E$140:$K$2771,5,0)</f>
        <v>Contracts</v>
      </c>
      <c r="Y578" s="7" t="str">
        <f>VLOOKUP($S578,Mapping!$E$140:$K$2771,7,0)</f>
        <v>ENDirect</v>
      </c>
      <c r="Z578" s="7" t="str">
        <f>IFERROR(HLOOKUP(X578,'Calc|Weightings'!$K$5:$M$5,1,0),"Excl")</f>
        <v>Contracts</v>
      </c>
      <c r="AA578" s="7" t="str">
        <f>VLOOKUP(Q578,Mapping!$E$11:$I$96,5,0)</f>
        <v>Negotiated Capex</v>
      </c>
      <c r="AC578" s="111">
        <v>119</v>
      </c>
      <c r="AD578" s="111" t="s">
        <v>2133</v>
      </c>
      <c r="AE578" s="111">
        <v>613241</v>
      </c>
      <c r="AF578" s="111" t="s">
        <v>2083</v>
      </c>
      <c r="AG578" s="112">
        <v>0.36646000000000001</v>
      </c>
      <c r="AI578" s="7" t="str">
        <f>VLOOKUP($AC578,Mapping!$E$11:$I$96,3,0)</f>
        <v>Negotiated Capex</v>
      </c>
      <c r="AJ578" s="7" t="str">
        <f>VLOOKUP($AE578,Mapping!$E$140:$K$2771,5,0)</f>
        <v>Labour</v>
      </c>
      <c r="AK578" s="7" t="str">
        <f>VLOOKUP($AE578,Mapping!$E$140:$K$2771,7,0)</f>
        <v>ENDirect</v>
      </c>
      <c r="AL578" s="7" t="str">
        <f>IFERROR(HLOOKUP(AJ578,'Calc|Weightings'!$K$5:$M$5,1,0),"Excl")</f>
        <v>Labour</v>
      </c>
      <c r="AM578" s="7" t="str">
        <f>VLOOKUP(AC578,Mapping!$E$11:$I$96,5,0)</f>
        <v>Negotiated Capex</v>
      </c>
      <c r="AO578" s="134">
        <v>119</v>
      </c>
      <c r="AP578" s="135" t="s">
        <v>2133</v>
      </c>
      <c r="AQ578" s="135">
        <v>635001</v>
      </c>
      <c r="AR578" s="135" t="s">
        <v>1929</v>
      </c>
      <c r="AS578" s="136">
        <v>89.733230000000006</v>
      </c>
      <c r="AU578" s="7" t="str">
        <f>VLOOKUP($AO578,Mapping!$E$11:$I$96,3,0)</f>
        <v>Negotiated Capex</v>
      </c>
      <c r="AV578" s="7" t="str">
        <f>VLOOKUP($AQ578,Mapping!$E$140:$K$2771,5,0)</f>
        <v>PNS MG</v>
      </c>
      <c r="AW578" s="7" t="str">
        <f>VLOOKUP($AQ578,Mapping!$E$140:$K$2771,7,0)</f>
        <v>ENDirect</v>
      </c>
      <c r="AX578" s="7" t="str">
        <f>IFERROR(HLOOKUP(AV578,'Calc|Weightings'!$K$5:$M$5,1,0),"Excl")</f>
        <v>Excl</v>
      </c>
      <c r="AY578" s="7" t="str">
        <f>VLOOKUP(AO578,Mapping!$E$11:$I$96,5,0)</f>
        <v>Negotiated Capex</v>
      </c>
    </row>
    <row r="579" spans="1:51" x14ac:dyDescent="0.2">
      <c r="A579" s="7"/>
      <c r="B579" s="7"/>
      <c r="C579" s="7"/>
      <c r="D579" s="7"/>
      <c r="E579" s="36">
        <v>116</v>
      </c>
      <c r="F579" s="36" t="s">
        <v>2130</v>
      </c>
      <c r="G579" s="36">
        <v>635001</v>
      </c>
      <c r="H579" s="36" t="s">
        <v>1929</v>
      </c>
      <c r="I579" s="37">
        <v>649.46864000000005</v>
      </c>
      <c r="J579" s="7"/>
      <c r="K579" s="7" t="str">
        <f>VLOOKUP($E579,Mapping!$E$11:$I$96,3,0)</f>
        <v>Connections</v>
      </c>
      <c r="L579" s="7" t="str">
        <f>VLOOKUP($G579,Mapping!$E$140:$K$2771,5,0)</f>
        <v>PNS MG</v>
      </c>
      <c r="M579" s="7" t="str">
        <f>VLOOKUP($G579,Mapping!$E$140:$K$2771,7,0)</f>
        <v>ENDirect</v>
      </c>
      <c r="N579" s="7" t="str">
        <f>IFERROR(HLOOKUP(L579,'Calc|Weightings'!$K$5:$M$5,1,0),"Excl")</f>
        <v>Excl</v>
      </c>
      <c r="O579" s="7" t="str">
        <f>VLOOKUP(E579,Mapping!$E$11:$I$96,5,0)</f>
        <v>SCS</v>
      </c>
      <c r="Q579" s="33">
        <v>119</v>
      </c>
      <c r="R579" s="33" t="s">
        <v>2133</v>
      </c>
      <c r="S579" s="33">
        <v>591998</v>
      </c>
      <c r="T579" s="33" t="s">
        <v>2077</v>
      </c>
      <c r="U579" s="34">
        <v>-1.0956399999999999</v>
      </c>
      <c r="V579" s="7"/>
      <c r="W579" s="7" t="str">
        <f>VLOOKUP($Q579,Mapping!$E$11:$I$96,3,0)</f>
        <v>Negotiated Capex</v>
      </c>
      <c r="X579" s="7" t="str">
        <f>VLOOKUP($S579,Mapping!$E$140:$K$2771,5,0)</f>
        <v>Contracts</v>
      </c>
      <c r="Y579" s="7" t="str">
        <f>VLOOKUP($S579,Mapping!$E$140:$K$2771,7,0)</f>
        <v>ENDirect</v>
      </c>
      <c r="Z579" s="7" t="str">
        <f>IFERROR(HLOOKUP(X579,'Calc|Weightings'!$K$5:$M$5,1,0),"Excl")</f>
        <v>Contracts</v>
      </c>
      <c r="AA579" s="7" t="str">
        <f>VLOOKUP(Q579,Mapping!$E$11:$I$96,5,0)</f>
        <v>Negotiated Capex</v>
      </c>
      <c r="AC579" s="111">
        <v>119</v>
      </c>
      <c r="AD579" s="111" t="s">
        <v>2133</v>
      </c>
      <c r="AE579" s="111">
        <v>613250</v>
      </c>
      <c r="AF579" s="111" t="s">
        <v>2086</v>
      </c>
      <c r="AG579" s="112">
        <v>11.386760000000001</v>
      </c>
      <c r="AI579" s="7" t="str">
        <f>VLOOKUP($AC579,Mapping!$E$11:$I$96,3,0)</f>
        <v>Negotiated Capex</v>
      </c>
      <c r="AJ579" s="7" t="str">
        <f>VLOOKUP($AE579,Mapping!$E$140:$K$2771,5,0)</f>
        <v>Labour</v>
      </c>
      <c r="AK579" s="7" t="str">
        <f>VLOOKUP($AE579,Mapping!$E$140:$K$2771,7,0)</f>
        <v>ENDirect</v>
      </c>
      <c r="AL579" s="7" t="str">
        <f>IFERROR(HLOOKUP(AJ579,'Calc|Weightings'!$K$5:$M$5,1,0),"Excl")</f>
        <v>Labour</v>
      </c>
      <c r="AM579" s="7" t="str">
        <f>VLOOKUP(AC579,Mapping!$E$11:$I$96,5,0)</f>
        <v>Negotiated Capex</v>
      </c>
      <c r="AO579" s="134">
        <v>119</v>
      </c>
      <c r="AP579" s="135" t="s">
        <v>2133</v>
      </c>
      <c r="AQ579" s="135">
        <v>636001</v>
      </c>
      <c r="AR579" s="135" t="s">
        <v>2111</v>
      </c>
      <c r="AS579" s="136">
        <v>162.17197999999999</v>
      </c>
      <c r="AU579" s="7" t="str">
        <f>VLOOKUP($AO579,Mapping!$E$11:$I$96,3,0)</f>
        <v>Negotiated Capex</v>
      </c>
      <c r="AV579" s="7" t="str">
        <f>VLOOKUP($AQ579,Mapping!$E$140:$K$2771,5,0)</f>
        <v>System Control OH</v>
      </c>
      <c r="AW579" s="7" t="str">
        <f>VLOOKUP($AQ579,Mapping!$E$140:$K$2771,7,0)</f>
        <v>OH</v>
      </c>
      <c r="AX579" s="7" t="str">
        <f>IFERROR(HLOOKUP(AV579,'Calc|Weightings'!$K$5:$M$5,1,0),"Excl")</f>
        <v>Excl</v>
      </c>
      <c r="AY579" s="7" t="str">
        <f>VLOOKUP(AO579,Mapping!$E$11:$I$96,5,0)</f>
        <v>Negotiated Capex</v>
      </c>
    </row>
    <row r="580" spans="1:51" x14ac:dyDescent="0.2">
      <c r="A580" s="7"/>
      <c r="B580" s="7"/>
      <c r="C580" s="7"/>
      <c r="D580" s="7"/>
      <c r="E580" s="36">
        <v>116</v>
      </c>
      <c r="F580" s="36" t="s">
        <v>2130</v>
      </c>
      <c r="G580" s="36">
        <v>636001</v>
      </c>
      <c r="H580" s="36" t="s">
        <v>2111</v>
      </c>
      <c r="I580" s="37">
        <v>296.92894999999999</v>
      </c>
      <c r="J580" s="7"/>
      <c r="K580" s="7" t="str">
        <f>VLOOKUP($E580,Mapping!$E$11:$I$96,3,0)</f>
        <v>Connections</v>
      </c>
      <c r="L580" s="7" t="str">
        <f>VLOOKUP($G580,Mapping!$E$140:$K$2771,5,0)</f>
        <v>System Control OH</v>
      </c>
      <c r="M580" s="7" t="str">
        <f>VLOOKUP($G580,Mapping!$E$140:$K$2771,7,0)</f>
        <v>OH</v>
      </c>
      <c r="N580" s="7" t="str">
        <f>IFERROR(HLOOKUP(L580,'Calc|Weightings'!$K$5:$M$5,1,0),"Excl")</f>
        <v>Excl</v>
      </c>
      <c r="O580" s="7" t="str">
        <f>VLOOKUP(E580,Mapping!$E$11:$I$96,5,0)</f>
        <v>SCS</v>
      </c>
      <c r="Q580" s="33">
        <v>119</v>
      </c>
      <c r="R580" s="33" t="s">
        <v>2133</v>
      </c>
      <c r="S580" s="33">
        <v>591999</v>
      </c>
      <c r="T580" s="33" t="s">
        <v>2078</v>
      </c>
      <c r="U580" s="34">
        <v>-9.6205400000000001</v>
      </c>
      <c r="V580" s="7"/>
      <c r="W580" s="7" t="str">
        <f>VLOOKUP($Q580,Mapping!$E$11:$I$96,3,0)</f>
        <v>Negotiated Capex</v>
      </c>
      <c r="X580" s="7" t="str">
        <f>VLOOKUP($S580,Mapping!$E$140:$K$2771,5,0)</f>
        <v>Contracts</v>
      </c>
      <c r="Y580" s="7" t="str">
        <f>VLOOKUP($S580,Mapping!$E$140:$K$2771,7,0)</f>
        <v>ENDirect</v>
      </c>
      <c r="Z580" s="7" t="str">
        <f>IFERROR(HLOOKUP(X580,'Calc|Weightings'!$K$5:$M$5,1,0),"Excl")</f>
        <v>Contracts</v>
      </c>
      <c r="AA580" s="7" t="str">
        <f>VLOOKUP(Q580,Mapping!$E$11:$I$96,5,0)</f>
        <v>Negotiated Capex</v>
      </c>
      <c r="AC580" s="111">
        <v>119</v>
      </c>
      <c r="AD580" s="111" t="s">
        <v>2133</v>
      </c>
      <c r="AE580" s="111">
        <v>613280</v>
      </c>
      <c r="AF580" s="111" t="s">
        <v>1342</v>
      </c>
      <c r="AG580" s="112">
        <v>1.82765</v>
      </c>
      <c r="AI580" s="7" t="str">
        <f>VLOOKUP($AC580,Mapping!$E$11:$I$96,3,0)</f>
        <v>Negotiated Capex</v>
      </c>
      <c r="AJ580" s="7" t="str">
        <f>VLOOKUP($AE580,Mapping!$E$140:$K$2771,5,0)</f>
        <v>Labour</v>
      </c>
      <c r="AK580" s="7" t="str">
        <f>VLOOKUP($AE580,Mapping!$E$140:$K$2771,7,0)</f>
        <v>ENDirect</v>
      </c>
      <c r="AL580" s="7" t="str">
        <f>IFERROR(HLOOKUP(AJ580,'Calc|Weightings'!$K$5:$M$5,1,0),"Excl")</f>
        <v>Labour</v>
      </c>
      <c r="AM580" s="7" t="str">
        <f>VLOOKUP(AC580,Mapping!$E$11:$I$96,5,0)</f>
        <v>Negotiated Capex</v>
      </c>
      <c r="AO580" s="134">
        <v>119</v>
      </c>
      <c r="AP580" s="135" t="s">
        <v>2133</v>
      </c>
      <c r="AQ580" s="135">
        <v>636105</v>
      </c>
      <c r="AR580" s="135" t="s">
        <v>1937</v>
      </c>
      <c r="AS580" s="136">
        <v>1.0605100000000001</v>
      </c>
      <c r="AU580" s="7" t="str">
        <f>VLOOKUP($AO580,Mapping!$E$11:$I$96,3,0)</f>
        <v>Negotiated Capex</v>
      </c>
      <c r="AV580" s="7" t="str">
        <f>VLOOKUP($AQ580,Mapping!$E$140:$K$2771,5,0)</f>
        <v>CSG MG</v>
      </c>
      <c r="AW580" s="7" t="str">
        <f>VLOOKUP($AQ580,Mapping!$E$140:$K$2771,7,0)</f>
        <v>ENDirect</v>
      </c>
      <c r="AX580" s="7" t="str">
        <f>IFERROR(HLOOKUP(AV580,'Calc|Weightings'!$K$5:$M$5,1,0),"Excl")</f>
        <v>Excl</v>
      </c>
      <c r="AY580" s="7" t="str">
        <f>VLOOKUP(AO580,Mapping!$E$11:$I$96,5,0)</f>
        <v>Negotiated Capex</v>
      </c>
    </row>
    <row r="581" spans="1:51" x14ac:dyDescent="0.2">
      <c r="A581" s="7"/>
      <c r="B581" s="7"/>
      <c r="C581" s="7"/>
      <c r="D581" s="7"/>
      <c r="E581" s="36">
        <v>116</v>
      </c>
      <c r="F581" s="36" t="s">
        <v>2130</v>
      </c>
      <c r="G581" s="36">
        <v>639000</v>
      </c>
      <c r="H581" s="36" t="s">
        <v>2112</v>
      </c>
      <c r="I581" s="37">
        <v>597.40454</v>
      </c>
      <c r="J581" s="7"/>
      <c r="K581" s="7" t="str">
        <f>VLOOKUP($E581,Mapping!$E$11:$I$96,3,0)</f>
        <v>Connections</v>
      </c>
      <c r="L581" s="7" t="str">
        <f>VLOOKUP($G581,Mapping!$E$140:$K$2771,5,0)</f>
        <v>PNS Corporate OH</v>
      </c>
      <c r="M581" s="7" t="str">
        <f>VLOOKUP($G581,Mapping!$E$140:$K$2771,7,0)</f>
        <v>OH</v>
      </c>
      <c r="N581" s="7" t="str">
        <f>IFERROR(HLOOKUP(L581,'Calc|Weightings'!$K$5:$M$5,1,0),"Excl")</f>
        <v>Excl</v>
      </c>
      <c r="O581" s="7" t="str">
        <f>VLOOKUP(E581,Mapping!$E$11:$I$96,5,0)</f>
        <v>SCS</v>
      </c>
      <c r="Q581" s="33">
        <v>119</v>
      </c>
      <c r="R581" s="33" t="s">
        <v>2133</v>
      </c>
      <c r="S581" s="33">
        <v>611900</v>
      </c>
      <c r="T581" s="33" t="s">
        <v>2079</v>
      </c>
      <c r="U581" s="34">
        <v>0.72353000000000001</v>
      </c>
      <c r="V581" s="7"/>
      <c r="W581" s="7" t="str">
        <f>VLOOKUP($Q581,Mapping!$E$11:$I$96,3,0)</f>
        <v>Negotiated Capex</v>
      </c>
      <c r="X581" s="7" t="str">
        <f>VLOOKUP($S581,Mapping!$E$140:$K$2771,5,0)</f>
        <v>Contracts</v>
      </c>
      <c r="Y581" s="7" t="str">
        <f>VLOOKUP($S581,Mapping!$E$140:$K$2771,7,0)</f>
        <v>ENDirect</v>
      </c>
      <c r="Z581" s="7" t="str">
        <f>IFERROR(HLOOKUP(X581,'Calc|Weightings'!$K$5:$M$5,1,0),"Excl")</f>
        <v>Contracts</v>
      </c>
      <c r="AA581" s="7" t="str">
        <f>VLOOKUP(Q581,Mapping!$E$11:$I$96,5,0)</f>
        <v>Negotiated Capex</v>
      </c>
      <c r="AC581" s="111">
        <v>119</v>
      </c>
      <c r="AD581" s="111" t="s">
        <v>2133</v>
      </c>
      <c r="AE581" s="111">
        <v>613290</v>
      </c>
      <c r="AF581" s="111" t="s">
        <v>2093</v>
      </c>
      <c r="AG581" s="112">
        <v>145.81362999999999</v>
      </c>
      <c r="AI581" s="7" t="str">
        <f>VLOOKUP($AC581,Mapping!$E$11:$I$96,3,0)</f>
        <v>Negotiated Capex</v>
      </c>
      <c r="AJ581" s="7" t="str">
        <f>VLOOKUP($AE581,Mapping!$E$140:$K$2771,5,0)</f>
        <v>Labour</v>
      </c>
      <c r="AK581" s="7" t="str">
        <f>VLOOKUP($AE581,Mapping!$E$140:$K$2771,7,0)</f>
        <v>ENDirect</v>
      </c>
      <c r="AL581" s="7" t="str">
        <f>IFERROR(HLOOKUP(AJ581,'Calc|Weightings'!$K$5:$M$5,1,0),"Excl")</f>
        <v>Labour</v>
      </c>
      <c r="AM581" s="7" t="str">
        <f>VLOOKUP(AC581,Mapping!$E$11:$I$96,5,0)</f>
        <v>Negotiated Capex</v>
      </c>
      <c r="AO581" s="134">
        <v>119</v>
      </c>
      <c r="AP581" s="135" t="s">
        <v>2133</v>
      </c>
      <c r="AQ581" s="135">
        <v>639000</v>
      </c>
      <c r="AR581" s="135" t="s">
        <v>2112</v>
      </c>
      <c r="AS581" s="136">
        <v>177.74474000000001</v>
      </c>
      <c r="AU581" s="7" t="str">
        <f>VLOOKUP($AO581,Mapping!$E$11:$I$96,3,0)</f>
        <v>Negotiated Capex</v>
      </c>
      <c r="AV581" s="7" t="str">
        <f>VLOOKUP($AQ581,Mapping!$E$140:$K$2771,5,0)</f>
        <v>PNS Corporate OH</v>
      </c>
      <c r="AW581" s="7" t="str">
        <f>VLOOKUP($AQ581,Mapping!$E$140:$K$2771,7,0)</f>
        <v>OH</v>
      </c>
      <c r="AX581" s="7" t="str">
        <f>IFERROR(HLOOKUP(AV581,'Calc|Weightings'!$K$5:$M$5,1,0),"Excl")</f>
        <v>Excl</v>
      </c>
      <c r="AY581" s="7" t="str">
        <f>VLOOKUP(AO581,Mapping!$E$11:$I$96,5,0)</f>
        <v>Negotiated Capex</v>
      </c>
    </row>
    <row r="582" spans="1:51" x14ac:dyDescent="0.2">
      <c r="A582" s="7"/>
      <c r="B582" s="7"/>
      <c r="C582" s="7"/>
      <c r="D582" s="7"/>
      <c r="E582" s="36">
        <v>116</v>
      </c>
      <c r="F582" s="36" t="s">
        <v>2130</v>
      </c>
      <c r="G582" s="36">
        <v>639050</v>
      </c>
      <c r="H582" s="36" t="s">
        <v>2113</v>
      </c>
      <c r="I582" s="37">
        <v>84.107050000000001</v>
      </c>
      <c r="J582" s="7"/>
      <c r="K582" s="7" t="str">
        <f>VLOOKUP($E582,Mapping!$E$11:$I$96,3,0)</f>
        <v>Connections</v>
      </c>
      <c r="L582" s="7" t="str">
        <f>VLOOKUP($G582,Mapping!$E$140:$K$2771,5,0)</f>
        <v>PNS Fleet &amp; Property OH</v>
      </c>
      <c r="M582" s="7" t="str">
        <f>VLOOKUP($G582,Mapping!$E$140:$K$2771,7,0)</f>
        <v>OH</v>
      </c>
      <c r="N582" s="7" t="str">
        <f>IFERROR(HLOOKUP(L582,'Calc|Weightings'!$K$5:$M$5,1,0),"Excl")</f>
        <v>Excl</v>
      </c>
      <c r="O582" s="7" t="str">
        <f>VLOOKUP(E582,Mapping!$E$11:$I$96,5,0)</f>
        <v>SCS</v>
      </c>
      <c r="Q582" s="33">
        <v>119</v>
      </c>
      <c r="R582" s="33" t="s">
        <v>2133</v>
      </c>
      <c r="S582" s="33">
        <v>611902</v>
      </c>
      <c r="T582" s="33" t="s">
        <v>2081</v>
      </c>
      <c r="U582" s="34">
        <v>9.3149999999999997E-2</v>
      </c>
      <c r="V582" s="7"/>
      <c r="W582" s="7" t="str">
        <f>VLOOKUP($Q582,Mapping!$E$11:$I$96,3,0)</f>
        <v>Negotiated Capex</v>
      </c>
      <c r="X582" s="7" t="str">
        <f>VLOOKUP($S582,Mapping!$E$140:$K$2771,5,0)</f>
        <v>Contracts</v>
      </c>
      <c r="Y582" s="7" t="str">
        <f>VLOOKUP($S582,Mapping!$E$140:$K$2771,7,0)</f>
        <v>ENDirect</v>
      </c>
      <c r="Z582" s="7" t="str">
        <f>IFERROR(HLOOKUP(X582,'Calc|Weightings'!$K$5:$M$5,1,0),"Excl")</f>
        <v>Contracts</v>
      </c>
      <c r="AA582" s="7" t="str">
        <f>VLOOKUP(Q582,Mapping!$E$11:$I$96,5,0)</f>
        <v>Negotiated Capex</v>
      </c>
      <c r="AC582" s="111">
        <v>119</v>
      </c>
      <c r="AD582" s="111" t="s">
        <v>2133</v>
      </c>
      <c r="AE582" s="111">
        <v>613291</v>
      </c>
      <c r="AF582" s="111" t="s">
        <v>2094</v>
      </c>
      <c r="AG582" s="112">
        <v>6.2209599999999998</v>
      </c>
      <c r="AI582" s="7" t="str">
        <f>VLOOKUP($AC582,Mapping!$E$11:$I$96,3,0)</f>
        <v>Negotiated Capex</v>
      </c>
      <c r="AJ582" s="7" t="str">
        <f>VLOOKUP($AE582,Mapping!$E$140:$K$2771,5,0)</f>
        <v>Labour</v>
      </c>
      <c r="AK582" s="7" t="str">
        <f>VLOOKUP($AE582,Mapping!$E$140:$K$2771,7,0)</f>
        <v>ENDirect</v>
      </c>
      <c r="AL582" s="7" t="str">
        <f>IFERROR(HLOOKUP(AJ582,'Calc|Weightings'!$K$5:$M$5,1,0),"Excl")</f>
        <v>Labour</v>
      </c>
      <c r="AM582" s="7" t="str">
        <f>VLOOKUP(AC582,Mapping!$E$11:$I$96,5,0)</f>
        <v>Negotiated Capex</v>
      </c>
      <c r="AO582" s="134">
        <v>119</v>
      </c>
      <c r="AP582" s="135" t="s">
        <v>2133</v>
      </c>
      <c r="AQ582" s="135">
        <v>639050</v>
      </c>
      <c r="AR582" s="135" t="s">
        <v>2113</v>
      </c>
      <c r="AS582" s="136">
        <v>18.17231</v>
      </c>
      <c r="AU582" s="7" t="str">
        <f>VLOOKUP($AO582,Mapping!$E$11:$I$96,3,0)</f>
        <v>Negotiated Capex</v>
      </c>
      <c r="AV582" s="7" t="str">
        <f>VLOOKUP($AQ582,Mapping!$E$140:$K$2771,5,0)</f>
        <v>PNS Fleet &amp; Property OH</v>
      </c>
      <c r="AW582" s="7" t="str">
        <f>VLOOKUP($AQ582,Mapping!$E$140:$K$2771,7,0)</f>
        <v>OH</v>
      </c>
      <c r="AX582" s="7" t="str">
        <f>IFERROR(HLOOKUP(AV582,'Calc|Weightings'!$K$5:$M$5,1,0),"Excl")</f>
        <v>Excl</v>
      </c>
      <c r="AY582" s="7" t="str">
        <f>VLOOKUP(AO582,Mapping!$E$11:$I$96,5,0)</f>
        <v>Negotiated Capex</v>
      </c>
    </row>
    <row r="583" spans="1:51" x14ac:dyDescent="0.2">
      <c r="A583" s="7"/>
      <c r="B583" s="7"/>
      <c r="C583" s="7"/>
      <c r="D583" s="7"/>
      <c r="E583" s="36">
        <v>118</v>
      </c>
      <c r="F583" s="36" t="s">
        <v>2132</v>
      </c>
      <c r="G583" s="36">
        <v>503281</v>
      </c>
      <c r="H583" s="36" t="s">
        <v>2198</v>
      </c>
      <c r="I583" s="37">
        <v>1.9089999999999999E-2</v>
      </c>
      <c r="J583" s="7"/>
      <c r="K583" s="7" t="str">
        <f>VLOOKUP($E583,Mapping!$E$11:$I$96,3,0)</f>
        <v>Connections</v>
      </c>
      <c r="L583" s="7" t="str">
        <f>VLOOKUP($G583,Mapping!$E$140:$K$2771,5,0)</f>
        <v>Contracts</v>
      </c>
      <c r="M583" s="7" t="str">
        <f>VLOOKUP($G583,Mapping!$E$140:$K$2771,7,0)</f>
        <v>ENDirect</v>
      </c>
      <c r="N583" s="7" t="str">
        <f>IFERROR(HLOOKUP(L583,'Calc|Weightings'!$K$5:$M$5,1,0),"Excl")</f>
        <v>Contracts</v>
      </c>
      <c r="O583" s="7" t="str">
        <f>VLOOKUP(E583,Mapping!$E$11:$I$96,5,0)</f>
        <v>SCS</v>
      </c>
      <c r="Q583" s="33">
        <v>119</v>
      </c>
      <c r="R583" s="33" t="s">
        <v>2133</v>
      </c>
      <c r="S583" s="33">
        <v>613240</v>
      </c>
      <c r="T583" s="33" t="s">
        <v>2082</v>
      </c>
      <c r="U583" s="34">
        <v>-3.6992799999999999</v>
      </c>
      <c r="V583" s="7"/>
      <c r="W583" s="7" t="str">
        <f>VLOOKUP($Q583,Mapping!$E$11:$I$96,3,0)</f>
        <v>Negotiated Capex</v>
      </c>
      <c r="X583" s="7" t="str">
        <f>VLOOKUP($S583,Mapping!$E$140:$K$2771,5,0)</f>
        <v>Labour</v>
      </c>
      <c r="Y583" s="7" t="str">
        <f>VLOOKUP($S583,Mapping!$E$140:$K$2771,7,0)</f>
        <v>ENDirect</v>
      </c>
      <c r="Z583" s="7" t="str">
        <f>IFERROR(HLOOKUP(X583,'Calc|Weightings'!$K$5:$M$5,1,0),"Excl")</f>
        <v>Labour</v>
      </c>
      <c r="AA583" s="7" t="str">
        <f>VLOOKUP(Q583,Mapping!$E$11:$I$96,5,0)</f>
        <v>Negotiated Capex</v>
      </c>
      <c r="AC583" s="111">
        <v>119</v>
      </c>
      <c r="AD583" s="111" t="s">
        <v>2133</v>
      </c>
      <c r="AE583" s="111">
        <v>613298</v>
      </c>
      <c r="AF583" s="111" t="s">
        <v>2122</v>
      </c>
      <c r="AG583" s="112">
        <v>1.96841</v>
      </c>
      <c r="AI583" s="7" t="str">
        <f>VLOOKUP($AC583,Mapping!$E$11:$I$96,3,0)</f>
        <v>Negotiated Capex</v>
      </c>
      <c r="AJ583" s="7" t="str">
        <f>VLOOKUP($AE583,Mapping!$E$140:$K$2771,5,0)</f>
        <v>Labour</v>
      </c>
      <c r="AK583" s="7" t="str">
        <f>VLOOKUP($AE583,Mapping!$E$140:$K$2771,7,0)</f>
        <v>ENDirect</v>
      </c>
      <c r="AL583" s="7" t="str">
        <f>IFERROR(HLOOKUP(AJ583,'Calc|Weightings'!$K$5:$M$5,1,0),"Excl")</f>
        <v>Labour</v>
      </c>
      <c r="AM583" s="7" t="str">
        <f>VLOOKUP(AC583,Mapping!$E$11:$I$96,5,0)</f>
        <v>Negotiated Capex</v>
      </c>
      <c r="AO583" s="134">
        <v>120</v>
      </c>
      <c r="AP583" s="135" t="s">
        <v>2134</v>
      </c>
      <c r="AQ583" s="135">
        <v>520100</v>
      </c>
      <c r="AR583" s="135" t="s">
        <v>2072</v>
      </c>
      <c r="AS583" s="136">
        <v>182.06923</v>
      </c>
      <c r="AU583" s="7" t="str">
        <f>VLOOKUP($AO583,Mapping!$E$11:$I$96,3,0)</f>
        <v>Negotiated Capex</v>
      </c>
      <c r="AV583" s="7" t="str">
        <f>VLOOKUP($AQ583,Mapping!$E$140:$K$2771,5,0)</f>
        <v>Materials</v>
      </c>
      <c r="AW583" s="7" t="str">
        <f>VLOOKUP($AQ583,Mapping!$E$140:$K$2771,7,0)</f>
        <v>ENDirect</v>
      </c>
      <c r="AX583" s="7" t="str">
        <f>IFERROR(HLOOKUP(AV583,'Calc|Weightings'!$K$5:$M$5,1,0),"Excl")</f>
        <v>Materials</v>
      </c>
      <c r="AY583" s="7" t="str">
        <f>VLOOKUP(AO583,Mapping!$E$11:$I$96,5,0)</f>
        <v>Negotiated Capex</v>
      </c>
    </row>
    <row r="584" spans="1:51" x14ac:dyDescent="0.2">
      <c r="A584" s="7"/>
      <c r="B584" s="7"/>
      <c r="C584" s="7"/>
      <c r="D584" s="7"/>
      <c r="E584" s="36">
        <v>118</v>
      </c>
      <c r="F584" s="36" t="s">
        <v>2132</v>
      </c>
      <c r="G584" s="36">
        <v>520100</v>
      </c>
      <c r="H584" s="36" t="s">
        <v>2072</v>
      </c>
      <c r="I584" s="37">
        <v>2.4535499999999999</v>
      </c>
      <c r="J584" s="7"/>
      <c r="K584" s="7" t="str">
        <f>VLOOKUP($E584,Mapping!$E$11:$I$96,3,0)</f>
        <v>Connections</v>
      </c>
      <c r="L584" s="7" t="str">
        <f>VLOOKUP($G584,Mapping!$E$140:$K$2771,5,0)</f>
        <v>Materials</v>
      </c>
      <c r="M584" s="7" t="str">
        <f>VLOOKUP($G584,Mapping!$E$140:$K$2771,7,0)</f>
        <v>ENDirect</v>
      </c>
      <c r="N584" s="7" t="str">
        <f>IFERROR(HLOOKUP(L584,'Calc|Weightings'!$K$5:$M$5,1,0),"Excl")</f>
        <v>Materials</v>
      </c>
      <c r="O584" s="7" t="str">
        <f>VLOOKUP(E584,Mapping!$E$11:$I$96,5,0)</f>
        <v>SCS</v>
      </c>
      <c r="Q584" s="33">
        <v>119</v>
      </c>
      <c r="R584" s="33" t="s">
        <v>2133</v>
      </c>
      <c r="S584" s="33">
        <v>613250</v>
      </c>
      <c r="T584" s="33" t="s">
        <v>2086</v>
      </c>
      <c r="U584" s="34">
        <v>3.4291399999999999</v>
      </c>
      <c r="V584" s="7"/>
      <c r="W584" s="7" t="str">
        <f>VLOOKUP($Q584,Mapping!$E$11:$I$96,3,0)</f>
        <v>Negotiated Capex</v>
      </c>
      <c r="X584" s="7" t="str">
        <f>VLOOKUP($S584,Mapping!$E$140:$K$2771,5,0)</f>
        <v>Labour</v>
      </c>
      <c r="Y584" s="7" t="str">
        <f>VLOOKUP($S584,Mapping!$E$140:$K$2771,7,0)</f>
        <v>ENDirect</v>
      </c>
      <c r="Z584" s="7" t="str">
        <f>IFERROR(HLOOKUP(X584,'Calc|Weightings'!$K$5:$M$5,1,0),"Excl")</f>
        <v>Labour</v>
      </c>
      <c r="AA584" s="7" t="str">
        <f>VLOOKUP(Q584,Mapping!$E$11:$I$96,5,0)</f>
        <v>Negotiated Capex</v>
      </c>
      <c r="AC584" s="111">
        <v>119</v>
      </c>
      <c r="AD584" s="111" t="s">
        <v>2133</v>
      </c>
      <c r="AE584" s="111">
        <v>613360</v>
      </c>
      <c r="AF584" s="111" t="s">
        <v>2097</v>
      </c>
      <c r="AG584" s="112">
        <v>5.7814699999999997</v>
      </c>
      <c r="AI584" s="7" t="str">
        <f>VLOOKUP($AC584,Mapping!$E$11:$I$96,3,0)</f>
        <v>Negotiated Capex</v>
      </c>
      <c r="AJ584" s="7" t="str">
        <f>VLOOKUP($AE584,Mapping!$E$140:$K$2771,5,0)</f>
        <v>Labour</v>
      </c>
      <c r="AK584" s="7" t="str">
        <f>VLOOKUP($AE584,Mapping!$E$140:$K$2771,7,0)</f>
        <v>ENDirect</v>
      </c>
      <c r="AL584" s="7" t="str">
        <f>IFERROR(HLOOKUP(AJ584,'Calc|Weightings'!$K$5:$M$5,1,0),"Excl")</f>
        <v>Labour</v>
      </c>
      <c r="AM584" s="7" t="str">
        <f>VLOOKUP(AC584,Mapping!$E$11:$I$96,5,0)</f>
        <v>Negotiated Capex</v>
      </c>
      <c r="AO584" s="134">
        <v>120</v>
      </c>
      <c r="AP584" s="135" t="s">
        <v>2134</v>
      </c>
      <c r="AQ584" s="135">
        <v>523100</v>
      </c>
      <c r="AR584" s="135" t="s">
        <v>2074</v>
      </c>
      <c r="AS584" s="136">
        <v>1.0979099999999999</v>
      </c>
      <c r="AU584" s="7" t="str">
        <f>VLOOKUP($AO584,Mapping!$E$11:$I$96,3,0)</f>
        <v>Negotiated Capex</v>
      </c>
      <c r="AV584" s="7" t="str">
        <f>VLOOKUP($AQ584,Mapping!$E$140:$K$2771,5,0)</f>
        <v>Materials</v>
      </c>
      <c r="AW584" s="7" t="str">
        <f>VLOOKUP($AQ584,Mapping!$E$140:$K$2771,7,0)</f>
        <v>ENDirect</v>
      </c>
      <c r="AX584" s="7" t="str">
        <f>IFERROR(HLOOKUP(AV584,'Calc|Weightings'!$K$5:$M$5,1,0),"Excl")</f>
        <v>Materials</v>
      </c>
      <c r="AY584" s="7" t="str">
        <f>VLOOKUP(AO584,Mapping!$E$11:$I$96,5,0)</f>
        <v>Negotiated Capex</v>
      </c>
    </row>
    <row r="585" spans="1:51" x14ac:dyDescent="0.2">
      <c r="A585" s="7"/>
      <c r="B585" s="7"/>
      <c r="C585" s="7"/>
      <c r="D585" s="7"/>
      <c r="E585" s="36">
        <v>118</v>
      </c>
      <c r="F585" s="36" t="s">
        <v>2132</v>
      </c>
      <c r="G585" s="36">
        <v>520150</v>
      </c>
      <c r="H585" s="36" t="s">
        <v>2205</v>
      </c>
      <c r="I585" s="37">
        <v>5.3100000000000001E-2</v>
      </c>
      <c r="J585" s="7"/>
      <c r="K585" s="7" t="str">
        <f>VLOOKUP($E585,Mapping!$E$11:$I$96,3,0)</f>
        <v>Connections</v>
      </c>
      <c r="L585" s="7" t="str">
        <f>VLOOKUP($G585,Mapping!$E$140:$K$2771,5,0)</f>
        <v>Materials</v>
      </c>
      <c r="M585" s="7" t="str">
        <f>VLOOKUP($G585,Mapping!$E$140:$K$2771,7,0)</f>
        <v>ENDirect</v>
      </c>
      <c r="N585" s="7" t="str">
        <f>IFERROR(HLOOKUP(L585,'Calc|Weightings'!$K$5:$M$5,1,0),"Excl")</f>
        <v>Materials</v>
      </c>
      <c r="O585" s="7" t="str">
        <f>VLOOKUP(E585,Mapping!$E$11:$I$96,5,0)</f>
        <v>SCS</v>
      </c>
      <c r="Q585" s="33">
        <v>119</v>
      </c>
      <c r="R585" s="33" t="s">
        <v>2133</v>
      </c>
      <c r="S585" s="33">
        <v>613280</v>
      </c>
      <c r="T585" s="33" t="s">
        <v>1342</v>
      </c>
      <c r="U585" s="34">
        <v>4.1429400000000003</v>
      </c>
      <c r="V585" s="7"/>
      <c r="W585" s="7" t="str">
        <f>VLOOKUP($Q585,Mapping!$E$11:$I$96,3,0)</f>
        <v>Negotiated Capex</v>
      </c>
      <c r="X585" s="7" t="str">
        <f>VLOOKUP($S585,Mapping!$E$140:$K$2771,5,0)</f>
        <v>Labour</v>
      </c>
      <c r="Y585" s="7" t="str">
        <f>VLOOKUP($S585,Mapping!$E$140:$K$2771,7,0)</f>
        <v>ENDirect</v>
      </c>
      <c r="Z585" s="7" t="str">
        <f>IFERROR(HLOOKUP(X585,'Calc|Weightings'!$K$5:$M$5,1,0),"Excl")</f>
        <v>Labour</v>
      </c>
      <c r="AA585" s="7" t="str">
        <f>VLOOKUP(Q585,Mapping!$E$11:$I$96,5,0)</f>
        <v>Negotiated Capex</v>
      </c>
      <c r="AC585" s="111">
        <v>119</v>
      </c>
      <c r="AD585" s="111" t="s">
        <v>2133</v>
      </c>
      <c r="AE585" s="111">
        <v>613361</v>
      </c>
      <c r="AF585" s="111" t="s">
        <v>2098</v>
      </c>
      <c r="AG585" s="112">
        <v>7.9600000000000004E-2</v>
      </c>
      <c r="AI585" s="7" t="str">
        <f>VLOOKUP($AC585,Mapping!$E$11:$I$96,3,0)</f>
        <v>Negotiated Capex</v>
      </c>
      <c r="AJ585" s="7" t="str">
        <f>VLOOKUP($AE585,Mapping!$E$140:$K$2771,5,0)</f>
        <v>Labour</v>
      </c>
      <c r="AK585" s="7" t="str">
        <f>VLOOKUP($AE585,Mapping!$E$140:$K$2771,7,0)</f>
        <v>ENDirect</v>
      </c>
      <c r="AL585" s="7" t="str">
        <f>IFERROR(HLOOKUP(AJ585,'Calc|Weightings'!$K$5:$M$5,1,0),"Excl")</f>
        <v>Labour</v>
      </c>
      <c r="AM585" s="7" t="str">
        <f>VLOOKUP(AC585,Mapping!$E$11:$I$96,5,0)</f>
        <v>Negotiated Capex</v>
      </c>
      <c r="AO585" s="134">
        <v>120</v>
      </c>
      <c r="AP585" s="135" t="s">
        <v>2134</v>
      </c>
      <c r="AQ585" s="135">
        <v>531020</v>
      </c>
      <c r="AR585" s="135" t="s">
        <v>219</v>
      </c>
      <c r="AS585" s="136">
        <v>9.33</v>
      </c>
      <c r="AU585" s="7" t="str">
        <f>VLOOKUP($AO585,Mapping!$E$11:$I$96,3,0)</f>
        <v>Negotiated Capex</v>
      </c>
      <c r="AV585" s="7" t="str">
        <f>VLOOKUP($AQ585,Mapping!$E$140:$K$2771,5,0)</f>
        <v>Labour</v>
      </c>
      <c r="AW585" s="7" t="str">
        <f>VLOOKUP($AQ585,Mapping!$E$140:$K$2771,7,0)</f>
        <v>ENDirect</v>
      </c>
      <c r="AX585" s="7" t="str">
        <f>IFERROR(HLOOKUP(AV585,'Calc|Weightings'!$K$5:$M$5,1,0),"Excl")</f>
        <v>Labour</v>
      </c>
      <c r="AY585" s="7" t="str">
        <f>VLOOKUP(AO585,Mapping!$E$11:$I$96,5,0)</f>
        <v>Negotiated Capex</v>
      </c>
    </row>
    <row r="586" spans="1:51" x14ac:dyDescent="0.2">
      <c r="A586" s="7"/>
      <c r="B586" s="7"/>
      <c r="C586" s="7"/>
      <c r="D586" s="7"/>
      <c r="E586" s="36">
        <v>118</v>
      </c>
      <c r="F586" s="36" t="s">
        <v>2132</v>
      </c>
      <c r="G586" s="36">
        <v>520200</v>
      </c>
      <c r="H586" s="36" t="s">
        <v>2073</v>
      </c>
      <c r="I586" s="37">
        <v>0.50849</v>
      </c>
      <c r="J586" s="7"/>
      <c r="K586" s="7" t="str">
        <f>VLOOKUP($E586,Mapping!$E$11:$I$96,3,0)</f>
        <v>Connections</v>
      </c>
      <c r="L586" s="7" t="str">
        <f>VLOOKUP($G586,Mapping!$E$140:$K$2771,5,0)</f>
        <v>Materials</v>
      </c>
      <c r="M586" s="7" t="str">
        <f>VLOOKUP($G586,Mapping!$E$140:$K$2771,7,0)</f>
        <v>ENDirect</v>
      </c>
      <c r="N586" s="7" t="str">
        <f>IFERROR(HLOOKUP(L586,'Calc|Weightings'!$K$5:$M$5,1,0),"Excl")</f>
        <v>Materials</v>
      </c>
      <c r="O586" s="7" t="str">
        <f>VLOOKUP(E586,Mapping!$E$11:$I$96,5,0)</f>
        <v>SCS</v>
      </c>
      <c r="Q586" s="33">
        <v>119</v>
      </c>
      <c r="R586" s="33" t="s">
        <v>2133</v>
      </c>
      <c r="S586" s="33">
        <v>613290</v>
      </c>
      <c r="T586" s="33" t="s">
        <v>2093</v>
      </c>
      <c r="U586" s="34">
        <v>19.941320000000001</v>
      </c>
      <c r="V586" s="7"/>
      <c r="W586" s="7" t="str">
        <f>VLOOKUP($Q586,Mapping!$E$11:$I$96,3,0)</f>
        <v>Negotiated Capex</v>
      </c>
      <c r="X586" s="7" t="str">
        <f>VLOOKUP($S586,Mapping!$E$140:$K$2771,5,0)</f>
        <v>Labour</v>
      </c>
      <c r="Y586" s="7" t="str">
        <f>VLOOKUP($S586,Mapping!$E$140:$K$2771,7,0)</f>
        <v>ENDirect</v>
      </c>
      <c r="Z586" s="7" t="str">
        <f>IFERROR(HLOOKUP(X586,'Calc|Weightings'!$K$5:$M$5,1,0),"Excl")</f>
        <v>Labour</v>
      </c>
      <c r="AA586" s="7" t="str">
        <f>VLOOKUP(Q586,Mapping!$E$11:$I$96,5,0)</f>
        <v>Negotiated Capex</v>
      </c>
      <c r="AC586" s="111">
        <v>119</v>
      </c>
      <c r="AD586" s="111" t="s">
        <v>2133</v>
      </c>
      <c r="AE586" s="111">
        <v>613370</v>
      </c>
      <c r="AF586" s="111" t="s">
        <v>1402</v>
      </c>
      <c r="AG586" s="112">
        <v>0.76085999999999998</v>
      </c>
      <c r="AI586" s="7" t="str">
        <f>VLOOKUP($AC586,Mapping!$E$11:$I$96,3,0)</f>
        <v>Negotiated Capex</v>
      </c>
      <c r="AJ586" s="7" t="str">
        <f>VLOOKUP($AE586,Mapping!$E$140:$K$2771,5,0)</f>
        <v>Labour</v>
      </c>
      <c r="AK586" s="7" t="str">
        <f>VLOOKUP($AE586,Mapping!$E$140:$K$2771,7,0)</f>
        <v>ENDirect</v>
      </c>
      <c r="AL586" s="7" t="str">
        <f>IFERROR(HLOOKUP(AJ586,'Calc|Weightings'!$K$5:$M$5,1,0),"Excl")</f>
        <v>Labour</v>
      </c>
      <c r="AM586" s="7" t="str">
        <f>VLOOKUP(AC586,Mapping!$E$11:$I$96,5,0)</f>
        <v>Negotiated Capex</v>
      </c>
      <c r="AO586" s="134">
        <v>120</v>
      </c>
      <c r="AP586" s="135" t="s">
        <v>2134</v>
      </c>
      <c r="AQ586" s="135">
        <v>531464</v>
      </c>
      <c r="AR586" s="135" t="s">
        <v>256</v>
      </c>
      <c r="AS586" s="136">
        <v>311.82747000000001</v>
      </c>
      <c r="AU586" s="7" t="str">
        <f>VLOOKUP($AO586,Mapping!$E$11:$I$96,3,0)</f>
        <v>Negotiated Capex</v>
      </c>
      <c r="AV586" s="7" t="str">
        <f>VLOOKUP($AQ586,Mapping!$E$140:$K$2771,5,0)</f>
        <v>Contracts</v>
      </c>
      <c r="AW586" s="7" t="str">
        <f>VLOOKUP($AQ586,Mapping!$E$140:$K$2771,7,0)</f>
        <v>ENDirect</v>
      </c>
      <c r="AX586" s="7" t="str">
        <f>IFERROR(HLOOKUP(AV586,'Calc|Weightings'!$K$5:$M$5,1,0),"Excl")</f>
        <v>Contracts</v>
      </c>
      <c r="AY586" s="7" t="str">
        <f>VLOOKUP(AO586,Mapping!$E$11:$I$96,5,0)</f>
        <v>Negotiated Capex</v>
      </c>
    </row>
    <row r="587" spans="1:51" x14ac:dyDescent="0.2">
      <c r="A587" s="7"/>
      <c r="B587" s="7"/>
      <c r="C587" s="7"/>
      <c r="D587" s="7"/>
      <c r="E587" s="36">
        <v>118</v>
      </c>
      <c r="F587" s="36" t="s">
        <v>2132</v>
      </c>
      <c r="G587" s="36">
        <v>523100</v>
      </c>
      <c r="H587" s="36" t="s">
        <v>2074</v>
      </c>
      <c r="I587" s="37">
        <v>0.02</v>
      </c>
      <c r="J587" s="7"/>
      <c r="K587" s="7" t="str">
        <f>VLOOKUP($E587,Mapping!$E$11:$I$96,3,0)</f>
        <v>Connections</v>
      </c>
      <c r="L587" s="7" t="str">
        <f>VLOOKUP($G587,Mapping!$E$140:$K$2771,5,0)</f>
        <v>Materials</v>
      </c>
      <c r="M587" s="7" t="str">
        <f>VLOOKUP($G587,Mapping!$E$140:$K$2771,7,0)</f>
        <v>ENDirect</v>
      </c>
      <c r="N587" s="7" t="str">
        <f>IFERROR(HLOOKUP(L587,'Calc|Weightings'!$K$5:$M$5,1,0),"Excl")</f>
        <v>Materials</v>
      </c>
      <c r="O587" s="7" t="str">
        <f>VLOOKUP(E587,Mapping!$E$11:$I$96,5,0)</f>
        <v>SCS</v>
      </c>
      <c r="Q587" s="33">
        <v>119</v>
      </c>
      <c r="R587" s="33" t="s">
        <v>2133</v>
      </c>
      <c r="S587" s="33">
        <v>613291</v>
      </c>
      <c r="T587" s="33" t="s">
        <v>2094</v>
      </c>
      <c r="U587" s="34">
        <v>0.30459999999999998</v>
      </c>
      <c r="V587" s="7"/>
      <c r="W587" s="7" t="str">
        <f>VLOOKUP($Q587,Mapping!$E$11:$I$96,3,0)</f>
        <v>Negotiated Capex</v>
      </c>
      <c r="X587" s="7" t="str">
        <f>VLOOKUP($S587,Mapping!$E$140:$K$2771,5,0)</f>
        <v>Labour</v>
      </c>
      <c r="Y587" s="7" t="str">
        <f>VLOOKUP($S587,Mapping!$E$140:$K$2771,7,0)</f>
        <v>ENDirect</v>
      </c>
      <c r="Z587" s="7" t="str">
        <f>IFERROR(HLOOKUP(X587,'Calc|Weightings'!$K$5:$M$5,1,0),"Excl")</f>
        <v>Labour</v>
      </c>
      <c r="AA587" s="7" t="str">
        <f>VLOOKUP(Q587,Mapping!$E$11:$I$96,5,0)</f>
        <v>Negotiated Capex</v>
      </c>
      <c r="AC587" s="111">
        <v>119</v>
      </c>
      <c r="AD587" s="111" t="s">
        <v>2133</v>
      </c>
      <c r="AE587" s="111">
        <v>613371</v>
      </c>
      <c r="AF587" s="111" t="s">
        <v>1403</v>
      </c>
      <c r="AG587" s="112">
        <v>1.21608</v>
      </c>
      <c r="AI587" s="7" t="str">
        <f>VLOOKUP($AC587,Mapping!$E$11:$I$96,3,0)</f>
        <v>Negotiated Capex</v>
      </c>
      <c r="AJ587" s="7" t="str">
        <f>VLOOKUP($AE587,Mapping!$E$140:$K$2771,5,0)</f>
        <v>Labour</v>
      </c>
      <c r="AK587" s="7" t="str">
        <f>VLOOKUP($AE587,Mapping!$E$140:$K$2771,7,0)</f>
        <v>ENDirect</v>
      </c>
      <c r="AL587" s="7" t="str">
        <f>IFERROR(HLOOKUP(AJ587,'Calc|Weightings'!$K$5:$M$5,1,0),"Excl")</f>
        <v>Labour</v>
      </c>
      <c r="AM587" s="7" t="str">
        <f>VLOOKUP(AC587,Mapping!$E$11:$I$96,5,0)</f>
        <v>Negotiated Capex</v>
      </c>
      <c r="AO587" s="134">
        <v>120</v>
      </c>
      <c r="AP587" s="135" t="s">
        <v>2134</v>
      </c>
      <c r="AQ587" s="135">
        <v>531466</v>
      </c>
      <c r="AR587" s="135" t="s">
        <v>258</v>
      </c>
      <c r="AS587" s="136">
        <v>21.77628</v>
      </c>
      <c r="AU587" s="7" t="str">
        <f>VLOOKUP($AO587,Mapping!$E$11:$I$96,3,0)</f>
        <v>Negotiated Capex</v>
      </c>
      <c r="AV587" s="7" t="str">
        <f>VLOOKUP($AQ587,Mapping!$E$140:$K$2771,5,0)</f>
        <v>Contracts</v>
      </c>
      <c r="AW587" s="7" t="str">
        <f>VLOOKUP($AQ587,Mapping!$E$140:$K$2771,7,0)</f>
        <v>ENDirect</v>
      </c>
      <c r="AX587" s="7" t="str">
        <f>IFERROR(HLOOKUP(AV587,'Calc|Weightings'!$K$5:$M$5,1,0),"Excl")</f>
        <v>Contracts</v>
      </c>
      <c r="AY587" s="7" t="str">
        <f>VLOOKUP(AO587,Mapping!$E$11:$I$96,5,0)</f>
        <v>Negotiated Capex</v>
      </c>
    </row>
    <row r="588" spans="1:51" x14ac:dyDescent="0.2">
      <c r="A588" s="7"/>
      <c r="B588" s="7"/>
      <c r="C588" s="7"/>
      <c r="D588" s="7"/>
      <c r="E588" s="36">
        <v>118</v>
      </c>
      <c r="F588" s="36" t="s">
        <v>2132</v>
      </c>
      <c r="G588" s="36">
        <v>531200</v>
      </c>
      <c r="H588" s="36" t="s">
        <v>250</v>
      </c>
      <c r="I588" s="37">
        <v>2.4359999999999999</v>
      </c>
      <c r="J588" s="7"/>
      <c r="K588" s="7" t="str">
        <f>VLOOKUP($E588,Mapping!$E$11:$I$96,3,0)</f>
        <v>Connections</v>
      </c>
      <c r="L588" s="7" t="str">
        <f>VLOOKUP($G588,Mapping!$E$140:$K$2771,5,0)</f>
        <v>Contracts</v>
      </c>
      <c r="M588" s="7" t="str">
        <f>VLOOKUP($G588,Mapping!$E$140:$K$2771,7,0)</f>
        <v>ENDirect</v>
      </c>
      <c r="N588" s="7" t="str">
        <f>IFERROR(HLOOKUP(L588,'Calc|Weightings'!$K$5:$M$5,1,0),"Excl")</f>
        <v>Contracts</v>
      </c>
      <c r="O588" s="7" t="str">
        <f>VLOOKUP(E588,Mapping!$E$11:$I$96,5,0)</f>
        <v>SCS</v>
      </c>
      <c r="Q588" s="33">
        <v>119</v>
      </c>
      <c r="R588" s="33" t="s">
        <v>2133</v>
      </c>
      <c r="S588" s="33">
        <v>613298</v>
      </c>
      <c r="T588" s="33" t="s">
        <v>2122</v>
      </c>
      <c r="U588" s="34">
        <v>52.428379999999997</v>
      </c>
      <c r="V588" s="7"/>
      <c r="W588" s="7" t="str">
        <f>VLOOKUP($Q588,Mapping!$E$11:$I$96,3,0)</f>
        <v>Negotiated Capex</v>
      </c>
      <c r="X588" s="7" t="str">
        <f>VLOOKUP($S588,Mapping!$E$140:$K$2771,5,0)</f>
        <v>Labour</v>
      </c>
      <c r="Y588" s="7" t="str">
        <f>VLOOKUP($S588,Mapping!$E$140:$K$2771,7,0)</f>
        <v>ENDirect</v>
      </c>
      <c r="Z588" s="7" t="str">
        <f>IFERROR(HLOOKUP(X588,'Calc|Weightings'!$K$5:$M$5,1,0),"Excl")</f>
        <v>Labour</v>
      </c>
      <c r="AA588" s="7" t="str">
        <f>VLOOKUP(Q588,Mapping!$E$11:$I$96,5,0)</f>
        <v>Negotiated Capex</v>
      </c>
      <c r="AC588" s="111">
        <v>119</v>
      </c>
      <c r="AD588" s="111" t="s">
        <v>2133</v>
      </c>
      <c r="AE588" s="111">
        <v>613400</v>
      </c>
      <c r="AF588" s="111" t="s">
        <v>2099</v>
      </c>
      <c r="AG588" s="112">
        <v>9.5536799999999999</v>
      </c>
      <c r="AI588" s="7" t="str">
        <f>VLOOKUP($AC588,Mapping!$E$11:$I$96,3,0)</f>
        <v>Negotiated Capex</v>
      </c>
      <c r="AJ588" s="7" t="str">
        <f>VLOOKUP($AE588,Mapping!$E$140:$K$2771,5,0)</f>
        <v>Labour</v>
      </c>
      <c r="AK588" s="7" t="str">
        <f>VLOOKUP($AE588,Mapping!$E$140:$K$2771,7,0)</f>
        <v>ENDirect</v>
      </c>
      <c r="AL588" s="7" t="str">
        <f>IFERROR(HLOOKUP(AJ588,'Calc|Weightings'!$K$5:$M$5,1,0),"Excl")</f>
        <v>Labour</v>
      </c>
      <c r="AM588" s="7" t="str">
        <f>VLOOKUP(AC588,Mapping!$E$11:$I$96,5,0)</f>
        <v>Negotiated Capex</v>
      </c>
      <c r="AO588" s="134">
        <v>120</v>
      </c>
      <c r="AP588" s="135" t="s">
        <v>2134</v>
      </c>
      <c r="AQ588" s="135">
        <v>531467</v>
      </c>
      <c r="AR588" s="135" t="s">
        <v>259</v>
      </c>
      <c r="AS588" s="136">
        <v>45.009140000000002</v>
      </c>
      <c r="AU588" s="7" t="str">
        <f>VLOOKUP($AO588,Mapping!$E$11:$I$96,3,0)</f>
        <v>Negotiated Capex</v>
      </c>
      <c r="AV588" s="7" t="str">
        <f>VLOOKUP($AQ588,Mapping!$E$140:$K$2771,5,0)</f>
        <v>Contracts</v>
      </c>
      <c r="AW588" s="7" t="str">
        <f>VLOOKUP($AQ588,Mapping!$E$140:$K$2771,7,0)</f>
        <v>ENDirect</v>
      </c>
      <c r="AX588" s="7" t="str">
        <f>IFERROR(HLOOKUP(AV588,'Calc|Weightings'!$K$5:$M$5,1,0),"Excl")</f>
        <v>Contracts</v>
      </c>
      <c r="AY588" s="7" t="str">
        <f>VLOOKUP(AO588,Mapping!$E$11:$I$96,5,0)</f>
        <v>Negotiated Capex</v>
      </c>
    </row>
    <row r="589" spans="1:51" x14ac:dyDescent="0.2">
      <c r="A589" s="7"/>
      <c r="B589" s="7"/>
      <c r="C589" s="7"/>
      <c r="D589" s="7"/>
      <c r="E589" s="36">
        <v>118</v>
      </c>
      <c r="F589" s="36" t="s">
        <v>2132</v>
      </c>
      <c r="G589" s="36">
        <v>531466</v>
      </c>
      <c r="H589" s="36" t="s">
        <v>258</v>
      </c>
      <c r="I589" s="37">
        <v>18.040089999999999</v>
      </c>
      <c r="J589" s="7"/>
      <c r="K589" s="7" t="str">
        <f>VLOOKUP($E589,Mapping!$E$11:$I$96,3,0)</f>
        <v>Connections</v>
      </c>
      <c r="L589" s="7" t="str">
        <f>VLOOKUP($G589,Mapping!$E$140:$K$2771,5,0)</f>
        <v>Contracts</v>
      </c>
      <c r="M589" s="7" t="str">
        <f>VLOOKUP($G589,Mapping!$E$140:$K$2771,7,0)</f>
        <v>ENDirect</v>
      </c>
      <c r="N589" s="7" t="str">
        <f>IFERROR(HLOOKUP(L589,'Calc|Weightings'!$K$5:$M$5,1,0),"Excl")</f>
        <v>Contracts</v>
      </c>
      <c r="O589" s="7" t="str">
        <f>VLOOKUP(E589,Mapping!$E$11:$I$96,5,0)</f>
        <v>SCS</v>
      </c>
      <c r="Q589" s="33">
        <v>119</v>
      </c>
      <c r="R589" s="33" t="s">
        <v>2133</v>
      </c>
      <c r="S589" s="33">
        <v>613360</v>
      </c>
      <c r="T589" s="33" t="s">
        <v>2097</v>
      </c>
      <c r="U589" s="34">
        <v>8.3631799999999998</v>
      </c>
      <c r="V589" s="7"/>
      <c r="W589" s="7" t="str">
        <f>VLOOKUP($Q589,Mapping!$E$11:$I$96,3,0)</f>
        <v>Negotiated Capex</v>
      </c>
      <c r="X589" s="7" t="str">
        <f>VLOOKUP($S589,Mapping!$E$140:$K$2771,5,0)</f>
        <v>Labour</v>
      </c>
      <c r="Y589" s="7" t="str">
        <f>VLOOKUP($S589,Mapping!$E$140:$K$2771,7,0)</f>
        <v>ENDirect</v>
      </c>
      <c r="Z589" s="7" t="str">
        <f>IFERROR(HLOOKUP(X589,'Calc|Weightings'!$K$5:$M$5,1,0),"Excl")</f>
        <v>Labour</v>
      </c>
      <c r="AA589" s="7" t="str">
        <f>VLOOKUP(Q589,Mapping!$E$11:$I$96,5,0)</f>
        <v>Negotiated Capex</v>
      </c>
      <c r="AC589" s="111">
        <v>119</v>
      </c>
      <c r="AD589" s="111" t="s">
        <v>2133</v>
      </c>
      <c r="AE589" s="111">
        <v>613401</v>
      </c>
      <c r="AF589" s="111" t="s">
        <v>2117</v>
      </c>
      <c r="AG589" s="112">
        <v>0.92076000000000002</v>
      </c>
      <c r="AI589" s="7" t="str">
        <f>VLOOKUP($AC589,Mapping!$E$11:$I$96,3,0)</f>
        <v>Negotiated Capex</v>
      </c>
      <c r="AJ589" s="7" t="str">
        <f>VLOOKUP($AE589,Mapping!$E$140:$K$2771,5,0)</f>
        <v>Labour</v>
      </c>
      <c r="AK589" s="7" t="str">
        <f>VLOOKUP($AE589,Mapping!$E$140:$K$2771,7,0)</f>
        <v>ENDirect</v>
      </c>
      <c r="AL589" s="7" t="str">
        <f>IFERROR(HLOOKUP(AJ589,'Calc|Weightings'!$K$5:$M$5,1,0),"Excl")</f>
        <v>Labour</v>
      </c>
      <c r="AM589" s="7" t="str">
        <f>VLOOKUP(AC589,Mapping!$E$11:$I$96,5,0)</f>
        <v>Negotiated Capex</v>
      </c>
      <c r="AO589" s="134">
        <v>120</v>
      </c>
      <c r="AP589" s="135" t="s">
        <v>2134</v>
      </c>
      <c r="AQ589" s="135">
        <v>531468</v>
      </c>
      <c r="AR589" s="135" t="s">
        <v>260</v>
      </c>
      <c r="AS589" s="136">
        <v>44.280650000000001</v>
      </c>
      <c r="AU589" s="7" t="str">
        <f>VLOOKUP($AO589,Mapping!$E$11:$I$96,3,0)</f>
        <v>Negotiated Capex</v>
      </c>
      <c r="AV589" s="7" t="str">
        <f>VLOOKUP($AQ589,Mapping!$E$140:$K$2771,5,0)</f>
        <v>Contracts</v>
      </c>
      <c r="AW589" s="7" t="str">
        <f>VLOOKUP($AQ589,Mapping!$E$140:$K$2771,7,0)</f>
        <v>ENDirect</v>
      </c>
      <c r="AX589" s="7" t="str">
        <f>IFERROR(HLOOKUP(AV589,'Calc|Weightings'!$K$5:$M$5,1,0),"Excl")</f>
        <v>Contracts</v>
      </c>
      <c r="AY589" s="7" t="str">
        <f>VLOOKUP(AO589,Mapping!$E$11:$I$96,5,0)</f>
        <v>Negotiated Capex</v>
      </c>
    </row>
    <row r="590" spans="1:51" x14ac:dyDescent="0.2">
      <c r="A590" s="7"/>
      <c r="B590" s="7"/>
      <c r="C590" s="7"/>
      <c r="D590" s="7"/>
      <c r="E590" s="36">
        <v>118</v>
      </c>
      <c r="F590" s="36" t="s">
        <v>2132</v>
      </c>
      <c r="G590" s="36">
        <v>591997</v>
      </c>
      <c r="H590" s="36" t="s">
        <v>2194</v>
      </c>
      <c r="I590" s="37">
        <v>-8.6884300000000003</v>
      </c>
      <c r="J590" s="7"/>
      <c r="K590" s="7" t="str">
        <f>VLOOKUP($E590,Mapping!$E$11:$I$96,3,0)</f>
        <v>Connections</v>
      </c>
      <c r="L590" s="7" t="str">
        <f>VLOOKUP($G590,Mapping!$E$140:$K$2771,5,0)</f>
        <v>Contracts</v>
      </c>
      <c r="M590" s="7" t="str">
        <f>VLOOKUP($G590,Mapping!$E$140:$K$2771,7,0)</f>
        <v>ENDirect</v>
      </c>
      <c r="N590" s="7" t="str">
        <f>IFERROR(HLOOKUP(L590,'Calc|Weightings'!$K$5:$M$5,1,0),"Excl")</f>
        <v>Contracts</v>
      </c>
      <c r="O590" s="7" t="str">
        <f>VLOOKUP(E590,Mapping!$E$11:$I$96,5,0)</f>
        <v>SCS</v>
      </c>
      <c r="Q590" s="33">
        <v>119</v>
      </c>
      <c r="R590" s="33" t="s">
        <v>2133</v>
      </c>
      <c r="S590" s="33">
        <v>613362</v>
      </c>
      <c r="T590" s="33" t="s">
        <v>1396</v>
      </c>
      <c r="U590" s="34">
        <v>19.573840000000001</v>
      </c>
      <c r="V590" s="7"/>
      <c r="W590" s="7" t="str">
        <f>VLOOKUP($Q590,Mapping!$E$11:$I$96,3,0)</f>
        <v>Negotiated Capex</v>
      </c>
      <c r="X590" s="7" t="str">
        <f>VLOOKUP($S590,Mapping!$E$140:$K$2771,5,0)</f>
        <v>Labour</v>
      </c>
      <c r="Y590" s="7" t="str">
        <f>VLOOKUP($S590,Mapping!$E$140:$K$2771,7,0)</f>
        <v>ENDirect</v>
      </c>
      <c r="Z590" s="7" t="str">
        <f>IFERROR(HLOOKUP(X590,'Calc|Weightings'!$K$5:$M$5,1,0),"Excl")</f>
        <v>Labour</v>
      </c>
      <c r="AA590" s="7" t="str">
        <f>VLOOKUP(Q590,Mapping!$E$11:$I$96,5,0)</f>
        <v>Negotiated Capex</v>
      </c>
      <c r="AC590" s="111">
        <v>119</v>
      </c>
      <c r="AD590" s="111" t="s">
        <v>2133</v>
      </c>
      <c r="AE590" s="111">
        <v>613410</v>
      </c>
      <c r="AF590" s="111" t="s">
        <v>2100</v>
      </c>
      <c r="AG590" s="112">
        <v>1.4787999999999999</v>
      </c>
      <c r="AI590" s="7" t="str">
        <f>VLOOKUP($AC590,Mapping!$E$11:$I$96,3,0)</f>
        <v>Negotiated Capex</v>
      </c>
      <c r="AJ590" s="7" t="str">
        <f>VLOOKUP($AE590,Mapping!$E$140:$K$2771,5,0)</f>
        <v>Labour</v>
      </c>
      <c r="AK590" s="7" t="str">
        <f>VLOOKUP($AE590,Mapping!$E$140:$K$2771,7,0)</f>
        <v>ENDirect</v>
      </c>
      <c r="AL590" s="7" t="str">
        <f>IFERROR(HLOOKUP(AJ590,'Calc|Weightings'!$K$5:$M$5,1,0),"Excl")</f>
        <v>Labour</v>
      </c>
      <c r="AM590" s="7" t="str">
        <f>VLOOKUP(AC590,Mapping!$E$11:$I$96,5,0)</f>
        <v>Negotiated Capex</v>
      </c>
      <c r="AO590" s="134">
        <v>120</v>
      </c>
      <c r="AP590" s="135" t="s">
        <v>2134</v>
      </c>
      <c r="AQ590" s="135">
        <v>532200</v>
      </c>
      <c r="AR590" s="135" t="s">
        <v>291</v>
      </c>
      <c r="AS590" s="136">
        <v>4.1660000000000004</v>
      </c>
      <c r="AU590" s="7" t="str">
        <f>VLOOKUP($AO590,Mapping!$E$11:$I$96,3,0)</f>
        <v>Negotiated Capex</v>
      </c>
      <c r="AV590" s="7" t="str">
        <f>VLOOKUP($AQ590,Mapping!$E$140:$K$2771,5,0)</f>
        <v>Contracts</v>
      </c>
      <c r="AW590" s="7" t="str">
        <f>VLOOKUP($AQ590,Mapping!$E$140:$K$2771,7,0)</f>
        <v>ENDirect</v>
      </c>
      <c r="AX590" s="7" t="str">
        <f>IFERROR(HLOOKUP(AV590,'Calc|Weightings'!$K$5:$M$5,1,0),"Excl")</f>
        <v>Contracts</v>
      </c>
      <c r="AY590" s="7" t="str">
        <f>VLOOKUP(AO590,Mapping!$E$11:$I$96,5,0)</f>
        <v>Negotiated Capex</v>
      </c>
    </row>
    <row r="591" spans="1:51" x14ac:dyDescent="0.2">
      <c r="A591" s="7"/>
      <c r="B591" s="7"/>
      <c r="C591" s="7"/>
      <c r="D591" s="7"/>
      <c r="E591" s="36">
        <v>118</v>
      </c>
      <c r="F591" s="36" t="s">
        <v>2132</v>
      </c>
      <c r="G591" s="36">
        <v>591998</v>
      </c>
      <c r="H591" s="36" t="s">
        <v>2077</v>
      </c>
      <c r="I591" s="37">
        <v>-13.90606</v>
      </c>
      <c r="J591" s="7"/>
      <c r="K591" s="7" t="str">
        <f>VLOOKUP($E591,Mapping!$E$11:$I$96,3,0)</f>
        <v>Connections</v>
      </c>
      <c r="L591" s="7" t="str">
        <f>VLOOKUP($G591,Mapping!$E$140:$K$2771,5,0)</f>
        <v>Contracts</v>
      </c>
      <c r="M591" s="7" t="str">
        <f>VLOOKUP($G591,Mapping!$E$140:$K$2771,7,0)</f>
        <v>ENDirect</v>
      </c>
      <c r="N591" s="7" t="str">
        <f>IFERROR(HLOOKUP(L591,'Calc|Weightings'!$K$5:$M$5,1,0),"Excl")</f>
        <v>Contracts</v>
      </c>
      <c r="O591" s="7" t="str">
        <f>VLOOKUP(E591,Mapping!$E$11:$I$96,5,0)</f>
        <v>SCS</v>
      </c>
      <c r="Q591" s="33">
        <v>119</v>
      </c>
      <c r="R591" s="33" t="s">
        <v>2133</v>
      </c>
      <c r="S591" s="33">
        <v>613370</v>
      </c>
      <c r="T591" s="33" t="s">
        <v>1402</v>
      </c>
      <c r="U591" s="34">
        <v>12.85413</v>
      </c>
      <c r="V591" s="7"/>
      <c r="W591" s="7" t="str">
        <f>VLOOKUP($Q591,Mapping!$E$11:$I$96,3,0)</f>
        <v>Negotiated Capex</v>
      </c>
      <c r="X591" s="7" t="str">
        <f>VLOOKUP($S591,Mapping!$E$140:$K$2771,5,0)</f>
        <v>Labour</v>
      </c>
      <c r="Y591" s="7" t="str">
        <f>VLOOKUP($S591,Mapping!$E$140:$K$2771,7,0)</f>
        <v>ENDirect</v>
      </c>
      <c r="Z591" s="7" t="str">
        <f>IFERROR(HLOOKUP(X591,'Calc|Weightings'!$K$5:$M$5,1,0),"Excl")</f>
        <v>Labour</v>
      </c>
      <c r="AA591" s="7" t="str">
        <f>VLOOKUP(Q591,Mapping!$E$11:$I$96,5,0)</f>
        <v>Negotiated Capex</v>
      </c>
      <c r="AC591" s="111">
        <v>119</v>
      </c>
      <c r="AD591" s="111" t="s">
        <v>2133</v>
      </c>
      <c r="AE591" s="111">
        <v>613411</v>
      </c>
      <c r="AF591" s="111" t="s">
        <v>2101</v>
      </c>
      <c r="AG591" s="112">
        <v>1.18713</v>
      </c>
      <c r="AI591" s="7" t="str">
        <f>VLOOKUP($AC591,Mapping!$E$11:$I$96,3,0)</f>
        <v>Negotiated Capex</v>
      </c>
      <c r="AJ591" s="7" t="str">
        <f>VLOOKUP($AE591,Mapping!$E$140:$K$2771,5,0)</f>
        <v>Labour</v>
      </c>
      <c r="AK591" s="7" t="str">
        <f>VLOOKUP($AE591,Mapping!$E$140:$K$2771,7,0)</f>
        <v>ENDirect</v>
      </c>
      <c r="AL591" s="7" t="str">
        <f>IFERROR(HLOOKUP(AJ591,'Calc|Weightings'!$K$5:$M$5,1,0),"Excl")</f>
        <v>Labour</v>
      </c>
      <c r="AM591" s="7" t="str">
        <f>VLOOKUP(AC591,Mapping!$E$11:$I$96,5,0)</f>
        <v>Negotiated Capex</v>
      </c>
      <c r="AO591" s="134">
        <v>120</v>
      </c>
      <c r="AP591" s="135" t="s">
        <v>2134</v>
      </c>
      <c r="AQ591" s="135">
        <v>591997</v>
      </c>
      <c r="AR591" s="135" t="s">
        <v>2194</v>
      </c>
      <c r="AS591" s="136">
        <v>-10.47003</v>
      </c>
      <c r="AU591" s="7" t="str">
        <f>VLOOKUP($AO591,Mapping!$E$11:$I$96,3,0)</f>
        <v>Negotiated Capex</v>
      </c>
      <c r="AV591" s="7" t="str">
        <f>VLOOKUP($AQ591,Mapping!$E$140:$K$2771,5,0)</f>
        <v>Contracts</v>
      </c>
      <c r="AW591" s="7" t="str">
        <f>VLOOKUP($AQ591,Mapping!$E$140:$K$2771,7,0)</f>
        <v>ENDirect</v>
      </c>
      <c r="AX591" s="7" t="str">
        <f>IFERROR(HLOOKUP(AV591,'Calc|Weightings'!$K$5:$M$5,1,0),"Excl")</f>
        <v>Contracts</v>
      </c>
      <c r="AY591" s="7" t="str">
        <f>VLOOKUP(AO591,Mapping!$E$11:$I$96,5,0)</f>
        <v>Negotiated Capex</v>
      </c>
    </row>
    <row r="592" spans="1:51" x14ac:dyDescent="0.2">
      <c r="A592" s="7"/>
      <c r="B592" s="7"/>
      <c r="C592" s="7"/>
      <c r="D592" s="7"/>
      <c r="E592" s="36">
        <v>118</v>
      </c>
      <c r="F592" s="36" t="s">
        <v>2132</v>
      </c>
      <c r="G592" s="36">
        <v>591999</v>
      </c>
      <c r="H592" s="36" t="s">
        <v>2195</v>
      </c>
      <c r="I592" s="37">
        <v>-32.563949999999998</v>
      </c>
      <c r="J592" s="7"/>
      <c r="K592" s="7" t="str">
        <f>VLOOKUP($E592,Mapping!$E$11:$I$96,3,0)</f>
        <v>Connections</v>
      </c>
      <c r="L592" s="7" t="str">
        <f>VLOOKUP($G592,Mapping!$E$140:$K$2771,5,0)</f>
        <v>Contracts</v>
      </c>
      <c r="M592" s="7" t="str">
        <f>VLOOKUP($G592,Mapping!$E$140:$K$2771,7,0)</f>
        <v>ENDirect</v>
      </c>
      <c r="N592" s="7" t="str">
        <f>IFERROR(HLOOKUP(L592,'Calc|Weightings'!$K$5:$M$5,1,0),"Excl")</f>
        <v>Contracts</v>
      </c>
      <c r="O592" s="7" t="str">
        <f>VLOOKUP(E592,Mapping!$E$11:$I$96,5,0)</f>
        <v>SCS</v>
      </c>
      <c r="Q592" s="33">
        <v>119</v>
      </c>
      <c r="R592" s="33" t="s">
        <v>2133</v>
      </c>
      <c r="S592" s="33">
        <v>613410</v>
      </c>
      <c r="T592" s="33" t="s">
        <v>2100</v>
      </c>
      <c r="U592" s="34">
        <v>6.5949999999999995E-2</v>
      </c>
      <c r="V592" s="7"/>
      <c r="W592" s="7" t="str">
        <f>VLOOKUP($Q592,Mapping!$E$11:$I$96,3,0)</f>
        <v>Negotiated Capex</v>
      </c>
      <c r="X592" s="7" t="str">
        <f>VLOOKUP($S592,Mapping!$E$140:$K$2771,5,0)</f>
        <v>Labour</v>
      </c>
      <c r="Y592" s="7" t="str">
        <f>VLOOKUP($S592,Mapping!$E$140:$K$2771,7,0)</f>
        <v>ENDirect</v>
      </c>
      <c r="Z592" s="7" t="str">
        <f>IFERROR(HLOOKUP(X592,'Calc|Weightings'!$K$5:$M$5,1,0),"Excl")</f>
        <v>Labour</v>
      </c>
      <c r="AA592" s="7" t="str">
        <f>VLOOKUP(Q592,Mapping!$E$11:$I$96,5,0)</f>
        <v>Negotiated Capex</v>
      </c>
      <c r="AC592" s="111">
        <v>119</v>
      </c>
      <c r="AD592" s="111" t="s">
        <v>2133</v>
      </c>
      <c r="AE592" s="111">
        <v>613434</v>
      </c>
      <c r="AF592" s="111" t="s">
        <v>2102</v>
      </c>
      <c r="AG592" s="112">
        <v>2.4296600000000002</v>
      </c>
      <c r="AI592" s="7" t="str">
        <f>VLOOKUP($AC592,Mapping!$E$11:$I$96,3,0)</f>
        <v>Negotiated Capex</v>
      </c>
      <c r="AJ592" s="7" t="str">
        <f>VLOOKUP($AE592,Mapping!$E$140:$K$2771,5,0)</f>
        <v>Labour</v>
      </c>
      <c r="AK592" s="7" t="str">
        <f>VLOOKUP($AE592,Mapping!$E$140:$K$2771,7,0)</f>
        <v>ENDirect</v>
      </c>
      <c r="AL592" s="7" t="str">
        <f>IFERROR(HLOOKUP(AJ592,'Calc|Weightings'!$K$5:$M$5,1,0),"Excl")</f>
        <v>Labour</v>
      </c>
      <c r="AM592" s="7" t="str">
        <f>VLOOKUP(AC592,Mapping!$E$11:$I$96,5,0)</f>
        <v>Negotiated Capex</v>
      </c>
      <c r="AO592" s="134">
        <v>120</v>
      </c>
      <c r="AP592" s="135" t="s">
        <v>2134</v>
      </c>
      <c r="AQ592" s="135">
        <v>591998</v>
      </c>
      <c r="AR592" s="135" t="s">
        <v>2077</v>
      </c>
      <c r="AS592" s="136">
        <v>-34.571489999999997</v>
      </c>
      <c r="AU592" s="7" t="str">
        <f>VLOOKUP($AO592,Mapping!$E$11:$I$96,3,0)</f>
        <v>Negotiated Capex</v>
      </c>
      <c r="AV592" s="7" t="str">
        <f>VLOOKUP($AQ592,Mapping!$E$140:$K$2771,5,0)</f>
        <v>Contracts</v>
      </c>
      <c r="AW592" s="7" t="str">
        <f>VLOOKUP($AQ592,Mapping!$E$140:$K$2771,7,0)</f>
        <v>ENDirect</v>
      </c>
      <c r="AX592" s="7" t="str">
        <f>IFERROR(HLOOKUP(AV592,'Calc|Weightings'!$K$5:$M$5,1,0),"Excl")</f>
        <v>Contracts</v>
      </c>
      <c r="AY592" s="7" t="str">
        <f>VLOOKUP(AO592,Mapping!$E$11:$I$96,5,0)</f>
        <v>Negotiated Capex</v>
      </c>
    </row>
    <row r="593" spans="1:51" x14ac:dyDescent="0.2">
      <c r="A593" s="7"/>
      <c r="B593" s="7"/>
      <c r="C593" s="7"/>
      <c r="D593" s="7"/>
      <c r="E593" s="36">
        <v>118</v>
      </c>
      <c r="F593" s="36" t="s">
        <v>2132</v>
      </c>
      <c r="G593" s="36">
        <v>611901</v>
      </c>
      <c r="H593" s="36" t="s">
        <v>2080</v>
      </c>
      <c r="I593" s="37">
        <v>0.16061</v>
      </c>
      <c r="J593" s="7"/>
      <c r="K593" s="7" t="str">
        <f>VLOOKUP($E593,Mapping!$E$11:$I$96,3,0)</f>
        <v>Connections</v>
      </c>
      <c r="L593" s="7" t="str">
        <f>VLOOKUP($G593,Mapping!$E$140:$K$2771,5,0)</f>
        <v>Contracts</v>
      </c>
      <c r="M593" s="7" t="str">
        <f>VLOOKUP($G593,Mapping!$E$140:$K$2771,7,0)</f>
        <v>ENDirect</v>
      </c>
      <c r="N593" s="7" t="str">
        <f>IFERROR(HLOOKUP(L593,'Calc|Weightings'!$K$5:$M$5,1,0),"Excl")</f>
        <v>Contracts</v>
      </c>
      <c r="O593" s="7" t="str">
        <f>VLOOKUP(E593,Mapping!$E$11:$I$96,5,0)</f>
        <v>SCS</v>
      </c>
      <c r="Q593" s="33">
        <v>119</v>
      </c>
      <c r="R593" s="33" t="s">
        <v>2133</v>
      </c>
      <c r="S593" s="33">
        <v>613440</v>
      </c>
      <c r="T593" s="33" t="s">
        <v>2103</v>
      </c>
      <c r="U593" s="34">
        <v>4.0689999999999997E-2</v>
      </c>
      <c r="V593" s="7"/>
      <c r="W593" s="7" t="str">
        <f>VLOOKUP($Q593,Mapping!$E$11:$I$96,3,0)</f>
        <v>Negotiated Capex</v>
      </c>
      <c r="X593" s="7" t="str">
        <f>VLOOKUP($S593,Mapping!$E$140:$K$2771,5,0)</f>
        <v>Labour</v>
      </c>
      <c r="Y593" s="7" t="str">
        <f>VLOOKUP($S593,Mapping!$E$140:$K$2771,7,0)</f>
        <v>ENDirect</v>
      </c>
      <c r="Z593" s="7" t="str">
        <f>IFERROR(HLOOKUP(X593,'Calc|Weightings'!$K$5:$M$5,1,0),"Excl")</f>
        <v>Labour</v>
      </c>
      <c r="AA593" s="7" t="str">
        <f>VLOOKUP(Q593,Mapping!$E$11:$I$96,5,0)</f>
        <v>Negotiated Capex</v>
      </c>
      <c r="AC593" s="111">
        <v>119</v>
      </c>
      <c r="AD593" s="111" t="s">
        <v>2133</v>
      </c>
      <c r="AE593" s="111">
        <v>613440</v>
      </c>
      <c r="AF593" s="111" t="s">
        <v>2103</v>
      </c>
      <c r="AG593" s="112">
        <v>0.80332999999999999</v>
      </c>
      <c r="AI593" s="7" t="str">
        <f>VLOOKUP($AC593,Mapping!$E$11:$I$96,3,0)</f>
        <v>Negotiated Capex</v>
      </c>
      <c r="AJ593" s="7" t="str">
        <f>VLOOKUP($AE593,Mapping!$E$140:$K$2771,5,0)</f>
        <v>Labour</v>
      </c>
      <c r="AK593" s="7" t="str">
        <f>VLOOKUP($AE593,Mapping!$E$140:$K$2771,7,0)</f>
        <v>ENDirect</v>
      </c>
      <c r="AL593" s="7" t="str">
        <f>IFERROR(HLOOKUP(AJ593,'Calc|Weightings'!$K$5:$M$5,1,0),"Excl")</f>
        <v>Labour</v>
      </c>
      <c r="AM593" s="7" t="str">
        <f>VLOOKUP(AC593,Mapping!$E$11:$I$96,5,0)</f>
        <v>Negotiated Capex</v>
      </c>
      <c r="AO593" s="134">
        <v>120</v>
      </c>
      <c r="AP593" s="135" t="s">
        <v>2134</v>
      </c>
      <c r="AQ593" s="135">
        <v>591999</v>
      </c>
      <c r="AR593" s="135" t="s">
        <v>2195</v>
      </c>
      <c r="AS593" s="136">
        <v>-42.383989999999997</v>
      </c>
      <c r="AU593" s="7" t="str">
        <f>VLOOKUP($AO593,Mapping!$E$11:$I$96,3,0)</f>
        <v>Negotiated Capex</v>
      </c>
      <c r="AV593" s="7" t="str">
        <f>VLOOKUP($AQ593,Mapping!$E$140:$K$2771,5,0)</f>
        <v>Contracts</v>
      </c>
      <c r="AW593" s="7" t="str">
        <f>VLOOKUP($AQ593,Mapping!$E$140:$K$2771,7,0)</f>
        <v>ENDirect</v>
      </c>
      <c r="AX593" s="7" t="str">
        <f>IFERROR(HLOOKUP(AV593,'Calc|Weightings'!$K$5:$M$5,1,0),"Excl")</f>
        <v>Contracts</v>
      </c>
      <c r="AY593" s="7" t="str">
        <f>VLOOKUP(AO593,Mapping!$E$11:$I$96,5,0)</f>
        <v>Negotiated Capex</v>
      </c>
    </row>
    <row r="594" spans="1:51" x14ac:dyDescent="0.2">
      <c r="A594" s="7"/>
      <c r="B594" s="7"/>
      <c r="C594" s="7"/>
      <c r="D594" s="7"/>
      <c r="E594" s="36">
        <v>118</v>
      </c>
      <c r="F594" s="36" t="s">
        <v>2132</v>
      </c>
      <c r="G594" s="36">
        <v>611902</v>
      </c>
      <c r="H594" s="36" t="s">
        <v>2081</v>
      </c>
      <c r="I594" s="37">
        <v>0.20235</v>
      </c>
      <c r="J594" s="7"/>
      <c r="K594" s="7" t="str">
        <f>VLOOKUP($E594,Mapping!$E$11:$I$96,3,0)</f>
        <v>Connections</v>
      </c>
      <c r="L594" s="7" t="str">
        <f>VLOOKUP($G594,Mapping!$E$140:$K$2771,5,0)</f>
        <v>Contracts</v>
      </c>
      <c r="M594" s="7" t="str">
        <f>VLOOKUP($G594,Mapping!$E$140:$K$2771,7,0)</f>
        <v>ENDirect</v>
      </c>
      <c r="N594" s="7" t="str">
        <f>IFERROR(HLOOKUP(L594,'Calc|Weightings'!$K$5:$M$5,1,0),"Excl")</f>
        <v>Contracts</v>
      </c>
      <c r="O594" s="7" t="str">
        <f>VLOOKUP(E594,Mapping!$E$11:$I$96,5,0)</f>
        <v>SCS</v>
      </c>
      <c r="Q594" s="33">
        <v>119</v>
      </c>
      <c r="R594" s="33" t="s">
        <v>2133</v>
      </c>
      <c r="S594" s="33">
        <v>613441</v>
      </c>
      <c r="T594" s="33" t="s">
        <v>2104</v>
      </c>
      <c r="U594" s="34">
        <v>0.57638999999999996</v>
      </c>
      <c r="V594" s="7"/>
      <c r="W594" s="7" t="str">
        <f>VLOOKUP($Q594,Mapping!$E$11:$I$96,3,0)</f>
        <v>Negotiated Capex</v>
      </c>
      <c r="X594" s="7" t="str">
        <f>VLOOKUP($S594,Mapping!$E$140:$K$2771,5,0)</f>
        <v>Labour</v>
      </c>
      <c r="Y594" s="7" t="str">
        <f>VLOOKUP($S594,Mapping!$E$140:$K$2771,7,0)</f>
        <v>ENDirect</v>
      </c>
      <c r="Z594" s="7" t="str">
        <f>IFERROR(HLOOKUP(X594,'Calc|Weightings'!$K$5:$M$5,1,0),"Excl")</f>
        <v>Labour</v>
      </c>
      <c r="AA594" s="7" t="str">
        <f>VLOOKUP(Q594,Mapping!$E$11:$I$96,5,0)</f>
        <v>Negotiated Capex</v>
      </c>
      <c r="AC594" s="111">
        <v>119</v>
      </c>
      <c r="AD594" s="111" t="s">
        <v>2133</v>
      </c>
      <c r="AE594" s="111">
        <v>613441</v>
      </c>
      <c r="AF594" s="111" t="s">
        <v>2104</v>
      </c>
      <c r="AG594" s="112">
        <v>0.28438999999999998</v>
      </c>
      <c r="AI594" s="7" t="str">
        <f>VLOOKUP($AC594,Mapping!$E$11:$I$96,3,0)</f>
        <v>Negotiated Capex</v>
      </c>
      <c r="AJ594" s="7" t="str">
        <f>VLOOKUP($AE594,Mapping!$E$140:$K$2771,5,0)</f>
        <v>Labour</v>
      </c>
      <c r="AK594" s="7" t="str">
        <f>VLOOKUP($AE594,Mapping!$E$140:$K$2771,7,0)</f>
        <v>ENDirect</v>
      </c>
      <c r="AL594" s="7" t="str">
        <f>IFERROR(HLOOKUP(AJ594,'Calc|Weightings'!$K$5:$M$5,1,0),"Excl")</f>
        <v>Labour</v>
      </c>
      <c r="AM594" s="7" t="str">
        <f>VLOOKUP(AC594,Mapping!$E$11:$I$96,5,0)</f>
        <v>Negotiated Capex</v>
      </c>
      <c r="AO594" s="134">
        <v>120</v>
      </c>
      <c r="AP594" s="135" t="s">
        <v>2134</v>
      </c>
      <c r="AQ594" s="135">
        <v>611900</v>
      </c>
      <c r="AR594" s="135" t="s">
        <v>2079</v>
      </c>
      <c r="AS594" s="136">
        <v>10.0427</v>
      </c>
      <c r="AU594" s="7" t="str">
        <f>VLOOKUP($AO594,Mapping!$E$11:$I$96,3,0)</f>
        <v>Negotiated Capex</v>
      </c>
      <c r="AV594" s="7" t="str">
        <f>VLOOKUP($AQ594,Mapping!$E$140:$K$2771,5,0)</f>
        <v>Contracts</v>
      </c>
      <c r="AW594" s="7" t="str">
        <f>VLOOKUP($AQ594,Mapping!$E$140:$K$2771,7,0)</f>
        <v>ENDirect</v>
      </c>
      <c r="AX594" s="7" t="str">
        <f>IFERROR(HLOOKUP(AV594,'Calc|Weightings'!$K$5:$M$5,1,0),"Excl")</f>
        <v>Contracts</v>
      </c>
      <c r="AY594" s="7" t="str">
        <f>VLOOKUP(AO594,Mapping!$E$11:$I$96,5,0)</f>
        <v>Negotiated Capex</v>
      </c>
    </row>
    <row r="595" spans="1:51" x14ac:dyDescent="0.2">
      <c r="A595" s="7"/>
      <c r="B595" s="7"/>
      <c r="C595" s="7"/>
      <c r="D595" s="7"/>
      <c r="E595" s="36">
        <v>118</v>
      </c>
      <c r="F595" s="36" t="s">
        <v>2132</v>
      </c>
      <c r="G595" s="36">
        <v>612210</v>
      </c>
      <c r="H595" s="36" t="s">
        <v>1184</v>
      </c>
      <c r="I595" s="37">
        <v>-1.36188</v>
      </c>
      <c r="J595" s="7"/>
      <c r="K595" s="7" t="str">
        <f>VLOOKUP($E595,Mapping!$E$11:$I$96,3,0)</f>
        <v>Connections</v>
      </c>
      <c r="L595" s="7" t="str">
        <f>VLOOKUP($G595,Mapping!$E$140:$K$2771,5,0)</f>
        <v>Labour</v>
      </c>
      <c r="M595" s="7" t="str">
        <f>VLOOKUP($G595,Mapping!$E$140:$K$2771,7,0)</f>
        <v>ENDirect</v>
      </c>
      <c r="N595" s="7" t="str">
        <f>IFERROR(HLOOKUP(L595,'Calc|Weightings'!$K$5:$M$5,1,0),"Excl")</f>
        <v>Labour</v>
      </c>
      <c r="O595" s="7" t="str">
        <f>VLOOKUP(E595,Mapping!$E$11:$I$96,5,0)</f>
        <v>SCS</v>
      </c>
      <c r="Q595" s="33">
        <v>119</v>
      </c>
      <c r="R595" s="33" t="s">
        <v>2133</v>
      </c>
      <c r="S595" s="33">
        <v>613566</v>
      </c>
      <c r="T595" s="33" t="s">
        <v>1482</v>
      </c>
      <c r="U595" s="34">
        <v>1.3874</v>
      </c>
      <c r="V595" s="7"/>
      <c r="W595" s="7" t="str">
        <f>VLOOKUP($Q595,Mapping!$E$11:$I$96,3,0)</f>
        <v>Negotiated Capex</v>
      </c>
      <c r="X595" s="7" t="str">
        <f>VLOOKUP($S595,Mapping!$E$140:$K$2771,5,0)</f>
        <v>Labour</v>
      </c>
      <c r="Y595" s="7" t="str">
        <f>VLOOKUP($S595,Mapping!$E$140:$K$2771,7,0)</f>
        <v>ENDirect</v>
      </c>
      <c r="Z595" s="7" t="str">
        <f>IFERROR(HLOOKUP(X595,'Calc|Weightings'!$K$5:$M$5,1,0),"Excl")</f>
        <v>Labour</v>
      </c>
      <c r="AA595" s="7" t="str">
        <f>VLOOKUP(Q595,Mapping!$E$11:$I$96,5,0)</f>
        <v>Negotiated Capex</v>
      </c>
      <c r="AC595" s="111">
        <v>119</v>
      </c>
      <c r="AD595" s="111" t="s">
        <v>2133</v>
      </c>
      <c r="AE595" s="111">
        <v>613448</v>
      </c>
      <c r="AF595" s="111" t="s">
        <v>2105</v>
      </c>
      <c r="AG595" s="112">
        <v>0.67535999999999996</v>
      </c>
      <c r="AI595" s="7" t="str">
        <f>VLOOKUP($AC595,Mapping!$E$11:$I$96,3,0)</f>
        <v>Negotiated Capex</v>
      </c>
      <c r="AJ595" s="7" t="str">
        <f>VLOOKUP($AE595,Mapping!$E$140:$K$2771,5,0)</f>
        <v>Labour</v>
      </c>
      <c r="AK595" s="7" t="str">
        <f>VLOOKUP($AE595,Mapping!$E$140:$K$2771,7,0)</f>
        <v>ENDirect</v>
      </c>
      <c r="AL595" s="7" t="str">
        <f>IFERROR(HLOOKUP(AJ595,'Calc|Weightings'!$K$5:$M$5,1,0),"Excl")</f>
        <v>Labour</v>
      </c>
      <c r="AM595" s="7" t="str">
        <f>VLOOKUP(AC595,Mapping!$E$11:$I$96,5,0)</f>
        <v>Negotiated Capex</v>
      </c>
      <c r="AO595" s="134">
        <v>120</v>
      </c>
      <c r="AP595" s="135" t="s">
        <v>2134</v>
      </c>
      <c r="AQ595" s="135">
        <v>611901</v>
      </c>
      <c r="AR595" s="135" t="s">
        <v>2080</v>
      </c>
      <c r="AS595" s="136">
        <v>0.51370000000000005</v>
      </c>
      <c r="AU595" s="7" t="str">
        <f>VLOOKUP($AO595,Mapping!$E$11:$I$96,3,0)</f>
        <v>Negotiated Capex</v>
      </c>
      <c r="AV595" s="7" t="str">
        <f>VLOOKUP($AQ595,Mapping!$E$140:$K$2771,5,0)</f>
        <v>Contracts</v>
      </c>
      <c r="AW595" s="7" t="str">
        <f>VLOOKUP($AQ595,Mapping!$E$140:$K$2771,7,0)</f>
        <v>ENDirect</v>
      </c>
      <c r="AX595" s="7" t="str">
        <f>IFERROR(HLOOKUP(AV595,'Calc|Weightings'!$K$5:$M$5,1,0),"Excl")</f>
        <v>Contracts</v>
      </c>
      <c r="AY595" s="7" t="str">
        <f>VLOOKUP(AO595,Mapping!$E$11:$I$96,5,0)</f>
        <v>Negotiated Capex</v>
      </c>
    </row>
    <row r="596" spans="1:51" x14ac:dyDescent="0.2">
      <c r="A596" s="7"/>
      <c r="B596" s="7"/>
      <c r="C596" s="7"/>
      <c r="D596" s="7"/>
      <c r="E596" s="36">
        <v>118</v>
      </c>
      <c r="F596" s="36" t="s">
        <v>2132</v>
      </c>
      <c r="G596" s="36">
        <v>612460</v>
      </c>
      <c r="H596" s="36" t="s">
        <v>1243</v>
      </c>
      <c r="I596" s="37">
        <v>3.2151399999999999</v>
      </c>
      <c r="J596" s="7"/>
      <c r="K596" s="7" t="str">
        <f>VLOOKUP($E596,Mapping!$E$11:$I$96,3,0)</f>
        <v>Connections</v>
      </c>
      <c r="L596" s="7" t="str">
        <f>VLOOKUP($G596,Mapping!$E$140:$K$2771,5,0)</f>
        <v>Labour</v>
      </c>
      <c r="M596" s="7" t="str">
        <f>VLOOKUP($G596,Mapping!$E$140:$K$2771,7,0)</f>
        <v>ENDirect</v>
      </c>
      <c r="N596" s="7" t="str">
        <f>IFERROR(HLOOKUP(L596,'Calc|Weightings'!$K$5:$M$5,1,0),"Excl")</f>
        <v>Labour</v>
      </c>
      <c r="O596" s="7" t="str">
        <f>VLOOKUP(E596,Mapping!$E$11:$I$96,5,0)</f>
        <v>SCS</v>
      </c>
      <c r="Q596" s="33">
        <v>119</v>
      </c>
      <c r="R596" s="33" t="s">
        <v>2133</v>
      </c>
      <c r="S596" s="33">
        <v>613680</v>
      </c>
      <c r="T596" s="33" t="s">
        <v>2107</v>
      </c>
      <c r="U596" s="34">
        <v>1.7663199999999999</v>
      </c>
      <c r="V596" s="7"/>
      <c r="W596" s="7" t="str">
        <f>VLOOKUP($Q596,Mapping!$E$11:$I$96,3,0)</f>
        <v>Negotiated Capex</v>
      </c>
      <c r="X596" s="7" t="str">
        <f>VLOOKUP($S596,Mapping!$E$140:$K$2771,5,0)</f>
        <v>Labour</v>
      </c>
      <c r="Y596" s="7" t="str">
        <f>VLOOKUP($S596,Mapping!$E$140:$K$2771,7,0)</f>
        <v>ENDirect</v>
      </c>
      <c r="Z596" s="7" t="str">
        <f>IFERROR(HLOOKUP(X596,'Calc|Weightings'!$K$5:$M$5,1,0),"Excl")</f>
        <v>Labour</v>
      </c>
      <c r="AA596" s="7" t="str">
        <f>VLOOKUP(Q596,Mapping!$E$11:$I$96,5,0)</f>
        <v>Negotiated Capex</v>
      </c>
      <c r="AC596" s="111">
        <v>119</v>
      </c>
      <c r="AD596" s="111" t="s">
        <v>2133</v>
      </c>
      <c r="AE596" s="111">
        <v>613566</v>
      </c>
      <c r="AF596" s="111" t="s">
        <v>1482</v>
      </c>
      <c r="AG596" s="112">
        <v>1.6983999999999999</v>
      </c>
      <c r="AI596" s="7" t="str">
        <f>VLOOKUP($AC596,Mapping!$E$11:$I$96,3,0)</f>
        <v>Negotiated Capex</v>
      </c>
      <c r="AJ596" s="7" t="str">
        <f>VLOOKUP($AE596,Mapping!$E$140:$K$2771,5,0)</f>
        <v>Labour</v>
      </c>
      <c r="AK596" s="7" t="str">
        <f>VLOOKUP($AE596,Mapping!$E$140:$K$2771,7,0)</f>
        <v>ENDirect</v>
      </c>
      <c r="AL596" s="7" t="str">
        <f>IFERROR(HLOOKUP(AJ596,'Calc|Weightings'!$K$5:$M$5,1,0),"Excl")</f>
        <v>Labour</v>
      </c>
      <c r="AM596" s="7" t="str">
        <f>VLOOKUP(AC596,Mapping!$E$11:$I$96,5,0)</f>
        <v>Negotiated Capex</v>
      </c>
      <c r="AO596" s="134">
        <v>120</v>
      </c>
      <c r="AP596" s="135" t="s">
        <v>2134</v>
      </c>
      <c r="AQ596" s="135">
        <v>611902</v>
      </c>
      <c r="AR596" s="135" t="s">
        <v>2081</v>
      </c>
      <c r="AS596" s="136">
        <v>8.8700000000000001E-2</v>
      </c>
      <c r="AU596" s="7" t="str">
        <f>VLOOKUP($AO596,Mapping!$E$11:$I$96,3,0)</f>
        <v>Negotiated Capex</v>
      </c>
      <c r="AV596" s="7" t="str">
        <f>VLOOKUP($AQ596,Mapping!$E$140:$K$2771,5,0)</f>
        <v>Contracts</v>
      </c>
      <c r="AW596" s="7" t="str">
        <f>VLOOKUP($AQ596,Mapping!$E$140:$K$2771,7,0)</f>
        <v>ENDirect</v>
      </c>
      <c r="AX596" s="7" t="str">
        <f>IFERROR(HLOOKUP(AV596,'Calc|Weightings'!$K$5:$M$5,1,0),"Excl")</f>
        <v>Contracts</v>
      </c>
      <c r="AY596" s="7" t="str">
        <f>VLOOKUP(AO596,Mapping!$E$11:$I$96,5,0)</f>
        <v>Negotiated Capex</v>
      </c>
    </row>
    <row r="597" spans="1:51" x14ac:dyDescent="0.2">
      <c r="A597" s="7"/>
      <c r="B597" s="7"/>
      <c r="C597" s="7"/>
      <c r="D597" s="7"/>
      <c r="E597" s="36">
        <v>118</v>
      </c>
      <c r="F597" s="36" t="s">
        <v>2132</v>
      </c>
      <c r="G597" s="36">
        <v>613280</v>
      </c>
      <c r="H597" s="36" t="s">
        <v>1342</v>
      </c>
      <c r="I597" s="37">
        <v>5.0940000000000003</v>
      </c>
      <c r="J597" s="7"/>
      <c r="K597" s="7" t="str">
        <f>VLOOKUP($E597,Mapping!$E$11:$I$96,3,0)</f>
        <v>Connections</v>
      </c>
      <c r="L597" s="7" t="str">
        <f>VLOOKUP($G597,Mapping!$E$140:$K$2771,5,0)</f>
        <v>Labour</v>
      </c>
      <c r="M597" s="7" t="str">
        <f>VLOOKUP($G597,Mapping!$E$140:$K$2771,7,0)</f>
        <v>ENDirect</v>
      </c>
      <c r="N597" s="7" t="str">
        <f>IFERROR(HLOOKUP(L597,'Calc|Weightings'!$K$5:$M$5,1,0),"Excl")</f>
        <v>Labour</v>
      </c>
      <c r="O597" s="7" t="str">
        <f>VLOOKUP(E597,Mapping!$E$11:$I$96,5,0)</f>
        <v>SCS</v>
      </c>
      <c r="Q597" s="33">
        <v>119</v>
      </c>
      <c r="R597" s="33" t="s">
        <v>2133</v>
      </c>
      <c r="S597" s="33">
        <v>613681</v>
      </c>
      <c r="T597" s="33" t="s">
        <v>2108</v>
      </c>
      <c r="U597" s="34">
        <v>1.6529</v>
      </c>
      <c r="V597" s="7"/>
      <c r="W597" s="7" t="str">
        <f>VLOOKUP($Q597,Mapping!$E$11:$I$96,3,0)</f>
        <v>Negotiated Capex</v>
      </c>
      <c r="X597" s="7" t="str">
        <f>VLOOKUP($S597,Mapping!$E$140:$K$2771,5,0)</f>
        <v>Labour</v>
      </c>
      <c r="Y597" s="7" t="str">
        <f>VLOOKUP($S597,Mapping!$E$140:$K$2771,7,0)</f>
        <v>ENDirect</v>
      </c>
      <c r="Z597" s="7" t="str">
        <f>IFERROR(HLOOKUP(X597,'Calc|Weightings'!$K$5:$M$5,1,0),"Excl")</f>
        <v>Labour</v>
      </c>
      <c r="AA597" s="7" t="str">
        <f>VLOOKUP(Q597,Mapping!$E$11:$I$96,5,0)</f>
        <v>Negotiated Capex</v>
      </c>
      <c r="AC597" s="111">
        <v>119</v>
      </c>
      <c r="AD597" s="111" t="s">
        <v>2133</v>
      </c>
      <c r="AE597" s="111">
        <v>613574</v>
      </c>
      <c r="AF597" s="111" t="s">
        <v>1488</v>
      </c>
      <c r="AG597" s="112">
        <v>2.36816</v>
      </c>
      <c r="AI597" s="7" t="str">
        <f>VLOOKUP($AC597,Mapping!$E$11:$I$96,3,0)</f>
        <v>Negotiated Capex</v>
      </c>
      <c r="AJ597" s="7" t="str">
        <f>VLOOKUP($AE597,Mapping!$E$140:$K$2771,5,0)</f>
        <v>Labour</v>
      </c>
      <c r="AK597" s="7" t="str">
        <f>VLOOKUP($AE597,Mapping!$E$140:$K$2771,7,0)</f>
        <v>ENDirect</v>
      </c>
      <c r="AL597" s="7" t="str">
        <f>IFERROR(HLOOKUP(AJ597,'Calc|Weightings'!$K$5:$M$5,1,0),"Excl")</f>
        <v>Labour</v>
      </c>
      <c r="AM597" s="7" t="str">
        <f>VLOOKUP(AC597,Mapping!$E$11:$I$96,5,0)</f>
        <v>Negotiated Capex</v>
      </c>
      <c r="AO597" s="134">
        <v>120</v>
      </c>
      <c r="AP597" s="135" t="s">
        <v>2134</v>
      </c>
      <c r="AQ597" s="135">
        <v>613240</v>
      </c>
      <c r="AR597" s="135" t="s">
        <v>2082</v>
      </c>
      <c r="AS597" s="136">
        <v>76.54898</v>
      </c>
      <c r="AU597" s="7" t="str">
        <f>VLOOKUP($AO597,Mapping!$E$11:$I$96,3,0)</f>
        <v>Negotiated Capex</v>
      </c>
      <c r="AV597" s="7" t="str">
        <f>VLOOKUP($AQ597,Mapping!$E$140:$K$2771,5,0)</f>
        <v>Labour</v>
      </c>
      <c r="AW597" s="7" t="str">
        <f>VLOOKUP($AQ597,Mapping!$E$140:$K$2771,7,0)</f>
        <v>ENDirect</v>
      </c>
      <c r="AX597" s="7" t="str">
        <f>IFERROR(HLOOKUP(AV597,'Calc|Weightings'!$K$5:$M$5,1,0),"Excl")</f>
        <v>Labour</v>
      </c>
      <c r="AY597" s="7" t="str">
        <f>VLOOKUP(AO597,Mapping!$E$11:$I$96,5,0)</f>
        <v>Negotiated Capex</v>
      </c>
    </row>
    <row r="598" spans="1:51" x14ac:dyDescent="0.2">
      <c r="A598" s="7"/>
      <c r="B598" s="7"/>
      <c r="C598" s="7"/>
      <c r="D598" s="7"/>
      <c r="E598" s="36">
        <v>118</v>
      </c>
      <c r="F598" s="36" t="s">
        <v>2132</v>
      </c>
      <c r="G598" s="36">
        <v>613290</v>
      </c>
      <c r="H598" s="36" t="s">
        <v>2093</v>
      </c>
      <c r="I598" s="37">
        <v>1.4008799999999999</v>
      </c>
      <c r="J598" s="7"/>
      <c r="K598" s="7" t="str">
        <f>VLOOKUP($E598,Mapping!$E$11:$I$96,3,0)</f>
        <v>Connections</v>
      </c>
      <c r="L598" s="7" t="str">
        <f>VLOOKUP($G598,Mapping!$E$140:$K$2771,5,0)</f>
        <v>Labour</v>
      </c>
      <c r="M598" s="7" t="str">
        <f>VLOOKUP($G598,Mapping!$E$140:$K$2771,7,0)</f>
        <v>ENDirect</v>
      </c>
      <c r="N598" s="7" t="str">
        <f>IFERROR(HLOOKUP(L598,'Calc|Weightings'!$K$5:$M$5,1,0),"Excl")</f>
        <v>Labour</v>
      </c>
      <c r="O598" s="7" t="str">
        <f>VLOOKUP(E598,Mapping!$E$11:$I$96,5,0)</f>
        <v>SCS</v>
      </c>
      <c r="Q598" s="33">
        <v>119</v>
      </c>
      <c r="R598" s="33" t="s">
        <v>2133</v>
      </c>
      <c r="S598" s="33">
        <v>614115</v>
      </c>
      <c r="T598" s="33" t="s">
        <v>2109</v>
      </c>
      <c r="U598" s="34">
        <v>0.58020000000000005</v>
      </c>
      <c r="V598" s="7"/>
      <c r="W598" s="7" t="str">
        <f>VLOOKUP($Q598,Mapping!$E$11:$I$96,3,0)</f>
        <v>Negotiated Capex</v>
      </c>
      <c r="X598" s="7" t="str">
        <f>VLOOKUP($S598,Mapping!$E$140:$K$2771,5,0)</f>
        <v>Labour</v>
      </c>
      <c r="Y598" s="7" t="str">
        <f>VLOOKUP($S598,Mapping!$E$140:$K$2771,7,0)</f>
        <v>ENDirect</v>
      </c>
      <c r="Z598" s="7" t="str">
        <f>IFERROR(HLOOKUP(X598,'Calc|Weightings'!$K$5:$M$5,1,0),"Excl")</f>
        <v>Labour</v>
      </c>
      <c r="AA598" s="7" t="str">
        <f>VLOOKUP(Q598,Mapping!$E$11:$I$96,5,0)</f>
        <v>Negotiated Capex</v>
      </c>
      <c r="AC598" s="111">
        <v>119</v>
      </c>
      <c r="AD598" s="111" t="s">
        <v>2133</v>
      </c>
      <c r="AE598" s="111">
        <v>613680</v>
      </c>
      <c r="AF598" s="111" t="s">
        <v>2107</v>
      </c>
      <c r="AG598" s="112">
        <v>0.44303999999999999</v>
      </c>
      <c r="AI598" s="7" t="str">
        <f>VLOOKUP($AC598,Mapping!$E$11:$I$96,3,0)</f>
        <v>Negotiated Capex</v>
      </c>
      <c r="AJ598" s="7" t="str">
        <f>VLOOKUP($AE598,Mapping!$E$140:$K$2771,5,0)</f>
        <v>Labour</v>
      </c>
      <c r="AK598" s="7" t="str">
        <f>VLOOKUP($AE598,Mapping!$E$140:$K$2771,7,0)</f>
        <v>ENDirect</v>
      </c>
      <c r="AL598" s="7" t="str">
        <f>IFERROR(HLOOKUP(AJ598,'Calc|Weightings'!$K$5:$M$5,1,0),"Excl")</f>
        <v>Labour</v>
      </c>
      <c r="AM598" s="7" t="str">
        <f>VLOOKUP(AC598,Mapping!$E$11:$I$96,5,0)</f>
        <v>Negotiated Capex</v>
      </c>
      <c r="AO598" s="134">
        <v>120</v>
      </c>
      <c r="AP598" s="135" t="s">
        <v>2134</v>
      </c>
      <c r="AQ598" s="135">
        <v>613241</v>
      </c>
      <c r="AR598" s="135" t="s">
        <v>2083</v>
      </c>
      <c r="AS598" s="136">
        <v>12.503259999999999</v>
      </c>
      <c r="AU598" s="7" t="str">
        <f>VLOOKUP($AO598,Mapping!$E$11:$I$96,3,0)</f>
        <v>Negotiated Capex</v>
      </c>
      <c r="AV598" s="7" t="str">
        <f>VLOOKUP($AQ598,Mapping!$E$140:$K$2771,5,0)</f>
        <v>Labour</v>
      </c>
      <c r="AW598" s="7" t="str">
        <f>VLOOKUP($AQ598,Mapping!$E$140:$K$2771,7,0)</f>
        <v>ENDirect</v>
      </c>
      <c r="AX598" s="7" t="str">
        <f>IFERROR(HLOOKUP(AV598,'Calc|Weightings'!$K$5:$M$5,1,0),"Excl")</f>
        <v>Labour</v>
      </c>
      <c r="AY598" s="7" t="str">
        <f>VLOOKUP(AO598,Mapping!$E$11:$I$96,5,0)</f>
        <v>Negotiated Capex</v>
      </c>
    </row>
    <row r="599" spans="1:51" x14ac:dyDescent="0.2">
      <c r="A599" s="7"/>
      <c r="B599" s="7"/>
      <c r="C599" s="7"/>
      <c r="D599" s="7"/>
      <c r="E599" s="36">
        <v>118</v>
      </c>
      <c r="F599" s="36" t="s">
        <v>2132</v>
      </c>
      <c r="G599" s="36">
        <v>613298</v>
      </c>
      <c r="H599" s="36" t="s">
        <v>2122</v>
      </c>
      <c r="I599" s="37">
        <v>55.557029999999997</v>
      </c>
      <c r="J599" s="7"/>
      <c r="K599" s="7" t="str">
        <f>VLOOKUP($E599,Mapping!$E$11:$I$96,3,0)</f>
        <v>Connections</v>
      </c>
      <c r="L599" s="7" t="str">
        <f>VLOOKUP($G599,Mapping!$E$140:$K$2771,5,0)</f>
        <v>Labour</v>
      </c>
      <c r="M599" s="7" t="str">
        <f>VLOOKUP($G599,Mapping!$E$140:$K$2771,7,0)</f>
        <v>ENDirect</v>
      </c>
      <c r="N599" s="7" t="str">
        <f>IFERROR(HLOOKUP(L599,'Calc|Weightings'!$K$5:$M$5,1,0),"Excl")</f>
        <v>Labour</v>
      </c>
      <c r="O599" s="7" t="str">
        <f>VLOOKUP(E599,Mapping!$E$11:$I$96,5,0)</f>
        <v>SCS</v>
      </c>
      <c r="Q599" s="33">
        <v>119</v>
      </c>
      <c r="R599" s="33" t="s">
        <v>2133</v>
      </c>
      <c r="S599" s="33">
        <v>634001</v>
      </c>
      <c r="T599" s="33" t="s">
        <v>2110</v>
      </c>
      <c r="U599" s="34">
        <v>18.467410000000001</v>
      </c>
      <c r="V599" s="7"/>
      <c r="W599" s="7" t="str">
        <f>VLOOKUP($Q599,Mapping!$E$11:$I$96,3,0)</f>
        <v>Negotiated Capex</v>
      </c>
      <c r="X599" s="7" t="str">
        <f>VLOOKUP($S599,Mapping!$E$140:$K$2771,5,0)</f>
        <v>Local OH</v>
      </c>
      <c r="Y599" s="7" t="str">
        <f>VLOOKUP($S599,Mapping!$E$140:$K$2771,7,0)</f>
        <v>OH</v>
      </c>
      <c r="Z599" s="7" t="str">
        <f>IFERROR(HLOOKUP(X599,'Calc|Weightings'!$K$5:$M$5,1,0),"Excl")</f>
        <v>Excl</v>
      </c>
      <c r="AA599" s="7" t="str">
        <f>VLOOKUP(Q599,Mapping!$E$11:$I$96,5,0)</f>
        <v>Negotiated Capex</v>
      </c>
      <c r="AC599" s="111">
        <v>119</v>
      </c>
      <c r="AD599" s="111" t="s">
        <v>2133</v>
      </c>
      <c r="AE599" s="111">
        <v>614115</v>
      </c>
      <c r="AF599" s="111" t="s">
        <v>2109</v>
      </c>
      <c r="AG599" s="112">
        <v>4.8522699999999999</v>
      </c>
      <c r="AI599" s="7" t="str">
        <f>VLOOKUP($AC599,Mapping!$E$11:$I$96,3,0)</f>
        <v>Negotiated Capex</v>
      </c>
      <c r="AJ599" s="7" t="str">
        <f>VLOOKUP($AE599,Mapping!$E$140:$K$2771,5,0)</f>
        <v>Labour</v>
      </c>
      <c r="AK599" s="7" t="str">
        <f>VLOOKUP($AE599,Mapping!$E$140:$K$2771,7,0)</f>
        <v>ENDirect</v>
      </c>
      <c r="AL599" s="7" t="str">
        <f>IFERROR(HLOOKUP(AJ599,'Calc|Weightings'!$K$5:$M$5,1,0),"Excl")</f>
        <v>Labour</v>
      </c>
      <c r="AM599" s="7" t="str">
        <f>VLOOKUP(AC599,Mapping!$E$11:$I$96,5,0)</f>
        <v>Negotiated Capex</v>
      </c>
      <c r="AO599" s="134">
        <v>120</v>
      </c>
      <c r="AP599" s="135" t="s">
        <v>2134</v>
      </c>
      <c r="AQ599" s="135">
        <v>613250</v>
      </c>
      <c r="AR599" s="135" t="s">
        <v>2086</v>
      </c>
      <c r="AS599" s="136">
        <v>87.060090000000002</v>
      </c>
      <c r="AU599" s="7" t="str">
        <f>VLOOKUP($AO599,Mapping!$E$11:$I$96,3,0)</f>
        <v>Negotiated Capex</v>
      </c>
      <c r="AV599" s="7" t="str">
        <f>VLOOKUP($AQ599,Mapping!$E$140:$K$2771,5,0)</f>
        <v>Labour</v>
      </c>
      <c r="AW599" s="7" t="str">
        <f>VLOOKUP($AQ599,Mapping!$E$140:$K$2771,7,0)</f>
        <v>ENDirect</v>
      </c>
      <c r="AX599" s="7" t="str">
        <f>IFERROR(HLOOKUP(AV599,'Calc|Weightings'!$K$5:$M$5,1,0),"Excl")</f>
        <v>Labour</v>
      </c>
      <c r="AY599" s="7" t="str">
        <f>VLOOKUP(AO599,Mapping!$E$11:$I$96,5,0)</f>
        <v>Negotiated Capex</v>
      </c>
    </row>
    <row r="600" spans="1:51" x14ac:dyDescent="0.2">
      <c r="A600" s="7"/>
      <c r="B600" s="7"/>
      <c r="C600" s="7"/>
      <c r="D600" s="7"/>
      <c r="E600" s="36">
        <v>118</v>
      </c>
      <c r="F600" s="36" t="s">
        <v>2132</v>
      </c>
      <c r="G600" s="36">
        <v>613310</v>
      </c>
      <c r="H600" s="36" t="s">
        <v>2095</v>
      </c>
      <c r="I600" s="37">
        <v>1.9598199999999999</v>
      </c>
      <c r="J600" s="7"/>
      <c r="K600" s="7" t="str">
        <f>VLOOKUP($E600,Mapping!$E$11:$I$96,3,0)</f>
        <v>Connections</v>
      </c>
      <c r="L600" s="7" t="str">
        <f>VLOOKUP($G600,Mapping!$E$140:$K$2771,5,0)</f>
        <v>Labour</v>
      </c>
      <c r="M600" s="7" t="str">
        <f>VLOOKUP($G600,Mapping!$E$140:$K$2771,7,0)</f>
        <v>ENDirect</v>
      </c>
      <c r="N600" s="7" t="str">
        <f>IFERROR(HLOOKUP(L600,'Calc|Weightings'!$K$5:$M$5,1,0),"Excl")</f>
        <v>Labour</v>
      </c>
      <c r="O600" s="7" t="str">
        <f>VLOOKUP(E600,Mapping!$E$11:$I$96,5,0)</f>
        <v>SCS</v>
      </c>
      <c r="Q600" s="33">
        <v>119</v>
      </c>
      <c r="R600" s="33" t="s">
        <v>2133</v>
      </c>
      <c r="S600" s="33">
        <v>635001</v>
      </c>
      <c r="T600" s="33" t="s">
        <v>1929</v>
      </c>
      <c r="U600" s="34">
        <v>7.3268199999999997</v>
      </c>
      <c r="V600" s="7"/>
      <c r="W600" s="7" t="str">
        <f>VLOOKUP($Q600,Mapping!$E$11:$I$96,3,0)</f>
        <v>Negotiated Capex</v>
      </c>
      <c r="X600" s="7" t="str">
        <f>VLOOKUP($S600,Mapping!$E$140:$K$2771,5,0)</f>
        <v>PNS MG</v>
      </c>
      <c r="Y600" s="7" t="str">
        <f>VLOOKUP($S600,Mapping!$E$140:$K$2771,7,0)</f>
        <v>ENDirect</v>
      </c>
      <c r="Z600" s="7" t="str">
        <f>IFERROR(HLOOKUP(X600,'Calc|Weightings'!$K$5:$M$5,1,0),"Excl")</f>
        <v>Excl</v>
      </c>
      <c r="AA600" s="7" t="str">
        <f>VLOOKUP(Q600,Mapping!$E$11:$I$96,5,0)</f>
        <v>Negotiated Capex</v>
      </c>
      <c r="AC600" s="111">
        <v>119</v>
      </c>
      <c r="AD600" s="111" t="s">
        <v>2133</v>
      </c>
      <c r="AE600" s="111">
        <v>634001</v>
      </c>
      <c r="AF600" s="111" t="s">
        <v>2110</v>
      </c>
      <c r="AG600" s="112">
        <v>117.13705</v>
      </c>
      <c r="AI600" s="7" t="str">
        <f>VLOOKUP($AC600,Mapping!$E$11:$I$96,3,0)</f>
        <v>Negotiated Capex</v>
      </c>
      <c r="AJ600" s="7" t="str">
        <f>VLOOKUP($AE600,Mapping!$E$140:$K$2771,5,0)</f>
        <v>Local OH</v>
      </c>
      <c r="AK600" s="7" t="str">
        <f>VLOOKUP($AE600,Mapping!$E$140:$K$2771,7,0)</f>
        <v>OH</v>
      </c>
      <c r="AL600" s="7" t="str">
        <f>IFERROR(HLOOKUP(AJ600,'Calc|Weightings'!$K$5:$M$5,1,0),"Excl")</f>
        <v>Excl</v>
      </c>
      <c r="AM600" s="7" t="str">
        <f>VLOOKUP(AC600,Mapping!$E$11:$I$96,5,0)</f>
        <v>Negotiated Capex</v>
      </c>
      <c r="AO600" s="134">
        <v>120</v>
      </c>
      <c r="AP600" s="135" t="s">
        <v>2134</v>
      </c>
      <c r="AQ600" s="135">
        <v>613251</v>
      </c>
      <c r="AR600" s="135" t="s">
        <v>2087</v>
      </c>
      <c r="AS600" s="136">
        <v>5.1150200000000003</v>
      </c>
      <c r="AU600" s="7" t="str">
        <f>VLOOKUP($AO600,Mapping!$E$11:$I$96,3,0)</f>
        <v>Negotiated Capex</v>
      </c>
      <c r="AV600" s="7" t="str">
        <f>VLOOKUP($AQ600,Mapping!$E$140:$K$2771,5,0)</f>
        <v>Labour</v>
      </c>
      <c r="AW600" s="7" t="str">
        <f>VLOOKUP($AQ600,Mapping!$E$140:$K$2771,7,0)</f>
        <v>ENDirect</v>
      </c>
      <c r="AX600" s="7" t="str">
        <f>IFERROR(HLOOKUP(AV600,'Calc|Weightings'!$K$5:$M$5,1,0),"Excl")</f>
        <v>Labour</v>
      </c>
      <c r="AY600" s="7" t="str">
        <f>VLOOKUP(AO600,Mapping!$E$11:$I$96,5,0)</f>
        <v>Negotiated Capex</v>
      </c>
    </row>
    <row r="601" spans="1:51" x14ac:dyDescent="0.2">
      <c r="A601" s="7"/>
      <c r="B601" s="7"/>
      <c r="C601" s="7"/>
      <c r="D601" s="7"/>
      <c r="E601" s="36">
        <v>118</v>
      </c>
      <c r="F601" s="36" t="s">
        <v>2132</v>
      </c>
      <c r="G601" s="36">
        <v>613318</v>
      </c>
      <c r="H601" s="36" t="s">
        <v>1360</v>
      </c>
      <c r="I601" s="37">
        <v>14.09806</v>
      </c>
      <c r="J601" s="7"/>
      <c r="K601" s="7" t="str">
        <f>VLOOKUP($E601,Mapping!$E$11:$I$96,3,0)</f>
        <v>Connections</v>
      </c>
      <c r="L601" s="7" t="str">
        <f>VLOOKUP($G601,Mapping!$E$140:$K$2771,5,0)</f>
        <v>Labour</v>
      </c>
      <c r="M601" s="7" t="str">
        <f>VLOOKUP($G601,Mapping!$E$140:$K$2771,7,0)</f>
        <v>ENDirect</v>
      </c>
      <c r="N601" s="7" t="str">
        <f>IFERROR(HLOOKUP(L601,'Calc|Weightings'!$K$5:$M$5,1,0),"Excl")</f>
        <v>Labour</v>
      </c>
      <c r="O601" s="7" t="str">
        <f>VLOOKUP(E601,Mapping!$E$11:$I$96,5,0)</f>
        <v>SCS</v>
      </c>
      <c r="Q601" s="33">
        <v>119</v>
      </c>
      <c r="R601" s="33" t="s">
        <v>2133</v>
      </c>
      <c r="S601" s="33">
        <v>636001</v>
      </c>
      <c r="T601" s="33" t="s">
        <v>2111</v>
      </c>
      <c r="U601" s="34">
        <v>5.71896</v>
      </c>
      <c r="V601" s="7"/>
      <c r="W601" s="7" t="str">
        <f>VLOOKUP($Q601,Mapping!$E$11:$I$96,3,0)</f>
        <v>Negotiated Capex</v>
      </c>
      <c r="X601" s="7" t="str">
        <f>VLOOKUP($S601,Mapping!$E$140:$K$2771,5,0)</f>
        <v>System Control OH</v>
      </c>
      <c r="Y601" s="7" t="str">
        <f>VLOOKUP($S601,Mapping!$E$140:$K$2771,7,0)</f>
        <v>OH</v>
      </c>
      <c r="Z601" s="7" t="str">
        <f>IFERROR(HLOOKUP(X601,'Calc|Weightings'!$K$5:$M$5,1,0),"Excl")</f>
        <v>Excl</v>
      </c>
      <c r="AA601" s="7" t="str">
        <f>VLOOKUP(Q601,Mapping!$E$11:$I$96,5,0)</f>
        <v>Negotiated Capex</v>
      </c>
      <c r="AC601" s="111">
        <v>119</v>
      </c>
      <c r="AD601" s="111" t="s">
        <v>2133</v>
      </c>
      <c r="AE601" s="111">
        <v>635001</v>
      </c>
      <c r="AF601" s="111" t="s">
        <v>1929</v>
      </c>
      <c r="AG601" s="112">
        <v>28.885149999999999</v>
      </c>
      <c r="AI601" s="7" t="str">
        <f>VLOOKUP($AC601,Mapping!$E$11:$I$96,3,0)</f>
        <v>Negotiated Capex</v>
      </c>
      <c r="AJ601" s="7" t="str">
        <f>VLOOKUP($AE601,Mapping!$E$140:$K$2771,5,0)</f>
        <v>PNS MG</v>
      </c>
      <c r="AK601" s="7" t="str">
        <f>VLOOKUP($AE601,Mapping!$E$140:$K$2771,7,0)</f>
        <v>ENDirect</v>
      </c>
      <c r="AL601" s="7" t="str">
        <f>IFERROR(HLOOKUP(AJ601,'Calc|Weightings'!$K$5:$M$5,1,0),"Excl")</f>
        <v>Excl</v>
      </c>
      <c r="AM601" s="7" t="str">
        <f>VLOOKUP(AC601,Mapping!$E$11:$I$96,5,0)</f>
        <v>Negotiated Capex</v>
      </c>
      <c r="AO601" s="134">
        <v>120</v>
      </c>
      <c r="AP601" s="135" t="s">
        <v>2134</v>
      </c>
      <c r="AQ601" s="135">
        <v>613260</v>
      </c>
      <c r="AR601" s="135" t="s">
        <v>2090</v>
      </c>
      <c r="AS601" s="136">
        <v>1.11456</v>
      </c>
      <c r="AU601" s="7" t="str">
        <f>VLOOKUP($AO601,Mapping!$E$11:$I$96,3,0)</f>
        <v>Negotiated Capex</v>
      </c>
      <c r="AV601" s="7" t="str">
        <f>VLOOKUP($AQ601,Mapping!$E$140:$K$2771,5,0)</f>
        <v>Labour</v>
      </c>
      <c r="AW601" s="7" t="str">
        <f>VLOOKUP($AQ601,Mapping!$E$140:$K$2771,7,0)</f>
        <v>ENDirect</v>
      </c>
      <c r="AX601" s="7" t="str">
        <f>IFERROR(HLOOKUP(AV601,'Calc|Weightings'!$K$5:$M$5,1,0),"Excl")</f>
        <v>Labour</v>
      </c>
      <c r="AY601" s="7" t="str">
        <f>VLOOKUP(AO601,Mapping!$E$11:$I$96,5,0)</f>
        <v>Negotiated Capex</v>
      </c>
    </row>
    <row r="602" spans="1:51" x14ac:dyDescent="0.2">
      <c r="A602" s="7"/>
      <c r="B602" s="7"/>
      <c r="C602" s="7"/>
      <c r="D602" s="7"/>
      <c r="E602" s="36">
        <v>118</v>
      </c>
      <c r="F602" s="36" t="s">
        <v>2132</v>
      </c>
      <c r="G602" s="36">
        <v>613319</v>
      </c>
      <c r="H602" s="36" t="s">
        <v>2358</v>
      </c>
      <c r="I602" s="37">
        <v>3.4138799999999998</v>
      </c>
      <c r="J602" s="7"/>
      <c r="K602" s="7" t="str">
        <f>VLOOKUP($E602,Mapping!$E$11:$I$96,3,0)</f>
        <v>Connections</v>
      </c>
      <c r="L602" s="7" t="str">
        <f>VLOOKUP($G602,Mapping!$E$140:$K$2771,5,0)</f>
        <v>Labour</v>
      </c>
      <c r="M602" s="7" t="str">
        <f>VLOOKUP($G602,Mapping!$E$140:$K$2771,7,0)</f>
        <v>ENDirect</v>
      </c>
      <c r="N602" s="7" t="str">
        <f>IFERROR(HLOOKUP(L602,'Calc|Weightings'!$K$5:$M$5,1,0),"Excl")</f>
        <v>Labour</v>
      </c>
      <c r="O602" s="7" t="str">
        <f>VLOOKUP(E602,Mapping!$E$11:$I$96,5,0)</f>
        <v>SCS</v>
      </c>
      <c r="Q602" s="33">
        <v>119</v>
      </c>
      <c r="R602" s="33" t="s">
        <v>2133</v>
      </c>
      <c r="S602" s="33">
        <v>636105</v>
      </c>
      <c r="T602" s="33" t="s">
        <v>1937</v>
      </c>
      <c r="U602" s="34">
        <v>6.0909999999999999E-2</v>
      </c>
      <c r="V602" s="7"/>
      <c r="W602" s="7" t="str">
        <f>VLOOKUP($Q602,Mapping!$E$11:$I$96,3,0)</f>
        <v>Negotiated Capex</v>
      </c>
      <c r="X602" s="7" t="str">
        <f>VLOOKUP($S602,Mapping!$E$140:$K$2771,5,0)</f>
        <v>CSG MG</v>
      </c>
      <c r="Y602" s="7" t="str">
        <f>VLOOKUP($S602,Mapping!$E$140:$K$2771,7,0)</f>
        <v>ENDirect</v>
      </c>
      <c r="Z602" s="7" t="str">
        <f>IFERROR(HLOOKUP(X602,'Calc|Weightings'!$K$5:$M$5,1,0),"Excl")</f>
        <v>Excl</v>
      </c>
      <c r="AA602" s="7" t="str">
        <f>VLOOKUP(Q602,Mapping!$E$11:$I$96,5,0)</f>
        <v>Negotiated Capex</v>
      </c>
      <c r="AC602" s="111">
        <v>119</v>
      </c>
      <c r="AD602" s="111" t="s">
        <v>2133</v>
      </c>
      <c r="AE602" s="111">
        <v>636001</v>
      </c>
      <c r="AF602" s="111" t="s">
        <v>2111</v>
      </c>
      <c r="AG602" s="112">
        <v>93.586849999999998</v>
      </c>
      <c r="AI602" s="7" t="str">
        <f>VLOOKUP($AC602,Mapping!$E$11:$I$96,3,0)</f>
        <v>Negotiated Capex</v>
      </c>
      <c r="AJ602" s="7" t="str">
        <f>VLOOKUP($AE602,Mapping!$E$140:$K$2771,5,0)</f>
        <v>System Control OH</v>
      </c>
      <c r="AK602" s="7" t="str">
        <f>VLOOKUP($AE602,Mapping!$E$140:$K$2771,7,0)</f>
        <v>OH</v>
      </c>
      <c r="AL602" s="7" t="str">
        <f>IFERROR(HLOOKUP(AJ602,'Calc|Weightings'!$K$5:$M$5,1,0),"Excl")</f>
        <v>Excl</v>
      </c>
      <c r="AM602" s="7" t="str">
        <f>VLOOKUP(AC602,Mapping!$E$11:$I$96,5,0)</f>
        <v>Negotiated Capex</v>
      </c>
      <c r="AO602" s="134">
        <v>120</v>
      </c>
      <c r="AP602" s="135" t="s">
        <v>2134</v>
      </c>
      <c r="AQ602" s="135">
        <v>613280</v>
      </c>
      <c r="AR602" s="135" t="s">
        <v>1342</v>
      </c>
      <c r="AS602" s="136">
        <v>11.951919999999999</v>
      </c>
      <c r="AU602" s="7" t="str">
        <f>VLOOKUP($AO602,Mapping!$E$11:$I$96,3,0)</f>
        <v>Negotiated Capex</v>
      </c>
      <c r="AV602" s="7" t="str">
        <f>VLOOKUP($AQ602,Mapping!$E$140:$K$2771,5,0)</f>
        <v>Labour</v>
      </c>
      <c r="AW602" s="7" t="str">
        <f>VLOOKUP($AQ602,Mapping!$E$140:$K$2771,7,0)</f>
        <v>ENDirect</v>
      </c>
      <c r="AX602" s="7" t="str">
        <f>IFERROR(HLOOKUP(AV602,'Calc|Weightings'!$K$5:$M$5,1,0),"Excl")</f>
        <v>Labour</v>
      </c>
      <c r="AY602" s="7" t="str">
        <f>VLOOKUP(AO602,Mapping!$E$11:$I$96,5,0)</f>
        <v>Negotiated Capex</v>
      </c>
    </row>
    <row r="603" spans="1:51" x14ac:dyDescent="0.2">
      <c r="A603" s="7"/>
      <c r="B603" s="7"/>
      <c r="C603" s="7"/>
      <c r="D603" s="7"/>
      <c r="E603" s="36">
        <v>118</v>
      </c>
      <c r="F603" s="36" t="s">
        <v>2132</v>
      </c>
      <c r="G603" s="36">
        <v>613350</v>
      </c>
      <c r="H603" s="36" t="s">
        <v>2096</v>
      </c>
      <c r="I603" s="37">
        <v>2.2849699999999999</v>
      </c>
      <c r="J603" s="7"/>
      <c r="K603" s="7" t="str">
        <f>VLOOKUP($E603,Mapping!$E$11:$I$96,3,0)</f>
        <v>Connections</v>
      </c>
      <c r="L603" s="7" t="str">
        <f>VLOOKUP($G603,Mapping!$E$140:$K$2771,5,0)</f>
        <v>Labour</v>
      </c>
      <c r="M603" s="7" t="str">
        <f>VLOOKUP($G603,Mapping!$E$140:$K$2771,7,0)</f>
        <v>ENDirect</v>
      </c>
      <c r="N603" s="7" t="str">
        <f>IFERROR(HLOOKUP(L603,'Calc|Weightings'!$K$5:$M$5,1,0),"Excl")</f>
        <v>Labour</v>
      </c>
      <c r="O603" s="7" t="str">
        <f>VLOOKUP(E603,Mapping!$E$11:$I$96,5,0)</f>
        <v>SCS</v>
      </c>
      <c r="Q603" s="33">
        <v>119</v>
      </c>
      <c r="R603" s="33" t="s">
        <v>2133</v>
      </c>
      <c r="S603" s="33">
        <v>639000</v>
      </c>
      <c r="T603" s="33" t="s">
        <v>2112</v>
      </c>
      <c r="U603" s="34">
        <v>8.9048700000000007</v>
      </c>
      <c r="V603" s="7"/>
      <c r="W603" s="7" t="str">
        <f>VLOOKUP($Q603,Mapping!$E$11:$I$96,3,0)</f>
        <v>Negotiated Capex</v>
      </c>
      <c r="X603" s="7" t="str">
        <f>VLOOKUP($S603,Mapping!$E$140:$K$2771,5,0)</f>
        <v>PNS Corporate OH</v>
      </c>
      <c r="Y603" s="7" t="str">
        <f>VLOOKUP($S603,Mapping!$E$140:$K$2771,7,0)</f>
        <v>OH</v>
      </c>
      <c r="Z603" s="7" t="str">
        <f>IFERROR(HLOOKUP(X603,'Calc|Weightings'!$K$5:$M$5,1,0),"Excl")</f>
        <v>Excl</v>
      </c>
      <c r="AA603" s="7" t="str">
        <f>VLOOKUP(Q603,Mapping!$E$11:$I$96,5,0)</f>
        <v>Negotiated Capex</v>
      </c>
      <c r="AC603" s="111">
        <v>119</v>
      </c>
      <c r="AD603" s="111" t="s">
        <v>2133</v>
      </c>
      <c r="AE603" s="111">
        <v>636105</v>
      </c>
      <c r="AF603" s="111" t="s">
        <v>1937</v>
      </c>
      <c r="AG603" s="112">
        <v>0.50936999999999999</v>
      </c>
      <c r="AI603" s="7" t="str">
        <f>VLOOKUP($AC603,Mapping!$E$11:$I$96,3,0)</f>
        <v>Negotiated Capex</v>
      </c>
      <c r="AJ603" s="7" t="str">
        <f>VLOOKUP($AE603,Mapping!$E$140:$K$2771,5,0)</f>
        <v>CSG MG</v>
      </c>
      <c r="AK603" s="7" t="str">
        <f>VLOOKUP($AE603,Mapping!$E$140:$K$2771,7,0)</f>
        <v>ENDirect</v>
      </c>
      <c r="AL603" s="7" t="str">
        <f>IFERROR(HLOOKUP(AJ603,'Calc|Weightings'!$K$5:$M$5,1,0),"Excl")</f>
        <v>Excl</v>
      </c>
      <c r="AM603" s="7" t="str">
        <f>VLOOKUP(AC603,Mapping!$E$11:$I$96,5,0)</f>
        <v>Negotiated Capex</v>
      </c>
      <c r="AO603" s="134">
        <v>120</v>
      </c>
      <c r="AP603" s="135" t="s">
        <v>2134</v>
      </c>
      <c r="AQ603" s="135">
        <v>613290</v>
      </c>
      <c r="AR603" s="135" t="s">
        <v>2093</v>
      </c>
      <c r="AS603" s="136">
        <v>101.04401</v>
      </c>
      <c r="AU603" s="7" t="str">
        <f>VLOOKUP($AO603,Mapping!$E$11:$I$96,3,0)</f>
        <v>Negotiated Capex</v>
      </c>
      <c r="AV603" s="7" t="str">
        <f>VLOOKUP($AQ603,Mapping!$E$140:$K$2771,5,0)</f>
        <v>Labour</v>
      </c>
      <c r="AW603" s="7" t="str">
        <f>VLOOKUP($AQ603,Mapping!$E$140:$K$2771,7,0)</f>
        <v>ENDirect</v>
      </c>
      <c r="AX603" s="7" t="str">
        <f>IFERROR(HLOOKUP(AV603,'Calc|Weightings'!$K$5:$M$5,1,0),"Excl")</f>
        <v>Labour</v>
      </c>
      <c r="AY603" s="7" t="str">
        <f>VLOOKUP(AO603,Mapping!$E$11:$I$96,5,0)</f>
        <v>Negotiated Capex</v>
      </c>
    </row>
    <row r="604" spans="1:51" x14ac:dyDescent="0.2">
      <c r="A604" s="7"/>
      <c r="B604" s="7"/>
      <c r="C604" s="7"/>
      <c r="D604" s="7"/>
      <c r="E604" s="36">
        <v>118</v>
      </c>
      <c r="F604" s="36" t="s">
        <v>2132</v>
      </c>
      <c r="G604" s="36">
        <v>613360</v>
      </c>
      <c r="H604" s="36" t="s">
        <v>2097</v>
      </c>
      <c r="I604" s="37">
        <v>1.36839</v>
      </c>
      <c r="J604" s="7"/>
      <c r="K604" s="7" t="str">
        <f>VLOOKUP($E604,Mapping!$E$11:$I$96,3,0)</f>
        <v>Connections</v>
      </c>
      <c r="L604" s="7" t="str">
        <f>VLOOKUP($G604,Mapping!$E$140:$K$2771,5,0)</f>
        <v>Labour</v>
      </c>
      <c r="M604" s="7" t="str">
        <f>VLOOKUP($G604,Mapping!$E$140:$K$2771,7,0)</f>
        <v>ENDirect</v>
      </c>
      <c r="N604" s="7" t="str">
        <f>IFERROR(HLOOKUP(L604,'Calc|Weightings'!$K$5:$M$5,1,0),"Excl")</f>
        <v>Labour</v>
      </c>
      <c r="O604" s="7" t="str">
        <f>VLOOKUP(E604,Mapping!$E$11:$I$96,5,0)</f>
        <v>SCS</v>
      </c>
      <c r="Q604" s="33">
        <v>119</v>
      </c>
      <c r="R604" s="33" t="s">
        <v>2133</v>
      </c>
      <c r="S604" s="33">
        <v>639050</v>
      </c>
      <c r="T604" s="33" t="s">
        <v>2113</v>
      </c>
      <c r="U604" s="34">
        <v>1.4822200000000001</v>
      </c>
      <c r="V604" s="7"/>
      <c r="W604" s="7" t="str">
        <f>VLOOKUP($Q604,Mapping!$E$11:$I$96,3,0)</f>
        <v>Negotiated Capex</v>
      </c>
      <c r="X604" s="7" t="str">
        <f>VLOOKUP($S604,Mapping!$E$140:$K$2771,5,0)</f>
        <v>PNS Fleet &amp; Property OH</v>
      </c>
      <c r="Y604" s="7" t="str">
        <f>VLOOKUP($S604,Mapping!$E$140:$K$2771,7,0)</f>
        <v>OH</v>
      </c>
      <c r="Z604" s="7" t="str">
        <f>IFERROR(HLOOKUP(X604,'Calc|Weightings'!$K$5:$M$5,1,0),"Excl")</f>
        <v>Excl</v>
      </c>
      <c r="AA604" s="7" t="str">
        <f>VLOOKUP(Q604,Mapping!$E$11:$I$96,5,0)</f>
        <v>Negotiated Capex</v>
      </c>
      <c r="AC604" s="111">
        <v>119</v>
      </c>
      <c r="AD604" s="111" t="s">
        <v>2133</v>
      </c>
      <c r="AE604" s="111">
        <v>639000</v>
      </c>
      <c r="AF604" s="111" t="s">
        <v>2112</v>
      </c>
      <c r="AG604" s="112">
        <v>90.667150000000007</v>
      </c>
      <c r="AI604" s="7" t="str">
        <f>VLOOKUP($AC604,Mapping!$E$11:$I$96,3,0)</f>
        <v>Negotiated Capex</v>
      </c>
      <c r="AJ604" s="7" t="str">
        <f>VLOOKUP($AE604,Mapping!$E$140:$K$2771,5,0)</f>
        <v>PNS Corporate OH</v>
      </c>
      <c r="AK604" s="7" t="str">
        <f>VLOOKUP($AE604,Mapping!$E$140:$K$2771,7,0)</f>
        <v>OH</v>
      </c>
      <c r="AL604" s="7" t="str">
        <f>IFERROR(HLOOKUP(AJ604,'Calc|Weightings'!$K$5:$M$5,1,0),"Excl")</f>
        <v>Excl</v>
      </c>
      <c r="AM604" s="7" t="str">
        <f>VLOOKUP(AC604,Mapping!$E$11:$I$96,5,0)</f>
        <v>Negotiated Capex</v>
      </c>
      <c r="AO604" s="134">
        <v>120</v>
      </c>
      <c r="AP604" s="135" t="s">
        <v>2134</v>
      </c>
      <c r="AQ604" s="135">
        <v>613291</v>
      </c>
      <c r="AR604" s="135" t="s">
        <v>2094</v>
      </c>
      <c r="AS604" s="136">
        <v>2.6808800000000002</v>
      </c>
      <c r="AU604" s="7" t="str">
        <f>VLOOKUP($AO604,Mapping!$E$11:$I$96,3,0)</f>
        <v>Negotiated Capex</v>
      </c>
      <c r="AV604" s="7" t="str">
        <f>VLOOKUP($AQ604,Mapping!$E$140:$K$2771,5,0)</f>
        <v>Labour</v>
      </c>
      <c r="AW604" s="7" t="str">
        <f>VLOOKUP($AQ604,Mapping!$E$140:$K$2771,7,0)</f>
        <v>ENDirect</v>
      </c>
      <c r="AX604" s="7" t="str">
        <f>IFERROR(HLOOKUP(AV604,'Calc|Weightings'!$K$5:$M$5,1,0),"Excl")</f>
        <v>Labour</v>
      </c>
      <c r="AY604" s="7" t="str">
        <f>VLOOKUP(AO604,Mapping!$E$11:$I$96,5,0)</f>
        <v>Negotiated Capex</v>
      </c>
    </row>
    <row r="605" spans="1:51" x14ac:dyDescent="0.2">
      <c r="A605" s="7"/>
      <c r="B605" s="7"/>
      <c r="C605" s="7"/>
      <c r="D605" s="7"/>
      <c r="E605" s="36">
        <v>118</v>
      </c>
      <c r="F605" s="36" t="s">
        <v>2132</v>
      </c>
      <c r="G605" s="36">
        <v>613566</v>
      </c>
      <c r="H605" s="36" t="s">
        <v>1482</v>
      </c>
      <c r="I605" s="37">
        <v>0.97367999999999999</v>
      </c>
      <c r="J605" s="7"/>
      <c r="K605" s="7" t="str">
        <f>VLOOKUP($E605,Mapping!$E$11:$I$96,3,0)</f>
        <v>Connections</v>
      </c>
      <c r="L605" s="7" t="str">
        <f>VLOOKUP($G605,Mapping!$E$140:$K$2771,5,0)</f>
        <v>Labour</v>
      </c>
      <c r="M605" s="7" t="str">
        <f>VLOOKUP($G605,Mapping!$E$140:$K$2771,7,0)</f>
        <v>ENDirect</v>
      </c>
      <c r="N605" s="7" t="str">
        <f>IFERROR(HLOOKUP(L605,'Calc|Weightings'!$K$5:$M$5,1,0),"Excl")</f>
        <v>Labour</v>
      </c>
      <c r="O605" s="7" t="str">
        <f>VLOOKUP(E605,Mapping!$E$11:$I$96,5,0)</f>
        <v>SCS</v>
      </c>
      <c r="Q605" s="33">
        <v>120</v>
      </c>
      <c r="R605" s="33" t="s">
        <v>2134</v>
      </c>
      <c r="S605" s="33">
        <v>520100</v>
      </c>
      <c r="T605" s="33" t="s">
        <v>2072</v>
      </c>
      <c r="U605" s="34">
        <v>48.119950000000003</v>
      </c>
      <c r="V605" s="7"/>
      <c r="W605" s="7" t="str">
        <f>VLOOKUP($Q605,Mapping!$E$11:$I$96,3,0)</f>
        <v>Negotiated Capex</v>
      </c>
      <c r="X605" s="7" t="str">
        <f>VLOOKUP($S605,Mapping!$E$140:$K$2771,5,0)</f>
        <v>Materials</v>
      </c>
      <c r="Y605" s="7" t="str">
        <f>VLOOKUP($S605,Mapping!$E$140:$K$2771,7,0)</f>
        <v>ENDirect</v>
      </c>
      <c r="Z605" s="7" t="str">
        <f>IFERROR(HLOOKUP(X605,'Calc|Weightings'!$K$5:$M$5,1,0),"Excl")</f>
        <v>Materials</v>
      </c>
      <c r="AA605" s="7" t="str">
        <f>VLOOKUP(Q605,Mapping!$E$11:$I$96,5,0)</f>
        <v>Negotiated Capex</v>
      </c>
      <c r="AC605" s="111">
        <v>119</v>
      </c>
      <c r="AD605" s="111" t="s">
        <v>2133</v>
      </c>
      <c r="AE605" s="111">
        <v>639050</v>
      </c>
      <c r="AF605" s="111" t="s">
        <v>2113</v>
      </c>
      <c r="AG605" s="112">
        <v>4.1019800000000002</v>
      </c>
      <c r="AI605" s="7" t="str">
        <f>VLOOKUP($AC605,Mapping!$E$11:$I$96,3,0)</f>
        <v>Negotiated Capex</v>
      </c>
      <c r="AJ605" s="7" t="str">
        <f>VLOOKUP($AE605,Mapping!$E$140:$K$2771,5,0)</f>
        <v>PNS Fleet &amp; Property OH</v>
      </c>
      <c r="AK605" s="7" t="str">
        <f>VLOOKUP($AE605,Mapping!$E$140:$K$2771,7,0)</f>
        <v>OH</v>
      </c>
      <c r="AL605" s="7" t="str">
        <f>IFERROR(HLOOKUP(AJ605,'Calc|Weightings'!$K$5:$M$5,1,0),"Excl")</f>
        <v>Excl</v>
      </c>
      <c r="AM605" s="7" t="str">
        <f>VLOOKUP(AC605,Mapping!$E$11:$I$96,5,0)</f>
        <v>Negotiated Capex</v>
      </c>
      <c r="AO605" s="134">
        <v>120</v>
      </c>
      <c r="AP605" s="135" t="s">
        <v>2134</v>
      </c>
      <c r="AQ605" s="135">
        <v>613350</v>
      </c>
      <c r="AR605" s="135" t="s">
        <v>2096</v>
      </c>
      <c r="AS605" s="136">
        <v>2.0215999999999998</v>
      </c>
      <c r="AU605" s="7" t="str">
        <f>VLOOKUP($AO605,Mapping!$E$11:$I$96,3,0)</f>
        <v>Negotiated Capex</v>
      </c>
      <c r="AV605" s="7" t="str">
        <f>VLOOKUP($AQ605,Mapping!$E$140:$K$2771,5,0)</f>
        <v>Labour</v>
      </c>
      <c r="AW605" s="7" t="str">
        <f>VLOOKUP($AQ605,Mapping!$E$140:$K$2771,7,0)</f>
        <v>ENDirect</v>
      </c>
      <c r="AX605" s="7" t="str">
        <f>IFERROR(HLOOKUP(AV605,'Calc|Weightings'!$K$5:$M$5,1,0),"Excl")</f>
        <v>Labour</v>
      </c>
      <c r="AY605" s="7" t="str">
        <f>VLOOKUP(AO605,Mapping!$E$11:$I$96,5,0)</f>
        <v>Negotiated Capex</v>
      </c>
    </row>
    <row r="606" spans="1:51" x14ac:dyDescent="0.2">
      <c r="A606" s="7"/>
      <c r="B606" s="7"/>
      <c r="C606" s="7"/>
      <c r="D606" s="7"/>
      <c r="E606" s="36">
        <v>118</v>
      </c>
      <c r="F606" s="36" t="s">
        <v>2132</v>
      </c>
      <c r="G606" s="36">
        <v>613680</v>
      </c>
      <c r="H606" s="36" t="s">
        <v>2107</v>
      </c>
      <c r="I606" s="37">
        <v>2.53566</v>
      </c>
      <c r="J606" s="7"/>
      <c r="K606" s="7" t="str">
        <f>VLOOKUP($E606,Mapping!$E$11:$I$96,3,0)</f>
        <v>Connections</v>
      </c>
      <c r="L606" s="7" t="str">
        <f>VLOOKUP($G606,Mapping!$E$140:$K$2771,5,0)</f>
        <v>Labour</v>
      </c>
      <c r="M606" s="7" t="str">
        <f>VLOOKUP($G606,Mapping!$E$140:$K$2771,7,0)</f>
        <v>ENDirect</v>
      </c>
      <c r="N606" s="7" t="str">
        <f>IFERROR(HLOOKUP(L606,'Calc|Weightings'!$K$5:$M$5,1,0),"Excl")</f>
        <v>Labour</v>
      </c>
      <c r="O606" s="7" t="str">
        <f>VLOOKUP(E606,Mapping!$E$11:$I$96,5,0)</f>
        <v>SCS</v>
      </c>
      <c r="Q606" s="33">
        <v>120</v>
      </c>
      <c r="R606" s="33" t="s">
        <v>2134</v>
      </c>
      <c r="S606" s="33">
        <v>523100</v>
      </c>
      <c r="T606" s="33" t="s">
        <v>2074</v>
      </c>
      <c r="U606" s="34">
        <v>3.51892</v>
      </c>
      <c r="V606" s="7"/>
      <c r="W606" s="7" t="str">
        <f>VLOOKUP($Q606,Mapping!$E$11:$I$96,3,0)</f>
        <v>Negotiated Capex</v>
      </c>
      <c r="X606" s="7" t="str">
        <f>VLOOKUP($S606,Mapping!$E$140:$K$2771,5,0)</f>
        <v>Materials</v>
      </c>
      <c r="Y606" s="7" t="str">
        <f>VLOOKUP($S606,Mapping!$E$140:$K$2771,7,0)</f>
        <v>ENDirect</v>
      </c>
      <c r="Z606" s="7" t="str">
        <f>IFERROR(HLOOKUP(X606,'Calc|Weightings'!$K$5:$M$5,1,0),"Excl")</f>
        <v>Materials</v>
      </c>
      <c r="AA606" s="7" t="str">
        <f>VLOOKUP(Q606,Mapping!$E$11:$I$96,5,0)</f>
        <v>Negotiated Capex</v>
      </c>
      <c r="AC606" s="111">
        <v>120</v>
      </c>
      <c r="AD606" s="111" t="s">
        <v>2134</v>
      </c>
      <c r="AE606" s="111">
        <v>503350</v>
      </c>
      <c r="AF606" s="111" t="s">
        <v>182</v>
      </c>
      <c r="AG606" s="112">
        <v>1.32</v>
      </c>
      <c r="AI606" s="7" t="str">
        <f>VLOOKUP($AC606,Mapping!$E$11:$I$96,3,0)</f>
        <v>Negotiated Capex</v>
      </c>
      <c r="AJ606" s="7" t="str">
        <f>VLOOKUP($AE606,Mapping!$E$140:$K$2771,5,0)</f>
        <v>Contracts</v>
      </c>
      <c r="AK606" s="7" t="str">
        <f>VLOOKUP($AE606,Mapping!$E$140:$K$2771,7,0)</f>
        <v>ENDirect</v>
      </c>
      <c r="AL606" s="7" t="str">
        <f>IFERROR(HLOOKUP(AJ606,'Calc|Weightings'!$K$5:$M$5,1,0),"Excl")</f>
        <v>Contracts</v>
      </c>
      <c r="AM606" s="7" t="str">
        <f>VLOOKUP(AC606,Mapping!$E$11:$I$96,5,0)</f>
        <v>Negotiated Capex</v>
      </c>
      <c r="AO606" s="134">
        <v>120</v>
      </c>
      <c r="AP606" s="135" t="s">
        <v>2134</v>
      </c>
      <c r="AQ606" s="135">
        <v>613360</v>
      </c>
      <c r="AR606" s="135" t="s">
        <v>2097</v>
      </c>
      <c r="AS606" s="136">
        <v>8.2643599999999999</v>
      </c>
      <c r="AU606" s="7" t="str">
        <f>VLOOKUP($AO606,Mapping!$E$11:$I$96,3,0)</f>
        <v>Negotiated Capex</v>
      </c>
      <c r="AV606" s="7" t="str">
        <f>VLOOKUP($AQ606,Mapping!$E$140:$K$2771,5,0)</f>
        <v>Labour</v>
      </c>
      <c r="AW606" s="7" t="str">
        <f>VLOOKUP($AQ606,Mapping!$E$140:$K$2771,7,0)</f>
        <v>ENDirect</v>
      </c>
      <c r="AX606" s="7" t="str">
        <f>IFERROR(HLOOKUP(AV606,'Calc|Weightings'!$K$5:$M$5,1,0),"Excl")</f>
        <v>Labour</v>
      </c>
      <c r="AY606" s="7" t="str">
        <f>VLOOKUP(AO606,Mapping!$E$11:$I$96,5,0)</f>
        <v>Negotiated Capex</v>
      </c>
    </row>
    <row r="607" spans="1:51" x14ac:dyDescent="0.2">
      <c r="A607" s="7"/>
      <c r="B607" s="7"/>
      <c r="C607" s="7"/>
      <c r="D607" s="7"/>
      <c r="E607" s="36">
        <v>118</v>
      </c>
      <c r="F607" s="36" t="s">
        <v>2132</v>
      </c>
      <c r="G607" s="36">
        <v>615375</v>
      </c>
      <c r="H607" s="36" t="s">
        <v>1717</v>
      </c>
      <c r="I607" s="37">
        <v>0.36</v>
      </c>
      <c r="J607" s="7"/>
      <c r="K607" s="7" t="str">
        <f>VLOOKUP($E607,Mapping!$E$11:$I$96,3,0)</f>
        <v>Connections</v>
      </c>
      <c r="L607" s="7" t="str">
        <f>VLOOKUP($G607,Mapping!$E$140:$K$2771,5,0)</f>
        <v>Labour</v>
      </c>
      <c r="M607" s="7" t="str">
        <f>VLOOKUP($G607,Mapping!$E$140:$K$2771,7,0)</f>
        <v>ENDirect</v>
      </c>
      <c r="N607" s="7" t="str">
        <f>IFERROR(HLOOKUP(L607,'Calc|Weightings'!$K$5:$M$5,1,0),"Excl")</f>
        <v>Labour</v>
      </c>
      <c r="O607" s="7" t="str">
        <f>VLOOKUP(E607,Mapping!$E$11:$I$96,5,0)</f>
        <v>SCS</v>
      </c>
      <c r="Q607" s="33">
        <v>120</v>
      </c>
      <c r="R607" s="33" t="s">
        <v>2134</v>
      </c>
      <c r="S607" s="33">
        <v>531020</v>
      </c>
      <c r="T607" s="33" t="s">
        <v>219</v>
      </c>
      <c r="U607" s="34">
        <v>2.4500000000000002</v>
      </c>
      <c r="V607" s="7"/>
      <c r="W607" s="7" t="str">
        <f>VLOOKUP($Q607,Mapping!$E$11:$I$96,3,0)</f>
        <v>Negotiated Capex</v>
      </c>
      <c r="X607" s="7" t="str">
        <f>VLOOKUP($S607,Mapping!$E$140:$K$2771,5,0)</f>
        <v>Labour</v>
      </c>
      <c r="Y607" s="7" t="str">
        <f>VLOOKUP($S607,Mapping!$E$140:$K$2771,7,0)</f>
        <v>ENDirect</v>
      </c>
      <c r="Z607" s="7" t="str">
        <f>IFERROR(HLOOKUP(X607,'Calc|Weightings'!$K$5:$M$5,1,0),"Excl")</f>
        <v>Labour</v>
      </c>
      <c r="AA607" s="7" t="str">
        <f>VLOOKUP(Q607,Mapping!$E$11:$I$96,5,0)</f>
        <v>Negotiated Capex</v>
      </c>
      <c r="AC607" s="111">
        <v>120</v>
      </c>
      <c r="AD607" s="111" t="s">
        <v>2134</v>
      </c>
      <c r="AE607" s="111">
        <v>520100</v>
      </c>
      <c r="AF607" s="111" t="s">
        <v>2072</v>
      </c>
      <c r="AG607" s="112">
        <v>1748.63293</v>
      </c>
      <c r="AI607" s="7" t="str">
        <f>VLOOKUP($AC607,Mapping!$E$11:$I$96,3,0)</f>
        <v>Negotiated Capex</v>
      </c>
      <c r="AJ607" s="7" t="str">
        <f>VLOOKUP($AE607,Mapping!$E$140:$K$2771,5,0)</f>
        <v>Materials</v>
      </c>
      <c r="AK607" s="7" t="str">
        <f>VLOOKUP($AE607,Mapping!$E$140:$K$2771,7,0)</f>
        <v>ENDirect</v>
      </c>
      <c r="AL607" s="7" t="str">
        <f>IFERROR(HLOOKUP(AJ607,'Calc|Weightings'!$K$5:$M$5,1,0),"Excl")</f>
        <v>Materials</v>
      </c>
      <c r="AM607" s="7" t="str">
        <f>VLOOKUP(AC607,Mapping!$E$11:$I$96,5,0)</f>
        <v>Negotiated Capex</v>
      </c>
      <c r="AO607" s="134">
        <v>120</v>
      </c>
      <c r="AP607" s="135" t="s">
        <v>2134</v>
      </c>
      <c r="AQ607" s="135">
        <v>613400</v>
      </c>
      <c r="AR607" s="135" t="s">
        <v>2099</v>
      </c>
      <c r="AS607" s="136">
        <v>21.04487</v>
      </c>
      <c r="AU607" s="7" t="str">
        <f>VLOOKUP($AO607,Mapping!$E$11:$I$96,3,0)</f>
        <v>Negotiated Capex</v>
      </c>
      <c r="AV607" s="7" t="str">
        <f>VLOOKUP($AQ607,Mapping!$E$140:$K$2771,5,0)</f>
        <v>Labour</v>
      </c>
      <c r="AW607" s="7" t="str">
        <f>VLOOKUP($AQ607,Mapping!$E$140:$K$2771,7,0)</f>
        <v>ENDirect</v>
      </c>
      <c r="AX607" s="7" t="str">
        <f>IFERROR(HLOOKUP(AV607,'Calc|Weightings'!$K$5:$M$5,1,0),"Excl")</f>
        <v>Labour</v>
      </c>
      <c r="AY607" s="7" t="str">
        <f>VLOOKUP(AO607,Mapping!$E$11:$I$96,5,0)</f>
        <v>Negotiated Capex</v>
      </c>
    </row>
    <row r="608" spans="1:51" x14ac:dyDescent="0.2">
      <c r="A608" s="7"/>
      <c r="B608" s="7"/>
      <c r="C608" s="7"/>
      <c r="D608" s="7"/>
      <c r="E608" s="36">
        <v>118</v>
      </c>
      <c r="F608" s="36" t="s">
        <v>2132</v>
      </c>
      <c r="G608" s="36">
        <v>633000</v>
      </c>
      <c r="H608" s="36" t="s">
        <v>2202</v>
      </c>
      <c r="I608" s="37">
        <v>18.24267</v>
      </c>
      <c r="J608" s="7"/>
      <c r="K608" s="7" t="str">
        <f>VLOOKUP($E608,Mapping!$E$11:$I$96,3,0)</f>
        <v>Connections</v>
      </c>
      <c r="L608" s="7" t="str">
        <f>VLOOKUP($G608,Mapping!$E$140:$K$2771,5,0)</f>
        <v>Contracts</v>
      </c>
      <c r="M608" s="7" t="str">
        <f>VLOOKUP($G608,Mapping!$E$140:$K$2771,7,0)</f>
        <v>OH</v>
      </c>
      <c r="N608" s="7" t="str">
        <f>IFERROR(HLOOKUP(L608,'Calc|Weightings'!$K$5:$M$5,1,0),"Excl")</f>
        <v>Contracts</v>
      </c>
      <c r="O608" s="7" t="str">
        <f>VLOOKUP(E608,Mapping!$E$11:$I$96,5,0)</f>
        <v>SCS</v>
      </c>
      <c r="Q608" s="33">
        <v>120</v>
      </c>
      <c r="R608" s="33" t="s">
        <v>2134</v>
      </c>
      <c r="S608" s="33">
        <v>531035</v>
      </c>
      <c r="T608" s="33" t="s">
        <v>244</v>
      </c>
      <c r="U608" s="34">
        <v>6.3421000000000003</v>
      </c>
      <c r="V608" s="7"/>
      <c r="W608" s="7" t="str">
        <f>VLOOKUP($Q608,Mapping!$E$11:$I$96,3,0)</f>
        <v>Negotiated Capex</v>
      </c>
      <c r="X608" s="7" t="str">
        <f>VLOOKUP($S608,Mapping!$E$140:$K$2771,5,0)</f>
        <v>Labour</v>
      </c>
      <c r="Y608" s="7" t="str">
        <f>VLOOKUP($S608,Mapping!$E$140:$K$2771,7,0)</f>
        <v>ENDirect</v>
      </c>
      <c r="Z608" s="7" t="str">
        <f>IFERROR(HLOOKUP(X608,'Calc|Weightings'!$K$5:$M$5,1,0),"Excl")</f>
        <v>Labour</v>
      </c>
      <c r="AA608" s="7" t="str">
        <f>VLOOKUP(Q608,Mapping!$E$11:$I$96,5,0)</f>
        <v>Negotiated Capex</v>
      </c>
      <c r="AC608" s="111">
        <v>120</v>
      </c>
      <c r="AD608" s="111" t="s">
        <v>2134</v>
      </c>
      <c r="AE608" s="111">
        <v>523100</v>
      </c>
      <c r="AF608" s="111" t="s">
        <v>2074</v>
      </c>
      <c r="AG608" s="112">
        <v>0.99777000000000005</v>
      </c>
      <c r="AI608" s="7" t="str">
        <f>VLOOKUP($AC608,Mapping!$E$11:$I$96,3,0)</f>
        <v>Negotiated Capex</v>
      </c>
      <c r="AJ608" s="7" t="str">
        <f>VLOOKUP($AE608,Mapping!$E$140:$K$2771,5,0)</f>
        <v>Materials</v>
      </c>
      <c r="AK608" s="7" t="str">
        <f>VLOOKUP($AE608,Mapping!$E$140:$K$2771,7,0)</f>
        <v>ENDirect</v>
      </c>
      <c r="AL608" s="7" t="str">
        <f>IFERROR(HLOOKUP(AJ608,'Calc|Weightings'!$K$5:$M$5,1,0),"Excl")</f>
        <v>Materials</v>
      </c>
      <c r="AM608" s="7" t="str">
        <f>VLOOKUP(AC608,Mapping!$E$11:$I$96,5,0)</f>
        <v>Negotiated Capex</v>
      </c>
      <c r="AO608" s="134">
        <v>120</v>
      </c>
      <c r="AP608" s="135" t="s">
        <v>2134</v>
      </c>
      <c r="AQ608" s="135">
        <v>613401</v>
      </c>
      <c r="AR608" s="135" t="s">
        <v>2117</v>
      </c>
      <c r="AS608" s="136">
        <v>0.24357000000000001</v>
      </c>
      <c r="AU608" s="7" t="str">
        <f>VLOOKUP($AO608,Mapping!$E$11:$I$96,3,0)</f>
        <v>Negotiated Capex</v>
      </c>
      <c r="AV608" s="7" t="str">
        <f>VLOOKUP($AQ608,Mapping!$E$140:$K$2771,5,0)</f>
        <v>Labour</v>
      </c>
      <c r="AW608" s="7" t="str">
        <f>VLOOKUP($AQ608,Mapping!$E$140:$K$2771,7,0)</f>
        <v>ENDirect</v>
      </c>
      <c r="AX608" s="7" t="str">
        <f>IFERROR(HLOOKUP(AV608,'Calc|Weightings'!$K$5:$M$5,1,0),"Excl")</f>
        <v>Labour</v>
      </c>
      <c r="AY608" s="7" t="str">
        <f>VLOOKUP(AO608,Mapping!$E$11:$I$96,5,0)</f>
        <v>Negotiated Capex</v>
      </c>
    </row>
    <row r="609" spans="1:51" x14ac:dyDescent="0.2">
      <c r="A609" s="7"/>
      <c r="B609" s="7"/>
      <c r="C609" s="7"/>
      <c r="D609" s="7"/>
      <c r="E609" s="36">
        <v>118</v>
      </c>
      <c r="F609" s="36" t="s">
        <v>2132</v>
      </c>
      <c r="G609" s="36">
        <v>634001</v>
      </c>
      <c r="H609" s="36" t="s">
        <v>2110</v>
      </c>
      <c r="I609" s="37">
        <v>7.5955199999999996</v>
      </c>
      <c r="J609" s="7"/>
      <c r="K609" s="7" t="str">
        <f>VLOOKUP($E609,Mapping!$E$11:$I$96,3,0)</f>
        <v>Connections</v>
      </c>
      <c r="L609" s="7" t="str">
        <f>VLOOKUP($G609,Mapping!$E$140:$K$2771,5,0)</f>
        <v>Local OH</v>
      </c>
      <c r="M609" s="7" t="str">
        <f>VLOOKUP($G609,Mapping!$E$140:$K$2771,7,0)</f>
        <v>OH</v>
      </c>
      <c r="N609" s="7" t="str">
        <f>IFERROR(HLOOKUP(L609,'Calc|Weightings'!$K$5:$M$5,1,0),"Excl")</f>
        <v>Excl</v>
      </c>
      <c r="O609" s="7" t="str">
        <f>VLOOKUP(E609,Mapping!$E$11:$I$96,5,0)</f>
        <v>SCS</v>
      </c>
      <c r="Q609" s="33">
        <v>120</v>
      </c>
      <c r="R609" s="33" t="s">
        <v>2134</v>
      </c>
      <c r="S609" s="33">
        <v>531464</v>
      </c>
      <c r="T609" s="33" t="s">
        <v>256</v>
      </c>
      <c r="U609" s="34">
        <v>83.517160000000004</v>
      </c>
      <c r="V609" s="7"/>
      <c r="W609" s="7" t="str">
        <f>VLOOKUP($Q609,Mapping!$E$11:$I$96,3,0)</f>
        <v>Negotiated Capex</v>
      </c>
      <c r="X609" s="7" t="str">
        <f>VLOOKUP($S609,Mapping!$E$140:$K$2771,5,0)</f>
        <v>Contracts</v>
      </c>
      <c r="Y609" s="7" t="str">
        <f>VLOOKUP($S609,Mapping!$E$140:$K$2771,7,0)</f>
        <v>ENDirect</v>
      </c>
      <c r="Z609" s="7" t="str">
        <f>IFERROR(HLOOKUP(X609,'Calc|Weightings'!$K$5:$M$5,1,0),"Excl")</f>
        <v>Contracts</v>
      </c>
      <c r="AA609" s="7" t="str">
        <f>VLOOKUP(Q609,Mapping!$E$11:$I$96,5,0)</f>
        <v>Negotiated Capex</v>
      </c>
      <c r="AC609" s="111">
        <v>120</v>
      </c>
      <c r="AD609" s="111" t="s">
        <v>2134</v>
      </c>
      <c r="AE609" s="111">
        <v>531000</v>
      </c>
      <c r="AF609" s="111" t="s">
        <v>242</v>
      </c>
      <c r="AG609" s="112">
        <v>0.12950999999999999</v>
      </c>
      <c r="AI609" s="7" t="str">
        <f>VLOOKUP($AC609,Mapping!$E$11:$I$96,3,0)</f>
        <v>Negotiated Capex</v>
      </c>
      <c r="AJ609" s="7" t="str">
        <f>VLOOKUP($AE609,Mapping!$E$140:$K$2771,5,0)</f>
        <v>Contracts</v>
      </c>
      <c r="AK609" s="7" t="str">
        <f>VLOOKUP($AE609,Mapping!$E$140:$K$2771,7,0)</f>
        <v>ENDirect</v>
      </c>
      <c r="AL609" s="7" t="str">
        <f>IFERROR(HLOOKUP(AJ609,'Calc|Weightings'!$K$5:$M$5,1,0),"Excl")</f>
        <v>Contracts</v>
      </c>
      <c r="AM609" s="7" t="str">
        <f>VLOOKUP(AC609,Mapping!$E$11:$I$96,5,0)</f>
        <v>Negotiated Capex</v>
      </c>
      <c r="AO609" s="134">
        <v>120</v>
      </c>
      <c r="AP609" s="135" t="s">
        <v>2134</v>
      </c>
      <c r="AQ609" s="135">
        <v>613410</v>
      </c>
      <c r="AR609" s="135" t="s">
        <v>2100</v>
      </c>
      <c r="AS609" s="136">
        <v>30.781140000000001</v>
      </c>
      <c r="AU609" s="7" t="str">
        <f>VLOOKUP($AO609,Mapping!$E$11:$I$96,3,0)</f>
        <v>Negotiated Capex</v>
      </c>
      <c r="AV609" s="7" t="str">
        <f>VLOOKUP($AQ609,Mapping!$E$140:$K$2771,5,0)</f>
        <v>Labour</v>
      </c>
      <c r="AW609" s="7" t="str">
        <f>VLOOKUP($AQ609,Mapping!$E$140:$K$2771,7,0)</f>
        <v>ENDirect</v>
      </c>
      <c r="AX609" s="7" t="str">
        <f>IFERROR(HLOOKUP(AV609,'Calc|Weightings'!$K$5:$M$5,1,0),"Excl")</f>
        <v>Labour</v>
      </c>
      <c r="AY609" s="7" t="str">
        <f>VLOOKUP(AO609,Mapping!$E$11:$I$96,5,0)</f>
        <v>Negotiated Capex</v>
      </c>
    </row>
    <row r="610" spans="1:51" x14ac:dyDescent="0.2">
      <c r="A610" s="7"/>
      <c r="B610" s="7"/>
      <c r="C610" s="7"/>
      <c r="D610" s="7"/>
      <c r="E610" s="36">
        <v>118</v>
      </c>
      <c r="F610" s="36" t="s">
        <v>2132</v>
      </c>
      <c r="G610" s="36">
        <v>635001</v>
      </c>
      <c r="H610" s="36" t="s">
        <v>1929</v>
      </c>
      <c r="I610" s="37">
        <v>5.6994600000000002</v>
      </c>
      <c r="J610" s="7"/>
      <c r="K610" s="7" t="str">
        <f>VLOOKUP($E610,Mapping!$E$11:$I$96,3,0)</f>
        <v>Connections</v>
      </c>
      <c r="L610" s="7" t="str">
        <f>VLOOKUP($G610,Mapping!$E$140:$K$2771,5,0)</f>
        <v>PNS MG</v>
      </c>
      <c r="M610" s="7" t="str">
        <f>VLOOKUP($G610,Mapping!$E$140:$K$2771,7,0)</f>
        <v>ENDirect</v>
      </c>
      <c r="N610" s="7" t="str">
        <f>IFERROR(HLOOKUP(L610,'Calc|Weightings'!$K$5:$M$5,1,0),"Excl")</f>
        <v>Excl</v>
      </c>
      <c r="O610" s="7" t="str">
        <f>VLOOKUP(E610,Mapping!$E$11:$I$96,5,0)</f>
        <v>SCS</v>
      </c>
      <c r="Q610" s="33">
        <v>120</v>
      </c>
      <c r="R610" s="33" t="s">
        <v>2134</v>
      </c>
      <c r="S610" s="33">
        <v>531466</v>
      </c>
      <c r="T610" s="33" t="s">
        <v>258</v>
      </c>
      <c r="U610" s="34">
        <v>41.790320000000001</v>
      </c>
      <c r="V610" s="7"/>
      <c r="W610" s="7" t="str">
        <f>VLOOKUP($Q610,Mapping!$E$11:$I$96,3,0)</f>
        <v>Negotiated Capex</v>
      </c>
      <c r="X610" s="7" t="str">
        <f>VLOOKUP($S610,Mapping!$E$140:$K$2771,5,0)</f>
        <v>Contracts</v>
      </c>
      <c r="Y610" s="7" t="str">
        <f>VLOOKUP($S610,Mapping!$E$140:$K$2771,7,0)</f>
        <v>ENDirect</v>
      </c>
      <c r="Z610" s="7" t="str">
        <f>IFERROR(HLOOKUP(X610,'Calc|Weightings'!$K$5:$M$5,1,0),"Excl")</f>
        <v>Contracts</v>
      </c>
      <c r="AA610" s="7" t="str">
        <f>VLOOKUP(Q610,Mapping!$E$11:$I$96,5,0)</f>
        <v>Negotiated Capex</v>
      </c>
      <c r="AC610" s="111">
        <v>120</v>
      </c>
      <c r="AD610" s="111" t="s">
        <v>2134</v>
      </c>
      <c r="AE610" s="111">
        <v>531020</v>
      </c>
      <c r="AF610" s="111" t="s">
        <v>219</v>
      </c>
      <c r="AG610" s="112">
        <v>-2.4500000000000002</v>
      </c>
      <c r="AI610" s="7" t="str">
        <f>VLOOKUP($AC610,Mapping!$E$11:$I$96,3,0)</f>
        <v>Negotiated Capex</v>
      </c>
      <c r="AJ610" s="7" t="str">
        <f>VLOOKUP($AE610,Mapping!$E$140:$K$2771,5,0)</f>
        <v>Labour</v>
      </c>
      <c r="AK610" s="7" t="str">
        <f>VLOOKUP($AE610,Mapping!$E$140:$K$2771,7,0)</f>
        <v>ENDirect</v>
      </c>
      <c r="AL610" s="7" t="str">
        <f>IFERROR(HLOOKUP(AJ610,'Calc|Weightings'!$K$5:$M$5,1,0),"Excl")</f>
        <v>Labour</v>
      </c>
      <c r="AM610" s="7" t="str">
        <f>VLOOKUP(AC610,Mapping!$E$11:$I$96,5,0)</f>
        <v>Negotiated Capex</v>
      </c>
      <c r="AO610" s="134">
        <v>120</v>
      </c>
      <c r="AP610" s="135" t="s">
        <v>2134</v>
      </c>
      <c r="AQ610" s="135">
        <v>613434</v>
      </c>
      <c r="AR610" s="135" t="s">
        <v>2102</v>
      </c>
      <c r="AS610" s="136">
        <v>14.31479</v>
      </c>
      <c r="AU610" s="7" t="str">
        <f>VLOOKUP($AO610,Mapping!$E$11:$I$96,3,0)</f>
        <v>Negotiated Capex</v>
      </c>
      <c r="AV610" s="7" t="str">
        <f>VLOOKUP($AQ610,Mapping!$E$140:$K$2771,5,0)</f>
        <v>Labour</v>
      </c>
      <c r="AW610" s="7" t="str">
        <f>VLOOKUP($AQ610,Mapping!$E$140:$K$2771,7,0)</f>
        <v>ENDirect</v>
      </c>
      <c r="AX610" s="7" t="str">
        <f>IFERROR(HLOOKUP(AV610,'Calc|Weightings'!$K$5:$M$5,1,0),"Excl")</f>
        <v>Labour</v>
      </c>
      <c r="AY610" s="7" t="str">
        <f>VLOOKUP(AO610,Mapping!$E$11:$I$96,5,0)</f>
        <v>Negotiated Capex</v>
      </c>
    </row>
    <row r="611" spans="1:51" x14ac:dyDescent="0.2">
      <c r="A611" s="7"/>
      <c r="B611" s="7"/>
      <c r="C611" s="7"/>
      <c r="D611" s="7"/>
      <c r="E611" s="36">
        <v>118</v>
      </c>
      <c r="F611" s="36" t="s">
        <v>2132</v>
      </c>
      <c r="G611" s="36">
        <v>636001</v>
      </c>
      <c r="H611" s="36" t="s">
        <v>2111</v>
      </c>
      <c r="I611" s="37">
        <v>2.32328</v>
      </c>
      <c r="J611" s="7"/>
      <c r="K611" s="7" t="str">
        <f>VLOOKUP($E611,Mapping!$E$11:$I$96,3,0)</f>
        <v>Connections</v>
      </c>
      <c r="L611" s="7" t="str">
        <f>VLOOKUP($G611,Mapping!$E$140:$K$2771,5,0)</f>
        <v>System Control OH</v>
      </c>
      <c r="M611" s="7" t="str">
        <f>VLOOKUP($G611,Mapping!$E$140:$K$2771,7,0)</f>
        <v>OH</v>
      </c>
      <c r="N611" s="7" t="str">
        <f>IFERROR(HLOOKUP(L611,'Calc|Weightings'!$K$5:$M$5,1,0),"Excl")</f>
        <v>Excl</v>
      </c>
      <c r="O611" s="7" t="str">
        <f>VLOOKUP(E611,Mapping!$E$11:$I$96,5,0)</f>
        <v>SCS</v>
      </c>
      <c r="Q611" s="33">
        <v>120</v>
      </c>
      <c r="R611" s="33" t="s">
        <v>2134</v>
      </c>
      <c r="S611" s="33">
        <v>531467</v>
      </c>
      <c r="T611" s="33" t="s">
        <v>259</v>
      </c>
      <c r="U611" s="34">
        <v>40.213529999999999</v>
      </c>
      <c r="V611" s="7"/>
      <c r="W611" s="7" t="str">
        <f>VLOOKUP($Q611,Mapping!$E$11:$I$96,3,0)</f>
        <v>Negotiated Capex</v>
      </c>
      <c r="X611" s="7" t="str">
        <f>VLOOKUP($S611,Mapping!$E$140:$K$2771,5,0)</f>
        <v>Contracts</v>
      </c>
      <c r="Y611" s="7" t="str">
        <f>VLOOKUP($S611,Mapping!$E$140:$K$2771,7,0)</f>
        <v>ENDirect</v>
      </c>
      <c r="Z611" s="7" t="str">
        <f>IFERROR(HLOOKUP(X611,'Calc|Weightings'!$K$5:$M$5,1,0),"Excl")</f>
        <v>Contracts</v>
      </c>
      <c r="AA611" s="7" t="str">
        <f>VLOOKUP(Q611,Mapping!$E$11:$I$96,5,0)</f>
        <v>Negotiated Capex</v>
      </c>
      <c r="AC611" s="111">
        <v>120</v>
      </c>
      <c r="AD611" s="111" t="s">
        <v>2134</v>
      </c>
      <c r="AE611" s="111">
        <v>531200</v>
      </c>
      <c r="AF611" s="111" t="s">
        <v>250</v>
      </c>
      <c r="AG611" s="112">
        <v>9.7070000000000007</v>
      </c>
      <c r="AI611" s="7" t="str">
        <f>VLOOKUP($AC611,Mapping!$E$11:$I$96,3,0)</f>
        <v>Negotiated Capex</v>
      </c>
      <c r="AJ611" s="7" t="str">
        <f>VLOOKUP($AE611,Mapping!$E$140:$K$2771,5,0)</f>
        <v>Contracts</v>
      </c>
      <c r="AK611" s="7" t="str">
        <f>VLOOKUP($AE611,Mapping!$E$140:$K$2771,7,0)</f>
        <v>ENDirect</v>
      </c>
      <c r="AL611" s="7" t="str">
        <f>IFERROR(HLOOKUP(AJ611,'Calc|Weightings'!$K$5:$M$5,1,0),"Excl")</f>
        <v>Contracts</v>
      </c>
      <c r="AM611" s="7" t="str">
        <f>VLOOKUP(AC611,Mapping!$E$11:$I$96,5,0)</f>
        <v>Negotiated Capex</v>
      </c>
      <c r="AO611" s="134">
        <v>120</v>
      </c>
      <c r="AP611" s="135" t="s">
        <v>2134</v>
      </c>
      <c r="AQ611" s="135">
        <v>613440</v>
      </c>
      <c r="AR611" s="135" t="s">
        <v>2103</v>
      </c>
      <c r="AS611" s="136">
        <v>8.74343</v>
      </c>
      <c r="AU611" s="7" t="str">
        <f>VLOOKUP($AO611,Mapping!$E$11:$I$96,3,0)</f>
        <v>Negotiated Capex</v>
      </c>
      <c r="AV611" s="7" t="str">
        <f>VLOOKUP($AQ611,Mapping!$E$140:$K$2771,5,0)</f>
        <v>Labour</v>
      </c>
      <c r="AW611" s="7" t="str">
        <f>VLOOKUP($AQ611,Mapping!$E$140:$K$2771,7,0)</f>
        <v>ENDirect</v>
      </c>
      <c r="AX611" s="7" t="str">
        <f>IFERROR(HLOOKUP(AV611,'Calc|Weightings'!$K$5:$M$5,1,0),"Excl")</f>
        <v>Labour</v>
      </c>
      <c r="AY611" s="7" t="str">
        <f>VLOOKUP(AO611,Mapping!$E$11:$I$96,5,0)</f>
        <v>Negotiated Capex</v>
      </c>
    </row>
    <row r="612" spans="1:51" x14ac:dyDescent="0.2">
      <c r="A612" s="7"/>
      <c r="B612" s="7"/>
      <c r="C612" s="7"/>
      <c r="D612" s="7"/>
      <c r="E612" s="36">
        <v>118</v>
      </c>
      <c r="F612" s="36" t="s">
        <v>2132</v>
      </c>
      <c r="G612" s="36">
        <v>639000</v>
      </c>
      <c r="H612" s="36" t="s">
        <v>2112</v>
      </c>
      <c r="I612" s="37">
        <v>4.9820200000000003</v>
      </c>
      <c r="J612" s="7"/>
      <c r="K612" s="7" t="str">
        <f>VLOOKUP($E612,Mapping!$E$11:$I$96,3,0)</f>
        <v>Connections</v>
      </c>
      <c r="L612" s="7" t="str">
        <f>VLOOKUP($G612,Mapping!$E$140:$K$2771,5,0)</f>
        <v>PNS Corporate OH</v>
      </c>
      <c r="M612" s="7" t="str">
        <f>VLOOKUP($G612,Mapping!$E$140:$K$2771,7,0)</f>
        <v>OH</v>
      </c>
      <c r="N612" s="7" t="str">
        <f>IFERROR(HLOOKUP(L612,'Calc|Weightings'!$K$5:$M$5,1,0),"Excl")</f>
        <v>Excl</v>
      </c>
      <c r="O612" s="7" t="str">
        <f>VLOOKUP(E612,Mapping!$E$11:$I$96,5,0)</f>
        <v>SCS</v>
      </c>
      <c r="Q612" s="33">
        <v>120</v>
      </c>
      <c r="R612" s="33" t="s">
        <v>2134</v>
      </c>
      <c r="S612" s="33">
        <v>531468</v>
      </c>
      <c r="T612" s="33" t="s">
        <v>260</v>
      </c>
      <c r="U612" s="34">
        <v>26.032119999999999</v>
      </c>
      <c r="V612" s="7"/>
      <c r="W612" s="7" t="str">
        <f>VLOOKUP($Q612,Mapping!$E$11:$I$96,3,0)</f>
        <v>Negotiated Capex</v>
      </c>
      <c r="X612" s="7" t="str">
        <f>VLOOKUP($S612,Mapping!$E$140:$K$2771,5,0)</f>
        <v>Contracts</v>
      </c>
      <c r="Y612" s="7" t="str">
        <f>VLOOKUP($S612,Mapping!$E$140:$K$2771,7,0)</f>
        <v>ENDirect</v>
      </c>
      <c r="Z612" s="7" t="str">
        <f>IFERROR(HLOOKUP(X612,'Calc|Weightings'!$K$5:$M$5,1,0),"Excl")</f>
        <v>Contracts</v>
      </c>
      <c r="AA612" s="7" t="str">
        <f>VLOOKUP(Q612,Mapping!$E$11:$I$96,5,0)</f>
        <v>Negotiated Capex</v>
      </c>
      <c r="AC612" s="111">
        <v>120</v>
      </c>
      <c r="AD612" s="111" t="s">
        <v>2134</v>
      </c>
      <c r="AE612" s="111">
        <v>531464</v>
      </c>
      <c r="AF612" s="111" t="s">
        <v>256</v>
      </c>
      <c r="AG612" s="112">
        <v>232.67750000000001</v>
      </c>
      <c r="AI612" s="7" t="str">
        <f>VLOOKUP($AC612,Mapping!$E$11:$I$96,3,0)</f>
        <v>Negotiated Capex</v>
      </c>
      <c r="AJ612" s="7" t="str">
        <f>VLOOKUP($AE612,Mapping!$E$140:$K$2771,5,0)</f>
        <v>Contracts</v>
      </c>
      <c r="AK612" s="7" t="str">
        <f>VLOOKUP($AE612,Mapping!$E$140:$K$2771,7,0)</f>
        <v>ENDirect</v>
      </c>
      <c r="AL612" s="7" t="str">
        <f>IFERROR(HLOOKUP(AJ612,'Calc|Weightings'!$K$5:$M$5,1,0),"Excl")</f>
        <v>Contracts</v>
      </c>
      <c r="AM612" s="7" t="str">
        <f>VLOOKUP(AC612,Mapping!$E$11:$I$96,5,0)</f>
        <v>Negotiated Capex</v>
      </c>
      <c r="AO612" s="134">
        <v>120</v>
      </c>
      <c r="AP612" s="135" t="s">
        <v>2134</v>
      </c>
      <c r="AQ612" s="135">
        <v>613441</v>
      </c>
      <c r="AR612" s="135" t="s">
        <v>2104</v>
      </c>
      <c r="AS612" s="136">
        <v>0.96026999999999996</v>
      </c>
      <c r="AU612" s="7" t="str">
        <f>VLOOKUP($AO612,Mapping!$E$11:$I$96,3,0)</f>
        <v>Negotiated Capex</v>
      </c>
      <c r="AV612" s="7" t="str">
        <f>VLOOKUP($AQ612,Mapping!$E$140:$K$2771,5,0)</f>
        <v>Labour</v>
      </c>
      <c r="AW612" s="7" t="str">
        <f>VLOOKUP($AQ612,Mapping!$E$140:$K$2771,7,0)</f>
        <v>ENDirect</v>
      </c>
      <c r="AX612" s="7" t="str">
        <f>IFERROR(HLOOKUP(AV612,'Calc|Weightings'!$K$5:$M$5,1,0),"Excl")</f>
        <v>Labour</v>
      </c>
      <c r="AY612" s="7" t="str">
        <f>VLOOKUP(AO612,Mapping!$E$11:$I$96,5,0)</f>
        <v>Negotiated Capex</v>
      </c>
    </row>
    <row r="613" spans="1:51" x14ac:dyDescent="0.2">
      <c r="A613" s="7"/>
      <c r="B613" s="7"/>
      <c r="C613" s="7"/>
      <c r="D613" s="7"/>
      <c r="E613" s="36">
        <v>118</v>
      </c>
      <c r="F613" s="36" t="s">
        <v>2132</v>
      </c>
      <c r="G613" s="36">
        <v>639050</v>
      </c>
      <c r="H613" s="36" t="s">
        <v>2113</v>
      </c>
      <c r="I613" s="37">
        <v>0.69710000000000005</v>
      </c>
      <c r="J613" s="7"/>
      <c r="K613" s="7" t="str">
        <f>VLOOKUP($E613,Mapping!$E$11:$I$96,3,0)</f>
        <v>Connections</v>
      </c>
      <c r="L613" s="7" t="str">
        <f>VLOOKUP($G613,Mapping!$E$140:$K$2771,5,0)</f>
        <v>PNS Fleet &amp; Property OH</v>
      </c>
      <c r="M613" s="7" t="str">
        <f>VLOOKUP($G613,Mapping!$E$140:$K$2771,7,0)</f>
        <v>OH</v>
      </c>
      <c r="N613" s="7" t="str">
        <f>IFERROR(HLOOKUP(L613,'Calc|Weightings'!$K$5:$M$5,1,0),"Excl")</f>
        <v>Excl</v>
      </c>
      <c r="O613" s="7" t="str">
        <f>VLOOKUP(E613,Mapping!$E$11:$I$96,5,0)</f>
        <v>SCS</v>
      </c>
      <c r="Q613" s="33">
        <v>120</v>
      </c>
      <c r="R613" s="33" t="s">
        <v>2134</v>
      </c>
      <c r="S613" s="33">
        <v>591997</v>
      </c>
      <c r="T613" s="33" t="s">
        <v>399</v>
      </c>
      <c r="U613" s="34">
        <v>-6.8202800000000003</v>
      </c>
      <c r="V613" s="7"/>
      <c r="W613" s="7" t="str">
        <f>VLOOKUP($Q613,Mapping!$E$11:$I$96,3,0)</f>
        <v>Negotiated Capex</v>
      </c>
      <c r="X613" s="7" t="str">
        <f>VLOOKUP($S613,Mapping!$E$140:$K$2771,5,0)</f>
        <v>Contracts</v>
      </c>
      <c r="Y613" s="7" t="str">
        <f>VLOOKUP($S613,Mapping!$E$140:$K$2771,7,0)</f>
        <v>ENDirect</v>
      </c>
      <c r="Z613" s="7" t="str">
        <f>IFERROR(HLOOKUP(X613,'Calc|Weightings'!$K$5:$M$5,1,0),"Excl")</f>
        <v>Contracts</v>
      </c>
      <c r="AA613" s="7" t="str">
        <f>VLOOKUP(Q613,Mapping!$E$11:$I$96,5,0)</f>
        <v>Negotiated Capex</v>
      </c>
      <c r="AC613" s="111">
        <v>120</v>
      </c>
      <c r="AD613" s="111" t="s">
        <v>2134</v>
      </c>
      <c r="AE613" s="111">
        <v>531466</v>
      </c>
      <c r="AF613" s="111" t="s">
        <v>258</v>
      </c>
      <c r="AG613" s="112">
        <v>148.68071</v>
      </c>
      <c r="AI613" s="7" t="str">
        <f>VLOOKUP($AC613,Mapping!$E$11:$I$96,3,0)</f>
        <v>Negotiated Capex</v>
      </c>
      <c r="AJ613" s="7" t="str">
        <f>VLOOKUP($AE613,Mapping!$E$140:$K$2771,5,0)</f>
        <v>Contracts</v>
      </c>
      <c r="AK613" s="7" t="str">
        <f>VLOOKUP($AE613,Mapping!$E$140:$K$2771,7,0)</f>
        <v>ENDirect</v>
      </c>
      <c r="AL613" s="7" t="str">
        <f>IFERROR(HLOOKUP(AJ613,'Calc|Weightings'!$K$5:$M$5,1,0),"Excl")</f>
        <v>Contracts</v>
      </c>
      <c r="AM613" s="7" t="str">
        <f>VLOOKUP(AC613,Mapping!$E$11:$I$96,5,0)</f>
        <v>Negotiated Capex</v>
      </c>
      <c r="AO613" s="134">
        <v>120</v>
      </c>
      <c r="AP613" s="135" t="s">
        <v>2134</v>
      </c>
      <c r="AQ613" s="135">
        <v>613450</v>
      </c>
      <c r="AR613" s="135" t="s">
        <v>2175</v>
      </c>
      <c r="AS613" s="136">
        <v>12.628159999999999</v>
      </c>
      <c r="AU613" s="7" t="str">
        <f>VLOOKUP($AO613,Mapping!$E$11:$I$96,3,0)</f>
        <v>Negotiated Capex</v>
      </c>
      <c r="AV613" s="7" t="str">
        <f>VLOOKUP($AQ613,Mapping!$E$140:$K$2771,5,0)</f>
        <v>Labour</v>
      </c>
      <c r="AW613" s="7" t="str">
        <f>VLOOKUP($AQ613,Mapping!$E$140:$K$2771,7,0)</f>
        <v>ENDirect</v>
      </c>
      <c r="AX613" s="7" t="str">
        <f>IFERROR(HLOOKUP(AV613,'Calc|Weightings'!$K$5:$M$5,1,0),"Excl")</f>
        <v>Labour</v>
      </c>
      <c r="AY613" s="7" t="str">
        <f>VLOOKUP(AO613,Mapping!$E$11:$I$96,5,0)</f>
        <v>Negotiated Capex</v>
      </c>
    </row>
    <row r="614" spans="1:51" x14ac:dyDescent="0.2">
      <c r="A614" s="7"/>
      <c r="B614" s="7"/>
      <c r="C614" s="7"/>
      <c r="D614" s="7"/>
      <c r="E614" s="36">
        <v>119</v>
      </c>
      <c r="F614" s="36" t="s">
        <v>2133</v>
      </c>
      <c r="G614" s="36">
        <v>520100</v>
      </c>
      <c r="H614" s="36" t="s">
        <v>2072</v>
      </c>
      <c r="I614" s="37">
        <v>9.9784100000000002</v>
      </c>
      <c r="J614" s="7"/>
      <c r="K614" s="7" t="str">
        <f>VLOOKUP($E614,Mapping!$E$11:$I$96,3,0)</f>
        <v>Negotiated Capex</v>
      </c>
      <c r="L614" s="7" t="str">
        <f>VLOOKUP($G614,Mapping!$E$140:$K$2771,5,0)</f>
        <v>Materials</v>
      </c>
      <c r="M614" s="7" t="str">
        <f>VLOOKUP($G614,Mapping!$E$140:$K$2771,7,0)</f>
        <v>ENDirect</v>
      </c>
      <c r="N614" s="7" t="str">
        <f>IFERROR(HLOOKUP(L614,'Calc|Weightings'!$K$5:$M$5,1,0),"Excl")</f>
        <v>Materials</v>
      </c>
      <c r="O614" s="7" t="str">
        <f>VLOOKUP(E614,Mapping!$E$11:$I$96,5,0)</f>
        <v>Negotiated Capex</v>
      </c>
      <c r="Q614" s="33">
        <v>120</v>
      </c>
      <c r="R614" s="33" t="s">
        <v>2134</v>
      </c>
      <c r="S614" s="33">
        <v>591998</v>
      </c>
      <c r="T614" s="33" t="s">
        <v>2077</v>
      </c>
      <c r="U614" s="34">
        <v>-13.20415</v>
      </c>
      <c r="V614" s="7"/>
      <c r="W614" s="7" t="str">
        <f>VLOOKUP($Q614,Mapping!$E$11:$I$96,3,0)</f>
        <v>Negotiated Capex</v>
      </c>
      <c r="X614" s="7" t="str">
        <f>VLOOKUP($S614,Mapping!$E$140:$K$2771,5,0)</f>
        <v>Contracts</v>
      </c>
      <c r="Y614" s="7" t="str">
        <f>VLOOKUP($S614,Mapping!$E$140:$K$2771,7,0)</f>
        <v>ENDirect</v>
      </c>
      <c r="Z614" s="7" t="str">
        <f>IFERROR(HLOOKUP(X614,'Calc|Weightings'!$K$5:$M$5,1,0),"Excl")</f>
        <v>Contracts</v>
      </c>
      <c r="AA614" s="7" t="str">
        <f>VLOOKUP(Q614,Mapping!$E$11:$I$96,5,0)</f>
        <v>Negotiated Capex</v>
      </c>
      <c r="AC614" s="111">
        <v>120</v>
      </c>
      <c r="AD614" s="111" t="s">
        <v>2134</v>
      </c>
      <c r="AE614" s="111">
        <v>531467</v>
      </c>
      <c r="AF614" s="111" t="s">
        <v>259</v>
      </c>
      <c r="AG614" s="112">
        <v>50.24821</v>
      </c>
      <c r="AI614" s="7" t="str">
        <f>VLOOKUP($AC614,Mapping!$E$11:$I$96,3,0)</f>
        <v>Negotiated Capex</v>
      </c>
      <c r="AJ614" s="7" t="str">
        <f>VLOOKUP($AE614,Mapping!$E$140:$K$2771,5,0)</f>
        <v>Contracts</v>
      </c>
      <c r="AK614" s="7" t="str">
        <f>VLOOKUP($AE614,Mapping!$E$140:$K$2771,7,0)</f>
        <v>ENDirect</v>
      </c>
      <c r="AL614" s="7" t="str">
        <f>IFERROR(HLOOKUP(AJ614,'Calc|Weightings'!$K$5:$M$5,1,0),"Excl")</f>
        <v>Contracts</v>
      </c>
      <c r="AM614" s="7" t="str">
        <f>VLOOKUP(AC614,Mapping!$E$11:$I$96,5,0)</f>
        <v>Negotiated Capex</v>
      </c>
      <c r="AO614" s="134">
        <v>120</v>
      </c>
      <c r="AP614" s="135" t="s">
        <v>2134</v>
      </c>
      <c r="AQ614" s="135">
        <v>613566</v>
      </c>
      <c r="AR614" s="135" t="s">
        <v>1482</v>
      </c>
      <c r="AS614" s="136">
        <v>22.04223</v>
      </c>
      <c r="AU614" s="7" t="str">
        <f>VLOOKUP($AO614,Mapping!$E$11:$I$96,3,0)</f>
        <v>Negotiated Capex</v>
      </c>
      <c r="AV614" s="7" t="str">
        <f>VLOOKUP($AQ614,Mapping!$E$140:$K$2771,5,0)</f>
        <v>Labour</v>
      </c>
      <c r="AW614" s="7" t="str">
        <f>VLOOKUP($AQ614,Mapping!$E$140:$K$2771,7,0)</f>
        <v>ENDirect</v>
      </c>
      <c r="AX614" s="7" t="str">
        <f>IFERROR(HLOOKUP(AV614,'Calc|Weightings'!$K$5:$M$5,1,0),"Excl")</f>
        <v>Labour</v>
      </c>
      <c r="AY614" s="7" t="str">
        <f>VLOOKUP(AO614,Mapping!$E$11:$I$96,5,0)</f>
        <v>Negotiated Capex</v>
      </c>
    </row>
    <row r="615" spans="1:51" x14ac:dyDescent="0.2">
      <c r="A615" s="7"/>
      <c r="B615" s="7"/>
      <c r="C615" s="7"/>
      <c r="D615" s="7"/>
      <c r="E615" s="36">
        <v>119</v>
      </c>
      <c r="F615" s="36" t="s">
        <v>2133</v>
      </c>
      <c r="G615" s="36">
        <v>523100</v>
      </c>
      <c r="H615" s="36" t="s">
        <v>2074</v>
      </c>
      <c r="I615" s="37">
        <v>0.52537999999999996</v>
      </c>
      <c r="J615" s="7"/>
      <c r="K615" s="7" t="str">
        <f>VLOOKUP($E615,Mapping!$E$11:$I$96,3,0)</f>
        <v>Negotiated Capex</v>
      </c>
      <c r="L615" s="7" t="str">
        <f>VLOOKUP($G615,Mapping!$E$140:$K$2771,5,0)</f>
        <v>Materials</v>
      </c>
      <c r="M615" s="7" t="str">
        <f>VLOOKUP($G615,Mapping!$E$140:$K$2771,7,0)</f>
        <v>ENDirect</v>
      </c>
      <c r="N615" s="7" t="str">
        <f>IFERROR(HLOOKUP(L615,'Calc|Weightings'!$K$5:$M$5,1,0),"Excl")</f>
        <v>Materials</v>
      </c>
      <c r="O615" s="7" t="str">
        <f>VLOOKUP(E615,Mapping!$E$11:$I$96,5,0)</f>
        <v>Negotiated Capex</v>
      </c>
      <c r="Q615" s="33">
        <v>120</v>
      </c>
      <c r="R615" s="33" t="s">
        <v>2134</v>
      </c>
      <c r="S615" s="33">
        <v>591999</v>
      </c>
      <c r="T615" s="33" t="s">
        <v>2078</v>
      </c>
      <c r="U615" s="34">
        <v>-32.08925</v>
      </c>
      <c r="V615" s="7"/>
      <c r="W615" s="7" t="str">
        <f>VLOOKUP($Q615,Mapping!$E$11:$I$96,3,0)</f>
        <v>Negotiated Capex</v>
      </c>
      <c r="X615" s="7" t="str">
        <f>VLOOKUP($S615,Mapping!$E$140:$K$2771,5,0)</f>
        <v>Contracts</v>
      </c>
      <c r="Y615" s="7" t="str">
        <f>VLOOKUP($S615,Mapping!$E$140:$K$2771,7,0)</f>
        <v>ENDirect</v>
      </c>
      <c r="Z615" s="7" t="str">
        <f>IFERROR(HLOOKUP(X615,'Calc|Weightings'!$K$5:$M$5,1,0),"Excl")</f>
        <v>Contracts</v>
      </c>
      <c r="AA615" s="7" t="str">
        <f>VLOOKUP(Q615,Mapping!$E$11:$I$96,5,0)</f>
        <v>Negotiated Capex</v>
      </c>
      <c r="AC615" s="111">
        <v>120</v>
      </c>
      <c r="AD615" s="111" t="s">
        <v>2134</v>
      </c>
      <c r="AE615" s="111">
        <v>531468</v>
      </c>
      <c r="AF615" s="111" t="s">
        <v>260</v>
      </c>
      <c r="AG615" s="112">
        <v>17.64049</v>
      </c>
      <c r="AI615" s="7" t="str">
        <f>VLOOKUP($AC615,Mapping!$E$11:$I$96,3,0)</f>
        <v>Negotiated Capex</v>
      </c>
      <c r="AJ615" s="7" t="str">
        <f>VLOOKUP($AE615,Mapping!$E$140:$K$2771,5,0)</f>
        <v>Contracts</v>
      </c>
      <c r="AK615" s="7" t="str">
        <f>VLOOKUP($AE615,Mapping!$E$140:$K$2771,7,0)</f>
        <v>ENDirect</v>
      </c>
      <c r="AL615" s="7" t="str">
        <f>IFERROR(HLOOKUP(AJ615,'Calc|Weightings'!$K$5:$M$5,1,0),"Excl")</f>
        <v>Contracts</v>
      </c>
      <c r="AM615" s="7" t="str">
        <f>VLOOKUP(AC615,Mapping!$E$11:$I$96,5,0)</f>
        <v>Negotiated Capex</v>
      </c>
      <c r="AO615" s="134">
        <v>120</v>
      </c>
      <c r="AP615" s="135" t="s">
        <v>2134</v>
      </c>
      <c r="AQ615" s="135">
        <v>613567</v>
      </c>
      <c r="AR615" s="135" t="s">
        <v>1483</v>
      </c>
      <c r="AS615" s="136">
        <v>5.4368499999999997</v>
      </c>
      <c r="AU615" s="7" t="str">
        <f>VLOOKUP($AO615,Mapping!$E$11:$I$96,3,0)</f>
        <v>Negotiated Capex</v>
      </c>
      <c r="AV615" s="7" t="str">
        <f>VLOOKUP($AQ615,Mapping!$E$140:$K$2771,5,0)</f>
        <v>Labour</v>
      </c>
      <c r="AW615" s="7" t="str">
        <f>VLOOKUP($AQ615,Mapping!$E$140:$K$2771,7,0)</f>
        <v>ENDirect</v>
      </c>
      <c r="AX615" s="7" t="str">
        <f>IFERROR(HLOOKUP(AV615,'Calc|Weightings'!$K$5:$M$5,1,0),"Excl")</f>
        <v>Labour</v>
      </c>
      <c r="AY615" s="7" t="str">
        <f>VLOOKUP(AO615,Mapping!$E$11:$I$96,5,0)</f>
        <v>Negotiated Capex</v>
      </c>
    </row>
    <row r="616" spans="1:51" x14ac:dyDescent="0.2">
      <c r="A616" s="7"/>
      <c r="B616" s="7"/>
      <c r="C616" s="7"/>
      <c r="D616" s="7"/>
      <c r="E616" s="36">
        <v>119</v>
      </c>
      <c r="F616" s="36" t="s">
        <v>2133</v>
      </c>
      <c r="G616" s="36">
        <v>531020</v>
      </c>
      <c r="H616" s="36" t="s">
        <v>219</v>
      </c>
      <c r="I616" s="37">
        <v>1.5481199999999999</v>
      </c>
      <c r="J616" s="7"/>
      <c r="K616" s="7" t="str">
        <f>VLOOKUP($E616,Mapping!$E$11:$I$96,3,0)</f>
        <v>Negotiated Capex</v>
      </c>
      <c r="L616" s="7" t="str">
        <f>VLOOKUP($G616,Mapping!$E$140:$K$2771,5,0)</f>
        <v>Labour</v>
      </c>
      <c r="M616" s="7" t="str">
        <f>VLOOKUP($G616,Mapping!$E$140:$K$2771,7,0)</f>
        <v>ENDirect</v>
      </c>
      <c r="N616" s="7" t="str">
        <f>IFERROR(HLOOKUP(L616,'Calc|Weightings'!$K$5:$M$5,1,0),"Excl")</f>
        <v>Labour</v>
      </c>
      <c r="O616" s="7" t="str">
        <f>VLOOKUP(E616,Mapping!$E$11:$I$96,5,0)</f>
        <v>Negotiated Capex</v>
      </c>
      <c r="Q616" s="33">
        <v>120</v>
      </c>
      <c r="R616" s="33" t="s">
        <v>2134</v>
      </c>
      <c r="S616" s="33">
        <v>611900</v>
      </c>
      <c r="T616" s="33" t="s">
        <v>2079</v>
      </c>
      <c r="U616" s="34">
        <v>3.3648500000000001</v>
      </c>
      <c r="V616" s="7"/>
      <c r="W616" s="7" t="str">
        <f>VLOOKUP($Q616,Mapping!$E$11:$I$96,3,0)</f>
        <v>Negotiated Capex</v>
      </c>
      <c r="X616" s="7" t="str">
        <f>VLOOKUP($S616,Mapping!$E$140:$K$2771,5,0)</f>
        <v>Contracts</v>
      </c>
      <c r="Y616" s="7" t="str">
        <f>VLOOKUP($S616,Mapping!$E$140:$K$2771,7,0)</f>
        <v>ENDirect</v>
      </c>
      <c r="Z616" s="7" t="str">
        <f>IFERROR(HLOOKUP(X616,'Calc|Weightings'!$K$5:$M$5,1,0),"Excl")</f>
        <v>Contracts</v>
      </c>
      <c r="AA616" s="7" t="str">
        <f>VLOOKUP(Q616,Mapping!$E$11:$I$96,5,0)</f>
        <v>Negotiated Capex</v>
      </c>
      <c r="AC616" s="111">
        <v>120</v>
      </c>
      <c r="AD616" s="111" t="s">
        <v>2134</v>
      </c>
      <c r="AE616" s="111">
        <v>531469</v>
      </c>
      <c r="AF616" s="111" t="s">
        <v>261</v>
      </c>
      <c r="AG616" s="112">
        <v>23.115079999999999</v>
      </c>
      <c r="AI616" s="7" t="str">
        <f>VLOOKUP($AC616,Mapping!$E$11:$I$96,3,0)</f>
        <v>Negotiated Capex</v>
      </c>
      <c r="AJ616" s="7" t="str">
        <f>VLOOKUP($AE616,Mapping!$E$140:$K$2771,5,0)</f>
        <v>Labour</v>
      </c>
      <c r="AK616" s="7" t="str">
        <f>VLOOKUP($AE616,Mapping!$E$140:$K$2771,7,0)</f>
        <v>ENDirect</v>
      </c>
      <c r="AL616" s="7" t="str">
        <f>IFERROR(HLOOKUP(AJ616,'Calc|Weightings'!$K$5:$M$5,1,0),"Excl")</f>
        <v>Labour</v>
      </c>
      <c r="AM616" s="7" t="str">
        <f>VLOOKUP(AC616,Mapping!$E$11:$I$96,5,0)</f>
        <v>Negotiated Capex</v>
      </c>
      <c r="AO616" s="134">
        <v>120</v>
      </c>
      <c r="AP616" s="135" t="s">
        <v>2134</v>
      </c>
      <c r="AQ616" s="135">
        <v>613570</v>
      </c>
      <c r="AR616" s="135" t="s">
        <v>1484</v>
      </c>
      <c r="AS616" s="136">
        <v>6.4110199999999997</v>
      </c>
      <c r="AU616" s="7" t="str">
        <f>VLOOKUP($AO616,Mapping!$E$11:$I$96,3,0)</f>
        <v>Negotiated Capex</v>
      </c>
      <c r="AV616" s="7" t="str">
        <f>VLOOKUP($AQ616,Mapping!$E$140:$K$2771,5,0)</f>
        <v>Labour</v>
      </c>
      <c r="AW616" s="7" t="str">
        <f>VLOOKUP($AQ616,Mapping!$E$140:$K$2771,7,0)</f>
        <v>ENDirect</v>
      </c>
      <c r="AX616" s="7" t="str">
        <f>IFERROR(HLOOKUP(AV616,'Calc|Weightings'!$K$5:$M$5,1,0),"Excl")</f>
        <v>Labour</v>
      </c>
      <c r="AY616" s="7" t="str">
        <f>VLOOKUP(AO616,Mapping!$E$11:$I$96,5,0)</f>
        <v>Negotiated Capex</v>
      </c>
    </row>
    <row r="617" spans="1:51" x14ac:dyDescent="0.2">
      <c r="A617" s="7"/>
      <c r="B617" s="7"/>
      <c r="C617" s="7"/>
      <c r="D617" s="7"/>
      <c r="E617" s="36">
        <v>119</v>
      </c>
      <c r="F617" s="36" t="s">
        <v>2133</v>
      </c>
      <c r="G617" s="36">
        <v>531035</v>
      </c>
      <c r="H617" s="36" t="s">
        <v>244</v>
      </c>
      <c r="I617" s="37">
        <v>1.6193</v>
      </c>
      <c r="J617" s="7"/>
      <c r="K617" s="7" t="str">
        <f>VLOOKUP($E617,Mapping!$E$11:$I$96,3,0)</f>
        <v>Negotiated Capex</v>
      </c>
      <c r="L617" s="7" t="str">
        <f>VLOOKUP($G617,Mapping!$E$140:$K$2771,5,0)</f>
        <v>Labour</v>
      </c>
      <c r="M617" s="7" t="str">
        <f>VLOOKUP($G617,Mapping!$E$140:$K$2771,7,0)</f>
        <v>ENDirect</v>
      </c>
      <c r="N617" s="7" t="str">
        <f>IFERROR(HLOOKUP(L617,'Calc|Weightings'!$K$5:$M$5,1,0),"Excl")</f>
        <v>Labour</v>
      </c>
      <c r="O617" s="7" t="str">
        <f>VLOOKUP(E617,Mapping!$E$11:$I$96,5,0)</f>
        <v>Negotiated Capex</v>
      </c>
      <c r="Q617" s="33">
        <v>120</v>
      </c>
      <c r="R617" s="33" t="s">
        <v>2134</v>
      </c>
      <c r="S617" s="33">
        <v>611901</v>
      </c>
      <c r="T617" s="33" t="s">
        <v>2080</v>
      </c>
      <c r="U617" s="34">
        <v>0.25440000000000002</v>
      </c>
      <c r="V617" s="7"/>
      <c r="W617" s="7" t="str">
        <f>VLOOKUP($Q617,Mapping!$E$11:$I$96,3,0)</f>
        <v>Negotiated Capex</v>
      </c>
      <c r="X617" s="7" t="str">
        <f>VLOOKUP($S617,Mapping!$E$140:$K$2771,5,0)</f>
        <v>Contracts</v>
      </c>
      <c r="Y617" s="7" t="str">
        <f>VLOOKUP($S617,Mapping!$E$140:$K$2771,7,0)</f>
        <v>ENDirect</v>
      </c>
      <c r="Z617" s="7" t="str">
        <f>IFERROR(HLOOKUP(X617,'Calc|Weightings'!$K$5:$M$5,1,0),"Excl")</f>
        <v>Contracts</v>
      </c>
      <c r="AA617" s="7" t="str">
        <f>VLOOKUP(Q617,Mapping!$E$11:$I$96,5,0)</f>
        <v>Negotiated Capex</v>
      </c>
      <c r="AC617" s="111">
        <v>120</v>
      </c>
      <c r="AD617" s="111" t="s">
        <v>2134</v>
      </c>
      <c r="AE617" s="111">
        <v>532200</v>
      </c>
      <c r="AF617" s="111" t="s">
        <v>291</v>
      </c>
      <c r="AG617" s="112">
        <v>1.155</v>
      </c>
      <c r="AI617" s="7" t="str">
        <f>VLOOKUP($AC617,Mapping!$E$11:$I$96,3,0)</f>
        <v>Negotiated Capex</v>
      </c>
      <c r="AJ617" s="7" t="str">
        <f>VLOOKUP($AE617,Mapping!$E$140:$K$2771,5,0)</f>
        <v>Contracts</v>
      </c>
      <c r="AK617" s="7" t="str">
        <f>VLOOKUP($AE617,Mapping!$E$140:$K$2771,7,0)</f>
        <v>ENDirect</v>
      </c>
      <c r="AL617" s="7" t="str">
        <f>IFERROR(HLOOKUP(AJ617,'Calc|Weightings'!$K$5:$M$5,1,0),"Excl")</f>
        <v>Contracts</v>
      </c>
      <c r="AM617" s="7" t="str">
        <f>VLOOKUP(AC617,Mapping!$E$11:$I$96,5,0)</f>
        <v>Negotiated Capex</v>
      </c>
      <c r="AO617" s="134">
        <v>120</v>
      </c>
      <c r="AP617" s="135" t="s">
        <v>2134</v>
      </c>
      <c r="AQ617" s="135">
        <v>613571</v>
      </c>
      <c r="AR617" s="135" t="s">
        <v>1485</v>
      </c>
      <c r="AS617" s="136">
        <v>0.48714000000000002</v>
      </c>
      <c r="AU617" s="7" t="str">
        <f>VLOOKUP($AO617,Mapping!$E$11:$I$96,3,0)</f>
        <v>Negotiated Capex</v>
      </c>
      <c r="AV617" s="7" t="str">
        <f>VLOOKUP($AQ617,Mapping!$E$140:$K$2771,5,0)</f>
        <v>Labour</v>
      </c>
      <c r="AW617" s="7" t="str">
        <f>VLOOKUP($AQ617,Mapping!$E$140:$K$2771,7,0)</f>
        <v>ENDirect</v>
      </c>
      <c r="AX617" s="7" t="str">
        <f>IFERROR(HLOOKUP(AV617,'Calc|Weightings'!$K$5:$M$5,1,0),"Excl")</f>
        <v>Labour</v>
      </c>
      <c r="AY617" s="7" t="str">
        <f>VLOOKUP(AO617,Mapping!$E$11:$I$96,5,0)</f>
        <v>Negotiated Capex</v>
      </c>
    </row>
    <row r="618" spans="1:51" x14ac:dyDescent="0.2">
      <c r="A618" s="7"/>
      <c r="B618" s="7"/>
      <c r="C618" s="7"/>
      <c r="D618" s="7"/>
      <c r="E618" s="36">
        <v>119</v>
      </c>
      <c r="F618" s="36" t="s">
        <v>2133</v>
      </c>
      <c r="G618" s="36">
        <v>531464</v>
      </c>
      <c r="H618" s="36" t="s">
        <v>256</v>
      </c>
      <c r="I618" s="37">
        <v>13.883789999999999</v>
      </c>
      <c r="J618" s="7"/>
      <c r="K618" s="7" t="str">
        <f>VLOOKUP($E618,Mapping!$E$11:$I$96,3,0)</f>
        <v>Negotiated Capex</v>
      </c>
      <c r="L618" s="7" t="str">
        <f>VLOOKUP($G618,Mapping!$E$140:$K$2771,5,0)</f>
        <v>Contracts</v>
      </c>
      <c r="M618" s="7" t="str">
        <f>VLOOKUP($G618,Mapping!$E$140:$K$2771,7,0)</f>
        <v>ENDirect</v>
      </c>
      <c r="N618" s="7" t="str">
        <f>IFERROR(HLOOKUP(L618,'Calc|Weightings'!$K$5:$M$5,1,0),"Excl")</f>
        <v>Contracts</v>
      </c>
      <c r="O618" s="7" t="str">
        <f>VLOOKUP(E618,Mapping!$E$11:$I$96,5,0)</f>
        <v>Negotiated Capex</v>
      </c>
      <c r="Q618" s="33">
        <v>120</v>
      </c>
      <c r="R618" s="33" t="s">
        <v>2134</v>
      </c>
      <c r="S618" s="33">
        <v>611902</v>
      </c>
      <c r="T618" s="33" t="s">
        <v>2081</v>
      </c>
      <c r="U618" s="34">
        <v>0.29222999999999999</v>
      </c>
      <c r="V618" s="7"/>
      <c r="W618" s="7" t="str">
        <f>VLOOKUP($Q618,Mapping!$E$11:$I$96,3,0)</f>
        <v>Negotiated Capex</v>
      </c>
      <c r="X618" s="7" t="str">
        <f>VLOOKUP($S618,Mapping!$E$140:$K$2771,5,0)</f>
        <v>Contracts</v>
      </c>
      <c r="Y618" s="7" t="str">
        <f>VLOOKUP($S618,Mapping!$E$140:$K$2771,7,0)</f>
        <v>ENDirect</v>
      </c>
      <c r="Z618" s="7" t="str">
        <f>IFERROR(HLOOKUP(X618,'Calc|Weightings'!$K$5:$M$5,1,0),"Excl")</f>
        <v>Contracts</v>
      </c>
      <c r="AA618" s="7" t="str">
        <f>VLOOKUP(Q618,Mapping!$E$11:$I$96,5,0)</f>
        <v>Negotiated Capex</v>
      </c>
      <c r="AC618" s="111">
        <v>120</v>
      </c>
      <c r="AD618" s="111" t="s">
        <v>2134</v>
      </c>
      <c r="AE618" s="111">
        <v>591997</v>
      </c>
      <c r="AF618" s="111" t="s">
        <v>2194</v>
      </c>
      <c r="AG618" s="112">
        <v>-6.0856399999999997</v>
      </c>
      <c r="AI618" s="7" t="str">
        <f>VLOOKUP($AC618,Mapping!$E$11:$I$96,3,0)</f>
        <v>Negotiated Capex</v>
      </c>
      <c r="AJ618" s="7" t="str">
        <f>VLOOKUP($AE618,Mapping!$E$140:$K$2771,5,0)</f>
        <v>Contracts</v>
      </c>
      <c r="AK618" s="7" t="str">
        <f>VLOOKUP($AE618,Mapping!$E$140:$K$2771,7,0)</f>
        <v>ENDirect</v>
      </c>
      <c r="AL618" s="7" t="str">
        <f>IFERROR(HLOOKUP(AJ618,'Calc|Weightings'!$K$5:$M$5,1,0),"Excl")</f>
        <v>Contracts</v>
      </c>
      <c r="AM618" s="7" t="str">
        <f>VLOOKUP(AC618,Mapping!$E$11:$I$96,5,0)</f>
        <v>Negotiated Capex</v>
      </c>
      <c r="AO618" s="134">
        <v>120</v>
      </c>
      <c r="AP618" s="135" t="s">
        <v>2134</v>
      </c>
      <c r="AQ618" s="135">
        <v>613574</v>
      </c>
      <c r="AR618" s="135" t="s">
        <v>1488</v>
      </c>
      <c r="AS618" s="136">
        <v>40.925289999999997</v>
      </c>
      <c r="AU618" s="7" t="str">
        <f>VLOOKUP($AO618,Mapping!$E$11:$I$96,3,0)</f>
        <v>Negotiated Capex</v>
      </c>
      <c r="AV618" s="7" t="str">
        <f>VLOOKUP($AQ618,Mapping!$E$140:$K$2771,5,0)</f>
        <v>Labour</v>
      </c>
      <c r="AW618" s="7" t="str">
        <f>VLOOKUP($AQ618,Mapping!$E$140:$K$2771,7,0)</f>
        <v>ENDirect</v>
      </c>
      <c r="AX618" s="7" t="str">
        <f>IFERROR(HLOOKUP(AV618,'Calc|Weightings'!$K$5:$M$5,1,0),"Excl")</f>
        <v>Labour</v>
      </c>
      <c r="AY618" s="7" t="str">
        <f>VLOOKUP(AO618,Mapping!$E$11:$I$96,5,0)</f>
        <v>Negotiated Capex</v>
      </c>
    </row>
    <row r="619" spans="1:51" x14ac:dyDescent="0.2">
      <c r="A619" s="7"/>
      <c r="B619" s="7"/>
      <c r="C619" s="7"/>
      <c r="D619" s="7"/>
      <c r="E619" s="36">
        <v>119</v>
      </c>
      <c r="F619" s="36" t="s">
        <v>2133</v>
      </c>
      <c r="G619" s="36">
        <v>531465</v>
      </c>
      <c r="H619" s="36" t="s">
        <v>257</v>
      </c>
      <c r="I619" s="37">
        <v>44.5</v>
      </c>
      <c r="J619" s="7"/>
      <c r="K619" s="7" t="str">
        <f>VLOOKUP($E619,Mapping!$E$11:$I$96,3,0)</f>
        <v>Negotiated Capex</v>
      </c>
      <c r="L619" s="7" t="str">
        <f>VLOOKUP($G619,Mapping!$E$140:$K$2771,5,0)</f>
        <v>Contracts</v>
      </c>
      <c r="M619" s="7" t="str">
        <f>VLOOKUP($G619,Mapping!$E$140:$K$2771,7,0)</f>
        <v>ENDirect</v>
      </c>
      <c r="N619" s="7" t="str">
        <f>IFERROR(HLOOKUP(L619,'Calc|Weightings'!$K$5:$M$5,1,0),"Excl")</f>
        <v>Contracts</v>
      </c>
      <c r="O619" s="7" t="str">
        <f>VLOOKUP(E619,Mapping!$E$11:$I$96,5,0)</f>
        <v>Negotiated Capex</v>
      </c>
      <c r="Q619" s="33">
        <v>120</v>
      </c>
      <c r="R619" s="33" t="s">
        <v>2134</v>
      </c>
      <c r="S619" s="33">
        <v>613240</v>
      </c>
      <c r="T619" s="33" t="s">
        <v>2082</v>
      </c>
      <c r="U619" s="34">
        <v>14.46965</v>
      </c>
      <c r="V619" s="7"/>
      <c r="W619" s="7" t="str">
        <f>VLOOKUP($Q619,Mapping!$E$11:$I$96,3,0)</f>
        <v>Negotiated Capex</v>
      </c>
      <c r="X619" s="7" t="str">
        <f>VLOOKUP($S619,Mapping!$E$140:$K$2771,5,0)</f>
        <v>Labour</v>
      </c>
      <c r="Y619" s="7" t="str">
        <f>VLOOKUP($S619,Mapping!$E$140:$K$2771,7,0)</f>
        <v>ENDirect</v>
      </c>
      <c r="Z619" s="7" t="str">
        <f>IFERROR(HLOOKUP(X619,'Calc|Weightings'!$K$5:$M$5,1,0),"Excl")</f>
        <v>Labour</v>
      </c>
      <c r="AA619" s="7" t="str">
        <f>VLOOKUP(Q619,Mapping!$E$11:$I$96,5,0)</f>
        <v>Negotiated Capex</v>
      </c>
      <c r="AC619" s="111">
        <v>120</v>
      </c>
      <c r="AD619" s="111" t="s">
        <v>2134</v>
      </c>
      <c r="AE619" s="111">
        <v>591998</v>
      </c>
      <c r="AF619" s="111" t="s">
        <v>2077</v>
      </c>
      <c r="AG619" s="112">
        <v>-21.252739999999999</v>
      </c>
      <c r="AI619" s="7" t="str">
        <f>VLOOKUP($AC619,Mapping!$E$11:$I$96,3,0)</f>
        <v>Negotiated Capex</v>
      </c>
      <c r="AJ619" s="7" t="str">
        <f>VLOOKUP($AE619,Mapping!$E$140:$K$2771,5,0)</f>
        <v>Contracts</v>
      </c>
      <c r="AK619" s="7" t="str">
        <f>VLOOKUP($AE619,Mapping!$E$140:$K$2771,7,0)</f>
        <v>ENDirect</v>
      </c>
      <c r="AL619" s="7" t="str">
        <f>IFERROR(HLOOKUP(AJ619,'Calc|Weightings'!$K$5:$M$5,1,0),"Excl")</f>
        <v>Contracts</v>
      </c>
      <c r="AM619" s="7" t="str">
        <f>VLOOKUP(AC619,Mapping!$E$11:$I$96,5,0)</f>
        <v>Negotiated Capex</v>
      </c>
      <c r="AO619" s="134">
        <v>120</v>
      </c>
      <c r="AP619" s="135" t="s">
        <v>2134</v>
      </c>
      <c r="AQ619" s="135">
        <v>613575</v>
      </c>
      <c r="AR619" s="135" t="s">
        <v>1489</v>
      </c>
      <c r="AS619" s="136">
        <v>9.2867499999999996</v>
      </c>
      <c r="AU619" s="7" t="str">
        <f>VLOOKUP($AO619,Mapping!$E$11:$I$96,3,0)</f>
        <v>Negotiated Capex</v>
      </c>
      <c r="AV619" s="7" t="str">
        <f>VLOOKUP($AQ619,Mapping!$E$140:$K$2771,5,0)</f>
        <v>Labour</v>
      </c>
      <c r="AW619" s="7" t="str">
        <f>VLOOKUP($AQ619,Mapping!$E$140:$K$2771,7,0)</f>
        <v>ENDirect</v>
      </c>
      <c r="AX619" s="7" t="str">
        <f>IFERROR(HLOOKUP(AV619,'Calc|Weightings'!$K$5:$M$5,1,0),"Excl")</f>
        <v>Labour</v>
      </c>
      <c r="AY619" s="7" t="str">
        <f>VLOOKUP(AO619,Mapping!$E$11:$I$96,5,0)</f>
        <v>Negotiated Capex</v>
      </c>
    </row>
    <row r="620" spans="1:51" x14ac:dyDescent="0.2">
      <c r="A620" s="7"/>
      <c r="B620" s="7"/>
      <c r="C620" s="7"/>
      <c r="D620" s="7"/>
      <c r="E620" s="36">
        <v>119</v>
      </c>
      <c r="F620" s="36" t="s">
        <v>2133</v>
      </c>
      <c r="G620" s="36">
        <v>531466</v>
      </c>
      <c r="H620" s="36" t="s">
        <v>258</v>
      </c>
      <c r="I620" s="37">
        <v>414.52782999999999</v>
      </c>
      <c r="J620" s="7"/>
      <c r="K620" s="7" t="str">
        <f>VLOOKUP($E620,Mapping!$E$11:$I$96,3,0)</f>
        <v>Negotiated Capex</v>
      </c>
      <c r="L620" s="7" t="str">
        <f>VLOOKUP($G620,Mapping!$E$140:$K$2771,5,0)</f>
        <v>Contracts</v>
      </c>
      <c r="M620" s="7" t="str">
        <f>VLOOKUP($G620,Mapping!$E$140:$K$2771,7,0)</f>
        <v>ENDirect</v>
      </c>
      <c r="N620" s="7" t="str">
        <f>IFERROR(HLOOKUP(L620,'Calc|Weightings'!$K$5:$M$5,1,0),"Excl")</f>
        <v>Contracts</v>
      </c>
      <c r="O620" s="7" t="str">
        <f>VLOOKUP(E620,Mapping!$E$11:$I$96,5,0)</f>
        <v>Negotiated Capex</v>
      </c>
      <c r="Q620" s="33">
        <v>120</v>
      </c>
      <c r="R620" s="33" t="s">
        <v>2134</v>
      </c>
      <c r="S620" s="33">
        <v>613250</v>
      </c>
      <c r="T620" s="33" t="s">
        <v>2086</v>
      </c>
      <c r="U620" s="34">
        <v>34.687069999999999</v>
      </c>
      <c r="V620" s="7"/>
      <c r="W620" s="7" t="str">
        <f>VLOOKUP($Q620,Mapping!$E$11:$I$96,3,0)</f>
        <v>Negotiated Capex</v>
      </c>
      <c r="X620" s="7" t="str">
        <f>VLOOKUP($S620,Mapping!$E$140:$K$2771,5,0)</f>
        <v>Labour</v>
      </c>
      <c r="Y620" s="7" t="str">
        <f>VLOOKUP($S620,Mapping!$E$140:$K$2771,7,0)</f>
        <v>ENDirect</v>
      </c>
      <c r="Z620" s="7" t="str">
        <f>IFERROR(HLOOKUP(X620,'Calc|Weightings'!$K$5:$M$5,1,0),"Excl")</f>
        <v>Labour</v>
      </c>
      <c r="AA620" s="7" t="str">
        <f>VLOOKUP(Q620,Mapping!$E$11:$I$96,5,0)</f>
        <v>Negotiated Capex</v>
      </c>
      <c r="AC620" s="111">
        <v>120</v>
      </c>
      <c r="AD620" s="111" t="s">
        <v>2134</v>
      </c>
      <c r="AE620" s="111">
        <v>591999</v>
      </c>
      <c r="AF620" s="111" t="s">
        <v>2195</v>
      </c>
      <c r="AG620" s="112">
        <v>-29.508089999999999</v>
      </c>
      <c r="AI620" s="7" t="str">
        <f>VLOOKUP($AC620,Mapping!$E$11:$I$96,3,0)</f>
        <v>Negotiated Capex</v>
      </c>
      <c r="AJ620" s="7" t="str">
        <f>VLOOKUP($AE620,Mapping!$E$140:$K$2771,5,0)</f>
        <v>Contracts</v>
      </c>
      <c r="AK620" s="7" t="str">
        <f>VLOOKUP($AE620,Mapping!$E$140:$K$2771,7,0)</f>
        <v>ENDirect</v>
      </c>
      <c r="AL620" s="7" t="str">
        <f>IFERROR(HLOOKUP(AJ620,'Calc|Weightings'!$K$5:$M$5,1,0),"Excl")</f>
        <v>Contracts</v>
      </c>
      <c r="AM620" s="7" t="str">
        <f>VLOOKUP(AC620,Mapping!$E$11:$I$96,5,0)</f>
        <v>Negotiated Capex</v>
      </c>
      <c r="AO620" s="134">
        <v>120</v>
      </c>
      <c r="AP620" s="135" t="s">
        <v>2134</v>
      </c>
      <c r="AQ620" s="135">
        <v>613576</v>
      </c>
      <c r="AR620" s="135" t="s">
        <v>1490</v>
      </c>
      <c r="AS620" s="136">
        <v>1.11456</v>
      </c>
      <c r="AU620" s="7" t="str">
        <f>VLOOKUP($AO620,Mapping!$E$11:$I$96,3,0)</f>
        <v>Negotiated Capex</v>
      </c>
      <c r="AV620" s="7" t="str">
        <f>VLOOKUP($AQ620,Mapping!$E$140:$K$2771,5,0)</f>
        <v>Labour</v>
      </c>
      <c r="AW620" s="7" t="str">
        <f>VLOOKUP($AQ620,Mapping!$E$140:$K$2771,7,0)</f>
        <v>ENDirect</v>
      </c>
      <c r="AX620" s="7" t="str">
        <f>IFERROR(HLOOKUP(AV620,'Calc|Weightings'!$K$5:$M$5,1,0),"Excl")</f>
        <v>Labour</v>
      </c>
      <c r="AY620" s="7" t="str">
        <f>VLOOKUP(AO620,Mapping!$E$11:$I$96,5,0)</f>
        <v>Negotiated Capex</v>
      </c>
    </row>
    <row r="621" spans="1:51" x14ac:dyDescent="0.2">
      <c r="A621" s="7"/>
      <c r="B621" s="7"/>
      <c r="C621" s="7"/>
      <c r="D621" s="7"/>
      <c r="E621" s="36">
        <v>119</v>
      </c>
      <c r="F621" s="36" t="s">
        <v>2133</v>
      </c>
      <c r="G621" s="36">
        <v>531467</v>
      </c>
      <c r="H621" s="36" t="s">
        <v>259</v>
      </c>
      <c r="I621" s="37">
        <v>8.26159</v>
      </c>
      <c r="J621" s="7"/>
      <c r="K621" s="7" t="str">
        <f>VLOOKUP($E621,Mapping!$E$11:$I$96,3,0)</f>
        <v>Negotiated Capex</v>
      </c>
      <c r="L621" s="7" t="str">
        <f>VLOOKUP($G621,Mapping!$E$140:$K$2771,5,0)</f>
        <v>Contracts</v>
      </c>
      <c r="M621" s="7" t="str">
        <f>VLOOKUP($G621,Mapping!$E$140:$K$2771,7,0)</f>
        <v>ENDirect</v>
      </c>
      <c r="N621" s="7" t="str">
        <f>IFERROR(HLOOKUP(L621,'Calc|Weightings'!$K$5:$M$5,1,0),"Excl")</f>
        <v>Contracts</v>
      </c>
      <c r="O621" s="7" t="str">
        <f>VLOOKUP(E621,Mapping!$E$11:$I$96,5,0)</f>
        <v>Negotiated Capex</v>
      </c>
      <c r="Q621" s="33">
        <v>120</v>
      </c>
      <c r="R621" s="33" t="s">
        <v>2134</v>
      </c>
      <c r="S621" s="33">
        <v>613280</v>
      </c>
      <c r="T621" s="33" t="s">
        <v>1342</v>
      </c>
      <c r="U621" s="34">
        <v>25.403390000000002</v>
      </c>
      <c r="V621" s="7"/>
      <c r="W621" s="7" t="str">
        <f>VLOOKUP($Q621,Mapping!$E$11:$I$96,3,0)</f>
        <v>Negotiated Capex</v>
      </c>
      <c r="X621" s="7" t="str">
        <f>VLOOKUP($S621,Mapping!$E$140:$K$2771,5,0)</f>
        <v>Labour</v>
      </c>
      <c r="Y621" s="7" t="str">
        <f>VLOOKUP($S621,Mapping!$E$140:$K$2771,7,0)</f>
        <v>ENDirect</v>
      </c>
      <c r="Z621" s="7" t="str">
        <f>IFERROR(HLOOKUP(X621,'Calc|Weightings'!$K$5:$M$5,1,0),"Excl")</f>
        <v>Labour</v>
      </c>
      <c r="AA621" s="7" t="str">
        <f>VLOOKUP(Q621,Mapping!$E$11:$I$96,5,0)</f>
        <v>Negotiated Capex</v>
      </c>
      <c r="AC621" s="111">
        <v>120</v>
      </c>
      <c r="AD621" s="111" t="s">
        <v>2134</v>
      </c>
      <c r="AE621" s="111">
        <v>611900</v>
      </c>
      <c r="AF621" s="111" t="s">
        <v>2079</v>
      </c>
      <c r="AG621" s="112">
        <v>3.9607399999999999</v>
      </c>
      <c r="AI621" s="7" t="str">
        <f>VLOOKUP($AC621,Mapping!$E$11:$I$96,3,0)</f>
        <v>Negotiated Capex</v>
      </c>
      <c r="AJ621" s="7" t="str">
        <f>VLOOKUP($AE621,Mapping!$E$140:$K$2771,5,0)</f>
        <v>Contracts</v>
      </c>
      <c r="AK621" s="7" t="str">
        <f>VLOOKUP($AE621,Mapping!$E$140:$K$2771,7,0)</f>
        <v>ENDirect</v>
      </c>
      <c r="AL621" s="7" t="str">
        <f>IFERROR(HLOOKUP(AJ621,'Calc|Weightings'!$K$5:$M$5,1,0),"Excl")</f>
        <v>Contracts</v>
      </c>
      <c r="AM621" s="7" t="str">
        <f>VLOOKUP(AC621,Mapping!$E$11:$I$96,5,0)</f>
        <v>Negotiated Capex</v>
      </c>
      <c r="AO621" s="134">
        <v>120</v>
      </c>
      <c r="AP621" s="135" t="s">
        <v>2134</v>
      </c>
      <c r="AQ621" s="135">
        <v>613630</v>
      </c>
      <c r="AR621" s="135" t="s">
        <v>1498</v>
      </c>
      <c r="AS621" s="136">
        <v>0.47825000000000001</v>
      </c>
      <c r="AU621" s="7" t="str">
        <f>VLOOKUP($AO621,Mapping!$E$11:$I$96,3,0)</f>
        <v>Negotiated Capex</v>
      </c>
      <c r="AV621" s="7" t="str">
        <f>VLOOKUP($AQ621,Mapping!$E$140:$K$2771,5,0)</f>
        <v>Labour</v>
      </c>
      <c r="AW621" s="7" t="str">
        <f>VLOOKUP($AQ621,Mapping!$E$140:$K$2771,7,0)</f>
        <v>ENDirect</v>
      </c>
      <c r="AX621" s="7" t="str">
        <f>IFERROR(HLOOKUP(AV621,'Calc|Weightings'!$K$5:$M$5,1,0),"Excl")</f>
        <v>Labour</v>
      </c>
      <c r="AY621" s="7" t="str">
        <f>VLOOKUP(AO621,Mapping!$E$11:$I$96,5,0)</f>
        <v>Negotiated Capex</v>
      </c>
    </row>
    <row r="622" spans="1:51" x14ac:dyDescent="0.2">
      <c r="A622" s="7"/>
      <c r="B622" s="7"/>
      <c r="C622" s="7"/>
      <c r="D622" s="7"/>
      <c r="E622" s="36">
        <v>119</v>
      </c>
      <c r="F622" s="36" t="s">
        <v>2133</v>
      </c>
      <c r="G622" s="36">
        <v>531468</v>
      </c>
      <c r="H622" s="36" t="s">
        <v>260</v>
      </c>
      <c r="I622" s="37">
        <v>4.3332300000000004</v>
      </c>
      <c r="J622" s="7"/>
      <c r="K622" s="7" t="str">
        <f>VLOOKUP($E622,Mapping!$E$11:$I$96,3,0)</f>
        <v>Negotiated Capex</v>
      </c>
      <c r="L622" s="7" t="str">
        <f>VLOOKUP($G622,Mapping!$E$140:$K$2771,5,0)</f>
        <v>Contracts</v>
      </c>
      <c r="M622" s="7" t="str">
        <f>VLOOKUP($G622,Mapping!$E$140:$K$2771,7,0)</f>
        <v>ENDirect</v>
      </c>
      <c r="N622" s="7" t="str">
        <f>IFERROR(HLOOKUP(L622,'Calc|Weightings'!$K$5:$M$5,1,0),"Excl")</f>
        <v>Contracts</v>
      </c>
      <c r="O622" s="7" t="str">
        <f>VLOOKUP(E622,Mapping!$E$11:$I$96,5,0)</f>
        <v>Negotiated Capex</v>
      </c>
      <c r="Q622" s="33">
        <v>120</v>
      </c>
      <c r="R622" s="33" t="s">
        <v>2134</v>
      </c>
      <c r="S622" s="33">
        <v>613281</v>
      </c>
      <c r="T622" s="33" t="s">
        <v>1343</v>
      </c>
      <c r="U622" s="34">
        <v>0.87761999999999996</v>
      </c>
      <c r="V622" s="7"/>
      <c r="W622" s="7" t="str">
        <f>VLOOKUP($Q622,Mapping!$E$11:$I$96,3,0)</f>
        <v>Negotiated Capex</v>
      </c>
      <c r="X622" s="7" t="str">
        <f>VLOOKUP($S622,Mapping!$E$140:$K$2771,5,0)</f>
        <v>Labour</v>
      </c>
      <c r="Y622" s="7" t="str">
        <f>VLOOKUP($S622,Mapping!$E$140:$K$2771,7,0)</f>
        <v>ENDirect</v>
      </c>
      <c r="Z622" s="7" t="str">
        <f>IFERROR(HLOOKUP(X622,'Calc|Weightings'!$K$5:$M$5,1,0),"Excl")</f>
        <v>Labour</v>
      </c>
      <c r="AA622" s="7" t="str">
        <f>VLOOKUP(Q622,Mapping!$E$11:$I$96,5,0)</f>
        <v>Negotiated Capex</v>
      </c>
      <c r="AC622" s="111">
        <v>120</v>
      </c>
      <c r="AD622" s="111" t="s">
        <v>2134</v>
      </c>
      <c r="AE622" s="111">
        <v>611901</v>
      </c>
      <c r="AF622" s="111" t="s">
        <v>2080</v>
      </c>
      <c r="AG622" s="112">
        <v>0.35669000000000001</v>
      </c>
      <c r="AI622" s="7" t="str">
        <f>VLOOKUP($AC622,Mapping!$E$11:$I$96,3,0)</f>
        <v>Negotiated Capex</v>
      </c>
      <c r="AJ622" s="7" t="str">
        <f>VLOOKUP($AE622,Mapping!$E$140:$K$2771,5,0)</f>
        <v>Contracts</v>
      </c>
      <c r="AK622" s="7" t="str">
        <f>VLOOKUP($AE622,Mapping!$E$140:$K$2771,7,0)</f>
        <v>ENDirect</v>
      </c>
      <c r="AL622" s="7" t="str">
        <f>IFERROR(HLOOKUP(AJ622,'Calc|Weightings'!$K$5:$M$5,1,0),"Excl")</f>
        <v>Contracts</v>
      </c>
      <c r="AM622" s="7" t="str">
        <f>VLOOKUP(AC622,Mapping!$E$11:$I$96,5,0)</f>
        <v>Negotiated Capex</v>
      </c>
      <c r="AO622" s="134">
        <v>120</v>
      </c>
      <c r="AP622" s="135" t="s">
        <v>2134</v>
      </c>
      <c r="AQ622" s="135">
        <v>613680</v>
      </c>
      <c r="AR622" s="135" t="s">
        <v>2107</v>
      </c>
      <c r="AS622" s="136">
        <v>1.2115899999999999</v>
      </c>
      <c r="AU622" s="7" t="str">
        <f>VLOOKUP($AO622,Mapping!$E$11:$I$96,3,0)</f>
        <v>Negotiated Capex</v>
      </c>
      <c r="AV622" s="7" t="str">
        <f>VLOOKUP($AQ622,Mapping!$E$140:$K$2771,5,0)</f>
        <v>Labour</v>
      </c>
      <c r="AW622" s="7" t="str">
        <f>VLOOKUP($AQ622,Mapping!$E$140:$K$2771,7,0)</f>
        <v>ENDirect</v>
      </c>
      <c r="AX622" s="7" t="str">
        <f>IFERROR(HLOOKUP(AV622,'Calc|Weightings'!$K$5:$M$5,1,0),"Excl")</f>
        <v>Labour</v>
      </c>
      <c r="AY622" s="7" t="str">
        <f>VLOOKUP(AO622,Mapping!$E$11:$I$96,5,0)</f>
        <v>Negotiated Capex</v>
      </c>
    </row>
    <row r="623" spans="1:51" x14ac:dyDescent="0.2">
      <c r="A623" s="7"/>
      <c r="B623" s="7"/>
      <c r="C623" s="7"/>
      <c r="D623" s="7"/>
      <c r="E623" s="36">
        <v>119</v>
      </c>
      <c r="F623" s="36" t="s">
        <v>2133</v>
      </c>
      <c r="G623" s="36">
        <v>531495</v>
      </c>
      <c r="H623" s="36" t="s">
        <v>2353</v>
      </c>
      <c r="I623" s="37">
        <v>53.05424</v>
      </c>
      <c r="J623" s="7"/>
      <c r="K623" s="7" t="str">
        <f>VLOOKUP($E623,Mapping!$E$11:$I$96,3,0)</f>
        <v>Negotiated Capex</v>
      </c>
      <c r="L623" s="7" t="str">
        <f>VLOOKUP($G623,Mapping!$E$140:$K$2771,5,0)</f>
        <v>Contracts</v>
      </c>
      <c r="M623" s="7" t="str">
        <f>VLOOKUP($G623,Mapping!$E$140:$K$2771,7,0)</f>
        <v>ENDirect</v>
      </c>
      <c r="N623" s="7" t="str">
        <f>IFERROR(HLOOKUP(L623,'Calc|Weightings'!$K$5:$M$5,1,0),"Excl")</f>
        <v>Contracts</v>
      </c>
      <c r="O623" s="7" t="str">
        <f>VLOOKUP(E623,Mapping!$E$11:$I$96,5,0)</f>
        <v>Negotiated Capex</v>
      </c>
      <c r="Q623" s="33">
        <v>120</v>
      </c>
      <c r="R623" s="33" t="s">
        <v>2134</v>
      </c>
      <c r="S623" s="33">
        <v>613290</v>
      </c>
      <c r="T623" s="33" t="s">
        <v>2093</v>
      </c>
      <c r="U623" s="34">
        <v>74.102599999999995</v>
      </c>
      <c r="V623" s="7"/>
      <c r="W623" s="7" t="str">
        <f>VLOOKUP($Q623,Mapping!$E$11:$I$96,3,0)</f>
        <v>Negotiated Capex</v>
      </c>
      <c r="X623" s="7" t="str">
        <f>VLOOKUP($S623,Mapping!$E$140:$K$2771,5,0)</f>
        <v>Labour</v>
      </c>
      <c r="Y623" s="7" t="str">
        <f>VLOOKUP($S623,Mapping!$E$140:$K$2771,7,0)</f>
        <v>ENDirect</v>
      </c>
      <c r="Z623" s="7" t="str">
        <f>IFERROR(HLOOKUP(X623,'Calc|Weightings'!$K$5:$M$5,1,0),"Excl")</f>
        <v>Labour</v>
      </c>
      <c r="AA623" s="7" t="str">
        <f>VLOOKUP(Q623,Mapping!$E$11:$I$96,5,0)</f>
        <v>Negotiated Capex</v>
      </c>
      <c r="AC623" s="111">
        <v>120</v>
      </c>
      <c r="AD623" s="111" t="s">
        <v>2134</v>
      </c>
      <c r="AE623" s="111">
        <v>611902</v>
      </c>
      <c r="AF623" s="111" t="s">
        <v>2081</v>
      </c>
      <c r="AG623" s="112">
        <v>20.515319999999999</v>
      </c>
      <c r="AI623" s="7" t="str">
        <f>VLOOKUP($AC623,Mapping!$E$11:$I$96,3,0)</f>
        <v>Negotiated Capex</v>
      </c>
      <c r="AJ623" s="7" t="str">
        <f>VLOOKUP($AE623,Mapping!$E$140:$K$2771,5,0)</f>
        <v>Contracts</v>
      </c>
      <c r="AK623" s="7" t="str">
        <f>VLOOKUP($AE623,Mapping!$E$140:$K$2771,7,0)</f>
        <v>ENDirect</v>
      </c>
      <c r="AL623" s="7" t="str">
        <f>IFERROR(HLOOKUP(AJ623,'Calc|Weightings'!$K$5:$M$5,1,0),"Excl")</f>
        <v>Contracts</v>
      </c>
      <c r="AM623" s="7" t="str">
        <f>VLOOKUP(AC623,Mapping!$E$11:$I$96,5,0)</f>
        <v>Negotiated Capex</v>
      </c>
      <c r="AO623" s="134">
        <v>120</v>
      </c>
      <c r="AP623" s="135" t="s">
        <v>2134</v>
      </c>
      <c r="AQ623" s="135">
        <v>614115</v>
      </c>
      <c r="AR623" s="135" t="s">
        <v>2109</v>
      </c>
      <c r="AS623" s="136">
        <v>39.292819999999999</v>
      </c>
      <c r="AU623" s="7" t="str">
        <f>VLOOKUP($AO623,Mapping!$E$11:$I$96,3,0)</f>
        <v>Negotiated Capex</v>
      </c>
      <c r="AV623" s="7" t="str">
        <f>VLOOKUP($AQ623,Mapping!$E$140:$K$2771,5,0)</f>
        <v>Labour</v>
      </c>
      <c r="AW623" s="7" t="str">
        <f>VLOOKUP($AQ623,Mapping!$E$140:$K$2771,7,0)</f>
        <v>ENDirect</v>
      </c>
      <c r="AX623" s="7" t="str">
        <f>IFERROR(HLOOKUP(AV623,'Calc|Weightings'!$K$5:$M$5,1,0),"Excl")</f>
        <v>Labour</v>
      </c>
      <c r="AY623" s="7" t="str">
        <f>VLOOKUP(AO623,Mapping!$E$11:$I$96,5,0)</f>
        <v>Negotiated Capex</v>
      </c>
    </row>
    <row r="624" spans="1:51" x14ac:dyDescent="0.2">
      <c r="A624" s="7"/>
      <c r="B624" s="7"/>
      <c r="C624" s="7"/>
      <c r="D624" s="7"/>
      <c r="E624" s="36">
        <v>119</v>
      </c>
      <c r="F624" s="36" t="s">
        <v>2133</v>
      </c>
      <c r="G624" s="36">
        <v>591997</v>
      </c>
      <c r="H624" s="36" t="s">
        <v>2194</v>
      </c>
      <c r="I624" s="37">
        <v>-7.6143200000000002</v>
      </c>
      <c r="J624" s="7"/>
      <c r="K624" s="7" t="str">
        <f>VLOOKUP($E624,Mapping!$E$11:$I$96,3,0)</f>
        <v>Negotiated Capex</v>
      </c>
      <c r="L624" s="7" t="str">
        <f>VLOOKUP($G624,Mapping!$E$140:$K$2771,5,0)</f>
        <v>Contracts</v>
      </c>
      <c r="M624" s="7" t="str">
        <f>VLOOKUP($G624,Mapping!$E$140:$K$2771,7,0)</f>
        <v>ENDirect</v>
      </c>
      <c r="N624" s="7" t="str">
        <f>IFERROR(HLOOKUP(L624,'Calc|Weightings'!$K$5:$M$5,1,0),"Excl")</f>
        <v>Contracts</v>
      </c>
      <c r="O624" s="7" t="str">
        <f>VLOOKUP(E624,Mapping!$E$11:$I$96,5,0)</f>
        <v>Negotiated Capex</v>
      </c>
      <c r="Q624" s="33">
        <v>120</v>
      </c>
      <c r="R624" s="33" t="s">
        <v>2134</v>
      </c>
      <c r="S624" s="33">
        <v>613291</v>
      </c>
      <c r="T624" s="33" t="s">
        <v>2094</v>
      </c>
      <c r="U624" s="34">
        <v>3.5790500000000001</v>
      </c>
      <c r="V624" s="7"/>
      <c r="W624" s="7" t="str">
        <f>VLOOKUP($Q624,Mapping!$E$11:$I$96,3,0)</f>
        <v>Negotiated Capex</v>
      </c>
      <c r="X624" s="7" t="str">
        <f>VLOOKUP($S624,Mapping!$E$140:$K$2771,5,0)</f>
        <v>Labour</v>
      </c>
      <c r="Y624" s="7" t="str">
        <f>VLOOKUP($S624,Mapping!$E$140:$K$2771,7,0)</f>
        <v>ENDirect</v>
      </c>
      <c r="Z624" s="7" t="str">
        <f>IFERROR(HLOOKUP(X624,'Calc|Weightings'!$K$5:$M$5,1,0),"Excl")</f>
        <v>Labour</v>
      </c>
      <c r="AA624" s="7" t="str">
        <f>VLOOKUP(Q624,Mapping!$E$11:$I$96,5,0)</f>
        <v>Negotiated Capex</v>
      </c>
      <c r="AC624" s="111">
        <v>120</v>
      </c>
      <c r="AD624" s="111" t="s">
        <v>2134</v>
      </c>
      <c r="AE624" s="111">
        <v>612210</v>
      </c>
      <c r="AF624" s="111" t="s">
        <v>1184</v>
      </c>
      <c r="AG624" s="112">
        <v>1.54864</v>
      </c>
      <c r="AI624" s="7" t="str">
        <f>VLOOKUP($AC624,Mapping!$E$11:$I$96,3,0)</f>
        <v>Negotiated Capex</v>
      </c>
      <c r="AJ624" s="7" t="str">
        <f>VLOOKUP($AE624,Mapping!$E$140:$K$2771,5,0)</f>
        <v>Labour</v>
      </c>
      <c r="AK624" s="7" t="str">
        <f>VLOOKUP($AE624,Mapping!$E$140:$K$2771,7,0)</f>
        <v>ENDirect</v>
      </c>
      <c r="AL624" s="7" t="str">
        <f>IFERROR(HLOOKUP(AJ624,'Calc|Weightings'!$K$5:$M$5,1,0),"Excl")</f>
        <v>Labour</v>
      </c>
      <c r="AM624" s="7" t="str">
        <f>VLOOKUP(AC624,Mapping!$E$11:$I$96,5,0)</f>
        <v>Negotiated Capex</v>
      </c>
      <c r="AO624" s="134">
        <v>120</v>
      </c>
      <c r="AP624" s="135" t="s">
        <v>2134</v>
      </c>
      <c r="AQ624" s="135">
        <v>634001</v>
      </c>
      <c r="AR624" s="135" t="s">
        <v>2110</v>
      </c>
      <c r="AS624" s="136">
        <v>68.510019999999997</v>
      </c>
      <c r="AU624" s="7" t="str">
        <f>VLOOKUP($AO624,Mapping!$E$11:$I$96,3,0)</f>
        <v>Negotiated Capex</v>
      </c>
      <c r="AV624" s="7" t="str">
        <f>VLOOKUP($AQ624,Mapping!$E$140:$K$2771,5,0)</f>
        <v>Local OH</v>
      </c>
      <c r="AW624" s="7" t="str">
        <f>VLOOKUP($AQ624,Mapping!$E$140:$K$2771,7,0)</f>
        <v>OH</v>
      </c>
      <c r="AX624" s="7" t="str">
        <f>IFERROR(HLOOKUP(AV624,'Calc|Weightings'!$K$5:$M$5,1,0),"Excl")</f>
        <v>Excl</v>
      </c>
      <c r="AY624" s="7" t="str">
        <f>VLOOKUP(AO624,Mapping!$E$11:$I$96,5,0)</f>
        <v>Negotiated Capex</v>
      </c>
    </row>
    <row r="625" spans="1:51" x14ac:dyDescent="0.2">
      <c r="A625" s="7"/>
      <c r="B625" s="7"/>
      <c r="C625" s="7"/>
      <c r="D625" s="7"/>
      <c r="E625" s="36">
        <v>119</v>
      </c>
      <c r="F625" s="36" t="s">
        <v>2133</v>
      </c>
      <c r="G625" s="36">
        <v>591998</v>
      </c>
      <c r="H625" s="36" t="s">
        <v>2077</v>
      </c>
      <c r="I625" s="37">
        <v>-7.4185999999999996</v>
      </c>
      <c r="J625" s="7"/>
      <c r="K625" s="7" t="str">
        <f>VLOOKUP($E625,Mapping!$E$11:$I$96,3,0)</f>
        <v>Negotiated Capex</v>
      </c>
      <c r="L625" s="7" t="str">
        <f>VLOOKUP($G625,Mapping!$E$140:$K$2771,5,0)</f>
        <v>Contracts</v>
      </c>
      <c r="M625" s="7" t="str">
        <f>VLOOKUP($G625,Mapping!$E$140:$K$2771,7,0)</f>
        <v>ENDirect</v>
      </c>
      <c r="N625" s="7" t="str">
        <f>IFERROR(HLOOKUP(L625,'Calc|Weightings'!$K$5:$M$5,1,0),"Excl")</f>
        <v>Contracts</v>
      </c>
      <c r="O625" s="7" t="str">
        <f>VLOOKUP(E625,Mapping!$E$11:$I$96,5,0)</f>
        <v>Negotiated Capex</v>
      </c>
      <c r="Q625" s="33">
        <v>120</v>
      </c>
      <c r="R625" s="33" t="s">
        <v>2134</v>
      </c>
      <c r="S625" s="33">
        <v>613298</v>
      </c>
      <c r="T625" s="33" t="s">
        <v>2122</v>
      </c>
      <c r="U625" s="34">
        <v>67.907179999999997</v>
      </c>
      <c r="V625" s="7"/>
      <c r="W625" s="7" t="str">
        <f>VLOOKUP($Q625,Mapping!$E$11:$I$96,3,0)</f>
        <v>Negotiated Capex</v>
      </c>
      <c r="X625" s="7" t="str">
        <f>VLOOKUP($S625,Mapping!$E$140:$K$2771,5,0)</f>
        <v>Labour</v>
      </c>
      <c r="Y625" s="7" t="str">
        <f>VLOOKUP($S625,Mapping!$E$140:$K$2771,7,0)</f>
        <v>ENDirect</v>
      </c>
      <c r="Z625" s="7" t="str">
        <f>IFERROR(HLOOKUP(X625,'Calc|Weightings'!$K$5:$M$5,1,0),"Excl")</f>
        <v>Labour</v>
      </c>
      <c r="AA625" s="7" t="str">
        <f>VLOOKUP(Q625,Mapping!$E$11:$I$96,5,0)</f>
        <v>Negotiated Capex</v>
      </c>
      <c r="AC625" s="111">
        <v>120</v>
      </c>
      <c r="AD625" s="111" t="s">
        <v>2134</v>
      </c>
      <c r="AE625" s="111">
        <v>613240</v>
      </c>
      <c r="AF625" s="111" t="s">
        <v>2082</v>
      </c>
      <c r="AG625" s="112">
        <v>22.822690000000001</v>
      </c>
      <c r="AI625" s="7" t="str">
        <f>VLOOKUP($AC625,Mapping!$E$11:$I$96,3,0)</f>
        <v>Negotiated Capex</v>
      </c>
      <c r="AJ625" s="7" t="str">
        <f>VLOOKUP($AE625,Mapping!$E$140:$K$2771,5,0)</f>
        <v>Labour</v>
      </c>
      <c r="AK625" s="7" t="str">
        <f>VLOOKUP($AE625,Mapping!$E$140:$K$2771,7,0)</f>
        <v>ENDirect</v>
      </c>
      <c r="AL625" s="7" t="str">
        <f>IFERROR(HLOOKUP(AJ625,'Calc|Weightings'!$K$5:$M$5,1,0),"Excl")</f>
        <v>Labour</v>
      </c>
      <c r="AM625" s="7" t="str">
        <f>VLOOKUP(AC625,Mapping!$E$11:$I$96,5,0)</f>
        <v>Negotiated Capex</v>
      </c>
      <c r="AO625" s="134">
        <v>120</v>
      </c>
      <c r="AP625" s="135" t="s">
        <v>2134</v>
      </c>
      <c r="AQ625" s="135">
        <v>635001</v>
      </c>
      <c r="AR625" s="135" t="s">
        <v>1929</v>
      </c>
      <c r="AS625" s="136">
        <v>50.047280000000001</v>
      </c>
      <c r="AU625" s="7" t="str">
        <f>VLOOKUP($AO625,Mapping!$E$11:$I$96,3,0)</f>
        <v>Negotiated Capex</v>
      </c>
      <c r="AV625" s="7" t="str">
        <f>VLOOKUP($AQ625,Mapping!$E$140:$K$2771,5,0)</f>
        <v>PNS MG</v>
      </c>
      <c r="AW625" s="7" t="str">
        <f>VLOOKUP($AQ625,Mapping!$E$140:$K$2771,7,0)</f>
        <v>ENDirect</v>
      </c>
      <c r="AX625" s="7" t="str">
        <f>IFERROR(HLOOKUP(AV625,'Calc|Weightings'!$K$5:$M$5,1,0),"Excl")</f>
        <v>Excl</v>
      </c>
      <c r="AY625" s="7" t="str">
        <f>VLOOKUP(AO625,Mapping!$E$11:$I$96,5,0)</f>
        <v>Negotiated Capex</v>
      </c>
    </row>
    <row r="626" spans="1:51" x14ac:dyDescent="0.2">
      <c r="A626" s="7"/>
      <c r="B626" s="7"/>
      <c r="C626" s="7"/>
      <c r="D626" s="7"/>
      <c r="E626" s="36">
        <v>119</v>
      </c>
      <c r="F626" s="36" t="s">
        <v>2133</v>
      </c>
      <c r="G626" s="36">
        <v>591999</v>
      </c>
      <c r="H626" s="36" t="s">
        <v>2195</v>
      </c>
      <c r="I626" s="37">
        <v>-30.873270000000002</v>
      </c>
      <c r="J626" s="7"/>
      <c r="K626" s="7" t="str">
        <f>VLOOKUP($E626,Mapping!$E$11:$I$96,3,0)</f>
        <v>Negotiated Capex</v>
      </c>
      <c r="L626" s="7" t="str">
        <f>VLOOKUP($G626,Mapping!$E$140:$K$2771,5,0)</f>
        <v>Contracts</v>
      </c>
      <c r="M626" s="7" t="str">
        <f>VLOOKUP($G626,Mapping!$E$140:$K$2771,7,0)</f>
        <v>ENDirect</v>
      </c>
      <c r="N626" s="7" t="str">
        <f>IFERROR(HLOOKUP(L626,'Calc|Weightings'!$K$5:$M$5,1,0),"Excl")</f>
        <v>Contracts</v>
      </c>
      <c r="O626" s="7" t="str">
        <f>VLOOKUP(E626,Mapping!$E$11:$I$96,5,0)</f>
        <v>Negotiated Capex</v>
      </c>
      <c r="Q626" s="33">
        <v>120</v>
      </c>
      <c r="R626" s="33" t="s">
        <v>2134</v>
      </c>
      <c r="S626" s="33">
        <v>613350</v>
      </c>
      <c r="T626" s="33" t="s">
        <v>2096</v>
      </c>
      <c r="U626" s="34">
        <v>5.0383399999999998</v>
      </c>
      <c r="V626" s="7"/>
      <c r="W626" s="7" t="str">
        <f>VLOOKUP($Q626,Mapping!$E$11:$I$96,3,0)</f>
        <v>Negotiated Capex</v>
      </c>
      <c r="X626" s="7" t="str">
        <f>VLOOKUP($S626,Mapping!$E$140:$K$2771,5,0)</f>
        <v>Labour</v>
      </c>
      <c r="Y626" s="7" t="str">
        <f>VLOOKUP($S626,Mapping!$E$140:$K$2771,7,0)</f>
        <v>ENDirect</v>
      </c>
      <c r="Z626" s="7" t="str">
        <f>IFERROR(HLOOKUP(X626,'Calc|Weightings'!$K$5:$M$5,1,0),"Excl")</f>
        <v>Labour</v>
      </c>
      <c r="AA626" s="7" t="str">
        <f>VLOOKUP(Q626,Mapping!$E$11:$I$96,5,0)</f>
        <v>Negotiated Capex</v>
      </c>
      <c r="AC626" s="111">
        <v>120</v>
      </c>
      <c r="AD626" s="111" t="s">
        <v>2134</v>
      </c>
      <c r="AE626" s="111">
        <v>613250</v>
      </c>
      <c r="AF626" s="111" t="s">
        <v>2086</v>
      </c>
      <c r="AG626" s="112">
        <v>37.19182</v>
      </c>
      <c r="AI626" s="7" t="str">
        <f>VLOOKUP($AC626,Mapping!$E$11:$I$96,3,0)</f>
        <v>Negotiated Capex</v>
      </c>
      <c r="AJ626" s="7" t="str">
        <f>VLOOKUP($AE626,Mapping!$E$140:$K$2771,5,0)</f>
        <v>Labour</v>
      </c>
      <c r="AK626" s="7" t="str">
        <f>VLOOKUP($AE626,Mapping!$E$140:$K$2771,7,0)</f>
        <v>ENDirect</v>
      </c>
      <c r="AL626" s="7" t="str">
        <f>IFERROR(HLOOKUP(AJ626,'Calc|Weightings'!$K$5:$M$5,1,0),"Excl")</f>
        <v>Labour</v>
      </c>
      <c r="AM626" s="7" t="str">
        <f>VLOOKUP(AC626,Mapping!$E$11:$I$96,5,0)</f>
        <v>Negotiated Capex</v>
      </c>
      <c r="AO626" s="134">
        <v>120</v>
      </c>
      <c r="AP626" s="135" t="s">
        <v>2134</v>
      </c>
      <c r="AQ626" s="135">
        <v>636001</v>
      </c>
      <c r="AR626" s="135" t="s">
        <v>2111</v>
      </c>
      <c r="AS626" s="136">
        <v>47.412019999999998</v>
      </c>
      <c r="AU626" s="7" t="str">
        <f>VLOOKUP($AO626,Mapping!$E$11:$I$96,3,0)</f>
        <v>Negotiated Capex</v>
      </c>
      <c r="AV626" s="7" t="str">
        <f>VLOOKUP($AQ626,Mapping!$E$140:$K$2771,5,0)</f>
        <v>System Control OH</v>
      </c>
      <c r="AW626" s="7" t="str">
        <f>VLOOKUP($AQ626,Mapping!$E$140:$K$2771,7,0)</f>
        <v>OH</v>
      </c>
      <c r="AX626" s="7" t="str">
        <f>IFERROR(HLOOKUP(AV626,'Calc|Weightings'!$K$5:$M$5,1,0),"Excl")</f>
        <v>Excl</v>
      </c>
      <c r="AY626" s="7" t="str">
        <f>VLOOKUP(AO626,Mapping!$E$11:$I$96,5,0)</f>
        <v>Negotiated Capex</v>
      </c>
    </row>
    <row r="627" spans="1:51" x14ac:dyDescent="0.2">
      <c r="A627" s="7"/>
      <c r="B627" s="7"/>
      <c r="C627" s="7"/>
      <c r="D627" s="7"/>
      <c r="E627" s="36">
        <v>119</v>
      </c>
      <c r="F627" s="36" t="s">
        <v>2133</v>
      </c>
      <c r="G627" s="36">
        <v>611900</v>
      </c>
      <c r="H627" s="36" t="s">
        <v>2079</v>
      </c>
      <c r="I627" s="37">
        <v>0.77936000000000005</v>
      </c>
      <c r="J627" s="7"/>
      <c r="K627" s="7" t="str">
        <f>VLOOKUP($E627,Mapping!$E$11:$I$96,3,0)</f>
        <v>Negotiated Capex</v>
      </c>
      <c r="L627" s="7" t="str">
        <f>VLOOKUP($G627,Mapping!$E$140:$K$2771,5,0)</f>
        <v>Contracts</v>
      </c>
      <c r="M627" s="7" t="str">
        <f>VLOOKUP($G627,Mapping!$E$140:$K$2771,7,0)</f>
        <v>ENDirect</v>
      </c>
      <c r="N627" s="7" t="str">
        <f>IFERROR(HLOOKUP(L627,'Calc|Weightings'!$K$5:$M$5,1,0),"Excl")</f>
        <v>Contracts</v>
      </c>
      <c r="O627" s="7" t="str">
        <f>VLOOKUP(E627,Mapping!$E$11:$I$96,5,0)</f>
        <v>Negotiated Capex</v>
      </c>
      <c r="Q627" s="33">
        <v>120</v>
      </c>
      <c r="R627" s="33" t="s">
        <v>2134</v>
      </c>
      <c r="S627" s="33">
        <v>613360</v>
      </c>
      <c r="T627" s="33" t="s">
        <v>2097</v>
      </c>
      <c r="U627" s="34">
        <v>51.252200000000002</v>
      </c>
      <c r="V627" s="7"/>
      <c r="W627" s="7" t="str">
        <f>VLOOKUP($Q627,Mapping!$E$11:$I$96,3,0)</f>
        <v>Negotiated Capex</v>
      </c>
      <c r="X627" s="7" t="str">
        <f>VLOOKUP($S627,Mapping!$E$140:$K$2771,5,0)</f>
        <v>Labour</v>
      </c>
      <c r="Y627" s="7" t="str">
        <f>VLOOKUP($S627,Mapping!$E$140:$K$2771,7,0)</f>
        <v>ENDirect</v>
      </c>
      <c r="Z627" s="7" t="str">
        <f>IFERROR(HLOOKUP(X627,'Calc|Weightings'!$K$5:$M$5,1,0),"Excl")</f>
        <v>Labour</v>
      </c>
      <c r="AA627" s="7" t="str">
        <f>VLOOKUP(Q627,Mapping!$E$11:$I$96,5,0)</f>
        <v>Negotiated Capex</v>
      </c>
      <c r="AC627" s="111">
        <v>120</v>
      </c>
      <c r="AD627" s="111" t="s">
        <v>2134</v>
      </c>
      <c r="AE627" s="111">
        <v>613280</v>
      </c>
      <c r="AF627" s="111" t="s">
        <v>1342</v>
      </c>
      <c r="AG627" s="112">
        <v>37.2089</v>
      </c>
      <c r="AI627" s="7" t="str">
        <f>VLOOKUP($AC627,Mapping!$E$11:$I$96,3,0)</f>
        <v>Negotiated Capex</v>
      </c>
      <c r="AJ627" s="7" t="str">
        <f>VLOOKUP($AE627,Mapping!$E$140:$K$2771,5,0)</f>
        <v>Labour</v>
      </c>
      <c r="AK627" s="7" t="str">
        <f>VLOOKUP($AE627,Mapping!$E$140:$K$2771,7,0)</f>
        <v>ENDirect</v>
      </c>
      <c r="AL627" s="7" t="str">
        <f>IFERROR(HLOOKUP(AJ627,'Calc|Weightings'!$K$5:$M$5,1,0),"Excl")</f>
        <v>Labour</v>
      </c>
      <c r="AM627" s="7" t="str">
        <f>VLOOKUP(AC627,Mapping!$E$11:$I$96,5,0)</f>
        <v>Negotiated Capex</v>
      </c>
      <c r="AO627" s="134">
        <v>120</v>
      </c>
      <c r="AP627" s="135" t="s">
        <v>2134</v>
      </c>
      <c r="AQ627" s="135">
        <v>636105</v>
      </c>
      <c r="AR627" s="135" t="s">
        <v>1937</v>
      </c>
      <c r="AS627" s="136">
        <v>3.6379299999999999</v>
      </c>
      <c r="AU627" s="7" t="str">
        <f>VLOOKUP($AO627,Mapping!$E$11:$I$96,3,0)</f>
        <v>Negotiated Capex</v>
      </c>
      <c r="AV627" s="7" t="str">
        <f>VLOOKUP($AQ627,Mapping!$E$140:$K$2771,5,0)</f>
        <v>CSG MG</v>
      </c>
      <c r="AW627" s="7" t="str">
        <f>VLOOKUP($AQ627,Mapping!$E$140:$K$2771,7,0)</f>
        <v>ENDirect</v>
      </c>
      <c r="AX627" s="7" t="str">
        <f>IFERROR(HLOOKUP(AV627,'Calc|Weightings'!$K$5:$M$5,1,0),"Excl")</f>
        <v>Excl</v>
      </c>
      <c r="AY627" s="7" t="str">
        <f>VLOOKUP(AO627,Mapping!$E$11:$I$96,5,0)</f>
        <v>Negotiated Capex</v>
      </c>
    </row>
    <row r="628" spans="1:51" x14ac:dyDescent="0.2">
      <c r="A628" s="7"/>
      <c r="B628" s="7"/>
      <c r="C628" s="7"/>
      <c r="D628" s="7"/>
      <c r="E628" s="36">
        <v>119</v>
      </c>
      <c r="F628" s="36" t="s">
        <v>2133</v>
      </c>
      <c r="G628" s="36">
        <v>611901</v>
      </c>
      <c r="H628" s="36" t="s">
        <v>2080</v>
      </c>
      <c r="I628" s="37">
        <v>4.9250000000000002E-2</v>
      </c>
      <c r="J628" s="7"/>
      <c r="K628" s="7" t="str">
        <f>VLOOKUP($E628,Mapping!$E$11:$I$96,3,0)</f>
        <v>Negotiated Capex</v>
      </c>
      <c r="L628" s="7" t="str">
        <f>VLOOKUP($G628,Mapping!$E$140:$K$2771,5,0)</f>
        <v>Contracts</v>
      </c>
      <c r="M628" s="7" t="str">
        <f>VLOOKUP($G628,Mapping!$E$140:$K$2771,7,0)</f>
        <v>ENDirect</v>
      </c>
      <c r="N628" s="7" t="str">
        <f>IFERROR(HLOOKUP(L628,'Calc|Weightings'!$K$5:$M$5,1,0),"Excl")</f>
        <v>Contracts</v>
      </c>
      <c r="O628" s="7" t="str">
        <f>VLOOKUP(E628,Mapping!$E$11:$I$96,5,0)</f>
        <v>Negotiated Capex</v>
      </c>
      <c r="Q628" s="33">
        <v>120</v>
      </c>
      <c r="R628" s="33" t="s">
        <v>2134</v>
      </c>
      <c r="S628" s="33">
        <v>613361</v>
      </c>
      <c r="T628" s="33" t="s">
        <v>2098</v>
      </c>
      <c r="U628" s="34">
        <v>0.19078000000000001</v>
      </c>
      <c r="V628" s="7"/>
      <c r="W628" s="7" t="str">
        <f>VLOOKUP($Q628,Mapping!$E$11:$I$96,3,0)</f>
        <v>Negotiated Capex</v>
      </c>
      <c r="X628" s="7" t="str">
        <f>VLOOKUP($S628,Mapping!$E$140:$K$2771,5,0)</f>
        <v>Labour</v>
      </c>
      <c r="Y628" s="7" t="str">
        <f>VLOOKUP($S628,Mapping!$E$140:$K$2771,7,0)</f>
        <v>ENDirect</v>
      </c>
      <c r="Z628" s="7" t="str">
        <f>IFERROR(HLOOKUP(X628,'Calc|Weightings'!$K$5:$M$5,1,0),"Excl")</f>
        <v>Labour</v>
      </c>
      <c r="AA628" s="7" t="str">
        <f>VLOOKUP(Q628,Mapping!$E$11:$I$96,5,0)</f>
        <v>Negotiated Capex</v>
      </c>
      <c r="AC628" s="111">
        <v>120</v>
      </c>
      <c r="AD628" s="111" t="s">
        <v>2134</v>
      </c>
      <c r="AE628" s="111">
        <v>613281</v>
      </c>
      <c r="AF628" s="111" t="s">
        <v>1343</v>
      </c>
      <c r="AG628" s="112">
        <v>5.09971</v>
      </c>
      <c r="AI628" s="7" t="str">
        <f>VLOOKUP($AC628,Mapping!$E$11:$I$96,3,0)</f>
        <v>Negotiated Capex</v>
      </c>
      <c r="AJ628" s="7" t="str">
        <f>VLOOKUP($AE628,Mapping!$E$140:$K$2771,5,0)</f>
        <v>Labour</v>
      </c>
      <c r="AK628" s="7" t="str">
        <f>VLOOKUP($AE628,Mapping!$E$140:$K$2771,7,0)</f>
        <v>ENDirect</v>
      </c>
      <c r="AL628" s="7" t="str">
        <f>IFERROR(HLOOKUP(AJ628,'Calc|Weightings'!$K$5:$M$5,1,0),"Excl")</f>
        <v>Labour</v>
      </c>
      <c r="AM628" s="7" t="str">
        <f>VLOOKUP(AC628,Mapping!$E$11:$I$96,5,0)</f>
        <v>Negotiated Capex</v>
      </c>
      <c r="AO628" s="134">
        <v>120</v>
      </c>
      <c r="AP628" s="135" t="s">
        <v>2134</v>
      </c>
      <c r="AQ628" s="135">
        <v>639000</v>
      </c>
      <c r="AR628" s="135" t="s">
        <v>2112</v>
      </c>
      <c r="AS628" s="136">
        <v>45.760930000000002</v>
      </c>
      <c r="AU628" s="7" t="str">
        <f>VLOOKUP($AO628,Mapping!$E$11:$I$96,3,0)</f>
        <v>Negotiated Capex</v>
      </c>
      <c r="AV628" s="7" t="str">
        <f>VLOOKUP($AQ628,Mapping!$E$140:$K$2771,5,0)</f>
        <v>PNS Corporate OH</v>
      </c>
      <c r="AW628" s="7" t="str">
        <f>VLOOKUP($AQ628,Mapping!$E$140:$K$2771,7,0)</f>
        <v>OH</v>
      </c>
      <c r="AX628" s="7" t="str">
        <f>IFERROR(HLOOKUP(AV628,'Calc|Weightings'!$K$5:$M$5,1,0),"Excl")</f>
        <v>Excl</v>
      </c>
      <c r="AY628" s="7" t="str">
        <f>VLOOKUP(AO628,Mapping!$E$11:$I$96,5,0)</f>
        <v>Negotiated Capex</v>
      </c>
    </row>
    <row r="629" spans="1:51" x14ac:dyDescent="0.2">
      <c r="A629" s="7"/>
      <c r="B629" s="7"/>
      <c r="C629" s="7"/>
      <c r="D629" s="7"/>
      <c r="E629" s="36">
        <v>119</v>
      </c>
      <c r="F629" s="36" t="s">
        <v>2133</v>
      </c>
      <c r="G629" s="36">
        <v>611902</v>
      </c>
      <c r="H629" s="36" t="s">
        <v>2081</v>
      </c>
      <c r="I629" s="37">
        <v>6.8900000000000003E-3</v>
      </c>
      <c r="J629" s="7"/>
      <c r="K629" s="7" t="str">
        <f>VLOOKUP($E629,Mapping!$E$11:$I$96,3,0)</f>
        <v>Negotiated Capex</v>
      </c>
      <c r="L629" s="7" t="str">
        <f>VLOOKUP($G629,Mapping!$E$140:$K$2771,5,0)</f>
        <v>Contracts</v>
      </c>
      <c r="M629" s="7" t="str">
        <f>VLOOKUP($G629,Mapping!$E$140:$K$2771,7,0)</f>
        <v>ENDirect</v>
      </c>
      <c r="N629" s="7" t="str">
        <f>IFERROR(HLOOKUP(L629,'Calc|Weightings'!$K$5:$M$5,1,0),"Excl")</f>
        <v>Contracts</v>
      </c>
      <c r="O629" s="7" t="str">
        <f>VLOOKUP(E629,Mapping!$E$11:$I$96,5,0)</f>
        <v>Negotiated Capex</v>
      </c>
      <c r="Q629" s="33">
        <v>120</v>
      </c>
      <c r="R629" s="33" t="s">
        <v>2134</v>
      </c>
      <c r="S629" s="33">
        <v>613366</v>
      </c>
      <c r="T629" s="33" t="s">
        <v>1400</v>
      </c>
      <c r="U629" s="34">
        <v>0.46832000000000001</v>
      </c>
      <c r="V629" s="7"/>
      <c r="W629" s="7" t="str">
        <f>VLOOKUP($Q629,Mapping!$E$11:$I$96,3,0)</f>
        <v>Negotiated Capex</v>
      </c>
      <c r="X629" s="7" t="str">
        <f>VLOOKUP($S629,Mapping!$E$140:$K$2771,5,0)</f>
        <v>Labour</v>
      </c>
      <c r="Y629" s="7" t="str">
        <f>VLOOKUP($S629,Mapping!$E$140:$K$2771,7,0)</f>
        <v>ENDirect</v>
      </c>
      <c r="Z629" s="7" t="str">
        <f>IFERROR(HLOOKUP(X629,'Calc|Weightings'!$K$5:$M$5,1,0),"Excl")</f>
        <v>Labour</v>
      </c>
      <c r="AA629" s="7" t="str">
        <f>VLOOKUP(Q629,Mapping!$E$11:$I$96,5,0)</f>
        <v>Negotiated Capex</v>
      </c>
      <c r="AC629" s="111">
        <v>120</v>
      </c>
      <c r="AD629" s="111" t="s">
        <v>2134</v>
      </c>
      <c r="AE629" s="111">
        <v>613290</v>
      </c>
      <c r="AF629" s="111" t="s">
        <v>2093</v>
      </c>
      <c r="AG629" s="112">
        <v>101.99206</v>
      </c>
      <c r="AI629" s="7" t="str">
        <f>VLOOKUP($AC629,Mapping!$E$11:$I$96,3,0)</f>
        <v>Negotiated Capex</v>
      </c>
      <c r="AJ629" s="7" t="str">
        <f>VLOOKUP($AE629,Mapping!$E$140:$K$2771,5,0)</f>
        <v>Labour</v>
      </c>
      <c r="AK629" s="7" t="str">
        <f>VLOOKUP($AE629,Mapping!$E$140:$K$2771,7,0)</f>
        <v>ENDirect</v>
      </c>
      <c r="AL629" s="7" t="str">
        <f>IFERROR(HLOOKUP(AJ629,'Calc|Weightings'!$K$5:$M$5,1,0),"Excl")</f>
        <v>Labour</v>
      </c>
      <c r="AM629" s="7" t="str">
        <f>VLOOKUP(AC629,Mapping!$E$11:$I$96,5,0)</f>
        <v>Negotiated Capex</v>
      </c>
      <c r="AO629" s="134">
        <v>120</v>
      </c>
      <c r="AP629" s="135" t="s">
        <v>2134</v>
      </c>
      <c r="AQ629" s="135">
        <v>639050</v>
      </c>
      <c r="AR629" s="135" t="s">
        <v>2113</v>
      </c>
      <c r="AS629" s="136">
        <v>11.151630000000001</v>
      </c>
      <c r="AU629" s="7" t="str">
        <f>VLOOKUP($AO629,Mapping!$E$11:$I$96,3,0)</f>
        <v>Negotiated Capex</v>
      </c>
      <c r="AV629" s="7" t="str">
        <f>VLOOKUP($AQ629,Mapping!$E$140:$K$2771,5,0)</f>
        <v>PNS Fleet &amp; Property OH</v>
      </c>
      <c r="AW629" s="7" t="str">
        <f>VLOOKUP($AQ629,Mapping!$E$140:$K$2771,7,0)</f>
        <v>OH</v>
      </c>
      <c r="AX629" s="7" t="str">
        <f>IFERROR(HLOOKUP(AV629,'Calc|Weightings'!$K$5:$M$5,1,0),"Excl")</f>
        <v>Excl</v>
      </c>
      <c r="AY629" s="7" t="str">
        <f>VLOOKUP(AO629,Mapping!$E$11:$I$96,5,0)</f>
        <v>Negotiated Capex</v>
      </c>
    </row>
    <row r="630" spans="1:51" x14ac:dyDescent="0.2">
      <c r="A630" s="7"/>
      <c r="B630" s="7"/>
      <c r="C630" s="7"/>
      <c r="D630" s="7"/>
      <c r="E630" s="36">
        <v>119</v>
      </c>
      <c r="F630" s="36" t="s">
        <v>2133</v>
      </c>
      <c r="G630" s="36">
        <v>613240</v>
      </c>
      <c r="H630" s="36" t="s">
        <v>2082</v>
      </c>
      <c r="I630" s="37">
        <v>2.6776200000000001</v>
      </c>
      <c r="J630" s="7"/>
      <c r="K630" s="7" t="str">
        <f>VLOOKUP($E630,Mapping!$E$11:$I$96,3,0)</f>
        <v>Negotiated Capex</v>
      </c>
      <c r="L630" s="7" t="str">
        <f>VLOOKUP($G630,Mapping!$E$140:$K$2771,5,0)</f>
        <v>Labour</v>
      </c>
      <c r="M630" s="7" t="str">
        <f>VLOOKUP($G630,Mapping!$E$140:$K$2771,7,0)</f>
        <v>ENDirect</v>
      </c>
      <c r="N630" s="7" t="str">
        <f>IFERROR(HLOOKUP(L630,'Calc|Weightings'!$K$5:$M$5,1,0),"Excl")</f>
        <v>Labour</v>
      </c>
      <c r="O630" s="7" t="str">
        <f>VLOOKUP(E630,Mapping!$E$11:$I$96,5,0)</f>
        <v>Negotiated Capex</v>
      </c>
      <c r="Q630" s="33">
        <v>120</v>
      </c>
      <c r="R630" s="33" t="s">
        <v>2134</v>
      </c>
      <c r="S630" s="33">
        <v>613400</v>
      </c>
      <c r="T630" s="33" t="s">
        <v>2099</v>
      </c>
      <c r="U630" s="34">
        <v>14.0206</v>
      </c>
      <c r="V630" s="7"/>
      <c r="W630" s="7" t="str">
        <f>VLOOKUP($Q630,Mapping!$E$11:$I$96,3,0)</f>
        <v>Negotiated Capex</v>
      </c>
      <c r="X630" s="7" t="str">
        <f>VLOOKUP($S630,Mapping!$E$140:$K$2771,5,0)</f>
        <v>Labour</v>
      </c>
      <c r="Y630" s="7" t="str">
        <f>VLOOKUP($S630,Mapping!$E$140:$K$2771,7,0)</f>
        <v>ENDirect</v>
      </c>
      <c r="Z630" s="7" t="str">
        <f>IFERROR(HLOOKUP(X630,'Calc|Weightings'!$K$5:$M$5,1,0),"Excl")</f>
        <v>Labour</v>
      </c>
      <c r="AA630" s="7" t="str">
        <f>VLOOKUP(Q630,Mapping!$E$11:$I$96,5,0)</f>
        <v>Negotiated Capex</v>
      </c>
      <c r="AC630" s="111">
        <v>120</v>
      </c>
      <c r="AD630" s="111" t="s">
        <v>2134</v>
      </c>
      <c r="AE630" s="111">
        <v>613291</v>
      </c>
      <c r="AF630" s="111" t="s">
        <v>2094</v>
      </c>
      <c r="AG630" s="112">
        <v>6.2968000000000002</v>
      </c>
      <c r="AI630" s="7" t="str">
        <f>VLOOKUP($AC630,Mapping!$E$11:$I$96,3,0)</f>
        <v>Negotiated Capex</v>
      </c>
      <c r="AJ630" s="7" t="str">
        <f>VLOOKUP($AE630,Mapping!$E$140:$K$2771,5,0)</f>
        <v>Labour</v>
      </c>
      <c r="AK630" s="7" t="str">
        <f>VLOOKUP($AE630,Mapping!$E$140:$K$2771,7,0)</f>
        <v>ENDirect</v>
      </c>
      <c r="AL630" s="7" t="str">
        <f>IFERROR(HLOOKUP(AJ630,'Calc|Weightings'!$K$5:$M$5,1,0),"Excl")</f>
        <v>Labour</v>
      </c>
      <c r="AM630" s="7" t="str">
        <f>VLOOKUP(AC630,Mapping!$E$11:$I$96,5,0)</f>
        <v>Negotiated Capex</v>
      </c>
      <c r="AO630" s="134">
        <v>121</v>
      </c>
      <c r="AP630" s="135" t="s">
        <v>2392</v>
      </c>
      <c r="AQ630" s="135">
        <v>531464</v>
      </c>
      <c r="AR630" s="135" t="s">
        <v>256</v>
      </c>
      <c r="AS630" s="136">
        <v>7.4640000000000004</v>
      </c>
      <c r="AU630" s="7" t="str">
        <f>VLOOKUP($AO630,Mapping!$E$11:$I$96,3,0)</f>
        <v>Connections</v>
      </c>
      <c r="AV630" s="7" t="str">
        <f>VLOOKUP($AQ630,Mapping!$E$140:$K$2771,5,0)</f>
        <v>Contracts</v>
      </c>
      <c r="AW630" s="7" t="str">
        <f>VLOOKUP($AQ630,Mapping!$E$140:$K$2771,7,0)</f>
        <v>ENDirect</v>
      </c>
      <c r="AX630" s="7" t="str">
        <f>IFERROR(HLOOKUP(AV630,'Calc|Weightings'!$K$5:$M$5,1,0),"Excl")</f>
        <v>Contracts</v>
      </c>
      <c r="AY630" s="7" t="str">
        <f>VLOOKUP(AO630,Mapping!$E$11:$I$96,5,0)</f>
        <v>SCS</v>
      </c>
    </row>
    <row r="631" spans="1:51" x14ac:dyDescent="0.2">
      <c r="A631" s="7"/>
      <c r="B631" s="7"/>
      <c r="C631" s="7"/>
      <c r="D631" s="7"/>
      <c r="E631" s="36">
        <v>119</v>
      </c>
      <c r="F631" s="36" t="s">
        <v>2133</v>
      </c>
      <c r="G631" s="36">
        <v>613248</v>
      </c>
      <c r="H631" s="36" t="s">
        <v>2383</v>
      </c>
      <c r="I631" s="37">
        <v>16.73517</v>
      </c>
      <c r="J631" s="7"/>
      <c r="K631" s="7" t="str">
        <f>VLOOKUP($E631,Mapping!$E$11:$I$96,3,0)</f>
        <v>Negotiated Capex</v>
      </c>
      <c r="L631" s="7" t="str">
        <f>VLOOKUP($G631,Mapping!$E$140:$K$2771,5,0)</f>
        <v>Labour</v>
      </c>
      <c r="M631" s="7" t="str">
        <f>VLOOKUP($G631,Mapping!$E$140:$K$2771,7,0)</f>
        <v>ENDirect</v>
      </c>
      <c r="N631" s="7" t="str">
        <f>IFERROR(HLOOKUP(L631,'Calc|Weightings'!$K$5:$M$5,1,0),"Excl")</f>
        <v>Labour</v>
      </c>
      <c r="O631" s="7" t="str">
        <f>VLOOKUP(E631,Mapping!$E$11:$I$96,5,0)</f>
        <v>Negotiated Capex</v>
      </c>
      <c r="Q631" s="33">
        <v>120</v>
      </c>
      <c r="R631" s="33" t="s">
        <v>2134</v>
      </c>
      <c r="S631" s="33">
        <v>613410</v>
      </c>
      <c r="T631" s="33" t="s">
        <v>2100</v>
      </c>
      <c r="U631" s="34">
        <v>17.277619999999999</v>
      </c>
      <c r="V631" s="7"/>
      <c r="W631" s="7" t="str">
        <f>VLOOKUP($Q631,Mapping!$E$11:$I$96,3,0)</f>
        <v>Negotiated Capex</v>
      </c>
      <c r="X631" s="7" t="str">
        <f>VLOOKUP($S631,Mapping!$E$140:$K$2771,5,0)</f>
        <v>Labour</v>
      </c>
      <c r="Y631" s="7" t="str">
        <f>VLOOKUP($S631,Mapping!$E$140:$K$2771,7,0)</f>
        <v>ENDirect</v>
      </c>
      <c r="Z631" s="7" t="str">
        <f>IFERROR(HLOOKUP(X631,'Calc|Weightings'!$K$5:$M$5,1,0),"Excl")</f>
        <v>Labour</v>
      </c>
      <c r="AA631" s="7" t="str">
        <f>VLOOKUP(Q631,Mapping!$E$11:$I$96,5,0)</f>
        <v>Negotiated Capex</v>
      </c>
      <c r="AC631" s="111">
        <v>120</v>
      </c>
      <c r="AD631" s="111" t="s">
        <v>2134</v>
      </c>
      <c r="AE631" s="111">
        <v>613298</v>
      </c>
      <c r="AF631" s="111" t="s">
        <v>2122</v>
      </c>
      <c r="AG631" s="112">
        <v>-0.24879999999999999</v>
      </c>
      <c r="AI631" s="7" t="str">
        <f>VLOOKUP($AC631,Mapping!$E$11:$I$96,3,0)</f>
        <v>Negotiated Capex</v>
      </c>
      <c r="AJ631" s="7" t="str">
        <f>VLOOKUP($AE631,Mapping!$E$140:$K$2771,5,0)</f>
        <v>Labour</v>
      </c>
      <c r="AK631" s="7" t="str">
        <f>VLOOKUP($AE631,Mapping!$E$140:$K$2771,7,0)</f>
        <v>ENDirect</v>
      </c>
      <c r="AL631" s="7" t="str">
        <f>IFERROR(HLOOKUP(AJ631,'Calc|Weightings'!$K$5:$M$5,1,0),"Excl")</f>
        <v>Labour</v>
      </c>
      <c r="AM631" s="7" t="str">
        <f>VLOOKUP(AC631,Mapping!$E$11:$I$96,5,0)</f>
        <v>Negotiated Capex</v>
      </c>
      <c r="AO631" s="134">
        <v>121</v>
      </c>
      <c r="AP631" s="135" t="s">
        <v>2392</v>
      </c>
      <c r="AQ631" s="135">
        <v>613290</v>
      </c>
      <c r="AR631" s="135" t="s">
        <v>2093</v>
      </c>
      <c r="AS631" s="136">
        <v>2.0145</v>
      </c>
      <c r="AU631" s="7" t="str">
        <f>VLOOKUP($AO631,Mapping!$E$11:$I$96,3,0)</f>
        <v>Connections</v>
      </c>
      <c r="AV631" s="7" t="str">
        <f>VLOOKUP($AQ631,Mapping!$E$140:$K$2771,5,0)</f>
        <v>Labour</v>
      </c>
      <c r="AW631" s="7" t="str">
        <f>VLOOKUP($AQ631,Mapping!$E$140:$K$2771,7,0)</f>
        <v>ENDirect</v>
      </c>
      <c r="AX631" s="7" t="str">
        <f>IFERROR(HLOOKUP(AV631,'Calc|Weightings'!$K$5:$M$5,1,0),"Excl")</f>
        <v>Labour</v>
      </c>
      <c r="AY631" s="7" t="str">
        <f>VLOOKUP(AO631,Mapping!$E$11:$I$96,5,0)</f>
        <v>SCS</v>
      </c>
    </row>
    <row r="632" spans="1:51" x14ac:dyDescent="0.2">
      <c r="A632" s="7"/>
      <c r="B632" s="7"/>
      <c r="C632" s="7"/>
      <c r="D632" s="7"/>
      <c r="E632" s="36">
        <v>119</v>
      </c>
      <c r="F632" s="36" t="s">
        <v>2133</v>
      </c>
      <c r="G632" s="36">
        <v>613250</v>
      </c>
      <c r="H632" s="36" t="s">
        <v>2086</v>
      </c>
      <c r="I632" s="37">
        <v>0.26628000000000002</v>
      </c>
      <c r="J632" s="7"/>
      <c r="K632" s="7" t="str">
        <f>VLOOKUP($E632,Mapping!$E$11:$I$96,3,0)</f>
        <v>Negotiated Capex</v>
      </c>
      <c r="L632" s="7" t="str">
        <f>VLOOKUP($G632,Mapping!$E$140:$K$2771,5,0)</f>
        <v>Labour</v>
      </c>
      <c r="M632" s="7" t="str">
        <f>VLOOKUP($G632,Mapping!$E$140:$K$2771,7,0)</f>
        <v>ENDirect</v>
      </c>
      <c r="N632" s="7" t="str">
        <f>IFERROR(HLOOKUP(L632,'Calc|Weightings'!$K$5:$M$5,1,0),"Excl")</f>
        <v>Labour</v>
      </c>
      <c r="O632" s="7" t="str">
        <f>VLOOKUP(E632,Mapping!$E$11:$I$96,5,0)</f>
        <v>Negotiated Capex</v>
      </c>
      <c r="Q632" s="33">
        <v>120</v>
      </c>
      <c r="R632" s="33" t="s">
        <v>2134</v>
      </c>
      <c r="S632" s="33">
        <v>613434</v>
      </c>
      <c r="T632" s="33" t="s">
        <v>2102</v>
      </c>
      <c r="U632" s="34">
        <v>13.644399999999999</v>
      </c>
      <c r="V632" s="7"/>
      <c r="W632" s="7" t="str">
        <f>VLOOKUP($Q632,Mapping!$E$11:$I$96,3,0)</f>
        <v>Negotiated Capex</v>
      </c>
      <c r="X632" s="7" t="str">
        <f>VLOOKUP($S632,Mapping!$E$140:$K$2771,5,0)</f>
        <v>Labour</v>
      </c>
      <c r="Y632" s="7" t="str">
        <f>VLOOKUP($S632,Mapping!$E$140:$K$2771,7,0)</f>
        <v>ENDirect</v>
      </c>
      <c r="Z632" s="7" t="str">
        <f>IFERROR(HLOOKUP(X632,'Calc|Weightings'!$K$5:$M$5,1,0),"Excl")</f>
        <v>Labour</v>
      </c>
      <c r="AA632" s="7" t="str">
        <f>VLOOKUP(Q632,Mapping!$E$11:$I$96,5,0)</f>
        <v>Negotiated Capex</v>
      </c>
      <c r="AC632" s="111">
        <v>120</v>
      </c>
      <c r="AD632" s="111" t="s">
        <v>2134</v>
      </c>
      <c r="AE632" s="111">
        <v>613310</v>
      </c>
      <c r="AF632" s="111" t="s">
        <v>2095</v>
      </c>
      <c r="AG632" s="112">
        <v>2.5161899999999999</v>
      </c>
      <c r="AI632" s="7" t="str">
        <f>VLOOKUP($AC632,Mapping!$E$11:$I$96,3,0)</f>
        <v>Negotiated Capex</v>
      </c>
      <c r="AJ632" s="7" t="str">
        <f>VLOOKUP($AE632,Mapping!$E$140:$K$2771,5,0)</f>
        <v>Labour</v>
      </c>
      <c r="AK632" s="7" t="str">
        <f>VLOOKUP($AE632,Mapping!$E$140:$K$2771,7,0)</f>
        <v>ENDirect</v>
      </c>
      <c r="AL632" s="7" t="str">
        <f>IFERROR(HLOOKUP(AJ632,'Calc|Weightings'!$K$5:$M$5,1,0),"Excl")</f>
        <v>Labour</v>
      </c>
      <c r="AM632" s="7" t="str">
        <f>VLOOKUP(AC632,Mapping!$E$11:$I$96,5,0)</f>
        <v>Negotiated Capex</v>
      </c>
      <c r="AO632" s="134">
        <v>121</v>
      </c>
      <c r="AP632" s="135" t="s">
        <v>2392</v>
      </c>
      <c r="AQ632" s="135">
        <v>613441</v>
      </c>
      <c r="AR632" s="135" t="s">
        <v>2104</v>
      </c>
      <c r="AS632" s="136">
        <v>0.40432000000000001</v>
      </c>
      <c r="AU632" s="7" t="str">
        <f>VLOOKUP($AO632,Mapping!$E$11:$I$96,3,0)</f>
        <v>Connections</v>
      </c>
      <c r="AV632" s="7" t="str">
        <f>VLOOKUP($AQ632,Mapping!$E$140:$K$2771,5,0)</f>
        <v>Labour</v>
      </c>
      <c r="AW632" s="7" t="str">
        <f>VLOOKUP($AQ632,Mapping!$E$140:$K$2771,7,0)</f>
        <v>ENDirect</v>
      </c>
      <c r="AX632" s="7" t="str">
        <f>IFERROR(HLOOKUP(AV632,'Calc|Weightings'!$K$5:$M$5,1,0),"Excl")</f>
        <v>Labour</v>
      </c>
      <c r="AY632" s="7" t="str">
        <f>VLOOKUP(AO632,Mapping!$E$11:$I$96,5,0)</f>
        <v>SCS</v>
      </c>
    </row>
    <row r="633" spans="1:51" x14ac:dyDescent="0.2">
      <c r="A633" s="7"/>
      <c r="B633" s="7"/>
      <c r="C633" s="7"/>
      <c r="D633" s="7"/>
      <c r="E633" s="36">
        <v>119</v>
      </c>
      <c r="F633" s="36" t="s">
        <v>2133</v>
      </c>
      <c r="G633" s="36">
        <v>613258</v>
      </c>
      <c r="H633" s="36" t="s">
        <v>2356</v>
      </c>
      <c r="I633" s="37">
        <v>5.1924599999999996</v>
      </c>
      <c r="J633" s="7"/>
      <c r="K633" s="7" t="str">
        <f>VLOOKUP($E633,Mapping!$E$11:$I$96,3,0)</f>
        <v>Negotiated Capex</v>
      </c>
      <c r="L633" s="7" t="str">
        <f>VLOOKUP($G633,Mapping!$E$140:$K$2771,5,0)</f>
        <v>Labour</v>
      </c>
      <c r="M633" s="7" t="str">
        <f>VLOOKUP($G633,Mapping!$E$140:$K$2771,7,0)</f>
        <v>ENDirect</v>
      </c>
      <c r="N633" s="7" t="str">
        <f>IFERROR(HLOOKUP(L633,'Calc|Weightings'!$K$5:$M$5,1,0),"Excl")</f>
        <v>Labour</v>
      </c>
      <c r="O633" s="7" t="str">
        <f>VLOOKUP(E633,Mapping!$E$11:$I$96,5,0)</f>
        <v>Negotiated Capex</v>
      </c>
      <c r="Q633" s="33">
        <v>120</v>
      </c>
      <c r="R633" s="33" t="s">
        <v>2134</v>
      </c>
      <c r="S633" s="33">
        <v>613440</v>
      </c>
      <c r="T633" s="33" t="s">
        <v>2103</v>
      </c>
      <c r="U633" s="34">
        <v>3.1396299999999999</v>
      </c>
      <c r="V633" s="7"/>
      <c r="W633" s="7" t="str">
        <f>VLOOKUP($Q633,Mapping!$E$11:$I$96,3,0)</f>
        <v>Negotiated Capex</v>
      </c>
      <c r="X633" s="7" t="str">
        <f>VLOOKUP($S633,Mapping!$E$140:$K$2771,5,0)</f>
        <v>Labour</v>
      </c>
      <c r="Y633" s="7" t="str">
        <f>VLOOKUP($S633,Mapping!$E$140:$K$2771,7,0)</f>
        <v>ENDirect</v>
      </c>
      <c r="Z633" s="7" t="str">
        <f>IFERROR(HLOOKUP(X633,'Calc|Weightings'!$K$5:$M$5,1,0),"Excl")</f>
        <v>Labour</v>
      </c>
      <c r="AA633" s="7" t="str">
        <f>VLOOKUP(Q633,Mapping!$E$11:$I$96,5,0)</f>
        <v>Negotiated Capex</v>
      </c>
      <c r="AC633" s="111">
        <v>120</v>
      </c>
      <c r="AD633" s="111" t="s">
        <v>2134</v>
      </c>
      <c r="AE633" s="111">
        <v>613350</v>
      </c>
      <c r="AF633" s="111" t="s">
        <v>2096</v>
      </c>
      <c r="AG633" s="112">
        <v>0.39100000000000001</v>
      </c>
      <c r="AI633" s="7" t="str">
        <f>VLOOKUP($AC633,Mapping!$E$11:$I$96,3,0)</f>
        <v>Negotiated Capex</v>
      </c>
      <c r="AJ633" s="7" t="str">
        <f>VLOOKUP($AE633,Mapping!$E$140:$K$2771,5,0)</f>
        <v>Labour</v>
      </c>
      <c r="AK633" s="7" t="str">
        <f>VLOOKUP($AE633,Mapping!$E$140:$K$2771,7,0)</f>
        <v>ENDirect</v>
      </c>
      <c r="AL633" s="7" t="str">
        <f>IFERROR(HLOOKUP(AJ633,'Calc|Weightings'!$K$5:$M$5,1,0),"Excl")</f>
        <v>Labour</v>
      </c>
      <c r="AM633" s="7" t="str">
        <f>VLOOKUP(AC633,Mapping!$E$11:$I$96,5,0)</f>
        <v>Negotiated Capex</v>
      </c>
      <c r="AO633" s="134">
        <v>121</v>
      </c>
      <c r="AP633" s="135" t="s">
        <v>2392</v>
      </c>
      <c r="AQ633" s="135">
        <v>634001</v>
      </c>
      <c r="AR633" s="135" t="s">
        <v>2110</v>
      </c>
      <c r="AS633" s="136">
        <v>0.58082999999999996</v>
      </c>
      <c r="AU633" s="7" t="str">
        <f>VLOOKUP($AO633,Mapping!$E$11:$I$96,3,0)</f>
        <v>Connections</v>
      </c>
      <c r="AV633" s="7" t="str">
        <f>VLOOKUP($AQ633,Mapping!$E$140:$K$2771,5,0)</f>
        <v>Local OH</v>
      </c>
      <c r="AW633" s="7" t="str">
        <f>VLOOKUP($AQ633,Mapping!$E$140:$K$2771,7,0)</f>
        <v>OH</v>
      </c>
      <c r="AX633" s="7" t="str">
        <f>IFERROR(HLOOKUP(AV633,'Calc|Weightings'!$K$5:$M$5,1,0),"Excl")</f>
        <v>Excl</v>
      </c>
      <c r="AY633" s="7" t="str">
        <f>VLOOKUP(AO633,Mapping!$E$11:$I$96,5,0)</f>
        <v>SCS</v>
      </c>
    </row>
    <row r="634" spans="1:51" x14ac:dyDescent="0.2">
      <c r="A634" s="7"/>
      <c r="B634" s="7"/>
      <c r="C634" s="7"/>
      <c r="D634" s="7"/>
      <c r="E634" s="36">
        <v>119</v>
      </c>
      <c r="F634" s="36" t="s">
        <v>2133</v>
      </c>
      <c r="G634" s="36">
        <v>613278</v>
      </c>
      <c r="H634" s="36" t="s">
        <v>2357</v>
      </c>
      <c r="I634" s="37">
        <v>4.4796800000000001</v>
      </c>
      <c r="J634" s="7"/>
      <c r="K634" s="7" t="str">
        <f>VLOOKUP($E634,Mapping!$E$11:$I$96,3,0)</f>
        <v>Negotiated Capex</v>
      </c>
      <c r="L634" s="7" t="str">
        <f>VLOOKUP($G634,Mapping!$E$140:$K$2771,5,0)</f>
        <v>Labour</v>
      </c>
      <c r="M634" s="7" t="str">
        <f>VLOOKUP($G634,Mapping!$E$140:$K$2771,7,0)</f>
        <v>ENDirect</v>
      </c>
      <c r="N634" s="7" t="str">
        <f>IFERROR(HLOOKUP(L634,'Calc|Weightings'!$K$5:$M$5,1,0),"Excl")</f>
        <v>Labour</v>
      </c>
      <c r="O634" s="7" t="str">
        <f>VLOOKUP(E634,Mapping!$E$11:$I$96,5,0)</f>
        <v>Negotiated Capex</v>
      </c>
      <c r="Q634" s="33">
        <v>120</v>
      </c>
      <c r="R634" s="33" t="s">
        <v>2134</v>
      </c>
      <c r="S634" s="33">
        <v>613441</v>
      </c>
      <c r="T634" s="33" t="s">
        <v>2104</v>
      </c>
      <c r="U634" s="34">
        <v>1.28843</v>
      </c>
      <c r="V634" s="7"/>
      <c r="W634" s="7" t="str">
        <f>VLOOKUP($Q634,Mapping!$E$11:$I$96,3,0)</f>
        <v>Negotiated Capex</v>
      </c>
      <c r="X634" s="7" t="str">
        <f>VLOOKUP($S634,Mapping!$E$140:$K$2771,5,0)</f>
        <v>Labour</v>
      </c>
      <c r="Y634" s="7" t="str">
        <f>VLOOKUP($S634,Mapping!$E$140:$K$2771,7,0)</f>
        <v>ENDirect</v>
      </c>
      <c r="Z634" s="7" t="str">
        <f>IFERROR(HLOOKUP(X634,'Calc|Weightings'!$K$5:$M$5,1,0),"Excl")</f>
        <v>Labour</v>
      </c>
      <c r="AA634" s="7" t="str">
        <f>VLOOKUP(Q634,Mapping!$E$11:$I$96,5,0)</f>
        <v>Negotiated Capex</v>
      </c>
      <c r="AC634" s="111">
        <v>120</v>
      </c>
      <c r="AD634" s="111" t="s">
        <v>2134</v>
      </c>
      <c r="AE634" s="111">
        <v>613360</v>
      </c>
      <c r="AF634" s="111" t="s">
        <v>2097</v>
      </c>
      <c r="AG634" s="112">
        <v>12.488960000000001</v>
      </c>
      <c r="AI634" s="7" t="str">
        <f>VLOOKUP($AC634,Mapping!$E$11:$I$96,3,0)</f>
        <v>Negotiated Capex</v>
      </c>
      <c r="AJ634" s="7" t="str">
        <f>VLOOKUP($AE634,Mapping!$E$140:$K$2771,5,0)</f>
        <v>Labour</v>
      </c>
      <c r="AK634" s="7" t="str">
        <f>VLOOKUP($AE634,Mapping!$E$140:$K$2771,7,0)</f>
        <v>ENDirect</v>
      </c>
      <c r="AL634" s="7" t="str">
        <f>IFERROR(HLOOKUP(AJ634,'Calc|Weightings'!$K$5:$M$5,1,0),"Excl")</f>
        <v>Labour</v>
      </c>
      <c r="AM634" s="7" t="str">
        <f>VLOOKUP(AC634,Mapping!$E$11:$I$96,5,0)</f>
        <v>Negotiated Capex</v>
      </c>
      <c r="AO634" s="134">
        <v>121</v>
      </c>
      <c r="AP634" s="135" t="s">
        <v>2392</v>
      </c>
      <c r="AQ634" s="135">
        <v>635001</v>
      </c>
      <c r="AR634" s="135" t="s">
        <v>1929</v>
      </c>
      <c r="AS634" s="136">
        <v>0.58677000000000001</v>
      </c>
      <c r="AU634" s="7" t="str">
        <f>VLOOKUP($AO634,Mapping!$E$11:$I$96,3,0)</f>
        <v>Connections</v>
      </c>
      <c r="AV634" s="7" t="str">
        <f>VLOOKUP($AQ634,Mapping!$E$140:$K$2771,5,0)</f>
        <v>PNS MG</v>
      </c>
      <c r="AW634" s="7" t="str">
        <f>VLOOKUP($AQ634,Mapping!$E$140:$K$2771,7,0)</f>
        <v>ENDirect</v>
      </c>
      <c r="AX634" s="7" t="str">
        <f>IFERROR(HLOOKUP(AV634,'Calc|Weightings'!$K$5:$M$5,1,0),"Excl")</f>
        <v>Excl</v>
      </c>
      <c r="AY634" s="7" t="str">
        <f>VLOOKUP(AO634,Mapping!$E$11:$I$96,5,0)</f>
        <v>SCS</v>
      </c>
    </row>
    <row r="635" spans="1:51" x14ac:dyDescent="0.2">
      <c r="A635" s="7"/>
      <c r="B635" s="7"/>
      <c r="C635" s="7"/>
      <c r="D635" s="7"/>
      <c r="E635" s="36">
        <v>119</v>
      </c>
      <c r="F635" s="36" t="s">
        <v>2133</v>
      </c>
      <c r="G635" s="36">
        <v>613280</v>
      </c>
      <c r="H635" s="36" t="s">
        <v>1342</v>
      </c>
      <c r="I635" s="37">
        <v>0.90559999999999996</v>
      </c>
      <c r="J635" s="7"/>
      <c r="K635" s="7" t="str">
        <f>VLOOKUP($E635,Mapping!$E$11:$I$96,3,0)</f>
        <v>Negotiated Capex</v>
      </c>
      <c r="L635" s="7" t="str">
        <f>VLOOKUP($G635,Mapping!$E$140:$K$2771,5,0)</f>
        <v>Labour</v>
      </c>
      <c r="M635" s="7" t="str">
        <f>VLOOKUP($G635,Mapping!$E$140:$K$2771,7,0)</f>
        <v>ENDirect</v>
      </c>
      <c r="N635" s="7" t="str">
        <f>IFERROR(HLOOKUP(L635,'Calc|Weightings'!$K$5:$M$5,1,0),"Excl")</f>
        <v>Labour</v>
      </c>
      <c r="O635" s="7" t="str">
        <f>VLOOKUP(E635,Mapping!$E$11:$I$96,5,0)</f>
        <v>Negotiated Capex</v>
      </c>
      <c r="Q635" s="33">
        <v>120</v>
      </c>
      <c r="R635" s="33" t="s">
        <v>2134</v>
      </c>
      <c r="S635" s="33">
        <v>613448</v>
      </c>
      <c r="T635" s="33" t="s">
        <v>2105</v>
      </c>
      <c r="U635" s="34">
        <v>19.711849999999998</v>
      </c>
      <c r="V635" s="7"/>
      <c r="W635" s="7" t="str">
        <f>VLOOKUP($Q635,Mapping!$E$11:$I$96,3,0)</f>
        <v>Negotiated Capex</v>
      </c>
      <c r="X635" s="7" t="str">
        <f>VLOOKUP($S635,Mapping!$E$140:$K$2771,5,0)</f>
        <v>Labour</v>
      </c>
      <c r="Y635" s="7" t="str">
        <f>VLOOKUP($S635,Mapping!$E$140:$K$2771,7,0)</f>
        <v>ENDirect</v>
      </c>
      <c r="Z635" s="7" t="str">
        <f>IFERROR(HLOOKUP(X635,'Calc|Weightings'!$K$5:$M$5,1,0),"Excl")</f>
        <v>Labour</v>
      </c>
      <c r="AA635" s="7" t="str">
        <f>VLOOKUP(Q635,Mapping!$E$11:$I$96,5,0)</f>
        <v>Negotiated Capex</v>
      </c>
      <c r="AC635" s="111">
        <v>120</v>
      </c>
      <c r="AD635" s="111" t="s">
        <v>2134</v>
      </c>
      <c r="AE635" s="111">
        <v>613361</v>
      </c>
      <c r="AF635" s="111" t="s">
        <v>2098</v>
      </c>
      <c r="AG635" s="112">
        <v>0.71636</v>
      </c>
      <c r="AI635" s="7" t="str">
        <f>VLOOKUP($AC635,Mapping!$E$11:$I$96,3,0)</f>
        <v>Negotiated Capex</v>
      </c>
      <c r="AJ635" s="7" t="str">
        <f>VLOOKUP($AE635,Mapping!$E$140:$K$2771,5,0)</f>
        <v>Labour</v>
      </c>
      <c r="AK635" s="7" t="str">
        <f>VLOOKUP($AE635,Mapping!$E$140:$K$2771,7,0)</f>
        <v>ENDirect</v>
      </c>
      <c r="AL635" s="7" t="str">
        <f>IFERROR(HLOOKUP(AJ635,'Calc|Weightings'!$K$5:$M$5,1,0),"Excl")</f>
        <v>Labour</v>
      </c>
      <c r="AM635" s="7" t="str">
        <f>VLOOKUP(AC635,Mapping!$E$11:$I$96,5,0)</f>
        <v>Negotiated Capex</v>
      </c>
      <c r="AO635" s="134">
        <v>121</v>
      </c>
      <c r="AP635" s="135" t="s">
        <v>2392</v>
      </c>
      <c r="AQ635" s="135">
        <v>636001</v>
      </c>
      <c r="AR635" s="135" t="s">
        <v>2111</v>
      </c>
      <c r="AS635" s="136">
        <v>0.25962000000000002</v>
      </c>
      <c r="AU635" s="7" t="str">
        <f>VLOOKUP($AO635,Mapping!$E$11:$I$96,3,0)</f>
        <v>Connections</v>
      </c>
      <c r="AV635" s="7" t="str">
        <f>VLOOKUP($AQ635,Mapping!$E$140:$K$2771,5,0)</f>
        <v>System Control OH</v>
      </c>
      <c r="AW635" s="7" t="str">
        <f>VLOOKUP($AQ635,Mapping!$E$140:$K$2771,7,0)</f>
        <v>OH</v>
      </c>
      <c r="AX635" s="7" t="str">
        <f>IFERROR(HLOOKUP(AV635,'Calc|Weightings'!$K$5:$M$5,1,0),"Excl")</f>
        <v>Excl</v>
      </c>
      <c r="AY635" s="7" t="str">
        <f>VLOOKUP(AO635,Mapping!$E$11:$I$96,5,0)</f>
        <v>SCS</v>
      </c>
    </row>
    <row r="636" spans="1:51" x14ac:dyDescent="0.2">
      <c r="A636" s="7"/>
      <c r="B636" s="7"/>
      <c r="C636" s="7"/>
      <c r="D636" s="7"/>
      <c r="E636" s="36">
        <v>119</v>
      </c>
      <c r="F636" s="36" t="s">
        <v>2133</v>
      </c>
      <c r="G636" s="36">
        <v>613298</v>
      </c>
      <c r="H636" s="36" t="s">
        <v>2122</v>
      </c>
      <c r="I636" s="37">
        <v>77.445300000000003</v>
      </c>
      <c r="J636" s="7"/>
      <c r="K636" s="7" t="str">
        <f>VLOOKUP($E636,Mapping!$E$11:$I$96,3,0)</f>
        <v>Negotiated Capex</v>
      </c>
      <c r="L636" s="7" t="str">
        <f>VLOOKUP($G636,Mapping!$E$140:$K$2771,5,0)</f>
        <v>Labour</v>
      </c>
      <c r="M636" s="7" t="str">
        <f>VLOOKUP($G636,Mapping!$E$140:$K$2771,7,0)</f>
        <v>ENDirect</v>
      </c>
      <c r="N636" s="7" t="str">
        <f>IFERROR(HLOOKUP(L636,'Calc|Weightings'!$K$5:$M$5,1,0),"Excl")</f>
        <v>Labour</v>
      </c>
      <c r="O636" s="7" t="str">
        <f>VLOOKUP(E636,Mapping!$E$11:$I$96,5,0)</f>
        <v>Negotiated Capex</v>
      </c>
      <c r="Q636" s="33">
        <v>120</v>
      </c>
      <c r="R636" s="33" t="s">
        <v>2134</v>
      </c>
      <c r="S636" s="33">
        <v>613449</v>
      </c>
      <c r="T636" s="33" t="s">
        <v>2106</v>
      </c>
      <c r="U636" s="34">
        <v>1.3146100000000001</v>
      </c>
      <c r="V636" s="7"/>
      <c r="W636" s="7" t="str">
        <f>VLOOKUP($Q636,Mapping!$E$11:$I$96,3,0)</f>
        <v>Negotiated Capex</v>
      </c>
      <c r="X636" s="7" t="str">
        <f>VLOOKUP($S636,Mapping!$E$140:$K$2771,5,0)</f>
        <v>Labour</v>
      </c>
      <c r="Y636" s="7" t="str">
        <f>VLOOKUP($S636,Mapping!$E$140:$K$2771,7,0)</f>
        <v>ENDirect</v>
      </c>
      <c r="Z636" s="7" t="str">
        <f>IFERROR(HLOOKUP(X636,'Calc|Weightings'!$K$5:$M$5,1,0),"Excl")</f>
        <v>Labour</v>
      </c>
      <c r="AA636" s="7" t="str">
        <f>VLOOKUP(Q636,Mapping!$E$11:$I$96,5,0)</f>
        <v>Negotiated Capex</v>
      </c>
      <c r="AC636" s="111">
        <v>120</v>
      </c>
      <c r="AD636" s="111" t="s">
        <v>2134</v>
      </c>
      <c r="AE636" s="111">
        <v>613400</v>
      </c>
      <c r="AF636" s="111" t="s">
        <v>2099</v>
      </c>
      <c r="AG636" s="112">
        <v>27.466840000000001</v>
      </c>
      <c r="AI636" s="7" t="str">
        <f>VLOOKUP($AC636,Mapping!$E$11:$I$96,3,0)</f>
        <v>Negotiated Capex</v>
      </c>
      <c r="AJ636" s="7" t="str">
        <f>VLOOKUP($AE636,Mapping!$E$140:$K$2771,5,0)</f>
        <v>Labour</v>
      </c>
      <c r="AK636" s="7" t="str">
        <f>VLOOKUP($AE636,Mapping!$E$140:$K$2771,7,0)</f>
        <v>ENDirect</v>
      </c>
      <c r="AL636" s="7" t="str">
        <f>IFERROR(HLOOKUP(AJ636,'Calc|Weightings'!$K$5:$M$5,1,0),"Excl")</f>
        <v>Labour</v>
      </c>
      <c r="AM636" s="7" t="str">
        <f>VLOOKUP(AC636,Mapping!$E$11:$I$96,5,0)</f>
        <v>Negotiated Capex</v>
      </c>
      <c r="AO636" s="134">
        <v>121</v>
      </c>
      <c r="AP636" s="135" t="s">
        <v>2392</v>
      </c>
      <c r="AQ636" s="135">
        <v>639000</v>
      </c>
      <c r="AR636" s="135" t="s">
        <v>2112</v>
      </c>
      <c r="AS636" s="136">
        <v>0.41111999999999999</v>
      </c>
      <c r="AU636" s="7" t="str">
        <f>VLOOKUP($AO636,Mapping!$E$11:$I$96,3,0)</f>
        <v>Connections</v>
      </c>
      <c r="AV636" s="7" t="str">
        <f>VLOOKUP($AQ636,Mapping!$E$140:$K$2771,5,0)</f>
        <v>PNS Corporate OH</v>
      </c>
      <c r="AW636" s="7" t="str">
        <f>VLOOKUP($AQ636,Mapping!$E$140:$K$2771,7,0)</f>
        <v>OH</v>
      </c>
      <c r="AX636" s="7" t="str">
        <f>IFERROR(HLOOKUP(AV636,'Calc|Weightings'!$K$5:$M$5,1,0),"Excl")</f>
        <v>Excl</v>
      </c>
      <c r="AY636" s="7" t="str">
        <f>VLOOKUP(AO636,Mapping!$E$11:$I$96,5,0)</f>
        <v>SCS</v>
      </c>
    </row>
    <row r="637" spans="1:51" x14ac:dyDescent="0.2">
      <c r="A637" s="7"/>
      <c r="B637" s="7"/>
      <c r="C637" s="7"/>
      <c r="D637" s="7"/>
      <c r="E637" s="36">
        <v>119</v>
      </c>
      <c r="F637" s="36" t="s">
        <v>2133</v>
      </c>
      <c r="G637" s="36">
        <v>613318</v>
      </c>
      <c r="H637" s="36" t="s">
        <v>1360</v>
      </c>
      <c r="I637" s="37">
        <v>2.31385</v>
      </c>
      <c r="J637" s="7"/>
      <c r="K637" s="7" t="str">
        <f>VLOOKUP($E637,Mapping!$E$11:$I$96,3,0)</f>
        <v>Negotiated Capex</v>
      </c>
      <c r="L637" s="7" t="str">
        <f>VLOOKUP($G637,Mapping!$E$140:$K$2771,5,0)</f>
        <v>Labour</v>
      </c>
      <c r="M637" s="7" t="str">
        <f>VLOOKUP($G637,Mapping!$E$140:$K$2771,7,0)</f>
        <v>ENDirect</v>
      </c>
      <c r="N637" s="7" t="str">
        <f>IFERROR(HLOOKUP(L637,'Calc|Weightings'!$K$5:$M$5,1,0),"Excl")</f>
        <v>Labour</v>
      </c>
      <c r="O637" s="7" t="str">
        <f>VLOOKUP(E637,Mapping!$E$11:$I$96,5,0)</f>
        <v>Negotiated Capex</v>
      </c>
      <c r="Q637" s="33">
        <v>120</v>
      </c>
      <c r="R637" s="33" t="s">
        <v>2134</v>
      </c>
      <c r="S637" s="33">
        <v>613566</v>
      </c>
      <c r="T637" s="33" t="s">
        <v>1482</v>
      </c>
      <c r="U637" s="34">
        <v>12.040649999999999</v>
      </c>
      <c r="V637" s="7"/>
      <c r="W637" s="7" t="str">
        <f>VLOOKUP($Q637,Mapping!$E$11:$I$96,3,0)</f>
        <v>Negotiated Capex</v>
      </c>
      <c r="X637" s="7" t="str">
        <f>VLOOKUP($S637,Mapping!$E$140:$K$2771,5,0)</f>
        <v>Labour</v>
      </c>
      <c r="Y637" s="7" t="str">
        <f>VLOOKUP($S637,Mapping!$E$140:$K$2771,7,0)</f>
        <v>ENDirect</v>
      </c>
      <c r="Z637" s="7" t="str">
        <f>IFERROR(HLOOKUP(X637,'Calc|Weightings'!$K$5:$M$5,1,0),"Excl")</f>
        <v>Labour</v>
      </c>
      <c r="AA637" s="7" t="str">
        <f>VLOOKUP(Q637,Mapping!$E$11:$I$96,5,0)</f>
        <v>Negotiated Capex</v>
      </c>
      <c r="AC637" s="111">
        <v>120</v>
      </c>
      <c r="AD637" s="111" t="s">
        <v>2134</v>
      </c>
      <c r="AE637" s="111">
        <v>613401</v>
      </c>
      <c r="AF637" s="111" t="s">
        <v>2117</v>
      </c>
      <c r="AG637" s="112">
        <v>0.92076000000000002</v>
      </c>
      <c r="AI637" s="7" t="str">
        <f>VLOOKUP($AC637,Mapping!$E$11:$I$96,3,0)</f>
        <v>Negotiated Capex</v>
      </c>
      <c r="AJ637" s="7" t="str">
        <f>VLOOKUP($AE637,Mapping!$E$140:$K$2771,5,0)</f>
        <v>Labour</v>
      </c>
      <c r="AK637" s="7" t="str">
        <f>VLOOKUP($AE637,Mapping!$E$140:$K$2771,7,0)</f>
        <v>ENDirect</v>
      </c>
      <c r="AL637" s="7" t="str">
        <f>IFERROR(HLOOKUP(AJ637,'Calc|Weightings'!$K$5:$M$5,1,0),"Excl")</f>
        <v>Labour</v>
      </c>
      <c r="AM637" s="7" t="str">
        <f>VLOOKUP(AC637,Mapping!$E$11:$I$96,5,0)</f>
        <v>Negotiated Capex</v>
      </c>
      <c r="AO637" s="134">
        <v>121</v>
      </c>
      <c r="AP637" s="135" t="s">
        <v>2392</v>
      </c>
      <c r="AQ637" s="135">
        <v>639050</v>
      </c>
      <c r="AR637" s="135" t="s">
        <v>2113</v>
      </c>
      <c r="AS637" s="136">
        <v>0.11969</v>
      </c>
      <c r="AU637" s="7" t="str">
        <f>VLOOKUP($AO637,Mapping!$E$11:$I$96,3,0)</f>
        <v>Connections</v>
      </c>
      <c r="AV637" s="7" t="str">
        <f>VLOOKUP($AQ637,Mapping!$E$140:$K$2771,5,0)</f>
        <v>PNS Fleet &amp; Property OH</v>
      </c>
      <c r="AW637" s="7" t="str">
        <f>VLOOKUP($AQ637,Mapping!$E$140:$K$2771,7,0)</f>
        <v>OH</v>
      </c>
      <c r="AX637" s="7" t="str">
        <f>IFERROR(HLOOKUP(AV637,'Calc|Weightings'!$K$5:$M$5,1,0),"Excl")</f>
        <v>Excl</v>
      </c>
      <c r="AY637" s="7" t="str">
        <f>VLOOKUP(AO637,Mapping!$E$11:$I$96,5,0)</f>
        <v>SCS</v>
      </c>
    </row>
    <row r="638" spans="1:51" x14ac:dyDescent="0.2">
      <c r="A638" s="7"/>
      <c r="B638" s="7"/>
      <c r="C638" s="7"/>
      <c r="D638" s="7"/>
      <c r="E638" s="36">
        <v>119</v>
      </c>
      <c r="F638" s="36" t="s">
        <v>2133</v>
      </c>
      <c r="G638" s="36">
        <v>613319</v>
      </c>
      <c r="H638" s="36" t="s">
        <v>2358</v>
      </c>
      <c r="I638" s="37">
        <v>0.25287999999999999</v>
      </c>
      <c r="J638" s="7"/>
      <c r="K638" s="7" t="str">
        <f>VLOOKUP($E638,Mapping!$E$11:$I$96,3,0)</f>
        <v>Negotiated Capex</v>
      </c>
      <c r="L638" s="7" t="str">
        <f>VLOOKUP($G638,Mapping!$E$140:$K$2771,5,0)</f>
        <v>Labour</v>
      </c>
      <c r="M638" s="7" t="str">
        <f>VLOOKUP($G638,Mapping!$E$140:$K$2771,7,0)</f>
        <v>ENDirect</v>
      </c>
      <c r="N638" s="7" t="str">
        <f>IFERROR(HLOOKUP(L638,'Calc|Weightings'!$K$5:$M$5,1,0),"Excl")</f>
        <v>Labour</v>
      </c>
      <c r="O638" s="7" t="str">
        <f>VLOOKUP(E638,Mapping!$E$11:$I$96,5,0)</f>
        <v>Negotiated Capex</v>
      </c>
      <c r="Q638" s="33">
        <v>120</v>
      </c>
      <c r="R638" s="33" t="s">
        <v>2134</v>
      </c>
      <c r="S638" s="33">
        <v>613574</v>
      </c>
      <c r="T638" s="33" t="s">
        <v>1488</v>
      </c>
      <c r="U638" s="34">
        <v>5.0589500000000003</v>
      </c>
      <c r="V638" s="7"/>
      <c r="W638" s="7" t="str">
        <f>VLOOKUP($Q638,Mapping!$E$11:$I$96,3,0)</f>
        <v>Negotiated Capex</v>
      </c>
      <c r="X638" s="7" t="str">
        <f>VLOOKUP($S638,Mapping!$E$140:$K$2771,5,0)</f>
        <v>Labour</v>
      </c>
      <c r="Y638" s="7" t="str">
        <f>VLOOKUP($S638,Mapping!$E$140:$K$2771,7,0)</f>
        <v>ENDirect</v>
      </c>
      <c r="Z638" s="7" t="str">
        <f>IFERROR(HLOOKUP(X638,'Calc|Weightings'!$K$5:$M$5,1,0),"Excl")</f>
        <v>Labour</v>
      </c>
      <c r="AA638" s="7" t="str">
        <f>VLOOKUP(Q638,Mapping!$E$11:$I$96,5,0)</f>
        <v>Negotiated Capex</v>
      </c>
      <c r="AC638" s="111">
        <v>120</v>
      </c>
      <c r="AD638" s="111" t="s">
        <v>2134</v>
      </c>
      <c r="AE638" s="111">
        <v>613410</v>
      </c>
      <c r="AF638" s="111" t="s">
        <v>2100</v>
      </c>
      <c r="AG638" s="112">
        <v>26.026879999999998</v>
      </c>
      <c r="AI638" s="7" t="str">
        <f>VLOOKUP($AC638,Mapping!$E$11:$I$96,3,0)</f>
        <v>Negotiated Capex</v>
      </c>
      <c r="AJ638" s="7" t="str">
        <f>VLOOKUP($AE638,Mapping!$E$140:$K$2771,5,0)</f>
        <v>Labour</v>
      </c>
      <c r="AK638" s="7" t="str">
        <f>VLOOKUP($AE638,Mapping!$E$140:$K$2771,7,0)</f>
        <v>ENDirect</v>
      </c>
      <c r="AL638" s="7" t="str">
        <f>IFERROR(HLOOKUP(AJ638,'Calc|Weightings'!$K$5:$M$5,1,0),"Excl")</f>
        <v>Labour</v>
      </c>
      <c r="AM638" s="7" t="str">
        <f>VLOOKUP(AC638,Mapping!$E$11:$I$96,5,0)</f>
        <v>Negotiated Capex</v>
      </c>
      <c r="AO638" s="134">
        <v>125</v>
      </c>
      <c r="AP638" s="135" t="s">
        <v>2135</v>
      </c>
      <c r="AQ638" s="135">
        <v>613097</v>
      </c>
      <c r="AR638" s="135" t="s">
        <v>630</v>
      </c>
      <c r="AS638" s="136">
        <v>0.80100000000000005</v>
      </c>
      <c r="AU638" s="7" t="str">
        <f>VLOOKUP($AO638,Mapping!$E$11:$I$96,3,0)</f>
        <v>Metering Capex</v>
      </c>
      <c r="AV638" s="7" t="str">
        <f>VLOOKUP($AQ638,Mapping!$E$140:$K$2771,5,0)</f>
        <v>Materials</v>
      </c>
      <c r="AW638" s="7" t="str">
        <f>VLOOKUP($AQ638,Mapping!$E$140:$K$2771,7,0)</f>
        <v>ENDirect</v>
      </c>
      <c r="AX638" s="7" t="str">
        <f>IFERROR(HLOOKUP(AV638,'Calc|Weightings'!$K$5:$M$5,1,0),"Excl")</f>
        <v>Materials</v>
      </c>
      <c r="AY638" s="7" t="str">
        <f>VLOOKUP(AO638,Mapping!$E$11:$I$96,5,0)</f>
        <v>Metering Services</v>
      </c>
    </row>
    <row r="639" spans="1:51" x14ac:dyDescent="0.2">
      <c r="A639" s="7"/>
      <c r="B639" s="7"/>
      <c r="C639" s="7"/>
      <c r="D639" s="7"/>
      <c r="E639" s="36">
        <v>119</v>
      </c>
      <c r="F639" s="36" t="s">
        <v>2133</v>
      </c>
      <c r="G639" s="36">
        <v>613350</v>
      </c>
      <c r="H639" s="36" t="s">
        <v>2096</v>
      </c>
      <c r="I639" s="37">
        <v>10.45703</v>
      </c>
      <c r="J639" s="7"/>
      <c r="K639" s="7" t="str">
        <f>VLOOKUP($E639,Mapping!$E$11:$I$96,3,0)</f>
        <v>Negotiated Capex</v>
      </c>
      <c r="L639" s="7" t="str">
        <f>VLOOKUP($G639,Mapping!$E$140:$K$2771,5,0)</f>
        <v>Labour</v>
      </c>
      <c r="M639" s="7" t="str">
        <f>VLOOKUP($G639,Mapping!$E$140:$K$2771,7,0)</f>
        <v>ENDirect</v>
      </c>
      <c r="N639" s="7" t="str">
        <f>IFERROR(HLOOKUP(L639,'Calc|Weightings'!$K$5:$M$5,1,0),"Excl")</f>
        <v>Labour</v>
      </c>
      <c r="O639" s="7" t="str">
        <f>VLOOKUP(E639,Mapping!$E$11:$I$96,5,0)</f>
        <v>Negotiated Capex</v>
      </c>
      <c r="Q639" s="33">
        <v>120</v>
      </c>
      <c r="R639" s="33" t="s">
        <v>2134</v>
      </c>
      <c r="S639" s="33">
        <v>613680</v>
      </c>
      <c r="T639" s="33" t="s">
        <v>2107</v>
      </c>
      <c r="U639" s="34">
        <v>10.09721</v>
      </c>
      <c r="V639" s="7"/>
      <c r="W639" s="7" t="str">
        <f>VLOOKUP($Q639,Mapping!$E$11:$I$96,3,0)</f>
        <v>Negotiated Capex</v>
      </c>
      <c r="X639" s="7" t="str">
        <f>VLOOKUP($S639,Mapping!$E$140:$K$2771,5,0)</f>
        <v>Labour</v>
      </c>
      <c r="Y639" s="7" t="str">
        <f>VLOOKUP($S639,Mapping!$E$140:$K$2771,7,0)</f>
        <v>ENDirect</v>
      </c>
      <c r="Z639" s="7" t="str">
        <f>IFERROR(HLOOKUP(X639,'Calc|Weightings'!$K$5:$M$5,1,0),"Excl")</f>
        <v>Labour</v>
      </c>
      <c r="AA639" s="7" t="str">
        <f>VLOOKUP(Q639,Mapping!$E$11:$I$96,5,0)</f>
        <v>Negotiated Capex</v>
      </c>
      <c r="AC639" s="111">
        <v>120</v>
      </c>
      <c r="AD639" s="111" t="s">
        <v>2134</v>
      </c>
      <c r="AE639" s="111">
        <v>613411</v>
      </c>
      <c r="AF639" s="111" t="s">
        <v>2101</v>
      </c>
      <c r="AG639" s="112">
        <v>1.0175399999999999</v>
      </c>
      <c r="AI639" s="7" t="str">
        <f>VLOOKUP($AC639,Mapping!$E$11:$I$96,3,0)</f>
        <v>Negotiated Capex</v>
      </c>
      <c r="AJ639" s="7" t="str">
        <f>VLOOKUP($AE639,Mapping!$E$140:$K$2771,5,0)</f>
        <v>Labour</v>
      </c>
      <c r="AK639" s="7" t="str">
        <f>VLOOKUP($AE639,Mapping!$E$140:$K$2771,7,0)</f>
        <v>ENDirect</v>
      </c>
      <c r="AL639" s="7" t="str">
        <f>IFERROR(HLOOKUP(AJ639,'Calc|Weightings'!$K$5:$M$5,1,0),"Excl")</f>
        <v>Labour</v>
      </c>
      <c r="AM639" s="7" t="str">
        <f>VLOOKUP(AC639,Mapping!$E$11:$I$96,5,0)</f>
        <v>Negotiated Capex</v>
      </c>
      <c r="AO639" s="134">
        <v>125</v>
      </c>
      <c r="AP639" s="135" t="s">
        <v>2135</v>
      </c>
      <c r="AQ639" s="135">
        <v>613801</v>
      </c>
      <c r="AR639" s="135" t="s">
        <v>656</v>
      </c>
      <c r="AS639" s="136">
        <v>475.95420000000001</v>
      </c>
      <c r="AU639" s="7" t="str">
        <f>VLOOKUP($AO639,Mapping!$E$11:$I$96,3,0)</f>
        <v>Metering Capex</v>
      </c>
      <c r="AV639" s="7" t="str">
        <f>VLOOKUP($AQ639,Mapping!$E$140:$K$2771,5,0)</f>
        <v>Materials</v>
      </c>
      <c r="AW639" s="7" t="str">
        <f>VLOOKUP($AQ639,Mapping!$E$140:$K$2771,7,0)</f>
        <v>ENDirect</v>
      </c>
      <c r="AX639" s="7" t="str">
        <f>IFERROR(HLOOKUP(AV639,'Calc|Weightings'!$K$5:$M$5,1,0),"Excl")</f>
        <v>Materials</v>
      </c>
      <c r="AY639" s="7" t="str">
        <f>VLOOKUP(AO639,Mapping!$E$11:$I$96,5,0)</f>
        <v>Metering Services</v>
      </c>
    </row>
    <row r="640" spans="1:51" x14ac:dyDescent="0.2">
      <c r="A640" s="7"/>
      <c r="B640" s="7"/>
      <c r="C640" s="7"/>
      <c r="D640" s="7"/>
      <c r="E640" s="36">
        <v>119</v>
      </c>
      <c r="F640" s="36" t="s">
        <v>2133</v>
      </c>
      <c r="G640" s="36">
        <v>613360</v>
      </c>
      <c r="H640" s="36" t="s">
        <v>2097</v>
      </c>
      <c r="I640" s="37">
        <v>13.548299999999999</v>
      </c>
      <c r="J640" s="7"/>
      <c r="K640" s="7" t="str">
        <f>VLOOKUP($E640,Mapping!$E$11:$I$96,3,0)</f>
        <v>Negotiated Capex</v>
      </c>
      <c r="L640" s="7" t="str">
        <f>VLOOKUP($G640,Mapping!$E$140:$K$2771,5,0)</f>
        <v>Labour</v>
      </c>
      <c r="M640" s="7" t="str">
        <f>VLOOKUP($G640,Mapping!$E$140:$K$2771,7,0)</f>
        <v>ENDirect</v>
      </c>
      <c r="N640" s="7" t="str">
        <f>IFERROR(HLOOKUP(L640,'Calc|Weightings'!$K$5:$M$5,1,0),"Excl")</f>
        <v>Labour</v>
      </c>
      <c r="O640" s="7" t="str">
        <f>VLOOKUP(E640,Mapping!$E$11:$I$96,5,0)</f>
        <v>Negotiated Capex</v>
      </c>
      <c r="Q640" s="33">
        <v>120</v>
      </c>
      <c r="R640" s="33" t="s">
        <v>2134</v>
      </c>
      <c r="S640" s="33">
        <v>613681</v>
      </c>
      <c r="T640" s="33" t="s">
        <v>2108</v>
      </c>
      <c r="U640" s="34">
        <v>0.33057999999999998</v>
      </c>
      <c r="V640" s="7"/>
      <c r="W640" s="7" t="str">
        <f>VLOOKUP($Q640,Mapping!$E$11:$I$96,3,0)</f>
        <v>Negotiated Capex</v>
      </c>
      <c r="X640" s="7" t="str">
        <f>VLOOKUP($S640,Mapping!$E$140:$K$2771,5,0)</f>
        <v>Labour</v>
      </c>
      <c r="Y640" s="7" t="str">
        <f>VLOOKUP($S640,Mapping!$E$140:$K$2771,7,0)</f>
        <v>ENDirect</v>
      </c>
      <c r="Z640" s="7" t="str">
        <f>IFERROR(HLOOKUP(X640,'Calc|Weightings'!$K$5:$M$5,1,0),"Excl")</f>
        <v>Labour</v>
      </c>
      <c r="AA640" s="7" t="str">
        <f>VLOOKUP(Q640,Mapping!$E$11:$I$96,5,0)</f>
        <v>Negotiated Capex</v>
      </c>
      <c r="AC640" s="111">
        <v>120</v>
      </c>
      <c r="AD640" s="111" t="s">
        <v>2134</v>
      </c>
      <c r="AE640" s="111">
        <v>613434</v>
      </c>
      <c r="AF640" s="111" t="s">
        <v>2102</v>
      </c>
      <c r="AG640" s="112">
        <v>12.20965</v>
      </c>
      <c r="AI640" s="7" t="str">
        <f>VLOOKUP($AC640,Mapping!$E$11:$I$96,3,0)</f>
        <v>Negotiated Capex</v>
      </c>
      <c r="AJ640" s="7" t="str">
        <f>VLOOKUP($AE640,Mapping!$E$140:$K$2771,5,0)</f>
        <v>Labour</v>
      </c>
      <c r="AK640" s="7" t="str">
        <f>VLOOKUP($AE640,Mapping!$E$140:$K$2771,7,0)</f>
        <v>ENDirect</v>
      </c>
      <c r="AL640" s="7" t="str">
        <f>IFERROR(HLOOKUP(AJ640,'Calc|Weightings'!$K$5:$M$5,1,0),"Excl")</f>
        <v>Labour</v>
      </c>
      <c r="AM640" s="7" t="str">
        <f>VLOOKUP(AC640,Mapping!$E$11:$I$96,5,0)</f>
        <v>Negotiated Capex</v>
      </c>
      <c r="AO640" s="134">
        <v>125</v>
      </c>
      <c r="AP640" s="135" t="s">
        <v>2135</v>
      </c>
      <c r="AQ640" s="135">
        <v>613803</v>
      </c>
      <c r="AR640" s="135" t="s">
        <v>658</v>
      </c>
      <c r="AS640" s="136">
        <v>355.28399999999999</v>
      </c>
      <c r="AU640" s="7" t="str">
        <f>VLOOKUP($AO640,Mapping!$E$11:$I$96,3,0)</f>
        <v>Metering Capex</v>
      </c>
      <c r="AV640" s="7" t="str">
        <f>VLOOKUP($AQ640,Mapping!$E$140:$K$2771,5,0)</f>
        <v>Materials</v>
      </c>
      <c r="AW640" s="7" t="str">
        <f>VLOOKUP($AQ640,Mapping!$E$140:$K$2771,7,0)</f>
        <v>ENDirect</v>
      </c>
      <c r="AX640" s="7" t="str">
        <f>IFERROR(HLOOKUP(AV640,'Calc|Weightings'!$K$5:$M$5,1,0),"Excl")</f>
        <v>Materials</v>
      </c>
      <c r="AY640" s="7" t="str">
        <f>VLOOKUP(AO640,Mapping!$E$11:$I$96,5,0)</f>
        <v>Metering Services</v>
      </c>
    </row>
    <row r="641" spans="1:51" x14ac:dyDescent="0.2">
      <c r="A641" s="7"/>
      <c r="B641" s="7"/>
      <c r="C641" s="7"/>
      <c r="D641" s="7"/>
      <c r="E641" s="36">
        <v>119</v>
      </c>
      <c r="F641" s="36" t="s">
        <v>2133</v>
      </c>
      <c r="G641" s="36">
        <v>613370</v>
      </c>
      <c r="H641" s="36" t="s">
        <v>1402</v>
      </c>
      <c r="I641" s="37">
        <v>2.6716799999999998</v>
      </c>
      <c r="J641" s="7"/>
      <c r="K641" s="7" t="str">
        <f>VLOOKUP($E641,Mapping!$E$11:$I$96,3,0)</f>
        <v>Negotiated Capex</v>
      </c>
      <c r="L641" s="7" t="str">
        <f>VLOOKUP($G641,Mapping!$E$140:$K$2771,5,0)</f>
        <v>Labour</v>
      </c>
      <c r="M641" s="7" t="str">
        <f>VLOOKUP($G641,Mapping!$E$140:$K$2771,7,0)</f>
        <v>ENDirect</v>
      </c>
      <c r="N641" s="7" t="str">
        <f>IFERROR(HLOOKUP(L641,'Calc|Weightings'!$K$5:$M$5,1,0),"Excl")</f>
        <v>Labour</v>
      </c>
      <c r="O641" s="7" t="str">
        <f>VLOOKUP(E641,Mapping!$E$11:$I$96,5,0)</f>
        <v>Negotiated Capex</v>
      </c>
      <c r="Q641" s="33">
        <v>120</v>
      </c>
      <c r="R641" s="33" t="s">
        <v>2134</v>
      </c>
      <c r="S641" s="33">
        <v>614115</v>
      </c>
      <c r="T641" s="33" t="s">
        <v>2109</v>
      </c>
      <c r="U641" s="34">
        <v>1.77658</v>
      </c>
      <c r="V641" s="7"/>
      <c r="W641" s="7" t="str">
        <f>VLOOKUP($Q641,Mapping!$E$11:$I$96,3,0)</f>
        <v>Negotiated Capex</v>
      </c>
      <c r="X641" s="7" t="str">
        <f>VLOOKUP($S641,Mapping!$E$140:$K$2771,5,0)</f>
        <v>Labour</v>
      </c>
      <c r="Y641" s="7" t="str">
        <f>VLOOKUP($S641,Mapping!$E$140:$K$2771,7,0)</f>
        <v>ENDirect</v>
      </c>
      <c r="Z641" s="7" t="str">
        <f>IFERROR(HLOOKUP(X641,'Calc|Weightings'!$K$5:$M$5,1,0),"Excl")</f>
        <v>Labour</v>
      </c>
      <c r="AA641" s="7" t="str">
        <f>VLOOKUP(Q641,Mapping!$E$11:$I$96,5,0)</f>
        <v>Negotiated Capex</v>
      </c>
      <c r="AC641" s="111">
        <v>120</v>
      </c>
      <c r="AD641" s="111" t="s">
        <v>2134</v>
      </c>
      <c r="AE641" s="111">
        <v>613440</v>
      </c>
      <c r="AF641" s="111" t="s">
        <v>2103</v>
      </c>
      <c r="AG641" s="112">
        <v>2.2963</v>
      </c>
      <c r="AI641" s="7" t="str">
        <f>VLOOKUP($AC641,Mapping!$E$11:$I$96,3,0)</f>
        <v>Negotiated Capex</v>
      </c>
      <c r="AJ641" s="7" t="str">
        <f>VLOOKUP($AE641,Mapping!$E$140:$K$2771,5,0)</f>
        <v>Labour</v>
      </c>
      <c r="AK641" s="7" t="str">
        <f>VLOOKUP($AE641,Mapping!$E$140:$K$2771,7,0)</f>
        <v>ENDirect</v>
      </c>
      <c r="AL641" s="7" t="str">
        <f>IFERROR(HLOOKUP(AJ641,'Calc|Weightings'!$K$5:$M$5,1,0),"Excl")</f>
        <v>Labour</v>
      </c>
      <c r="AM641" s="7" t="str">
        <f>VLOOKUP(AC641,Mapping!$E$11:$I$96,5,0)</f>
        <v>Negotiated Capex</v>
      </c>
      <c r="AO641" s="134">
        <v>125</v>
      </c>
      <c r="AP641" s="135" t="s">
        <v>2135</v>
      </c>
      <c r="AQ641" s="135">
        <v>613804</v>
      </c>
      <c r="AR641" s="135" t="s">
        <v>659</v>
      </c>
      <c r="AS641" s="136">
        <v>186.21462</v>
      </c>
      <c r="AU641" s="7" t="str">
        <f>VLOOKUP($AO641,Mapping!$E$11:$I$96,3,0)</f>
        <v>Metering Capex</v>
      </c>
      <c r="AV641" s="7" t="str">
        <f>VLOOKUP($AQ641,Mapping!$E$140:$K$2771,5,0)</f>
        <v>Materials</v>
      </c>
      <c r="AW641" s="7" t="str">
        <f>VLOOKUP($AQ641,Mapping!$E$140:$K$2771,7,0)</f>
        <v>ENDirect</v>
      </c>
      <c r="AX641" s="7" t="str">
        <f>IFERROR(HLOOKUP(AV641,'Calc|Weightings'!$K$5:$M$5,1,0),"Excl")</f>
        <v>Materials</v>
      </c>
      <c r="AY641" s="7" t="str">
        <f>VLOOKUP(AO641,Mapping!$E$11:$I$96,5,0)</f>
        <v>Metering Services</v>
      </c>
    </row>
    <row r="642" spans="1:51" x14ac:dyDescent="0.2">
      <c r="A642" s="7"/>
      <c r="B642" s="7"/>
      <c r="C642" s="7"/>
      <c r="D642" s="7"/>
      <c r="E642" s="36">
        <v>119</v>
      </c>
      <c r="F642" s="36" t="s">
        <v>2133</v>
      </c>
      <c r="G642" s="36">
        <v>613400</v>
      </c>
      <c r="H642" s="36" t="s">
        <v>2099</v>
      </c>
      <c r="I642" s="37">
        <v>0.73026000000000002</v>
      </c>
      <c r="J642" s="7"/>
      <c r="K642" s="7" t="str">
        <f>VLOOKUP($E642,Mapping!$E$11:$I$96,3,0)</f>
        <v>Negotiated Capex</v>
      </c>
      <c r="L642" s="7" t="str">
        <f>VLOOKUP($G642,Mapping!$E$140:$K$2771,5,0)</f>
        <v>Labour</v>
      </c>
      <c r="M642" s="7" t="str">
        <f>VLOOKUP($G642,Mapping!$E$140:$K$2771,7,0)</f>
        <v>ENDirect</v>
      </c>
      <c r="N642" s="7" t="str">
        <f>IFERROR(HLOOKUP(L642,'Calc|Weightings'!$K$5:$M$5,1,0),"Excl")</f>
        <v>Labour</v>
      </c>
      <c r="O642" s="7" t="str">
        <f>VLOOKUP(E642,Mapping!$E$11:$I$96,5,0)</f>
        <v>Negotiated Capex</v>
      </c>
      <c r="Q642" s="33">
        <v>120</v>
      </c>
      <c r="R642" s="33" t="s">
        <v>2134</v>
      </c>
      <c r="S642" s="33">
        <v>634001</v>
      </c>
      <c r="T642" s="33" t="s">
        <v>2110</v>
      </c>
      <c r="U642" s="34">
        <v>46.74342</v>
      </c>
      <c r="V642" s="7"/>
      <c r="W642" s="7" t="str">
        <f>VLOOKUP($Q642,Mapping!$E$11:$I$96,3,0)</f>
        <v>Negotiated Capex</v>
      </c>
      <c r="X642" s="7" t="str">
        <f>VLOOKUP($S642,Mapping!$E$140:$K$2771,5,0)</f>
        <v>Local OH</v>
      </c>
      <c r="Y642" s="7" t="str">
        <f>VLOOKUP($S642,Mapping!$E$140:$K$2771,7,0)</f>
        <v>OH</v>
      </c>
      <c r="Z642" s="7" t="str">
        <f>IFERROR(HLOOKUP(X642,'Calc|Weightings'!$K$5:$M$5,1,0),"Excl")</f>
        <v>Excl</v>
      </c>
      <c r="AA642" s="7" t="str">
        <f>VLOOKUP(Q642,Mapping!$E$11:$I$96,5,0)</f>
        <v>Negotiated Capex</v>
      </c>
      <c r="AC642" s="111">
        <v>120</v>
      </c>
      <c r="AD642" s="111" t="s">
        <v>2134</v>
      </c>
      <c r="AE642" s="111">
        <v>613441</v>
      </c>
      <c r="AF642" s="111" t="s">
        <v>2104</v>
      </c>
      <c r="AG642" s="112">
        <v>0.61140000000000005</v>
      </c>
      <c r="AI642" s="7" t="str">
        <f>VLOOKUP($AC642,Mapping!$E$11:$I$96,3,0)</f>
        <v>Negotiated Capex</v>
      </c>
      <c r="AJ642" s="7" t="str">
        <f>VLOOKUP($AE642,Mapping!$E$140:$K$2771,5,0)</f>
        <v>Labour</v>
      </c>
      <c r="AK642" s="7" t="str">
        <f>VLOOKUP($AE642,Mapping!$E$140:$K$2771,7,0)</f>
        <v>ENDirect</v>
      </c>
      <c r="AL642" s="7" t="str">
        <f>IFERROR(HLOOKUP(AJ642,'Calc|Weightings'!$K$5:$M$5,1,0),"Excl")</f>
        <v>Labour</v>
      </c>
      <c r="AM642" s="7" t="str">
        <f>VLOOKUP(AC642,Mapping!$E$11:$I$96,5,0)</f>
        <v>Negotiated Capex</v>
      </c>
      <c r="AO642" s="134">
        <v>125</v>
      </c>
      <c r="AP642" s="135" t="s">
        <v>2135</v>
      </c>
      <c r="AQ642" s="135">
        <v>634001</v>
      </c>
      <c r="AR642" s="135" t="s">
        <v>2110</v>
      </c>
      <c r="AS642" s="136">
        <v>1.9717100000000001</v>
      </c>
      <c r="AU642" s="7" t="str">
        <f>VLOOKUP($AO642,Mapping!$E$11:$I$96,3,0)</f>
        <v>Metering Capex</v>
      </c>
      <c r="AV642" s="7" t="str">
        <f>VLOOKUP($AQ642,Mapping!$E$140:$K$2771,5,0)</f>
        <v>Local OH</v>
      </c>
      <c r="AW642" s="7" t="str">
        <f>VLOOKUP($AQ642,Mapping!$E$140:$K$2771,7,0)</f>
        <v>OH</v>
      </c>
      <c r="AX642" s="7" t="str">
        <f>IFERROR(HLOOKUP(AV642,'Calc|Weightings'!$K$5:$M$5,1,0),"Excl")</f>
        <v>Excl</v>
      </c>
      <c r="AY642" s="7" t="str">
        <f>VLOOKUP(AO642,Mapping!$E$11:$I$96,5,0)</f>
        <v>Metering Services</v>
      </c>
    </row>
    <row r="643" spans="1:51" x14ac:dyDescent="0.2">
      <c r="A643" s="7"/>
      <c r="B643" s="7"/>
      <c r="C643" s="7"/>
      <c r="D643" s="7"/>
      <c r="E643" s="36">
        <v>119</v>
      </c>
      <c r="F643" s="36" t="s">
        <v>2133</v>
      </c>
      <c r="G643" s="36">
        <v>613408</v>
      </c>
      <c r="H643" s="36" t="s">
        <v>1418</v>
      </c>
      <c r="I643" s="37">
        <v>4.625</v>
      </c>
      <c r="J643" s="7"/>
      <c r="K643" s="7" t="str">
        <f>VLOOKUP($E643,Mapping!$E$11:$I$96,3,0)</f>
        <v>Negotiated Capex</v>
      </c>
      <c r="L643" s="7" t="str">
        <f>VLOOKUP($G643,Mapping!$E$140:$K$2771,5,0)</f>
        <v>Labour</v>
      </c>
      <c r="M643" s="7" t="str">
        <f>VLOOKUP($G643,Mapping!$E$140:$K$2771,7,0)</f>
        <v>ENDirect</v>
      </c>
      <c r="N643" s="7" t="str">
        <f>IFERROR(HLOOKUP(L643,'Calc|Weightings'!$K$5:$M$5,1,0),"Excl")</f>
        <v>Labour</v>
      </c>
      <c r="O643" s="7" t="str">
        <f>VLOOKUP(E643,Mapping!$E$11:$I$96,5,0)</f>
        <v>Negotiated Capex</v>
      </c>
      <c r="Q643" s="33">
        <v>120</v>
      </c>
      <c r="R643" s="33" t="s">
        <v>2134</v>
      </c>
      <c r="S643" s="33">
        <v>635001</v>
      </c>
      <c r="T643" s="33" t="s">
        <v>1929</v>
      </c>
      <c r="U643" s="34">
        <v>31.39405</v>
      </c>
      <c r="V643" s="7"/>
      <c r="W643" s="7" t="str">
        <f>VLOOKUP($Q643,Mapping!$E$11:$I$96,3,0)</f>
        <v>Negotiated Capex</v>
      </c>
      <c r="X643" s="7" t="str">
        <f>VLOOKUP($S643,Mapping!$E$140:$K$2771,5,0)</f>
        <v>PNS MG</v>
      </c>
      <c r="Y643" s="7" t="str">
        <f>VLOOKUP($S643,Mapping!$E$140:$K$2771,7,0)</f>
        <v>ENDirect</v>
      </c>
      <c r="Z643" s="7" t="str">
        <f>IFERROR(HLOOKUP(X643,'Calc|Weightings'!$K$5:$M$5,1,0),"Excl")</f>
        <v>Excl</v>
      </c>
      <c r="AA643" s="7" t="str">
        <f>VLOOKUP(Q643,Mapping!$E$11:$I$96,5,0)</f>
        <v>Negotiated Capex</v>
      </c>
      <c r="AC643" s="111">
        <v>120</v>
      </c>
      <c r="AD643" s="111" t="s">
        <v>2134</v>
      </c>
      <c r="AE643" s="111">
        <v>613448</v>
      </c>
      <c r="AF643" s="111" t="s">
        <v>2105</v>
      </c>
      <c r="AG643" s="112">
        <v>1.9052100000000001</v>
      </c>
      <c r="AI643" s="7" t="str">
        <f>VLOOKUP($AC643,Mapping!$E$11:$I$96,3,0)</f>
        <v>Negotiated Capex</v>
      </c>
      <c r="AJ643" s="7" t="str">
        <f>VLOOKUP($AE643,Mapping!$E$140:$K$2771,5,0)</f>
        <v>Labour</v>
      </c>
      <c r="AK643" s="7" t="str">
        <f>VLOOKUP($AE643,Mapping!$E$140:$K$2771,7,0)</f>
        <v>ENDirect</v>
      </c>
      <c r="AL643" s="7" t="str">
        <f>IFERROR(HLOOKUP(AJ643,'Calc|Weightings'!$K$5:$M$5,1,0),"Excl")</f>
        <v>Labour</v>
      </c>
      <c r="AM643" s="7" t="str">
        <f>VLOOKUP(AC643,Mapping!$E$11:$I$96,5,0)</f>
        <v>Negotiated Capex</v>
      </c>
      <c r="AO643" s="134">
        <v>125</v>
      </c>
      <c r="AP643" s="135" t="s">
        <v>2135</v>
      </c>
      <c r="AQ643" s="135">
        <v>635001</v>
      </c>
      <c r="AR643" s="135" t="s">
        <v>1929</v>
      </c>
      <c r="AS643" s="136">
        <v>2.4144899999999998</v>
      </c>
      <c r="AU643" s="7" t="str">
        <f>VLOOKUP($AO643,Mapping!$E$11:$I$96,3,0)</f>
        <v>Metering Capex</v>
      </c>
      <c r="AV643" s="7" t="str">
        <f>VLOOKUP($AQ643,Mapping!$E$140:$K$2771,5,0)</f>
        <v>PNS MG</v>
      </c>
      <c r="AW643" s="7" t="str">
        <f>VLOOKUP($AQ643,Mapping!$E$140:$K$2771,7,0)</f>
        <v>ENDirect</v>
      </c>
      <c r="AX643" s="7" t="str">
        <f>IFERROR(HLOOKUP(AV643,'Calc|Weightings'!$K$5:$M$5,1,0),"Excl")</f>
        <v>Excl</v>
      </c>
      <c r="AY643" s="7" t="str">
        <f>VLOOKUP(AO643,Mapping!$E$11:$I$96,5,0)</f>
        <v>Metering Services</v>
      </c>
    </row>
    <row r="644" spans="1:51" x14ac:dyDescent="0.2">
      <c r="A644" s="7"/>
      <c r="B644" s="7"/>
      <c r="C644" s="7"/>
      <c r="D644" s="7"/>
      <c r="E644" s="36">
        <v>119</v>
      </c>
      <c r="F644" s="36" t="s">
        <v>2133</v>
      </c>
      <c r="G644" s="36">
        <v>613409</v>
      </c>
      <c r="H644" s="36" t="s">
        <v>1419</v>
      </c>
      <c r="I644" s="37">
        <v>0.24342</v>
      </c>
      <c r="J644" s="7"/>
      <c r="K644" s="7" t="str">
        <f>VLOOKUP($E644,Mapping!$E$11:$I$96,3,0)</f>
        <v>Negotiated Capex</v>
      </c>
      <c r="L644" s="7" t="str">
        <f>VLOOKUP($G644,Mapping!$E$140:$K$2771,5,0)</f>
        <v>Labour</v>
      </c>
      <c r="M644" s="7" t="str">
        <f>VLOOKUP($G644,Mapping!$E$140:$K$2771,7,0)</f>
        <v>ENDirect</v>
      </c>
      <c r="N644" s="7" t="str">
        <f>IFERROR(HLOOKUP(L644,'Calc|Weightings'!$K$5:$M$5,1,0),"Excl")</f>
        <v>Labour</v>
      </c>
      <c r="O644" s="7" t="str">
        <f>VLOOKUP(E644,Mapping!$E$11:$I$96,5,0)</f>
        <v>Negotiated Capex</v>
      </c>
      <c r="Q644" s="33">
        <v>120</v>
      </c>
      <c r="R644" s="33" t="s">
        <v>2134</v>
      </c>
      <c r="S644" s="33">
        <v>636001</v>
      </c>
      <c r="T644" s="33" t="s">
        <v>2111</v>
      </c>
      <c r="U644" s="34">
        <v>13.510529999999999</v>
      </c>
      <c r="V644" s="7"/>
      <c r="W644" s="7" t="str">
        <f>VLOOKUP($Q644,Mapping!$E$11:$I$96,3,0)</f>
        <v>Negotiated Capex</v>
      </c>
      <c r="X644" s="7" t="str">
        <f>VLOOKUP($S644,Mapping!$E$140:$K$2771,5,0)</f>
        <v>System Control OH</v>
      </c>
      <c r="Y644" s="7" t="str">
        <f>VLOOKUP($S644,Mapping!$E$140:$K$2771,7,0)</f>
        <v>OH</v>
      </c>
      <c r="Z644" s="7" t="str">
        <f>IFERROR(HLOOKUP(X644,'Calc|Weightings'!$K$5:$M$5,1,0),"Excl")</f>
        <v>Excl</v>
      </c>
      <c r="AA644" s="7" t="str">
        <f>VLOOKUP(Q644,Mapping!$E$11:$I$96,5,0)</f>
        <v>Negotiated Capex</v>
      </c>
      <c r="AC644" s="111">
        <v>120</v>
      </c>
      <c r="AD644" s="111" t="s">
        <v>2134</v>
      </c>
      <c r="AE644" s="111">
        <v>613449</v>
      </c>
      <c r="AF644" s="111" t="s">
        <v>2106</v>
      </c>
      <c r="AG644" s="112">
        <v>1.0663499999999999</v>
      </c>
      <c r="AI644" s="7" t="str">
        <f>VLOOKUP($AC644,Mapping!$E$11:$I$96,3,0)</f>
        <v>Negotiated Capex</v>
      </c>
      <c r="AJ644" s="7" t="str">
        <f>VLOOKUP($AE644,Mapping!$E$140:$K$2771,5,0)</f>
        <v>Labour</v>
      </c>
      <c r="AK644" s="7" t="str">
        <f>VLOOKUP($AE644,Mapping!$E$140:$K$2771,7,0)</f>
        <v>ENDirect</v>
      </c>
      <c r="AL644" s="7" t="str">
        <f>IFERROR(HLOOKUP(AJ644,'Calc|Weightings'!$K$5:$M$5,1,0),"Excl")</f>
        <v>Labour</v>
      </c>
      <c r="AM644" s="7" t="str">
        <f>VLOOKUP(AC644,Mapping!$E$11:$I$96,5,0)</f>
        <v>Negotiated Capex</v>
      </c>
      <c r="AO644" s="134">
        <v>125</v>
      </c>
      <c r="AP644" s="135" t="s">
        <v>2135</v>
      </c>
      <c r="AQ644" s="135">
        <v>636001</v>
      </c>
      <c r="AR644" s="135" t="s">
        <v>2111</v>
      </c>
      <c r="AS644" s="136">
        <v>-1.27346</v>
      </c>
      <c r="AU644" s="7" t="str">
        <f>VLOOKUP($AO644,Mapping!$E$11:$I$96,3,0)</f>
        <v>Metering Capex</v>
      </c>
      <c r="AV644" s="7" t="str">
        <f>VLOOKUP($AQ644,Mapping!$E$140:$K$2771,5,0)</f>
        <v>System Control OH</v>
      </c>
      <c r="AW644" s="7" t="str">
        <f>VLOOKUP($AQ644,Mapping!$E$140:$K$2771,7,0)</f>
        <v>OH</v>
      </c>
      <c r="AX644" s="7" t="str">
        <f>IFERROR(HLOOKUP(AV644,'Calc|Weightings'!$K$5:$M$5,1,0),"Excl")</f>
        <v>Excl</v>
      </c>
      <c r="AY644" s="7" t="str">
        <f>VLOOKUP(AO644,Mapping!$E$11:$I$96,5,0)</f>
        <v>Metering Services</v>
      </c>
    </row>
    <row r="645" spans="1:51" x14ac:dyDescent="0.2">
      <c r="A645" s="7"/>
      <c r="B645" s="7"/>
      <c r="C645" s="7"/>
      <c r="D645" s="7"/>
      <c r="E645" s="36">
        <v>119</v>
      </c>
      <c r="F645" s="36" t="s">
        <v>2133</v>
      </c>
      <c r="G645" s="36">
        <v>613418</v>
      </c>
      <c r="H645" s="36" t="s">
        <v>1424</v>
      </c>
      <c r="I645" s="37">
        <v>3.0622199999999999</v>
      </c>
      <c r="J645" s="7"/>
      <c r="K645" s="7" t="str">
        <f>VLOOKUP($E645,Mapping!$E$11:$I$96,3,0)</f>
        <v>Negotiated Capex</v>
      </c>
      <c r="L645" s="7" t="str">
        <f>VLOOKUP($G645,Mapping!$E$140:$K$2771,5,0)</f>
        <v>Labour</v>
      </c>
      <c r="M645" s="7" t="str">
        <f>VLOOKUP($G645,Mapping!$E$140:$K$2771,7,0)</f>
        <v>ENDirect</v>
      </c>
      <c r="N645" s="7" t="str">
        <f>IFERROR(HLOOKUP(L645,'Calc|Weightings'!$K$5:$M$5,1,0),"Excl")</f>
        <v>Labour</v>
      </c>
      <c r="O645" s="7" t="str">
        <f>VLOOKUP(E645,Mapping!$E$11:$I$96,5,0)</f>
        <v>Negotiated Capex</v>
      </c>
      <c r="Q645" s="33">
        <v>120</v>
      </c>
      <c r="R645" s="33" t="s">
        <v>2134</v>
      </c>
      <c r="S645" s="33">
        <v>636105</v>
      </c>
      <c r="T645" s="33" t="s">
        <v>1937</v>
      </c>
      <c r="U645" s="34">
        <v>0.18651999999999999</v>
      </c>
      <c r="V645" s="7"/>
      <c r="W645" s="7" t="str">
        <f>VLOOKUP($Q645,Mapping!$E$11:$I$96,3,0)</f>
        <v>Negotiated Capex</v>
      </c>
      <c r="X645" s="7" t="str">
        <f>VLOOKUP($S645,Mapping!$E$140:$K$2771,5,0)</f>
        <v>CSG MG</v>
      </c>
      <c r="Y645" s="7" t="str">
        <f>VLOOKUP($S645,Mapping!$E$140:$K$2771,7,0)</f>
        <v>ENDirect</v>
      </c>
      <c r="Z645" s="7" t="str">
        <f>IFERROR(HLOOKUP(X645,'Calc|Weightings'!$K$5:$M$5,1,0),"Excl")</f>
        <v>Excl</v>
      </c>
      <c r="AA645" s="7" t="str">
        <f>VLOOKUP(Q645,Mapping!$E$11:$I$96,5,0)</f>
        <v>Negotiated Capex</v>
      </c>
      <c r="AC645" s="111">
        <v>120</v>
      </c>
      <c r="AD645" s="111" t="s">
        <v>2134</v>
      </c>
      <c r="AE645" s="111">
        <v>613450</v>
      </c>
      <c r="AF645" s="111" t="s">
        <v>2175</v>
      </c>
      <c r="AG645" s="112">
        <v>5.6455099999999998</v>
      </c>
      <c r="AI645" s="7" t="str">
        <f>VLOOKUP($AC645,Mapping!$E$11:$I$96,3,0)</f>
        <v>Negotiated Capex</v>
      </c>
      <c r="AJ645" s="7" t="str">
        <f>VLOOKUP($AE645,Mapping!$E$140:$K$2771,5,0)</f>
        <v>Labour</v>
      </c>
      <c r="AK645" s="7" t="str">
        <f>VLOOKUP($AE645,Mapping!$E$140:$K$2771,7,0)</f>
        <v>ENDirect</v>
      </c>
      <c r="AL645" s="7" t="str">
        <f>IFERROR(HLOOKUP(AJ645,'Calc|Weightings'!$K$5:$M$5,1,0),"Excl")</f>
        <v>Labour</v>
      </c>
      <c r="AM645" s="7" t="str">
        <f>VLOOKUP(AC645,Mapping!$E$11:$I$96,5,0)</f>
        <v>Negotiated Capex</v>
      </c>
      <c r="AO645" s="134">
        <v>125</v>
      </c>
      <c r="AP645" s="135" t="s">
        <v>2135</v>
      </c>
      <c r="AQ645" s="135">
        <v>639000</v>
      </c>
      <c r="AR645" s="135" t="s">
        <v>2112</v>
      </c>
      <c r="AS645" s="136">
        <v>42.359369999999998</v>
      </c>
      <c r="AU645" s="7" t="str">
        <f>VLOOKUP($AO645,Mapping!$E$11:$I$96,3,0)</f>
        <v>Metering Capex</v>
      </c>
      <c r="AV645" s="7" t="str">
        <f>VLOOKUP($AQ645,Mapping!$E$140:$K$2771,5,0)</f>
        <v>PNS Corporate OH</v>
      </c>
      <c r="AW645" s="7" t="str">
        <f>VLOOKUP($AQ645,Mapping!$E$140:$K$2771,7,0)</f>
        <v>OH</v>
      </c>
      <c r="AX645" s="7" t="str">
        <f>IFERROR(HLOOKUP(AV645,'Calc|Weightings'!$K$5:$M$5,1,0),"Excl")</f>
        <v>Excl</v>
      </c>
      <c r="AY645" s="7" t="str">
        <f>VLOOKUP(AO645,Mapping!$E$11:$I$96,5,0)</f>
        <v>Metering Services</v>
      </c>
    </row>
    <row r="646" spans="1:51" x14ac:dyDescent="0.2">
      <c r="A646" s="7"/>
      <c r="B646" s="7"/>
      <c r="C646" s="7"/>
      <c r="D646" s="7"/>
      <c r="E646" s="36">
        <v>119</v>
      </c>
      <c r="F646" s="36" t="s">
        <v>2133</v>
      </c>
      <c r="G646" s="36">
        <v>613419</v>
      </c>
      <c r="H646" s="36" t="s">
        <v>1425</v>
      </c>
      <c r="I646" s="37">
        <v>0.13314000000000001</v>
      </c>
      <c r="J646" s="7"/>
      <c r="K646" s="7" t="str">
        <f>VLOOKUP($E646,Mapping!$E$11:$I$96,3,0)</f>
        <v>Negotiated Capex</v>
      </c>
      <c r="L646" s="7" t="str">
        <f>VLOOKUP($G646,Mapping!$E$140:$K$2771,5,0)</f>
        <v>Labour</v>
      </c>
      <c r="M646" s="7" t="str">
        <f>VLOOKUP($G646,Mapping!$E$140:$K$2771,7,0)</f>
        <v>ENDirect</v>
      </c>
      <c r="N646" s="7" t="str">
        <f>IFERROR(HLOOKUP(L646,'Calc|Weightings'!$K$5:$M$5,1,0),"Excl")</f>
        <v>Labour</v>
      </c>
      <c r="O646" s="7" t="str">
        <f>VLOOKUP(E646,Mapping!$E$11:$I$96,5,0)</f>
        <v>Negotiated Capex</v>
      </c>
      <c r="Q646" s="33">
        <v>120</v>
      </c>
      <c r="R646" s="33" t="s">
        <v>2134</v>
      </c>
      <c r="S646" s="33">
        <v>639000</v>
      </c>
      <c r="T646" s="33" t="s">
        <v>2112</v>
      </c>
      <c r="U646" s="34">
        <v>37.293759999999999</v>
      </c>
      <c r="V646" s="7"/>
      <c r="W646" s="7" t="str">
        <f>VLOOKUP($Q646,Mapping!$E$11:$I$96,3,0)</f>
        <v>Negotiated Capex</v>
      </c>
      <c r="X646" s="7" t="str">
        <f>VLOOKUP($S646,Mapping!$E$140:$K$2771,5,0)</f>
        <v>PNS Corporate OH</v>
      </c>
      <c r="Y646" s="7" t="str">
        <f>VLOOKUP($S646,Mapping!$E$140:$K$2771,7,0)</f>
        <v>OH</v>
      </c>
      <c r="Z646" s="7" t="str">
        <f>IFERROR(HLOOKUP(X646,'Calc|Weightings'!$K$5:$M$5,1,0),"Excl")</f>
        <v>Excl</v>
      </c>
      <c r="AA646" s="7" t="str">
        <f>VLOOKUP(Q646,Mapping!$E$11:$I$96,5,0)</f>
        <v>Negotiated Capex</v>
      </c>
      <c r="AC646" s="111">
        <v>120</v>
      </c>
      <c r="AD646" s="111" t="s">
        <v>2134</v>
      </c>
      <c r="AE646" s="111">
        <v>613566</v>
      </c>
      <c r="AF646" s="111" t="s">
        <v>1482</v>
      </c>
      <c r="AG646" s="112">
        <v>12.47264</v>
      </c>
      <c r="AI646" s="7" t="str">
        <f>VLOOKUP($AC646,Mapping!$E$11:$I$96,3,0)</f>
        <v>Negotiated Capex</v>
      </c>
      <c r="AJ646" s="7" t="str">
        <f>VLOOKUP($AE646,Mapping!$E$140:$K$2771,5,0)</f>
        <v>Labour</v>
      </c>
      <c r="AK646" s="7" t="str">
        <f>VLOOKUP($AE646,Mapping!$E$140:$K$2771,7,0)</f>
        <v>ENDirect</v>
      </c>
      <c r="AL646" s="7" t="str">
        <f>IFERROR(HLOOKUP(AJ646,'Calc|Weightings'!$K$5:$M$5,1,0),"Excl")</f>
        <v>Labour</v>
      </c>
      <c r="AM646" s="7" t="str">
        <f>VLOOKUP(AC646,Mapping!$E$11:$I$96,5,0)</f>
        <v>Negotiated Capex</v>
      </c>
      <c r="AO646" s="134">
        <v>125</v>
      </c>
      <c r="AP646" s="135" t="s">
        <v>2135</v>
      </c>
      <c r="AQ646" s="135">
        <v>639050</v>
      </c>
      <c r="AR646" s="135" t="s">
        <v>2113</v>
      </c>
      <c r="AS646" s="136">
        <v>0.49251</v>
      </c>
      <c r="AU646" s="7" t="str">
        <f>VLOOKUP($AO646,Mapping!$E$11:$I$96,3,0)</f>
        <v>Metering Capex</v>
      </c>
      <c r="AV646" s="7" t="str">
        <f>VLOOKUP($AQ646,Mapping!$E$140:$K$2771,5,0)</f>
        <v>PNS Fleet &amp; Property OH</v>
      </c>
      <c r="AW646" s="7" t="str">
        <f>VLOOKUP($AQ646,Mapping!$E$140:$K$2771,7,0)</f>
        <v>OH</v>
      </c>
      <c r="AX646" s="7" t="str">
        <f>IFERROR(HLOOKUP(AV646,'Calc|Weightings'!$K$5:$M$5,1,0),"Excl")</f>
        <v>Excl</v>
      </c>
      <c r="AY646" s="7" t="str">
        <f>VLOOKUP(AO646,Mapping!$E$11:$I$96,5,0)</f>
        <v>Metering Services</v>
      </c>
    </row>
    <row r="647" spans="1:51" x14ac:dyDescent="0.2">
      <c r="A647" s="7"/>
      <c r="B647" s="7"/>
      <c r="C647" s="7"/>
      <c r="D647" s="7"/>
      <c r="E647" s="36">
        <v>119</v>
      </c>
      <c r="F647" s="36" t="s">
        <v>2133</v>
      </c>
      <c r="G647" s="36">
        <v>613428</v>
      </c>
      <c r="H647" s="36" t="s">
        <v>1430</v>
      </c>
      <c r="I647" s="37">
        <v>3.7932000000000001</v>
      </c>
      <c r="J647" s="7"/>
      <c r="K647" s="7" t="str">
        <f>VLOOKUP($E647,Mapping!$E$11:$I$96,3,0)</f>
        <v>Negotiated Capex</v>
      </c>
      <c r="L647" s="7" t="str">
        <f>VLOOKUP($G647,Mapping!$E$140:$K$2771,5,0)</f>
        <v>Labour</v>
      </c>
      <c r="M647" s="7" t="str">
        <f>VLOOKUP($G647,Mapping!$E$140:$K$2771,7,0)</f>
        <v>ENDirect</v>
      </c>
      <c r="N647" s="7" t="str">
        <f>IFERROR(HLOOKUP(L647,'Calc|Weightings'!$K$5:$M$5,1,0),"Excl")</f>
        <v>Labour</v>
      </c>
      <c r="O647" s="7" t="str">
        <f>VLOOKUP(E647,Mapping!$E$11:$I$96,5,0)</f>
        <v>Negotiated Capex</v>
      </c>
      <c r="Q647" s="33">
        <v>120</v>
      </c>
      <c r="R647" s="33" t="s">
        <v>2134</v>
      </c>
      <c r="S647" s="33">
        <v>639050</v>
      </c>
      <c r="T647" s="33" t="s">
        <v>2113</v>
      </c>
      <c r="U647" s="34">
        <v>5.6411499999999997</v>
      </c>
      <c r="V647" s="7"/>
      <c r="W647" s="7" t="str">
        <f>VLOOKUP($Q647,Mapping!$E$11:$I$96,3,0)</f>
        <v>Negotiated Capex</v>
      </c>
      <c r="X647" s="7" t="str">
        <f>VLOOKUP($S647,Mapping!$E$140:$K$2771,5,0)</f>
        <v>PNS Fleet &amp; Property OH</v>
      </c>
      <c r="Y647" s="7" t="str">
        <f>VLOOKUP($S647,Mapping!$E$140:$K$2771,7,0)</f>
        <v>OH</v>
      </c>
      <c r="Z647" s="7" t="str">
        <f>IFERROR(HLOOKUP(X647,'Calc|Weightings'!$K$5:$M$5,1,0),"Excl")</f>
        <v>Excl</v>
      </c>
      <c r="AA647" s="7" t="str">
        <f>VLOOKUP(Q647,Mapping!$E$11:$I$96,5,0)</f>
        <v>Negotiated Capex</v>
      </c>
      <c r="AC647" s="111">
        <v>120</v>
      </c>
      <c r="AD647" s="111" t="s">
        <v>2134</v>
      </c>
      <c r="AE647" s="111">
        <v>613567</v>
      </c>
      <c r="AF647" s="111" t="s">
        <v>1483</v>
      </c>
      <c r="AG647" s="112">
        <v>0.82782</v>
      </c>
      <c r="AI647" s="7" t="str">
        <f>VLOOKUP($AC647,Mapping!$E$11:$I$96,3,0)</f>
        <v>Negotiated Capex</v>
      </c>
      <c r="AJ647" s="7" t="str">
        <f>VLOOKUP($AE647,Mapping!$E$140:$K$2771,5,0)</f>
        <v>Labour</v>
      </c>
      <c r="AK647" s="7" t="str">
        <f>VLOOKUP($AE647,Mapping!$E$140:$K$2771,7,0)</f>
        <v>ENDirect</v>
      </c>
      <c r="AL647" s="7" t="str">
        <f>IFERROR(HLOOKUP(AJ647,'Calc|Weightings'!$K$5:$M$5,1,0),"Excl")</f>
        <v>Labour</v>
      </c>
      <c r="AM647" s="7" t="str">
        <f>VLOOKUP(AC647,Mapping!$E$11:$I$96,5,0)</f>
        <v>Negotiated Capex</v>
      </c>
      <c r="AO647" s="134">
        <v>126</v>
      </c>
      <c r="AP647" s="135" t="s">
        <v>2136</v>
      </c>
      <c r="AQ647" s="135">
        <v>604600</v>
      </c>
      <c r="AR647" s="135" t="s">
        <v>487</v>
      </c>
      <c r="AS647" s="136">
        <v>245.44704999999999</v>
      </c>
      <c r="AU647" s="7" t="str">
        <f>VLOOKUP($AO647,Mapping!$E$11:$I$96,3,0)</f>
        <v>Metering Opex</v>
      </c>
      <c r="AV647" s="7" t="str">
        <f>VLOOKUP($AQ647,Mapping!$E$140:$K$2771,5,0)</f>
        <v>Corporate Services Fee</v>
      </c>
      <c r="AW647" s="7" t="str">
        <f>VLOOKUP($AQ647,Mapping!$E$140:$K$2771,7,0)</f>
        <v>ENDirect</v>
      </c>
      <c r="AX647" s="7" t="str">
        <f>IFERROR(HLOOKUP(AV647,'Calc|Weightings'!$K$5:$M$5,1,0),"Excl")</f>
        <v>Excl</v>
      </c>
      <c r="AY647" s="7" t="str">
        <f>VLOOKUP(AO647,Mapping!$E$11:$I$96,5,0)</f>
        <v>Connection Services</v>
      </c>
    </row>
    <row r="648" spans="1:51" x14ac:dyDescent="0.2">
      <c r="A648" s="7"/>
      <c r="B648" s="7"/>
      <c r="C648" s="7"/>
      <c r="D648" s="7"/>
      <c r="E648" s="36">
        <v>119</v>
      </c>
      <c r="F648" s="36" t="s">
        <v>2133</v>
      </c>
      <c r="G648" s="36">
        <v>613680</v>
      </c>
      <c r="H648" s="36" t="s">
        <v>2107</v>
      </c>
      <c r="I648" s="37">
        <v>10.76366</v>
      </c>
      <c r="J648" s="7"/>
      <c r="K648" s="7" t="str">
        <f>VLOOKUP($E648,Mapping!$E$11:$I$96,3,0)</f>
        <v>Negotiated Capex</v>
      </c>
      <c r="L648" s="7" t="str">
        <f>VLOOKUP($G648,Mapping!$E$140:$K$2771,5,0)</f>
        <v>Labour</v>
      </c>
      <c r="M648" s="7" t="str">
        <f>VLOOKUP($G648,Mapping!$E$140:$K$2771,7,0)</f>
        <v>ENDirect</v>
      </c>
      <c r="N648" s="7" t="str">
        <f>IFERROR(HLOOKUP(L648,'Calc|Weightings'!$K$5:$M$5,1,0),"Excl")</f>
        <v>Labour</v>
      </c>
      <c r="O648" s="7" t="str">
        <f>VLOOKUP(E648,Mapping!$E$11:$I$96,5,0)</f>
        <v>Negotiated Capex</v>
      </c>
      <c r="Q648" s="33">
        <v>121</v>
      </c>
      <c r="R648" s="33" t="s">
        <v>2392</v>
      </c>
      <c r="S648" s="33">
        <v>612210</v>
      </c>
      <c r="T648" s="33" t="s">
        <v>1184</v>
      </c>
      <c r="U648" s="34">
        <v>3.61747</v>
      </c>
      <c r="V648" s="7"/>
      <c r="W648" s="7" t="str">
        <f>VLOOKUP($Q648,Mapping!$E$11:$I$96,3,0)</f>
        <v>Connections</v>
      </c>
      <c r="X648" s="7" t="str">
        <f>VLOOKUP($S648,Mapping!$E$140:$K$2771,5,0)</f>
        <v>Labour</v>
      </c>
      <c r="Y648" s="7" t="str">
        <f>VLOOKUP($S648,Mapping!$E$140:$K$2771,7,0)</f>
        <v>ENDirect</v>
      </c>
      <c r="Z648" s="7" t="str">
        <f>IFERROR(HLOOKUP(X648,'Calc|Weightings'!$K$5:$M$5,1,0),"Excl")</f>
        <v>Labour</v>
      </c>
      <c r="AA648" s="7" t="str">
        <f>VLOOKUP(Q648,Mapping!$E$11:$I$96,5,0)</f>
        <v>SCS</v>
      </c>
      <c r="AC648" s="111">
        <v>120</v>
      </c>
      <c r="AD648" s="111" t="s">
        <v>2134</v>
      </c>
      <c r="AE648" s="111">
        <v>613570</v>
      </c>
      <c r="AF648" s="111" t="s">
        <v>1484</v>
      </c>
      <c r="AG648" s="112">
        <v>0.53076000000000001</v>
      </c>
      <c r="AI648" s="7" t="str">
        <f>VLOOKUP($AC648,Mapping!$E$11:$I$96,3,0)</f>
        <v>Negotiated Capex</v>
      </c>
      <c r="AJ648" s="7" t="str">
        <f>VLOOKUP($AE648,Mapping!$E$140:$K$2771,5,0)</f>
        <v>Labour</v>
      </c>
      <c r="AK648" s="7" t="str">
        <f>VLOOKUP($AE648,Mapping!$E$140:$K$2771,7,0)</f>
        <v>ENDirect</v>
      </c>
      <c r="AL648" s="7" t="str">
        <f>IFERROR(HLOOKUP(AJ648,'Calc|Weightings'!$K$5:$M$5,1,0),"Excl")</f>
        <v>Labour</v>
      </c>
      <c r="AM648" s="7" t="str">
        <f>VLOOKUP(AC648,Mapping!$E$11:$I$96,5,0)</f>
        <v>Negotiated Capex</v>
      </c>
      <c r="AO648" s="134">
        <v>126</v>
      </c>
      <c r="AP648" s="135" t="s">
        <v>2136</v>
      </c>
      <c r="AQ648" s="135">
        <v>613466</v>
      </c>
      <c r="AR648" s="135" t="s">
        <v>631</v>
      </c>
      <c r="AS648" s="136">
        <v>0.36730000000000002</v>
      </c>
      <c r="AU648" s="7" t="str">
        <f>VLOOKUP($AO648,Mapping!$E$11:$I$96,3,0)</f>
        <v>Metering Opex</v>
      </c>
      <c r="AV648" s="7" t="str">
        <f>VLOOKUP($AQ648,Mapping!$E$140:$K$2771,5,0)</f>
        <v>Contracts</v>
      </c>
      <c r="AW648" s="7" t="str">
        <f>VLOOKUP($AQ648,Mapping!$E$140:$K$2771,7,0)</f>
        <v>ENDirect</v>
      </c>
      <c r="AX648" s="7" t="str">
        <f>IFERROR(HLOOKUP(AV648,'Calc|Weightings'!$K$5:$M$5,1,0),"Excl")</f>
        <v>Contracts</v>
      </c>
      <c r="AY648" s="7" t="str">
        <f>VLOOKUP(AO648,Mapping!$E$11:$I$96,5,0)</f>
        <v>Connection Services</v>
      </c>
    </row>
    <row r="649" spans="1:51" x14ac:dyDescent="0.2">
      <c r="A649" s="7"/>
      <c r="B649" s="7"/>
      <c r="C649" s="7"/>
      <c r="D649" s="7"/>
      <c r="E649" s="36">
        <v>119</v>
      </c>
      <c r="F649" s="36" t="s">
        <v>2133</v>
      </c>
      <c r="G649" s="36">
        <v>633000</v>
      </c>
      <c r="H649" s="36" t="s">
        <v>2202</v>
      </c>
      <c r="I649" s="37">
        <v>118.90952</v>
      </c>
      <c r="J649" s="7"/>
      <c r="K649" s="7" t="str">
        <f>VLOOKUP($E649,Mapping!$E$11:$I$96,3,0)</f>
        <v>Negotiated Capex</v>
      </c>
      <c r="L649" s="7" t="str">
        <f>VLOOKUP($G649,Mapping!$E$140:$K$2771,5,0)</f>
        <v>Contracts</v>
      </c>
      <c r="M649" s="7" t="str">
        <f>VLOOKUP($G649,Mapping!$E$140:$K$2771,7,0)</f>
        <v>OH</v>
      </c>
      <c r="N649" s="7" t="str">
        <f>IFERROR(HLOOKUP(L649,'Calc|Weightings'!$K$5:$M$5,1,0),"Excl")</f>
        <v>Contracts</v>
      </c>
      <c r="O649" s="7" t="str">
        <f>VLOOKUP(E649,Mapping!$E$11:$I$96,5,0)</f>
        <v>Negotiated Capex</v>
      </c>
      <c r="Q649" s="33">
        <v>121</v>
      </c>
      <c r="R649" s="33" t="s">
        <v>2392</v>
      </c>
      <c r="S649" s="33">
        <v>613280</v>
      </c>
      <c r="T649" s="33" t="s">
        <v>1342</v>
      </c>
      <c r="U649" s="34">
        <v>4.3414000000000001</v>
      </c>
      <c r="V649" s="7"/>
      <c r="W649" s="7" t="str">
        <f>VLOOKUP($Q649,Mapping!$E$11:$I$96,3,0)</f>
        <v>Connections</v>
      </c>
      <c r="X649" s="7" t="str">
        <f>VLOOKUP($S649,Mapping!$E$140:$K$2771,5,0)</f>
        <v>Labour</v>
      </c>
      <c r="Y649" s="7" t="str">
        <f>VLOOKUP($S649,Mapping!$E$140:$K$2771,7,0)</f>
        <v>ENDirect</v>
      </c>
      <c r="Z649" s="7" t="str">
        <f>IFERROR(HLOOKUP(X649,'Calc|Weightings'!$K$5:$M$5,1,0),"Excl")</f>
        <v>Labour</v>
      </c>
      <c r="AA649" s="7" t="str">
        <f>VLOOKUP(Q649,Mapping!$E$11:$I$96,5,0)</f>
        <v>SCS</v>
      </c>
      <c r="AC649" s="111">
        <v>120</v>
      </c>
      <c r="AD649" s="111" t="s">
        <v>2134</v>
      </c>
      <c r="AE649" s="111">
        <v>613574</v>
      </c>
      <c r="AF649" s="111" t="s">
        <v>1488</v>
      </c>
      <c r="AG649" s="112">
        <v>7.6965199999999996</v>
      </c>
      <c r="AI649" s="7" t="str">
        <f>VLOOKUP($AC649,Mapping!$E$11:$I$96,3,0)</f>
        <v>Negotiated Capex</v>
      </c>
      <c r="AJ649" s="7" t="str">
        <f>VLOOKUP($AE649,Mapping!$E$140:$K$2771,5,0)</f>
        <v>Labour</v>
      </c>
      <c r="AK649" s="7" t="str">
        <f>VLOOKUP($AE649,Mapping!$E$140:$K$2771,7,0)</f>
        <v>ENDirect</v>
      </c>
      <c r="AL649" s="7" t="str">
        <f>IFERROR(HLOOKUP(AJ649,'Calc|Weightings'!$K$5:$M$5,1,0),"Excl")</f>
        <v>Labour</v>
      </c>
      <c r="AM649" s="7" t="str">
        <f>VLOOKUP(AC649,Mapping!$E$11:$I$96,5,0)</f>
        <v>Negotiated Capex</v>
      </c>
      <c r="AO649" s="134">
        <v>126</v>
      </c>
      <c r="AP649" s="135" t="s">
        <v>2136</v>
      </c>
      <c r="AQ649" s="135">
        <v>613805</v>
      </c>
      <c r="AR649" s="135" t="s">
        <v>1594</v>
      </c>
      <c r="AS649" s="136">
        <v>218.24966000000001</v>
      </c>
      <c r="AU649" s="7" t="str">
        <f>VLOOKUP($AO649,Mapping!$E$11:$I$96,3,0)</f>
        <v>Metering Opex</v>
      </c>
      <c r="AV649" s="7" t="str">
        <f>VLOOKUP($AQ649,Mapping!$E$140:$K$2771,5,0)</f>
        <v>Contracts</v>
      </c>
      <c r="AW649" s="7" t="str">
        <f>VLOOKUP($AQ649,Mapping!$E$140:$K$2771,7,0)</f>
        <v>ENDirect</v>
      </c>
      <c r="AX649" s="7" t="str">
        <f>IFERROR(HLOOKUP(AV649,'Calc|Weightings'!$K$5:$M$5,1,0),"Excl")</f>
        <v>Contracts</v>
      </c>
      <c r="AY649" s="7" t="str">
        <f>VLOOKUP(AO649,Mapping!$E$11:$I$96,5,0)</f>
        <v>Connection Services</v>
      </c>
    </row>
    <row r="650" spans="1:51" x14ac:dyDescent="0.2">
      <c r="A650" s="7"/>
      <c r="B650" s="7"/>
      <c r="C650" s="7"/>
      <c r="D650" s="7"/>
      <c r="E650" s="36">
        <v>119</v>
      </c>
      <c r="F650" s="36" t="s">
        <v>2133</v>
      </c>
      <c r="G650" s="36">
        <v>634001</v>
      </c>
      <c r="H650" s="36" t="s">
        <v>2110</v>
      </c>
      <c r="I650" s="37">
        <v>48.493760000000002</v>
      </c>
      <c r="J650" s="7"/>
      <c r="K650" s="7" t="str">
        <f>VLOOKUP($E650,Mapping!$E$11:$I$96,3,0)</f>
        <v>Negotiated Capex</v>
      </c>
      <c r="L650" s="7" t="str">
        <f>VLOOKUP($G650,Mapping!$E$140:$K$2771,5,0)</f>
        <v>Local OH</v>
      </c>
      <c r="M650" s="7" t="str">
        <f>VLOOKUP($G650,Mapping!$E$140:$K$2771,7,0)</f>
        <v>OH</v>
      </c>
      <c r="N650" s="7" t="str">
        <f>IFERROR(HLOOKUP(L650,'Calc|Weightings'!$K$5:$M$5,1,0),"Excl")</f>
        <v>Excl</v>
      </c>
      <c r="O650" s="7" t="str">
        <f>VLOOKUP(E650,Mapping!$E$11:$I$96,5,0)</f>
        <v>Negotiated Capex</v>
      </c>
      <c r="Q650" s="33">
        <v>121</v>
      </c>
      <c r="R650" s="33" t="s">
        <v>2392</v>
      </c>
      <c r="S650" s="33">
        <v>613298</v>
      </c>
      <c r="T650" s="33" t="s">
        <v>2122</v>
      </c>
      <c r="U650" s="34">
        <v>8.3970000000000002</v>
      </c>
      <c r="V650" s="7"/>
      <c r="W650" s="7" t="str">
        <f>VLOOKUP($Q650,Mapping!$E$11:$I$96,3,0)</f>
        <v>Connections</v>
      </c>
      <c r="X650" s="7" t="str">
        <f>VLOOKUP($S650,Mapping!$E$140:$K$2771,5,0)</f>
        <v>Labour</v>
      </c>
      <c r="Y650" s="7" t="str">
        <f>VLOOKUP($S650,Mapping!$E$140:$K$2771,7,0)</f>
        <v>ENDirect</v>
      </c>
      <c r="Z650" s="7" t="str">
        <f>IFERROR(HLOOKUP(X650,'Calc|Weightings'!$K$5:$M$5,1,0),"Excl")</f>
        <v>Labour</v>
      </c>
      <c r="AA650" s="7" t="str">
        <f>VLOOKUP(Q650,Mapping!$E$11:$I$96,5,0)</f>
        <v>SCS</v>
      </c>
      <c r="AC650" s="111">
        <v>120</v>
      </c>
      <c r="AD650" s="111" t="s">
        <v>2134</v>
      </c>
      <c r="AE650" s="111">
        <v>613575</v>
      </c>
      <c r="AF650" s="111" t="s">
        <v>1489</v>
      </c>
      <c r="AG650" s="112">
        <v>1.43465</v>
      </c>
      <c r="AI650" s="7" t="str">
        <f>VLOOKUP($AC650,Mapping!$E$11:$I$96,3,0)</f>
        <v>Negotiated Capex</v>
      </c>
      <c r="AJ650" s="7" t="str">
        <f>VLOOKUP($AE650,Mapping!$E$140:$K$2771,5,0)</f>
        <v>Labour</v>
      </c>
      <c r="AK650" s="7" t="str">
        <f>VLOOKUP($AE650,Mapping!$E$140:$K$2771,7,0)</f>
        <v>ENDirect</v>
      </c>
      <c r="AL650" s="7" t="str">
        <f>IFERROR(HLOOKUP(AJ650,'Calc|Weightings'!$K$5:$M$5,1,0),"Excl")</f>
        <v>Labour</v>
      </c>
      <c r="AM650" s="7" t="str">
        <f>VLOOKUP(AC650,Mapping!$E$11:$I$96,5,0)</f>
        <v>Negotiated Capex</v>
      </c>
      <c r="AO650" s="134">
        <v>126</v>
      </c>
      <c r="AP650" s="135" t="s">
        <v>2136</v>
      </c>
      <c r="AQ650" s="135">
        <v>613807</v>
      </c>
      <c r="AR650" s="135" t="s">
        <v>662</v>
      </c>
      <c r="AS650" s="136">
        <v>100.14976</v>
      </c>
      <c r="AU650" s="7" t="str">
        <f>VLOOKUP($AO650,Mapping!$E$11:$I$96,3,0)</f>
        <v>Metering Opex</v>
      </c>
      <c r="AV650" s="7" t="str">
        <f>VLOOKUP($AQ650,Mapping!$E$140:$K$2771,5,0)</f>
        <v>Contracts</v>
      </c>
      <c r="AW650" s="7" t="str">
        <f>VLOOKUP($AQ650,Mapping!$E$140:$K$2771,7,0)</f>
        <v>ENDirect</v>
      </c>
      <c r="AX650" s="7" t="str">
        <f>IFERROR(HLOOKUP(AV650,'Calc|Weightings'!$K$5:$M$5,1,0),"Excl")</f>
        <v>Contracts</v>
      </c>
      <c r="AY650" s="7" t="str">
        <f>VLOOKUP(AO650,Mapping!$E$11:$I$96,5,0)</f>
        <v>Connection Services</v>
      </c>
    </row>
    <row r="651" spans="1:51" x14ac:dyDescent="0.2">
      <c r="A651" s="7"/>
      <c r="B651" s="7"/>
      <c r="C651" s="7"/>
      <c r="D651" s="7"/>
      <c r="E651" s="36">
        <v>119</v>
      </c>
      <c r="F651" s="36" t="s">
        <v>2133</v>
      </c>
      <c r="G651" s="36">
        <v>635001</v>
      </c>
      <c r="H651" s="36" t="s">
        <v>1929</v>
      </c>
      <c r="I651" s="37">
        <v>38.769820000000003</v>
      </c>
      <c r="J651" s="7"/>
      <c r="K651" s="7" t="str">
        <f>VLOOKUP($E651,Mapping!$E$11:$I$96,3,0)</f>
        <v>Negotiated Capex</v>
      </c>
      <c r="L651" s="7" t="str">
        <f>VLOOKUP($G651,Mapping!$E$140:$K$2771,5,0)</f>
        <v>PNS MG</v>
      </c>
      <c r="M651" s="7" t="str">
        <f>VLOOKUP($G651,Mapping!$E$140:$K$2771,7,0)</f>
        <v>ENDirect</v>
      </c>
      <c r="N651" s="7" t="str">
        <f>IFERROR(HLOOKUP(L651,'Calc|Weightings'!$K$5:$M$5,1,0),"Excl")</f>
        <v>Excl</v>
      </c>
      <c r="O651" s="7" t="str">
        <f>VLOOKUP(E651,Mapping!$E$11:$I$96,5,0)</f>
        <v>Negotiated Capex</v>
      </c>
      <c r="Q651" s="33">
        <v>121</v>
      </c>
      <c r="R651" s="33" t="s">
        <v>2392</v>
      </c>
      <c r="S651" s="33">
        <v>613370</v>
      </c>
      <c r="T651" s="33" t="s">
        <v>1402</v>
      </c>
      <c r="U651" s="34">
        <v>1.5780000000000001</v>
      </c>
      <c r="V651" s="7"/>
      <c r="W651" s="7" t="str">
        <f>VLOOKUP($Q651,Mapping!$E$11:$I$96,3,0)</f>
        <v>Connections</v>
      </c>
      <c r="X651" s="7" t="str">
        <f>VLOOKUP($S651,Mapping!$E$140:$K$2771,5,0)</f>
        <v>Labour</v>
      </c>
      <c r="Y651" s="7" t="str">
        <f>VLOOKUP($S651,Mapping!$E$140:$K$2771,7,0)</f>
        <v>ENDirect</v>
      </c>
      <c r="Z651" s="7" t="str">
        <f>IFERROR(HLOOKUP(X651,'Calc|Weightings'!$K$5:$M$5,1,0),"Excl")</f>
        <v>Labour</v>
      </c>
      <c r="AA651" s="7" t="str">
        <f>VLOOKUP(Q651,Mapping!$E$11:$I$96,5,0)</f>
        <v>SCS</v>
      </c>
      <c r="AC651" s="111">
        <v>120</v>
      </c>
      <c r="AD651" s="111" t="s">
        <v>2134</v>
      </c>
      <c r="AE651" s="111">
        <v>613630</v>
      </c>
      <c r="AF651" s="111" t="s">
        <v>1498</v>
      </c>
      <c r="AG651" s="112">
        <v>2.6430400000000001</v>
      </c>
      <c r="AI651" s="7" t="str">
        <f>VLOOKUP($AC651,Mapping!$E$11:$I$96,3,0)</f>
        <v>Negotiated Capex</v>
      </c>
      <c r="AJ651" s="7" t="str">
        <f>VLOOKUP($AE651,Mapping!$E$140:$K$2771,5,0)</f>
        <v>Labour</v>
      </c>
      <c r="AK651" s="7" t="str">
        <f>VLOOKUP($AE651,Mapping!$E$140:$K$2771,7,0)</f>
        <v>ENDirect</v>
      </c>
      <c r="AL651" s="7" t="str">
        <f>IFERROR(HLOOKUP(AJ651,'Calc|Weightings'!$K$5:$M$5,1,0),"Excl")</f>
        <v>Labour</v>
      </c>
      <c r="AM651" s="7" t="str">
        <f>VLOOKUP(AC651,Mapping!$E$11:$I$96,5,0)</f>
        <v>Negotiated Capex</v>
      </c>
      <c r="AO651" s="134">
        <v>126</v>
      </c>
      <c r="AP651" s="135" t="s">
        <v>2136</v>
      </c>
      <c r="AQ651" s="135">
        <v>613808</v>
      </c>
      <c r="AR651" s="135" t="s">
        <v>2137</v>
      </c>
      <c r="AS651" s="136">
        <v>435.64656000000002</v>
      </c>
      <c r="AU651" s="7" t="str">
        <f>VLOOKUP($AO651,Mapping!$E$11:$I$96,3,0)</f>
        <v>Metering Opex</v>
      </c>
      <c r="AV651" s="7" t="str">
        <f>VLOOKUP($AQ651,Mapping!$E$140:$K$2771,5,0)</f>
        <v>Labour</v>
      </c>
      <c r="AW651" s="7" t="str">
        <f>VLOOKUP($AQ651,Mapping!$E$140:$K$2771,7,0)</f>
        <v>ENDirect</v>
      </c>
      <c r="AX651" s="7" t="str">
        <f>IFERROR(HLOOKUP(AV651,'Calc|Weightings'!$K$5:$M$5,1,0),"Excl")</f>
        <v>Labour</v>
      </c>
      <c r="AY651" s="7" t="str">
        <f>VLOOKUP(AO651,Mapping!$E$11:$I$96,5,0)</f>
        <v>Connection Services</v>
      </c>
    </row>
    <row r="652" spans="1:51" x14ac:dyDescent="0.2">
      <c r="A652" s="7"/>
      <c r="B652" s="7"/>
      <c r="C652" s="7"/>
      <c r="D652" s="7"/>
      <c r="E652" s="36">
        <v>119</v>
      </c>
      <c r="F652" s="36" t="s">
        <v>2133</v>
      </c>
      <c r="G652" s="36">
        <v>636001</v>
      </c>
      <c r="H652" s="36" t="s">
        <v>2111</v>
      </c>
      <c r="I652" s="37">
        <v>15.34268</v>
      </c>
      <c r="J652" s="7"/>
      <c r="K652" s="7" t="str">
        <f>VLOOKUP($E652,Mapping!$E$11:$I$96,3,0)</f>
        <v>Negotiated Capex</v>
      </c>
      <c r="L652" s="7" t="str">
        <f>VLOOKUP($G652,Mapping!$E$140:$K$2771,5,0)</f>
        <v>System Control OH</v>
      </c>
      <c r="M652" s="7" t="str">
        <f>VLOOKUP($G652,Mapping!$E$140:$K$2771,7,0)</f>
        <v>OH</v>
      </c>
      <c r="N652" s="7" t="str">
        <f>IFERROR(HLOOKUP(L652,'Calc|Weightings'!$K$5:$M$5,1,0),"Excl")</f>
        <v>Excl</v>
      </c>
      <c r="O652" s="7" t="str">
        <f>VLOOKUP(E652,Mapping!$E$11:$I$96,5,0)</f>
        <v>Negotiated Capex</v>
      </c>
      <c r="Q652" s="33">
        <v>121</v>
      </c>
      <c r="R652" s="33" t="s">
        <v>2392</v>
      </c>
      <c r="S652" s="33">
        <v>634001</v>
      </c>
      <c r="T652" s="33" t="s">
        <v>2110</v>
      </c>
      <c r="U652" s="34">
        <v>1.63792</v>
      </c>
      <c r="V652" s="7"/>
      <c r="W652" s="7" t="str">
        <f>VLOOKUP($Q652,Mapping!$E$11:$I$96,3,0)</f>
        <v>Connections</v>
      </c>
      <c r="X652" s="7" t="str">
        <f>VLOOKUP($S652,Mapping!$E$140:$K$2771,5,0)</f>
        <v>Local OH</v>
      </c>
      <c r="Y652" s="7" t="str">
        <f>VLOOKUP($S652,Mapping!$E$140:$K$2771,7,0)</f>
        <v>OH</v>
      </c>
      <c r="Z652" s="7" t="str">
        <f>IFERROR(HLOOKUP(X652,'Calc|Weightings'!$K$5:$M$5,1,0),"Excl")</f>
        <v>Excl</v>
      </c>
      <c r="AA652" s="7" t="str">
        <f>VLOOKUP(Q652,Mapping!$E$11:$I$96,5,0)</f>
        <v>SCS</v>
      </c>
      <c r="AC652" s="111">
        <v>120</v>
      </c>
      <c r="AD652" s="111" t="s">
        <v>2134</v>
      </c>
      <c r="AE652" s="111">
        <v>613680</v>
      </c>
      <c r="AF652" s="111" t="s">
        <v>2107</v>
      </c>
      <c r="AG652" s="112">
        <v>2.6582400000000002</v>
      </c>
      <c r="AI652" s="7" t="str">
        <f>VLOOKUP($AC652,Mapping!$E$11:$I$96,3,0)</f>
        <v>Negotiated Capex</v>
      </c>
      <c r="AJ652" s="7" t="str">
        <f>VLOOKUP($AE652,Mapping!$E$140:$K$2771,5,0)</f>
        <v>Labour</v>
      </c>
      <c r="AK652" s="7" t="str">
        <f>VLOOKUP($AE652,Mapping!$E$140:$K$2771,7,0)</f>
        <v>ENDirect</v>
      </c>
      <c r="AL652" s="7" t="str">
        <f>IFERROR(HLOOKUP(AJ652,'Calc|Weightings'!$K$5:$M$5,1,0),"Excl")</f>
        <v>Labour</v>
      </c>
      <c r="AM652" s="7" t="str">
        <f>VLOOKUP(AC652,Mapping!$E$11:$I$96,5,0)</f>
        <v>Negotiated Capex</v>
      </c>
      <c r="AO652" s="134">
        <v>126</v>
      </c>
      <c r="AP652" s="135" t="s">
        <v>2136</v>
      </c>
      <c r="AQ652" s="135">
        <v>639000</v>
      </c>
      <c r="AR652" s="135" t="s">
        <v>2112</v>
      </c>
      <c r="AS652" s="136">
        <v>31.383600000000001</v>
      </c>
      <c r="AU652" s="7" t="str">
        <f>VLOOKUP($AO652,Mapping!$E$11:$I$96,3,0)</f>
        <v>Metering Opex</v>
      </c>
      <c r="AV652" s="7" t="str">
        <f>VLOOKUP($AQ652,Mapping!$E$140:$K$2771,5,0)</f>
        <v>PNS Corporate OH</v>
      </c>
      <c r="AW652" s="7" t="str">
        <f>VLOOKUP($AQ652,Mapping!$E$140:$K$2771,7,0)</f>
        <v>OH</v>
      </c>
      <c r="AX652" s="7" t="str">
        <f>IFERROR(HLOOKUP(AV652,'Calc|Weightings'!$K$5:$M$5,1,0),"Excl")</f>
        <v>Excl</v>
      </c>
      <c r="AY652" s="7" t="str">
        <f>VLOOKUP(AO652,Mapping!$E$11:$I$96,5,0)</f>
        <v>Connection Services</v>
      </c>
    </row>
    <row r="653" spans="1:51" x14ac:dyDescent="0.2">
      <c r="A653" s="7"/>
      <c r="B653" s="7"/>
      <c r="C653" s="7"/>
      <c r="D653" s="7"/>
      <c r="E653" s="36">
        <v>119</v>
      </c>
      <c r="F653" s="36" t="s">
        <v>2133</v>
      </c>
      <c r="G653" s="36">
        <v>639000</v>
      </c>
      <c r="H653" s="36" t="s">
        <v>2112</v>
      </c>
      <c r="I653" s="37">
        <v>33.22683</v>
      </c>
      <c r="J653" s="7"/>
      <c r="K653" s="7" t="str">
        <f>VLOOKUP($E653,Mapping!$E$11:$I$96,3,0)</f>
        <v>Negotiated Capex</v>
      </c>
      <c r="L653" s="7" t="str">
        <f>VLOOKUP($G653,Mapping!$E$140:$K$2771,5,0)</f>
        <v>PNS Corporate OH</v>
      </c>
      <c r="M653" s="7" t="str">
        <f>VLOOKUP($G653,Mapping!$E$140:$K$2771,7,0)</f>
        <v>OH</v>
      </c>
      <c r="N653" s="7" t="str">
        <f>IFERROR(HLOOKUP(L653,'Calc|Weightings'!$K$5:$M$5,1,0),"Excl")</f>
        <v>Excl</v>
      </c>
      <c r="O653" s="7" t="str">
        <f>VLOOKUP(E653,Mapping!$E$11:$I$96,5,0)</f>
        <v>Negotiated Capex</v>
      </c>
      <c r="Q653" s="33">
        <v>121</v>
      </c>
      <c r="R653" s="33" t="s">
        <v>2392</v>
      </c>
      <c r="S653" s="33">
        <v>635001</v>
      </c>
      <c r="T653" s="33" t="s">
        <v>1929</v>
      </c>
      <c r="U653" s="34">
        <v>0.81779000000000002</v>
      </c>
      <c r="V653" s="7"/>
      <c r="W653" s="7" t="str">
        <f>VLOOKUP($Q653,Mapping!$E$11:$I$96,3,0)</f>
        <v>Connections</v>
      </c>
      <c r="X653" s="7" t="str">
        <f>VLOOKUP($S653,Mapping!$E$140:$K$2771,5,0)</f>
        <v>PNS MG</v>
      </c>
      <c r="Y653" s="7" t="str">
        <f>VLOOKUP($S653,Mapping!$E$140:$K$2771,7,0)</f>
        <v>ENDirect</v>
      </c>
      <c r="Z653" s="7" t="str">
        <f>IFERROR(HLOOKUP(X653,'Calc|Weightings'!$K$5:$M$5,1,0),"Excl")</f>
        <v>Excl</v>
      </c>
      <c r="AA653" s="7" t="str">
        <f>VLOOKUP(Q653,Mapping!$E$11:$I$96,5,0)</f>
        <v>SCS</v>
      </c>
      <c r="AC653" s="111">
        <v>120</v>
      </c>
      <c r="AD653" s="111" t="s">
        <v>2134</v>
      </c>
      <c r="AE653" s="111">
        <v>613681</v>
      </c>
      <c r="AF653" s="111" t="s">
        <v>2108</v>
      </c>
      <c r="AG653" s="112">
        <v>0.18121999999999999</v>
      </c>
      <c r="AI653" s="7" t="str">
        <f>VLOOKUP($AC653,Mapping!$E$11:$I$96,3,0)</f>
        <v>Negotiated Capex</v>
      </c>
      <c r="AJ653" s="7" t="str">
        <f>VLOOKUP($AE653,Mapping!$E$140:$K$2771,5,0)</f>
        <v>Labour</v>
      </c>
      <c r="AK653" s="7" t="str">
        <f>VLOOKUP($AE653,Mapping!$E$140:$K$2771,7,0)</f>
        <v>ENDirect</v>
      </c>
      <c r="AL653" s="7" t="str">
        <f>IFERROR(HLOOKUP(AJ653,'Calc|Weightings'!$K$5:$M$5,1,0),"Excl")</f>
        <v>Labour</v>
      </c>
      <c r="AM653" s="7" t="str">
        <f>VLOOKUP(AC653,Mapping!$E$11:$I$96,5,0)</f>
        <v>Negotiated Capex</v>
      </c>
      <c r="AO653" s="134">
        <v>126</v>
      </c>
      <c r="AP653" s="135" t="s">
        <v>2136</v>
      </c>
      <c r="AQ653" s="135">
        <v>639050</v>
      </c>
      <c r="AR653" s="135" t="s">
        <v>2113</v>
      </c>
      <c r="AS653" s="136">
        <v>0.34522999999999998</v>
      </c>
      <c r="AU653" s="7" t="str">
        <f>VLOOKUP($AO653,Mapping!$E$11:$I$96,3,0)</f>
        <v>Metering Opex</v>
      </c>
      <c r="AV653" s="7" t="str">
        <f>VLOOKUP($AQ653,Mapping!$E$140:$K$2771,5,0)</f>
        <v>PNS Fleet &amp; Property OH</v>
      </c>
      <c r="AW653" s="7" t="str">
        <f>VLOOKUP($AQ653,Mapping!$E$140:$K$2771,7,0)</f>
        <v>OH</v>
      </c>
      <c r="AX653" s="7" t="str">
        <f>IFERROR(HLOOKUP(AV653,'Calc|Weightings'!$K$5:$M$5,1,0),"Excl")</f>
        <v>Excl</v>
      </c>
      <c r="AY653" s="7" t="str">
        <f>VLOOKUP(AO653,Mapping!$E$11:$I$96,5,0)</f>
        <v>Connection Services</v>
      </c>
    </row>
    <row r="654" spans="1:51" x14ac:dyDescent="0.2">
      <c r="A654" s="7"/>
      <c r="B654" s="7"/>
      <c r="C654" s="7"/>
      <c r="D654" s="7"/>
      <c r="E654" s="36">
        <v>119</v>
      </c>
      <c r="F654" s="36" t="s">
        <v>2133</v>
      </c>
      <c r="G654" s="36">
        <v>639050</v>
      </c>
      <c r="H654" s="36" t="s">
        <v>2113</v>
      </c>
      <c r="I654" s="37">
        <v>7.4592400000000003</v>
      </c>
      <c r="J654" s="7"/>
      <c r="K654" s="7" t="str">
        <f>VLOOKUP($E654,Mapping!$E$11:$I$96,3,0)</f>
        <v>Negotiated Capex</v>
      </c>
      <c r="L654" s="7" t="str">
        <f>VLOOKUP($G654,Mapping!$E$140:$K$2771,5,0)</f>
        <v>PNS Fleet &amp; Property OH</v>
      </c>
      <c r="M654" s="7" t="str">
        <f>VLOOKUP($G654,Mapping!$E$140:$K$2771,7,0)</f>
        <v>OH</v>
      </c>
      <c r="N654" s="7" t="str">
        <f>IFERROR(HLOOKUP(L654,'Calc|Weightings'!$K$5:$M$5,1,0),"Excl")</f>
        <v>Excl</v>
      </c>
      <c r="O654" s="7" t="str">
        <f>VLOOKUP(E654,Mapping!$E$11:$I$96,5,0)</f>
        <v>Negotiated Capex</v>
      </c>
      <c r="Q654" s="33">
        <v>121</v>
      </c>
      <c r="R654" s="33" t="s">
        <v>2392</v>
      </c>
      <c r="S654" s="33">
        <v>636001</v>
      </c>
      <c r="T654" s="33" t="s">
        <v>2111</v>
      </c>
      <c r="U654" s="34">
        <v>0.50631000000000004</v>
      </c>
      <c r="V654" s="7"/>
      <c r="W654" s="7" t="str">
        <f>VLOOKUP($Q654,Mapping!$E$11:$I$96,3,0)</f>
        <v>Connections</v>
      </c>
      <c r="X654" s="7" t="str">
        <f>VLOOKUP($S654,Mapping!$E$140:$K$2771,5,0)</f>
        <v>System Control OH</v>
      </c>
      <c r="Y654" s="7" t="str">
        <f>VLOOKUP($S654,Mapping!$E$140:$K$2771,7,0)</f>
        <v>OH</v>
      </c>
      <c r="Z654" s="7" t="str">
        <f>IFERROR(HLOOKUP(X654,'Calc|Weightings'!$K$5:$M$5,1,0),"Excl")</f>
        <v>Excl</v>
      </c>
      <c r="AA654" s="7" t="str">
        <f>VLOOKUP(Q654,Mapping!$E$11:$I$96,5,0)</f>
        <v>SCS</v>
      </c>
      <c r="AC654" s="111">
        <v>120</v>
      </c>
      <c r="AD654" s="111" t="s">
        <v>2134</v>
      </c>
      <c r="AE654" s="111">
        <v>614115</v>
      </c>
      <c r="AF654" s="111" t="s">
        <v>2109</v>
      </c>
      <c r="AG654" s="112">
        <v>6.3639000000000001</v>
      </c>
      <c r="AI654" s="7" t="str">
        <f>VLOOKUP($AC654,Mapping!$E$11:$I$96,3,0)</f>
        <v>Negotiated Capex</v>
      </c>
      <c r="AJ654" s="7" t="str">
        <f>VLOOKUP($AE654,Mapping!$E$140:$K$2771,5,0)</f>
        <v>Labour</v>
      </c>
      <c r="AK654" s="7" t="str">
        <f>VLOOKUP($AE654,Mapping!$E$140:$K$2771,7,0)</f>
        <v>ENDirect</v>
      </c>
      <c r="AL654" s="7" t="str">
        <f>IFERROR(HLOOKUP(AJ654,'Calc|Weightings'!$K$5:$M$5,1,0),"Excl")</f>
        <v>Labour</v>
      </c>
      <c r="AM654" s="7" t="str">
        <f>VLOOKUP(AC654,Mapping!$E$11:$I$96,5,0)</f>
        <v>Negotiated Capex</v>
      </c>
      <c r="AO654" s="134">
        <v>130</v>
      </c>
      <c r="AP654" s="135" t="s">
        <v>2138</v>
      </c>
      <c r="AQ654" s="134">
        <v>604600</v>
      </c>
      <c r="AR654" s="135" t="s">
        <v>487</v>
      </c>
      <c r="AS654" s="136">
        <v>28.15128</v>
      </c>
      <c r="AU654" s="7" t="str">
        <f>VLOOKUP($AO654,Mapping!$E$11:$I$96,3,0)</f>
        <v>Fee Based Opex</v>
      </c>
      <c r="AV654" s="7" t="str">
        <f>VLOOKUP($AQ654,Mapping!$E$140:$K$2771,5,0)</f>
        <v>Corporate Services Fee</v>
      </c>
      <c r="AW654" s="7" t="str">
        <f>VLOOKUP($AQ654,Mapping!$E$140:$K$2771,7,0)</f>
        <v>ENDirect</v>
      </c>
      <c r="AX654" s="7" t="str">
        <f>IFERROR(HLOOKUP(AV654,'Calc|Weightings'!$K$5:$M$5,1,0),"Excl")</f>
        <v>Excl</v>
      </c>
      <c r="AY654" s="7" t="str">
        <f>VLOOKUP(AO654,Mapping!$E$11:$I$96,5,0)</f>
        <v>Ancillary Network Services</v>
      </c>
    </row>
    <row r="655" spans="1:51" x14ac:dyDescent="0.2">
      <c r="A655" s="7"/>
      <c r="B655" s="7"/>
      <c r="C655" s="7"/>
      <c r="D655" s="7"/>
      <c r="E655" s="36">
        <v>120</v>
      </c>
      <c r="F655" s="36" t="s">
        <v>2134</v>
      </c>
      <c r="G655" s="36">
        <v>520100</v>
      </c>
      <c r="H655" s="36" t="s">
        <v>2072</v>
      </c>
      <c r="I655" s="37">
        <v>66.481359999999995</v>
      </c>
      <c r="J655" s="7"/>
      <c r="K655" s="7" t="str">
        <f>VLOOKUP($E655,Mapping!$E$11:$I$96,3,0)</f>
        <v>Negotiated Capex</v>
      </c>
      <c r="L655" s="7" t="str">
        <f>VLOOKUP($G655,Mapping!$E$140:$K$2771,5,0)</f>
        <v>Materials</v>
      </c>
      <c r="M655" s="7" t="str">
        <f>VLOOKUP($G655,Mapping!$E$140:$K$2771,7,0)</f>
        <v>ENDirect</v>
      </c>
      <c r="N655" s="7" t="str">
        <f>IFERROR(HLOOKUP(L655,'Calc|Weightings'!$K$5:$M$5,1,0),"Excl")</f>
        <v>Materials</v>
      </c>
      <c r="O655" s="7" t="str">
        <f>VLOOKUP(E655,Mapping!$E$11:$I$96,5,0)</f>
        <v>Negotiated Capex</v>
      </c>
      <c r="Q655" s="33">
        <v>121</v>
      </c>
      <c r="R655" s="33" t="s">
        <v>2392</v>
      </c>
      <c r="S655" s="33">
        <v>639000</v>
      </c>
      <c r="T655" s="33" t="s">
        <v>2112</v>
      </c>
      <c r="U655" s="34">
        <v>1.1137999999999999</v>
      </c>
      <c r="V655" s="7"/>
      <c r="W655" s="7" t="str">
        <f>VLOOKUP($Q655,Mapping!$E$11:$I$96,3,0)</f>
        <v>Connections</v>
      </c>
      <c r="X655" s="7" t="str">
        <f>VLOOKUP($S655,Mapping!$E$140:$K$2771,5,0)</f>
        <v>PNS Corporate OH</v>
      </c>
      <c r="Y655" s="7" t="str">
        <f>VLOOKUP($S655,Mapping!$E$140:$K$2771,7,0)</f>
        <v>OH</v>
      </c>
      <c r="Z655" s="7" t="str">
        <f>IFERROR(HLOOKUP(X655,'Calc|Weightings'!$K$5:$M$5,1,0),"Excl")</f>
        <v>Excl</v>
      </c>
      <c r="AA655" s="7" t="str">
        <f>VLOOKUP(Q655,Mapping!$E$11:$I$96,5,0)</f>
        <v>SCS</v>
      </c>
      <c r="AC655" s="111">
        <v>120</v>
      </c>
      <c r="AD655" s="111" t="s">
        <v>2134</v>
      </c>
      <c r="AE655" s="111">
        <v>634001</v>
      </c>
      <c r="AF655" s="111" t="s">
        <v>2110</v>
      </c>
      <c r="AG655" s="112">
        <v>192.50617</v>
      </c>
      <c r="AI655" s="7" t="str">
        <f>VLOOKUP($AC655,Mapping!$E$11:$I$96,3,0)</f>
        <v>Negotiated Capex</v>
      </c>
      <c r="AJ655" s="7" t="str">
        <f>VLOOKUP($AE655,Mapping!$E$140:$K$2771,5,0)</f>
        <v>Local OH</v>
      </c>
      <c r="AK655" s="7" t="str">
        <f>VLOOKUP($AE655,Mapping!$E$140:$K$2771,7,0)</f>
        <v>OH</v>
      </c>
      <c r="AL655" s="7" t="str">
        <f>IFERROR(HLOOKUP(AJ655,'Calc|Weightings'!$K$5:$M$5,1,0),"Excl")</f>
        <v>Excl</v>
      </c>
      <c r="AM655" s="7" t="str">
        <f>VLOOKUP(AC655,Mapping!$E$11:$I$96,5,0)</f>
        <v>Negotiated Capex</v>
      </c>
      <c r="AO655" s="134">
        <v>130</v>
      </c>
      <c r="AP655" s="135" t="s">
        <v>2138</v>
      </c>
      <c r="AQ655" s="135">
        <v>613788</v>
      </c>
      <c r="AR655" s="135" t="s">
        <v>1589</v>
      </c>
      <c r="AS655" s="136">
        <v>51.071280000000002</v>
      </c>
      <c r="AU655" s="7" t="str">
        <f>VLOOKUP($AO655,Mapping!$E$11:$I$96,3,0)</f>
        <v>Fee Based Opex</v>
      </c>
      <c r="AV655" s="7" t="str">
        <f>VLOOKUP($AQ655,Mapping!$E$140:$K$2771,5,0)</f>
        <v>Labour</v>
      </c>
      <c r="AW655" s="7" t="str">
        <f>VLOOKUP($AQ655,Mapping!$E$140:$K$2771,7,0)</f>
        <v>ENDirect</v>
      </c>
      <c r="AX655" s="7" t="str">
        <f>IFERROR(HLOOKUP(AV655,'Calc|Weightings'!$K$5:$M$5,1,0),"Excl")</f>
        <v>Labour</v>
      </c>
      <c r="AY655" s="7" t="str">
        <f>VLOOKUP(AO655,Mapping!$E$11:$I$96,5,0)</f>
        <v>Ancillary Network Services</v>
      </c>
    </row>
    <row r="656" spans="1:51" x14ac:dyDescent="0.2">
      <c r="A656" s="7"/>
      <c r="B656" s="7"/>
      <c r="C656" s="7"/>
      <c r="D656" s="7"/>
      <c r="E656" s="36">
        <v>120</v>
      </c>
      <c r="F656" s="36" t="s">
        <v>2134</v>
      </c>
      <c r="G656" s="36">
        <v>523100</v>
      </c>
      <c r="H656" s="36" t="s">
        <v>2074</v>
      </c>
      <c r="I656" s="37">
        <v>3.0458099999999999</v>
      </c>
      <c r="J656" s="7"/>
      <c r="K656" s="7" t="str">
        <f>VLOOKUP($E656,Mapping!$E$11:$I$96,3,0)</f>
        <v>Negotiated Capex</v>
      </c>
      <c r="L656" s="7" t="str">
        <f>VLOOKUP($G656,Mapping!$E$140:$K$2771,5,0)</f>
        <v>Materials</v>
      </c>
      <c r="M656" s="7" t="str">
        <f>VLOOKUP($G656,Mapping!$E$140:$K$2771,7,0)</f>
        <v>ENDirect</v>
      </c>
      <c r="N656" s="7" t="str">
        <f>IFERROR(HLOOKUP(L656,'Calc|Weightings'!$K$5:$M$5,1,0),"Excl")</f>
        <v>Materials</v>
      </c>
      <c r="O656" s="7" t="str">
        <f>VLOOKUP(E656,Mapping!$E$11:$I$96,5,0)</f>
        <v>Negotiated Capex</v>
      </c>
      <c r="Q656" s="33">
        <v>121</v>
      </c>
      <c r="R656" s="33" t="s">
        <v>2392</v>
      </c>
      <c r="S656" s="33">
        <v>639050</v>
      </c>
      <c r="T656" s="33" t="s">
        <v>2113</v>
      </c>
      <c r="U656" s="34">
        <v>0.23562</v>
      </c>
      <c r="V656" s="7"/>
      <c r="W656" s="7" t="str">
        <f>VLOOKUP($Q656,Mapping!$E$11:$I$96,3,0)</f>
        <v>Connections</v>
      </c>
      <c r="X656" s="7" t="str">
        <f>VLOOKUP($S656,Mapping!$E$140:$K$2771,5,0)</f>
        <v>PNS Fleet &amp; Property OH</v>
      </c>
      <c r="Y656" s="7" t="str">
        <f>VLOOKUP($S656,Mapping!$E$140:$K$2771,7,0)</f>
        <v>OH</v>
      </c>
      <c r="Z656" s="7" t="str">
        <f>IFERROR(HLOOKUP(X656,'Calc|Weightings'!$K$5:$M$5,1,0),"Excl")</f>
        <v>Excl</v>
      </c>
      <c r="AA656" s="7" t="str">
        <f>VLOOKUP(Q656,Mapping!$E$11:$I$96,5,0)</f>
        <v>SCS</v>
      </c>
      <c r="AC656" s="111">
        <v>120</v>
      </c>
      <c r="AD656" s="111" t="s">
        <v>2134</v>
      </c>
      <c r="AE656" s="111">
        <v>635001</v>
      </c>
      <c r="AF656" s="111" t="s">
        <v>1929</v>
      </c>
      <c r="AG656" s="112">
        <v>53.711219999999997</v>
      </c>
      <c r="AI656" s="7" t="str">
        <f>VLOOKUP($AC656,Mapping!$E$11:$I$96,3,0)</f>
        <v>Negotiated Capex</v>
      </c>
      <c r="AJ656" s="7" t="str">
        <f>VLOOKUP($AE656,Mapping!$E$140:$K$2771,5,0)</f>
        <v>PNS MG</v>
      </c>
      <c r="AK656" s="7" t="str">
        <f>VLOOKUP($AE656,Mapping!$E$140:$K$2771,7,0)</f>
        <v>ENDirect</v>
      </c>
      <c r="AL656" s="7" t="str">
        <f>IFERROR(HLOOKUP(AJ656,'Calc|Weightings'!$K$5:$M$5,1,0),"Excl")</f>
        <v>Excl</v>
      </c>
      <c r="AM656" s="7" t="str">
        <f>VLOOKUP(AC656,Mapping!$E$11:$I$96,5,0)</f>
        <v>Negotiated Capex</v>
      </c>
      <c r="AO656" s="134">
        <v>130</v>
      </c>
      <c r="AP656" s="135" t="s">
        <v>2138</v>
      </c>
      <c r="AQ656" s="135">
        <v>613858</v>
      </c>
      <c r="AR656" s="135" t="s">
        <v>858</v>
      </c>
      <c r="AS656" s="136">
        <v>21.852350000000001</v>
      </c>
      <c r="AU656" s="7" t="str">
        <f>VLOOKUP($AO656,Mapping!$E$11:$I$96,3,0)</f>
        <v>Fee Based Opex</v>
      </c>
      <c r="AV656" s="7" t="str">
        <f>VLOOKUP($AQ656,Mapping!$E$140:$K$2771,5,0)</f>
        <v>Labour</v>
      </c>
      <c r="AW656" s="7" t="str">
        <f>VLOOKUP($AQ656,Mapping!$E$140:$K$2771,7,0)</f>
        <v>ENDirect</v>
      </c>
      <c r="AX656" s="7" t="str">
        <f>IFERROR(HLOOKUP(AV656,'Calc|Weightings'!$K$5:$M$5,1,0),"Excl")</f>
        <v>Labour</v>
      </c>
      <c r="AY656" s="7" t="str">
        <f>VLOOKUP(AO656,Mapping!$E$11:$I$96,5,0)</f>
        <v>Ancillary Network Services</v>
      </c>
    </row>
    <row r="657" spans="1:51" x14ac:dyDescent="0.2">
      <c r="A657" s="7"/>
      <c r="B657" s="7"/>
      <c r="C657" s="7"/>
      <c r="D657" s="7"/>
      <c r="E657" s="36">
        <v>120</v>
      </c>
      <c r="F657" s="36" t="s">
        <v>2134</v>
      </c>
      <c r="G657" s="36">
        <v>531020</v>
      </c>
      <c r="H657" s="36" t="s">
        <v>219</v>
      </c>
      <c r="I657" s="37">
        <v>-2</v>
      </c>
      <c r="J657" s="7"/>
      <c r="K657" s="7" t="str">
        <f>VLOOKUP($E657,Mapping!$E$11:$I$96,3,0)</f>
        <v>Negotiated Capex</v>
      </c>
      <c r="L657" s="7" t="str">
        <f>VLOOKUP($G657,Mapping!$E$140:$K$2771,5,0)</f>
        <v>Labour</v>
      </c>
      <c r="M657" s="7" t="str">
        <f>VLOOKUP($G657,Mapping!$E$140:$K$2771,7,0)</f>
        <v>ENDirect</v>
      </c>
      <c r="N657" s="7" t="str">
        <f>IFERROR(HLOOKUP(L657,'Calc|Weightings'!$K$5:$M$5,1,0),"Excl")</f>
        <v>Labour</v>
      </c>
      <c r="O657" s="7" t="str">
        <f>VLOOKUP(E657,Mapping!$E$11:$I$96,5,0)</f>
        <v>Negotiated Capex</v>
      </c>
      <c r="Q657" s="33">
        <v>125</v>
      </c>
      <c r="R657" s="33" t="s">
        <v>2135</v>
      </c>
      <c r="S657" s="33">
        <v>613097</v>
      </c>
      <c r="T657" s="33" t="s">
        <v>630</v>
      </c>
      <c r="U657" s="34">
        <v>0.25175999999999998</v>
      </c>
      <c r="V657" s="7"/>
      <c r="W657" s="7" t="str">
        <f>VLOOKUP($Q657,Mapping!$E$11:$I$96,3,0)</f>
        <v>Metering Capex</v>
      </c>
      <c r="X657" s="7" t="str">
        <f>VLOOKUP($S657,Mapping!$E$140:$K$2771,5,0)</f>
        <v>Materials</v>
      </c>
      <c r="Y657" s="7" t="str">
        <f>VLOOKUP($S657,Mapping!$E$140:$K$2771,7,0)</f>
        <v>ENDirect</v>
      </c>
      <c r="Z657" s="7" t="str">
        <f>IFERROR(HLOOKUP(X657,'Calc|Weightings'!$K$5:$M$5,1,0),"Excl")</f>
        <v>Materials</v>
      </c>
      <c r="AA657" s="7" t="str">
        <f>VLOOKUP(Q657,Mapping!$E$11:$I$96,5,0)</f>
        <v>Metering Services</v>
      </c>
      <c r="AC657" s="111">
        <v>120</v>
      </c>
      <c r="AD657" s="111" t="s">
        <v>2134</v>
      </c>
      <c r="AE657" s="111">
        <v>636001</v>
      </c>
      <c r="AF657" s="111" t="s">
        <v>2111</v>
      </c>
      <c r="AG657" s="112">
        <v>60.863</v>
      </c>
      <c r="AI657" s="7" t="str">
        <f>VLOOKUP($AC657,Mapping!$E$11:$I$96,3,0)</f>
        <v>Negotiated Capex</v>
      </c>
      <c r="AJ657" s="7" t="str">
        <f>VLOOKUP($AE657,Mapping!$E$140:$K$2771,5,0)</f>
        <v>System Control OH</v>
      </c>
      <c r="AK657" s="7" t="str">
        <f>VLOOKUP($AE657,Mapping!$E$140:$K$2771,7,0)</f>
        <v>OH</v>
      </c>
      <c r="AL657" s="7" t="str">
        <f>IFERROR(HLOOKUP(AJ657,'Calc|Weightings'!$K$5:$M$5,1,0),"Excl")</f>
        <v>Excl</v>
      </c>
      <c r="AM657" s="7" t="str">
        <f>VLOOKUP(AC657,Mapping!$E$11:$I$96,5,0)</f>
        <v>Negotiated Capex</v>
      </c>
      <c r="AO657" s="134">
        <v>130</v>
      </c>
      <c r="AP657" s="135" t="s">
        <v>2138</v>
      </c>
      <c r="AQ657" s="135">
        <v>613860</v>
      </c>
      <c r="AR657" s="135" t="s">
        <v>860</v>
      </c>
      <c r="AS657" s="136">
        <v>53.969450000000002</v>
      </c>
      <c r="AU657" s="7" t="str">
        <f>VLOOKUP($AO657,Mapping!$E$11:$I$96,3,0)</f>
        <v>Fee Based Opex</v>
      </c>
      <c r="AV657" s="7" t="str">
        <f>VLOOKUP($AQ657,Mapping!$E$140:$K$2771,5,0)</f>
        <v>Labour</v>
      </c>
      <c r="AW657" s="7" t="str">
        <f>VLOOKUP($AQ657,Mapping!$E$140:$K$2771,7,0)</f>
        <v>ENDirect</v>
      </c>
      <c r="AX657" s="7" t="str">
        <f>IFERROR(HLOOKUP(AV657,'Calc|Weightings'!$K$5:$M$5,1,0),"Excl")</f>
        <v>Labour</v>
      </c>
      <c r="AY657" s="7" t="str">
        <f>VLOOKUP(AO657,Mapping!$E$11:$I$96,5,0)</f>
        <v>Ancillary Network Services</v>
      </c>
    </row>
    <row r="658" spans="1:51" x14ac:dyDescent="0.2">
      <c r="A658" s="7"/>
      <c r="B658" s="7"/>
      <c r="C658" s="7"/>
      <c r="D658" s="7"/>
      <c r="E658" s="36">
        <v>120</v>
      </c>
      <c r="F658" s="36" t="s">
        <v>2134</v>
      </c>
      <c r="G658" s="36">
        <v>531035</v>
      </c>
      <c r="H658" s="36" t="s">
        <v>244</v>
      </c>
      <c r="I658" s="37">
        <v>46.827419999999996</v>
      </c>
      <c r="J658" s="7"/>
      <c r="K658" s="7" t="str">
        <f>VLOOKUP($E658,Mapping!$E$11:$I$96,3,0)</f>
        <v>Negotiated Capex</v>
      </c>
      <c r="L658" s="7" t="str">
        <f>VLOOKUP($G658,Mapping!$E$140:$K$2771,5,0)</f>
        <v>Labour</v>
      </c>
      <c r="M658" s="7" t="str">
        <f>VLOOKUP($G658,Mapping!$E$140:$K$2771,7,0)</f>
        <v>ENDirect</v>
      </c>
      <c r="N658" s="7" t="str">
        <f>IFERROR(HLOOKUP(L658,'Calc|Weightings'!$K$5:$M$5,1,0),"Excl")</f>
        <v>Labour</v>
      </c>
      <c r="O658" s="7" t="str">
        <f>VLOOKUP(E658,Mapping!$E$11:$I$96,5,0)</f>
        <v>Negotiated Capex</v>
      </c>
      <c r="Q658" s="33">
        <v>125</v>
      </c>
      <c r="R658" s="33" t="s">
        <v>2135</v>
      </c>
      <c r="S658" s="33">
        <v>613801</v>
      </c>
      <c r="T658" s="33" t="s">
        <v>656</v>
      </c>
      <c r="U658" s="34">
        <v>645.85817999999995</v>
      </c>
      <c r="V658" s="7"/>
      <c r="W658" s="7" t="str">
        <f>VLOOKUP($Q658,Mapping!$E$11:$I$96,3,0)</f>
        <v>Metering Capex</v>
      </c>
      <c r="X658" s="7" t="str">
        <f>VLOOKUP($S658,Mapping!$E$140:$K$2771,5,0)</f>
        <v>Materials</v>
      </c>
      <c r="Y658" s="7" t="str">
        <f>VLOOKUP($S658,Mapping!$E$140:$K$2771,7,0)</f>
        <v>ENDirect</v>
      </c>
      <c r="Z658" s="7" t="str">
        <f>IFERROR(HLOOKUP(X658,'Calc|Weightings'!$K$5:$M$5,1,0),"Excl")</f>
        <v>Materials</v>
      </c>
      <c r="AA658" s="7" t="str">
        <f>VLOOKUP(Q658,Mapping!$E$11:$I$96,5,0)</f>
        <v>Metering Services</v>
      </c>
      <c r="AC658" s="111">
        <v>120</v>
      </c>
      <c r="AD658" s="111" t="s">
        <v>2134</v>
      </c>
      <c r="AE658" s="111">
        <v>636105</v>
      </c>
      <c r="AF658" s="111" t="s">
        <v>1937</v>
      </c>
      <c r="AG658" s="112">
        <v>0.66807000000000005</v>
      </c>
      <c r="AI658" s="7" t="str">
        <f>VLOOKUP($AC658,Mapping!$E$11:$I$96,3,0)</f>
        <v>Negotiated Capex</v>
      </c>
      <c r="AJ658" s="7" t="str">
        <f>VLOOKUP($AE658,Mapping!$E$140:$K$2771,5,0)</f>
        <v>CSG MG</v>
      </c>
      <c r="AK658" s="7" t="str">
        <f>VLOOKUP($AE658,Mapping!$E$140:$K$2771,7,0)</f>
        <v>ENDirect</v>
      </c>
      <c r="AL658" s="7" t="str">
        <f>IFERROR(HLOOKUP(AJ658,'Calc|Weightings'!$K$5:$M$5,1,0),"Excl")</f>
        <v>Excl</v>
      </c>
      <c r="AM658" s="7" t="str">
        <f>VLOOKUP(AC658,Mapping!$E$11:$I$96,5,0)</f>
        <v>Negotiated Capex</v>
      </c>
      <c r="AO658" s="134">
        <v>130</v>
      </c>
      <c r="AP658" s="135" t="s">
        <v>2138</v>
      </c>
      <c r="AQ658" s="135">
        <v>634001</v>
      </c>
      <c r="AR658" s="135" t="s">
        <v>2110</v>
      </c>
      <c r="AS658" s="136">
        <v>0.70926999999999996</v>
      </c>
      <c r="AU658" s="7" t="str">
        <f>VLOOKUP($AO658,Mapping!$E$11:$I$96,3,0)</f>
        <v>Fee Based Opex</v>
      </c>
      <c r="AV658" s="7" t="str">
        <f>VLOOKUP($AQ658,Mapping!$E$140:$K$2771,5,0)</f>
        <v>Local OH</v>
      </c>
      <c r="AW658" s="7" t="str">
        <f>VLOOKUP($AQ658,Mapping!$E$140:$K$2771,7,0)</f>
        <v>OH</v>
      </c>
      <c r="AX658" s="7" t="str">
        <f>IFERROR(HLOOKUP(AV658,'Calc|Weightings'!$K$5:$M$5,1,0),"Excl")</f>
        <v>Excl</v>
      </c>
      <c r="AY658" s="7" t="str">
        <f>VLOOKUP(AO658,Mapping!$E$11:$I$96,5,0)</f>
        <v>Ancillary Network Services</v>
      </c>
    </row>
    <row r="659" spans="1:51" x14ac:dyDescent="0.2">
      <c r="A659" s="7"/>
      <c r="B659" s="7"/>
      <c r="C659" s="7"/>
      <c r="D659" s="7"/>
      <c r="E659" s="36">
        <v>120</v>
      </c>
      <c r="F659" s="36" t="s">
        <v>2134</v>
      </c>
      <c r="G659" s="36">
        <v>531200</v>
      </c>
      <c r="H659" s="36" t="s">
        <v>250</v>
      </c>
      <c r="I659" s="37">
        <v>7.9502499999999996</v>
      </c>
      <c r="J659" s="7"/>
      <c r="K659" s="7" t="str">
        <f>VLOOKUP($E659,Mapping!$E$11:$I$96,3,0)</f>
        <v>Negotiated Capex</v>
      </c>
      <c r="L659" s="7" t="str">
        <f>VLOOKUP($G659,Mapping!$E$140:$K$2771,5,0)</f>
        <v>Contracts</v>
      </c>
      <c r="M659" s="7" t="str">
        <f>VLOOKUP($G659,Mapping!$E$140:$K$2771,7,0)</f>
        <v>ENDirect</v>
      </c>
      <c r="N659" s="7" t="str">
        <f>IFERROR(HLOOKUP(L659,'Calc|Weightings'!$K$5:$M$5,1,0),"Excl")</f>
        <v>Contracts</v>
      </c>
      <c r="O659" s="7" t="str">
        <f>VLOOKUP(E659,Mapping!$E$11:$I$96,5,0)</f>
        <v>Negotiated Capex</v>
      </c>
      <c r="Q659" s="33">
        <v>125</v>
      </c>
      <c r="R659" s="33" t="s">
        <v>2135</v>
      </c>
      <c r="S659" s="33">
        <v>613803</v>
      </c>
      <c r="T659" s="33" t="s">
        <v>658</v>
      </c>
      <c r="U659" s="34">
        <v>341.68284999999997</v>
      </c>
      <c r="V659" s="7"/>
      <c r="W659" s="7" t="str">
        <f>VLOOKUP($Q659,Mapping!$E$11:$I$96,3,0)</f>
        <v>Metering Capex</v>
      </c>
      <c r="X659" s="7" t="str">
        <f>VLOOKUP($S659,Mapping!$E$140:$K$2771,5,0)</f>
        <v>Materials</v>
      </c>
      <c r="Y659" s="7" t="str">
        <f>VLOOKUP($S659,Mapping!$E$140:$K$2771,7,0)</f>
        <v>ENDirect</v>
      </c>
      <c r="Z659" s="7" t="str">
        <f>IFERROR(HLOOKUP(X659,'Calc|Weightings'!$K$5:$M$5,1,0),"Excl")</f>
        <v>Materials</v>
      </c>
      <c r="AA659" s="7" t="str">
        <f>VLOOKUP(Q659,Mapping!$E$11:$I$96,5,0)</f>
        <v>Metering Services</v>
      </c>
      <c r="AC659" s="111">
        <v>120</v>
      </c>
      <c r="AD659" s="111" t="s">
        <v>2134</v>
      </c>
      <c r="AE659" s="111">
        <v>639000</v>
      </c>
      <c r="AF659" s="111" t="s">
        <v>2112</v>
      </c>
      <c r="AG659" s="112">
        <v>138.64653000000001</v>
      </c>
      <c r="AI659" s="7" t="str">
        <f>VLOOKUP($AC659,Mapping!$E$11:$I$96,3,0)</f>
        <v>Negotiated Capex</v>
      </c>
      <c r="AJ659" s="7" t="str">
        <f>VLOOKUP($AE659,Mapping!$E$140:$K$2771,5,0)</f>
        <v>PNS Corporate OH</v>
      </c>
      <c r="AK659" s="7" t="str">
        <f>VLOOKUP($AE659,Mapping!$E$140:$K$2771,7,0)</f>
        <v>OH</v>
      </c>
      <c r="AL659" s="7" t="str">
        <f>IFERROR(HLOOKUP(AJ659,'Calc|Weightings'!$K$5:$M$5,1,0),"Excl")</f>
        <v>Excl</v>
      </c>
      <c r="AM659" s="7" t="str">
        <f>VLOOKUP(AC659,Mapping!$E$11:$I$96,5,0)</f>
        <v>Negotiated Capex</v>
      </c>
      <c r="AO659" s="134">
        <v>130</v>
      </c>
      <c r="AP659" s="135" t="s">
        <v>2138</v>
      </c>
      <c r="AQ659" s="135">
        <v>635001</v>
      </c>
      <c r="AR659" s="135" t="s">
        <v>1929</v>
      </c>
      <c r="AS659" s="136">
        <v>7.5338200000000004</v>
      </c>
      <c r="AU659" s="7" t="str">
        <f>VLOOKUP($AO659,Mapping!$E$11:$I$96,3,0)</f>
        <v>Fee Based Opex</v>
      </c>
      <c r="AV659" s="7" t="str">
        <f>VLOOKUP($AQ659,Mapping!$E$140:$K$2771,5,0)</f>
        <v>PNS MG</v>
      </c>
      <c r="AW659" s="7" t="str">
        <f>VLOOKUP($AQ659,Mapping!$E$140:$K$2771,7,0)</f>
        <v>ENDirect</v>
      </c>
      <c r="AX659" s="7" t="str">
        <f>IFERROR(HLOOKUP(AV659,'Calc|Weightings'!$K$5:$M$5,1,0),"Excl")</f>
        <v>Excl</v>
      </c>
      <c r="AY659" s="7" t="str">
        <f>VLOOKUP(AO659,Mapping!$E$11:$I$96,5,0)</f>
        <v>Ancillary Network Services</v>
      </c>
    </row>
    <row r="660" spans="1:51" x14ac:dyDescent="0.2">
      <c r="A660" s="7"/>
      <c r="B660" s="7"/>
      <c r="C660" s="7"/>
      <c r="D660" s="7"/>
      <c r="E660" s="36">
        <v>120</v>
      </c>
      <c r="F660" s="36" t="s">
        <v>2134</v>
      </c>
      <c r="G660" s="36">
        <v>531464</v>
      </c>
      <c r="H660" s="36" t="s">
        <v>256</v>
      </c>
      <c r="I660" s="37">
        <v>301.03912000000003</v>
      </c>
      <c r="J660" s="7"/>
      <c r="K660" s="7" t="str">
        <f>VLOOKUP($E660,Mapping!$E$11:$I$96,3,0)</f>
        <v>Negotiated Capex</v>
      </c>
      <c r="L660" s="7" t="str">
        <f>VLOOKUP($G660,Mapping!$E$140:$K$2771,5,0)</f>
        <v>Contracts</v>
      </c>
      <c r="M660" s="7" t="str">
        <f>VLOOKUP($G660,Mapping!$E$140:$K$2771,7,0)</f>
        <v>ENDirect</v>
      </c>
      <c r="N660" s="7" t="str">
        <f>IFERROR(HLOOKUP(L660,'Calc|Weightings'!$K$5:$M$5,1,0),"Excl")</f>
        <v>Contracts</v>
      </c>
      <c r="O660" s="7" t="str">
        <f>VLOOKUP(E660,Mapping!$E$11:$I$96,5,0)</f>
        <v>Negotiated Capex</v>
      </c>
      <c r="Q660" s="33">
        <v>125</v>
      </c>
      <c r="R660" s="33" t="s">
        <v>2135</v>
      </c>
      <c r="S660" s="33">
        <v>613804</v>
      </c>
      <c r="T660" s="33" t="s">
        <v>659</v>
      </c>
      <c r="U660" s="34">
        <v>35.604010000000002</v>
      </c>
      <c r="V660" s="7"/>
      <c r="W660" s="7" t="str">
        <f>VLOOKUP($Q660,Mapping!$E$11:$I$96,3,0)</f>
        <v>Metering Capex</v>
      </c>
      <c r="X660" s="7" t="str">
        <f>VLOOKUP($S660,Mapping!$E$140:$K$2771,5,0)</f>
        <v>Materials</v>
      </c>
      <c r="Y660" s="7" t="str">
        <f>VLOOKUP($S660,Mapping!$E$140:$K$2771,7,0)</f>
        <v>ENDirect</v>
      </c>
      <c r="Z660" s="7" t="str">
        <f>IFERROR(HLOOKUP(X660,'Calc|Weightings'!$K$5:$M$5,1,0),"Excl")</f>
        <v>Materials</v>
      </c>
      <c r="AA660" s="7" t="str">
        <f>VLOOKUP(Q660,Mapping!$E$11:$I$96,5,0)</f>
        <v>Metering Services</v>
      </c>
      <c r="AC660" s="111">
        <v>120</v>
      </c>
      <c r="AD660" s="111" t="s">
        <v>2134</v>
      </c>
      <c r="AE660" s="111">
        <v>639050</v>
      </c>
      <c r="AF660" s="111" t="s">
        <v>2113</v>
      </c>
      <c r="AG660" s="112">
        <v>7.7447699999999999</v>
      </c>
      <c r="AI660" s="7" t="str">
        <f>VLOOKUP($AC660,Mapping!$E$11:$I$96,3,0)</f>
        <v>Negotiated Capex</v>
      </c>
      <c r="AJ660" s="7" t="str">
        <f>VLOOKUP($AE660,Mapping!$E$140:$K$2771,5,0)</f>
        <v>PNS Fleet &amp; Property OH</v>
      </c>
      <c r="AK660" s="7" t="str">
        <f>VLOOKUP($AE660,Mapping!$E$140:$K$2771,7,0)</f>
        <v>OH</v>
      </c>
      <c r="AL660" s="7" t="str">
        <f>IFERROR(HLOOKUP(AJ660,'Calc|Weightings'!$K$5:$M$5,1,0),"Excl")</f>
        <v>Excl</v>
      </c>
      <c r="AM660" s="7" t="str">
        <f>VLOOKUP(AC660,Mapping!$E$11:$I$96,5,0)</f>
        <v>Negotiated Capex</v>
      </c>
      <c r="AO660" s="134">
        <v>130</v>
      </c>
      <c r="AP660" s="135" t="s">
        <v>2138</v>
      </c>
      <c r="AQ660" s="135">
        <v>636001</v>
      </c>
      <c r="AR660" s="135" t="s">
        <v>2111</v>
      </c>
      <c r="AS660" s="136">
        <v>0.39679999999999999</v>
      </c>
      <c r="AU660" s="7" t="str">
        <f>VLOOKUP($AO660,Mapping!$E$11:$I$96,3,0)</f>
        <v>Fee Based Opex</v>
      </c>
      <c r="AV660" s="7" t="str">
        <f>VLOOKUP($AQ660,Mapping!$E$140:$K$2771,5,0)</f>
        <v>System Control OH</v>
      </c>
      <c r="AW660" s="7" t="str">
        <f>VLOOKUP($AQ660,Mapping!$E$140:$K$2771,7,0)</f>
        <v>OH</v>
      </c>
      <c r="AX660" s="7" t="str">
        <f>IFERROR(HLOOKUP(AV660,'Calc|Weightings'!$K$5:$M$5,1,0),"Excl")</f>
        <v>Excl</v>
      </c>
      <c r="AY660" s="7" t="str">
        <f>VLOOKUP(AO660,Mapping!$E$11:$I$96,5,0)</f>
        <v>Ancillary Network Services</v>
      </c>
    </row>
    <row r="661" spans="1:51" x14ac:dyDescent="0.2">
      <c r="A661" s="7"/>
      <c r="B661" s="7"/>
      <c r="C661" s="7"/>
      <c r="D661" s="7"/>
      <c r="E661" s="36">
        <v>120</v>
      </c>
      <c r="F661" s="36" t="s">
        <v>2134</v>
      </c>
      <c r="G661" s="36">
        <v>531466</v>
      </c>
      <c r="H661" s="36" t="s">
        <v>258</v>
      </c>
      <c r="I661" s="37">
        <v>24.455649999999999</v>
      </c>
      <c r="J661" s="7"/>
      <c r="K661" s="7" t="str">
        <f>VLOOKUP($E661,Mapping!$E$11:$I$96,3,0)</f>
        <v>Negotiated Capex</v>
      </c>
      <c r="L661" s="7" t="str">
        <f>VLOOKUP($G661,Mapping!$E$140:$K$2771,5,0)</f>
        <v>Contracts</v>
      </c>
      <c r="M661" s="7" t="str">
        <f>VLOOKUP($G661,Mapping!$E$140:$K$2771,7,0)</f>
        <v>ENDirect</v>
      </c>
      <c r="N661" s="7" t="str">
        <f>IFERROR(HLOOKUP(L661,'Calc|Weightings'!$K$5:$M$5,1,0),"Excl")</f>
        <v>Contracts</v>
      </c>
      <c r="O661" s="7" t="str">
        <f>VLOOKUP(E661,Mapping!$E$11:$I$96,5,0)</f>
        <v>Negotiated Capex</v>
      </c>
      <c r="Q661" s="33">
        <v>125</v>
      </c>
      <c r="R661" s="33" t="s">
        <v>2135</v>
      </c>
      <c r="S661" s="33">
        <v>634001</v>
      </c>
      <c r="T661" s="33" t="s">
        <v>2110</v>
      </c>
      <c r="U661" s="34">
        <v>4.5248900000000001</v>
      </c>
      <c r="V661" s="7"/>
      <c r="W661" s="7" t="str">
        <f>VLOOKUP($Q661,Mapping!$E$11:$I$96,3,0)</f>
        <v>Metering Capex</v>
      </c>
      <c r="X661" s="7" t="str">
        <f>VLOOKUP($S661,Mapping!$E$140:$K$2771,5,0)</f>
        <v>Local OH</v>
      </c>
      <c r="Y661" s="7" t="str">
        <f>VLOOKUP($S661,Mapping!$E$140:$K$2771,7,0)</f>
        <v>OH</v>
      </c>
      <c r="Z661" s="7" t="str">
        <f>IFERROR(HLOOKUP(X661,'Calc|Weightings'!$K$5:$M$5,1,0),"Excl")</f>
        <v>Excl</v>
      </c>
      <c r="AA661" s="7" t="str">
        <f>VLOOKUP(Q661,Mapping!$E$11:$I$96,5,0)</f>
        <v>Metering Services</v>
      </c>
      <c r="AC661" s="111">
        <v>121</v>
      </c>
      <c r="AD661" s="111" t="s">
        <v>2392</v>
      </c>
      <c r="AE661" s="111">
        <v>520100</v>
      </c>
      <c r="AF661" s="111" t="s">
        <v>2072</v>
      </c>
      <c r="AG661" s="112">
        <v>222.62638999999999</v>
      </c>
      <c r="AI661" s="7" t="str">
        <f>VLOOKUP($AC661,Mapping!$E$11:$I$96,3,0)</f>
        <v>Connections</v>
      </c>
      <c r="AJ661" s="7" t="str">
        <f>VLOOKUP($AE661,Mapping!$E$140:$K$2771,5,0)</f>
        <v>Materials</v>
      </c>
      <c r="AK661" s="7" t="str">
        <f>VLOOKUP($AE661,Mapping!$E$140:$K$2771,7,0)</f>
        <v>ENDirect</v>
      </c>
      <c r="AL661" s="7" t="str">
        <f>IFERROR(HLOOKUP(AJ661,'Calc|Weightings'!$K$5:$M$5,1,0),"Excl")</f>
        <v>Materials</v>
      </c>
      <c r="AM661" s="7" t="str">
        <f>VLOOKUP(AC661,Mapping!$E$11:$I$96,5,0)</f>
        <v>SCS</v>
      </c>
      <c r="AO661" s="134">
        <v>130</v>
      </c>
      <c r="AP661" s="135" t="s">
        <v>2138</v>
      </c>
      <c r="AQ661" s="135">
        <v>639000</v>
      </c>
      <c r="AR661" s="135" t="s">
        <v>2112</v>
      </c>
      <c r="AS661" s="136">
        <v>5.2787499999999996</v>
      </c>
      <c r="AU661" s="7" t="str">
        <f>VLOOKUP($AO661,Mapping!$E$11:$I$96,3,0)</f>
        <v>Fee Based Opex</v>
      </c>
      <c r="AV661" s="7" t="str">
        <f>VLOOKUP($AQ661,Mapping!$E$140:$K$2771,5,0)</f>
        <v>PNS Corporate OH</v>
      </c>
      <c r="AW661" s="7" t="str">
        <f>VLOOKUP($AQ661,Mapping!$E$140:$K$2771,7,0)</f>
        <v>OH</v>
      </c>
      <c r="AX661" s="7" t="str">
        <f>IFERROR(HLOOKUP(AV661,'Calc|Weightings'!$K$5:$M$5,1,0),"Excl")</f>
        <v>Excl</v>
      </c>
      <c r="AY661" s="7" t="str">
        <f>VLOOKUP(AO661,Mapping!$E$11:$I$96,5,0)</f>
        <v>Ancillary Network Services</v>
      </c>
    </row>
    <row r="662" spans="1:51" x14ac:dyDescent="0.2">
      <c r="A662" s="7"/>
      <c r="B662" s="7"/>
      <c r="C662" s="7"/>
      <c r="D662" s="7"/>
      <c r="E662" s="36">
        <v>120</v>
      </c>
      <c r="F662" s="36" t="s">
        <v>2134</v>
      </c>
      <c r="G662" s="36">
        <v>531467</v>
      </c>
      <c r="H662" s="36" t="s">
        <v>259</v>
      </c>
      <c r="I662" s="37">
        <v>69.177440000000004</v>
      </c>
      <c r="J662" s="7"/>
      <c r="K662" s="7" t="str">
        <f>VLOOKUP($E662,Mapping!$E$11:$I$96,3,0)</f>
        <v>Negotiated Capex</v>
      </c>
      <c r="L662" s="7" t="str">
        <f>VLOOKUP($G662,Mapping!$E$140:$K$2771,5,0)</f>
        <v>Contracts</v>
      </c>
      <c r="M662" s="7" t="str">
        <f>VLOOKUP($G662,Mapping!$E$140:$K$2771,7,0)</f>
        <v>ENDirect</v>
      </c>
      <c r="N662" s="7" t="str">
        <f>IFERROR(HLOOKUP(L662,'Calc|Weightings'!$K$5:$M$5,1,0),"Excl")</f>
        <v>Contracts</v>
      </c>
      <c r="O662" s="7" t="str">
        <f>VLOOKUP(E662,Mapping!$E$11:$I$96,5,0)</f>
        <v>Negotiated Capex</v>
      </c>
      <c r="Q662" s="33">
        <v>125</v>
      </c>
      <c r="R662" s="33" t="s">
        <v>2135</v>
      </c>
      <c r="S662" s="33">
        <v>635001</v>
      </c>
      <c r="T662" s="33" t="s">
        <v>1929</v>
      </c>
      <c r="U662" s="34">
        <v>3.2827199999999999</v>
      </c>
      <c r="V662" s="7"/>
      <c r="W662" s="7" t="str">
        <f>VLOOKUP($Q662,Mapping!$E$11:$I$96,3,0)</f>
        <v>Metering Capex</v>
      </c>
      <c r="X662" s="7" t="str">
        <f>VLOOKUP($S662,Mapping!$E$140:$K$2771,5,0)</f>
        <v>PNS MG</v>
      </c>
      <c r="Y662" s="7" t="str">
        <f>VLOOKUP($S662,Mapping!$E$140:$K$2771,7,0)</f>
        <v>ENDirect</v>
      </c>
      <c r="Z662" s="7" t="str">
        <f>IFERROR(HLOOKUP(X662,'Calc|Weightings'!$K$5:$M$5,1,0),"Excl")</f>
        <v>Excl</v>
      </c>
      <c r="AA662" s="7" t="str">
        <f>VLOOKUP(Q662,Mapping!$E$11:$I$96,5,0)</f>
        <v>Metering Services</v>
      </c>
      <c r="AC662" s="111">
        <v>121</v>
      </c>
      <c r="AD662" s="111" t="s">
        <v>2392</v>
      </c>
      <c r="AE662" s="111">
        <v>520150</v>
      </c>
      <c r="AF662" s="111" t="s">
        <v>2205</v>
      </c>
      <c r="AG662" s="112">
        <v>5.1799999999999999E-2</v>
      </c>
      <c r="AI662" s="7" t="str">
        <f>VLOOKUP($AC662,Mapping!$E$11:$I$96,3,0)</f>
        <v>Connections</v>
      </c>
      <c r="AJ662" s="7" t="str">
        <f>VLOOKUP($AE662,Mapping!$E$140:$K$2771,5,0)</f>
        <v>Materials</v>
      </c>
      <c r="AK662" s="7" t="str">
        <f>VLOOKUP($AE662,Mapping!$E$140:$K$2771,7,0)</f>
        <v>ENDirect</v>
      </c>
      <c r="AL662" s="7" t="str">
        <f>IFERROR(HLOOKUP(AJ662,'Calc|Weightings'!$K$5:$M$5,1,0),"Excl")</f>
        <v>Materials</v>
      </c>
      <c r="AM662" s="7" t="str">
        <f>VLOOKUP(AC662,Mapping!$E$11:$I$96,5,0)</f>
        <v>SCS</v>
      </c>
      <c r="AO662" s="134">
        <v>130</v>
      </c>
      <c r="AP662" s="135" t="s">
        <v>2138</v>
      </c>
      <c r="AQ662" s="135">
        <v>639050</v>
      </c>
      <c r="AR662" s="135" t="s">
        <v>2113</v>
      </c>
      <c r="AS662" s="136">
        <v>0.14094000000000001</v>
      </c>
      <c r="AU662" s="7" t="str">
        <f>VLOOKUP($AO662,Mapping!$E$11:$I$96,3,0)</f>
        <v>Fee Based Opex</v>
      </c>
      <c r="AV662" s="7" t="str">
        <f>VLOOKUP($AQ662,Mapping!$E$140:$K$2771,5,0)</f>
        <v>PNS Fleet &amp; Property OH</v>
      </c>
      <c r="AW662" s="7" t="str">
        <f>VLOOKUP($AQ662,Mapping!$E$140:$K$2771,7,0)</f>
        <v>OH</v>
      </c>
      <c r="AX662" s="7" t="str">
        <f>IFERROR(HLOOKUP(AV662,'Calc|Weightings'!$K$5:$M$5,1,0),"Excl")</f>
        <v>Excl</v>
      </c>
      <c r="AY662" s="7" t="str">
        <f>VLOOKUP(AO662,Mapping!$E$11:$I$96,5,0)</f>
        <v>Ancillary Network Services</v>
      </c>
    </row>
    <row r="663" spans="1:51" x14ac:dyDescent="0.2">
      <c r="A663" s="7"/>
      <c r="B663" s="7"/>
      <c r="C663" s="7"/>
      <c r="D663" s="7"/>
      <c r="E663" s="36">
        <v>120</v>
      </c>
      <c r="F663" s="36" t="s">
        <v>2134</v>
      </c>
      <c r="G663" s="36">
        <v>531468</v>
      </c>
      <c r="H663" s="36" t="s">
        <v>260</v>
      </c>
      <c r="I663" s="37">
        <v>25.95121</v>
      </c>
      <c r="J663" s="7"/>
      <c r="K663" s="7" t="str">
        <f>VLOOKUP($E663,Mapping!$E$11:$I$96,3,0)</f>
        <v>Negotiated Capex</v>
      </c>
      <c r="L663" s="7" t="str">
        <f>VLOOKUP($G663,Mapping!$E$140:$K$2771,5,0)</f>
        <v>Contracts</v>
      </c>
      <c r="M663" s="7" t="str">
        <f>VLOOKUP($G663,Mapping!$E$140:$K$2771,7,0)</f>
        <v>ENDirect</v>
      </c>
      <c r="N663" s="7" t="str">
        <f>IFERROR(HLOOKUP(L663,'Calc|Weightings'!$K$5:$M$5,1,0),"Excl")</f>
        <v>Contracts</v>
      </c>
      <c r="O663" s="7" t="str">
        <f>VLOOKUP(E663,Mapping!$E$11:$I$96,5,0)</f>
        <v>Negotiated Capex</v>
      </c>
      <c r="Q663" s="33">
        <v>125</v>
      </c>
      <c r="R663" s="33" t="s">
        <v>2135</v>
      </c>
      <c r="S663" s="33">
        <v>636001</v>
      </c>
      <c r="T663" s="33" t="s">
        <v>2111</v>
      </c>
      <c r="U663" s="34">
        <v>1.30657</v>
      </c>
      <c r="V663" s="7"/>
      <c r="W663" s="7" t="str">
        <f>VLOOKUP($Q663,Mapping!$E$11:$I$96,3,0)</f>
        <v>Metering Capex</v>
      </c>
      <c r="X663" s="7" t="str">
        <f>VLOOKUP($S663,Mapping!$E$140:$K$2771,5,0)</f>
        <v>System Control OH</v>
      </c>
      <c r="Y663" s="7" t="str">
        <f>VLOOKUP($S663,Mapping!$E$140:$K$2771,7,0)</f>
        <v>OH</v>
      </c>
      <c r="Z663" s="7" t="str">
        <f>IFERROR(HLOOKUP(X663,'Calc|Weightings'!$K$5:$M$5,1,0),"Excl")</f>
        <v>Excl</v>
      </c>
      <c r="AA663" s="7" t="str">
        <f>VLOOKUP(Q663,Mapping!$E$11:$I$96,5,0)</f>
        <v>Metering Services</v>
      </c>
      <c r="AC663" s="111">
        <v>121</v>
      </c>
      <c r="AD663" s="111" t="s">
        <v>2392</v>
      </c>
      <c r="AE663" s="111">
        <v>520200</v>
      </c>
      <c r="AF663" s="111" t="s">
        <v>2073</v>
      </c>
      <c r="AG663" s="112">
        <v>0.67623999999999995</v>
      </c>
      <c r="AI663" s="7" t="str">
        <f>VLOOKUP($AC663,Mapping!$E$11:$I$96,3,0)</f>
        <v>Connections</v>
      </c>
      <c r="AJ663" s="7" t="str">
        <f>VLOOKUP($AE663,Mapping!$E$140:$K$2771,5,0)</f>
        <v>Materials</v>
      </c>
      <c r="AK663" s="7" t="str">
        <f>VLOOKUP($AE663,Mapping!$E$140:$K$2771,7,0)</f>
        <v>ENDirect</v>
      </c>
      <c r="AL663" s="7" t="str">
        <f>IFERROR(HLOOKUP(AJ663,'Calc|Weightings'!$K$5:$M$5,1,0),"Excl")</f>
        <v>Materials</v>
      </c>
      <c r="AM663" s="7" t="str">
        <f>VLOOKUP(AC663,Mapping!$E$11:$I$96,5,0)</f>
        <v>SCS</v>
      </c>
      <c r="AO663" s="134">
        <v>131</v>
      </c>
      <c r="AP663" s="135" t="s">
        <v>2139</v>
      </c>
      <c r="AQ663" s="135">
        <v>503240</v>
      </c>
      <c r="AR663" s="135" t="s">
        <v>169</v>
      </c>
      <c r="AS663" s="136">
        <v>0.1704</v>
      </c>
      <c r="AU663" s="7" t="str">
        <f>VLOOKUP($AO663,Mapping!$E$11:$I$96,3,0)</f>
        <v>Replacement</v>
      </c>
      <c r="AV663" s="7" t="str">
        <f>VLOOKUP($AQ663,Mapping!$E$140:$K$2771,5,0)</f>
        <v>Contracts</v>
      </c>
      <c r="AW663" s="7" t="str">
        <f>VLOOKUP($AQ663,Mapping!$E$140:$K$2771,7,0)</f>
        <v>ENDirect</v>
      </c>
      <c r="AX663" s="7" t="str">
        <f>IFERROR(HLOOKUP(AV663,'Calc|Weightings'!$K$5:$M$5,1,0),"Excl")</f>
        <v>Contracts</v>
      </c>
      <c r="AY663" s="7" t="str">
        <f>VLOOKUP(AO663,Mapping!$E$11:$I$96,5,0)</f>
        <v>SCS</v>
      </c>
    </row>
    <row r="664" spans="1:51" x14ac:dyDescent="0.2">
      <c r="A664" s="7"/>
      <c r="B664" s="7"/>
      <c r="C664" s="7"/>
      <c r="D664" s="7"/>
      <c r="E664" s="36">
        <v>120</v>
      </c>
      <c r="F664" s="36" t="s">
        <v>2134</v>
      </c>
      <c r="G664" s="36">
        <v>531480</v>
      </c>
      <c r="H664" s="36" t="s">
        <v>2076</v>
      </c>
      <c r="I664" s="37">
        <v>0.57599999999999996</v>
      </c>
      <c r="J664" s="7"/>
      <c r="K664" s="7" t="str">
        <f>VLOOKUP($E664,Mapping!$E$11:$I$96,3,0)</f>
        <v>Negotiated Capex</v>
      </c>
      <c r="L664" s="7" t="str">
        <f>VLOOKUP($G664,Mapping!$E$140:$K$2771,5,0)</f>
        <v>Labour</v>
      </c>
      <c r="M664" s="7" t="str">
        <f>VLOOKUP($G664,Mapping!$E$140:$K$2771,7,0)</f>
        <v>ENDirect</v>
      </c>
      <c r="N664" s="7" t="str">
        <f>IFERROR(HLOOKUP(L664,'Calc|Weightings'!$K$5:$M$5,1,0),"Excl")</f>
        <v>Labour</v>
      </c>
      <c r="O664" s="7" t="str">
        <f>VLOOKUP(E664,Mapping!$E$11:$I$96,5,0)</f>
        <v>Negotiated Capex</v>
      </c>
      <c r="Q664" s="33">
        <v>125</v>
      </c>
      <c r="R664" s="33" t="s">
        <v>2135</v>
      </c>
      <c r="S664" s="33">
        <v>639000</v>
      </c>
      <c r="T664" s="33" t="s">
        <v>2112</v>
      </c>
      <c r="U664" s="34">
        <v>61.93844</v>
      </c>
      <c r="V664" s="7"/>
      <c r="W664" s="7" t="str">
        <f>VLOOKUP($Q664,Mapping!$E$11:$I$96,3,0)</f>
        <v>Metering Capex</v>
      </c>
      <c r="X664" s="7" t="str">
        <f>VLOOKUP($S664,Mapping!$E$140:$K$2771,5,0)</f>
        <v>PNS Corporate OH</v>
      </c>
      <c r="Y664" s="7" t="str">
        <f>VLOOKUP($S664,Mapping!$E$140:$K$2771,7,0)</f>
        <v>OH</v>
      </c>
      <c r="Z664" s="7" t="str">
        <f>IFERROR(HLOOKUP(X664,'Calc|Weightings'!$K$5:$M$5,1,0),"Excl")</f>
        <v>Excl</v>
      </c>
      <c r="AA664" s="7" t="str">
        <f>VLOOKUP(Q664,Mapping!$E$11:$I$96,5,0)</f>
        <v>Metering Services</v>
      </c>
      <c r="AC664" s="111">
        <v>121</v>
      </c>
      <c r="AD664" s="111" t="s">
        <v>2392</v>
      </c>
      <c r="AE664" s="111">
        <v>523100</v>
      </c>
      <c r="AF664" s="111" t="s">
        <v>2074</v>
      </c>
      <c r="AG664" s="112">
        <v>1.98308</v>
      </c>
      <c r="AI664" s="7" t="str">
        <f>VLOOKUP($AC664,Mapping!$E$11:$I$96,3,0)</f>
        <v>Connections</v>
      </c>
      <c r="AJ664" s="7" t="str">
        <f>VLOOKUP($AE664,Mapping!$E$140:$K$2771,5,0)</f>
        <v>Materials</v>
      </c>
      <c r="AK664" s="7" t="str">
        <f>VLOOKUP($AE664,Mapping!$E$140:$K$2771,7,0)</f>
        <v>ENDirect</v>
      </c>
      <c r="AL664" s="7" t="str">
        <f>IFERROR(HLOOKUP(AJ664,'Calc|Weightings'!$K$5:$M$5,1,0),"Excl")</f>
        <v>Materials</v>
      </c>
      <c r="AM664" s="7" t="str">
        <f>VLOOKUP(AC664,Mapping!$E$11:$I$96,5,0)</f>
        <v>SCS</v>
      </c>
      <c r="AO664" s="134">
        <v>131</v>
      </c>
      <c r="AP664" s="135" t="s">
        <v>2139</v>
      </c>
      <c r="AQ664" s="135">
        <v>520100</v>
      </c>
      <c r="AR664" s="135" t="s">
        <v>2072</v>
      </c>
      <c r="AS664" s="136">
        <v>182.73383999999999</v>
      </c>
      <c r="AU664" s="7" t="str">
        <f>VLOOKUP($AO664,Mapping!$E$11:$I$96,3,0)</f>
        <v>Replacement</v>
      </c>
      <c r="AV664" s="7" t="str">
        <f>VLOOKUP($AQ664,Mapping!$E$140:$K$2771,5,0)</f>
        <v>Materials</v>
      </c>
      <c r="AW664" s="7" t="str">
        <f>VLOOKUP($AQ664,Mapping!$E$140:$K$2771,7,0)</f>
        <v>ENDirect</v>
      </c>
      <c r="AX664" s="7" t="str">
        <f>IFERROR(HLOOKUP(AV664,'Calc|Weightings'!$K$5:$M$5,1,0),"Excl")</f>
        <v>Materials</v>
      </c>
      <c r="AY664" s="7" t="str">
        <f>VLOOKUP(AO664,Mapping!$E$11:$I$96,5,0)</f>
        <v>SCS</v>
      </c>
    </row>
    <row r="665" spans="1:51" x14ac:dyDescent="0.2">
      <c r="A665" s="7"/>
      <c r="B665" s="7"/>
      <c r="C665" s="7"/>
      <c r="D665" s="7"/>
      <c r="E665" s="36">
        <v>120</v>
      </c>
      <c r="F665" s="36" t="s">
        <v>2134</v>
      </c>
      <c r="G665" s="36">
        <v>531485</v>
      </c>
      <c r="H665" s="36" t="s">
        <v>2350</v>
      </c>
      <c r="I665" s="37">
        <v>-19.567499999999999</v>
      </c>
      <c r="J665" s="7"/>
      <c r="K665" s="7" t="str">
        <f>VLOOKUP($E665,Mapping!$E$11:$I$96,3,0)</f>
        <v>Negotiated Capex</v>
      </c>
      <c r="L665" s="7" t="str">
        <f>VLOOKUP($G665,Mapping!$E$140:$K$2771,5,0)</f>
        <v>Contracts</v>
      </c>
      <c r="M665" s="7" t="str">
        <f>VLOOKUP($G665,Mapping!$E$140:$K$2771,7,0)</f>
        <v>ENDirect</v>
      </c>
      <c r="N665" s="7" t="str">
        <f>IFERROR(HLOOKUP(L665,'Calc|Weightings'!$K$5:$M$5,1,0),"Excl")</f>
        <v>Contracts</v>
      </c>
      <c r="O665" s="7" t="str">
        <f>VLOOKUP(E665,Mapping!$E$11:$I$96,5,0)</f>
        <v>Negotiated Capex</v>
      </c>
      <c r="Q665" s="33">
        <v>125</v>
      </c>
      <c r="R665" s="33" t="s">
        <v>2135</v>
      </c>
      <c r="S665" s="33">
        <v>639050</v>
      </c>
      <c r="T665" s="33" t="s">
        <v>2113</v>
      </c>
      <c r="U665" s="34">
        <v>0.64793999999999996</v>
      </c>
      <c r="V665" s="7"/>
      <c r="W665" s="7" t="str">
        <f>VLOOKUP($Q665,Mapping!$E$11:$I$96,3,0)</f>
        <v>Metering Capex</v>
      </c>
      <c r="X665" s="7" t="str">
        <f>VLOOKUP($S665,Mapping!$E$140:$K$2771,5,0)</f>
        <v>PNS Fleet &amp; Property OH</v>
      </c>
      <c r="Y665" s="7" t="str">
        <f>VLOOKUP($S665,Mapping!$E$140:$K$2771,7,0)</f>
        <v>OH</v>
      </c>
      <c r="Z665" s="7" t="str">
        <f>IFERROR(HLOOKUP(X665,'Calc|Weightings'!$K$5:$M$5,1,0),"Excl")</f>
        <v>Excl</v>
      </c>
      <c r="AA665" s="7" t="str">
        <f>VLOOKUP(Q665,Mapping!$E$11:$I$96,5,0)</f>
        <v>Metering Services</v>
      </c>
      <c r="AC665" s="111">
        <v>121</v>
      </c>
      <c r="AD665" s="111" t="s">
        <v>2392</v>
      </c>
      <c r="AE665" s="111">
        <v>531200</v>
      </c>
      <c r="AF665" s="111" t="s">
        <v>250</v>
      </c>
      <c r="AG665" s="112">
        <v>0.58009999999999995</v>
      </c>
      <c r="AI665" s="7" t="str">
        <f>VLOOKUP($AC665,Mapping!$E$11:$I$96,3,0)</f>
        <v>Connections</v>
      </c>
      <c r="AJ665" s="7" t="str">
        <f>VLOOKUP($AE665,Mapping!$E$140:$K$2771,5,0)</f>
        <v>Contracts</v>
      </c>
      <c r="AK665" s="7" t="str">
        <f>VLOOKUP($AE665,Mapping!$E$140:$K$2771,7,0)</f>
        <v>ENDirect</v>
      </c>
      <c r="AL665" s="7" t="str">
        <f>IFERROR(HLOOKUP(AJ665,'Calc|Weightings'!$K$5:$M$5,1,0),"Excl")</f>
        <v>Contracts</v>
      </c>
      <c r="AM665" s="7" t="str">
        <f>VLOOKUP(AC665,Mapping!$E$11:$I$96,5,0)</f>
        <v>SCS</v>
      </c>
      <c r="AO665" s="134">
        <v>131</v>
      </c>
      <c r="AP665" s="135" t="s">
        <v>2139</v>
      </c>
      <c r="AQ665" s="135">
        <v>522100</v>
      </c>
      <c r="AR665" s="135" t="s">
        <v>2115</v>
      </c>
      <c r="AS665" s="136">
        <v>2.5000000000000001E-2</v>
      </c>
      <c r="AU665" s="7" t="str">
        <f>VLOOKUP($AO665,Mapping!$E$11:$I$96,3,0)</f>
        <v>Replacement</v>
      </c>
      <c r="AV665" s="7" t="str">
        <f>VLOOKUP($AQ665,Mapping!$E$140:$K$2771,5,0)</f>
        <v>Materials</v>
      </c>
      <c r="AW665" s="7" t="str">
        <f>VLOOKUP($AQ665,Mapping!$E$140:$K$2771,7,0)</f>
        <v>ENDirect</v>
      </c>
      <c r="AX665" s="7" t="str">
        <f>IFERROR(HLOOKUP(AV665,'Calc|Weightings'!$K$5:$M$5,1,0),"Excl")</f>
        <v>Materials</v>
      </c>
      <c r="AY665" s="7" t="str">
        <f>VLOOKUP(AO665,Mapping!$E$11:$I$96,5,0)</f>
        <v>SCS</v>
      </c>
    </row>
    <row r="666" spans="1:51" x14ac:dyDescent="0.2">
      <c r="A666" s="7"/>
      <c r="B666" s="7"/>
      <c r="C666" s="7"/>
      <c r="D666" s="7"/>
      <c r="E666" s="36">
        <v>120</v>
      </c>
      <c r="F666" s="36" t="s">
        <v>2134</v>
      </c>
      <c r="G666" s="36">
        <v>531495</v>
      </c>
      <c r="H666" s="36" t="s">
        <v>2353</v>
      </c>
      <c r="I666" s="37">
        <v>0.62944999999999995</v>
      </c>
      <c r="J666" s="7"/>
      <c r="K666" s="7" t="str">
        <f>VLOOKUP($E666,Mapping!$E$11:$I$96,3,0)</f>
        <v>Negotiated Capex</v>
      </c>
      <c r="L666" s="7" t="str">
        <f>VLOOKUP($G666,Mapping!$E$140:$K$2771,5,0)</f>
        <v>Contracts</v>
      </c>
      <c r="M666" s="7" t="str">
        <f>VLOOKUP($G666,Mapping!$E$140:$K$2771,7,0)</f>
        <v>ENDirect</v>
      </c>
      <c r="N666" s="7" t="str">
        <f>IFERROR(HLOOKUP(L666,'Calc|Weightings'!$K$5:$M$5,1,0),"Excl")</f>
        <v>Contracts</v>
      </c>
      <c r="O666" s="7" t="str">
        <f>VLOOKUP(E666,Mapping!$E$11:$I$96,5,0)</f>
        <v>Negotiated Capex</v>
      </c>
      <c r="Q666" s="33">
        <v>126</v>
      </c>
      <c r="R666" s="33" t="s">
        <v>2136</v>
      </c>
      <c r="S666" s="33">
        <v>604149</v>
      </c>
      <c r="T666" s="33" t="s">
        <v>485</v>
      </c>
      <c r="U666" s="34">
        <v>34.980020000000003</v>
      </c>
      <c r="V666" s="7"/>
      <c r="W666" s="7" t="str">
        <f>VLOOKUP($Q666,Mapping!$E$11:$I$96,3,0)</f>
        <v>Metering Opex</v>
      </c>
      <c r="X666" s="7" t="str">
        <f>VLOOKUP($S666,Mapping!$E$140:$K$2771,5,0)</f>
        <v>Contracts</v>
      </c>
      <c r="Y666" s="7" t="str">
        <f>VLOOKUP($S666,Mapping!$E$140:$K$2771,7,0)</f>
        <v>ENDirect</v>
      </c>
      <c r="Z666" s="7" t="str">
        <f>IFERROR(HLOOKUP(X666,'Calc|Weightings'!$K$5:$M$5,1,0),"Excl")</f>
        <v>Contracts</v>
      </c>
      <c r="AA666" s="7" t="str">
        <f>VLOOKUP(Q666,Mapping!$E$11:$I$96,5,0)</f>
        <v>Connection Services</v>
      </c>
      <c r="AC666" s="111">
        <v>121</v>
      </c>
      <c r="AD666" s="111" t="s">
        <v>2392</v>
      </c>
      <c r="AE666" s="111">
        <v>531464</v>
      </c>
      <c r="AF666" s="111" t="s">
        <v>256</v>
      </c>
      <c r="AG666" s="112">
        <v>78.388779999999997</v>
      </c>
      <c r="AI666" s="7" t="str">
        <f>VLOOKUP($AC666,Mapping!$E$11:$I$96,3,0)</f>
        <v>Connections</v>
      </c>
      <c r="AJ666" s="7" t="str">
        <f>VLOOKUP($AE666,Mapping!$E$140:$K$2771,5,0)</f>
        <v>Contracts</v>
      </c>
      <c r="AK666" s="7" t="str">
        <f>VLOOKUP($AE666,Mapping!$E$140:$K$2771,7,0)</f>
        <v>ENDirect</v>
      </c>
      <c r="AL666" s="7" t="str">
        <f>IFERROR(HLOOKUP(AJ666,'Calc|Weightings'!$K$5:$M$5,1,0),"Excl")</f>
        <v>Contracts</v>
      </c>
      <c r="AM666" s="7" t="str">
        <f>VLOOKUP(AC666,Mapping!$E$11:$I$96,5,0)</f>
        <v>SCS</v>
      </c>
      <c r="AO666" s="134">
        <v>131</v>
      </c>
      <c r="AP666" s="135" t="s">
        <v>2139</v>
      </c>
      <c r="AQ666" s="135">
        <v>523100</v>
      </c>
      <c r="AR666" s="135" t="s">
        <v>2074</v>
      </c>
      <c r="AS666" s="136">
        <v>1.5161500000000001</v>
      </c>
      <c r="AU666" s="7" t="str">
        <f>VLOOKUP($AO666,Mapping!$E$11:$I$96,3,0)</f>
        <v>Replacement</v>
      </c>
      <c r="AV666" s="7" t="str">
        <f>VLOOKUP($AQ666,Mapping!$E$140:$K$2771,5,0)</f>
        <v>Materials</v>
      </c>
      <c r="AW666" s="7" t="str">
        <f>VLOOKUP($AQ666,Mapping!$E$140:$K$2771,7,0)</f>
        <v>ENDirect</v>
      </c>
      <c r="AX666" s="7" t="str">
        <f>IFERROR(HLOOKUP(AV666,'Calc|Weightings'!$K$5:$M$5,1,0),"Excl")</f>
        <v>Materials</v>
      </c>
      <c r="AY666" s="7" t="str">
        <f>VLOOKUP(AO666,Mapping!$E$11:$I$96,5,0)</f>
        <v>SCS</v>
      </c>
    </row>
    <row r="667" spans="1:51" x14ac:dyDescent="0.2">
      <c r="A667" s="7"/>
      <c r="B667" s="7"/>
      <c r="C667" s="7"/>
      <c r="D667" s="7"/>
      <c r="E667" s="36">
        <v>120</v>
      </c>
      <c r="F667" s="36" t="s">
        <v>2134</v>
      </c>
      <c r="G667" s="36">
        <v>591997</v>
      </c>
      <c r="H667" s="36" t="s">
        <v>2194</v>
      </c>
      <c r="I667" s="37">
        <v>-11.86421</v>
      </c>
      <c r="J667" s="7"/>
      <c r="K667" s="7" t="str">
        <f>VLOOKUP($E667,Mapping!$E$11:$I$96,3,0)</f>
        <v>Negotiated Capex</v>
      </c>
      <c r="L667" s="7" t="str">
        <f>VLOOKUP($G667,Mapping!$E$140:$K$2771,5,0)</f>
        <v>Contracts</v>
      </c>
      <c r="M667" s="7" t="str">
        <f>VLOOKUP($G667,Mapping!$E$140:$K$2771,7,0)</f>
        <v>ENDirect</v>
      </c>
      <c r="N667" s="7" t="str">
        <f>IFERROR(HLOOKUP(L667,'Calc|Weightings'!$K$5:$M$5,1,0),"Excl")</f>
        <v>Contracts</v>
      </c>
      <c r="O667" s="7" t="str">
        <f>VLOOKUP(E667,Mapping!$E$11:$I$96,5,0)</f>
        <v>Negotiated Capex</v>
      </c>
      <c r="Q667" s="33">
        <v>126</v>
      </c>
      <c r="R667" s="33" t="s">
        <v>2136</v>
      </c>
      <c r="S667" s="33">
        <v>604152</v>
      </c>
      <c r="T667" s="33" t="s">
        <v>486</v>
      </c>
      <c r="U667" s="34">
        <v>419.62916999999999</v>
      </c>
      <c r="V667" s="7"/>
      <c r="W667" s="7" t="str">
        <f>VLOOKUP($Q667,Mapping!$E$11:$I$96,3,0)</f>
        <v>Metering Opex</v>
      </c>
      <c r="X667" s="7" t="str">
        <f>VLOOKUP($S667,Mapping!$E$140:$K$2771,5,0)</f>
        <v>Contracts</v>
      </c>
      <c r="Y667" s="7" t="str">
        <f>VLOOKUP($S667,Mapping!$E$140:$K$2771,7,0)</f>
        <v>ENDirect</v>
      </c>
      <c r="Z667" s="7" t="str">
        <f>IFERROR(HLOOKUP(X667,'Calc|Weightings'!$K$5:$M$5,1,0),"Excl")</f>
        <v>Contracts</v>
      </c>
      <c r="AA667" s="7" t="str">
        <f>VLOOKUP(Q667,Mapping!$E$11:$I$96,5,0)</f>
        <v>Connection Services</v>
      </c>
      <c r="AC667" s="111">
        <v>121</v>
      </c>
      <c r="AD667" s="111" t="s">
        <v>2392</v>
      </c>
      <c r="AE667" s="111">
        <v>531466</v>
      </c>
      <c r="AF667" s="111" t="s">
        <v>258</v>
      </c>
      <c r="AG667" s="112">
        <v>87.16422</v>
      </c>
      <c r="AI667" s="7" t="str">
        <f>VLOOKUP($AC667,Mapping!$E$11:$I$96,3,0)</f>
        <v>Connections</v>
      </c>
      <c r="AJ667" s="7" t="str">
        <f>VLOOKUP($AE667,Mapping!$E$140:$K$2771,5,0)</f>
        <v>Contracts</v>
      </c>
      <c r="AK667" s="7" t="str">
        <f>VLOOKUP($AE667,Mapping!$E$140:$K$2771,7,0)</f>
        <v>ENDirect</v>
      </c>
      <c r="AL667" s="7" t="str">
        <f>IFERROR(HLOOKUP(AJ667,'Calc|Weightings'!$K$5:$M$5,1,0),"Excl")</f>
        <v>Contracts</v>
      </c>
      <c r="AM667" s="7" t="str">
        <f>VLOOKUP(AC667,Mapping!$E$11:$I$96,5,0)</f>
        <v>SCS</v>
      </c>
      <c r="AO667" s="134">
        <v>131</v>
      </c>
      <c r="AP667" s="135" t="s">
        <v>2139</v>
      </c>
      <c r="AQ667" s="135">
        <v>523300</v>
      </c>
      <c r="AR667" s="135" t="s">
        <v>2075</v>
      </c>
      <c r="AS667" s="136">
        <v>7.24472</v>
      </c>
      <c r="AU667" s="7" t="str">
        <f>VLOOKUP($AO667,Mapping!$E$11:$I$96,3,0)</f>
        <v>Replacement</v>
      </c>
      <c r="AV667" s="7" t="str">
        <f>VLOOKUP($AQ667,Mapping!$E$140:$K$2771,5,0)</f>
        <v>Materials</v>
      </c>
      <c r="AW667" s="7" t="str">
        <f>VLOOKUP($AQ667,Mapping!$E$140:$K$2771,7,0)</f>
        <v>ENDirect</v>
      </c>
      <c r="AX667" s="7" t="str">
        <f>IFERROR(HLOOKUP(AV667,'Calc|Weightings'!$K$5:$M$5,1,0),"Excl")</f>
        <v>Materials</v>
      </c>
      <c r="AY667" s="7" t="str">
        <f>VLOOKUP(AO667,Mapping!$E$11:$I$96,5,0)</f>
        <v>SCS</v>
      </c>
    </row>
    <row r="668" spans="1:51" x14ac:dyDescent="0.2">
      <c r="A668" s="7"/>
      <c r="B668" s="7"/>
      <c r="C668" s="7"/>
      <c r="D668" s="7"/>
      <c r="E668" s="36">
        <v>120</v>
      </c>
      <c r="F668" s="36" t="s">
        <v>2134</v>
      </c>
      <c r="G668" s="36">
        <v>591998</v>
      </c>
      <c r="H668" s="36" t="s">
        <v>2077</v>
      </c>
      <c r="I668" s="37">
        <v>-3.3030499999999998</v>
      </c>
      <c r="J668" s="7"/>
      <c r="K668" s="7" t="str">
        <f>VLOOKUP($E668,Mapping!$E$11:$I$96,3,0)</f>
        <v>Negotiated Capex</v>
      </c>
      <c r="L668" s="7" t="str">
        <f>VLOOKUP($G668,Mapping!$E$140:$K$2771,5,0)</f>
        <v>Contracts</v>
      </c>
      <c r="M668" s="7" t="str">
        <f>VLOOKUP($G668,Mapping!$E$140:$K$2771,7,0)</f>
        <v>ENDirect</v>
      </c>
      <c r="N668" s="7" t="str">
        <f>IFERROR(HLOOKUP(L668,'Calc|Weightings'!$K$5:$M$5,1,0),"Excl")</f>
        <v>Contracts</v>
      </c>
      <c r="O668" s="7" t="str">
        <f>VLOOKUP(E668,Mapping!$E$11:$I$96,5,0)</f>
        <v>Negotiated Capex</v>
      </c>
      <c r="Q668" s="33">
        <v>126</v>
      </c>
      <c r="R668" s="33" t="s">
        <v>2136</v>
      </c>
      <c r="S668" s="33">
        <v>613466</v>
      </c>
      <c r="T668" s="33" t="s">
        <v>631</v>
      </c>
      <c r="U668" s="34">
        <v>0.12744</v>
      </c>
      <c r="V668" s="7"/>
      <c r="W668" s="7" t="str">
        <f>VLOOKUP($Q668,Mapping!$E$11:$I$96,3,0)</f>
        <v>Metering Opex</v>
      </c>
      <c r="X668" s="7" t="str">
        <f>VLOOKUP($S668,Mapping!$E$140:$K$2771,5,0)</f>
        <v>Contracts</v>
      </c>
      <c r="Y668" s="7" t="str">
        <f>VLOOKUP($S668,Mapping!$E$140:$K$2771,7,0)</f>
        <v>ENDirect</v>
      </c>
      <c r="Z668" s="7" t="str">
        <f>IFERROR(HLOOKUP(X668,'Calc|Weightings'!$K$5:$M$5,1,0),"Excl")</f>
        <v>Contracts</v>
      </c>
      <c r="AA668" s="7" t="str">
        <f>VLOOKUP(Q668,Mapping!$E$11:$I$96,5,0)</f>
        <v>Connection Services</v>
      </c>
      <c r="AC668" s="111">
        <v>121</v>
      </c>
      <c r="AD668" s="111" t="s">
        <v>2392</v>
      </c>
      <c r="AE668" s="111">
        <v>531467</v>
      </c>
      <c r="AF668" s="111" t="s">
        <v>259</v>
      </c>
      <c r="AG668" s="112">
        <v>35.783090000000001</v>
      </c>
      <c r="AI668" s="7" t="str">
        <f>VLOOKUP($AC668,Mapping!$E$11:$I$96,3,0)</f>
        <v>Connections</v>
      </c>
      <c r="AJ668" s="7" t="str">
        <f>VLOOKUP($AE668,Mapping!$E$140:$K$2771,5,0)</f>
        <v>Contracts</v>
      </c>
      <c r="AK668" s="7" t="str">
        <f>VLOOKUP($AE668,Mapping!$E$140:$K$2771,7,0)</f>
        <v>ENDirect</v>
      </c>
      <c r="AL668" s="7" t="str">
        <f>IFERROR(HLOOKUP(AJ668,'Calc|Weightings'!$K$5:$M$5,1,0),"Excl")</f>
        <v>Contracts</v>
      </c>
      <c r="AM668" s="7" t="str">
        <f>VLOOKUP(AC668,Mapping!$E$11:$I$96,5,0)</f>
        <v>SCS</v>
      </c>
      <c r="AO668" s="134">
        <v>131</v>
      </c>
      <c r="AP668" s="135" t="s">
        <v>2139</v>
      </c>
      <c r="AQ668" s="135">
        <v>531000</v>
      </c>
      <c r="AR668" s="135" t="s">
        <v>242</v>
      </c>
      <c r="AS668" s="136">
        <v>33.242899999999999</v>
      </c>
      <c r="AU668" s="7" t="str">
        <f>VLOOKUP($AO668,Mapping!$E$11:$I$96,3,0)</f>
        <v>Replacement</v>
      </c>
      <c r="AV668" s="7" t="str">
        <f>VLOOKUP($AQ668,Mapping!$E$140:$K$2771,5,0)</f>
        <v>Contracts</v>
      </c>
      <c r="AW668" s="7" t="str">
        <f>VLOOKUP($AQ668,Mapping!$E$140:$K$2771,7,0)</f>
        <v>ENDirect</v>
      </c>
      <c r="AX668" s="7" t="str">
        <f>IFERROR(HLOOKUP(AV668,'Calc|Weightings'!$K$5:$M$5,1,0),"Excl")</f>
        <v>Contracts</v>
      </c>
      <c r="AY668" s="7" t="str">
        <f>VLOOKUP(AO668,Mapping!$E$11:$I$96,5,0)</f>
        <v>SCS</v>
      </c>
    </row>
    <row r="669" spans="1:51" x14ac:dyDescent="0.2">
      <c r="A669" s="7"/>
      <c r="B669" s="7"/>
      <c r="C669" s="7"/>
      <c r="D669" s="7"/>
      <c r="E669" s="36">
        <v>120</v>
      </c>
      <c r="F669" s="36" t="s">
        <v>2134</v>
      </c>
      <c r="G669" s="36">
        <v>591999</v>
      </c>
      <c r="H669" s="36" t="s">
        <v>2195</v>
      </c>
      <c r="I669" s="37">
        <v>-54.919719999999998</v>
      </c>
      <c r="J669" s="7"/>
      <c r="K669" s="7" t="str">
        <f>VLOOKUP($E669,Mapping!$E$11:$I$96,3,0)</f>
        <v>Negotiated Capex</v>
      </c>
      <c r="L669" s="7" t="str">
        <f>VLOOKUP($G669,Mapping!$E$140:$K$2771,5,0)</f>
        <v>Contracts</v>
      </c>
      <c r="M669" s="7" t="str">
        <f>VLOOKUP($G669,Mapping!$E$140:$K$2771,7,0)</f>
        <v>ENDirect</v>
      </c>
      <c r="N669" s="7" t="str">
        <f>IFERROR(HLOOKUP(L669,'Calc|Weightings'!$K$5:$M$5,1,0),"Excl")</f>
        <v>Contracts</v>
      </c>
      <c r="O669" s="7" t="str">
        <f>VLOOKUP(E669,Mapping!$E$11:$I$96,5,0)</f>
        <v>Negotiated Capex</v>
      </c>
      <c r="Q669" s="33">
        <v>126</v>
      </c>
      <c r="R669" s="33" t="s">
        <v>2136</v>
      </c>
      <c r="S669" s="33">
        <v>613805</v>
      </c>
      <c r="T669" s="33" t="s">
        <v>1594</v>
      </c>
      <c r="U669" s="34">
        <v>263.09987999999998</v>
      </c>
      <c r="V669" s="7"/>
      <c r="W669" s="7" t="str">
        <f>VLOOKUP($Q669,Mapping!$E$11:$I$96,3,0)</f>
        <v>Metering Opex</v>
      </c>
      <c r="X669" s="7" t="str">
        <f>VLOOKUP($S669,Mapping!$E$140:$K$2771,5,0)</f>
        <v>Contracts</v>
      </c>
      <c r="Y669" s="7" t="str">
        <f>VLOOKUP($S669,Mapping!$E$140:$K$2771,7,0)</f>
        <v>ENDirect</v>
      </c>
      <c r="Z669" s="7" t="str">
        <f>IFERROR(HLOOKUP(X669,'Calc|Weightings'!$K$5:$M$5,1,0),"Excl")</f>
        <v>Contracts</v>
      </c>
      <c r="AA669" s="7" t="str">
        <f>VLOOKUP(Q669,Mapping!$E$11:$I$96,5,0)</f>
        <v>Connection Services</v>
      </c>
      <c r="AC669" s="111">
        <v>121</v>
      </c>
      <c r="AD669" s="111" t="s">
        <v>2392</v>
      </c>
      <c r="AE669" s="111">
        <v>531468</v>
      </c>
      <c r="AF669" s="111" t="s">
        <v>260</v>
      </c>
      <c r="AG669" s="112">
        <v>24.215990000000001</v>
      </c>
      <c r="AI669" s="7" t="str">
        <f>VLOOKUP($AC669,Mapping!$E$11:$I$96,3,0)</f>
        <v>Connections</v>
      </c>
      <c r="AJ669" s="7" t="str">
        <f>VLOOKUP($AE669,Mapping!$E$140:$K$2771,5,0)</f>
        <v>Contracts</v>
      </c>
      <c r="AK669" s="7" t="str">
        <f>VLOOKUP($AE669,Mapping!$E$140:$K$2771,7,0)</f>
        <v>ENDirect</v>
      </c>
      <c r="AL669" s="7" t="str">
        <f>IFERROR(HLOOKUP(AJ669,'Calc|Weightings'!$K$5:$M$5,1,0),"Excl")</f>
        <v>Contracts</v>
      </c>
      <c r="AM669" s="7" t="str">
        <f>VLOOKUP(AC669,Mapping!$E$11:$I$96,5,0)</f>
        <v>SCS</v>
      </c>
      <c r="AO669" s="134">
        <v>131</v>
      </c>
      <c r="AP669" s="135" t="s">
        <v>2139</v>
      </c>
      <c r="AQ669" s="135">
        <v>531020</v>
      </c>
      <c r="AR669" s="135" t="s">
        <v>219</v>
      </c>
      <c r="AS669" s="136">
        <v>68.487099999999998</v>
      </c>
      <c r="AU669" s="7" t="str">
        <f>VLOOKUP($AO669,Mapping!$E$11:$I$96,3,0)</f>
        <v>Replacement</v>
      </c>
      <c r="AV669" s="7" t="str">
        <f>VLOOKUP($AQ669,Mapping!$E$140:$K$2771,5,0)</f>
        <v>Labour</v>
      </c>
      <c r="AW669" s="7" t="str">
        <f>VLOOKUP($AQ669,Mapping!$E$140:$K$2771,7,0)</f>
        <v>ENDirect</v>
      </c>
      <c r="AX669" s="7" t="str">
        <f>IFERROR(HLOOKUP(AV669,'Calc|Weightings'!$K$5:$M$5,1,0),"Excl")</f>
        <v>Labour</v>
      </c>
      <c r="AY669" s="7" t="str">
        <f>VLOOKUP(AO669,Mapping!$E$11:$I$96,5,0)</f>
        <v>SCS</v>
      </c>
    </row>
    <row r="670" spans="1:51" x14ac:dyDescent="0.2">
      <c r="A670" s="7"/>
      <c r="B670" s="7"/>
      <c r="C670" s="7"/>
      <c r="D670" s="7"/>
      <c r="E670" s="36">
        <v>120</v>
      </c>
      <c r="F670" s="36" t="s">
        <v>2134</v>
      </c>
      <c r="G670" s="36">
        <v>611900</v>
      </c>
      <c r="H670" s="36" t="s">
        <v>2079</v>
      </c>
      <c r="I670" s="37">
        <v>5.44062</v>
      </c>
      <c r="J670" s="7"/>
      <c r="K670" s="7" t="str">
        <f>VLOOKUP($E670,Mapping!$E$11:$I$96,3,0)</f>
        <v>Negotiated Capex</v>
      </c>
      <c r="L670" s="7" t="str">
        <f>VLOOKUP($G670,Mapping!$E$140:$K$2771,5,0)</f>
        <v>Contracts</v>
      </c>
      <c r="M670" s="7" t="str">
        <f>VLOOKUP($G670,Mapping!$E$140:$K$2771,7,0)</f>
        <v>ENDirect</v>
      </c>
      <c r="N670" s="7" t="str">
        <f>IFERROR(HLOOKUP(L670,'Calc|Weightings'!$K$5:$M$5,1,0),"Excl")</f>
        <v>Contracts</v>
      </c>
      <c r="O670" s="7" t="str">
        <f>VLOOKUP(E670,Mapping!$E$11:$I$96,5,0)</f>
        <v>Negotiated Capex</v>
      </c>
      <c r="Q670" s="33">
        <v>126</v>
      </c>
      <c r="R670" s="33" t="s">
        <v>2136</v>
      </c>
      <c r="S670" s="33">
        <v>613807</v>
      </c>
      <c r="T670" s="33" t="s">
        <v>662</v>
      </c>
      <c r="U670" s="34">
        <v>134.35425000000001</v>
      </c>
      <c r="V670" s="7"/>
      <c r="W670" s="7" t="str">
        <f>VLOOKUP($Q670,Mapping!$E$11:$I$96,3,0)</f>
        <v>Metering Opex</v>
      </c>
      <c r="X670" s="7" t="str">
        <f>VLOOKUP($S670,Mapping!$E$140:$K$2771,5,0)</f>
        <v>Contracts</v>
      </c>
      <c r="Y670" s="7" t="str">
        <f>VLOOKUP($S670,Mapping!$E$140:$K$2771,7,0)</f>
        <v>ENDirect</v>
      </c>
      <c r="Z670" s="7" t="str">
        <f>IFERROR(HLOOKUP(X670,'Calc|Weightings'!$K$5:$M$5,1,0),"Excl")</f>
        <v>Contracts</v>
      </c>
      <c r="AA670" s="7" t="str">
        <f>VLOOKUP(Q670,Mapping!$E$11:$I$96,5,0)</f>
        <v>Connection Services</v>
      </c>
      <c r="AC670" s="111">
        <v>121</v>
      </c>
      <c r="AD670" s="111" t="s">
        <v>2392</v>
      </c>
      <c r="AE670" s="111">
        <v>611900</v>
      </c>
      <c r="AF670" s="111" t="s">
        <v>2079</v>
      </c>
      <c r="AG670" s="112">
        <v>1.7981400000000001</v>
      </c>
      <c r="AI670" s="7" t="str">
        <f>VLOOKUP($AC670,Mapping!$E$11:$I$96,3,0)</f>
        <v>Connections</v>
      </c>
      <c r="AJ670" s="7" t="str">
        <f>VLOOKUP($AE670,Mapping!$E$140:$K$2771,5,0)</f>
        <v>Contracts</v>
      </c>
      <c r="AK670" s="7" t="str">
        <f>VLOOKUP($AE670,Mapping!$E$140:$K$2771,7,0)</f>
        <v>ENDirect</v>
      </c>
      <c r="AL670" s="7" t="str">
        <f>IFERROR(HLOOKUP(AJ670,'Calc|Weightings'!$K$5:$M$5,1,0),"Excl")</f>
        <v>Contracts</v>
      </c>
      <c r="AM670" s="7" t="str">
        <f>VLOOKUP(AC670,Mapping!$E$11:$I$96,5,0)</f>
        <v>SCS</v>
      </c>
      <c r="AO670" s="134">
        <v>131</v>
      </c>
      <c r="AP670" s="135" t="s">
        <v>2139</v>
      </c>
      <c r="AQ670" s="135">
        <v>531200</v>
      </c>
      <c r="AR670" s="135" t="s">
        <v>250</v>
      </c>
      <c r="AS670" s="136">
        <v>-13.89292</v>
      </c>
      <c r="AU670" s="7" t="str">
        <f>VLOOKUP($AO670,Mapping!$E$11:$I$96,3,0)</f>
        <v>Replacement</v>
      </c>
      <c r="AV670" s="7" t="str">
        <f>VLOOKUP($AQ670,Mapping!$E$140:$K$2771,5,0)</f>
        <v>Contracts</v>
      </c>
      <c r="AW670" s="7" t="str">
        <f>VLOOKUP($AQ670,Mapping!$E$140:$K$2771,7,0)</f>
        <v>ENDirect</v>
      </c>
      <c r="AX670" s="7" t="str">
        <f>IFERROR(HLOOKUP(AV670,'Calc|Weightings'!$K$5:$M$5,1,0),"Excl")</f>
        <v>Contracts</v>
      </c>
      <c r="AY670" s="7" t="str">
        <f>VLOOKUP(AO670,Mapping!$E$11:$I$96,5,0)</f>
        <v>SCS</v>
      </c>
    </row>
    <row r="671" spans="1:51" x14ac:dyDescent="0.2">
      <c r="A671" s="7"/>
      <c r="B671" s="7"/>
      <c r="C671" s="7"/>
      <c r="D671" s="7"/>
      <c r="E671" s="36">
        <v>120</v>
      </c>
      <c r="F671" s="36" t="s">
        <v>2134</v>
      </c>
      <c r="G671" s="36">
        <v>611901</v>
      </c>
      <c r="H671" s="36" t="s">
        <v>2080</v>
      </c>
      <c r="I671" s="37">
        <v>0.89509000000000005</v>
      </c>
      <c r="J671" s="7"/>
      <c r="K671" s="7" t="str">
        <f>VLOOKUP($E671,Mapping!$E$11:$I$96,3,0)</f>
        <v>Negotiated Capex</v>
      </c>
      <c r="L671" s="7" t="str">
        <f>VLOOKUP($G671,Mapping!$E$140:$K$2771,5,0)</f>
        <v>Contracts</v>
      </c>
      <c r="M671" s="7" t="str">
        <f>VLOOKUP($G671,Mapping!$E$140:$K$2771,7,0)</f>
        <v>ENDirect</v>
      </c>
      <c r="N671" s="7" t="str">
        <f>IFERROR(HLOOKUP(L671,'Calc|Weightings'!$K$5:$M$5,1,0),"Excl")</f>
        <v>Contracts</v>
      </c>
      <c r="O671" s="7" t="str">
        <f>VLOOKUP(E671,Mapping!$E$11:$I$96,5,0)</f>
        <v>Negotiated Capex</v>
      </c>
      <c r="Q671" s="33">
        <v>126</v>
      </c>
      <c r="R671" s="33" t="s">
        <v>2136</v>
      </c>
      <c r="S671" s="33">
        <v>613808</v>
      </c>
      <c r="T671" s="33" t="s">
        <v>2137</v>
      </c>
      <c r="U671" s="34">
        <v>119.75511</v>
      </c>
      <c r="V671" s="7"/>
      <c r="W671" s="7" t="str">
        <f>VLOOKUP($Q671,Mapping!$E$11:$I$96,3,0)</f>
        <v>Metering Opex</v>
      </c>
      <c r="X671" s="7" t="str">
        <f>VLOOKUP($S671,Mapping!$E$140:$K$2771,5,0)</f>
        <v>Labour</v>
      </c>
      <c r="Y671" s="7" t="str">
        <f>VLOOKUP($S671,Mapping!$E$140:$K$2771,7,0)</f>
        <v>ENDirect</v>
      </c>
      <c r="Z671" s="7" t="str">
        <f>IFERROR(HLOOKUP(X671,'Calc|Weightings'!$K$5:$M$5,1,0),"Excl")</f>
        <v>Labour</v>
      </c>
      <c r="AA671" s="7" t="str">
        <f>VLOOKUP(Q671,Mapping!$E$11:$I$96,5,0)</f>
        <v>Connection Services</v>
      </c>
      <c r="AC671" s="111">
        <v>121</v>
      </c>
      <c r="AD671" s="111" t="s">
        <v>2392</v>
      </c>
      <c r="AE671" s="111">
        <v>611901</v>
      </c>
      <c r="AF671" s="111" t="s">
        <v>2080</v>
      </c>
      <c r="AG671" s="112">
        <v>1.8808</v>
      </c>
      <c r="AI671" s="7" t="str">
        <f>VLOOKUP($AC671,Mapping!$E$11:$I$96,3,0)</f>
        <v>Connections</v>
      </c>
      <c r="AJ671" s="7" t="str">
        <f>VLOOKUP($AE671,Mapping!$E$140:$K$2771,5,0)</f>
        <v>Contracts</v>
      </c>
      <c r="AK671" s="7" t="str">
        <f>VLOOKUP($AE671,Mapping!$E$140:$K$2771,7,0)</f>
        <v>ENDirect</v>
      </c>
      <c r="AL671" s="7" t="str">
        <f>IFERROR(HLOOKUP(AJ671,'Calc|Weightings'!$K$5:$M$5,1,0),"Excl")</f>
        <v>Contracts</v>
      </c>
      <c r="AM671" s="7" t="str">
        <f>VLOOKUP(AC671,Mapping!$E$11:$I$96,5,0)</f>
        <v>SCS</v>
      </c>
      <c r="AO671" s="134">
        <v>131</v>
      </c>
      <c r="AP671" s="135" t="s">
        <v>2139</v>
      </c>
      <c r="AQ671" s="135">
        <v>531201</v>
      </c>
      <c r="AR671" s="135" t="s">
        <v>251</v>
      </c>
      <c r="AS671" s="136">
        <v>9.7670000000000007E-2</v>
      </c>
      <c r="AU671" s="7" t="str">
        <f>VLOOKUP($AO671,Mapping!$E$11:$I$96,3,0)</f>
        <v>Replacement</v>
      </c>
      <c r="AV671" s="7" t="str">
        <f>VLOOKUP($AQ671,Mapping!$E$140:$K$2771,5,0)</f>
        <v>Contracts</v>
      </c>
      <c r="AW671" s="7" t="str">
        <f>VLOOKUP($AQ671,Mapping!$E$140:$K$2771,7,0)</f>
        <v>ENDirect</v>
      </c>
      <c r="AX671" s="7" t="str">
        <f>IFERROR(HLOOKUP(AV671,'Calc|Weightings'!$K$5:$M$5,1,0),"Excl")</f>
        <v>Contracts</v>
      </c>
      <c r="AY671" s="7" t="str">
        <f>VLOOKUP(AO671,Mapping!$E$11:$I$96,5,0)</f>
        <v>SCS</v>
      </c>
    </row>
    <row r="672" spans="1:51" x14ac:dyDescent="0.2">
      <c r="A672" s="7"/>
      <c r="B672" s="7"/>
      <c r="C672" s="7"/>
      <c r="D672" s="7"/>
      <c r="E672" s="36">
        <v>120</v>
      </c>
      <c r="F672" s="36" t="s">
        <v>2134</v>
      </c>
      <c r="G672" s="36">
        <v>611902</v>
      </c>
      <c r="H672" s="36" t="s">
        <v>2081</v>
      </c>
      <c r="I672" s="37">
        <v>6.447E-2</v>
      </c>
      <c r="J672" s="7"/>
      <c r="K672" s="7" t="str">
        <f>VLOOKUP($E672,Mapping!$E$11:$I$96,3,0)</f>
        <v>Negotiated Capex</v>
      </c>
      <c r="L672" s="7" t="str">
        <f>VLOOKUP($G672,Mapping!$E$140:$K$2771,5,0)</f>
        <v>Contracts</v>
      </c>
      <c r="M672" s="7" t="str">
        <f>VLOOKUP($G672,Mapping!$E$140:$K$2771,7,0)</f>
        <v>ENDirect</v>
      </c>
      <c r="N672" s="7" t="str">
        <f>IFERROR(HLOOKUP(L672,'Calc|Weightings'!$K$5:$M$5,1,0),"Excl")</f>
        <v>Contracts</v>
      </c>
      <c r="O672" s="7" t="str">
        <f>VLOOKUP(E672,Mapping!$E$11:$I$96,5,0)</f>
        <v>Negotiated Capex</v>
      </c>
      <c r="Q672" s="33">
        <v>126</v>
      </c>
      <c r="R672" s="33" t="s">
        <v>2136</v>
      </c>
      <c r="S672" s="33">
        <v>635000</v>
      </c>
      <c r="T672" s="33" t="s">
        <v>2128</v>
      </c>
      <c r="U672" s="34">
        <v>20.944330000000001</v>
      </c>
      <c r="V672" s="7"/>
      <c r="W672" s="7" t="str">
        <f>VLOOKUP($Q672,Mapping!$E$11:$I$96,3,0)</f>
        <v>Metering Opex</v>
      </c>
      <c r="X672" s="7" t="str">
        <f>VLOOKUP($S672,Mapping!$E$140:$K$2771,5,0)</f>
        <v>PNS MG</v>
      </c>
      <c r="Y672" s="7" t="str">
        <f>VLOOKUP($S672,Mapping!$E$140:$K$2771,7,0)</f>
        <v>ENDirect</v>
      </c>
      <c r="Z672" s="7" t="str">
        <f>IFERROR(HLOOKUP(X672,'Calc|Weightings'!$K$5:$M$5,1,0),"Excl")</f>
        <v>Excl</v>
      </c>
      <c r="AA672" s="7" t="str">
        <f>VLOOKUP(Q672,Mapping!$E$11:$I$96,5,0)</f>
        <v>Connection Services</v>
      </c>
      <c r="AC672" s="111">
        <v>121</v>
      </c>
      <c r="AD672" s="111" t="s">
        <v>2392</v>
      </c>
      <c r="AE672" s="111">
        <v>611902</v>
      </c>
      <c r="AF672" s="111" t="s">
        <v>2081</v>
      </c>
      <c r="AG672" s="112">
        <v>10.00216</v>
      </c>
      <c r="AI672" s="7" t="str">
        <f>VLOOKUP($AC672,Mapping!$E$11:$I$96,3,0)</f>
        <v>Connections</v>
      </c>
      <c r="AJ672" s="7" t="str">
        <f>VLOOKUP($AE672,Mapping!$E$140:$K$2771,5,0)</f>
        <v>Contracts</v>
      </c>
      <c r="AK672" s="7" t="str">
        <f>VLOOKUP($AE672,Mapping!$E$140:$K$2771,7,0)</f>
        <v>ENDirect</v>
      </c>
      <c r="AL672" s="7" t="str">
        <f>IFERROR(HLOOKUP(AJ672,'Calc|Weightings'!$K$5:$M$5,1,0),"Excl")</f>
        <v>Contracts</v>
      </c>
      <c r="AM672" s="7" t="str">
        <f>VLOOKUP(AC672,Mapping!$E$11:$I$96,5,0)</f>
        <v>SCS</v>
      </c>
      <c r="AO672" s="134">
        <v>131</v>
      </c>
      <c r="AP672" s="135" t="s">
        <v>2139</v>
      </c>
      <c r="AQ672" s="135">
        <v>531464</v>
      </c>
      <c r="AR672" s="135" t="s">
        <v>256</v>
      </c>
      <c r="AS672" s="136">
        <v>142.73303000000001</v>
      </c>
      <c r="AU672" s="7" t="str">
        <f>VLOOKUP($AO672,Mapping!$E$11:$I$96,3,0)</f>
        <v>Replacement</v>
      </c>
      <c r="AV672" s="7" t="str">
        <f>VLOOKUP($AQ672,Mapping!$E$140:$K$2771,5,0)</f>
        <v>Contracts</v>
      </c>
      <c r="AW672" s="7" t="str">
        <f>VLOOKUP($AQ672,Mapping!$E$140:$K$2771,7,0)</f>
        <v>ENDirect</v>
      </c>
      <c r="AX672" s="7" t="str">
        <f>IFERROR(HLOOKUP(AV672,'Calc|Weightings'!$K$5:$M$5,1,0),"Excl")</f>
        <v>Contracts</v>
      </c>
      <c r="AY672" s="7" t="str">
        <f>VLOOKUP(AO672,Mapping!$E$11:$I$96,5,0)</f>
        <v>SCS</v>
      </c>
    </row>
    <row r="673" spans="1:51" x14ac:dyDescent="0.2">
      <c r="A673" s="7"/>
      <c r="B673" s="7"/>
      <c r="C673" s="7"/>
      <c r="D673" s="7"/>
      <c r="E673" s="36">
        <v>120</v>
      </c>
      <c r="F673" s="36" t="s">
        <v>2134</v>
      </c>
      <c r="G673" s="36">
        <v>612460</v>
      </c>
      <c r="H673" s="36" t="s">
        <v>1243</v>
      </c>
      <c r="I673" s="37">
        <v>0.30874000000000001</v>
      </c>
      <c r="J673" s="7"/>
      <c r="K673" s="7" t="str">
        <f>VLOOKUP($E673,Mapping!$E$11:$I$96,3,0)</f>
        <v>Negotiated Capex</v>
      </c>
      <c r="L673" s="7" t="str">
        <f>VLOOKUP($G673,Mapping!$E$140:$K$2771,5,0)</f>
        <v>Labour</v>
      </c>
      <c r="M673" s="7" t="str">
        <f>VLOOKUP($G673,Mapping!$E$140:$K$2771,7,0)</f>
        <v>ENDirect</v>
      </c>
      <c r="N673" s="7" t="str">
        <f>IFERROR(HLOOKUP(L673,'Calc|Weightings'!$K$5:$M$5,1,0),"Excl")</f>
        <v>Labour</v>
      </c>
      <c r="O673" s="7" t="str">
        <f>VLOOKUP(E673,Mapping!$E$11:$I$96,5,0)</f>
        <v>Negotiated Capex</v>
      </c>
      <c r="Q673" s="33">
        <v>126</v>
      </c>
      <c r="R673" s="33" t="s">
        <v>2136</v>
      </c>
      <c r="S673" s="33">
        <v>635001</v>
      </c>
      <c r="T673" s="33" t="s">
        <v>1929</v>
      </c>
      <c r="U673" s="34">
        <v>8.1263299999999994</v>
      </c>
      <c r="V673" s="7"/>
      <c r="W673" s="7" t="str">
        <f>VLOOKUP($Q673,Mapping!$E$11:$I$96,3,0)</f>
        <v>Metering Opex</v>
      </c>
      <c r="X673" s="7" t="str">
        <f>VLOOKUP($S673,Mapping!$E$140:$K$2771,5,0)</f>
        <v>PNS MG</v>
      </c>
      <c r="Y673" s="7" t="str">
        <f>VLOOKUP($S673,Mapping!$E$140:$K$2771,7,0)</f>
        <v>ENDirect</v>
      </c>
      <c r="Z673" s="7" t="str">
        <f>IFERROR(HLOOKUP(X673,'Calc|Weightings'!$K$5:$M$5,1,0),"Excl")</f>
        <v>Excl</v>
      </c>
      <c r="AA673" s="7" t="str">
        <f>VLOOKUP(Q673,Mapping!$E$11:$I$96,5,0)</f>
        <v>Connection Services</v>
      </c>
      <c r="AC673" s="111">
        <v>121</v>
      </c>
      <c r="AD673" s="111" t="s">
        <v>2392</v>
      </c>
      <c r="AE673" s="111">
        <v>613280</v>
      </c>
      <c r="AF673" s="111" t="s">
        <v>1342</v>
      </c>
      <c r="AG673" s="112">
        <v>18.406549999999999</v>
      </c>
      <c r="AI673" s="7" t="str">
        <f>VLOOKUP($AC673,Mapping!$E$11:$I$96,3,0)</f>
        <v>Connections</v>
      </c>
      <c r="AJ673" s="7" t="str">
        <f>VLOOKUP($AE673,Mapping!$E$140:$K$2771,5,0)</f>
        <v>Labour</v>
      </c>
      <c r="AK673" s="7" t="str">
        <f>VLOOKUP($AE673,Mapping!$E$140:$K$2771,7,0)</f>
        <v>ENDirect</v>
      </c>
      <c r="AL673" s="7" t="str">
        <f>IFERROR(HLOOKUP(AJ673,'Calc|Weightings'!$K$5:$M$5,1,0),"Excl")</f>
        <v>Labour</v>
      </c>
      <c r="AM673" s="7" t="str">
        <f>VLOOKUP(AC673,Mapping!$E$11:$I$96,5,0)</f>
        <v>SCS</v>
      </c>
      <c r="AO673" s="134">
        <v>131</v>
      </c>
      <c r="AP673" s="135" t="s">
        <v>2139</v>
      </c>
      <c r="AQ673" s="135">
        <v>531465</v>
      </c>
      <c r="AR673" s="135" t="s">
        <v>257</v>
      </c>
      <c r="AS673" s="136">
        <v>2.5000499999999999</v>
      </c>
      <c r="AU673" s="7" t="str">
        <f>VLOOKUP($AO673,Mapping!$E$11:$I$96,3,0)</f>
        <v>Replacement</v>
      </c>
      <c r="AV673" s="7" t="str">
        <f>VLOOKUP($AQ673,Mapping!$E$140:$K$2771,5,0)</f>
        <v>Contracts</v>
      </c>
      <c r="AW673" s="7" t="str">
        <f>VLOOKUP($AQ673,Mapping!$E$140:$K$2771,7,0)</f>
        <v>ENDirect</v>
      </c>
      <c r="AX673" s="7" t="str">
        <f>IFERROR(HLOOKUP(AV673,'Calc|Weightings'!$K$5:$M$5,1,0),"Excl")</f>
        <v>Contracts</v>
      </c>
      <c r="AY673" s="7" t="str">
        <f>VLOOKUP(AO673,Mapping!$E$11:$I$96,5,0)</f>
        <v>SCS</v>
      </c>
    </row>
    <row r="674" spans="1:51" x14ac:dyDescent="0.2">
      <c r="A674" s="7"/>
      <c r="B674" s="7"/>
      <c r="C674" s="7"/>
      <c r="D674" s="7"/>
      <c r="E674" s="36">
        <v>120</v>
      </c>
      <c r="F674" s="36" t="s">
        <v>2134</v>
      </c>
      <c r="G674" s="36">
        <v>613248</v>
      </c>
      <c r="H674" s="36" t="s">
        <v>2383</v>
      </c>
      <c r="I674" s="37">
        <v>32.314019999999999</v>
      </c>
      <c r="J674" s="7"/>
      <c r="K674" s="7" t="str">
        <f>VLOOKUP($E674,Mapping!$E$11:$I$96,3,0)</f>
        <v>Negotiated Capex</v>
      </c>
      <c r="L674" s="7" t="str">
        <f>VLOOKUP($G674,Mapping!$E$140:$K$2771,5,0)</f>
        <v>Labour</v>
      </c>
      <c r="M674" s="7" t="str">
        <f>VLOOKUP($G674,Mapping!$E$140:$K$2771,7,0)</f>
        <v>ENDirect</v>
      </c>
      <c r="N674" s="7" t="str">
        <f>IFERROR(HLOOKUP(L674,'Calc|Weightings'!$K$5:$M$5,1,0),"Excl")</f>
        <v>Labour</v>
      </c>
      <c r="O674" s="7" t="str">
        <f>VLOOKUP(E674,Mapping!$E$11:$I$96,5,0)</f>
        <v>Negotiated Capex</v>
      </c>
      <c r="Q674" s="33">
        <v>126</v>
      </c>
      <c r="R674" s="33" t="s">
        <v>2136</v>
      </c>
      <c r="S674" s="33">
        <v>636105</v>
      </c>
      <c r="T674" s="33" t="s">
        <v>1937</v>
      </c>
      <c r="U674" s="34">
        <v>42.278260000000003</v>
      </c>
      <c r="V674" s="7"/>
      <c r="W674" s="7" t="str">
        <f>VLOOKUP($Q674,Mapping!$E$11:$I$96,3,0)</f>
        <v>Metering Opex</v>
      </c>
      <c r="X674" s="7" t="str">
        <f>VLOOKUP($S674,Mapping!$E$140:$K$2771,5,0)</f>
        <v>CSG MG</v>
      </c>
      <c r="Y674" s="7" t="str">
        <f>VLOOKUP($S674,Mapping!$E$140:$K$2771,7,0)</f>
        <v>ENDirect</v>
      </c>
      <c r="Z674" s="7" t="str">
        <f>IFERROR(HLOOKUP(X674,'Calc|Weightings'!$K$5:$M$5,1,0),"Excl")</f>
        <v>Excl</v>
      </c>
      <c r="AA674" s="7" t="str">
        <f>VLOOKUP(Q674,Mapping!$E$11:$I$96,5,0)</f>
        <v>Connection Services</v>
      </c>
      <c r="AC674" s="111">
        <v>121</v>
      </c>
      <c r="AD674" s="111" t="s">
        <v>2392</v>
      </c>
      <c r="AE674" s="111">
        <v>613290</v>
      </c>
      <c r="AF674" s="111" t="s">
        <v>2093</v>
      </c>
      <c r="AG674" s="112">
        <v>16.971209999999999</v>
      </c>
      <c r="AI674" s="7" t="str">
        <f>VLOOKUP($AC674,Mapping!$E$11:$I$96,3,0)</f>
        <v>Connections</v>
      </c>
      <c r="AJ674" s="7" t="str">
        <f>VLOOKUP($AE674,Mapping!$E$140:$K$2771,5,0)</f>
        <v>Labour</v>
      </c>
      <c r="AK674" s="7" t="str">
        <f>VLOOKUP($AE674,Mapping!$E$140:$K$2771,7,0)</f>
        <v>ENDirect</v>
      </c>
      <c r="AL674" s="7" t="str">
        <f>IFERROR(HLOOKUP(AJ674,'Calc|Weightings'!$K$5:$M$5,1,0),"Excl")</f>
        <v>Labour</v>
      </c>
      <c r="AM674" s="7" t="str">
        <f>VLOOKUP(AC674,Mapping!$E$11:$I$96,5,0)</f>
        <v>SCS</v>
      </c>
      <c r="AO674" s="134">
        <v>131</v>
      </c>
      <c r="AP674" s="135" t="s">
        <v>2139</v>
      </c>
      <c r="AQ674" s="135">
        <v>531466</v>
      </c>
      <c r="AR674" s="135" t="s">
        <v>258</v>
      </c>
      <c r="AS674" s="136">
        <v>46.23104</v>
      </c>
      <c r="AU674" s="7" t="str">
        <f>VLOOKUP($AO674,Mapping!$E$11:$I$96,3,0)</f>
        <v>Replacement</v>
      </c>
      <c r="AV674" s="7" t="str">
        <f>VLOOKUP($AQ674,Mapping!$E$140:$K$2771,5,0)</f>
        <v>Contracts</v>
      </c>
      <c r="AW674" s="7" t="str">
        <f>VLOOKUP($AQ674,Mapping!$E$140:$K$2771,7,0)</f>
        <v>ENDirect</v>
      </c>
      <c r="AX674" s="7" t="str">
        <f>IFERROR(HLOOKUP(AV674,'Calc|Weightings'!$K$5:$M$5,1,0),"Excl")</f>
        <v>Contracts</v>
      </c>
      <c r="AY674" s="7" t="str">
        <f>VLOOKUP(AO674,Mapping!$E$11:$I$96,5,0)</f>
        <v>SCS</v>
      </c>
    </row>
    <row r="675" spans="1:51" x14ac:dyDescent="0.2">
      <c r="A675" s="7"/>
      <c r="B675" s="7"/>
      <c r="C675" s="7"/>
      <c r="D675" s="7"/>
      <c r="E675" s="36">
        <v>120</v>
      </c>
      <c r="F675" s="36" t="s">
        <v>2134</v>
      </c>
      <c r="G675" s="36">
        <v>613249</v>
      </c>
      <c r="H675" s="36" t="s">
        <v>2384</v>
      </c>
      <c r="I675" s="37">
        <v>3.52962</v>
      </c>
      <c r="J675" s="7"/>
      <c r="K675" s="7" t="str">
        <f>VLOOKUP($E675,Mapping!$E$11:$I$96,3,0)</f>
        <v>Negotiated Capex</v>
      </c>
      <c r="L675" s="7" t="str">
        <f>VLOOKUP($G675,Mapping!$E$140:$K$2771,5,0)</f>
        <v>Labour</v>
      </c>
      <c r="M675" s="7" t="str">
        <f>VLOOKUP($G675,Mapping!$E$140:$K$2771,7,0)</f>
        <v>ENDirect</v>
      </c>
      <c r="N675" s="7" t="str">
        <f>IFERROR(HLOOKUP(L675,'Calc|Weightings'!$K$5:$M$5,1,0),"Excl")</f>
        <v>Labour</v>
      </c>
      <c r="O675" s="7" t="str">
        <f>VLOOKUP(E675,Mapping!$E$11:$I$96,5,0)</f>
        <v>Negotiated Capex</v>
      </c>
      <c r="Q675" s="33">
        <v>126</v>
      </c>
      <c r="R675" s="33" t="s">
        <v>2136</v>
      </c>
      <c r="S675" s="33">
        <v>639000</v>
      </c>
      <c r="T675" s="33" t="s">
        <v>2112</v>
      </c>
      <c r="U675" s="34">
        <v>31.166440000000001</v>
      </c>
      <c r="V675" s="7"/>
      <c r="W675" s="7" t="str">
        <f>VLOOKUP($Q675,Mapping!$E$11:$I$96,3,0)</f>
        <v>Metering Opex</v>
      </c>
      <c r="X675" s="7" t="str">
        <f>VLOOKUP($S675,Mapping!$E$140:$K$2771,5,0)</f>
        <v>PNS Corporate OH</v>
      </c>
      <c r="Y675" s="7" t="str">
        <f>VLOOKUP($S675,Mapping!$E$140:$K$2771,7,0)</f>
        <v>OH</v>
      </c>
      <c r="Z675" s="7" t="str">
        <f>IFERROR(HLOOKUP(X675,'Calc|Weightings'!$K$5:$M$5,1,0),"Excl")</f>
        <v>Excl</v>
      </c>
      <c r="AA675" s="7" t="str">
        <f>VLOOKUP(Q675,Mapping!$E$11:$I$96,5,0)</f>
        <v>Connection Services</v>
      </c>
      <c r="AC675" s="111">
        <v>121</v>
      </c>
      <c r="AD675" s="111" t="s">
        <v>2392</v>
      </c>
      <c r="AE675" s="111">
        <v>613310</v>
      </c>
      <c r="AF675" s="111" t="s">
        <v>2095</v>
      </c>
      <c r="AG675" s="112">
        <v>5.2543699999999998</v>
      </c>
      <c r="AI675" s="7" t="str">
        <f>VLOOKUP($AC675,Mapping!$E$11:$I$96,3,0)</f>
        <v>Connections</v>
      </c>
      <c r="AJ675" s="7" t="str">
        <f>VLOOKUP($AE675,Mapping!$E$140:$K$2771,5,0)</f>
        <v>Labour</v>
      </c>
      <c r="AK675" s="7" t="str">
        <f>VLOOKUP($AE675,Mapping!$E$140:$K$2771,7,0)</f>
        <v>ENDirect</v>
      </c>
      <c r="AL675" s="7" t="str">
        <f>IFERROR(HLOOKUP(AJ675,'Calc|Weightings'!$K$5:$M$5,1,0),"Excl")</f>
        <v>Labour</v>
      </c>
      <c r="AM675" s="7" t="str">
        <f>VLOOKUP(AC675,Mapping!$E$11:$I$96,5,0)</f>
        <v>SCS</v>
      </c>
      <c r="AO675" s="134">
        <v>131</v>
      </c>
      <c r="AP675" s="135" t="s">
        <v>2139</v>
      </c>
      <c r="AQ675" s="135">
        <v>531467</v>
      </c>
      <c r="AR675" s="135" t="s">
        <v>259</v>
      </c>
      <c r="AS675" s="136">
        <v>473.22658999999999</v>
      </c>
      <c r="AU675" s="7" t="str">
        <f>VLOOKUP($AO675,Mapping!$E$11:$I$96,3,0)</f>
        <v>Replacement</v>
      </c>
      <c r="AV675" s="7" t="str">
        <f>VLOOKUP($AQ675,Mapping!$E$140:$K$2771,5,0)</f>
        <v>Contracts</v>
      </c>
      <c r="AW675" s="7" t="str">
        <f>VLOOKUP($AQ675,Mapping!$E$140:$K$2771,7,0)</f>
        <v>ENDirect</v>
      </c>
      <c r="AX675" s="7" t="str">
        <f>IFERROR(HLOOKUP(AV675,'Calc|Weightings'!$K$5:$M$5,1,0),"Excl")</f>
        <v>Contracts</v>
      </c>
      <c r="AY675" s="7" t="str">
        <f>VLOOKUP(AO675,Mapping!$E$11:$I$96,5,0)</f>
        <v>SCS</v>
      </c>
    </row>
    <row r="676" spans="1:51" x14ac:dyDescent="0.2">
      <c r="A676" s="7"/>
      <c r="B676" s="7"/>
      <c r="C676" s="7"/>
      <c r="D676" s="7"/>
      <c r="E676" s="36">
        <v>120</v>
      </c>
      <c r="F676" s="36" t="s">
        <v>2134</v>
      </c>
      <c r="G676" s="36">
        <v>613250</v>
      </c>
      <c r="H676" s="36" t="s">
        <v>2086</v>
      </c>
      <c r="I676" s="37">
        <v>0.26628000000000002</v>
      </c>
      <c r="J676" s="7"/>
      <c r="K676" s="7" t="str">
        <f>VLOOKUP($E676,Mapping!$E$11:$I$96,3,0)</f>
        <v>Negotiated Capex</v>
      </c>
      <c r="L676" s="7" t="str">
        <f>VLOOKUP($G676,Mapping!$E$140:$K$2771,5,0)</f>
        <v>Labour</v>
      </c>
      <c r="M676" s="7" t="str">
        <f>VLOOKUP($G676,Mapping!$E$140:$K$2771,7,0)</f>
        <v>ENDirect</v>
      </c>
      <c r="N676" s="7" t="str">
        <f>IFERROR(HLOOKUP(L676,'Calc|Weightings'!$K$5:$M$5,1,0),"Excl")</f>
        <v>Labour</v>
      </c>
      <c r="O676" s="7" t="str">
        <f>VLOOKUP(E676,Mapping!$E$11:$I$96,5,0)</f>
        <v>Negotiated Capex</v>
      </c>
      <c r="Q676" s="33">
        <v>126</v>
      </c>
      <c r="R676" s="33" t="s">
        <v>2136</v>
      </c>
      <c r="S676" s="33">
        <v>639050</v>
      </c>
      <c r="T676" s="33" t="s">
        <v>2113</v>
      </c>
      <c r="U676" s="34">
        <v>0.56896000000000002</v>
      </c>
      <c r="V676" s="7"/>
      <c r="W676" s="7" t="str">
        <f>VLOOKUP($Q676,Mapping!$E$11:$I$96,3,0)</f>
        <v>Metering Opex</v>
      </c>
      <c r="X676" s="7" t="str">
        <f>VLOOKUP($S676,Mapping!$E$140:$K$2771,5,0)</f>
        <v>PNS Fleet &amp; Property OH</v>
      </c>
      <c r="Y676" s="7" t="str">
        <f>VLOOKUP($S676,Mapping!$E$140:$K$2771,7,0)</f>
        <v>OH</v>
      </c>
      <c r="Z676" s="7" t="str">
        <f>IFERROR(HLOOKUP(X676,'Calc|Weightings'!$K$5:$M$5,1,0),"Excl")</f>
        <v>Excl</v>
      </c>
      <c r="AA676" s="7" t="str">
        <f>VLOOKUP(Q676,Mapping!$E$11:$I$96,5,0)</f>
        <v>Connection Services</v>
      </c>
      <c r="AC676" s="111">
        <v>121</v>
      </c>
      <c r="AD676" s="111" t="s">
        <v>2392</v>
      </c>
      <c r="AE676" s="111">
        <v>613360</v>
      </c>
      <c r="AF676" s="111" t="s">
        <v>2097</v>
      </c>
      <c r="AG676" s="112">
        <v>1.2639100000000001</v>
      </c>
      <c r="AI676" s="7" t="str">
        <f>VLOOKUP($AC676,Mapping!$E$11:$I$96,3,0)</f>
        <v>Connections</v>
      </c>
      <c r="AJ676" s="7" t="str">
        <f>VLOOKUP($AE676,Mapping!$E$140:$K$2771,5,0)</f>
        <v>Labour</v>
      </c>
      <c r="AK676" s="7" t="str">
        <f>VLOOKUP($AE676,Mapping!$E$140:$K$2771,7,0)</f>
        <v>ENDirect</v>
      </c>
      <c r="AL676" s="7" t="str">
        <f>IFERROR(HLOOKUP(AJ676,'Calc|Weightings'!$K$5:$M$5,1,0),"Excl")</f>
        <v>Labour</v>
      </c>
      <c r="AM676" s="7" t="str">
        <f>VLOOKUP(AC676,Mapping!$E$11:$I$96,5,0)</f>
        <v>SCS</v>
      </c>
      <c r="AO676" s="134">
        <v>131</v>
      </c>
      <c r="AP676" s="135" t="s">
        <v>2139</v>
      </c>
      <c r="AQ676" s="135">
        <v>531468</v>
      </c>
      <c r="AR676" s="135" t="s">
        <v>260</v>
      </c>
      <c r="AS676" s="136">
        <v>79.546880000000002</v>
      </c>
      <c r="AU676" s="7" t="str">
        <f>VLOOKUP($AO676,Mapping!$E$11:$I$96,3,0)</f>
        <v>Replacement</v>
      </c>
      <c r="AV676" s="7" t="str">
        <f>VLOOKUP($AQ676,Mapping!$E$140:$K$2771,5,0)</f>
        <v>Contracts</v>
      </c>
      <c r="AW676" s="7" t="str">
        <f>VLOOKUP($AQ676,Mapping!$E$140:$K$2771,7,0)</f>
        <v>ENDirect</v>
      </c>
      <c r="AX676" s="7" t="str">
        <f>IFERROR(HLOOKUP(AV676,'Calc|Weightings'!$K$5:$M$5,1,0),"Excl")</f>
        <v>Contracts</v>
      </c>
      <c r="AY676" s="7" t="str">
        <f>VLOOKUP(AO676,Mapping!$E$11:$I$96,5,0)</f>
        <v>SCS</v>
      </c>
    </row>
    <row r="677" spans="1:51" x14ac:dyDescent="0.2">
      <c r="A677" s="7"/>
      <c r="B677" s="7"/>
      <c r="C677" s="7"/>
      <c r="D677" s="7"/>
      <c r="E677" s="36">
        <v>120</v>
      </c>
      <c r="F677" s="36" t="s">
        <v>2134</v>
      </c>
      <c r="G677" s="36">
        <v>613258</v>
      </c>
      <c r="H677" s="36" t="s">
        <v>2356</v>
      </c>
      <c r="I677" s="37">
        <v>15.777089999999999</v>
      </c>
      <c r="J677" s="7"/>
      <c r="K677" s="7" t="str">
        <f>VLOOKUP($E677,Mapping!$E$11:$I$96,3,0)</f>
        <v>Negotiated Capex</v>
      </c>
      <c r="L677" s="7" t="str">
        <f>VLOOKUP($G677,Mapping!$E$140:$K$2771,5,0)</f>
        <v>Labour</v>
      </c>
      <c r="M677" s="7" t="str">
        <f>VLOOKUP($G677,Mapping!$E$140:$K$2771,7,0)</f>
        <v>ENDirect</v>
      </c>
      <c r="N677" s="7" t="str">
        <f>IFERROR(HLOOKUP(L677,'Calc|Weightings'!$K$5:$M$5,1,0),"Excl")</f>
        <v>Labour</v>
      </c>
      <c r="O677" s="7" t="str">
        <f>VLOOKUP(E677,Mapping!$E$11:$I$96,5,0)</f>
        <v>Negotiated Capex</v>
      </c>
      <c r="Q677" s="33">
        <v>130</v>
      </c>
      <c r="R677" s="33" t="s">
        <v>2138</v>
      </c>
      <c r="S677" s="33">
        <v>604149</v>
      </c>
      <c r="T677" s="33" t="s">
        <v>485</v>
      </c>
      <c r="U677" s="34">
        <v>3.6820900000000001</v>
      </c>
      <c r="V677" s="7"/>
      <c r="W677" s="7" t="str">
        <f>VLOOKUP($Q677,Mapping!$E$11:$I$96,3,0)</f>
        <v>Fee Based Opex</v>
      </c>
      <c r="X677" s="7" t="str">
        <f>VLOOKUP($S677,Mapping!$E$140:$K$2771,5,0)</f>
        <v>Contracts</v>
      </c>
      <c r="Y677" s="7" t="str">
        <f>VLOOKUP($S677,Mapping!$E$140:$K$2771,7,0)</f>
        <v>ENDirect</v>
      </c>
      <c r="Z677" s="7" t="str">
        <f>IFERROR(HLOOKUP(X677,'Calc|Weightings'!$K$5:$M$5,1,0),"Excl")</f>
        <v>Contracts</v>
      </c>
      <c r="AA677" s="7" t="str">
        <f>VLOOKUP(Q677,Mapping!$E$11:$I$96,5,0)</f>
        <v>Ancillary Network Services</v>
      </c>
      <c r="AC677" s="111">
        <v>121</v>
      </c>
      <c r="AD677" s="111" t="s">
        <v>2392</v>
      </c>
      <c r="AE677" s="111">
        <v>613410</v>
      </c>
      <c r="AF677" s="111" t="s">
        <v>2100</v>
      </c>
      <c r="AG677" s="112">
        <v>0.96121999999999996</v>
      </c>
      <c r="AI677" s="7" t="str">
        <f>VLOOKUP($AC677,Mapping!$E$11:$I$96,3,0)</f>
        <v>Connections</v>
      </c>
      <c r="AJ677" s="7" t="str">
        <f>VLOOKUP($AE677,Mapping!$E$140:$K$2771,5,0)</f>
        <v>Labour</v>
      </c>
      <c r="AK677" s="7" t="str">
        <f>VLOOKUP($AE677,Mapping!$E$140:$K$2771,7,0)</f>
        <v>ENDirect</v>
      </c>
      <c r="AL677" s="7" t="str">
        <f>IFERROR(HLOOKUP(AJ677,'Calc|Weightings'!$K$5:$M$5,1,0),"Excl")</f>
        <v>Labour</v>
      </c>
      <c r="AM677" s="7" t="str">
        <f>VLOOKUP(AC677,Mapping!$E$11:$I$96,5,0)</f>
        <v>SCS</v>
      </c>
      <c r="AO677" s="134">
        <v>131</v>
      </c>
      <c r="AP677" s="135" t="s">
        <v>2139</v>
      </c>
      <c r="AQ677" s="135">
        <v>531469</v>
      </c>
      <c r="AR677" s="135" t="s">
        <v>261</v>
      </c>
      <c r="AS677" s="136">
        <v>2.3917299999999999</v>
      </c>
      <c r="AU677" s="7" t="str">
        <f>VLOOKUP($AO677,Mapping!$E$11:$I$96,3,0)</f>
        <v>Replacement</v>
      </c>
      <c r="AV677" s="7" t="str">
        <f>VLOOKUP($AQ677,Mapping!$E$140:$K$2771,5,0)</f>
        <v>Labour</v>
      </c>
      <c r="AW677" s="7" t="str">
        <f>VLOOKUP($AQ677,Mapping!$E$140:$K$2771,7,0)</f>
        <v>ENDirect</v>
      </c>
      <c r="AX677" s="7" t="str">
        <f>IFERROR(HLOOKUP(AV677,'Calc|Weightings'!$K$5:$M$5,1,0),"Excl")</f>
        <v>Labour</v>
      </c>
      <c r="AY677" s="7" t="str">
        <f>VLOOKUP(AO677,Mapping!$E$11:$I$96,5,0)</f>
        <v>SCS</v>
      </c>
    </row>
    <row r="678" spans="1:51" x14ac:dyDescent="0.2">
      <c r="A678" s="7"/>
      <c r="B678" s="7"/>
      <c r="C678" s="7"/>
      <c r="D678" s="7"/>
      <c r="E678" s="36">
        <v>120</v>
      </c>
      <c r="F678" s="36" t="s">
        <v>2134</v>
      </c>
      <c r="G678" s="36">
        <v>613259</v>
      </c>
      <c r="H678" s="36" t="s">
        <v>2359</v>
      </c>
      <c r="I678" s="37">
        <v>0.79883999999999999</v>
      </c>
      <c r="J678" s="7"/>
      <c r="K678" s="7" t="str">
        <f>VLOOKUP($E678,Mapping!$E$11:$I$96,3,0)</f>
        <v>Negotiated Capex</v>
      </c>
      <c r="L678" s="7" t="str">
        <f>VLOOKUP($G678,Mapping!$E$140:$K$2771,5,0)</f>
        <v>Labour</v>
      </c>
      <c r="M678" s="7" t="str">
        <f>VLOOKUP($G678,Mapping!$E$140:$K$2771,7,0)</f>
        <v>ENDirect</v>
      </c>
      <c r="N678" s="7" t="str">
        <f>IFERROR(HLOOKUP(L678,'Calc|Weightings'!$K$5:$M$5,1,0),"Excl")</f>
        <v>Labour</v>
      </c>
      <c r="O678" s="7" t="str">
        <f>VLOOKUP(E678,Mapping!$E$11:$I$96,5,0)</f>
        <v>Negotiated Capex</v>
      </c>
      <c r="Q678" s="33">
        <v>130</v>
      </c>
      <c r="R678" s="33" t="s">
        <v>2138</v>
      </c>
      <c r="S678" s="33">
        <v>604152</v>
      </c>
      <c r="T678" s="33" t="s">
        <v>486</v>
      </c>
      <c r="U678" s="34">
        <v>48.652659999999997</v>
      </c>
      <c r="V678" s="7"/>
      <c r="W678" s="7" t="str">
        <f>VLOOKUP($Q678,Mapping!$E$11:$I$96,3,0)</f>
        <v>Fee Based Opex</v>
      </c>
      <c r="X678" s="7" t="str">
        <f>VLOOKUP($S678,Mapping!$E$140:$K$2771,5,0)</f>
        <v>Contracts</v>
      </c>
      <c r="Y678" s="7" t="str">
        <f>VLOOKUP($S678,Mapping!$E$140:$K$2771,7,0)</f>
        <v>ENDirect</v>
      </c>
      <c r="Z678" s="7" t="str">
        <f>IFERROR(HLOOKUP(X678,'Calc|Weightings'!$K$5:$M$5,1,0),"Excl")</f>
        <v>Contracts</v>
      </c>
      <c r="AA678" s="7" t="str">
        <f>VLOOKUP(Q678,Mapping!$E$11:$I$96,5,0)</f>
        <v>Ancillary Network Services</v>
      </c>
      <c r="AC678" s="111">
        <v>121</v>
      </c>
      <c r="AD678" s="111" t="s">
        <v>2392</v>
      </c>
      <c r="AE678" s="111">
        <v>613440</v>
      </c>
      <c r="AF678" s="111" t="s">
        <v>2103</v>
      </c>
      <c r="AG678" s="112">
        <v>0.4763</v>
      </c>
      <c r="AI678" s="7" t="str">
        <f>VLOOKUP($AC678,Mapping!$E$11:$I$96,3,0)</f>
        <v>Connections</v>
      </c>
      <c r="AJ678" s="7" t="str">
        <f>VLOOKUP($AE678,Mapping!$E$140:$K$2771,5,0)</f>
        <v>Labour</v>
      </c>
      <c r="AK678" s="7" t="str">
        <f>VLOOKUP($AE678,Mapping!$E$140:$K$2771,7,0)</f>
        <v>ENDirect</v>
      </c>
      <c r="AL678" s="7" t="str">
        <f>IFERROR(HLOOKUP(AJ678,'Calc|Weightings'!$K$5:$M$5,1,0),"Excl")</f>
        <v>Labour</v>
      </c>
      <c r="AM678" s="7" t="str">
        <f>VLOOKUP(AC678,Mapping!$E$11:$I$96,5,0)</f>
        <v>SCS</v>
      </c>
      <c r="AO678" s="134">
        <v>131</v>
      </c>
      <c r="AP678" s="135" t="s">
        <v>2139</v>
      </c>
      <c r="AQ678" s="135">
        <v>532200</v>
      </c>
      <c r="AR678" s="135" t="s">
        <v>291</v>
      </c>
      <c r="AS678" s="136">
        <v>10.03776</v>
      </c>
      <c r="AU678" s="7" t="str">
        <f>VLOOKUP($AO678,Mapping!$E$11:$I$96,3,0)</f>
        <v>Replacement</v>
      </c>
      <c r="AV678" s="7" t="str">
        <f>VLOOKUP($AQ678,Mapping!$E$140:$K$2771,5,0)</f>
        <v>Contracts</v>
      </c>
      <c r="AW678" s="7" t="str">
        <f>VLOOKUP($AQ678,Mapping!$E$140:$K$2771,7,0)</f>
        <v>ENDirect</v>
      </c>
      <c r="AX678" s="7" t="str">
        <f>IFERROR(HLOOKUP(AV678,'Calc|Weightings'!$K$5:$M$5,1,0),"Excl")</f>
        <v>Contracts</v>
      </c>
      <c r="AY678" s="7" t="str">
        <f>VLOOKUP(AO678,Mapping!$E$11:$I$96,5,0)</f>
        <v>SCS</v>
      </c>
    </row>
    <row r="679" spans="1:51" x14ac:dyDescent="0.2">
      <c r="A679" s="7"/>
      <c r="B679" s="7"/>
      <c r="C679" s="7"/>
      <c r="D679" s="7"/>
      <c r="E679" s="36">
        <v>120</v>
      </c>
      <c r="F679" s="36" t="s">
        <v>2134</v>
      </c>
      <c r="G679" s="36">
        <v>613268</v>
      </c>
      <c r="H679" s="36" t="s">
        <v>1335</v>
      </c>
      <c r="I679" s="37">
        <v>0.4652</v>
      </c>
      <c r="J679" s="7"/>
      <c r="K679" s="7" t="str">
        <f>VLOOKUP($E679,Mapping!$E$11:$I$96,3,0)</f>
        <v>Negotiated Capex</v>
      </c>
      <c r="L679" s="7" t="str">
        <f>VLOOKUP($G679,Mapping!$E$140:$K$2771,5,0)</f>
        <v>Labour</v>
      </c>
      <c r="M679" s="7" t="str">
        <f>VLOOKUP($G679,Mapping!$E$140:$K$2771,7,0)</f>
        <v>ENDirect</v>
      </c>
      <c r="N679" s="7" t="str">
        <f>IFERROR(HLOOKUP(L679,'Calc|Weightings'!$K$5:$M$5,1,0),"Excl")</f>
        <v>Labour</v>
      </c>
      <c r="O679" s="7" t="str">
        <f>VLOOKUP(E679,Mapping!$E$11:$I$96,5,0)</f>
        <v>Negotiated Capex</v>
      </c>
      <c r="Q679" s="33">
        <v>130</v>
      </c>
      <c r="R679" s="33" t="s">
        <v>2138</v>
      </c>
      <c r="S679" s="33">
        <v>613786</v>
      </c>
      <c r="T679" s="33" t="s">
        <v>1587</v>
      </c>
      <c r="U679" s="34">
        <v>0.83918999999999999</v>
      </c>
      <c r="V679" s="7"/>
      <c r="W679" s="7" t="str">
        <f>VLOOKUP($Q679,Mapping!$E$11:$I$96,3,0)</f>
        <v>Fee Based Opex</v>
      </c>
      <c r="X679" s="7" t="str">
        <f>VLOOKUP($S679,Mapping!$E$140:$K$2771,5,0)</f>
        <v>Labour</v>
      </c>
      <c r="Y679" s="7" t="str">
        <f>VLOOKUP($S679,Mapping!$E$140:$K$2771,7,0)</f>
        <v>ENDirect</v>
      </c>
      <c r="Z679" s="7" t="str">
        <f>IFERROR(HLOOKUP(X679,'Calc|Weightings'!$K$5:$M$5,1,0),"Excl")</f>
        <v>Labour</v>
      </c>
      <c r="AA679" s="7" t="str">
        <f>VLOOKUP(Q679,Mapping!$E$11:$I$96,5,0)</f>
        <v>Ancillary Network Services</v>
      </c>
      <c r="AC679" s="111">
        <v>121</v>
      </c>
      <c r="AD679" s="111" t="s">
        <v>2392</v>
      </c>
      <c r="AE679" s="111">
        <v>613450</v>
      </c>
      <c r="AF679" s="111" t="s">
        <v>2175</v>
      </c>
      <c r="AG679" s="112">
        <v>5.9346300000000003</v>
      </c>
      <c r="AI679" s="7" t="str">
        <f>VLOOKUP($AC679,Mapping!$E$11:$I$96,3,0)</f>
        <v>Connections</v>
      </c>
      <c r="AJ679" s="7" t="str">
        <f>VLOOKUP($AE679,Mapping!$E$140:$K$2771,5,0)</f>
        <v>Labour</v>
      </c>
      <c r="AK679" s="7" t="str">
        <f>VLOOKUP($AE679,Mapping!$E$140:$K$2771,7,0)</f>
        <v>ENDirect</v>
      </c>
      <c r="AL679" s="7" t="str">
        <f>IFERROR(HLOOKUP(AJ679,'Calc|Weightings'!$K$5:$M$5,1,0),"Excl")</f>
        <v>Labour</v>
      </c>
      <c r="AM679" s="7" t="str">
        <f>VLOOKUP(AC679,Mapping!$E$11:$I$96,5,0)</f>
        <v>SCS</v>
      </c>
      <c r="AO679" s="134">
        <v>131</v>
      </c>
      <c r="AP679" s="135" t="s">
        <v>2139</v>
      </c>
      <c r="AQ679" s="135">
        <v>591200</v>
      </c>
      <c r="AR679" s="135" t="s">
        <v>398</v>
      </c>
      <c r="AS679" s="136">
        <v>0.4</v>
      </c>
      <c r="AU679" s="7" t="str">
        <f>VLOOKUP($AO679,Mapping!$E$11:$I$96,3,0)</f>
        <v>Replacement</v>
      </c>
      <c r="AV679" s="7" t="str">
        <f>VLOOKUP($AQ679,Mapping!$E$140:$K$2771,5,0)</f>
        <v>Contracts</v>
      </c>
      <c r="AW679" s="7" t="str">
        <f>VLOOKUP($AQ679,Mapping!$E$140:$K$2771,7,0)</f>
        <v>ENDirect</v>
      </c>
      <c r="AX679" s="7" t="str">
        <f>IFERROR(HLOOKUP(AV679,'Calc|Weightings'!$K$5:$M$5,1,0),"Excl")</f>
        <v>Contracts</v>
      </c>
      <c r="AY679" s="7" t="str">
        <f>VLOOKUP(AO679,Mapping!$E$11:$I$96,5,0)</f>
        <v>SCS</v>
      </c>
    </row>
    <row r="680" spans="1:51" x14ac:dyDescent="0.2">
      <c r="A680" s="7"/>
      <c r="B680" s="7"/>
      <c r="C680" s="7"/>
      <c r="D680" s="7"/>
      <c r="E680" s="36">
        <v>120</v>
      </c>
      <c r="F680" s="36" t="s">
        <v>2134</v>
      </c>
      <c r="G680" s="36">
        <v>613271</v>
      </c>
      <c r="H680" s="36" t="s">
        <v>2150</v>
      </c>
      <c r="I680" s="37">
        <v>0.20999000000000001</v>
      </c>
      <c r="J680" s="7"/>
      <c r="K680" s="7" t="str">
        <f>VLOOKUP($E680,Mapping!$E$11:$I$96,3,0)</f>
        <v>Negotiated Capex</v>
      </c>
      <c r="L680" s="7" t="str">
        <f>VLOOKUP($G680,Mapping!$E$140:$K$2771,5,0)</f>
        <v>Labour</v>
      </c>
      <c r="M680" s="7" t="str">
        <f>VLOOKUP($G680,Mapping!$E$140:$K$2771,7,0)</f>
        <v>ENDirect</v>
      </c>
      <c r="N680" s="7" t="str">
        <f>IFERROR(HLOOKUP(L680,'Calc|Weightings'!$K$5:$M$5,1,0),"Excl")</f>
        <v>Labour</v>
      </c>
      <c r="O680" s="7" t="str">
        <f>VLOOKUP(E680,Mapping!$E$11:$I$96,5,0)</f>
        <v>Negotiated Capex</v>
      </c>
      <c r="Q680" s="33">
        <v>130</v>
      </c>
      <c r="R680" s="33" t="s">
        <v>2138</v>
      </c>
      <c r="S680" s="33">
        <v>613788</v>
      </c>
      <c r="T680" s="33" t="s">
        <v>1589</v>
      </c>
      <c r="U680" s="34">
        <v>22.422599999999999</v>
      </c>
      <c r="V680" s="7"/>
      <c r="W680" s="7" t="str">
        <f>VLOOKUP($Q680,Mapping!$E$11:$I$96,3,0)</f>
        <v>Fee Based Opex</v>
      </c>
      <c r="X680" s="7" t="str">
        <f>VLOOKUP($S680,Mapping!$E$140:$K$2771,5,0)</f>
        <v>Labour</v>
      </c>
      <c r="Y680" s="7" t="str">
        <f>VLOOKUP($S680,Mapping!$E$140:$K$2771,7,0)</f>
        <v>ENDirect</v>
      </c>
      <c r="Z680" s="7" t="str">
        <f>IFERROR(HLOOKUP(X680,'Calc|Weightings'!$K$5:$M$5,1,0),"Excl")</f>
        <v>Labour</v>
      </c>
      <c r="AA680" s="7" t="str">
        <f>VLOOKUP(Q680,Mapping!$E$11:$I$96,5,0)</f>
        <v>Ancillary Network Services</v>
      </c>
      <c r="AC680" s="111">
        <v>121</v>
      </c>
      <c r="AD680" s="111" t="s">
        <v>2392</v>
      </c>
      <c r="AE680" s="111">
        <v>613566</v>
      </c>
      <c r="AF680" s="111" t="s">
        <v>1482</v>
      </c>
      <c r="AG680" s="112">
        <v>1.2738</v>
      </c>
      <c r="AI680" s="7" t="str">
        <f>VLOOKUP($AC680,Mapping!$E$11:$I$96,3,0)</f>
        <v>Connections</v>
      </c>
      <c r="AJ680" s="7" t="str">
        <f>VLOOKUP($AE680,Mapping!$E$140:$K$2771,5,0)</f>
        <v>Labour</v>
      </c>
      <c r="AK680" s="7" t="str">
        <f>VLOOKUP($AE680,Mapping!$E$140:$K$2771,7,0)</f>
        <v>ENDirect</v>
      </c>
      <c r="AL680" s="7" t="str">
        <f>IFERROR(HLOOKUP(AJ680,'Calc|Weightings'!$K$5:$M$5,1,0),"Excl")</f>
        <v>Labour</v>
      </c>
      <c r="AM680" s="7" t="str">
        <f>VLOOKUP(AC680,Mapping!$E$11:$I$96,5,0)</f>
        <v>SCS</v>
      </c>
      <c r="AO680" s="134">
        <v>131</v>
      </c>
      <c r="AP680" s="135" t="s">
        <v>2139</v>
      </c>
      <c r="AQ680" s="135">
        <v>591997</v>
      </c>
      <c r="AR680" s="135" t="s">
        <v>2194</v>
      </c>
      <c r="AS680" s="136">
        <v>-0.19857</v>
      </c>
      <c r="AU680" s="7" t="str">
        <f>VLOOKUP($AO680,Mapping!$E$11:$I$96,3,0)</f>
        <v>Replacement</v>
      </c>
      <c r="AV680" s="7" t="str">
        <f>VLOOKUP($AQ680,Mapping!$E$140:$K$2771,5,0)</f>
        <v>Contracts</v>
      </c>
      <c r="AW680" s="7" t="str">
        <f>VLOOKUP($AQ680,Mapping!$E$140:$K$2771,7,0)</f>
        <v>ENDirect</v>
      </c>
      <c r="AX680" s="7" t="str">
        <f>IFERROR(HLOOKUP(AV680,'Calc|Weightings'!$K$5:$M$5,1,0),"Excl")</f>
        <v>Contracts</v>
      </c>
      <c r="AY680" s="7" t="str">
        <f>VLOOKUP(AO680,Mapping!$E$11:$I$96,5,0)</f>
        <v>SCS</v>
      </c>
    </row>
    <row r="681" spans="1:51" x14ac:dyDescent="0.2">
      <c r="A681" s="7"/>
      <c r="B681" s="7"/>
      <c r="C681" s="7"/>
      <c r="D681" s="7"/>
      <c r="E681" s="36">
        <v>120</v>
      </c>
      <c r="F681" s="36" t="s">
        <v>2134</v>
      </c>
      <c r="G681" s="36">
        <v>613278</v>
      </c>
      <c r="H681" s="36" t="s">
        <v>2357</v>
      </c>
      <c r="I681" s="37">
        <v>13.99901</v>
      </c>
      <c r="J681" s="7"/>
      <c r="K681" s="7" t="str">
        <f>VLOOKUP($E681,Mapping!$E$11:$I$96,3,0)</f>
        <v>Negotiated Capex</v>
      </c>
      <c r="L681" s="7" t="str">
        <f>VLOOKUP($G681,Mapping!$E$140:$K$2771,5,0)</f>
        <v>Labour</v>
      </c>
      <c r="M681" s="7" t="str">
        <f>VLOOKUP($G681,Mapping!$E$140:$K$2771,7,0)</f>
        <v>ENDirect</v>
      </c>
      <c r="N681" s="7" t="str">
        <f>IFERROR(HLOOKUP(L681,'Calc|Weightings'!$K$5:$M$5,1,0),"Excl")</f>
        <v>Labour</v>
      </c>
      <c r="O681" s="7" t="str">
        <f>VLOOKUP(E681,Mapping!$E$11:$I$96,5,0)</f>
        <v>Negotiated Capex</v>
      </c>
      <c r="Q681" s="33">
        <v>130</v>
      </c>
      <c r="R681" s="33" t="s">
        <v>2138</v>
      </c>
      <c r="S681" s="33">
        <v>613858</v>
      </c>
      <c r="T681" s="33" t="s">
        <v>858</v>
      </c>
      <c r="U681" s="34">
        <v>26.294619999999998</v>
      </c>
      <c r="V681" s="7"/>
      <c r="W681" s="7" t="str">
        <f>VLOOKUP($Q681,Mapping!$E$11:$I$96,3,0)</f>
        <v>Fee Based Opex</v>
      </c>
      <c r="X681" s="7" t="str">
        <f>VLOOKUP($S681,Mapping!$E$140:$K$2771,5,0)</f>
        <v>Labour</v>
      </c>
      <c r="Y681" s="7" t="str">
        <f>VLOOKUP($S681,Mapping!$E$140:$K$2771,7,0)</f>
        <v>ENDirect</v>
      </c>
      <c r="Z681" s="7" t="str">
        <f>IFERROR(HLOOKUP(X681,'Calc|Weightings'!$K$5:$M$5,1,0),"Excl")</f>
        <v>Labour</v>
      </c>
      <c r="AA681" s="7" t="str">
        <f>VLOOKUP(Q681,Mapping!$E$11:$I$96,5,0)</f>
        <v>Ancillary Network Services</v>
      </c>
      <c r="AC681" s="111">
        <v>121</v>
      </c>
      <c r="AD681" s="111" t="s">
        <v>2392</v>
      </c>
      <c r="AE681" s="111">
        <v>613570</v>
      </c>
      <c r="AF681" s="111" t="s">
        <v>1484</v>
      </c>
      <c r="AG681" s="112">
        <v>0.53076000000000001</v>
      </c>
      <c r="AI681" s="7" t="str">
        <f>VLOOKUP($AC681,Mapping!$E$11:$I$96,3,0)</f>
        <v>Connections</v>
      </c>
      <c r="AJ681" s="7" t="str">
        <f>VLOOKUP($AE681,Mapping!$E$140:$K$2771,5,0)</f>
        <v>Labour</v>
      </c>
      <c r="AK681" s="7" t="str">
        <f>VLOOKUP($AE681,Mapping!$E$140:$K$2771,7,0)</f>
        <v>ENDirect</v>
      </c>
      <c r="AL681" s="7" t="str">
        <f>IFERROR(HLOOKUP(AJ681,'Calc|Weightings'!$K$5:$M$5,1,0),"Excl")</f>
        <v>Labour</v>
      </c>
      <c r="AM681" s="7" t="str">
        <f>VLOOKUP(AC681,Mapping!$E$11:$I$96,5,0)</f>
        <v>SCS</v>
      </c>
      <c r="AO681" s="134">
        <v>131</v>
      </c>
      <c r="AP681" s="135" t="s">
        <v>2139</v>
      </c>
      <c r="AQ681" s="135">
        <v>591999</v>
      </c>
      <c r="AR681" s="135" t="s">
        <v>2195</v>
      </c>
      <c r="AS681" s="136">
        <v>-1.6597900000000001</v>
      </c>
      <c r="AU681" s="7" t="str">
        <f>VLOOKUP($AO681,Mapping!$E$11:$I$96,3,0)</f>
        <v>Replacement</v>
      </c>
      <c r="AV681" s="7" t="str">
        <f>VLOOKUP($AQ681,Mapping!$E$140:$K$2771,5,0)</f>
        <v>Contracts</v>
      </c>
      <c r="AW681" s="7" t="str">
        <f>VLOOKUP($AQ681,Mapping!$E$140:$K$2771,7,0)</f>
        <v>ENDirect</v>
      </c>
      <c r="AX681" s="7" t="str">
        <f>IFERROR(HLOOKUP(AV681,'Calc|Weightings'!$K$5:$M$5,1,0),"Excl")</f>
        <v>Contracts</v>
      </c>
      <c r="AY681" s="7" t="str">
        <f>VLOOKUP(AO681,Mapping!$E$11:$I$96,5,0)</f>
        <v>SCS</v>
      </c>
    </row>
    <row r="682" spans="1:51" x14ac:dyDescent="0.2">
      <c r="A682" s="7"/>
      <c r="B682" s="7"/>
      <c r="C682" s="7"/>
      <c r="D682" s="7"/>
      <c r="E682" s="36">
        <v>120</v>
      </c>
      <c r="F682" s="36" t="s">
        <v>2134</v>
      </c>
      <c r="G682" s="36">
        <v>613279</v>
      </c>
      <c r="H682" s="36" t="s">
        <v>2360</v>
      </c>
      <c r="I682" s="37">
        <v>5.8795799999999998</v>
      </c>
      <c r="J682" s="7"/>
      <c r="K682" s="7" t="str">
        <f>VLOOKUP($E682,Mapping!$E$11:$I$96,3,0)</f>
        <v>Negotiated Capex</v>
      </c>
      <c r="L682" s="7" t="str">
        <f>VLOOKUP($G682,Mapping!$E$140:$K$2771,5,0)</f>
        <v>Labour</v>
      </c>
      <c r="M682" s="7" t="str">
        <f>VLOOKUP($G682,Mapping!$E$140:$K$2771,7,0)</f>
        <v>ENDirect</v>
      </c>
      <c r="N682" s="7" t="str">
        <f>IFERROR(HLOOKUP(L682,'Calc|Weightings'!$K$5:$M$5,1,0),"Excl")</f>
        <v>Labour</v>
      </c>
      <c r="O682" s="7" t="str">
        <f>VLOOKUP(E682,Mapping!$E$11:$I$96,5,0)</f>
        <v>Negotiated Capex</v>
      </c>
      <c r="Q682" s="33">
        <v>130</v>
      </c>
      <c r="R682" s="33" t="s">
        <v>2138</v>
      </c>
      <c r="S682" s="33">
        <v>613860</v>
      </c>
      <c r="T682" s="33" t="s">
        <v>860</v>
      </c>
      <c r="U682" s="34">
        <v>72.409120000000001</v>
      </c>
      <c r="V682" s="7"/>
      <c r="W682" s="7" t="str">
        <f>VLOOKUP($Q682,Mapping!$E$11:$I$96,3,0)</f>
        <v>Fee Based Opex</v>
      </c>
      <c r="X682" s="7" t="str">
        <f>VLOOKUP($S682,Mapping!$E$140:$K$2771,5,0)</f>
        <v>Labour</v>
      </c>
      <c r="Y682" s="7" t="str">
        <f>VLOOKUP($S682,Mapping!$E$140:$K$2771,7,0)</f>
        <v>ENDirect</v>
      </c>
      <c r="Z682" s="7" t="str">
        <f>IFERROR(HLOOKUP(X682,'Calc|Weightings'!$K$5:$M$5,1,0),"Excl")</f>
        <v>Labour</v>
      </c>
      <c r="AA682" s="7" t="str">
        <f>VLOOKUP(Q682,Mapping!$E$11:$I$96,5,0)</f>
        <v>Ancillary Network Services</v>
      </c>
      <c r="AC682" s="111">
        <v>121</v>
      </c>
      <c r="AD682" s="111" t="s">
        <v>2392</v>
      </c>
      <c r="AE682" s="111">
        <v>613574</v>
      </c>
      <c r="AF682" s="111" t="s">
        <v>1488</v>
      </c>
      <c r="AG682" s="112">
        <v>12.284829999999999</v>
      </c>
      <c r="AI682" s="7" t="str">
        <f>VLOOKUP($AC682,Mapping!$E$11:$I$96,3,0)</f>
        <v>Connections</v>
      </c>
      <c r="AJ682" s="7" t="str">
        <f>VLOOKUP($AE682,Mapping!$E$140:$K$2771,5,0)</f>
        <v>Labour</v>
      </c>
      <c r="AK682" s="7" t="str">
        <f>VLOOKUP($AE682,Mapping!$E$140:$K$2771,7,0)</f>
        <v>ENDirect</v>
      </c>
      <c r="AL682" s="7" t="str">
        <f>IFERROR(HLOOKUP(AJ682,'Calc|Weightings'!$K$5:$M$5,1,0),"Excl")</f>
        <v>Labour</v>
      </c>
      <c r="AM682" s="7" t="str">
        <f>VLOOKUP(AC682,Mapping!$E$11:$I$96,5,0)</f>
        <v>SCS</v>
      </c>
      <c r="AO682" s="134">
        <v>131</v>
      </c>
      <c r="AP682" s="135" t="s">
        <v>2139</v>
      </c>
      <c r="AQ682" s="135">
        <v>611860</v>
      </c>
      <c r="AR682" s="135" t="s">
        <v>2125</v>
      </c>
      <c r="AS682" s="136">
        <v>-410.47203999999999</v>
      </c>
      <c r="AU682" s="7" t="str">
        <f>VLOOKUP($AO682,Mapping!$E$11:$I$96,3,0)</f>
        <v>Replacement</v>
      </c>
      <c r="AV682" s="7" t="str">
        <f>VLOOKUP($AQ682,Mapping!$E$140:$K$2771,5,0)</f>
        <v>Labour</v>
      </c>
      <c r="AW682" s="7" t="str">
        <f>VLOOKUP($AQ682,Mapping!$E$140:$K$2771,7,0)</f>
        <v>ENDirect</v>
      </c>
      <c r="AX682" s="7" t="str">
        <f>IFERROR(HLOOKUP(AV682,'Calc|Weightings'!$K$5:$M$5,1,0),"Excl")</f>
        <v>Labour</v>
      </c>
      <c r="AY682" s="7" t="str">
        <f>VLOOKUP(AO682,Mapping!$E$11:$I$96,5,0)</f>
        <v>SCS</v>
      </c>
    </row>
    <row r="683" spans="1:51" x14ac:dyDescent="0.2">
      <c r="A683" s="7"/>
      <c r="B683" s="7"/>
      <c r="C683" s="7"/>
      <c r="D683" s="7"/>
      <c r="E683" s="36">
        <v>120</v>
      </c>
      <c r="F683" s="36" t="s">
        <v>2134</v>
      </c>
      <c r="G683" s="36">
        <v>613280</v>
      </c>
      <c r="H683" s="36" t="s">
        <v>1342</v>
      </c>
      <c r="I683" s="37">
        <v>23.500319999999999</v>
      </c>
      <c r="J683" s="7"/>
      <c r="K683" s="7" t="str">
        <f>VLOOKUP($E683,Mapping!$E$11:$I$96,3,0)</f>
        <v>Negotiated Capex</v>
      </c>
      <c r="L683" s="7" t="str">
        <f>VLOOKUP($G683,Mapping!$E$140:$K$2771,5,0)</f>
        <v>Labour</v>
      </c>
      <c r="M683" s="7" t="str">
        <f>VLOOKUP($G683,Mapping!$E$140:$K$2771,7,0)</f>
        <v>ENDirect</v>
      </c>
      <c r="N683" s="7" t="str">
        <f>IFERROR(HLOOKUP(L683,'Calc|Weightings'!$K$5:$M$5,1,0),"Excl")</f>
        <v>Labour</v>
      </c>
      <c r="O683" s="7" t="str">
        <f>VLOOKUP(E683,Mapping!$E$11:$I$96,5,0)</f>
        <v>Negotiated Capex</v>
      </c>
      <c r="Q683" s="33">
        <v>130</v>
      </c>
      <c r="R683" s="33" t="s">
        <v>2138</v>
      </c>
      <c r="S683" s="33">
        <v>635000</v>
      </c>
      <c r="T683" s="33" t="s">
        <v>2128</v>
      </c>
      <c r="U683" s="34">
        <v>5.3580699999999997</v>
      </c>
      <c r="V683" s="7"/>
      <c r="W683" s="7" t="str">
        <f>VLOOKUP($Q683,Mapping!$E$11:$I$96,3,0)</f>
        <v>Fee Based Opex</v>
      </c>
      <c r="X683" s="7" t="str">
        <f>VLOOKUP($S683,Mapping!$E$140:$K$2771,5,0)</f>
        <v>PNS MG</v>
      </c>
      <c r="Y683" s="7" t="str">
        <f>VLOOKUP($S683,Mapping!$E$140:$K$2771,7,0)</f>
        <v>ENDirect</v>
      </c>
      <c r="Z683" s="7" t="str">
        <f>IFERROR(HLOOKUP(X683,'Calc|Weightings'!$K$5:$M$5,1,0),"Excl")</f>
        <v>Excl</v>
      </c>
      <c r="AA683" s="7" t="str">
        <f>VLOOKUP(Q683,Mapping!$E$11:$I$96,5,0)</f>
        <v>Ancillary Network Services</v>
      </c>
      <c r="AC683" s="111">
        <v>121</v>
      </c>
      <c r="AD683" s="111" t="s">
        <v>2392</v>
      </c>
      <c r="AE683" s="111">
        <v>613680</v>
      </c>
      <c r="AF683" s="111" t="s">
        <v>2107</v>
      </c>
      <c r="AG683" s="112">
        <v>6.0548799999999998</v>
      </c>
      <c r="AI683" s="7" t="str">
        <f>VLOOKUP($AC683,Mapping!$E$11:$I$96,3,0)</f>
        <v>Connections</v>
      </c>
      <c r="AJ683" s="7" t="str">
        <f>VLOOKUP($AE683,Mapping!$E$140:$K$2771,5,0)</f>
        <v>Labour</v>
      </c>
      <c r="AK683" s="7" t="str">
        <f>VLOOKUP($AE683,Mapping!$E$140:$K$2771,7,0)</f>
        <v>ENDirect</v>
      </c>
      <c r="AL683" s="7" t="str">
        <f>IFERROR(HLOOKUP(AJ683,'Calc|Weightings'!$K$5:$M$5,1,0),"Excl")</f>
        <v>Labour</v>
      </c>
      <c r="AM683" s="7" t="str">
        <f>VLOOKUP(AC683,Mapping!$E$11:$I$96,5,0)</f>
        <v>SCS</v>
      </c>
      <c r="AO683" s="134">
        <v>131</v>
      </c>
      <c r="AP683" s="135" t="s">
        <v>2139</v>
      </c>
      <c r="AQ683" s="135">
        <v>611861</v>
      </c>
      <c r="AR683" s="135" t="s">
        <v>2140</v>
      </c>
      <c r="AS683" s="136">
        <v>-153.2441</v>
      </c>
      <c r="AU683" s="7" t="str">
        <f>VLOOKUP($AO683,Mapping!$E$11:$I$96,3,0)</f>
        <v>Replacement</v>
      </c>
      <c r="AV683" s="7" t="str">
        <f>VLOOKUP($AQ683,Mapping!$E$140:$K$2771,5,0)</f>
        <v>Labour</v>
      </c>
      <c r="AW683" s="7" t="str">
        <f>VLOOKUP($AQ683,Mapping!$E$140:$K$2771,7,0)</f>
        <v>ENDirect</v>
      </c>
      <c r="AX683" s="7" t="str">
        <f>IFERROR(HLOOKUP(AV683,'Calc|Weightings'!$K$5:$M$5,1,0),"Excl")</f>
        <v>Labour</v>
      </c>
      <c r="AY683" s="7" t="str">
        <f>VLOOKUP(AO683,Mapping!$E$11:$I$96,5,0)</f>
        <v>SCS</v>
      </c>
    </row>
    <row r="684" spans="1:51" x14ac:dyDescent="0.2">
      <c r="A684" s="7"/>
      <c r="B684" s="7"/>
      <c r="C684" s="7"/>
      <c r="D684" s="7"/>
      <c r="E684" s="36">
        <v>120</v>
      </c>
      <c r="F684" s="36" t="s">
        <v>2134</v>
      </c>
      <c r="G684" s="36">
        <v>613281</v>
      </c>
      <c r="H684" s="36" t="s">
        <v>1343</v>
      </c>
      <c r="I684" s="37">
        <v>0.73580000000000001</v>
      </c>
      <c r="J684" s="7"/>
      <c r="K684" s="7" t="str">
        <f>VLOOKUP($E684,Mapping!$E$11:$I$96,3,0)</f>
        <v>Negotiated Capex</v>
      </c>
      <c r="L684" s="7" t="str">
        <f>VLOOKUP($G684,Mapping!$E$140:$K$2771,5,0)</f>
        <v>Labour</v>
      </c>
      <c r="M684" s="7" t="str">
        <f>VLOOKUP($G684,Mapping!$E$140:$K$2771,7,0)</f>
        <v>ENDirect</v>
      </c>
      <c r="N684" s="7" t="str">
        <f>IFERROR(HLOOKUP(L684,'Calc|Weightings'!$K$5:$M$5,1,0),"Excl")</f>
        <v>Labour</v>
      </c>
      <c r="O684" s="7" t="str">
        <f>VLOOKUP(E684,Mapping!$E$11:$I$96,5,0)</f>
        <v>Negotiated Capex</v>
      </c>
      <c r="Q684" s="33">
        <v>130</v>
      </c>
      <c r="R684" s="33" t="s">
        <v>2138</v>
      </c>
      <c r="S684" s="33">
        <v>635001</v>
      </c>
      <c r="T684" s="33" t="s">
        <v>1929</v>
      </c>
      <c r="U684" s="34">
        <v>1.4899500000000001</v>
      </c>
      <c r="V684" s="7"/>
      <c r="W684" s="7" t="str">
        <f>VLOOKUP($Q684,Mapping!$E$11:$I$96,3,0)</f>
        <v>Fee Based Opex</v>
      </c>
      <c r="X684" s="7" t="str">
        <f>VLOOKUP($S684,Mapping!$E$140:$K$2771,5,0)</f>
        <v>PNS MG</v>
      </c>
      <c r="Y684" s="7" t="str">
        <f>VLOOKUP($S684,Mapping!$E$140:$K$2771,7,0)</f>
        <v>ENDirect</v>
      </c>
      <c r="Z684" s="7" t="str">
        <f>IFERROR(HLOOKUP(X684,'Calc|Weightings'!$K$5:$M$5,1,0),"Excl")</f>
        <v>Excl</v>
      </c>
      <c r="AA684" s="7" t="str">
        <f>VLOOKUP(Q684,Mapping!$E$11:$I$96,5,0)</f>
        <v>Ancillary Network Services</v>
      </c>
      <c r="AC684" s="111">
        <v>121</v>
      </c>
      <c r="AD684" s="111" t="s">
        <v>2392</v>
      </c>
      <c r="AE684" s="111">
        <v>615395</v>
      </c>
      <c r="AF684" s="111" t="s">
        <v>2196</v>
      </c>
      <c r="AG684" s="112">
        <v>1.665</v>
      </c>
      <c r="AI684" s="7" t="str">
        <f>VLOOKUP($AC684,Mapping!$E$11:$I$96,3,0)</f>
        <v>Connections</v>
      </c>
      <c r="AJ684" s="7" t="str">
        <f>VLOOKUP($AE684,Mapping!$E$140:$K$2771,5,0)</f>
        <v>Labour</v>
      </c>
      <c r="AK684" s="7" t="str">
        <f>VLOOKUP($AE684,Mapping!$E$140:$K$2771,7,0)</f>
        <v>ENDirect</v>
      </c>
      <c r="AL684" s="7" t="str">
        <f>IFERROR(HLOOKUP(AJ684,'Calc|Weightings'!$K$5:$M$5,1,0),"Excl")</f>
        <v>Labour</v>
      </c>
      <c r="AM684" s="7" t="str">
        <f>VLOOKUP(AC684,Mapping!$E$11:$I$96,5,0)</f>
        <v>SCS</v>
      </c>
      <c r="AO684" s="134">
        <v>131</v>
      </c>
      <c r="AP684" s="135" t="s">
        <v>2139</v>
      </c>
      <c r="AQ684" s="135">
        <v>611900</v>
      </c>
      <c r="AR684" s="135" t="s">
        <v>2079</v>
      </c>
      <c r="AS684" s="136">
        <v>7.2036699999999998</v>
      </c>
      <c r="AU684" s="7" t="str">
        <f>VLOOKUP($AO684,Mapping!$E$11:$I$96,3,0)</f>
        <v>Replacement</v>
      </c>
      <c r="AV684" s="7" t="str">
        <f>VLOOKUP($AQ684,Mapping!$E$140:$K$2771,5,0)</f>
        <v>Contracts</v>
      </c>
      <c r="AW684" s="7" t="str">
        <f>VLOOKUP($AQ684,Mapping!$E$140:$K$2771,7,0)</f>
        <v>ENDirect</v>
      </c>
      <c r="AX684" s="7" t="str">
        <f>IFERROR(HLOOKUP(AV684,'Calc|Weightings'!$K$5:$M$5,1,0),"Excl")</f>
        <v>Contracts</v>
      </c>
      <c r="AY684" s="7" t="str">
        <f>VLOOKUP(AO684,Mapping!$E$11:$I$96,5,0)</f>
        <v>SCS</v>
      </c>
    </row>
    <row r="685" spans="1:51" x14ac:dyDescent="0.2">
      <c r="A685" s="7"/>
      <c r="B685" s="7"/>
      <c r="C685" s="7"/>
      <c r="D685" s="7"/>
      <c r="E685" s="36">
        <v>120</v>
      </c>
      <c r="F685" s="36" t="s">
        <v>2134</v>
      </c>
      <c r="G685" s="36">
        <v>613290</v>
      </c>
      <c r="H685" s="36" t="s">
        <v>2093</v>
      </c>
      <c r="I685" s="37">
        <v>0.46695999999999999</v>
      </c>
      <c r="J685" s="7"/>
      <c r="K685" s="7" t="str">
        <f>VLOOKUP($E685,Mapping!$E$11:$I$96,3,0)</f>
        <v>Negotiated Capex</v>
      </c>
      <c r="L685" s="7" t="str">
        <f>VLOOKUP($G685,Mapping!$E$140:$K$2771,5,0)</f>
        <v>Labour</v>
      </c>
      <c r="M685" s="7" t="str">
        <f>VLOOKUP($G685,Mapping!$E$140:$K$2771,7,0)</f>
        <v>ENDirect</v>
      </c>
      <c r="N685" s="7" t="str">
        <f>IFERROR(HLOOKUP(L685,'Calc|Weightings'!$K$5:$M$5,1,0),"Excl")</f>
        <v>Labour</v>
      </c>
      <c r="O685" s="7" t="str">
        <f>VLOOKUP(E685,Mapping!$E$11:$I$96,5,0)</f>
        <v>Negotiated Capex</v>
      </c>
      <c r="Q685" s="33">
        <v>130</v>
      </c>
      <c r="R685" s="33" t="s">
        <v>2138</v>
      </c>
      <c r="S685" s="33">
        <v>636105</v>
      </c>
      <c r="T685" s="33" t="s">
        <v>1937</v>
      </c>
      <c r="U685" s="34">
        <v>4.8631200000000003</v>
      </c>
      <c r="V685" s="7"/>
      <c r="W685" s="7" t="str">
        <f>VLOOKUP($Q685,Mapping!$E$11:$I$96,3,0)</f>
        <v>Fee Based Opex</v>
      </c>
      <c r="X685" s="7" t="str">
        <f>VLOOKUP($S685,Mapping!$E$140:$K$2771,5,0)</f>
        <v>CSG MG</v>
      </c>
      <c r="Y685" s="7" t="str">
        <f>VLOOKUP($S685,Mapping!$E$140:$K$2771,7,0)</f>
        <v>ENDirect</v>
      </c>
      <c r="Z685" s="7" t="str">
        <f>IFERROR(HLOOKUP(X685,'Calc|Weightings'!$K$5:$M$5,1,0),"Excl")</f>
        <v>Excl</v>
      </c>
      <c r="AA685" s="7" t="str">
        <f>VLOOKUP(Q685,Mapping!$E$11:$I$96,5,0)</f>
        <v>Ancillary Network Services</v>
      </c>
      <c r="AC685" s="111">
        <v>121</v>
      </c>
      <c r="AD685" s="111" t="s">
        <v>2392</v>
      </c>
      <c r="AE685" s="111">
        <v>634001</v>
      </c>
      <c r="AF685" s="111" t="s">
        <v>2110</v>
      </c>
      <c r="AG685" s="112">
        <v>40.678989999999999</v>
      </c>
      <c r="AI685" s="7" t="str">
        <f>VLOOKUP($AC685,Mapping!$E$11:$I$96,3,0)</f>
        <v>Connections</v>
      </c>
      <c r="AJ685" s="7" t="str">
        <f>VLOOKUP($AE685,Mapping!$E$140:$K$2771,5,0)</f>
        <v>Local OH</v>
      </c>
      <c r="AK685" s="7" t="str">
        <f>VLOOKUP($AE685,Mapping!$E$140:$K$2771,7,0)</f>
        <v>OH</v>
      </c>
      <c r="AL685" s="7" t="str">
        <f>IFERROR(HLOOKUP(AJ685,'Calc|Weightings'!$K$5:$M$5,1,0),"Excl")</f>
        <v>Excl</v>
      </c>
      <c r="AM685" s="7" t="str">
        <f>VLOOKUP(AC685,Mapping!$E$11:$I$96,5,0)</f>
        <v>SCS</v>
      </c>
      <c r="AO685" s="134">
        <v>131</v>
      </c>
      <c r="AP685" s="135" t="s">
        <v>2139</v>
      </c>
      <c r="AQ685" s="135">
        <v>611901</v>
      </c>
      <c r="AR685" s="135" t="s">
        <v>2080</v>
      </c>
      <c r="AS685" s="136">
        <v>14.681889999999999</v>
      </c>
      <c r="AU685" s="7" t="str">
        <f>VLOOKUP($AO685,Mapping!$E$11:$I$96,3,0)</f>
        <v>Replacement</v>
      </c>
      <c r="AV685" s="7" t="str">
        <f>VLOOKUP($AQ685,Mapping!$E$140:$K$2771,5,0)</f>
        <v>Contracts</v>
      </c>
      <c r="AW685" s="7" t="str">
        <f>VLOOKUP($AQ685,Mapping!$E$140:$K$2771,7,0)</f>
        <v>ENDirect</v>
      </c>
      <c r="AX685" s="7" t="str">
        <f>IFERROR(HLOOKUP(AV685,'Calc|Weightings'!$K$5:$M$5,1,0),"Excl")</f>
        <v>Contracts</v>
      </c>
      <c r="AY685" s="7" t="str">
        <f>VLOOKUP(AO685,Mapping!$E$11:$I$96,5,0)</f>
        <v>SCS</v>
      </c>
    </row>
    <row r="686" spans="1:51" x14ac:dyDescent="0.2">
      <c r="A686" s="7"/>
      <c r="B686" s="7"/>
      <c r="C686" s="7"/>
      <c r="D686" s="7"/>
      <c r="E686" s="36">
        <v>120</v>
      </c>
      <c r="F686" s="36" t="s">
        <v>2134</v>
      </c>
      <c r="G686" s="36">
        <v>613298</v>
      </c>
      <c r="H686" s="36" t="s">
        <v>2122</v>
      </c>
      <c r="I686" s="37">
        <v>102.62866</v>
      </c>
      <c r="J686" s="7"/>
      <c r="K686" s="7" t="str">
        <f>VLOOKUP($E686,Mapping!$E$11:$I$96,3,0)</f>
        <v>Negotiated Capex</v>
      </c>
      <c r="L686" s="7" t="str">
        <f>VLOOKUP($G686,Mapping!$E$140:$K$2771,5,0)</f>
        <v>Labour</v>
      </c>
      <c r="M686" s="7" t="str">
        <f>VLOOKUP($G686,Mapping!$E$140:$K$2771,7,0)</f>
        <v>ENDirect</v>
      </c>
      <c r="N686" s="7" t="str">
        <f>IFERROR(HLOOKUP(L686,'Calc|Weightings'!$K$5:$M$5,1,0),"Excl")</f>
        <v>Labour</v>
      </c>
      <c r="O686" s="7" t="str">
        <f>VLOOKUP(E686,Mapping!$E$11:$I$96,5,0)</f>
        <v>Negotiated Capex</v>
      </c>
      <c r="Q686" s="33">
        <v>130</v>
      </c>
      <c r="R686" s="33" t="s">
        <v>2138</v>
      </c>
      <c r="S686" s="33">
        <v>639000</v>
      </c>
      <c r="T686" s="33" t="s">
        <v>2112</v>
      </c>
      <c r="U686" s="34">
        <v>7.2426500000000003</v>
      </c>
      <c r="V686" s="7"/>
      <c r="W686" s="7" t="str">
        <f>VLOOKUP($Q686,Mapping!$E$11:$I$96,3,0)</f>
        <v>Fee Based Opex</v>
      </c>
      <c r="X686" s="7" t="str">
        <f>VLOOKUP($S686,Mapping!$E$140:$K$2771,5,0)</f>
        <v>PNS Corporate OH</v>
      </c>
      <c r="Y686" s="7" t="str">
        <f>VLOOKUP($S686,Mapping!$E$140:$K$2771,7,0)</f>
        <v>OH</v>
      </c>
      <c r="Z686" s="7" t="str">
        <f>IFERROR(HLOOKUP(X686,'Calc|Weightings'!$K$5:$M$5,1,0),"Excl")</f>
        <v>Excl</v>
      </c>
      <c r="AA686" s="7" t="str">
        <f>VLOOKUP(Q686,Mapping!$E$11:$I$96,5,0)</f>
        <v>Ancillary Network Services</v>
      </c>
      <c r="AC686" s="111">
        <v>121</v>
      </c>
      <c r="AD686" s="111" t="s">
        <v>2392</v>
      </c>
      <c r="AE686" s="111">
        <v>635001</v>
      </c>
      <c r="AF686" s="111" t="s">
        <v>1929</v>
      </c>
      <c r="AG686" s="112">
        <v>18.424119999999998</v>
      </c>
      <c r="AI686" s="7" t="str">
        <f>VLOOKUP($AC686,Mapping!$E$11:$I$96,3,0)</f>
        <v>Connections</v>
      </c>
      <c r="AJ686" s="7" t="str">
        <f>VLOOKUP($AE686,Mapping!$E$140:$K$2771,5,0)</f>
        <v>PNS MG</v>
      </c>
      <c r="AK686" s="7" t="str">
        <f>VLOOKUP($AE686,Mapping!$E$140:$K$2771,7,0)</f>
        <v>ENDirect</v>
      </c>
      <c r="AL686" s="7" t="str">
        <f>IFERROR(HLOOKUP(AJ686,'Calc|Weightings'!$K$5:$M$5,1,0),"Excl")</f>
        <v>Excl</v>
      </c>
      <c r="AM686" s="7" t="str">
        <f>VLOOKUP(AC686,Mapping!$E$11:$I$96,5,0)</f>
        <v>SCS</v>
      </c>
      <c r="AO686" s="134">
        <v>131</v>
      </c>
      <c r="AP686" s="135" t="s">
        <v>2139</v>
      </c>
      <c r="AQ686" s="135">
        <v>611902</v>
      </c>
      <c r="AR686" s="135" t="s">
        <v>2081</v>
      </c>
      <c r="AS686" s="136">
        <v>0.55513999999999997</v>
      </c>
      <c r="AU686" s="7" t="str">
        <f>VLOOKUP($AO686,Mapping!$E$11:$I$96,3,0)</f>
        <v>Replacement</v>
      </c>
      <c r="AV686" s="7" t="str">
        <f>VLOOKUP($AQ686,Mapping!$E$140:$K$2771,5,0)</f>
        <v>Contracts</v>
      </c>
      <c r="AW686" s="7" t="str">
        <f>VLOOKUP($AQ686,Mapping!$E$140:$K$2771,7,0)</f>
        <v>ENDirect</v>
      </c>
      <c r="AX686" s="7" t="str">
        <f>IFERROR(HLOOKUP(AV686,'Calc|Weightings'!$K$5:$M$5,1,0),"Excl")</f>
        <v>Contracts</v>
      </c>
      <c r="AY686" s="7" t="str">
        <f>VLOOKUP(AO686,Mapping!$E$11:$I$96,5,0)</f>
        <v>SCS</v>
      </c>
    </row>
    <row r="687" spans="1:51" x14ac:dyDescent="0.2">
      <c r="A687" s="7"/>
      <c r="B687" s="7"/>
      <c r="C687" s="7"/>
      <c r="D687" s="7"/>
      <c r="E687" s="36">
        <v>120</v>
      </c>
      <c r="F687" s="36" t="s">
        <v>2134</v>
      </c>
      <c r="G687" s="36">
        <v>613318</v>
      </c>
      <c r="H687" s="36" t="s">
        <v>1360</v>
      </c>
      <c r="I687" s="37">
        <v>1.04945</v>
      </c>
      <c r="J687" s="7"/>
      <c r="K687" s="7" t="str">
        <f>VLOOKUP($E687,Mapping!$E$11:$I$96,3,0)</f>
        <v>Negotiated Capex</v>
      </c>
      <c r="L687" s="7" t="str">
        <f>VLOOKUP($G687,Mapping!$E$140:$K$2771,5,0)</f>
        <v>Labour</v>
      </c>
      <c r="M687" s="7" t="str">
        <f>VLOOKUP($G687,Mapping!$E$140:$K$2771,7,0)</f>
        <v>ENDirect</v>
      </c>
      <c r="N687" s="7" t="str">
        <f>IFERROR(HLOOKUP(L687,'Calc|Weightings'!$K$5:$M$5,1,0),"Excl")</f>
        <v>Labour</v>
      </c>
      <c r="O687" s="7" t="str">
        <f>VLOOKUP(E687,Mapping!$E$11:$I$96,5,0)</f>
        <v>Negotiated Capex</v>
      </c>
      <c r="Q687" s="33">
        <v>130</v>
      </c>
      <c r="R687" s="33" t="s">
        <v>2138</v>
      </c>
      <c r="S687" s="33">
        <v>639050</v>
      </c>
      <c r="T687" s="33" t="s">
        <v>2113</v>
      </c>
      <c r="U687" s="34">
        <v>0.12901000000000001</v>
      </c>
      <c r="V687" s="7"/>
      <c r="W687" s="7" t="str">
        <f>VLOOKUP($Q687,Mapping!$E$11:$I$96,3,0)</f>
        <v>Fee Based Opex</v>
      </c>
      <c r="X687" s="7" t="str">
        <f>VLOOKUP($S687,Mapping!$E$140:$K$2771,5,0)</f>
        <v>PNS Fleet &amp; Property OH</v>
      </c>
      <c r="Y687" s="7" t="str">
        <f>VLOOKUP($S687,Mapping!$E$140:$K$2771,7,0)</f>
        <v>OH</v>
      </c>
      <c r="Z687" s="7" t="str">
        <f>IFERROR(HLOOKUP(X687,'Calc|Weightings'!$K$5:$M$5,1,0),"Excl")</f>
        <v>Excl</v>
      </c>
      <c r="AA687" s="7" t="str">
        <f>VLOOKUP(Q687,Mapping!$E$11:$I$96,5,0)</f>
        <v>Ancillary Network Services</v>
      </c>
      <c r="AC687" s="111">
        <v>121</v>
      </c>
      <c r="AD687" s="111" t="s">
        <v>2392</v>
      </c>
      <c r="AE687" s="111">
        <v>636001</v>
      </c>
      <c r="AF687" s="111" t="s">
        <v>2111</v>
      </c>
      <c r="AG687" s="112">
        <v>8.4944500000000005</v>
      </c>
      <c r="AI687" s="7" t="str">
        <f>VLOOKUP($AC687,Mapping!$E$11:$I$96,3,0)</f>
        <v>Connections</v>
      </c>
      <c r="AJ687" s="7" t="str">
        <f>VLOOKUP($AE687,Mapping!$E$140:$K$2771,5,0)</f>
        <v>System Control OH</v>
      </c>
      <c r="AK687" s="7" t="str">
        <f>VLOOKUP($AE687,Mapping!$E$140:$K$2771,7,0)</f>
        <v>OH</v>
      </c>
      <c r="AL687" s="7" t="str">
        <f>IFERROR(HLOOKUP(AJ687,'Calc|Weightings'!$K$5:$M$5,1,0),"Excl")</f>
        <v>Excl</v>
      </c>
      <c r="AM687" s="7" t="str">
        <f>VLOOKUP(AC687,Mapping!$E$11:$I$96,5,0)</f>
        <v>SCS</v>
      </c>
      <c r="AO687" s="134">
        <v>131</v>
      </c>
      <c r="AP687" s="135" t="s">
        <v>2139</v>
      </c>
      <c r="AQ687" s="135">
        <v>612210</v>
      </c>
      <c r="AR687" s="135" t="s">
        <v>1184</v>
      </c>
      <c r="AS687" s="136">
        <v>-6.0101100000000001</v>
      </c>
      <c r="AU687" s="7" t="str">
        <f>VLOOKUP($AO687,Mapping!$E$11:$I$96,3,0)</f>
        <v>Replacement</v>
      </c>
      <c r="AV687" s="7" t="str">
        <f>VLOOKUP($AQ687,Mapping!$E$140:$K$2771,5,0)</f>
        <v>Labour</v>
      </c>
      <c r="AW687" s="7" t="str">
        <f>VLOOKUP($AQ687,Mapping!$E$140:$K$2771,7,0)</f>
        <v>ENDirect</v>
      </c>
      <c r="AX687" s="7" t="str">
        <f>IFERROR(HLOOKUP(AV687,'Calc|Weightings'!$K$5:$M$5,1,0),"Excl")</f>
        <v>Labour</v>
      </c>
      <c r="AY687" s="7" t="str">
        <f>VLOOKUP(AO687,Mapping!$E$11:$I$96,5,0)</f>
        <v>SCS</v>
      </c>
    </row>
    <row r="688" spans="1:51" x14ac:dyDescent="0.2">
      <c r="A688" s="7"/>
      <c r="B688" s="7"/>
      <c r="C688" s="7"/>
      <c r="D688" s="7"/>
      <c r="E688" s="36">
        <v>120</v>
      </c>
      <c r="F688" s="36" t="s">
        <v>2134</v>
      </c>
      <c r="G688" s="36">
        <v>613350</v>
      </c>
      <c r="H688" s="36" t="s">
        <v>2096</v>
      </c>
      <c r="I688" s="37">
        <v>7.52895</v>
      </c>
      <c r="J688" s="7"/>
      <c r="K688" s="7" t="str">
        <f>VLOOKUP($E688,Mapping!$E$11:$I$96,3,0)</f>
        <v>Negotiated Capex</v>
      </c>
      <c r="L688" s="7" t="str">
        <f>VLOOKUP($G688,Mapping!$E$140:$K$2771,5,0)</f>
        <v>Labour</v>
      </c>
      <c r="M688" s="7" t="str">
        <f>VLOOKUP($G688,Mapping!$E$140:$K$2771,7,0)</f>
        <v>ENDirect</v>
      </c>
      <c r="N688" s="7" t="str">
        <f>IFERROR(HLOOKUP(L688,'Calc|Weightings'!$K$5:$M$5,1,0),"Excl")</f>
        <v>Labour</v>
      </c>
      <c r="O688" s="7" t="str">
        <f>VLOOKUP(E688,Mapping!$E$11:$I$96,5,0)</f>
        <v>Negotiated Capex</v>
      </c>
      <c r="Q688" s="33">
        <v>131</v>
      </c>
      <c r="R688" s="33" t="s">
        <v>2139</v>
      </c>
      <c r="S688" s="33">
        <v>500200</v>
      </c>
      <c r="T688" s="33" t="s">
        <v>136</v>
      </c>
      <c r="U688" s="34">
        <v>2.9999999999999997E-4</v>
      </c>
      <c r="V688" s="7"/>
      <c r="W688" s="7" t="str">
        <f>VLOOKUP($Q688,Mapping!$E$11:$I$96,3,0)</f>
        <v>Replacement</v>
      </c>
      <c r="X688" s="7" t="str">
        <f>VLOOKUP($S688,Mapping!$E$140:$K$2771,5,0)</f>
        <v>Labour</v>
      </c>
      <c r="Y688" s="7" t="str">
        <f>VLOOKUP($S688,Mapping!$E$140:$K$2771,7,0)</f>
        <v>ENDirect</v>
      </c>
      <c r="Z688" s="7" t="str">
        <f>IFERROR(HLOOKUP(X688,'Calc|Weightings'!$K$5:$M$5,1,0),"Excl")</f>
        <v>Labour</v>
      </c>
      <c r="AA688" s="7" t="str">
        <f>VLOOKUP(Q688,Mapping!$E$11:$I$96,5,0)</f>
        <v>SCS</v>
      </c>
      <c r="AC688" s="111">
        <v>121</v>
      </c>
      <c r="AD688" s="111" t="s">
        <v>2392</v>
      </c>
      <c r="AE688" s="111">
        <v>639000</v>
      </c>
      <c r="AF688" s="111" t="s">
        <v>2112</v>
      </c>
      <c r="AG688" s="112">
        <v>28.67483</v>
      </c>
      <c r="AI688" s="7" t="str">
        <f>VLOOKUP($AC688,Mapping!$E$11:$I$96,3,0)</f>
        <v>Connections</v>
      </c>
      <c r="AJ688" s="7" t="str">
        <f>VLOOKUP($AE688,Mapping!$E$140:$K$2771,5,0)</f>
        <v>PNS Corporate OH</v>
      </c>
      <c r="AK688" s="7" t="str">
        <f>VLOOKUP($AE688,Mapping!$E$140:$K$2771,7,0)</f>
        <v>OH</v>
      </c>
      <c r="AL688" s="7" t="str">
        <f>IFERROR(HLOOKUP(AJ688,'Calc|Weightings'!$K$5:$M$5,1,0),"Excl")</f>
        <v>Excl</v>
      </c>
      <c r="AM688" s="7" t="str">
        <f>VLOOKUP(AC688,Mapping!$E$11:$I$96,5,0)</f>
        <v>SCS</v>
      </c>
      <c r="AO688" s="134">
        <v>131</v>
      </c>
      <c r="AP688" s="135" t="s">
        <v>2139</v>
      </c>
      <c r="AQ688" s="135">
        <v>613236</v>
      </c>
      <c r="AR688" s="135" t="s">
        <v>2420</v>
      </c>
      <c r="AS688" s="136">
        <v>6.6125699999999998</v>
      </c>
      <c r="AU688" s="7" t="str">
        <f>VLOOKUP($AO688,Mapping!$E$11:$I$96,3,0)</f>
        <v>Replacement</v>
      </c>
      <c r="AV688" s="7" t="str">
        <f>VLOOKUP($AQ688,Mapping!$E$140:$K$2771,5,0)</f>
        <v>Labour</v>
      </c>
      <c r="AW688" s="7" t="str">
        <f>VLOOKUP($AQ688,Mapping!$E$140:$K$2771,7,0)</f>
        <v>ENDirect</v>
      </c>
      <c r="AX688" s="7" t="str">
        <f>IFERROR(HLOOKUP(AV688,'Calc|Weightings'!$K$5:$M$5,1,0),"Excl")</f>
        <v>Labour</v>
      </c>
      <c r="AY688" s="7" t="str">
        <f>VLOOKUP(AO688,Mapping!$E$11:$I$96,5,0)</f>
        <v>SCS</v>
      </c>
    </row>
    <row r="689" spans="1:51" x14ac:dyDescent="0.2">
      <c r="A689" s="7"/>
      <c r="B689" s="7"/>
      <c r="C689" s="7"/>
      <c r="D689" s="7"/>
      <c r="E689" s="36">
        <v>120</v>
      </c>
      <c r="F689" s="36" t="s">
        <v>2134</v>
      </c>
      <c r="G689" s="36">
        <v>613360</v>
      </c>
      <c r="H689" s="36" t="s">
        <v>2097</v>
      </c>
      <c r="I689" s="37">
        <v>47.769500000000001</v>
      </c>
      <c r="J689" s="7"/>
      <c r="K689" s="7" t="str">
        <f>VLOOKUP($E689,Mapping!$E$11:$I$96,3,0)</f>
        <v>Negotiated Capex</v>
      </c>
      <c r="L689" s="7" t="str">
        <f>VLOOKUP($G689,Mapping!$E$140:$K$2771,5,0)</f>
        <v>Labour</v>
      </c>
      <c r="M689" s="7" t="str">
        <f>VLOOKUP($G689,Mapping!$E$140:$K$2771,7,0)</f>
        <v>ENDirect</v>
      </c>
      <c r="N689" s="7" t="str">
        <f>IFERROR(HLOOKUP(L689,'Calc|Weightings'!$K$5:$M$5,1,0),"Excl")</f>
        <v>Labour</v>
      </c>
      <c r="O689" s="7" t="str">
        <f>VLOOKUP(E689,Mapping!$E$11:$I$96,5,0)</f>
        <v>Negotiated Capex</v>
      </c>
      <c r="Q689" s="33">
        <v>131</v>
      </c>
      <c r="R689" s="33" t="s">
        <v>2139</v>
      </c>
      <c r="S689" s="33">
        <v>520100</v>
      </c>
      <c r="T689" s="33" t="s">
        <v>2072</v>
      </c>
      <c r="U689" s="34">
        <v>196.32570000000001</v>
      </c>
      <c r="V689" s="7"/>
      <c r="W689" s="7" t="str">
        <f>VLOOKUP($Q689,Mapping!$E$11:$I$96,3,0)</f>
        <v>Replacement</v>
      </c>
      <c r="X689" s="7" t="str">
        <f>VLOOKUP($S689,Mapping!$E$140:$K$2771,5,0)</f>
        <v>Materials</v>
      </c>
      <c r="Y689" s="7" t="str">
        <f>VLOOKUP($S689,Mapping!$E$140:$K$2771,7,0)</f>
        <v>ENDirect</v>
      </c>
      <c r="Z689" s="7" t="str">
        <f>IFERROR(HLOOKUP(X689,'Calc|Weightings'!$K$5:$M$5,1,0),"Excl")</f>
        <v>Materials</v>
      </c>
      <c r="AA689" s="7" t="str">
        <f>VLOOKUP(Q689,Mapping!$E$11:$I$96,5,0)</f>
        <v>SCS</v>
      </c>
      <c r="AC689" s="111">
        <v>121</v>
      </c>
      <c r="AD689" s="111" t="s">
        <v>2392</v>
      </c>
      <c r="AE689" s="111">
        <v>639050</v>
      </c>
      <c r="AF689" s="111" t="s">
        <v>2113</v>
      </c>
      <c r="AG689" s="112">
        <v>2.7036199999999999</v>
      </c>
      <c r="AI689" s="7" t="str">
        <f>VLOOKUP($AC689,Mapping!$E$11:$I$96,3,0)</f>
        <v>Connections</v>
      </c>
      <c r="AJ689" s="7" t="str">
        <f>VLOOKUP($AE689,Mapping!$E$140:$K$2771,5,0)</f>
        <v>PNS Fleet &amp; Property OH</v>
      </c>
      <c r="AK689" s="7" t="str">
        <f>VLOOKUP($AE689,Mapping!$E$140:$K$2771,7,0)</f>
        <v>OH</v>
      </c>
      <c r="AL689" s="7" t="str">
        <f>IFERROR(HLOOKUP(AJ689,'Calc|Weightings'!$K$5:$M$5,1,0),"Excl")</f>
        <v>Excl</v>
      </c>
      <c r="AM689" s="7" t="str">
        <f>VLOOKUP(AC689,Mapping!$E$11:$I$96,5,0)</f>
        <v>SCS</v>
      </c>
      <c r="AO689" s="134">
        <v>131</v>
      </c>
      <c r="AP689" s="135" t="s">
        <v>2139</v>
      </c>
      <c r="AQ689" s="135">
        <v>613240</v>
      </c>
      <c r="AR689" s="135" t="s">
        <v>2082</v>
      </c>
      <c r="AS689" s="136">
        <v>688.52638999999999</v>
      </c>
      <c r="AU689" s="7" t="str">
        <f>VLOOKUP($AO689,Mapping!$E$11:$I$96,3,0)</f>
        <v>Replacement</v>
      </c>
      <c r="AV689" s="7" t="str">
        <f>VLOOKUP($AQ689,Mapping!$E$140:$K$2771,5,0)</f>
        <v>Labour</v>
      </c>
      <c r="AW689" s="7" t="str">
        <f>VLOOKUP($AQ689,Mapping!$E$140:$K$2771,7,0)</f>
        <v>ENDirect</v>
      </c>
      <c r="AX689" s="7" t="str">
        <f>IFERROR(HLOOKUP(AV689,'Calc|Weightings'!$K$5:$M$5,1,0),"Excl")</f>
        <v>Labour</v>
      </c>
      <c r="AY689" s="7" t="str">
        <f>VLOOKUP(AO689,Mapping!$E$11:$I$96,5,0)</f>
        <v>SCS</v>
      </c>
    </row>
    <row r="690" spans="1:51" x14ac:dyDescent="0.2">
      <c r="A690" s="7"/>
      <c r="B690" s="7"/>
      <c r="C690" s="7"/>
      <c r="D690" s="7"/>
      <c r="E690" s="36">
        <v>120</v>
      </c>
      <c r="F690" s="36" t="s">
        <v>2134</v>
      </c>
      <c r="G690" s="36">
        <v>613361</v>
      </c>
      <c r="H690" s="36" t="s">
        <v>2098</v>
      </c>
      <c r="I690" s="37">
        <v>0.22619</v>
      </c>
      <c r="J690" s="7"/>
      <c r="K690" s="7" t="str">
        <f>VLOOKUP($E690,Mapping!$E$11:$I$96,3,0)</f>
        <v>Negotiated Capex</v>
      </c>
      <c r="L690" s="7" t="str">
        <f>VLOOKUP($G690,Mapping!$E$140:$K$2771,5,0)</f>
        <v>Labour</v>
      </c>
      <c r="M690" s="7" t="str">
        <f>VLOOKUP($G690,Mapping!$E$140:$K$2771,7,0)</f>
        <v>ENDirect</v>
      </c>
      <c r="N690" s="7" t="str">
        <f>IFERROR(HLOOKUP(L690,'Calc|Weightings'!$K$5:$M$5,1,0),"Excl")</f>
        <v>Labour</v>
      </c>
      <c r="O690" s="7" t="str">
        <f>VLOOKUP(E690,Mapping!$E$11:$I$96,5,0)</f>
        <v>Negotiated Capex</v>
      </c>
      <c r="Q690" s="33">
        <v>131</v>
      </c>
      <c r="R690" s="33" t="s">
        <v>2139</v>
      </c>
      <c r="S690" s="33">
        <v>520200</v>
      </c>
      <c r="T690" s="33" t="s">
        <v>2073</v>
      </c>
      <c r="U690" s="34">
        <v>3.8109600000000001</v>
      </c>
      <c r="V690" s="7"/>
      <c r="W690" s="7" t="str">
        <f>VLOOKUP($Q690,Mapping!$E$11:$I$96,3,0)</f>
        <v>Replacement</v>
      </c>
      <c r="X690" s="7" t="str">
        <f>VLOOKUP($S690,Mapping!$E$140:$K$2771,5,0)</f>
        <v>Materials</v>
      </c>
      <c r="Y690" s="7" t="str">
        <f>VLOOKUP($S690,Mapping!$E$140:$K$2771,7,0)</f>
        <v>ENDirect</v>
      </c>
      <c r="Z690" s="7" t="str">
        <f>IFERROR(HLOOKUP(X690,'Calc|Weightings'!$K$5:$M$5,1,0),"Excl")</f>
        <v>Materials</v>
      </c>
      <c r="AA690" s="7" t="str">
        <f>VLOOKUP(Q690,Mapping!$E$11:$I$96,5,0)</f>
        <v>SCS</v>
      </c>
      <c r="AC690" s="111">
        <v>125</v>
      </c>
      <c r="AD690" s="111" t="s">
        <v>2135</v>
      </c>
      <c r="AE690" s="111">
        <v>613097</v>
      </c>
      <c r="AF690" s="111" t="s">
        <v>630</v>
      </c>
      <c r="AG690" s="112">
        <v>1.0485</v>
      </c>
      <c r="AI690" s="7" t="str">
        <f>VLOOKUP($AC690,Mapping!$E$11:$I$96,3,0)</f>
        <v>Metering Capex</v>
      </c>
      <c r="AJ690" s="7" t="str">
        <f>VLOOKUP($AE690,Mapping!$E$140:$K$2771,5,0)</f>
        <v>Materials</v>
      </c>
      <c r="AK690" s="7" t="str">
        <f>VLOOKUP($AE690,Mapping!$E$140:$K$2771,7,0)</f>
        <v>ENDirect</v>
      </c>
      <c r="AL690" s="7" t="str">
        <f>IFERROR(HLOOKUP(AJ690,'Calc|Weightings'!$K$5:$M$5,1,0),"Excl")</f>
        <v>Materials</v>
      </c>
      <c r="AM690" s="7" t="str">
        <f>VLOOKUP(AC690,Mapping!$E$11:$I$96,5,0)</f>
        <v>Metering Services</v>
      </c>
      <c r="AO690" s="134">
        <v>131</v>
      </c>
      <c r="AP690" s="135" t="s">
        <v>2139</v>
      </c>
      <c r="AQ690" s="135">
        <v>613241</v>
      </c>
      <c r="AR690" s="135" t="s">
        <v>2083</v>
      </c>
      <c r="AS690" s="136">
        <v>18.26125</v>
      </c>
      <c r="AU690" s="7" t="str">
        <f>VLOOKUP($AO690,Mapping!$E$11:$I$96,3,0)</f>
        <v>Replacement</v>
      </c>
      <c r="AV690" s="7" t="str">
        <f>VLOOKUP($AQ690,Mapping!$E$140:$K$2771,5,0)</f>
        <v>Labour</v>
      </c>
      <c r="AW690" s="7" t="str">
        <f>VLOOKUP($AQ690,Mapping!$E$140:$K$2771,7,0)</f>
        <v>ENDirect</v>
      </c>
      <c r="AX690" s="7" t="str">
        <f>IFERROR(HLOOKUP(AV690,'Calc|Weightings'!$K$5:$M$5,1,0),"Excl")</f>
        <v>Labour</v>
      </c>
      <c r="AY690" s="7" t="str">
        <f>VLOOKUP(AO690,Mapping!$E$11:$I$96,5,0)</f>
        <v>SCS</v>
      </c>
    </row>
    <row r="691" spans="1:51" x14ac:dyDescent="0.2">
      <c r="A691" s="7"/>
      <c r="B691" s="7"/>
      <c r="C691" s="7"/>
      <c r="D691" s="7"/>
      <c r="E691" s="36">
        <v>120</v>
      </c>
      <c r="F691" s="36" t="s">
        <v>2134</v>
      </c>
      <c r="G691" s="36">
        <v>613370</v>
      </c>
      <c r="H691" s="36" t="s">
        <v>1402</v>
      </c>
      <c r="I691" s="37">
        <v>1.1051</v>
      </c>
      <c r="J691" s="7"/>
      <c r="K691" s="7" t="str">
        <f>VLOOKUP($E691,Mapping!$E$11:$I$96,3,0)</f>
        <v>Negotiated Capex</v>
      </c>
      <c r="L691" s="7" t="str">
        <f>VLOOKUP($G691,Mapping!$E$140:$K$2771,5,0)</f>
        <v>Labour</v>
      </c>
      <c r="M691" s="7" t="str">
        <f>VLOOKUP($G691,Mapping!$E$140:$K$2771,7,0)</f>
        <v>ENDirect</v>
      </c>
      <c r="N691" s="7" t="str">
        <f>IFERROR(HLOOKUP(L691,'Calc|Weightings'!$K$5:$M$5,1,0),"Excl")</f>
        <v>Labour</v>
      </c>
      <c r="O691" s="7" t="str">
        <f>VLOOKUP(E691,Mapping!$E$11:$I$96,5,0)</f>
        <v>Negotiated Capex</v>
      </c>
      <c r="Q691" s="33">
        <v>131</v>
      </c>
      <c r="R691" s="33" t="s">
        <v>2139</v>
      </c>
      <c r="S691" s="33">
        <v>523100</v>
      </c>
      <c r="T691" s="33" t="s">
        <v>2074</v>
      </c>
      <c r="U691" s="34">
        <v>1.87077</v>
      </c>
      <c r="V691" s="7"/>
      <c r="W691" s="7" t="str">
        <f>VLOOKUP($Q691,Mapping!$E$11:$I$96,3,0)</f>
        <v>Replacement</v>
      </c>
      <c r="X691" s="7" t="str">
        <f>VLOOKUP($S691,Mapping!$E$140:$K$2771,5,0)</f>
        <v>Materials</v>
      </c>
      <c r="Y691" s="7" t="str">
        <f>VLOOKUP($S691,Mapping!$E$140:$K$2771,7,0)</f>
        <v>ENDirect</v>
      </c>
      <c r="Z691" s="7" t="str">
        <f>IFERROR(HLOOKUP(X691,'Calc|Weightings'!$K$5:$M$5,1,0),"Excl")</f>
        <v>Materials</v>
      </c>
      <c r="AA691" s="7" t="str">
        <f>VLOOKUP(Q691,Mapping!$E$11:$I$96,5,0)</f>
        <v>SCS</v>
      </c>
      <c r="AC691" s="111">
        <v>125</v>
      </c>
      <c r="AD691" s="111" t="s">
        <v>2135</v>
      </c>
      <c r="AE691" s="111">
        <v>613714</v>
      </c>
      <c r="AF691" s="111" t="s">
        <v>1864</v>
      </c>
      <c r="AG691" s="112">
        <v>-42.812820000000002</v>
      </c>
      <c r="AI691" s="7" t="str">
        <f>VLOOKUP($AC691,Mapping!$E$11:$I$96,3,0)</f>
        <v>Metering Capex</v>
      </c>
      <c r="AJ691" s="7" t="str">
        <f>VLOOKUP($AE691,Mapping!$E$140:$K$2771,5,0)</f>
        <v>Contracts</v>
      </c>
      <c r="AK691" s="7" t="str">
        <f>VLOOKUP($AE691,Mapping!$E$140:$K$2771,7,0)</f>
        <v>ENDirect</v>
      </c>
      <c r="AL691" s="7" t="str">
        <f>IFERROR(HLOOKUP(AJ691,'Calc|Weightings'!$K$5:$M$5,1,0),"Excl")</f>
        <v>Contracts</v>
      </c>
      <c r="AM691" s="7" t="str">
        <f>VLOOKUP(AC691,Mapping!$E$11:$I$96,5,0)</f>
        <v>Metering Services</v>
      </c>
      <c r="AO691" s="134">
        <v>131</v>
      </c>
      <c r="AP691" s="135" t="s">
        <v>2139</v>
      </c>
      <c r="AQ691" s="135">
        <v>613250</v>
      </c>
      <c r="AR691" s="135" t="s">
        <v>2086</v>
      </c>
      <c r="AS691" s="136">
        <v>923.10055</v>
      </c>
      <c r="AU691" s="7" t="str">
        <f>VLOOKUP($AO691,Mapping!$E$11:$I$96,3,0)</f>
        <v>Replacement</v>
      </c>
      <c r="AV691" s="7" t="str">
        <f>VLOOKUP($AQ691,Mapping!$E$140:$K$2771,5,0)</f>
        <v>Labour</v>
      </c>
      <c r="AW691" s="7" t="str">
        <f>VLOOKUP($AQ691,Mapping!$E$140:$K$2771,7,0)</f>
        <v>ENDirect</v>
      </c>
      <c r="AX691" s="7" t="str">
        <f>IFERROR(HLOOKUP(AV691,'Calc|Weightings'!$K$5:$M$5,1,0),"Excl")</f>
        <v>Labour</v>
      </c>
      <c r="AY691" s="7" t="str">
        <f>VLOOKUP(AO691,Mapping!$E$11:$I$96,5,0)</f>
        <v>SCS</v>
      </c>
    </row>
    <row r="692" spans="1:51" x14ac:dyDescent="0.2">
      <c r="A692" s="7"/>
      <c r="B692" s="7"/>
      <c r="C692" s="7"/>
      <c r="D692" s="7"/>
      <c r="E692" s="36">
        <v>120</v>
      </c>
      <c r="F692" s="36" t="s">
        <v>2134</v>
      </c>
      <c r="G692" s="36">
        <v>613400</v>
      </c>
      <c r="H692" s="36" t="s">
        <v>2099</v>
      </c>
      <c r="I692" s="37">
        <v>0.73026000000000002</v>
      </c>
      <c r="J692" s="7"/>
      <c r="K692" s="7" t="str">
        <f>VLOOKUP($E692,Mapping!$E$11:$I$96,3,0)</f>
        <v>Negotiated Capex</v>
      </c>
      <c r="L692" s="7" t="str">
        <f>VLOOKUP($G692,Mapping!$E$140:$K$2771,5,0)</f>
        <v>Labour</v>
      </c>
      <c r="M692" s="7" t="str">
        <f>VLOOKUP($G692,Mapping!$E$140:$K$2771,7,0)</f>
        <v>ENDirect</v>
      </c>
      <c r="N692" s="7" t="str">
        <f>IFERROR(HLOOKUP(L692,'Calc|Weightings'!$K$5:$M$5,1,0),"Excl")</f>
        <v>Labour</v>
      </c>
      <c r="O692" s="7" t="str">
        <f>VLOOKUP(E692,Mapping!$E$11:$I$96,5,0)</f>
        <v>Negotiated Capex</v>
      </c>
      <c r="Q692" s="33">
        <v>131</v>
      </c>
      <c r="R692" s="33" t="s">
        <v>2139</v>
      </c>
      <c r="S692" s="33">
        <v>523300</v>
      </c>
      <c r="T692" s="33" t="s">
        <v>2075</v>
      </c>
      <c r="U692" s="34">
        <v>12.767799999999999</v>
      </c>
      <c r="V692" s="7"/>
      <c r="W692" s="7" t="str">
        <f>VLOOKUP($Q692,Mapping!$E$11:$I$96,3,0)</f>
        <v>Replacement</v>
      </c>
      <c r="X692" s="7" t="str">
        <f>VLOOKUP($S692,Mapping!$E$140:$K$2771,5,0)</f>
        <v>Materials</v>
      </c>
      <c r="Y692" s="7" t="str">
        <f>VLOOKUP($S692,Mapping!$E$140:$K$2771,7,0)</f>
        <v>ENDirect</v>
      </c>
      <c r="Z692" s="7" t="str">
        <f>IFERROR(HLOOKUP(X692,'Calc|Weightings'!$K$5:$M$5,1,0),"Excl")</f>
        <v>Materials</v>
      </c>
      <c r="AA692" s="7" t="str">
        <f>VLOOKUP(Q692,Mapping!$E$11:$I$96,5,0)</f>
        <v>SCS</v>
      </c>
      <c r="AC692" s="111">
        <v>125</v>
      </c>
      <c r="AD692" s="111" t="s">
        <v>2135</v>
      </c>
      <c r="AE692" s="111">
        <v>613717</v>
      </c>
      <c r="AF692" s="111" t="s">
        <v>1866</v>
      </c>
      <c r="AG692" s="112">
        <v>-15.522650000000001</v>
      </c>
      <c r="AI692" s="7" t="str">
        <f>VLOOKUP($AC692,Mapping!$E$11:$I$96,3,0)</f>
        <v>Metering Capex</v>
      </c>
      <c r="AJ692" s="7" t="str">
        <f>VLOOKUP($AE692,Mapping!$E$140:$K$2771,5,0)</f>
        <v>Contracts</v>
      </c>
      <c r="AK692" s="7" t="str">
        <f>VLOOKUP($AE692,Mapping!$E$140:$K$2771,7,0)</f>
        <v>ENDirect</v>
      </c>
      <c r="AL692" s="7" t="str">
        <f>IFERROR(HLOOKUP(AJ692,'Calc|Weightings'!$K$5:$M$5,1,0),"Excl")</f>
        <v>Contracts</v>
      </c>
      <c r="AM692" s="7" t="str">
        <f>VLOOKUP(AC692,Mapping!$E$11:$I$96,5,0)</f>
        <v>Metering Services</v>
      </c>
      <c r="AO692" s="134">
        <v>131</v>
      </c>
      <c r="AP692" s="135" t="s">
        <v>2139</v>
      </c>
      <c r="AQ692" s="135">
        <v>613251</v>
      </c>
      <c r="AR692" s="135" t="s">
        <v>2087</v>
      </c>
      <c r="AS692" s="136">
        <v>59.67465</v>
      </c>
      <c r="AU692" s="7" t="str">
        <f>VLOOKUP($AO692,Mapping!$E$11:$I$96,3,0)</f>
        <v>Replacement</v>
      </c>
      <c r="AV692" s="7" t="str">
        <f>VLOOKUP($AQ692,Mapping!$E$140:$K$2771,5,0)</f>
        <v>Labour</v>
      </c>
      <c r="AW692" s="7" t="str">
        <f>VLOOKUP($AQ692,Mapping!$E$140:$K$2771,7,0)</f>
        <v>ENDirect</v>
      </c>
      <c r="AX692" s="7" t="str">
        <f>IFERROR(HLOOKUP(AV692,'Calc|Weightings'!$K$5:$M$5,1,0),"Excl")</f>
        <v>Labour</v>
      </c>
      <c r="AY692" s="7" t="str">
        <f>VLOOKUP(AO692,Mapping!$E$11:$I$96,5,0)</f>
        <v>SCS</v>
      </c>
    </row>
    <row r="693" spans="1:51" x14ac:dyDescent="0.2">
      <c r="A693" s="7"/>
      <c r="B693" s="7"/>
      <c r="C693" s="7"/>
      <c r="D693" s="7"/>
      <c r="E693" s="36">
        <v>120</v>
      </c>
      <c r="F693" s="36" t="s">
        <v>2134</v>
      </c>
      <c r="G693" s="36">
        <v>613408</v>
      </c>
      <c r="H693" s="36" t="s">
        <v>1418</v>
      </c>
      <c r="I693" s="37">
        <v>18.013079999999999</v>
      </c>
      <c r="J693" s="7"/>
      <c r="K693" s="7" t="str">
        <f>VLOOKUP($E693,Mapping!$E$11:$I$96,3,0)</f>
        <v>Negotiated Capex</v>
      </c>
      <c r="L693" s="7" t="str">
        <f>VLOOKUP($G693,Mapping!$E$140:$K$2771,5,0)</f>
        <v>Labour</v>
      </c>
      <c r="M693" s="7" t="str">
        <f>VLOOKUP($G693,Mapping!$E$140:$K$2771,7,0)</f>
        <v>ENDirect</v>
      </c>
      <c r="N693" s="7" t="str">
        <f>IFERROR(HLOOKUP(L693,'Calc|Weightings'!$K$5:$M$5,1,0),"Excl")</f>
        <v>Labour</v>
      </c>
      <c r="O693" s="7" t="str">
        <f>VLOOKUP(E693,Mapping!$E$11:$I$96,5,0)</f>
        <v>Negotiated Capex</v>
      </c>
      <c r="Q693" s="33">
        <v>131</v>
      </c>
      <c r="R693" s="33" t="s">
        <v>2139</v>
      </c>
      <c r="S693" s="33">
        <v>531020</v>
      </c>
      <c r="T693" s="33" t="s">
        <v>219</v>
      </c>
      <c r="U693" s="34">
        <v>1.9703200000000001</v>
      </c>
      <c r="V693" s="7"/>
      <c r="W693" s="7" t="str">
        <f>VLOOKUP($Q693,Mapping!$E$11:$I$96,3,0)</f>
        <v>Replacement</v>
      </c>
      <c r="X693" s="7" t="str">
        <f>VLOOKUP($S693,Mapping!$E$140:$K$2771,5,0)</f>
        <v>Labour</v>
      </c>
      <c r="Y693" s="7" t="str">
        <f>VLOOKUP($S693,Mapping!$E$140:$K$2771,7,0)</f>
        <v>ENDirect</v>
      </c>
      <c r="Z693" s="7" t="str">
        <f>IFERROR(HLOOKUP(X693,'Calc|Weightings'!$K$5:$M$5,1,0),"Excl")</f>
        <v>Labour</v>
      </c>
      <c r="AA693" s="7" t="str">
        <f>VLOOKUP(Q693,Mapping!$E$11:$I$96,5,0)</f>
        <v>SCS</v>
      </c>
      <c r="AC693" s="111">
        <v>125</v>
      </c>
      <c r="AD693" s="111" t="s">
        <v>2135</v>
      </c>
      <c r="AE693" s="111">
        <v>613801</v>
      </c>
      <c r="AF693" s="111" t="s">
        <v>656</v>
      </c>
      <c r="AG693" s="112">
        <v>492.79500000000002</v>
      </c>
      <c r="AI693" s="7" t="str">
        <f>VLOOKUP($AC693,Mapping!$E$11:$I$96,3,0)</f>
        <v>Metering Capex</v>
      </c>
      <c r="AJ693" s="7" t="str">
        <f>VLOOKUP($AE693,Mapping!$E$140:$K$2771,5,0)</f>
        <v>Materials</v>
      </c>
      <c r="AK693" s="7" t="str">
        <f>VLOOKUP($AE693,Mapping!$E$140:$K$2771,7,0)</f>
        <v>ENDirect</v>
      </c>
      <c r="AL693" s="7" t="str">
        <f>IFERROR(HLOOKUP(AJ693,'Calc|Weightings'!$K$5:$M$5,1,0),"Excl")</f>
        <v>Materials</v>
      </c>
      <c r="AM693" s="7" t="str">
        <f>VLOOKUP(AC693,Mapping!$E$11:$I$96,5,0)</f>
        <v>Metering Services</v>
      </c>
      <c r="AO693" s="134">
        <v>131</v>
      </c>
      <c r="AP693" s="135" t="s">
        <v>2139</v>
      </c>
      <c r="AQ693" s="135">
        <v>613280</v>
      </c>
      <c r="AR693" s="135" t="s">
        <v>1342</v>
      </c>
      <c r="AS693" s="136">
        <v>142.12836999999999</v>
      </c>
      <c r="AU693" s="7" t="str">
        <f>VLOOKUP($AO693,Mapping!$E$11:$I$96,3,0)</f>
        <v>Replacement</v>
      </c>
      <c r="AV693" s="7" t="str">
        <f>VLOOKUP($AQ693,Mapping!$E$140:$K$2771,5,0)</f>
        <v>Labour</v>
      </c>
      <c r="AW693" s="7" t="str">
        <f>VLOOKUP($AQ693,Mapping!$E$140:$K$2771,7,0)</f>
        <v>ENDirect</v>
      </c>
      <c r="AX693" s="7" t="str">
        <f>IFERROR(HLOOKUP(AV693,'Calc|Weightings'!$K$5:$M$5,1,0),"Excl")</f>
        <v>Labour</v>
      </c>
      <c r="AY693" s="7" t="str">
        <f>VLOOKUP(AO693,Mapping!$E$11:$I$96,5,0)</f>
        <v>SCS</v>
      </c>
    </row>
    <row r="694" spans="1:51" x14ac:dyDescent="0.2">
      <c r="A694" s="7"/>
      <c r="B694" s="7"/>
      <c r="C694" s="7"/>
      <c r="D694" s="7"/>
      <c r="E694" s="36">
        <v>120</v>
      </c>
      <c r="F694" s="36" t="s">
        <v>2134</v>
      </c>
      <c r="G694" s="36">
        <v>613409</v>
      </c>
      <c r="H694" s="36" t="s">
        <v>1419</v>
      </c>
      <c r="I694" s="37">
        <v>2.7993399999999999</v>
      </c>
      <c r="J694" s="7"/>
      <c r="K694" s="7" t="str">
        <f>VLOOKUP($E694,Mapping!$E$11:$I$96,3,0)</f>
        <v>Negotiated Capex</v>
      </c>
      <c r="L694" s="7" t="str">
        <f>VLOOKUP($G694,Mapping!$E$140:$K$2771,5,0)</f>
        <v>Labour</v>
      </c>
      <c r="M694" s="7" t="str">
        <f>VLOOKUP($G694,Mapping!$E$140:$K$2771,7,0)</f>
        <v>ENDirect</v>
      </c>
      <c r="N694" s="7" t="str">
        <f>IFERROR(HLOOKUP(L694,'Calc|Weightings'!$K$5:$M$5,1,0),"Excl")</f>
        <v>Labour</v>
      </c>
      <c r="O694" s="7" t="str">
        <f>VLOOKUP(E694,Mapping!$E$11:$I$96,5,0)</f>
        <v>Negotiated Capex</v>
      </c>
      <c r="Q694" s="33">
        <v>131</v>
      </c>
      <c r="R694" s="33" t="s">
        <v>2139</v>
      </c>
      <c r="S694" s="33">
        <v>531200</v>
      </c>
      <c r="T694" s="33" t="s">
        <v>250</v>
      </c>
      <c r="U694" s="34">
        <v>-3.4832200000000002</v>
      </c>
      <c r="V694" s="7"/>
      <c r="W694" s="7" t="str">
        <f>VLOOKUP($Q694,Mapping!$E$11:$I$96,3,0)</f>
        <v>Replacement</v>
      </c>
      <c r="X694" s="7" t="str">
        <f>VLOOKUP($S694,Mapping!$E$140:$K$2771,5,0)</f>
        <v>Contracts</v>
      </c>
      <c r="Y694" s="7" t="str">
        <f>VLOOKUP($S694,Mapping!$E$140:$K$2771,7,0)</f>
        <v>ENDirect</v>
      </c>
      <c r="Z694" s="7" t="str">
        <f>IFERROR(HLOOKUP(X694,'Calc|Weightings'!$K$5:$M$5,1,0),"Excl")</f>
        <v>Contracts</v>
      </c>
      <c r="AA694" s="7" t="str">
        <f>VLOOKUP(Q694,Mapping!$E$11:$I$96,5,0)</f>
        <v>SCS</v>
      </c>
      <c r="AC694" s="111">
        <v>125</v>
      </c>
      <c r="AD694" s="111" t="s">
        <v>2135</v>
      </c>
      <c r="AE694" s="111">
        <v>613803</v>
      </c>
      <c r="AF694" s="111" t="s">
        <v>658</v>
      </c>
      <c r="AG694" s="112">
        <v>501.59406000000001</v>
      </c>
      <c r="AI694" s="7" t="str">
        <f>VLOOKUP($AC694,Mapping!$E$11:$I$96,3,0)</f>
        <v>Metering Capex</v>
      </c>
      <c r="AJ694" s="7" t="str">
        <f>VLOOKUP($AE694,Mapping!$E$140:$K$2771,5,0)</f>
        <v>Materials</v>
      </c>
      <c r="AK694" s="7" t="str">
        <f>VLOOKUP($AE694,Mapping!$E$140:$K$2771,7,0)</f>
        <v>ENDirect</v>
      </c>
      <c r="AL694" s="7" t="str">
        <f>IFERROR(HLOOKUP(AJ694,'Calc|Weightings'!$K$5:$M$5,1,0),"Excl")</f>
        <v>Materials</v>
      </c>
      <c r="AM694" s="7" t="str">
        <f>VLOOKUP(AC694,Mapping!$E$11:$I$96,5,0)</f>
        <v>Metering Services</v>
      </c>
      <c r="AO694" s="134">
        <v>131</v>
      </c>
      <c r="AP694" s="135" t="s">
        <v>2139</v>
      </c>
      <c r="AQ694" s="135">
        <v>613281</v>
      </c>
      <c r="AR694" s="135" t="s">
        <v>1343</v>
      </c>
      <c r="AS694" s="136">
        <v>5.04941</v>
      </c>
      <c r="AU694" s="7" t="str">
        <f>VLOOKUP($AO694,Mapping!$E$11:$I$96,3,0)</f>
        <v>Replacement</v>
      </c>
      <c r="AV694" s="7" t="str">
        <f>VLOOKUP($AQ694,Mapping!$E$140:$K$2771,5,0)</f>
        <v>Labour</v>
      </c>
      <c r="AW694" s="7" t="str">
        <f>VLOOKUP($AQ694,Mapping!$E$140:$K$2771,7,0)</f>
        <v>ENDirect</v>
      </c>
      <c r="AX694" s="7" t="str">
        <f>IFERROR(HLOOKUP(AV694,'Calc|Weightings'!$K$5:$M$5,1,0),"Excl")</f>
        <v>Labour</v>
      </c>
      <c r="AY694" s="7" t="str">
        <f>VLOOKUP(AO694,Mapping!$E$11:$I$96,5,0)</f>
        <v>SCS</v>
      </c>
    </row>
    <row r="695" spans="1:51" x14ac:dyDescent="0.2">
      <c r="A695" s="7"/>
      <c r="B695" s="7"/>
      <c r="C695" s="7"/>
      <c r="D695" s="7"/>
      <c r="E695" s="36">
        <v>120</v>
      </c>
      <c r="F695" s="36" t="s">
        <v>2134</v>
      </c>
      <c r="G695" s="36">
        <v>613418</v>
      </c>
      <c r="H695" s="36" t="s">
        <v>1424</v>
      </c>
      <c r="I695" s="37">
        <v>13.04772</v>
      </c>
      <c r="J695" s="7"/>
      <c r="K695" s="7" t="str">
        <f>VLOOKUP($E695,Mapping!$E$11:$I$96,3,0)</f>
        <v>Negotiated Capex</v>
      </c>
      <c r="L695" s="7" t="str">
        <f>VLOOKUP($G695,Mapping!$E$140:$K$2771,5,0)</f>
        <v>Labour</v>
      </c>
      <c r="M695" s="7" t="str">
        <f>VLOOKUP($G695,Mapping!$E$140:$K$2771,7,0)</f>
        <v>ENDirect</v>
      </c>
      <c r="N695" s="7" t="str">
        <f>IFERROR(HLOOKUP(L695,'Calc|Weightings'!$K$5:$M$5,1,0),"Excl")</f>
        <v>Labour</v>
      </c>
      <c r="O695" s="7" t="str">
        <f>VLOOKUP(E695,Mapping!$E$11:$I$96,5,0)</f>
        <v>Negotiated Capex</v>
      </c>
      <c r="Q695" s="33">
        <v>131</v>
      </c>
      <c r="R695" s="33" t="s">
        <v>2139</v>
      </c>
      <c r="S695" s="33">
        <v>531464</v>
      </c>
      <c r="T695" s="33" t="s">
        <v>256</v>
      </c>
      <c r="U695" s="34">
        <v>458.13367</v>
      </c>
      <c r="V695" s="7"/>
      <c r="W695" s="7" t="str">
        <f>VLOOKUP($Q695,Mapping!$E$11:$I$96,3,0)</f>
        <v>Replacement</v>
      </c>
      <c r="X695" s="7" t="str">
        <f>VLOOKUP($S695,Mapping!$E$140:$K$2771,5,0)</f>
        <v>Contracts</v>
      </c>
      <c r="Y695" s="7" t="str">
        <f>VLOOKUP($S695,Mapping!$E$140:$K$2771,7,0)</f>
        <v>ENDirect</v>
      </c>
      <c r="Z695" s="7" t="str">
        <f>IFERROR(HLOOKUP(X695,'Calc|Weightings'!$K$5:$M$5,1,0),"Excl")</f>
        <v>Contracts</v>
      </c>
      <c r="AA695" s="7" t="str">
        <f>VLOOKUP(Q695,Mapping!$E$11:$I$96,5,0)</f>
        <v>SCS</v>
      </c>
      <c r="AC695" s="111">
        <v>125</v>
      </c>
      <c r="AD695" s="111" t="s">
        <v>2135</v>
      </c>
      <c r="AE695" s="111">
        <v>613804</v>
      </c>
      <c r="AF695" s="111" t="s">
        <v>659</v>
      </c>
      <c r="AG695" s="112">
        <v>67.952129999999997</v>
      </c>
      <c r="AI695" s="7" t="str">
        <f>VLOOKUP($AC695,Mapping!$E$11:$I$96,3,0)</f>
        <v>Metering Capex</v>
      </c>
      <c r="AJ695" s="7" t="str">
        <f>VLOOKUP($AE695,Mapping!$E$140:$K$2771,5,0)</f>
        <v>Materials</v>
      </c>
      <c r="AK695" s="7" t="str">
        <f>VLOOKUP($AE695,Mapping!$E$140:$K$2771,7,0)</f>
        <v>ENDirect</v>
      </c>
      <c r="AL695" s="7" t="str">
        <f>IFERROR(HLOOKUP(AJ695,'Calc|Weightings'!$K$5:$M$5,1,0),"Excl")</f>
        <v>Materials</v>
      </c>
      <c r="AM695" s="7" t="str">
        <f>VLOOKUP(AC695,Mapping!$E$11:$I$96,5,0)</f>
        <v>Metering Services</v>
      </c>
      <c r="AO695" s="134">
        <v>131</v>
      </c>
      <c r="AP695" s="135" t="s">
        <v>2139</v>
      </c>
      <c r="AQ695" s="135">
        <v>613290</v>
      </c>
      <c r="AR695" s="135" t="s">
        <v>2093</v>
      </c>
      <c r="AS695" s="136">
        <v>153.40888000000001</v>
      </c>
      <c r="AU695" s="7" t="str">
        <f>VLOOKUP($AO695,Mapping!$E$11:$I$96,3,0)</f>
        <v>Replacement</v>
      </c>
      <c r="AV695" s="7" t="str">
        <f>VLOOKUP($AQ695,Mapping!$E$140:$K$2771,5,0)</f>
        <v>Labour</v>
      </c>
      <c r="AW695" s="7" t="str">
        <f>VLOOKUP($AQ695,Mapping!$E$140:$K$2771,7,0)</f>
        <v>ENDirect</v>
      </c>
      <c r="AX695" s="7" t="str">
        <f>IFERROR(HLOOKUP(AV695,'Calc|Weightings'!$K$5:$M$5,1,0),"Excl")</f>
        <v>Labour</v>
      </c>
      <c r="AY695" s="7" t="str">
        <f>VLOOKUP(AO695,Mapping!$E$11:$I$96,5,0)</f>
        <v>SCS</v>
      </c>
    </row>
    <row r="696" spans="1:51" x14ac:dyDescent="0.2">
      <c r="A696" s="7"/>
      <c r="B696" s="7"/>
      <c r="C696" s="7"/>
      <c r="D696" s="7"/>
      <c r="E696" s="36">
        <v>120</v>
      </c>
      <c r="F696" s="36" t="s">
        <v>2134</v>
      </c>
      <c r="G696" s="36">
        <v>613419</v>
      </c>
      <c r="H696" s="36" t="s">
        <v>1425</v>
      </c>
      <c r="I696" s="37">
        <v>4.99275</v>
      </c>
      <c r="J696" s="7"/>
      <c r="K696" s="7" t="str">
        <f>VLOOKUP($E696,Mapping!$E$11:$I$96,3,0)</f>
        <v>Negotiated Capex</v>
      </c>
      <c r="L696" s="7" t="str">
        <f>VLOOKUP($G696,Mapping!$E$140:$K$2771,5,0)</f>
        <v>Labour</v>
      </c>
      <c r="M696" s="7" t="str">
        <f>VLOOKUP($G696,Mapping!$E$140:$K$2771,7,0)</f>
        <v>ENDirect</v>
      </c>
      <c r="N696" s="7" t="str">
        <f>IFERROR(HLOOKUP(L696,'Calc|Weightings'!$K$5:$M$5,1,0),"Excl")</f>
        <v>Labour</v>
      </c>
      <c r="O696" s="7" t="str">
        <f>VLOOKUP(E696,Mapping!$E$11:$I$96,5,0)</f>
        <v>Negotiated Capex</v>
      </c>
      <c r="Q696" s="33">
        <v>131</v>
      </c>
      <c r="R696" s="33" t="s">
        <v>2139</v>
      </c>
      <c r="S696" s="33">
        <v>531465</v>
      </c>
      <c r="T696" s="33" t="s">
        <v>257</v>
      </c>
      <c r="U696" s="34">
        <v>6.0144099999999998</v>
      </c>
      <c r="V696" s="7"/>
      <c r="W696" s="7" t="str">
        <f>VLOOKUP($Q696,Mapping!$E$11:$I$96,3,0)</f>
        <v>Replacement</v>
      </c>
      <c r="X696" s="7" t="str">
        <f>VLOOKUP($S696,Mapping!$E$140:$K$2771,5,0)</f>
        <v>Contracts</v>
      </c>
      <c r="Y696" s="7" t="str">
        <f>VLOOKUP($S696,Mapping!$E$140:$K$2771,7,0)</f>
        <v>ENDirect</v>
      </c>
      <c r="Z696" s="7" t="str">
        <f>IFERROR(HLOOKUP(X696,'Calc|Weightings'!$K$5:$M$5,1,0),"Excl")</f>
        <v>Contracts</v>
      </c>
      <c r="AA696" s="7" t="str">
        <f>VLOOKUP(Q696,Mapping!$E$11:$I$96,5,0)</f>
        <v>SCS</v>
      </c>
      <c r="AC696" s="111">
        <v>125</v>
      </c>
      <c r="AD696" s="111" t="s">
        <v>2135</v>
      </c>
      <c r="AE696" s="111">
        <v>634001</v>
      </c>
      <c r="AF696" s="111" t="s">
        <v>2110</v>
      </c>
      <c r="AG696" s="112">
        <v>3.8058000000000001</v>
      </c>
      <c r="AI696" s="7" t="str">
        <f>VLOOKUP($AC696,Mapping!$E$11:$I$96,3,0)</f>
        <v>Metering Capex</v>
      </c>
      <c r="AJ696" s="7" t="str">
        <f>VLOOKUP($AE696,Mapping!$E$140:$K$2771,5,0)</f>
        <v>Local OH</v>
      </c>
      <c r="AK696" s="7" t="str">
        <f>VLOOKUP($AE696,Mapping!$E$140:$K$2771,7,0)</f>
        <v>OH</v>
      </c>
      <c r="AL696" s="7" t="str">
        <f>IFERROR(HLOOKUP(AJ696,'Calc|Weightings'!$K$5:$M$5,1,0),"Excl")</f>
        <v>Excl</v>
      </c>
      <c r="AM696" s="7" t="str">
        <f>VLOOKUP(AC696,Mapping!$E$11:$I$96,5,0)</f>
        <v>Metering Services</v>
      </c>
      <c r="AO696" s="134">
        <v>131</v>
      </c>
      <c r="AP696" s="135" t="s">
        <v>2139</v>
      </c>
      <c r="AQ696" s="135">
        <v>613291</v>
      </c>
      <c r="AR696" s="135" t="s">
        <v>2094</v>
      </c>
      <c r="AS696" s="136">
        <v>0.43240000000000001</v>
      </c>
      <c r="AU696" s="7" t="str">
        <f>VLOOKUP($AO696,Mapping!$E$11:$I$96,3,0)</f>
        <v>Replacement</v>
      </c>
      <c r="AV696" s="7" t="str">
        <f>VLOOKUP($AQ696,Mapping!$E$140:$K$2771,5,0)</f>
        <v>Labour</v>
      </c>
      <c r="AW696" s="7" t="str">
        <f>VLOOKUP($AQ696,Mapping!$E$140:$K$2771,7,0)</f>
        <v>ENDirect</v>
      </c>
      <c r="AX696" s="7" t="str">
        <f>IFERROR(HLOOKUP(AV696,'Calc|Weightings'!$K$5:$M$5,1,0),"Excl")</f>
        <v>Labour</v>
      </c>
      <c r="AY696" s="7" t="str">
        <f>VLOOKUP(AO696,Mapping!$E$11:$I$96,5,0)</f>
        <v>SCS</v>
      </c>
    </row>
    <row r="697" spans="1:51" x14ac:dyDescent="0.2">
      <c r="A697" s="7"/>
      <c r="B697" s="7"/>
      <c r="C697" s="7"/>
      <c r="D697" s="7"/>
      <c r="E697" s="36">
        <v>120</v>
      </c>
      <c r="F697" s="36" t="s">
        <v>2134</v>
      </c>
      <c r="G697" s="36">
        <v>613428</v>
      </c>
      <c r="H697" s="36" t="s">
        <v>1430</v>
      </c>
      <c r="I697" s="37">
        <v>0.37931999999999999</v>
      </c>
      <c r="J697" s="7"/>
      <c r="K697" s="7" t="str">
        <f>VLOOKUP($E697,Mapping!$E$11:$I$96,3,0)</f>
        <v>Negotiated Capex</v>
      </c>
      <c r="L697" s="7" t="str">
        <f>VLOOKUP($G697,Mapping!$E$140:$K$2771,5,0)</f>
        <v>Labour</v>
      </c>
      <c r="M697" s="7" t="str">
        <f>VLOOKUP($G697,Mapping!$E$140:$K$2771,7,0)</f>
        <v>ENDirect</v>
      </c>
      <c r="N697" s="7" t="str">
        <f>IFERROR(HLOOKUP(L697,'Calc|Weightings'!$K$5:$M$5,1,0),"Excl")</f>
        <v>Labour</v>
      </c>
      <c r="O697" s="7" t="str">
        <f>VLOOKUP(E697,Mapping!$E$11:$I$96,5,0)</f>
        <v>Negotiated Capex</v>
      </c>
      <c r="Q697" s="33">
        <v>131</v>
      </c>
      <c r="R697" s="33" t="s">
        <v>2139</v>
      </c>
      <c r="S697" s="33">
        <v>531466</v>
      </c>
      <c r="T697" s="33" t="s">
        <v>258</v>
      </c>
      <c r="U697" s="34">
        <v>214.37254999999999</v>
      </c>
      <c r="V697" s="7"/>
      <c r="W697" s="7" t="str">
        <f>VLOOKUP($Q697,Mapping!$E$11:$I$96,3,0)</f>
        <v>Replacement</v>
      </c>
      <c r="X697" s="7" t="str">
        <f>VLOOKUP($S697,Mapping!$E$140:$K$2771,5,0)</f>
        <v>Contracts</v>
      </c>
      <c r="Y697" s="7" t="str">
        <f>VLOOKUP($S697,Mapping!$E$140:$K$2771,7,0)</f>
        <v>ENDirect</v>
      </c>
      <c r="Z697" s="7" t="str">
        <f>IFERROR(HLOOKUP(X697,'Calc|Weightings'!$K$5:$M$5,1,0),"Excl")</f>
        <v>Contracts</v>
      </c>
      <c r="AA697" s="7" t="str">
        <f>VLOOKUP(Q697,Mapping!$E$11:$I$96,5,0)</f>
        <v>SCS</v>
      </c>
      <c r="AC697" s="111">
        <v>125</v>
      </c>
      <c r="AD697" s="111" t="s">
        <v>2135</v>
      </c>
      <c r="AE697" s="111">
        <v>635001</v>
      </c>
      <c r="AF697" s="111" t="s">
        <v>1929</v>
      </c>
      <c r="AG697" s="112">
        <v>-0.23727000000000001</v>
      </c>
      <c r="AI697" s="7" t="str">
        <f>VLOOKUP($AC697,Mapping!$E$11:$I$96,3,0)</f>
        <v>Metering Capex</v>
      </c>
      <c r="AJ697" s="7" t="str">
        <f>VLOOKUP($AE697,Mapping!$E$140:$K$2771,5,0)</f>
        <v>PNS MG</v>
      </c>
      <c r="AK697" s="7" t="str">
        <f>VLOOKUP($AE697,Mapping!$E$140:$K$2771,7,0)</f>
        <v>ENDirect</v>
      </c>
      <c r="AL697" s="7" t="str">
        <f>IFERROR(HLOOKUP(AJ697,'Calc|Weightings'!$K$5:$M$5,1,0),"Excl")</f>
        <v>Excl</v>
      </c>
      <c r="AM697" s="7" t="str">
        <f>VLOOKUP(AC697,Mapping!$E$11:$I$96,5,0)</f>
        <v>Metering Services</v>
      </c>
      <c r="AO697" s="134">
        <v>131</v>
      </c>
      <c r="AP697" s="135" t="s">
        <v>2139</v>
      </c>
      <c r="AQ697" s="135">
        <v>613310</v>
      </c>
      <c r="AR697" s="135" t="s">
        <v>2095</v>
      </c>
      <c r="AS697" s="136">
        <v>0.92225999999999997</v>
      </c>
      <c r="AU697" s="7" t="str">
        <f>VLOOKUP($AO697,Mapping!$E$11:$I$96,3,0)</f>
        <v>Replacement</v>
      </c>
      <c r="AV697" s="7" t="str">
        <f>VLOOKUP($AQ697,Mapping!$E$140:$K$2771,5,0)</f>
        <v>Labour</v>
      </c>
      <c r="AW697" s="7" t="str">
        <f>VLOOKUP($AQ697,Mapping!$E$140:$K$2771,7,0)</f>
        <v>ENDirect</v>
      </c>
      <c r="AX697" s="7" t="str">
        <f>IFERROR(HLOOKUP(AV697,'Calc|Weightings'!$K$5:$M$5,1,0),"Excl")</f>
        <v>Labour</v>
      </c>
      <c r="AY697" s="7" t="str">
        <f>VLOOKUP(AO697,Mapping!$E$11:$I$96,5,0)</f>
        <v>SCS</v>
      </c>
    </row>
    <row r="698" spans="1:51" x14ac:dyDescent="0.2">
      <c r="A698" s="7"/>
      <c r="B698" s="7"/>
      <c r="C698" s="7"/>
      <c r="D698" s="7"/>
      <c r="E698" s="36">
        <v>120</v>
      </c>
      <c r="F698" s="36" t="s">
        <v>2134</v>
      </c>
      <c r="G698" s="36">
        <v>613566</v>
      </c>
      <c r="H698" s="36" t="s">
        <v>1482</v>
      </c>
      <c r="I698" s="37">
        <v>0.12171</v>
      </c>
      <c r="J698" s="7"/>
      <c r="K698" s="7" t="str">
        <f>VLOOKUP($E698,Mapping!$E$11:$I$96,3,0)</f>
        <v>Negotiated Capex</v>
      </c>
      <c r="L698" s="7" t="str">
        <f>VLOOKUP($G698,Mapping!$E$140:$K$2771,5,0)</f>
        <v>Labour</v>
      </c>
      <c r="M698" s="7" t="str">
        <f>VLOOKUP($G698,Mapping!$E$140:$K$2771,7,0)</f>
        <v>ENDirect</v>
      </c>
      <c r="N698" s="7" t="str">
        <f>IFERROR(HLOOKUP(L698,'Calc|Weightings'!$K$5:$M$5,1,0),"Excl")</f>
        <v>Labour</v>
      </c>
      <c r="O698" s="7" t="str">
        <f>VLOOKUP(E698,Mapping!$E$11:$I$96,5,0)</f>
        <v>Negotiated Capex</v>
      </c>
      <c r="Q698" s="33">
        <v>131</v>
      </c>
      <c r="R698" s="33" t="s">
        <v>2139</v>
      </c>
      <c r="S698" s="33">
        <v>531467</v>
      </c>
      <c r="T698" s="33" t="s">
        <v>259</v>
      </c>
      <c r="U698" s="34">
        <v>732.66391999999996</v>
      </c>
      <c r="V698" s="7"/>
      <c r="W698" s="7" t="str">
        <f>VLOOKUP($Q698,Mapping!$E$11:$I$96,3,0)</f>
        <v>Replacement</v>
      </c>
      <c r="X698" s="7" t="str">
        <f>VLOOKUP($S698,Mapping!$E$140:$K$2771,5,0)</f>
        <v>Contracts</v>
      </c>
      <c r="Y698" s="7" t="str">
        <f>VLOOKUP($S698,Mapping!$E$140:$K$2771,7,0)</f>
        <v>ENDirect</v>
      </c>
      <c r="Z698" s="7" t="str">
        <f>IFERROR(HLOOKUP(X698,'Calc|Weightings'!$K$5:$M$5,1,0),"Excl")</f>
        <v>Contracts</v>
      </c>
      <c r="AA698" s="7" t="str">
        <f>VLOOKUP(Q698,Mapping!$E$11:$I$96,5,0)</f>
        <v>SCS</v>
      </c>
      <c r="AC698" s="111">
        <v>125</v>
      </c>
      <c r="AD698" s="111" t="s">
        <v>2135</v>
      </c>
      <c r="AE698" s="111">
        <v>636001</v>
      </c>
      <c r="AF698" s="111" t="s">
        <v>2111</v>
      </c>
      <c r="AG698" s="112">
        <v>1.89676</v>
      </c>
      <c r="AI698" s="7" t="str">
        <f>VLOOKUP($AC698,Mapping!$E$11:$I$96,3,0)</f>
        <v>Metering Capex</v>
      </c>
      <c r="AJ698" s="7" t="str">
        <f>VLOOKUP($AE698,Mapping!$E$140:$K$2771,5,0)</f>
        <v>System Control OH</v>
      </c>
      <c r="AK698" s="7" t="str">
        <f>VLOOKUP($AE698,Mapping!$E$140:$K$2771,7,0)</f>
        <v>OH</v>
      </c>
      <c r="AL698" s="7" t="str">
        <f>IFERROR(HLOOKUP(AJ698,'Calc|Weightings'!$K$5:$M$5,1,0),"Excl")</f>
        <v>Excl</v>
      </c>
      <c r="AM698" s="7" t="str">
        <f>VLOOKUP(AC698,Mapping!$E$11:$I$96,5,0)</f>
        <v>Metering Services</v>
      </c>
      <c r="AO698" s="134">
        <v>131</v>
      </c>
      <c r="AP698" s="135" t="s">
        <v>2139</v>
      </c>
      <c r="AQ698" s="135">
        <v>613360</v>
      </c>
      <c r="AR698" s="135" t="s">
        <v>2097</v>
      </c>
      <c r="AS698" s="136">
        <v>28.319780000000002</v>
      </c>
      <c r="AU698" s="7" t="str">
        <f>VLOOKUP($AO698,Mapping!$E$11:$I$96,3,0)</f>
        <v>Replacement</v>
      </c>
      <c r="AV698" s="7" t="str">
        <f>VLOOKUP($AQ698,Mapping!$E$140:$K$2771,5,0)</f>
        <v>Labour</v>
      </c>
      <c r="AW698" s="7" t="str">
        <f>VLOOKUP($AQ698,Mapping!$E$140:$K$2771,7,0)</f>
        <v>ENDirect</v>
      </c>
      <c r="AX698" s="7" t="str">
        <f>IFERROR(HLOOKUP(AV698,'Calc|Weightings'!$K$5:$M$5,1,0),"Excl")</f>
        <v>Labour</v>
      </c>
      <c r="AY698" s="7" t="str">
        <f>VLOOKUP(AO698,Mapping!$E$11:$I$96,5,0)</f>
        <v>SCS</v>
      </c>
    </row>
    <row r="699" spans="1:51" x14ac:dyDescent="0.2">
      <c r="A699" s="7"/>
      <c r="B699" s="7"/>
      <c r="C699" s="7"/>
      <c r="D699" s="7"/>
      <c r="E699" s="36">
        <v>120</v>
      </c>
      <c r="F699" s="36" t="s">
        <v>2134</v>
      </c>
      <c r="G699" s="36">
        <v>613574</v>
      </c>
      <c r="H699" s="36" t="s">
        <v>1488</v>
      </c>
      <c r="I699" s="37">
        <v>0.50575999999999999</v>
      </c>
      <c r="J699" s="7"/>
      <c r="K699" s="7" t="str">
        <f>VLOOKUP($E699,Mapping!$E$11:$I$96,3,0)</f>
        <v>Negotiated Capex</v>
      </c>
      <c r="L699" s="7" t="str">
        <f>VLOOKUP($G699,Mapping!$E$140:$K$2771,5,0)</f>
        <v>Labour</v>
      </c>
      <c r="M699" s="7" t="str">
        <f>VLOOKUP($G699,Mapping!$E$140:$K$2771,7,0)</f>
        <v>ENDirect</v>
      </c>
      <c r="N699" s="7" t="str">
        <f>IFERROR(HLOOKUP(L699,'Calc|Weightings'!$K$5:$M$5,1,0),"Excl")</f>
        <v>Labour</v>
      </c>
      <c r="O699" s="7" t="str">
        <f>VLOOKUP(E699,Mapping!$E$11:$I$96,5,0)</f>
        <v>Negotiated Capex</v>
      </c>
      <c r="Q699" s="33">
        <v>131</v>
      </c>
      <c r="R699" s="33" t="s">
        <v>2139</v>
      </c>
      <c r="S699" s="33">
        <v>531468</v>
      </c>
      <c r="T699" s="33" t="s">
        <v>260</v>
      </c>
      <c r="U699" s="34">
        <v>290.20994000000002</v>
      </c>
      <c r="V699" s="7"/>
      <c r="W699" s="7" t="str">
        <f>VLOOKUP($Q699,Mapping!$E$11:$I$96,3,0)</f>
        <v>Replacement</v>
      </c>
      <c r="X699" s="7" t="str">
        <f>VLOOKUP($S699,Mapping!$E$140:$K$2771,5,0)</f>
        <v>Contracts</v>
      </c>
      <c r="Y699" s="7" t="str">
        <f>VLOOKUP($S699,Mapping!$E$140:$K$2771,7,0)</f>
        <v>ENDirect</v>
      </c>
      <c r="Z699" s="7" t="str">
        <f>IFERROR(HLOOKUP(X699,'Calc|Weightings'!$K$5:$M$5,1,0),"Excl")</f>
        <v>Contracts</v>
      </c>
      <c r="AA699" s="7" t="str">
        <f>VLOOKUP(Q699,Mapping!$E$11:$I$96,5,0)</f>
        <v>SCS</v>
      </c>
      <c r="AC699" s="111">
        <v>125</v>
      </c>
      <c r="AD699" s="111" t="s">
        <v>2135</v>
      </c>
      <c r="AE699" s="111">
        <v>639000</v>
      </c>
      <c r="AF699" s="111" t="s">
        <v>2112</v>
      </c>
      <c r="AG699" s="112">
        <v>54.172440000000002</v>
      </c>
      <c r="AI699" s="7" t="str">
        <f>VLOOKUP($AC699,Mapping!$E$11:$I$96,3,0)</f>
        <v>Metering Capex</v>
      </c>
      <c r="AJ699" s="7" t="str">
        <f>VLOOKUP($AE699,Mapping!$E$140:$K$2771,5,0)</f>
        <v>PNS Corporate OH</v>
      </c>
      <c r="AK699" s="7" t="str">
        <f>VLOOKUP($AE699,Mapping!$E$140:$K$2771,7,0)</f>
        <v>OH</v>
      </c>
      <c r="AL699" s="7" t="str">
        <f>IFERROR(HLOOKUP(AJ699,'Calc|Weightings'!$K$5:$M$5,1,0),"Excl")</f>
        <v>Excl</v>
      </c>
      <c r="AM699" s="7" t="str">
        <f>VLOOKUP(AC699,Mapping!$E$11:$I$96,5,0)</f>
        <v>Metering Services</v>
      </c>
      <c r="AO699" s="134">
        <v>131</v>
      </c>
      <c r="AP699" s="135" t="s">
        <v>2139</v>
      </c>
      <c r="AQ699" s="135">
        <v>613370</v>
      </c>
      <c r="AR699" s="135" t="s">
        <v>1402</v>
      </c>
      <c r="AS699" s="136">
        <v>2.3983300000000001</v>
      </c>
      <c r="AU699" s="7" t="str">
        <f>VLOOKUP($AO699,Mapping!$E$11:$I$96,3,0)</f>
        <v>Replacement</v>
      </c>
      <c r="AV699" s="7" t="str">
        <f>VLOOKUP($AQ699,Mapping!$E$140:$K$2771,5,0)</f>
        <v>Labour</v>
      </c>
      <c r="AW699" s="7" t="str">
        <f>VLOOKUP($AQ699,Mapping!$E$140:$K$2771,7,0)</f>
        <v>ENDirect</v>
      </c>
      <c r="AX699" s="7" t="str">
        <f>IFERROR(HLOOKUP(AV699,'Calc|Weightings'!$K$5:$M$5,1,0),"Excl")</f>
        <v>Labour</v>
      </c>
      <c r="AY699" s="7" t="str">
        <f>VLOOKUP(AO699,Mapping!$E$11:$I$96,5,0)</f>
        <v>SCS</v>
      </c>
    </row>
    <row r="700" spans="1:51" x14ac:dyDescent="0.2">
      <c r="A700" s="7"/>
      <c r="B700" s="7"/>
      <c r="C700" s="7"/>
      <c r="D700" s="7"/>
      <c r="E700" s="36">
        <v>120</v>
      </c>
      <c r="F700" s="36" t="s">
        <v>2134</v>
      </c>
      <c r="G700" s="36">
        <v>613680</v>
      </c>
      <c r="H700" s="36" t="s">
        <v>2107</v>
      </c>
      <c r="I700" s="37">
        <v>13.700430000000001</v>
      </c>
      <c r="J700" s="7"/>
      <c r="K700" s="7" t="str">
        <f>VLOOKUP($E700,Mapping!$E$11:$I$96,3,0)</f>
        <v>Negotiated Capex</v>
      </c>
      <c r="L700" s="7" t="str">
        <f>VLOOKUP($G700,Mapping!$E$140:$K$2771,5,0)</f>
        <v>Labour</v>
      </c>
      <c r="M700" s="7" t="str">
        <f>VLOOKUP($G700,Mapping!$E$140:$K$2771,7,0)</f>
        <v>ENDirect</v>
      </c>
      <c r="N700" s="7" t="str">
        <f>IFERROR(HLOOKUP(L700,'Calc|Weightings'!$K$5:$M$5,1,0),"Excl")</f>
        <v>Labour</v>
      </c>
      <c r="O700" s="7" t="str">
        <f>VLOOKUP(E700,Mapping!$E$11:$I$96,5,0)</f>
        <v>Negotiated Capex</v>
      </c>
      <c r="Q700" s="33">
        <v>131</v>
      </c>
      <c r="R700" s="33" t="s">
        <v>2139</v>
      </c>
      <c r="S700" s="33">
        <v>531469</v>
      </c>
      <c r="T700" s="33" t="s">
        <v>261</v>
      </c>
      <c r="U700" s="34">
        <v>39.837499999999999</v>
      </c>
      <c r="V700" s="7"/>
      <c r="W700" s="7" t="str">
        <f>VLOOKUP($Q700,Mapping!$E$11:$I$96,3,0)</f>
        <v>Replacement</v>
      </c>
      <c r="X700" s="7" t="str">
        <f>VLOOKUP($S700,Mapping!$E$140:$K$2771,5,0)</f>
        <v>Labour</v>
      </c>
      <c r="Y700" s="7" t="str">
        <f>VLOOKUP($S700,Mapping!$E$140:$K$2771,7,0)</f>
        <v>ENDirect</v>
      </c>
      <c r="Z700" s="7" t="str">
        <f>IFERROR(HLOOKUP(X700,'Calc|Weightings'!$K$5:$M$5,1,0),"Excl")</f>
        <v>Labour</v>
      </c>
      <c r="AA700" s="7" t="str">
        <f>VLOOKUP(Q700,Mapping!$E$11:$I$96,5,0)</f>
        <v>SCS</v>
      </c>
      <c r="AC700" s="111">
        <v>125</v>
      </c>
      <c r="AD700" s="111" t="s">
        <v>2135</v>
      </c>
      <c r="AE700" s="111">
        <v>639050</v>
      </c>
      <c r="AF700" s="111" t="s">
        <v>2113</v>
      </c>
      <c r="AG700" s="112">
        <v>0.40992000000000001</v>
      </c>
      <c r="AI700" s="7" t="str">
        <f>VLOOKUP($AC700,Mapping!$E$11:$I$96,3,0)</f>
        <v>Metering Capex</v>
      </c>
      <c r="AJ700" s="7" t="str">
        <f>VLOOKUP($AE700,Mapping!$E$140:$K$2771,5,0)</f>
        <v>PNS Fleet &amp; Property OH</v>
      </c>
      <c r="AK700" s="7" t="str">
        <f>VLOOKUP($AE700,Mapping!$E$140:$K$2771,7,0)</f>
        <v>OH</v>
      </c>
      <c r="AL700" s="7" t="str">
        <f>IFERROR(HLOOKUP(AJ700,'Calc|Weightings'!$K$5:$M$5,1,0),"Excl")</f>
        <v>Excl</v>
      </c>
      <c r="AM700" s="7" t="str">
        <f>VLOOKUP(AC700,Mapping!$E$11:$I$96,5,0)</f>
        <v>Metering Services</v>
      </c>
      <c r="AO700" s="134">
        <v>131</v>
      </c>
      <c r="AP700" s="135" t="s">
        <v>2139</v>
      </c>
      <c r="AQ700" s="135">
        <v>613371</v>
      </c>
      <c r="AR700" s="135" t="s">
        <v>1403</v>
      </c>
      <c r="AS700" s="136">
        <v>1.43493</v>
      </c>
      <c r="AU700" s="7" t="str">
        <f>VLOOKUP($AO700,Mapping!$E$11:$I$96,3,0)</f>
        <v>Replacement</v>
      </c>
      <c r="AV700" s="7" t="str">
        <f>VLOOKUP($AQ700,Mapping!$E$140:$K$2771,5,0)</f>
        <v>Labour</v>
      </c>
      <c r="AW700" s="7" t="str">
        <f>VLOOKUP($AQ700,Mapping!$E$140:$K$2771,7,0)</f>
        <v>ENDirect</v>
      </c>
      <c r="AX700" s="7" t="str">
        <f>IFERROR(HLOOKUP(AV700,'Calc|Weightings'!$K$5:$M$5,1,0),"Excl")</f>
        <v>Labour</v>
      </c>
      <c r="AY700" s="7" t="str">
        <f>VLOOKUP(AO700,Mapping!$E$11:$I$96,5,0)</f>
        <v>SCS</v>
      </c>
    </row>
    <row r="701" spans="1:51" x14ac:dyDescent="0.2">
      <c r="A701" s="7"/>
      <c r="B701" s="7"/>
      <c r="C701" s="7"/>
      <c r="D701" s="7"/>
      <c r="E701" s="36">
        <v>120</v>
      </c>
      <c r="F701" s="36" t="s">
        <v>2134</v>
      </c>
      <c r="G701" s="36">
        <v>633000</v>
      </c>
      <c r="H701" s="36" t="s">
        <v>2202</v>
      </c>
      <c r="I701" s="37">
        <v>137.98428000000001</v>
      </c>
      <c r="J701" s="7"/>
      <c r="K701" s="7" t="str">
        <f>VLOOKUP($E701,Mapping!$E$11:$I$96,3,0)</f>
        <v>Negotiated Capex</v>
      </c>
      <c r="L701" s="7" t="str">
        <f>VLOOKUP($G701,Mapping!$E$140:$K$2771,5,0)</f>
        <v>Contracts</v>
      </c>
      <c r="M701" s="7" t="str">
        <f>VLOOKUP($G701,Mapping!$E$140:$K$2771,7,0)</f>
        <v>OH</v>
      </c>
      <c r="N701" s="7" t="str">
        <f>IFERROR(HLOOKUP(L701,'Calc|Weightings'!$K$5:$M$5,1,0),"Excl")</f>
        <v>Contracts</v>
      </c>
      <c r="O701" s="7" t="str">
        <f>VLOOKUP(E701,Mapping!$E$11:$I$96,5,0)</f>
        <v>Negotiated Capex</v>
      </c>
      <c r="Q701" s="33">
        <v>131</v>
      </c>
      <c r="R701" s="33" t="s">
        <v>2139</v>
      </c>
      <c r="S701" s="33">
        <v>531480</v>
      </c>
      <c r="T701" s="33" t="s">
        <v>2076</v>
      </c>
      <c r="U701" s="34">
        <v>5.1184500000000002</v>
      </c>
      <c r="V701" s="7"/>
      <c r="W701" s="7" t="str">
        <f>VLOOKUP($Q701,Mapping!$E$11:$I$96,3,0)</f>
        <v>Replacement</v>
      </c>
      <c r="X701" s="7" t="str">
        <f>VLOOKUP($S701,Mapping!$E$140:$K$2771,5,0)</f>
        <v>Labour</v>
      </c>
      <c r="Y701" s="7" t="str">
        <f>VLOOKUP($S701,Mapping!$E$140:$K$2771,7,0)</f>
        <v>ENDirect</v>
      </c>
      <c r="Z701" s="7" t="str">
        <f>IFERROR(HLOOKUP(X701,'Calc|Weightings'!$K$5:$M$5,1,0),"Excl")</f>
        <v>Labour</v>
      </c>
      <c r="AA701" s="7" t="str">
        <f>VLOOKUP(Q701,Mapping!$E$11:$I$96,5,0)</f>
        <v>SCS</v>
      </c>
      <c r="AC701" s="111">
        <v>126</v>
      </c>
      <c r="AD701" s="111" t="s">
        <v>2136</v>
      </c>
      <c r="AE701" s="111">
        <v>604600</v>
      </c>
      <c r="AF701" s="111" t="s">
        <v>487</v>
      </c>
      <c r="AG701" s="112">
        <v>112.22337</v>
      </c>
      <c r="AI701" s="7" t="str">
        <f>VLOOKUP($AC701,Mapping!$E$11:$I$96,3,0)</f>
        <v>Metering Opex</v>
      </c>
      <c r="AJ701" s="7" t="str">
        <f>VLOOKUP($AE701,Mapping!$E$140:$K$2771,5,0)</f>
        <v>Corporate Services Fee</v>
      </c>
      <c r="AK701" s="7" t="str">
        <f>VLOOKUP($AE701,Mapping!$E$140:$K$2771,7,0)</f>
        <v>ENDirect</v>
      </c>
      <c r="AL701" s="7" t="str">
        <f>IFERROR(HLOOKUP(AJ701,'Calc|Weightings'!$K$5:$M$5,1,0),"Excl")</f>
        <v>Excl</v>
      </c>
      <c r="AM701" s="7" t="str">
        <f>VLOOKUP(AC701,Mapping!$E$11:$I$96,5,0)</f>
        <v>Connection Services</v>
      </c>
      <c r="AO701" s="134">
        <v>131</v>
      </c>
      <c r="AP701" s="135" t="s">
        <v>2139</v>
      </c>
      <c r="AQ701" s="135">
        <v>613390</v>
      </c>
      <c r="AR701" s="135" t="s">
        <v>2141</v>
      </c>
      <c r="AS701" s="136">
        <v>-113.96532000000001</v>
      </c>
      <c r="AU701" s="7" t="str">
        <f>VLOOKUP($AO701,Mapping!$E$11:$I$96,3,0)</f>
        <v>Replacement</v>
      </c>
      <c r="AV701" s="7" t="str">
        <f>VLOOKUP($AQ701,Mapping!$E$140:$K$2771,5,0)</f>
        <v>Contracts</v>
      </c>
      <c r="AW701" s="7" t="str">
        <f>VLOOKUP($AQ701,Mapping!$E$140:$K$2771,7,0)</f>
        <v>ENDirect</v>
      </c>
      <c r="AX701" s="7" t="str">
        <f>IFERROR(HLOOKUP(AV701,'Calc|Weightings'!$K$5:$M$5,1,0),"Excl")</f>
        <v>Contracts</v>
      </c>
      <c r="AY701" s="7" t="str">
        <f>VLOOKUP(AO701,Mapping!$E$11:$I$96,5,0)</f>
        <v>SCS</v>
      </c>
    </row>
    <row r="702" spans="1:51" x14ac:dyDescent="0.2">
      <c r="A702" s="7"/>
      <c r="B702" s="7"/>
      <c r="C702" s="7"/>
      <c r="D702" s="7"/>
      <c r="E702" s="36">
        <v>120</v>
      </c>
      <c r="F702" s="36" t="s">
        <v>2134</v>
      </c>
      <c r="G702" s="36">
        <v>634001</v>
      </c>
      <c r="H702" s="36" t="s">
        <v>2110</v>
      </c>
      <c r="I702" s="37">
        <v>57.124949999999998</v>
      </c>
      <c r="J702" s="7"/>
      <c r="K702" s="7" t="str">
        <f>VLOOKUP($E702,Mapping!$E$11:$I$96,3,0)</f>
        <v>Negotiated Capex</v>
      </c>
      <c r="L702" s="7" t="str">
        <f>VLOOKUP($G702,Mapping!$E$140:$K$2771,5,0)</f>
        <v>Local OH</v>
      </c>
      <c r="M702" s="7" t="str">
        <f>VLOOKUP($G702,Mapping!$E$140:$K$2771,7,0)</f>
        <v>OH</v>
      </c>
      <c r="N702" s="7" t="str">
        <f>IFERROR(HLOOKUP(L702,'Calc|Weightings'!$K$5:$M$5,1,0),"Excl")</f>
        <v>Excl</v>
      </c>
      <c r="O702" s="7" t="str">
        <f>VLOOKUP(E702,Mapping!$E$11:$I$96,5,0)</f>
        <v>Negotiated Capex</v>
      </c>
      <c r="Q702" s="33">
        <v>131</v>
      </c>
      <c r="R702" s="33" t="s">
        <v>2139</v>
      </c>
      <c r="S702" s="33">
        <v>532100</v>
      </c>
      <c r="T702" s="33" t="s">
        <v>286</v>
      </c>
      <c r="U702" s="34">
        <v>2.6381999999999999</v>
      </c>
      <c r="V702" s="7"/>
      <c r="W702" s="7" t="str">
        <f>VLOOKUP($Q702,Mapping!$E$11:$I$96,3,0)</f>
        <v>Replacement</v>
      </c>
      <c r="X702" s="7" t="str">
        <f>VLOOKUP($S702,Mapping!$E$140:$K$2771,5,0)</f>
        <v>Contracts</v>
      </c>
      <c r="Y702" s="7" t="str">
        <f>VLOOKUP($S702,Mapping!$E$140:$K$2771,7,0)</f>
        <v>ENDirect</v>
      </c>
      <c r="Z702" s="7" t="str">
        <f>IFERROR(HLOOKUP(X702,'Calc|Weightings'!$K$5:$M$5,1,0),"Excl")</f>
        <v>Contracts</v>
      </c>
      <c r="AA702" s="7" t="str">
        <f>VLOOKUP(Q702,Mapping!$E$11:$I$96,5,0)</f>
        <v>SCS</v>
      </c>
      <c r="AC702" s="111">
        <v>126</v>
      </c>
      <c r="AD702" s="111" t="s">
        <v>2136</v>
      </c>
      <c r="AE702" s="111">
        <v>613466</v>
      </c>
      <c r="AF702" s="111" t="s">
        <v>631</v>
      </c>
      <c r="AG702" s="112">
        <v>0.42671999999999999</v>
      </c>
      <c r="AI702" s="7" t="str">
        <f>VLOOKUP($AC702,Mapping!$E$11:$I$96,3,0)</f>
        <v>Metering Opex</v>
      </c>
      <c r="AJ702" s="7" t="str">
        <f>VLOOKUP($AE702,Mapping!$E$140:$K$2771,5,0)</f>
        <v>Contracts</v>
      </c>
      <c r="AK702" s="7" t="str">
        <f>VLOOKUP($AE702,Mapping!$E$140:$K$2771,7,0)</f>
        <v>ENDirect</v>
      </c>
      <c r="AL702" s="7" t="str">
        <f>IFERROR(HLOOKUP(AJ702,'Calc|Weightings'!$K$5:$M$5,1,0),"Excl")</f>
        <v>Contracts</v>
      </c>
      <c r="AM702" s="7" t="str">
        <f>VLOOKUP(AC702,Mapping!$E$11:$I$96,5,0)</f>
        <v>Connection Services</v>
      </c>
      <c r="AO702" s="134">
        <v>131</v>
      </c>
      <c r="AP702" s="135" t="s">
        <v>2139</v>
      </c>
      <c r="AQ702" s="135">
        <v>613400</v>
      </c>
      <c r="AR702" s="135" t="s">
        <v>2099</v>
      </c>
      <c r="AS702" s="136">
        <v>238.53200000000001</v>
      </c>
      <c r="AU702" s="7" t="str">
        <f>VLOOKUP($AO702,Mapping!$E$11:$I$96,3,0)</f>
        <v>Replacement</v>
      </c>
      <c r="AV702" s="7" t="str">
        <f>VLOOKUP($AQ702,Mapping!$E$140:$K$2771,5,0)</f>
        <v>Labour</v>
      </c>
      <c r="AW702" s="7" t="str">
        <f>VLOOKUP($AQ702,Mapping!$E$140:$K$2771,7,0)</f>
        <v>ENDirect</v>
      </c>
      <c r="AX702" s="7" t="str">
        <f>IFERROR(HLOOKUP(AV702,'Calc|Weightings'!$K$5:$M$5,1,0),"Excl")</f>
        <v>Labour</v>
      </c>
      <c r="AY702" s="7" t="str">
        <f>VLOOKUP(AO702,Mapping!$E$11:$I$96,5,0)</f>
        <v>SCS</v>
      </c>
    </row>
    <row r="703" spans="1:51" x14ac:dyDescent="0.2">
      <c r="A703" s="7"/>
      <c r="B703" s="7"/>
      <c r="C703" s="7"/>
      <c r="D703" s="7"/>
      <c r="E703" s="36">
        <v>120</v>
      </c>
      <c r="F703" s="36" t="s">
        <v>2134</v>
      </c>
      <c r="G703" s="36">
        <v>635001</v>
      </c>
      <c r="H703" s="36" t="s">
        <v>1929</v>
      </c>
      <c r="I703" s="37">
        <v>39.836480000000002</v>
      </c>
      <c r="J703" s="7"/>
      <c r="K703" s="7" t="str">
        <f>VLOOKUP($E703,Mapping!$E$11:$I$96,3,0)</f>
        <v>Negotiated Capex</v>
      </c>
      <c r="L703" s="7" t="str">
        <f>VLOOKUP($G703,Mapping!$E$140:$K$2771,5,0)</f>
        <v>PNS MG</v>
      </c>
      <c r="M703" s="7" t="str">
        <f>VLOOKUP($G703,Mapping!$E$140:$K$2771,7,0)</f>
        <v>ENDirect</v>
      </c>
      <c r="N703" s="7" t="str">
        <f>IFERROR(HLOOKUP(L703,'Calc|Weightings'!$K$5:$M$5,1,0),"Excl")</f>
        <v>Excl</v>
      </c>
      <c r="O703" s="7" t="str">
        <f>VLOOKUP(E703,Mapping!$E$11:$I$96,5,0)</f>
        <v>Negotiated Capex</v>
      </c>
      <c r="Q703" s="33">
        <v>131</v>
      </c>
      <c r="R703" s="33" t="s">
        <v>2139</v>
      </c>
      <c r="S703" s="33">
        <v>532200</v>
      </c>
      <c r="T703" s="33" t="s">
        <v>291</v>
      </c>
      <c r="U703" s="34">
        <v>8.4990000000000006</v>
      </c>
      <c r="V703" s="7"/>
      <c r="W703" s="7" t="str">
        <f>VLOOKUP($Q703,Mapping!$E$11:$I$96,3,0)</f>
        <v>Replacement</v>
      </c>
      <c r="X703" s="7" t="str">
        <f>VLOOKUP($S703,Mapping!$E$140:$K$2771,5,0)</f>
        <v>Contracts</v>
      </c>
      <c r="Y703" s="7" t="str">
        <f>VLOOKUP($S703,Mapping!$E$140:$K$2771,7,0)</f>
        <v>ENDirect</v>
      </c>
      <c r="Z703" s="7" t="str">
        <f>IFERROR(HLOOKUP(X703,'Calc|Weightings'!$K$5:$M$5,1,0),"Excl")</f>
        <v>Contracts</v>
      </c>
      <c r="AA703" s="7" t="str">
        <f>VLOOKUP(Q703,Mapping!$E$11:$I$96,5,0)</f>
        <v>SCS</v>
      </c>
      <c r="AC703" s="111">
        <v>126</v>
      </c>
      <c r="AD703" s="111" t="s">
        <v>2136</v>
      </c>
      <c r="AE703" s="111">
        <v>613736</v>
      </c>
      <c r="AF703" s="111" t="s">
        <v>1766</v>
      </c>
      <c r="AG703" s="112">
        <v>-58.980960000000003</v>
      </c>
      <c r="AI703" s="7" t="str">
        <f>VLOOKUP($AC703,Mapping!$E$11:$I$96,3,0)</f>
        <v>Metering Opex</v>
      </c>
      <c r="AJ703" s="7" t="str">
        <f>VLOOKUP($AE703,Mapping!$E$140:$K$2771,5,0)</f>
        <v>Labour (50%)/ Contracts (50%)</v>
      </c>
      <c r="AK703" s="7" t="str">
        <f>VLOOKUP($AE703,Mapping!$E$140:$K$2771,7,0)</f>
        <v>ENDirect</v>
      </c>
      <c r="AL703" s="7" t="str">
        <f>IFERROR(HLOOKUP(AJ703,'Calc|Weightings'!$K$5:$M$5,1,0),"Excl")</f>
        <v>Excl</v>
      </c>
      <c r="AM703" s="7" t="str">
        <f>VLOOKUP(AC703,Mapping!$E$11:$I$96,5,0)</f>
        <v>Connection Services</v>
      </c>
      <c r="AO703" s="134">
        <v>131</v>
      </c>
      <c r="AP703" s="135" t="s">
        <v>2139</v>
      </c>
      <c r="AQ703" s="135">
        <v>613401</v>
      </c>
      <c r="AR703" s="135" t="s">
        <v>2117</v>
      </c>
      <c r="AS703" s="136">
        <v>14.776579999999999</v>
      </c>
      <c r="AU703" s="7" t="str">
        <f>VLOOKUP($AO703,Mapping!$E$11:$I$96,3,0)</f>
        <v>Replacement</v>
      </c>
      <c r="AV703" s="7" t="str">
        <f>VLOOKUP($AQ703,Mapping!$E$140:$K$2771,5,0)</f>
        <v>Labour</v>
      </c>
      <c r="AW703" s="7" t="str">
        <f>VLOOKUP($AQ703,Mapping!$E$140:$K$2771,7,0)</f>
        <v>ENDirect</v>
      </c>
      <c r="AX703" s="7" t="str">
        <f>IFERROR(HLOOKUP(AV703,'Calc|Weightings'!$K$5:$M$5,1,0),"Excl")</f>
        <v>Labour</v>
      </c>
      <c r="AY703" s="7" t="str">
        <f>VLOOKUP(AO703,Mapping!$E$11:$I$96,5,0)</f>
        <v>SCS</v>
      </c>
    </row>
    <row r="704" spans="1:51" x14ac:dyDescent="0.2">
      <c r="A704" s="7"/>
      <c r="B704" s="7"/>
      <c r="C704" s="7"/>
      <c r="D704" s="7"/>
      <c r="E704" s="36">
        <v>120</v>
      </c>
      <c r="F704" s="36" t="s">
        <v>2134</v>
      </c>
      <c r="G704" s="36">
        <v>636001</v>
      </c>
      <c r="H704" s="36" t="s">
        <v>2111</v>
      </c>
      <c r="I704" s="37">
        <v>18.100709999999999</v>
      </c>
      <c r="J704" s="7"/>
      <c r="K704" s="7" t="str">
        <f>VLOOKUP($E704,Mapping!$E$11:$I$96,3,0)</f>
        <v>Negotiated Capex</v>
      </c>
      <c r="L704" s="7" t="str">
        <f>VLOOKUP($G704,Mapping!$E$140:$K$2771,5,0)</f>
        <v>System Control OH</v>
      </c>
      <c r="M704" s="7" t="str">
        <f>VLOOKUP($G704,Mapping!$E$140:$K$2771,7,0)</f>
        <v>OH</v>
      </c>
      <c r="N704" s="7" t="str">
        <f>IFERROR(HLOOKUP(L704,'Calc|Weightings'!$K$5:$M$5,1,0),"Excl")</f>
        <v>Excl</v>
      </c>
      <c r="O704" s="7" t="str">
        <f>VLOOKUP(E704,Mapping!$E$11:$I$96,5,0)</f>
        <v>Negotiated Capex</v>
      </c>
      <c r="Q704" s="33">
        <v>131</v>
      </c>
      <c r="R704" s="33" t="s">
        <v>2139</v>
      </c>
      <c r="S704" s="33">
        <v>532220</v>
      </c>
      <c r="T704" s="33" t="s">
        <v>292</v>
      </c>
      <c r="U704" s="34">
        <v>0.66</v>
      </c>
      <c r="V704" s="7"/>
      <c r="W704" s="7" t="str">
        <f>VLOOKUP($Q704,Mapping!$E$11:$I$96,3,0)</f>
        <v>Replacement</v>
      </c>
      <c r="X704" s="7" t="str">
        <f>VLOOKUP($S704,Mapping!$E$140:$K$2771,5,0)</f>
        <v>Contracts</v>
      </c>
      <c r="Y704" s="7" t="str">
        <f>VLOOKUP($S704,Mapping!$E$140:$K$2771,7,0)</f>
        <v>ENDirect</v>
      </c>
      <c r="Z704" s="7" t="str">
        <f>IFERROR(HLOOKUP(X704,'Calc|Weightings'!$K$5:$M$5,1,0),"Excl")</f>
        <v>Contracts</v>
      </c>
      <c r="AA704" s="7" t="str">
        <f>VLOOKUP(Q704,Mapping!$E$11:$I$96,5,0)</f>
        <v>SCS</v>
      </c>
      <c r="AC704" s="111">
        <v>126</v>
      </c>
      <c r="AD704" s="111" t="s">
        <v>2136</v>
      </c>
      <c r="AE704" s="111">
        <v>613739</v>
      </c>
      <c r="AF704" s="111" t="s">
        <v>1767</v>
      </c>
      <c r="AG704" s="112">
        <v>-16.327739999999999</v>
      </c>
      <c r="AI704" s="7" t="str">
        <f>VLOOKUP($AC704,Mapping!$E$11:$I$96,3,0)</f>
        <v>Metering Opex</v>
      </c>
      <c r="AJ704" s="7" t="str">
        <f>VLOOKUP($AE704,Mapping!$E$140:$K$2771,5,0)</f>
        <v>Labour (50%)/ Contracts (50%)</v>
      </c>
      <c r="AK704" s="7" t="str">
        <f>VLOOKUP($AE704,Mapping!$E$140:$K$2771,7,0)</f>
        <v>ENDirect</v>
      </c>
      <c r="AL704" s="7" t="str">
        <f>IFERROR(HLOOKUP(AJ704,'Calc|Weightings'!$K$5:$M$5,1,0),"Excl")</f>
        <v>Excl</v>
      </c>
      <c r="AM704" s="7" t="str">
        <f>VLOOKUP(AC704,Mapping!$E$11:$I$96,5,0)</f>
        <v>Connection Services</v>
      </c>
      <c r="AO704" s="134">
        <v>131</v>
      </c>
      <c r="AP704" s="135" t="s">
        <v>2139</v>
      </c>
      <c r="AQ704" s="135">
        <v>613410</v>
      </c>
      <c r="AR704" s="135" t="s">
        <v>2100</v>
      </c>
      <c r="AS704" s="136">
        <v>698.3184</v>
      </c>
      <c r="AU704" s="7" t="str">
        <f>VLOOKUP($AO704,Mapping!$E$11:$I$96,3,0)</f>
        <v>Replacement</v>
      </c>
      <c r="AV704" s="7" t="str">
        <f>VLOOKUP($AQ704,Mapping!$E$140:$K$2771,5,0)</f>
        <v>Labour</v>
      </c>
      <c r="AW704" s="7" t="str">
        <f>VLOOKUP($AQ704,Mapping!$E$140:$K$2771,7,0)</f>
        <v>ENDirect</v>
      </c>
      <c r="AX704" s="7" t="str">
        <f>IFERROR(HLOOKUP(AV704,'Calc|Weightings'!$K$5:$M$5,1,0),"Excl")</f>
        <v>Labour</v>
      </c>
      <c r="AY704" s="7" t="str">
        <f>VLOOKUP(AO704,Mapping!$E$11:$I$96,5,0)</f>
        <v>SCS</v>
      </c>
    </row>
    <row r="705" spans="1:51" x14ac:dyDescent="0.2">
      <c r="A705" s="7"/>
      <c r="B705" s="7"/>
      <c r="C705" s="7"/>
      <c r="D705" s="7"/>
      <c r="E705" s="36">
        <v>120</v>
      </c>
      <c r="F705" s="36" t="s">
        <v>2134</v>
      </c>
      <c r="G705" s="36">
        <v>639000</v>
      </c>
      <c r="H705" s="36" t="s">
        <v>2112</v>
      </c>
      <c r="I705" s="37">
        <v>36.815570000000001</v>
      </c>
      <c r="J705" s="7"/>
      <c r="K705" s="7" t="str">
        <f>VLOOKUP($E705,Mapping!$E$11:$I$96,3,0)</f>
        <v>Negotiated Capex</v>
      </c>
      <c r="L705" s="7" t="str">
        <f>VLOOKUP($G705,Mapping!$E$140:$K$2771,5,0)</f>
        <v>PNS Corporate OH</v>
      </c>
      <c r="M705" s="7" t="str">
        <f>VLOOKUP($G705,Mapping!$E$140:$K$2771,7,0)</f>
        <v>OH</v>
      </c>
      <c r="N705" s="7" t="str">
        <f>IFERROR(HLOOKUP(L705,'Calc|Weightings'!$K$5:$M$5,1,0),"Excl")</f>
        <v>Excl</v>
      </c>
      <c r="O705" s="7" t="str">
        <f>VLOOKUP(E705,Mapping!$E$11:$I$96,5,0)</f>
        <v>Negotiated Capex</v>
      </c>
      <c r="Q705" s="33">
        <v>131</v>
      </c>
      <c r="R705" s="33" t="s">
        <v>2139</v>
      </c>
      <c r="S705" s="33">
        <v>591200</v>
      </c>
      <c r="T705" s="33" t="s">
        <v>398</v>
      </c>
      <c r="U705" s="34">
        <v>0.4</v>
      </c>
      <c r="V705" s="7"/>
      <c r="W705" s="7" t="str">
        <f>VLOOKUP($Q705,Mapping!$E$11:$I$96,3,0)</f>
        <v>Replacement</v>
      </c>
      <c r="X705" s="7" t="str">
        <f>VLOOKUP($S705,Mapping!$E$140:$K$2771,5,0)</f>
        <v>Contracts</v>
      </c>
      <c r="Y705" s="7" t="str">
        <f>VLOOKUP($S705,Mapping!$E$140:$K$2771,7,0)</f>
        <v>ENDirect</v>
      </c>
      <c r="Z705" s="7" t="str">
        <f>IFERROR(HLOOKUP(X705,'Calc|Weightings'!$K$5:$M$5,1,0),"Excl")</f>
        <v>Contracts</v>
      </c>
      <c r="AA705" s="7" t="str">
        <f>VLOOKUP(Q705,Mapping!$E$11:$I$96,5,0)</f>
        <v>SCS</v>
      </c>
      <c r="AC705" s="111">
        <v>126</v>
      </c>
      <c r="AD705" s="111" t="s">
        <v>2136</v>
      </c>
      <c r="AE705" s="111">
        <v>613805</v>
      </c>
      <c r="AF705" s="111" t="s">
        <v>1594</v>
      </c>
      <c r="AG705" s="112">
        <v>230.9631</v>
      </c>
      <c r="AI705" s="7" t="str">
        <f>VLOOKUP($AC705,Mapping!$E$11:$I$96,3,0)</f>
        <v>Metering Opex</v>
      </c>
      <c r="AJ705" s="7" t="str">
        <f>VLOOKUP($AE705,Mapping!$E$140:$K$2771,5,0)</f>
        <v>Contracts</v>
      </c>
      <c r="AK705" s="7" t="str">
        <f>VLOOKUP($AE705,Mapping!$E$140:$K$2771,7,0)</f>
        <v>ENDirect</v>
      </c>
      <c r="AL705" s="7" t="str">
        <f>IFERROR(HLOOKUP(AJ705,'Calc|Weightings'!$K$5:$M$5,1,0),"Excl")</f>
        <v>Contracts</v>
      </c>
      <c r="AM705" s="7" t="str">
        <f>VLOOKUP(AC705,Mapping!$E$11:$I$96,5,0)</f>
        <v>Connection Services</v>
      </c>
      <c r="AO705" s="134">
        <v>131</v>
      </c>
      <c r="AP705" s="135" t="s">
        <v>2139</v>
      </c>
      <c r="AQ705" s="135">
        <v>613411</v>
      </c>
      <c r="AR705" s="135" t="s">
        <v>2101</v>
      </c>
      <c r="AS705" s="136">
        <v>34.570480000000003</v>
      </c>
      <c r="AU705" s="7" t="str">
        <f>VLOOKUP($AO705,Mapping!$E$11:$I$96,3,0)</f>
        <v>Replacement</v>
      </c>
      <c r="AV705" s="7" t="str">
        <f>VLOOKUP($AQ705,Mapping!$E$140:$K$2771,5,0)</f>
        <v>Labour</v>
      </c>
      <c r="AW705" s="7" t="str">
        <f>VLOOKUP($AQ705,Mapping!$E$140:$K$2771,7,0)</f>
        <v>ENDirect</v>
      </c>
      <c r="AX705" s="7" t="str">
        <f>IFERROR(HLOOKUP(AV705,'Calc|Weightings'!$K$5:$M$5,1,0),"Excl")</f>
        <v>Labour</v>
      </c>
      <c r="AY705" s="7" t="str">
        <f>VLOOKUP(AO705,Mapping!$E$11:$I$96,5,0)</f>
        <v>SCS</v>
      </c>
    </row>
    <row r="706" spans="1:51" x14ac:dyDescent="0.2">
      <c r="A706" s="7"/>
      <c r="B706" s="7"/>
      <c r="C706" s="7"/>
      <c r="D706" s="7"/>
      <c r="E706" s="36">
        <v>120</v>
      </c>
      <c r="F706" s="36" t="s">
        <v>2134</v>
      </c>
      <c r="G706" s="36">
        <v>639050</v>
      </c>
      <c r="H706" s="36" t="s">
        <v>2113</v>
      </c>
      <c r="I706" s="37">
        <v>5.1904300000000001</v>
      </c>
      <c r="J706" s="7"/>
      <c r="K706" s="7" t="str">
        <f>VLOOKUP($E706,Mapping!$E$11:$I$96,3,0)</f>
        <v>Negotiated Capex</v>
      </c>
      <c r="L706" s="7" t="str">
        <f>VLOOKUP($G706,Mapping!$E$140:$K$2771,5,0)</f>
        <v>PNS Fleet &amp; Property OH</v>
      </c>
      <c r="M706" s="7" t="str">
        <f>VLOOKUP($G706,Mapping!$E$140:$K$2771,7,0)</f>
        <v>OH</v>
      </c>
      <c r="N706" s="7" t="str">
        <f>IFERROR(HLOOKUP(L706,'Calc|Weightings'!$K$5:$M$5,1,0),"Excl")</f>
        <v>Excl</v>
      </c>
      <c r="O706" s="7" t="str">
        <f>VLOOKUP(E706,Mapping!$E$11:$I$96,5,0)</f>
        <v>Negotiated Capex</v>
      </c>
      <c r="Q706" s="33">
        <v>131</v>
      </c>
      <c r="R706" s="33" t="s">
        <v>2139</v>
      </c>
      <c r="S706" s="33">
        <v>591999</v>
      </c>
      <c r="T706" s="33" t="s">
        <v>2078</v>
      </c>
      <c r="U706" s="34">
        <v>-0.15659000000000001</v>
      </c>
      <c r="V706" s="7"/>
      <c r="W706" s="7" t="str">
        <f>VLOOKUP($Q706,Mapping!$E$11:$I$96,3,0)</f>
        <v>Replacement</v>
      </c>
      <c r="X706" s="7" t="str">
        <f>VLOOKUP($S706,Mapping!$E$140:$K$2771,5,0)</f>
        <v>Contracts</v>
      </c>
      <c r="Y706" s="7" t="str">
        <f>VLOOKUP($S706,Mapping!$E$140:$K$2771,7,0)</f>
        <v>ENDirect</v>
      </c>
      <c r="Z706" s="7" t="str">
        <f>IFERROR(HLOOKUP(X706,'Calc|Weightings'!$K$5:$M$5,1,0),"Excl")</f>
        <v>Contracts</v>
      </c>
      <c r="AA706" s="7" t="str">
        <f>VLOOKUP(Q706,Mapping!$E$11:$I$96,5,0)</f>
        <v>SCS</v>
      </c>
      <c r="AC706" s="111">
        <v>126</v>
      </c>
      <c r="AD706" s="111" t="s">
        <v>2136</v>
      </c>
      <c r="AE706" s="111">
        <v>613807</v>
      </c>
      <c r="AF706" s="111" t="s">
        <v>662</v>
      </c>
      <c r="AG706" s="112">
        <v>167.94734</v>
      </c>
      <c r="AI706" s="7" t="str">
        <f>VLOOKUP($AC706,Mapping!$E$11:$I$96,3,0)</f>
        <v>Metering Opex</v>
      </c>
      <c r="AJ706" s="7" t="str">
        <f>VLOOKUP($AE706,Mapping!$E$140:$K$2771,5,0)</f>
        <v>Contracts</v>
      </c>
      <c r="AK706" s="7" t="str">
        <f>VLOOKUP($AE706,Mapping!$E$140:$K$2771,7,0)</f>
        <v>ENDirect</v>
      </c>
      <c r="AL706" s="7" t="str">
        <f>IFERROR(HLOOKUP(AJ706,'Calc|Weightings'!$K$5:$M$5,1,0),"Excl")</f>
        <v>Contracts</v>
      </c>
      <c r="AM706" s="7" t="str">
        <f>VLOOKUP(AC706,Mapping!$E$11:$I$96,5,0)</f>
        <v>Connection Services</v>
      </c>
      <c r="AO706" s="134">
        <v>131</v>
      </c>
      <c r="AP706" s="135" t="s">
        <v>2139</v>
      </c>
      <c r="AQ706" s="135">
        <v>613440</v>
      </c>
      <c r="AR706" s="135" t="s">
        <v>2103</v>
      </c>
      <c r="AS706" s="136">
        <v>86.011409999999998</v>
      </c>
      <c r="AU706" s="7" t="str">
        <f>VLOOKUP($AO706,Mapping!$E$11:$I$96,3,0)</f>
        <v>Replacement</v>
      </c>
      <c r="AV706" s="7" t="str">
        <f>VLOOKUP($AQ706,Mapping!$E$140:$K$2771,5,0)</f>
        <v>Labour</v>
      </c>
      <c r="AW706" s="7" t="str">
        <f>VLOOKUP($AQ706,Mapping!$E$140:$K$2771,7,0)</f>
        <v>ENDirect</v>
      </c>
      <c r="AX706" s="7" t="str">
        <f>IFERROR(HLOOKUP(AV706,'Calc|Weightings'!$K$5:$M$5,1,0),"Excl")</f>
        <v>Labour</v>
      </c>
      <c r="AY706" s="7" t="str">
        <f>VLOOKUP(AO706,Mapping!$E$11:$I$96,5,0)</f>
        <v>SCS</v>
      </c>
    </row>
    <row r="707" spans="1:51" x14ac:dyDescent="0.2">
      <c r="A707" s="7"/>
      <c r="B707" s="7"/>
      <c r="C707" s="7"/>
      <c r="D707" s="7"/>
      <c r="E707" s="36">
        <v>125</v>
      </c>
      <c r="F707" s="36" t="s">
        <v>2135</v>
      </c>
      <c r="G707" s="36">
        <v>520100</v>
      </c>
      <c r="H707" s="36" t="s">
        <v>2072</v>
      </c>
      <c r="I707" s="37">
        <v>78.563869999999994</v>
      </c>
      <c r="J707" s="7"/>
      <c r="K707" s="7" t="str">
        <f>VLOOKUP($E707,Mapping!$E$11:$I$96,3,0)</f>
        <v>Metering Capex</v>
      </c>
      <c r="L707" s="7" t="str">
        <f>VLOOKUP($G707,Mapping!$E$140:$K$2771,5,0)</f>
        <v>Materials</v>
      </c>
      <c r="M707" s="7" t="str">
        <f>VLOOKUP($G707,Mapping!$E$140:$K$2771,7,0)</f>
        <v>ENDirect</v>
      </c>
      <c r="N707" s="7" t="str">
        <f>IFERROR(HLOOKUP(L707,'Calc|Weightings'!$K$5:$M$5,1,0),"Excl")</f>
        <v>Materials</v>
      </c>
      <c r="O707" s="7" t="str">
        <f>VLOOKUP(E707,Mapping!$E$11:$I$96,5,0)</f>
        <v>Metering Services</v>
      </c>
      <c r="Q707" s="33">
        <v>131</v>
      </c>
      <c r="R707" s="33" t="s">
        <v>2139</v>
      </c>
      <c r="S707" s="33">
        <v>611860</v>
      </c>
      <c r="T707" s="33" t="s">
        <v>2125</v>
      </c>
      <c r="U707" s="34">
        <v>-1651.2445600000001</v>
      </c>
      <c r="V707" s="7"/>
      <c r="W707" s="7" t="str">
        <f>VLOOKUP($Q707,Mapping!$E$11:$I$96,3,0)</f>
        <v>Replacement</v>
      </c>
      <c r="X707" s="7" t="str">
        <f>VLOOKUP($S707,Mapping!$E$140:$K$2771,5,0)</f>
        <v>Labour</v>
      </c>
      <c r="Y707" s="7" t="str">
        <f>VLOOKUP($S707,Mapping!$E$140:$K$2771,7,0)</f>
        <v>ENDirect</v>
      </c>
      <c r="Z707" s="7" t="str">
        <f>IFERROR(HLOOKUP(X707,'Calc|Weightings'!$K$5:$M$5,1,0),"Excl")</f>
        <v>Labour</v>
      </c>
      <c r="AA707" s="7" t="str">
        <f>VLOOKUP(Q707,Mapping!$E$11:$I$96,5,0)</f>
        <v>SCS</v>
      </c>
      <c r="AC707" s="111">
        <v>126</v>
      </c>
      <c r="AD707" s="111" t="s">
        <v>2136</v>
      </c>
      <c r="AE707" s="111">
        <v>613808</v>
      </c>
      <c r="AF707" s="111" t="s">
        <v>2137</v>
      </c>
      <c r="AG707" s="112">
        <v>160.40300999999999</v>
      </c>
      <c r="AI707" s="7" t="str">
        <f>VLOOKUP($AC707,Mapping!$E$11:$I$96,3,0)</f>
        <v>Metering Opex</v>
      </c>
      <c r="AJ707" s="7" t="str">
        <f>VLOOKUP($AE707,Mapping!$E$140:$K$2771,5,0)</f>
        <v>Labour</v>
      </c>
      <c r="AK707" s="7" t="str">
        <f>VLOOKUP($AE707,Mapping!$E$140:$K$2771,7,0)</f>
        <v>ENDirect</v>
      </c>
      <c r="AL707" s="7" t="str">
        <f>IFERROR(HLOOKUP(AJ707,'Calc|Weightings'!$K$5:$M$5,1,0),"Excl")</f>
        <v>Labour</v>
      </c>
      <c r="AM707" s="7" t="str">
        <f>VLOOKUP(AC707,Mapping!$E$11:$I$96,5,0)</f>
        <v>Connection Services</v>
      </c>
      <c r="AO707" s="134">
        <v>131</v>
      </c>
      <c r="AP707" s="135" t="s">
        <v>2139</v>
      </c>
      <c r="AQ707" s="135">
        <v>613441</v>
      </c>
      <c r="AR707" s="135" t="s">
        <v>2104</v>
      </c>
      <c r="AS707" s="136">
        <v>0.41442000000000001</v>
      </c>
      <c r="AU707" s="7" t="str">
        <f>VLOOKUP($AO707,Mapping!$E$11:$I$96,3,0)</f>
        <v>Replacement</v>
      </c>
      <c r="AV707" s="7" t="str">
        <f>VLOOKUP($AQ707,Mapping!$E$140:$K$2771,5,0)</f>
        <v>Labour</v>
      </c>
      <c r="AW707" s="7" t="str">
        <f>VLOOKUP($AQ707,Mapping!$E$140:$K$2771,7,0)</f>
        <v>ENDirect</v>
      </c>
      <c r="AX707" s="7" t="str">
        <f>IFERROR(HLOOKUP(AV707,'Calc|Weightings'!$K$5:$M$5,1,0),"Excl")</f>
        <v>Labour</v>
      </c>
      <c r="AY707" s="7" t="str">
        <f>VLOOKUP(AO707,Mapping!$E$11:$I$96,5,0)</f>
        <v>SCS</v>
      </c>
    </row>
    <row r="708" spans="1:51" x14ac:dyDescent="0.2">
      <c r="A708" s="7"/>
      <c r="B708" s="7"/>
      <c r="C708" s="7"/>
      <c r="D708" s="7"/>
      <c r="E708" s="36">
        <v>125</v>
      </c>
      <c r="F708" s="36" t="s">
        <v>2135</v>
      </c>
      <c r="G708" s="36">
        <v>624540</v>
      </c>
      <c r="H708" s="36" t="s">
        <v>630</v>
      </c>
      <c r="I708" s="37">
        <v>0.34515000000000001</v>
      </c>
      <c r="J708" s="7"/>
      <c r="K708" s="7" t="str">
        <f>VLOOKUP($E708,Mapping!$E$11:$I$96,3,0)</f>
        <v>Metering Capex</v>
      </c>
      <c r="L708" s="7" t="str">
        <f>VLOOKUP($G708,Mapping!$E$140:$K$2771,5,0)</f>
        <v>Materials</v>
      </c>
      <c r="M708" s="7" t="str">
        <f>VLOOKUP($G708,Mapping!$E$140:$K$2771,7,0)</f>
        <v>ENDirect</v>
      </c>
      <c r="N708" s="7" t="str">
        <f>IFERROR(HLOOKUP(L708,'Calc|Weightings'!$K$5:$M$5,1,0),"Excl")</f>
        <v>Materials</v>
      </c>
      <c r="O708" s="7" t="str">
        <f>VLOOKUP(E708,Mapping!$E$11:$I$96,5,0)</f>
        <v>Metering Services</v>
      </c>
      <c r="Q708" s="33">
        <v>131</v>
      </c>
      <c r="R708" s="33" t="s">
        <v>2139</v>
      </c>
      <c r="S708" s="33">
        <v>611861</v>
      </c>
      <c r="T708" s="33" t="s">
        <v>2140</v>
      </c>
      <c r="U708" s="34">
        <v>-227.74325999999999</v>
      </c>
      <c r="V708" s="7"/>
      <c r="W708" s="7" t="str">
        <f>VLOOKUP($Q708,Mapping!$E$11:$I$96,3,0)</f>
        <v>Replacement</v>
      </c>
      <c r="X708" s="7" t="str">
        <f>VLOOKUP($S708,Mapping!$E$140:$K$2771,5,0)</f>
        <v>Labour</v>
      </c>
      <c r="Y708" s="7" t="str">
        <f>VLOOKUP($S708,Mapping!$E$140:$K$2771,7,0)</f>
        <v>ENDirect</v>
      </c>
      <c r="Z708" s="7" t="str">
        <f>IFERROR(HLOOKUP(X708,'Calc|Weightings'!$K$5:$M$5,1,0),"Excl")</f>
        <v>Labour</v>
      </c>
      <c r="AA708" s="7" t="str">
        <f>VLOOKUP(Q708,Mapping!$E$11:$I$96,5,0)</f>
        <v>SCS</v>
      </c>
      <c r="AC708" s="111">
        <v>126</v>
      </c>
      <c r="AD708" s="111" t="s">
        <v>2136</v>
      </c>
      <c r="AE708" s="111">
        <v>635001</v>
      </c>
      <c r="AF708" s="111" t="s">
        <v>1929</v>
      </c>
      <c r="AG708" s="112">
        <v>29.100899999999999</v>
      </c>
      <c r="AI708" s="7" t="str">
        <f>VLOOKUP($AC708,Mapping!$E$11:$I$96,3,0)</f>
        <v>Metering Opex</v>
      </c>
      <c r="AJ708" s="7" t="str">
        <f>VLOOKUP($AE708,Mapping!$E$140:$K$2771,5,0)</f>
        <v>PNS MG</v>
      </c>
      <c r="AK708" s="7" t="str">
        <f>VLOOKUP($AE708,Mapping!$E$140:$K$2771,7,0)</f>
        <v>ENDirect</v>
      </c>
      <c r="AL708" s="7" t="str">
        <f>IFERROR(HLOOKUP(AJ708,'Calc|Weightings'!$K$5:$M$5,1,0),"Excl")</f>
        <v>Excl</v>
      </c>
      <c r="AM708" s="7" t="str">
        <f>VLOOKUP(AC708,Mapping!$E$11:$I$96,5,0)</f>
        <v>Connection Services</v>
      </c>
      <c r="AO708" s="134">
        <v>131</v>
      </c>
      <c r="AP708" s="135" t="s">
        <v>2139</v>
      </c>
      <c r="AQ708" s="135">
        <v>613450</v>
      </c>
      <c r="AR708" s="135" t="s">
        <v>2175</v>
      </c>
      <c r="AS708" s="136">
        <v>21.640999999999998</v>
      </c>
      <c r="AU708" s="7" t="str">
        <f>VLOOKUP($AO708,Mapping!$E$11:$I$96,3,0)</f>
        <v>Replacement</v>
      </c>
      <c r="AV708" s="7" t="str">
        <f>VLOOKUP($AQ708,Mapping!$E$140:$K$2771,5,0)</f>
        <v>Labour</v>
      </c>
      <c r="AW708" s="7" t="str">
        <f>VLOOKUP($AQ708,Mapping!$E$140:$K$2771,7,0)</f>
        <v>ENDirect</v>
      </c>
      <c r="AX708" s="7" t="str">
        <f>IFERROR(HLOOKUP(AV708,'Calc|Weightings'!$K$5:$M$5,1,0),"Excl")</f>
        <v>Labour</v>
      </c>
      <c r="AY708" s="7" t="str">
        <f>VLOOKUP(AO708,Mapping!$E$11:$I$96,5,0)</f>
        <v>SCS</v>
      </c>
    </row>
    <row r="709" spans="1:51" x14ac:dyDescent="0.2">
      <c r="A709" s="7"/>
      <c r="B709" s="7"/>
      <c r="C709" s="7"/>
      <c r="D709" s="7"/>
      <c r="E709" s="36">
        <v>125</v>
      </c>
      <c r="F709" s="36" t="s">
        <v>2135</v>
      </c>
      <c r="G709" s="36">
        <v>624623</v>
      </c>
      <c r="H709" s="36" t="s">
        <v>1782</v>
      </c>
      <c r="I709" s="37">
        <v>372.66397999999998</v>
      </c>
      <c r="J709" s="7"/>
      <c r="K709" s="7" t="str">
        <f>VLOOKUP($E709,Mapping!$E$11:$I$96,3,0)</f>
        <v>Metering Capex</v>
      </c>
      <c r="L709" s="7" t="str">
        <f>VLOOKUP($G709,Mapping!$E$140:$K$2771,5,0)</f>
        <v>Materials</v>
      </c>
      <c r="M709" s="7" t="str">
        <f>VLOOKUP($G709,Mapping!$E$140:$K$2771,7,0)</f>
        <v>ENDirect</v>
      </c>
      <c r="N709" s="7" t="str">
        <f>IFERROR(HLOOKUP(L709,'Calc|Weightings'!$K$5:$M$5,1,0),"Excl")</f>
        <v>Materials</v>
      </c>
      <c r="O709" s="7" t="str">
        <f>VLOOKUP(E709,Mapping!$E$11:$I$96,5,0)</f>
        <v>Metering Services</v>
      </c>
      <c r="Q709" s="33">
        <v>131</v>
      </c>
      <c r="R709" s="33" t="s">
        <v>2139</v>
      </c>
      <c r="S709" s="33">
        <v>611900</v>
      </c>
      <c r="T709" s="33" t="s">
        <v>2079</v>
      </c>
      <c r="U709" s="34">
        <v>31.054680000000001</v>
      </c>
      <c r="V709" s="7"/>
      <c r="W709" s="7" t="str">
        <f>VLOOKUP($Q709,Mapping!$E$11:$I$96,3,0)</f>
        <v>Replacement</v>
      </c>
      <c r="X709" s="7" t="str">
        <f>VLOOKUP($S709,Mapping!$E$140:$K$2771,5,0)</f>
        <v>Contracts</v>
      </c>
      <c r="Y709" s="7" t="str">
        <f>VLOOKUP($S709,Mapping!$E$140:$K$2771,7,0)</f>
        <v>ENDirect</v>
      </c>
      <c r="Z709" s="7" t="str">
        <f>IFERROR(HLOOKUP(X709,'Calc|Weightings'!$K$5:$M$5,1,0),"Excl")</f>
        <v>Contracts</v>
      </c>
      <c r="AA709" s="7" t="str">
        <f>VLOOKUP(Q709,Mapping!$E$11:$I$96,5,0)</f>
        <v>SCS</v>
      </c>
      <c r="AC709" s="111">
        <v>126</v>
      </c>
      <c r="AD709" s="111" t="s">
        <v>2136</v>
      </c>
      <c r="AE709" s="111">
        <v>639000</v>
      </c>
      <c r="AF709" s="111" t="s">
        <v>2112</v>
      </c>
      <c r="AG709" s="112">
        <v>26.110849999999999</v>
      </c>
      <c r="AI709" s="7" t="str">
        <f>VLOOKUP($AC709,Mapping!$E$11:$I$96,3,0)</f>
        <v>Metering Opex</v>
      </c>
      <c r="AJ709" s="7" t="str">
        <f>VLOOKUP($AE709,Mapping!$E$140:$K$2771,5,0)</f>
        <v>PNS Corporate OH</v>
      </c>
      <c r="AK709" s="7" t="str">
        <f>VLOOKUP($AE709,Mapping!$E$140:$K$2771,7,0)</f>
        <v>OH</v>
      </c>
      <c r="AL709" s="7" t="str">
        <f>IFERROR(HLOOKUP(AJ709,'Calc|Weightings'!$K$5:$M$5,1,0),"Excl")</f>
        <v>Excl</v>
      </c>
      <c r="AM709" s="7" t="str">
        <f>VLOOKUP(AC709,Mapping!$E$11:$I$96,5,0)</f>
        <v>Connection Services</v>
      </c>
      <c r="AO709" s="134">
        <v>131</v>
      </c>
      <c r="AP709" s="135" t="s">
        <v>2139</v>
      </c>
      <c r="AQ709" s="135">
        <v>613566</v>
      </c>
      <c r="AR709" s="135" t="s">
        <v>1482</v>
      </c>
      <c r="AS709" s="136">
        <v>129.0419</v>
      </c>
      <c r="AU709" s="7" t="str">
        <f>VLOOKUP($AO709,Mapping!$E$11:$I$96,3,0)</f>
        <v>Replacement</v>
      </c>
      <c r="AV709" s="7" t="str">
        <f>VLOOKUP($AQ709,Mapping!$E$140:$K$2771,5,0)</f>
        <v>Labour</v>
      </c>
      <c r="AW709" s="7" t="str">
        <f>VLOOKUP($AQ709,Mapping!$E$140:$K$2771,7,0)</f>
        <v>ENDirect</v>
      </c>
      <c r="AX709" s="7" t="str">
        <f>IFERROR(HLOOKUP(AV709,'Calc|Weightings'!$K$5:$M$5,1,0),"Excl")</f>
        <v>Labour</v>
      </c>
      <c r="AY709" s="7" t="str">
        <f>VLOOKUP(AO709,Mapping!$E$11:$I$96,5,0)</f>
        <v>SCS</v>
      </c>
    </row>
    <row r="710" spans="1:51" x14ac:dyDescent="0.2">
      <c r="A710" s="7"/>
      <c r="B710" s="7"/>
      <c r="C710" s="7"/>
      <c r="D710" s="7"/>
      <c r="E710" s="36">
        <v>125</v>
      </c>
      <c r="F710" s="36" t="s">
        <v>2135</v>
      </c>
      <c r="G710" s="36">
        <v>624625</v>
      </c>
      <c r="H710" s="36" t="s">
        <v>1784</v>
      </c>
      <c r="I710" s="37">
        <v>351.41291999999999</v>
      </c>
      <c r="J710" s="7"/>
      <c r="K710" s="7" t="str">
        <f>VLOOKUP($E710,Mapping!$E$11:$I$96,3,0)</f>
        <v>Metering Capex</v>
      </c>
      <c r="L710" s="7" t="str">
        <f>VLOOKUP($G710,Mapping!$E$140:$K$2771,5,0)</f>
        <v>Materials</v>
      </c>
      <c r="M710" s="7" t="str">
        <f>VLOOKUP($G710,Mapping!$E$140:$K$2771,7,0)</f>
        <v>ENDirect</v>
      </c>
      <c r="N710" s="7" t="str">
        <f>IFERROR(HLOOKUP(L710,'Calc|Weightings'!$K$5:$M$5,1,0),"Excl")</f>
        <v>Materials</v>
      </c>
      <c r="O710" s="7" t="str">
        <f>VLOOKUP(E710,Mapping!$E$11:$I$96,5,0)</f>
        <v>Metering Services</v>
      </c>
      <c r="Q710" s="33">
        <v>131</v>
      </c>
      <c r="R710" s="33" t="s">
        <v>2139</v>
      </c>
      <c r="S710" s="33">
        <v>611901</v>
      </c>
      <c r="T710" s="33" t="s">
        <v>2080</v>
      </c>
      <c r="U710" s="34">
        <v>6.8625299999999996</v>
      </c>
      <c r="V710" s="7"/>
      <c r="W710" s="7" t="str">
        <f>VLOOKUP($Q710,Mapping!$E$11:$I$96,3,0)</f>
        <v>Replacement</v>
      </c>
      <c r="X710" s="7" t="str">
        <f>VLOOKUP($S710,Mapping!$E$140:$K$2771,5,0)</f>
        <v>Contracts</v>
      </c>
      <c r="Y710" s="7" t="str">
        <f>VLOOKUP($S710,Mapping!$E$140:$K$2771,7,0)</f>
        <v>ENDirect</v>
      </c>
      <c r="Z710" s="7" t="str">
        <f>IFERROR(HLOOKUP(X710,'Calc|Weightings'!$K$5:$M$5,1,0),"Excl")</f>
        <v>Contracts</v>
      </c>
      <c r="AA710" s="7" t="str">
        <f>VLOOKUP(Q710,Mapping!$E$11:$I$96,5,0)</f>
        <v>SCS</v>
      </c>
      <c r="AC710" s="111">
        <v>126</v>
      </c>
      <c r="AD710" s="111" t="s">
        <v>2136</v>
      </c>
      <c r="AE710" s="111">
        <v>639050</v>
      </c>
      <c r="AF710" s="111" t="s">
        <v>2113</v>
      </c>
      <c r="AG710" s="112">
        <v>0.41960999999999998</v>
      </c>
      <c r="AI710" s="7" t="str">
        <f>VLOOKUP($AC710,Mapping!$E$11:$I$96,3,0)</f>
        <v>Metering Opex</v>
      </c>
      <c r="AJ710" s="7" t="str">
        <f>VLOOKUP($AE710,Mapping!$E$140:$K$2771,5,0)</f>
        <v>PNS Fleet &amp; Property OH</v>
      </c>
      <c r="AK710" s="7" t="str">
        <f>VLOOKUP($AE710,Mapping!$E$140:$K$2771,7,0)</f>
        <v>OH</v>
      </c>
      <c r="AL710" s="7" t="str">
        <f>IFERROR(HLOOKUP(AJ710,'Calc|Weightings'!$K$5:$M$5,1,0),"Excl")</f>
        <v>Excl</v>
      </c>
      <c r="AM710" s="7" t="str">
        <f>VLOOKUP(AC710,Mapping!$E$11:$I$96,5,0)</f>
        <v>Connection Services</v>
      </c>
      <c r="AO710" s="134">
        <v>131</v>
      </c>
      <c r="AP710" s="135" t="s">
        <v>2139</v>
      </c>
      <c r="AQ710" s="135">
        <v>613567</v>
      </c>
      <c r="AR710" s="135" t="s">
        <v>1483</v>
      </c>
      <c r="AS710" s="136">
        <v>7.5685599999999997</v>
      </c>
      <c r="AU710" s="7" t="str">
        <f>VLOOKUP($AO710,Mapping!$E$11:$I$96,3,0)</f>
        <v>Replacement</v>
      </c>
      <c r="AV710" s="7" t="str">
        <f>VLOOKUP($AQ710,Mapping!$E$140:$K$2771,5,0)</f>
        <v>Labour</v>
      </c>
      <c r="AW710" s="7" t="str">
        <f>VLOOKUP($AQ710,Mapping!$E$140:$K$2771,7,0)</f>
        <v>ENDirect</v>
      </c>
      <c r="AX710" s="7" t="str">
        <f>IFERROR(HLOOKUP(AV710,'Calc|Weightings'!$K$5:$M$5,1,0),"Excl")</f>
        <v>Labour</v>
      </c>
      <c r="AY710" s="7" t="str">
        <f>VLOOKUP(AO710,Mapping!$E$11:$I$96,5,0)</f>
        <v>SCS</v>
      </c>
    </row>
    <row r="711" spans="1:51" x14ac:dyDescent="0.2">
      <c r="A711" s="7"/>
      <c r="B711" s="7"/>
      <c r="C711" s="7"/>
      <c r="D711" s="7"/>
      <c r="E711" s="36">
        <v>125</v>
      </c>
      <c r="F711" s="36" t="s">
        <v>2135</v>
      </c>
      <c r="G711" s="36">
        <v>624626</v>
      </c>
      <c r="H711" s="36" t="s">
        <v>1785</v>
      </c>
      <c r="I711" s="37">
        <v>30.98574</v>
      </c>
      <c r="J711" s="7"/>
      <c r="K711" s="7" t="str">
        <f>VLOOKUP($E711,Mapping!$E$11:$I$96,3,0)</f>
        <v>Metering Capex</v>
      </c>
      <c r="L711" s="7" t="str">
        <f>VLOOKUP($G711,Mapping!$E$140:$K$2771,5,0)</f>
        <v>Materials</v>
      </c>
      <c r="M711" s="7" t="str">
        <f>VLOOKUP($G711,Mapping!$E$140:$K$2771,7,0)</f>
        <v>ENDirect</v>
      </c>
      <c r="N711" s="7" t="str">
        <f>IFERROR(HLOOKUP(L711,'Calc|Weightings'!$K$5:$M$5,1,0),"Excl")</f>
        <v>Materials</v>
      </c>
      <c r="O711" s="7" t="str">
        <f>VLOOKUP(E711,Mapping!$E$11:$I$96,5,0)</f>
        <v>Metering Services</v>
      </c>
      <c r="Q711" s="33">
        <v>131</v>
      </c>
      <c r="R711" s="33" t="s">
        <v>2139</v>
      </c>
      <c r="S711" s="33">
        <v>611902</v>
      </c>
      <c r="T711" s="33" t="s">
        <v>2081</v>
      </c>
      <c r="U711" s="34">
        <v>0.97282000000000002</v>
      </c>
      <c r="V711" s="7"/>
      <c r="W711" s="7" t="str">
        <f>VLOOKUP($Q711,Mapping!$E$11:$I$96,3,0)</f>
        <v>Replacement</v>
      </c>
      <c r="X711" s="7" t="str">
        <f>VLOOKUP($S711,Mapping!$E$140:$K$2771,5,0)</f>
        <v>Contracts</v>
      </c>
      <c r="Y711" s="7" t="str">
        <f>VLOOKUP($S711,Mapping!$E$140:$K$2771,7,0)</f>
        <v>ENDirect</v>
      </c>
      <c r="Z711" s="7" t="str">
        <f>IFERROR(HLOOKUP(X711,'Calc|Weightings'!$K$5:$M$5,1,0),"Excl")</f>
        <v>Contracts</v>
      </c>
      <c r="AA711" s="7" t="str">
        <f>VLOOKUP(Q711,Mapping!$E$11:$I$96,5,0)</f>
        <v>SCS</v>
      </c>
      <c r="AC711" s="111">
        <v>130</v>
      </c>
      <c r="AD711" s="111" t="s">
        <v>2138</v>
      </c>
      <c r="AE711" s="111">
        <v>604600</v>
      </c>
      <c r="AF711" s="111" t="s">
        <v>487</v>
      </c>
      <c r="AG711" s="112">
        <v>10.851599999999999</v>
      </c>
      <c r="AI711" s="7" t="str">
        <f>VLOOKUP($AC711,Mapping!$E$11:$I$96,3,0)</f>
        <v>Fee Based Opex</v>
      </c>
      <c r="AJ711" s="7" t="str">
        <f>VLOOKUP($AE711,Mapping!$E$140:$K$2771,5,0)</f>
        <v>Corporate Services Fee</v>
      </c>
      <c r="AK711" s="7" t="str">
        <f>VLOOKUP($AE711,Mapping!$E$140:$K$2771,7,0)</f>
        <v>ENDirect</v>
      </c>
      <c r="AL711" s="7" t="str">
        <f>IFERROR(HLOOKUP(AJ711,'Calc|Weightings'!$K$5:$M$5,1,0),"Excl")</f>
        <v>Excl</v>
      </c>
      <c r="AM711" s="7" t="str">
        <f>VLOOKUP(AC711,Mapping!$E$11:$I$96,5,0)</f>
        <v>Ancillary Network Services</v>
      </c>
      <c r="AO711" s="134">
        <v>131</v>
      </c>
      <c r="AP711" s="135" t="s">
        <v>2139</v>
      </c>
      <c r="AQ711" s="135">
        <v>613570</v>
      </c>
      <c r="AR711" s="135" t="s">
        <v>1484</v>
      </c>
      <c r="AS711" s="136">
        <v>10.45275</v>
      </c>
      <c r="AU711" s="7" t="str">
        <f>VLOOKUP($AO711,Mapping!$E$11:$I$96,3,0)</f>
        <v>Replacement</v>
      </c>
      <c r="AV711" s="7" t="str">
        <f>VLOOKUP($AQ711,Mapping!$E$140:$K$2771,5,0)</f>
        <v>Labour</v>
      </c>
      <c r="AW711" s="7" t="str">
        <f>VLOOKUP($AQ711,Mapping!$E$140:$K$2771,7,0)</f>
        <v>ENDirect</v>
      </c>
      <c r="AX711" s="7" t="str">
        <f>IFERROR(HLOOKUP(AV711,'Calc|Weightings'!$K$5:$M$5,1,0),"Excl")</f>
        <v>Labour</v>
      </c>
      <c r="AY711" s="7" t="str">
        <f>VLOOKUP(AO711,Mapping!$E$11:$I$96,5,0)</f>
        <v>SCS</v>
      </c>
    </row>
    <row r="712" spans="1:51" x14ac:dyDescent="0.2">
      <c r="A712" s="7"/>
      <c r="B712" s="7"/>
      <c r="C712" s="7"/>
      <c r="D712" s="7"/>
      <c r="E712" s="36">
        <v>125</v>
      </c>
      <c r="F712" s="36" t="s">
        <v>2135</v>
      </c>
      <c r="G712" s="36">
        <v>624783</v>
      </c>
      <c r="H712" s="36" t="s">
        <v>728</v>
      </c>
      <c r="I712" s="37">
        <v>0.84833999999999998</v>
      </c>
      <c r="J712" s="7"/>
      <c r="K712" s="7" t="str">
        <f>VLOOKUP($E712,Mapping!$E$11:$I$96,3,0)</f>
        <v>Metering Capex</v>
      </c>
      <c r="L712" s="7" t="str">
        <f>VLOOKUP($G712,Mapping!$E$140:$K$2771,5,0)</f>
        <v>Materials</v>
      </c>
      <c r="M712" s="7" t="str">
        <f>VLOOKUP($G712,Mapping!$E$140:$K$2771,7,0)</f>
        <v>ENDirect</v>
      </c>
      <c r="N712" s="7" t="str">
        <f>IFERROR(HLOOKUP(L712,'Calc|Weightings'!$K$5:$M$5,1,0),"Excl")</f>
        <v>Materials</v>
      </c>
      <c r="O712" s="7" t="str">
        <f>VLOOKUP(E712,Mapping!$E$11:$I$96,5,0)</f>
        <v>Metering Services</v>
      </c>
      <c r="Q712" s="33">
        <v>131</v>
      </c>
      <c r="R712" s="33" t="s">
        <v>2139</v>
      </c>
      <c r="S712" s="33">
        <v>612210</v>
      </c>
      <c r="T712" s="33" t="s">
        <v>1184</v>
      </c>
      <c r="U712" s="34">
        <v>-2.0243799999999998</v>
      </c>
      <c r="V712" s="7"/>
      <c r="W712" s="7" t="str">
        <f>VLOOKUP($Q712,Mapping!$E$11:$I$96,3,0)</f>
        <v>Replacement</v>
      </c>
      <c r="X712" s="7" t="str">
        <f>VLOOKUP($S712,Mapping!$E$140:$K$2771,5,0)</f>
        <v>Labour</v>
      </c>
      <c r="Y712" s="7" t="str">
        <f>VLOOKUP($S712,Mapping!$E$140:$K$2771,7,0)</f>
        <v>ENDirect</v>
      </c>
      <c r="Z712" s="7" t="str">
        <f>IFERROR(HLOOKUP(X712,'Calc|Weightings'!$K$5:$M$5,1,0),"Excl")</f>
        <v>Labour</v>
      </c>
      <c r="AA712" s="7" t="str">
        <f>VLOOKUP(Q712,Mapping!$E$11:$I$96,5,0)</f>
        <v>SCS</v>
      </c>
      <c r="AC712" s="111">
        <v>130</v>
      </c>
      <c r="AD712" s="111" t="s">
        <v>2138</v>
      </c>
      <c r="AE712" s="111">
        <v>613788</v>
      </c>
      <c r="AF712" s="111" t="s">
        <v>1589</v>
      </c>
      <c r="AG712" s="112">
        <v>48.441600000000001</v>
      </c>
      <c r="AI712" s="7" t="str">
        <f>VLOOKUP($AC712,Mapping!$E$11:$I$96,3,0)</f>
        <v>Fee Based Opex</v>
      </c>
      <c r="AJ712" s="7" t="str">
        <f>VLOOKUP($AE712,Mapping!$E$140:$K$2771,5,0)</f>
        <v>Labour</v>
      </c>
      <c r="AK712" s="7" t="str">
        <f>VLOOKUP($AE712,Mapping!$E$140:$K$2771,7,0)</f>
        <v>ENDirect</v>
      </c>
      <c r="AL712" s="7" t="str">
        <f>IFERROR(HLOOKUP(AJ712,'Calc|Weightings'!$K$5:$M$5,1,0),"Excl")</f>
        <v>Labour</v>
      </c>
      <c r="AM712" s="7" t="str">
        <f>VLOOKUP(AC712,Mapping!$E$11:$I$96,5,0)</f>
        <v>Ancillary Network Services</v>
      </c>
      <c r="AO712" s="134">
        <v>131</v>
      </c>
      <c r="AP712" s="135" t="s">
        <v>2139</v>
      </c>
      <c r="AQ712" s="135">
        <v>613571</v>
      </c>
      <c r="AR712" s="135" t="s">
        <v>1485</v>
      </c>
      <c r="AS712" s="136">
        <v>1.70499</v>
      </c>
      <c r="AU712" s="7" t="str">
        <f>VLOOKUP($AO712,Mapping!$E$11:$I$96,3,0)</f>
        <v>Replacement</v>
      </c>
      <c r="AV712" s="7" t="str">
        <f>VLOOKUP($AQ712,Mapping!$E$140:$K$2771,5,0)</f>
        <v>Labour</v>
      </c>
      <c r="AW712" s="7" t="str">
        <f>VLOOKUP($AQ712,Mapping!$E$140:$K$2771,7,0)</f>
        <v>ENDirect</v>
      </c>
      <c r="AX712" s="7" t="str">
        <f>IFERROR(HLOOKUP(AV712,'Calc|Weightings'!$K$5:$M$5,1,0),"Excl")</f>
        <v>Labour</v>
      </c>
      <c r="AY712" s="7" t="str">
        <f>VLOOKUP(AO712,Mapping!$E$11:$I$96,5,0)</f>
        <v>SCS</v>
      </c>
    </row>
    <row r="713" spans="1:51" x14ac:dyDescent="0.2">
      <c r="A713" s="7"/>
      <c r="B713" s="7"/>
      <c r="C713" s="7"/>
      <c r="D713" s="7"/>
      <c r="E713" s="36">
        <v>125</v>
      </c>
      <c r="F713" s="36" t="s">
        <v>2135</v>
      </c>
      <c r="G713" s="36">
        <v>633000</v>
      </c>
      <c r="H713" s="36" t="s">
        <v>2202</v>
      </c>
      <c r="I713" s="37">
        <v>125.43411999999999</v>
      </c>
      <c r="J713" s="7"/>
      <c r="K713" s="7" t="str">
        <f>VLOOKUP($E713,Mapping!$E$11:$I$96,3,0)</f>
        <v>Metering Capex</v>
      </c>
      <c r="L713" s="7" t="str">
        <f>VLOOKUP($G713,Mapping!$E$140:$K$2771,5,0)</f>
        <v>Contracts</v>
      </c>
      <c r="M713" s="7" t="str">
        <f>VLOOKUP($G713,Mapping!$E$140:$K$2771,7,0)</f>
        <v>OH</v>
      </c>
      <c r="N713" s="7" t="str">
        <f>IFERROR(HLOOKUP(L713,'Calc|Weightings'!$K$5:$M$5,1,0),"Excl")</f>
        <v>Contracts</v>
      </c>
      <c r="O713" s="7" t="str">
        <f>VLOOKUP(E713,Mapping!$E$11:$I$96,5,0)</f>
        <v>Metering Services</v>
      </c>
      <c r="Q713" s="33">
        <v>131</v>
      </c>
      <c r="R713" s="33" t="s">
        <v>2139</v>
      </c>
      <c r="S713" s="33">
        <v>612462</v>
      </c>
      <c r="T713" s="33" t="s">
        <v>1244</v>
      </c>
      <c r="U713" s="34">
        <v>-0.57118000000000002</v>
      </c>
      <c r="V713" s="7"/>
      <c r="W713" s="7" t="str">
        <f>VLOOKUP($Q713,Mapping!$E$11:$I$96,3,0)</f>
        <v>Replacement</v>
      </c>
      <c r="X713" s="7" t="str">
        <f>VLOOKUP($S713,Mapping!$E$140:$K$2771,5,0)</f>
        <v>Labour</v>
      </c>
      <c r="Y713" s="7" t="str">
        <f>VLOOKUP($S713,Mapping!$E$140:$K$2771,7,0)</f>
        <v>ENDirect</v>
      </c>
      <c r="Z713" s="7" t="str">
        <f>IFERROR(HLOOKUP(X713,'Calc|Weightings'!$K$5:$M$5,1,0),"Excl")</f>
        <v>Labour</v>
      </c>
      <c r="AA713" s="7" t="str">
        <f>VLOOKUP(Q713,Mapping!$E$11:$I$96,5,0)</f>
        <v>SCS</v>
      </c>
      <c r="AC713" s="111">
        <v>130</v>
      </c>
      <c r="AD713" s="111" t="s">
        <v>2138</v>
      </c>
      <c r="AE713" s="111">
        <v>613858</v>
      </c>
      <c r="AF713" s="111" t="s">
        <v>858</v>
      </c>
      <c r="AG713" s="112">
        <v>4.1717199999999997</v>
      </c>
      <c r="AI713" s="7" t="str">
        <f>VLOOKUP($AC713,Mapping!$E$11:$I$96,3,0)</f>
        <v>Fee Based Opex</v>
      </c>
      <c r="AJ713" s="7" t="str">
        <f>VLOOKUP($AE713,Mapping!$E$140:$K$2771,5,0)</f>
        <v>Labour</v>
      </c>
      <c r="AK713" s="7" t="str">
        <f>VLOOKUP($AE713,Mapping!$E$140:$K$2771,7,0)</f>
        <v>ENDirect</v>
      </c>
      <c r="AL713" s="7" t="str">
        <f>IFERROR(HLOOKUP(AJ713,'Calc|Weightings'!$K$5:$M$5,1,0),"Excl")</f>
        <v>Labour</v>
      </c>
      <c r="AM713" s="7" t="str">
        <f>VLOOKUP(AC713,Mapping!$E$11:$I$96,5,0)</f>
        <v>Ancillary Network Services</v>
      </c>
      <c r="AO713" s="134">
        <v>131</v>
      </c>
      <c r="AP713" s="135" t="s">
        <v>2139</v>
      </c>
      <c r="AQ713" s="135">
        <v>613574</v>
      </c>
      <c r="AR713" s="135" t="s">
        <v>1488</v>
      </c>
      <c r="AS713" s="136">
        <v>26.745539999999998</v>
      </c>
      <c r="AU713" s="7" t="str">
        <f>VLOOKUP($AO713,Mapping!$E$11:$I$96,3,0)</f>
        <v>Replacement</v>
      </c>
      <c r="AV713" s="7" t="str">
        <f>VLOOKUP($AQ713,Mapping!$E$140:$K$2771,5,0)</f>
        <v>Labour</v>
      </c>
      <c r="AW713" s="7" t="str">
        <f>VLOOKUP($AQ713,Mapping!$E$140:$K$2771,7,0)</f>
        <v>ENDirect</v>
      </c>
      <c r="AX713" s="7" t="str">
        <f>IFERROR(HLOOKUP(AV713,'Calc|Weightings'!$K$5:$M$5,1,0),"Excl")</f>
        <v>Labour</v>
      </c>
      <c r="AY713" s="7" t="str">
        <f>VLOOKUP(AO713,Mapping!$E$11:$I$96,5,0)</f>
        <v>SCS</v>
      </c>
    </row>
    <row r="714" spans="1:51" x14ac:dyDescent="0.2">
      <c r="A714" s="7"/>
      <c r="B714" s="7"/>
      <c r="C714" s="7"/>
      <c r="D714" s="7"/>
      <c r="E714" s="36">
        <v>125</v>
      </c>
      <c r="F714" s="36" t="s">
        <v>2135</v>
      </c>
      <c r="G714" s="36">
        <v>638000</v>
      </c>
      <c r="H714" s="36" t="s">
        <v>1147</v>
      </c>
      <c r="I714" s="37">
        <v>20.76679</v>
      </c>
      <c r="J714" s="7"/>
      <c r="K714" s="7" t="str">
        <f>VLOOKUP($E714,Mapping!$E$11:$I$96,3,0)</f>
        <v>Metering Capex</v>
      </c>
      <c r="L714" s="7" t="str">
        <f>VLOOKUP($G714,Mapping!$E$140:$K$2771,5,0)</f>
        <v>CHEDS AMI BAU MG</v>
      </c>
      <c r="M714" s="7" t="str">
        <f>VLOOKUP($G714,Mapping!$E$140:$K$2771,7,0)</f>
        <v>ENDirect</v>
      </c>
      <c r="N714" s="7" t="str">
        <f>IFERROR(HLOOKUP(L714,'Calc|Weightings'!$K$5:$M$5,1,0),"Excl")</f>
        <v>Excl</v>
      </c>
      <c r="O714" s="7" t="str">
        <f>VLOOKUP(E714,Mapping!$E$11:$I$96,5,0)</f>
        <v>Metering Services</v>
      </c>
      <c r="Q714" s="33">
        <v>131</v>
      </c>
      <c r="R714" s="33" t="s">
        <v>2139</v>
      </c>
      <c r="S714" s="33">
        <v>613240</v>
      </c>
      <c r="T714" s="33" t="s">
        <v>2082</v>
      </c>
      <c r="U714" s="34">
        <v>533.11672999999996</v>
      </c>
      <c r="V714" s="7"/>
      <c r="W714" s="7" t="str">
        <f>VLOOKUP($Q714,Mapping!$E$11:$I$96,3,0)</f>
        <v>Replacement</v>
      </c>
      <c r="X714" s="7" t="str">
        <f>VLOOKUP($S714,Mapping!$E$140:$K$2771,5,0)</f>
        <v>Labour</v>
      </c>
      <c r="Y714" s="7" t="str">
        <f>VLOOKUP($S714,Mapping!$E$140:$K$2771,7,0)</f>
        <v>ENDirect</v>
      </c>
      <c r="Z714" s="7" t="str">
        <f>IFERROR(HLOOKUP(X714,'Calc|Weightings'!$K$5:$M$5,1,0),"Excl")</f>
        <v>Labour</v>
      </c>
      <c r="AA714" s="7" t="str">
        <f>VLOOKUP(Q714,Mapping!$E$11:$I$96,5,0)</f>
        <v>SCS</v>
      </c>
      <c r="AC714" s="111">
        <v>130</v>
      </c>
      <c r="AD714" s="111" t="s">
        <v>2138</v>
      </c>
      <c r="AE714" s="111">
        <v>613860</v>
      </c>
      <c r="AF714" s="111" t="s">
        <v>860</v>
      </c>
      <c r="AG714" s="112">
        <v>27.177389999999999</v>
      </c>
      <c r="AI714" s="7" t="str">
        <f>VLOOKUP($AC714,Mapping!$E$11:$I$96,3,0)</f>
        <v>Fee Based Opex</v>
      </c>
      <c r="AJ714" s="7" t="str">
        <f>VLOOKUP($AE714,Mapping!$E$140:$K$2771,5,0)</f>
        <v>Labour</v>
      </c>
      <c r="AK714" s="7" t="str">
        <f>VLOOKUP($AE714,Mapping!$E$140:$K$2771,7,0)</f>
        <v>ENDirect</v>
      </c>
      <c r="AL714" s="7" t="str">
        <f>IFERROR(HLOOKUP(AJ714,'Calc|Weightings'!$K$5:$M$5,1,0),"Excl")</f>
        <v>Labour</v>
      </c>
      <c r="AM714" s="7" t="str">
        <f>VLOOKUP(AC714,Mapping!$E$11:$I$96,5,0)</f>
        <v>Ancillary Network Services</v>
      </c>
      <c r="AO714" s="134">
        <v>131</v>
      </c>
      <c r="AP714" s="135" t="s">
        <v>2139</v>
      </c>
      <c r="AQ714" s="135">
        <v>613575</v>
      </c>
      <c r="AR714" s="135" t="s">
        <v>1489</v>
      </c>
      <c r="AS714" s="136">
        <v>2.8363499999999999</v>
      </c>
      <c r="AU714" s="7" t="str">
        <f>VLOOKUP($AO714,Mapping!$E$11:$I$96,3,0)</f>
        <v>Replacement</v>
      </c>
      <c r="AV714" s="7" t="str">
        <f>VLOOKUP($AQ714,Mapping!$E$140:$K$2771,5,0)</f>
        <v>Labour</v>
      </c>
      <c r="AW714" s="7" t="str">
        <f>VLOOKUP($AQ714,Mapping!$E$140:$K$2771,7,0)</f>
        <v>ENDirect</v>
      </c>
      <c r="AX714" s="7" t="str">
        <f>IFERROR(HLOOKUP(AV714,'Calc|Weightings'!$K$5:$M$5,1,0),"Excl")</f>
        <v>Labour</v>
      </c>
      <c r="AY714" s="7" t="str">
        <f>VLOOKUP(AO714,Mapping!$E$11:$I$96,5,0)</f>
        <v>SCS</v>
      </c>
    </row>
    <row r="715" spans="1:51" x14ac:dyDescent="0.2">
      <c r="A715" s="7"/>
      <c r="B715" s="7"/>
      <c r="C715" s="7"/>
      <c r="D715" s="7"/>
      <c r="E715" s="36">
        <v>125</v>
      </c>
      <c r="F715" s="36" t="s">
        <v>2135</v>
      </c>
      <c r="G715" s="36">
        <v>639050</v>
      </c>
      <c r="H715" s="36" t="s">
        <v>2113</v>
      </c>
      <c r="I715" s="37">
        <v>4.9826499999999996</v>
      </c>
      <c r="J715" s="7"/>
      <c r="K715" s="7" t="str">
        <f>VLOOKUP($E715,Mapping!$E$11:$I$96,3,0)</f>
        <v>Metering Capex</v>
      </c>
      <c r="L715" s="7" t="str">
        <f>VLOOKUP($G715,Mapping!$E$140:$K$2771,5,0)</f>
        <v>PNS Fleet &amp; Property OH</v>
      </c>
      <c r="M715" s="7" t="str">
        <f>VLOOKUP($G715,Mapping!$E$140:$K$2771,7,0)</f>
        <v>OH</v>
      </c>
      <c r="N715" s="7" t="str">
        <f>IFERROR(HLOOKUP(L715,'Calc|Weightings'!$K$5:$M$5,1,0),"Excl")</f>
        <v>Excl</v>
      </c>
      <c r="O715" s="7" t="str">
        <f>VLOOKUP(E715,Mapping!$E$11:$I$96,5,0)</f>
        <v>Metering Services</v>
      </c>
      <c r="Q715" s="33">
        <v>131</v>
      </c>
      <c r="R715" s="33" t="s">
        <v>2139</v>
      </c>
      <c r="S715" s="33">
        <v>613241</v>
      </c>
      <c r="T715" s="33" t="s">
        <v>2083</v>
      </c>
      <c r="U715" s="34">
        <v>27.974620000000002</v>
      </c>
      <c r="V715" s="7"/>
      <c r="W715" s="7" t="str">
        <f>VLOOKUP($Q715,Mapping!$E$11:$I$96,3,0)</f>
        <v>Replacement</v>
      </c>
      <c r="X715" s="7" t="str">
        <f>VLOOKUP($S715,Mapping!$E$140:$K$2771,5,0)</f>
        <v>Labour</v>
      </c>
      <c r="Y715" s="7" t="str">
        <f>VLOOKUP($S715,Mapping!$E$140:$K$2771,7,0)</f>
        <v>ENDirect</v>
      </c>
      <c r="Z715" s="7" t="str">
        <f>IFERROR(HLOOKUP(X715,'Calc|Weightings'!$K$5:$M$5,1,0),"Excl")</f>
        <v>Labour</v>
      </c>
      <c r="AA715" s="7" t="str">
        <f>VLOOKUP(Q715,Mapping!$E$11:$I$96,5,0)</f>
        <v>SCS</v>
      </c>
      <c r="AC715" s="111">
        <v>130</v>
      </c>
      <c r="AD715" s="111" t="s">
        <v>2138</v>
      </c>
      <c r="AE715" s="111">
        <v>634001</v>
      </c>
      <c r="AF715" s="111" t="s">
        <v>2110</v>
      </c>
      <c r="AG715" s="112">
        <v>0.60634999999999994</v>
      </c>
      <c r="AI715" s="7" t="str">
        <f>VLOOKUP($AC715,Mapping!$E$11:$I$96,3,0)</f>
        <v>Fee Based Opex</v>
      </c>
      <c r="AJ715" s="7" t="str">
        <f>VLOOKUP($AE715,Mapping!$E$140:$K$2771,5,0)</f>
        <v>Local OH</v>
      </c>
      <c r="AK715" s="7" t="str">
        <f>VLOOKUP($AE715,Mapping!$E$140:$K$2771,7,0)</f>
        <v>OH</v>
      </c>
      <c r="AL715" s="7" t="str">
        <f>IFERROR(HLOOKUP(AJ715,'Calc|Weightings'!$K$5:$M$5,1,0),"Excl")</f>
        <v>Excl</v>
      </c>
      <c r="AM715" s="7" t="str">
        <f>VLOOKUP(AC715,Mapping!$E$11:$I$96,5,0)</f>
        <v>Ancillary Network Services</v>
      </c>
      <c r="AO715" s="134">
        <v>131</v>
      </c>
      <c r="AP715" s="135" t="s">
        <v>2139</v>
      </c>
      <c r="AQ715" s="135">
        <v>613576</v>
      </c>
      <c r="AR715" s="135" t="s">
        <v>1490</v>
      </c>
      <c r="AS715" s="136">
        <v>0.55728</v>
      </c>
      <c r="AU715" s="7" t="str">
        <f>VLOOKUP($AO715,Mapping!$E$11:$I$96,3,0)</f>
        <v>Replacement</v>
      </c>
      <c r="AV715" s="7" t="str">
        <f>VLOOKUP($AQ715,Mapping!$E$140:$K$2771,5,0)</f>
        <v>Labour</v>
      </c>
      <c r="AW715" s="7" t="str">
        <f>VLOOKUP($AQ715,Mapping!$E$140:$K$2771,7,0)</f>
        <v>ENDirect</v>
      </c>
      <c r="AX715" s="7" t="str">
        <f>IFERROR(HLOOKUP(AV715,'Calc|Weightings'!$K$5:$M$5,1,0),"Excl")</f>
        <v>Labour</v>
      </c>
      <c r="AY715" s="7" t="str">
        <f>VLOOKUP(AO715,Mapping!$E$11:$I$96,5,0)</f>
        <v>SCS</v>
      </c>
    </row>
    <row r="716" spans="1:51" x14ac:dyDescent="0.2">
      <c r="A716" s="7"/>
      <c r="B716" s="7"/>
      <c r="C716" s="7"/>
      <c r="D716" s="7"/>
      <c r="E716" s="36">
        <v>126</v>
      </c>
      <c r="F716" s="36" t="s">
        <v>2136</v>
      </c>
      <c r="G716" s="36">
        <v>624541</v>
      </c>
      <c r="H716" s="36" t="s">
        <v>631</v>
      </c>
      <c r="I716" s="37">
        <v>0.84067999999999998</v>
      </c>
      <c r="J716" s="7"/>
      <c r="K716" s="7" t="str">
        <f>VLOOKUP($E716,Mapping!$E$11:$I$96,3,0)</f>
        <v>Metering Opex</v>
      </c>
      <c r="L716" s="7" t="str">
        <f>VLOOKUP($G716,Mapping!$E$140:$K$2771,5,0)</f>
        <v>Contracts</v>
      </c>
      <c r="M716" s="7" t="str">
        <f>VLOOKUP($G716,Mapping!$E$140:$K$2771,7,0)</f>
        <v>ENDirect</v>
      </c>
      <c r="N716" s="7" t="str">
        <f>IFERROR(HLOOKUP(L716,'Calc|Weightings'!$K$5:$M$5,1,0),"Excl")</f>
        <v>Contracts</v>
      </c>
      <c r="O716" s="7" t="str">
        <f>VLOOKUP(E716,Mapping!$E$11:$I$96,5,0)</f>
        <v>Connection Services</v>
      </c>
      <c r="Q716" s="33">
        <v>131</v>
      </c>
      <c r="R716" s="33" t="s">
        <v>2139</v>
      </c>
      <c r="S716" s="33">
        <v>613244</v>
      </c>
      <c r="T716" s="33" t="s">
        <v>2084</v>
      </c>
      <c r="U716" s="34">
        <v>1.54227</v>
      </c>
      <c r="V716" s="7"/>
      <c r="W716" s="7" t="str">
        <f>VLOOKUP($Q716,Mapping!$E$11:$I$96,3,0)</f>
        <v>Replacement</v>
      </c>
      <c r="X716" s="7" t="str">
        <f>VLOOKUP($S716,Mapping!$E$140:$K$2771,5,0)</f>
        <v>Labour</v>
      </c>
      <c r="Y716" s="7" t="str">
        <f>VLOOKUP($S716,Mapping!$E$140:$K$2771,7,0)</f>
        <v>ENDirect</v>
      </c>
      <c r="Z716" s="7" t="str">
        <f>IFERROR(HLOOKUP(X716,'Calc|Weightings'!$K$5:$M$5,1,0),"Excl")</f>
        <v>Labour</v>
      </c>
      <c r="AA716" s="7" t="str">
        <f>VLOOKUP(Q716,Mapping!$E$11:$I$96,5,0)</f>
        <v>SCS</v>
      </c>
      <c r="AC716" s="111">
        <v>130</v>
      </c>
      <c r="AD716" s="111" t="s">
        <v>2138</v>
      </c>
      <c r="AE716" s="111">
        <v>635001</v>
      </c>
      <c r="AF716" s="111" t="s">
        <v>1929</v>
      </c>
      <c r="AG716" s="112">
        <v>4.7932300000000003</v>
      </c>
      <c r="AI716" s="7" t="str">
        <f>VLOOKUP($AC716,Mapping!$E$11:$I$96,3,0)</f>
        <v>Fee Based Opex</v>
      </c>
      <c r="AJ716" s="7" t="str">
        <f>VLOOKUP($AE716,Mapping!$E$140:$K$2771,5,0)</f>
        <v>PNS MG</v>
      </c>
      <c r="AK716" s="7" t="str">
        <f>VLOOKUP($AE716,Mapping!$E$140:$K$2771,7,0)</f>
        <v>ENDirect</v>
      </c>
      <c r="AL716" s="7" t="str">
        <f>IFERROR(HLOOKUP(AJ716,'Calc|Weightings'!$K$5:$M$5,1,0),"Excl")</f>
        <v>Excl</v>
      </c>
      <c r="AM716" s="7" t="str">
        <f>VLOOKUP(AC716,Mapping!$E$11:$I$96,5,0)</f>
        <v>Ancillary Network Services</v>
      </c>
      <c r="AO716" s="134">
        <v>131</v>
      </c>
      <c r="AP716" s="135" t="s">
        <v>2139</v>
      </c>
      <c r="AQ716" s="135">
        <v>613602</v>
      </c>
      <c r="AR716" s="135" t="s">
        <v>1494</v>
      </c>
      <c r="AS716" s="136">
        <v>0.57084000000000001</v>
      </c>
      <c r="AU716" s="7" t="str">
        <f>VLOOKUP($AO716,Mapping!$E$11:$I$96,3,0)</f>
        <v>Replacement</v>
      </c>
      <c r="AV716" s="7" t="str">
        <f>VLOOKUP($AQ716,Mapping!$E$140:$K$2771,5,0)</f>
        <v>Labour</v>
      </c>
      <c r="AW716" s="7" t="str">
        <f>VLOOKUP($AQ716,Mapping!$E$140:$K$2771,7,0)</f>
        <v>ENDirect</v>
      </c>
      <c r="AX716" s="7" t="str">
        <f>IFERROR(HLOOKUP(AV716,'Calc|Weightings'!$K$5:$M$5,1,0),"Excl")</f>
        <v>Labour</v>
      </c>
      <c r="AY716" s="7" t="str">
        <f>VLOOKUP(AO716,Mapping!$E$11:$I$96,5,0)</f>
        <v>SCS</v>
      </c>
    </row>
    <row r="717" spans="1:51" x14ac:dyDescent="0.2">
      <c r="A717" s="7"/>
      <c r="B717" s="7"/>
      <c r="C717" s="7"/>
      <c r="D717" s="7"/>
      <c r="E717" s="36">
        <v>126</v>
      </c>
      <c r="F717" s="36" t="s">
        <v>2136</v>
      </c>
      <c r="G717" s="36">
        <v>624627</v>
      </c>
      <c r="H717" s="36" t="s">
        <v>1885</v>
      </c>
      <c r="I717" s="37">
        <v>565.35730000000001</v>
      </c>
      <c r="J717" s="7"/>
      <c r="K717" s="7" t="str">
        <f>VLOOKUP($E717,Mapping!$E$11:$I$96,3,0)</f>
        <v>Metering Opex</v>
      </c>
      <c r="L717" s="7" t="str">
        <f>VLOOKUP($G717,Mapping!$E$140:$K$2771,5,0)</f>
        <v>Contracts</v>
      </c>
      <c r="M717" s="7" t="str">
        <f>VLOOKUP($G717,Mapping!$E$140:$K$2771,7,0)</f>
        <v>ENDirect</v>
      </c>
      <c r="N717" s="7" t="str">
        <f>IFERROR(HLOOKUP(L717,'Calc|Weightings'!$K$5:$M$5,1,0),"Excl")</f>
        <v>Contracts</v>
      </c>
      <c r="O717" s="7" t="str">
        <f>VLOOKUP(E717,Mapping!$E$11:$I$96,5,0)</f>
        <v>Connection Services</v>
      </c>
      <c r="Q717" s="33">
        <v>131</v>
      </c>
      <c r="R717" s="33" t="s">
        <v>2139</v>
      </c>
      <c r="S717" s="33">
        <v>613245</v>
      </c>
      <c r="T717" s="33" t="s">
        <v>2085</v>
      </c>
      <c r="U717" s="34">
        <v>0.15412999999999999</v>
      </c>
      <c r="V717" s="7"/>
      <c r="W717" s="7" t="str">
        <f>VLOOKUP($Q717,Mapping!$E$11:$I$96,3,0)</f>
        <v>Replacement</v>
      </c>
      <c r="X717" s="7" t="str">
        <f>VLOOKUP($S717,Mapping!$E$140:$K$2771,5,0)</f>
        <v>Labour</v>
      </c>
      <c r="Y717" s="7" t="str">
        <f>VLOOKUP($S717,Mapping!$E$140:$K$2771,7,0)</f>
        <v>ENDirect</v>
      </c>
      <c r="Z717" s="7" t="str">
        <f>IFERROR(HLOOKUP(X717,'Calc|Weightings'!$K$5:$M$5,1,0),"Excl")</f>
        <v>Labour</v>
      </c>
      <c r="AA717" s="7" t="str">
        <f>VLOOKUP(Q717,Mapping!$E$11:$I$96,5,0)</f>
        <v>SCS</v>
      </c>
      <c r="AC717" s="111">
        <v>130</v>
      </c>
      <c r="AD717" s="111" t="s">
        <v>2138</v>
      </c>
      <c r="AE717" s="111">
        <v>636001</v>
      </c>
      <c r="AF717" s="111" t="s">
        <v>2111</v>
      </c>
      <c r="AG717" s="112">
        <v>-0.65725999999999996</v>
      </c>
      <c r="AI717" s="7" t="str">
        <f>VLOOKUP($AC717,Mapping!$E$11:$I$96,3,0)</f>
        <v>Fee Based Opex</v>
      </c>
      <c r="AJ717" s="7" t="str">
        <f>VLOOKUP($AE717,Mapping!$E$140:$K$2771,5,0)</f>
        <v>System Control OH</v>
      </c>
      <c r="AK717" s="7" t="str">
        <f>VLOOKUP($AE717,Mapping!$E$140:$K$2771,7,0)</f>
        <v>OH</v>
      </c>
      <c r="AL717" s="7" t="str">
        <f>IFERROR(HLOOKUP(AJ717,'Calc|Weightings'!$K$5:$M$5,1,0),"Excl")</f>
        <v>Excl</v>
      </c>
      <c r="AM717" s="7" t="str">
        <f>VLOOKUP(AC717,Mapping!$E$11:$I$96,5,0)</f>
        <v>Ancillary Network Services</v>
      </c>
      <c r="AO717" s="134">
        <v>131</v>
      </c>
      <c r="AP717" s="135" t="s">
        <v>2139</v>
      </c>
      <c r="AQ717" s="135">
        <v>613630</v>
      </c>
      <c r="AR717" s="135" t="s">
        <v>1498</v>
      </c>
      <c r="AS717" s="136">
        <v>0.37685999999999997</v>
      </c>
      <c r="AU717" s="7" t="str">
        <f>VLOOKUP($AO717,Mapping!$E$11:$I$96,3,0)</f>
        <v>Replacement</v>
      </c>
      <c r="AV717" s="7" t="str">
        <f>VLOOKUP($AQ717,Mapping!$E$140:$K$2771,5,0)</f>
        <v>Labour</v>
      </c>
      <c r="AW717" s="7" t="str">
        <f>VLOOKUP($AQ717,Mapping!$E$140:$K$2771,7,0)</f>
        <v>ENDirect</v>
      </c>
      <c r="AX717" s="7" t="str">
        <f>IFERROR(HLOOKUP(AV717,'Calc|Weightings'!$K$5:$M$5,1,0),"Excl")</f>
        <v>Labour</v>
      </c>
      <c r="AY717" s="7" t="str">
        <f>VLOOKUP(AO717,Mapping!$E$11:$I$96,5,0)</f>
        <v>SCS</v>
      </c>
    </row>
    <row r="718" spans="1:51" x14ac:dyDescent="0.2">
      <c r="A718" s="7"/>
      <c r="B718" s="7"/>
      <c r="C718" s="7"/>
      <c r="D718" s="7"/>
      <c r="E718" s="36">
        <v>126</v>
      </c>
      <c r="F718" s="36" t="s">
        <v>2136</v>
      </c>
      <c r="G718" s="36">
        <v>624628</v>
      </c>
      <c r="H718" s="36" t="s">
        <v>1886</v>
      </c>
      <c r="I718" s="37">
        <v>1.0508500000000001</v>
      </c>
      <c r="J718" s="7"/>
      <c r="K718" s="7" t="str">
        <f>VLOOKUP($E718,Mapping!$E$11:$I$96,3,0)</f>
        <v>Metering Opex</v>
      </c>
      <c r="L718" s="7" t="str">
        <f>VLOOKUP($G718,Mapping!$E$140:$K$2771,5,0)</f>
        <v>Contracts</v>
      </c>
      <c r="M718" s="7" t="str">
        <f>VLOOKUP($G718,Mapping!$E$140:$K$2771,7,0)</f>
        <v>ENDirect</v>
      </c>
      <c r="N718" s="7" t="str">
        <f>IFERROR(HLOOKUP(L718,'Calc|Weightings'!$K$5:$M$5,1,0),"Excl")</f>
        <v>Contracts</v>
      </c>
      <c r="O718" s="7" t="str">
        <f>VLOOKUP(E718,Mapping!$E$11:$I$96,5,0)</f>
        <v>Connection Services</v>
      </c>
      <c r="Q718" s="33">
        <v>131</v>
      </c>
      <c r="R718" s="33" t="s">
        <v>2139</v>
      </c>
      <c r="S718" s="33">
        <v>613250</v>
      </c>
      <c r="T718" s="33" t="s">
        <v>2086</v>
      </c>
      <c r="U718" s="34">
        <v>1516.11816</v>
      </c>
      <c r="V718" s="7"/>
      <c r="W718" s="7" t="str">
        <f>VLOOKUP($Q718,Mapping!$E$11:$I$96,3,0)</f>
        <v>Replacement</v>
      </c>
      <c r="X718" s="7" t="str">
        <f>VLOOKUP($S718,Mapping!$E$140:$K$2771,5,0)</f>
        <v>Labour</v>
      </c>
      <c r="Y718" s="7" t="str">
        <f>VLOOKUP($S718,Mapping!$E$140:$K$2771,7,0)</f>
        <v>ENDirect</v>
      </c>
      <c r="Z718" s="7" t="str">
        <f>IFERROR(HLOOKUP(X718,'Calc|Weightings'!$K$5:$M$5,1,0),"Excl")</f>
        <v>Labour</v>
      </c>
      <c r="AA718" s="7" t="str">
        <f>VLOOKUP(Q718,Mapping!$E$11:$I$96,5,0)</f>
        <v>SCS</v>
      </c>
      <c r="AC718" s="111">
        <v>130</v>
      </c>
      <c r="AD718" s="111" t="s">
        <v>2138</v>
      </c>
      <c r="AE718" s="111">
        <v>639000</v>
      </c>
      <c r="AF718" s="111" t="s">
        <v>2112</v>
      </c>
      <c r="AG718" s="112">
        <v>4.3007299999999997</v>
      </c>
      <c r="AI718" s="7" t="str">
        <f>VLOOKUP($AC718,Mapping!$E$11:$I$96,3,0)</f>
        <v>Fee Based Opex</v>
      </c>
      <c r="AJ718" s="7" t="str">
        <f>VLOOKUP($AE718,Mapping!$E$140:$K$2771,5,0)</f>
        <v>PNS Corporate OH</v>
      </c>
      <c r="AK718" s="7" t="str">
        <f>VLOOKUP($AE718,Mapping!$E$140:$K$2771,7,0)</f>
        <v>OH</v>
      </c>
      <c r="AL718" s="7" t="str">
        <f>IFERROR(HLOOKUP(AJ718,'Calc|Weightings'!$K$5:$M$5,1,0),"Excl")</f>
        <v>Excl</v>
      </c>
      <c r="AM718" s="7" t="str">
        <f>VLOOKUP(AC718,Mapping!$E$11:$I$96,5,0)</f>
        <v>Ancillary Network Services</v>
      </c>
      <c r="AO718" s="134">
        <v>131</v>
      </c>
      <c r="AP718" s="135" t="s">
        <v>2139</v>
      </c>
      <c r="AQ718" s="135">
        <v>613680</v>
      </c>
      <c r="AR718" s="135" t="s">
        <v>2107</v>
      </c>
      <c r="AS718" s="136">
        <v>12.42562</v>
      </c>
      <c r="AU718" s="7" t="str">
        <f>VLOOKUP($AO718,Mapping!$E$11:$I$96,3,0)</f>
        <v>Replacement</v>
      </c>
      <c r="AV718" s="7" t="str">
        <f>VLOOKUP($AQ718,Mapping!$E$140:$K$2771,5,0)</f>
        <v>Labour</v>
      </c>
      <c r="AW718" s="7" t="str">
        <f>VLOOKUP($AQ718,Mapping!$E$140:$K$2771,7,0)</f>
        <v>ENDirect</v>
      </c>
      <c r="AX718" s="7" t="str">
        <f>IFERROR(HLOOKUP(AV718,'Calc|Weightings'!$K$5:$M$5,1,0),"Excl")</f>
        <v>Labour</v>
      </c>
      <c r="AY718" s="7" t="str">
        <f>VLOOKUP(AO718,Mapping!$E$11:$I$96,5,0)</f>
        <v>SCS</v>
      </c>
    </row>
    <row r="719" spans="1:51" x14ac:dyDescent="0.2">
      <c r="A719" s="7"/>
      <c r="B719" s="7"/>
      <c r="C719" s="7"/>
      <c r="D719" s="7"/>
      <c r="E719" s="36">
        <v>126</v>
      </c>
      <c r="F719" s="36" t="s">
        <v>2136</v>
      </c>
      <c r="G719" s="36">
        <v>624629</v>
      </c>
      <c r="H719" s="36" t="s">
        <v>1887</v>
      </c>
      <c r="I719" s="37">
        <v>349.79253</v>
      </c>
      <c r="J719" s="7"/>
      <c r="K719" s="7" t="str">
        <f>VLOOKUP($E719,Mapping!$E$11:$I$96,3,0)</f>
        <v>Metering Opex</v>
      </c>
      <c r="L719" s="7" t="str">
        <f>VLOOKUP($G719,Mapping!$E$140:$K$2771,5,0)</f>
        <v>Contracts</v>
      </c>
      <c r="M719" s="7" t="str">
        <f>VLOOKUP($G719,Mapping!$E$140:$K$2771,7,0)</f>
        <v>ENDirect</v>
      </c>
      <c r="N719" s="7" t="str">
        <f>IFERROR(HLOOKUP(L719,'Calc|Weightings'!$K$5:$M$5,1,0),"Excl")</f>
        <v>Contracts</v>
      </c>
      <c r="O719" s="7" t="str">
        <f>VLOOKUP(E719,Mapping!$E$11:$I$96,5,0)</f>
        <v>Connection Services</v>
      </c>
      <c r="Q719" s="33">
        <v>131</v>
      </c>
      <c r="R719" s="33" t="s">
        <v>2139</v>
      </c>
      <c r="S719" s="33">
        <v>613251</v>
      </c>
      <c r="T719" s="33" t="s">
        <v>2087</v>
      </c>
      <c r="U719" s="34">
        <v>49.944130000000001</v>
      </c>
      <c r="V719" s="7"/>
      <c r="W719" s="7" t="str">
        <f>VLOOKUP($Q719,Mapping!$E$11:$I$96,3,0)</f>
        <v>Replacement</v>
      </c>
      <c r="X719" s="7" t="str">
        <f>VLOOKUP($S719,Mapping!$E$140:$K$2771,5,0)</f>
        <v>Labour</v>
      </c>
      <c r="Y719" s="7" t="str">
        <f>VLOOKUP($S719,Mapping!$E$140:$K$2771,7,0)</f>
        <v>ENDirect</v>
      </c>
      <c r="Z719" s="7" t="str">
        <f>IFERROR(HLOOKUP(X719,'Calc|Weightings'!$K$5:$M$5,1,0),"Excl")</f>
        <v>Labour</v>
      </c>
      <c r="AA719" s="7" t="str">
        <f>VLOOKUP(Q719,Mapping!$E$11:$I$96,5,0)</f>
        <v>SCS</v>
      </c>
      <c r="AC719" s="111">
        <v>130</v>
      </c>
      <c r="AD719" s="111" t="s">
        <v>2138</v>
      </c>
      <c r="AE719" s="111">
        <v>639050</v>
      </c>
      <c r="AF719" s="111" t="s">
        <v>2113</v>
      </c>
      <c r="AG719" s="112">
        <v>6.9110000000000005E-2</v>
      </c>
      <c r="AI719" s="7" t="str">
        <f>VLOOKUP($AC719,Mapping!$E$11:$I$96,3,0)</f>
        <v>Fee Based Opex</v>
      </c>
      <c r="AJ719" s="7" t="str">
        <f>VLOOKUP($AE719,Mapping!$E$140:$K$2771,5,0)</f>
        <v>PNS Fleet &amp; Property OH</v>
      </c>
      <c r="AK719" s="7" t="str">
        <f>VLOOKUP($AE719,Mapping!$E$140:$K$2771,7,0)</f>
        <v>OH</v>
      </c>
      <c r="AL719" s="7" t="str">
        <f>IFERROR(HLOOKUP(AJ719,'Calc|Weightings'!$K$5:$M$5,1,0),"Excl")</f>
        <v>Excl</v>
      </c>
      <c r="AM719" s="7" t="str">
        <f>VLOOKUP(AC719,Mapping!$E$11:$I$96,5,0)</f>
        <v>Ancillary Network Services</v>
      </c>
      <c r="AO719" s="134">
        <v>131</v>
      </c>
      <c r="AP719" s="135" t="s">
        <v>2139</v>
      </c>
      <c r="AQ719" s="135">
        <v>613800</v>
      </c>
      <c r="AR719" s="135" t="s">
        <v>2142</v>
      </c>
      <c r="AS719" s="136">
        <v>-16.023859999999999</v>
      </c>
      <c r="AU719" s="7" t="str">
        <f>VLOOKUP($AO719,Mapping!$E$11:$I$96,3,0)</f>
        <v>Replacement</v>
      </c>
      <c r="AV719" s="7" t="str">
        <f>VLOOKUP($AQ719,Mapping!$E$140:$K$2771,5,0)</f>
        <v>Materials</v>
      </c>
      <c r="AW719" s="7" t="str">
        <f>VLOOKUP($AQ719,Mapping!$E$140:$K$2771,7,0)</f>
        <v>ENDirect</v>
      </c>
      <c r="AX719" s="7" t="str">
        <f>IFERROR(HLOOKUP(AV719,'Calc|Weightings'!$K$5:$M$5,1,0),"Excl")</f>
        <v>Materials</v>
      </c>
      <c r="AY719" s="7" t="str">
        <f>VLOOKUP(AO719,Mapping!$E$11:$I$96,5,0)</f>
        <v>SCS</v>
      </c>
    </row>
    <row r="720" spans="1:51" x14ac:dyDescent="0.2">
      <c r="A720" s="7"/>
      <c r="B720" s="7"/>
      <c r="C720" s="7"/>
      <c r="D720" s="7"/>
      <c r="E720" s="36">
        <v>126</v>
      </c>
      <c r="F720" s="36" t="s">
        <v>2136</v>
      </c>
      <c r="G720" s="36">
        <v>624630</v>
      </c>
      <c r="H720" s="36" t="s">
        <v>1888</v>
      </c>
      <c r="I720" s="37">
        <v>168.41856000000001</v>
      </c>
      <c r="J720" s="7"/>
      <c r="K720" s="7" t="str">
        <f>VLOOKUP($E720,Mapping!$E$11:$I$96,3,0)</f>
        <v>Metering Opex</v>
      </c>
      <c r="L720" s="7" t="str">
        <f>VLOOKUP($G720,Mapping!$E$140:$K$2771,5,0)</f>
        <v>Labour</v>
      </c>
      <c r="M720" s="7" t="str">
        <f>VLOOKUP($G720,Mapping!$E$140:$K$2771,7,0)</f>
        <v>ENDirect</v>
      </c>
      <c r="N720" s="7" t="str">
        <f>IFERROR(HLOOKUP(L720,'Calc|Weightings'!$K$5:$M$5,1,0),"Excl")</f>
        <v>Labour</v>
      </c>
      <c r="O720" s="7" t="str">
        <f>VLOOKUP(E720,Mapping!$E$11:$I$96,5,0)</f>
        <v>Connection Services</v>
      </c>
      <c r="Q720" s="33">
        <v>131</v>
      </c>
      <c r="R720" s="33" t="s">
        <v>2139</v>
      </c>
      <c r="S720" s="33">
        <v>613254</v>
      </c>
      <c r="T720" s="33" t="s">
        <v>2088</v>
      </c>
      <c r="U720" s="34">
        <v>0.92323999999999995</v>
      </c>
      <c r="V720" s="7"/>
      <c r="W720" s="7" t="str">
        <f>VLOOKUP($Q720,Mapping!$E$11:$I$96,3,0)</f>
        <v>Replacement</v>
      </c>
      <c r="X720" s="7" t="str">
        <f>VLOOKUP($S720,Mapping!$E$140:$K$2771,5,0)</f>
        <v>Labour</v>
      </c>
      <c r="Y720" s="7" t="str">
        <f>VLOOKUP($S720,Mapping!$E$140:$K$2771,7,0)</f>
        <v>ENDirect</v>
      </c>
      <c r="Z720" s="7" t="str">
        <f>IFERROR(HLOOKUP(X720,'Calc|Weightings'!$K$5:$M$5,1,0),"Excl")</f>
        <v>Labour</v>
      </c>
      <c r="AA720" s="7" t="str">
        <f>VLOOKUP(Q720,Mapping!$E$11:$I$96,5,0)</f>
        <v>SCS</v>
      </c>
      <c r="AC720" s="111">
        <v>131</v>
      </c>
      <c r="AD720" s="111" t="s">
        <v>2139</v>
      </c>
      <c r="AE720" s="111">
        <v>500200</v>
      </c>
      <c r="AF720" s="111" t="s">
        <v>136</v>
      </c>
      <c r="AG720" s="112">
        <v>1.6500000000000001E-2</v>
      </c>
      <c r="AI720" s="7" t="str">
        <f>VLOOKUP($AC720,Mapping!$E$11:$I$96,3,0)</f>
        <v>Replacement</v>
      </c>
      <c r="AJ720" s="7" t="str">
        <f>VLOOKUP($AE720,Mapping!$E$140:$K$2771,5,0)</f>
        <v>Labour</v>
      </c>
      <c r="AK720" s="7" t="str">
        <f>VLOOKUP($AE720,Mapping!$E$140:$K$2771,7,0)</f>
        <v>ENDirect</v>
      </c>
      <c r="AL720" s="7" t="str">
        <f>IFERROR(HLOOKUP(AJ720,'Calc|Weightings'!$K$5:$M$5,1,0),"Excl")</f>
        <v>Labour</v>
      </c>
      <c r="AM720" s="7" t="str">
        <f>VLOOKUP(AC720,Mapping!$E$11:$I$96,5,0)</f>
        <v>SCS</v>
      </c>
      <c r="AO720" s="134">
        <v>131</v>
      </c>
      <c r="AP720" s="135" t="s">
        <v>2139</v>
      </c>
      <c r="AQ720" s="135">
        <v>634001</v>
      </c>
      <c r="AR720" s="135" t="s">
        <v>2110</v>
      </c>
      <c r="AS720" s="136">
        <v>212.5427</v>
      </c>
      <c r="AU720" s="7" t="str">
        <f>VLOOKUP($AO720,Mapping!$E$11:$I$96,3,0)</f>
        <v>Replacement</v>
      </c>
      <c r="AV720" s="7" t="str">
        <f>VLOOKUP($AQ720,Mapping!$E$140:$K$2771,5,0)</f>
        <v>Local OH</v>
      </c>
      <c r="AW720" s="7" t="str">
        <f>VLOOKUP($AQ720,Mapping!$E$140:$K$2771,7,0)</f>
        <v>OH</v>
      </c>
      <c r="AX720" s="7" t="str">
        <f>IFERROR(HLOOKUP(AV720,'Calc|Weightings'!$K$5:$M$5,1,0),"Excl")</f>
        <v>Excl</v>
      </c>
      <c r="AY720" s="7" t="str">
        <f>VLOOKUP(AO720,Mapping!$E$11:$I$96,5,0)</f>
        <v>SCS</v>
      </c>
    </row>
    <row r="721" spans="1:51" x14ac:dyDescent="0.2">
      <c r="A721" s="7"/>
      <c r="B721" s="7"/>
      <c r="C721" s="7"/>
      <c r="D721" s="7"/>
      <c r="E721" s="36">
        <v>126</v>
      </c>
      <c r="F721" s="36" t="s">
        <v>2136</v>
      </c>
      <c r="G721" s="36">
        <v>624784</v>
      </c>
      <c r="H721" s="36" t="s">
        <v>729</v>
      </c>
      <c r="I721" s="37">
        <v>25.978590000000001</v>
      </c>
      <c r="J721" s="7"/>
      <c r="K721" s="7" t="str">
        <f>VLOOKUP($E721,Mapping!$E$11:$I$96,3,0)</f>
        <v>Metering Opex</v>
      </c>
      <c r="L721" s="7" t="str">
        <f>VLOOKUP($G721,Mapping!$E$140:$K$2771,5,0)</f>
        <v>Contracts</v>
      </c>
      <c r="M721" s="7" t="str">
        <f>VLOOKUP($G721,Mapping!$E$140:$K$2771,7,0)</f>
        <v>ENDirect</v>
      </c>
      <c r="N721" s="7" t="str">
        <f>IFERROR(HLOOKUP(L721,'Calc|Weightings'!$K$5:$M$5,1,0),"Excl")</f>
        <v>Contracts</v>
      </c>
      <c r="O721" s="7" t="str">
        <f>VLOOKUP(E721,Mapping!$E$11:$I$96,5,0)</f>
        <v>Connection Services</v>
      </c>
      <c r="Q721" s="33">
        <v>131</v>
      </c>
      <c r="R721" s="33" t="s">
        <v>2139</v>
      </c>
      <c r="S721" s="33">
        <v>613260</v>
      </c>
      <c r="T721" s="33" t="s">
        <v>2090</v>
      </c>
      <c r="U721" s="34">
        <v>6.5376899999999996</v>
      </c>
      <c r="V721" s="7"/>
      <c r="W721" s="7" t="str">
        <f>VLOOKUP($Q721,Mapping!$E$11:$I$96,3,0)</f>
        <v>Replacement</v>
      </c>
      <c r="X721" s="7" t="str">
        <f>VLOOKUP($S721,Mapping!$E$140:$K$2771,5,0)</f>
        <v>Labour</v>
      </c>
      <c r="Y721" s="7" t="str">
        <f>VLOOKUP($S721,Mapping!$E$140:$K$2771,7,0)</f>
        <v>ENDirect</v>
      </c>
      <c r="Z721" s="7" t="str">
        <f>IFERROR(HLOOKUP(X721,'Calc|Weightings'!$K$5:$M$5,1,0),"Excl")</f>
        <v>Labour</v>
      </c>
      <c r="AA721" s="7" t="str">
        <f>VLOOKUP(Q721,Mapping!$E$11:$I$96,5,0)</f>
        <v>SCS</v>
      </c>
      <c r="AC721" s="111">
        <v>131</v>
      </c>
      <c r="AD721" s="111" t="s">
        <v>2139</v>
      </c>
      <c r="AE721" s="111">
        <v>503350</v>
      </c>
      <c r="AF721" s="111" t="s">
        <v>182</v>
      </c>
      <c r="AG721" s="112">
        <v>2.0625</v>
      </c>
      <c r="AI721" s="7" t="str">
        <f>VLOOKUP($AC721,Mapping!$E$11:$I$96,3,0)</f>
        <v>Replacement</v>
      </c>
      <c r="AJ721" s="7" t="str">
        <f>VLOOKUP($AE721,Mapping!$E$140:$K$2771,5,0)</f>
        <v>Contracts</v>
      </c>
      <c r="AK721" s="7" t="str">
        <f>VLOOKUP($AE721,Mapping!$E$140:$K$2771,7,0)</f>
        <v>ENDirect</v>
      </c>
      <c r="AL721" s="7" t="str">
        <f>IFERROR(HLOOKUP(AJ721,'Calc|Weightings'!$K$5:$M$5,1,0),"Excl")</f>
        <v>Contracts</v>
      </c>
      <c r="AM721" s="7" t="str">
        <f>VLOOKUP(AC721,Mapping!$E$11:$I$96,5,0)</f>
        <v>SCS</v>
      </c>
      <c r="AO721" s="134">
        <v>131</v>
      </c>
      <c r="AP721" s="135" t="s">
        <v>2139</v>
      </c>
      <c r="AQ721" s="135">
        <v>635001</v>
      </c>
      <c r="AR721" s="135" t="s">
        <v>1929</v>
      </c>
      <c r="AS721" s="136">
        <v>194.81352000000001</v>
      </c>
      <c r="AU721" s="7" t="str">
        <f>VLOOKUP($AO721,Mapping!$E$11:$I$96,3,0)</f>
        <v>Replacement</v>
      </c>
      <c r="AV721" s="7" t="str">
        <f>VLOOKUP($AQ721,Mapping!$E$140:$K$2771,5,0)</f>
        <v>PNS MG</v>
      </c>
      <c r="AW721" s="7" t="str">
        <f>VLOOKUP($AQ721,Mapping!$E$140:$K$2771,7,0)</f>
        <v>ENDirect</v>
      </c>
      <c r="AX721" s="7" t="str">
        <f>IFERROR(HLOOKUP(AV721,'Calc|Weightings'!$K$5:$M$5,1,0),"Excl")</f>
        <v>Excl</v>
      </c>
      <c r="AY721" s="7" t="str">
        <f>VLOOKUP(AO721,Mapping!$E$11:$I$96,5,0)</f>
        <v>SCS</v>
      </c>
    </row>
    <row r="722" spans="1:51" x14ac:dyDescent="0.2">
      <c r="A722" s="7"/>
      <c r="B722" s="7"/>
      <c r="C722" s="7"/>
      <c r="D722" s="7"/>
      <c r="E722" s="36">
        <v>126</v>
      </c>
      <c r="F722" s="36" t="s">
        <v>2136</v>
      </c>
      <c r="G722" s="36">
        <v>633000</v>
      </c>
      <c r="H722" s="36" t="s">
        <v>2202</v>
      </c>
      <c r="I722" s="37">
        <v>182.09336999999999</v>
      </c>
      <c r="J722" s="7"/>
      <c r="K722" s="7" t="str">
        <f>VLOOKUP($E722,Mapping!$E$11:$I$96,3,0)</f>
        <v>Metering Opex</v>
      </c>
      <c r="L722" s="7" t="str">
        <f>VLOOKUP($G722,Mapping!$E$140:$K$2771,5,0)</f>
        <v>Contracts</v>
      </c>
      <c r="M722" s="7" t="str">
        <f>VLOOKUP($G722,Mapping!$E$140:$K$2771,7,0)</f>
        <v>OH</v>
      </c>
      <c r="N722" s="7" t="str">
        <f>IFERROR(HLOOKUP(L722,'Calc|Weightings'!$K$5:$M$5,1,0),"Excl")</f>
        <v>Contracts</v>
      </c>
      <c r="O722" s="7" t="str">
        <f>VLOOKUP(E722,Mapping!$E$11:$I$96,5,0)</f>
        <v>Connection Services</v>
      </c>
      <c r="Q722" s="33">
        <v>131</v>
      </c>
      <c r="R722" s="33" t="s">
        <v>2139</v>
      </c>
      <c r="S722" s="33">
        <v>613261</v>
      </c>
      <c r="T722" s="33" t="s">
        <v>2091</v>
      </c>
      <c r="U722" s="34">
        <v>0.30380000000000001</v>
      </c>
      <c r="V722" s="7"/>
      <c r="W722" s="7" t="str">
        <f>VLOOKUP($Q722,Mapping!$E$11:$I$96,3,0)</f>
        <v>Replacement</v>
      </c>
      <c r="X722" s="7" t="str">
        <f>VLOOKUP($S722,Mapping!$E$140:$K$2771,5,0)</f>
        <v>Labour</v>
      </c>
      <c r="Y722" s="7" t="str">
        <f>VLOOKUP($S722,Mapping!$E$140:$K$2771,7,0)</f>
        <v>ENDirect</v>
      </c>
      <c r="Z722" s="7" t="str">
        <f>IFERROR(HLOOKUP(X722,'Calc|Weightings'!$K$5:$M$5,1,0),"Excl")</f>
        <v>Labour</v>
      </c>
      <c r="AA722" s="7" t="str">
        <f>VLOOKUP(Q722,Mapping!$E$11:$I$96,5,0)</f>
        <v>SCS</v>
      </c>
      <c r="AC722" s="111">
        <v>131</v>
      </c>
      <c r="AD722" s="111" t="s">
        <v>2139</v>
      </c>
      <c r="AE722" s="111">
        <v>520100</v>
      </c>
      <c r="AF722" s="111" t="s">
        <v>2072</v>
      </c>
      <c r="AG722" s="112">
        <v>469.13961999999998</v>
      </c>
      <c r="AI722" s="7" t="str">
        <f>VLOOKUP($AC722,Mapping!$E$11:$I$96,3,0)</f>
        <v>Replacement</v>
      </c>
      <c r="AJ722" s="7" t="str">
        <f>VLOOKUP($AE722,Mapping!$E$140:$K$2771,5,0)</f>
        <v>Materials</v>
      </c>
      <c r="AK722" s="7" t="str">
        <f>VLOOKUP($AE722,Mapping!$E$140:$K$2771,7,0)</f>
        <v>ENDirect</v>
      </c>
      <c r="AL722" s="7" t="str">
        <f>IFERROR(HLOOKUP(AJ722,'Calc|Weightings'!$K$5:$M$5,1,0),"Excl")</f>
        <v>Materials</v>
      </c>
      <c r="AM722" s="7" t="str">
        <f>VLOOKUP(AC722,Mapping!$E$11:$I$96,5,0)</f>
        <v>SCS</v>
      </c>
      <c r="AO722" s="134">
        <v>131</v>
      </c>
      <c r="AP722" s="135" t="s">
        <v>2139</v>
      </c>
      <c r="AQ722" s="135">
        <v>636001</v>
      </c>
      <c r="AR722" s="135" t="s">
        <v>2111</v>
      </c>
      <c r="AS722" s="136">
        <v>156.79220000000001</v>
      </c>
      <c r="AU722" s="7" t="str">
        <f>VLOOKUP($AO722,Mapping!$E$11:$I$96,3,0)</f>
        <v>Replacement</v>
      </c>
      <c r="AV722" s="7" t="str">
        <f>VLOOKUP($AQ722,Mapping!$E$140:$K$2771,5,0)</f>
        <v>System Control OH</v>
      </c>
      <c r="AW722" s="7" t="str">
        <f>VLOOKUP($AQ722,Mapping!$E$140:$K$2771,7,0)</f>
        <v>OH</v>
      </c>
      <c r="AX722" s="7" t="str">
        <f>IFERROR(HLOOKUP(AV722,'Calc|Weightings'!$K$5:$M$5,1,0),"Excl")</f>
        <v>Excl</v>
      </c>
      <c r="AY722" s="7" t="str">
        <f>VLOOKUP(AO722,Mapping!$E$11:$I$96,5,0)</f>
        <v>SCS</v>
      </c>
    </row>
    <row r="723" spans="1:51" x14ac:dyDescent="0.2">
      <c r="A723" s="7"/>
      <c r="B723" s="7"/>
      <c r="C723" s="7"/>
      <c r="D723" s="7"/>
      <c r="E723" s="36">
        <v>126</v>
      </c>
      <c r="F723" s="36" t="s">
        <v>2136</v>
      </c>
      <c r="G723" s="36">
        <v>638000</v>
      </c>
      <c r="H723" s="36" t="s">
        <v>1147</v>
      </c>
      <c r="I723" s="37">
        <v>31.03978</v>
      </c>
      <c r="J723" s="7"/>
      <c r="K723" s="7" t="str">
        <f>VLOOKUP($E723,Mapping!$E$11:$I$96,3,0)</f>
        <v>Metering Opex</v>
      </c>
      <c r="L723" s="7" t="str">
        <f>VLOOKUP($G723,Mapping!$E$140:$K$2771,5,0)</f>
        <v>CHEDS AMI BAU MG</v>
      </c>
      <c r="M723" s="7" t="str">
        <f>VLOOKUP($G723,Mapping!$E$140:$K$2771,7,0)</f>
        <v>ENDirect</v>
      </c>
      <c r="N723" s="7" t="str">
        <f>IFERROR(HLOOKUP(L723,'Calc|Weightings'!$K$5:$M$5,1,0),"Excl")</f>
        <v>Excl</v>
      </c>
      <c r="O723" s="7" t="str">
        <f>VLOOKUP(E723,Mapping!$E$11:$I$96,5,0)</f>
        <v>Connection Services</v>
      </c>
      <c r="Q723" s="33">
        <v>131</v>
      </c>
      <c r="R723" s="33" t="s">
        <v>2139</v>
      </c>
      <c r="S723" s="33">
        <v>613280</v>
      </c>
      <c r="T723" s="33" t="s">
        <v>1342</v>
      </c>
      <c r="U723" s="34">
        <v>148.94745</v>
      </c>
      <c r="V723" s="7"/>
      <c r="W723" s="7" t="str">
        <f>VLOOKUP($Q723,Mapping!$E$11:$I$96,3,0)</f>
        <v>Replacement</v>
      </c>
      <c r="X723" s="7" t="str">
        <f>VLOOKUP($S723,Mapping!$E$140:$K$2771,5,0)</f>
        <v>Labour</v>
      </c>
      <c r="Y723" s="7" t="str">
        <f>VLOOKUP($S723,Mapping!$E$140:$K$2771,7,0)</f>
        <v>ENDirect</v>
      </c>
      <c r="Z723" s="7" t="str">
        <f>IFERROR(HLOOKUP(X723,'Calc|Weightings'!$K$5:$M$5,1,0),"Excl")</f>
        <v>Labour</v>
      </c>
      <c r="AA723" s="7" t="str">
        <f>VLOOKUP(Q723,Mapping!$E$11:$I$96,5,0)</f>
        <v>SCS</v>
      </c>
      <c r="AC723" s="111">
        <v>131</v>
      </c>
      <c r="AD723" s="111" t="s">
        <v>2139</v>
      </c>
      <c r="AE723" s="111">
        <v>520200</v>
      </c>
      <c r="AF723" s="111" t="s">
        <v>2073</v>
      </c>
      <c r="AG723" s="112">
        <v>1.64</v>
      </c>
      <c r="AI723" s="7" t="str">
        <f>VLOOKUP($AC723,Mapping!$E$11:$I$96,3,0)</f>
        <v>Replacement</v>
      </c>
      <c r="AJ723" s="7" t="str">
        <f>VLOOKUP($AE723,Mapping!$E$140:$K$2771,5,0)</f>
        <v>Materials</v>
      </c>
      <c r="AK723" s="7" t="str">
        <f>VLOOKUP($AE723,Mapping!$E$140:$K$2771,7,0)</f>
        <v>ENDirect</v>
      </c>
      <c r="AL723" s="7" t="str">
        <f>IFERROR(HLOOKUP(AJ723,'Calc|Weightings'!$K$5:$M$5,1,0),"Excl")</f>
        <v>Materials</v>
      </c>
      <c r="AM723" s="7" t="str">
        <f>VLOOKUP(AC723,Mapping!$E$11:$I$96,5,0)</f>
        <v>SCS</v>
      </c>
      <c r="AO723" s="134">
        <v>131</v>
      </c>
      <c r="AP723" s="135" t="s">
        <v>2139</v>
      </c>
      <c r="AQ723" s="135">
        <v>639000</v>
      </c>
      <c r="AR723" s="135" t="s">
        <v>2112</v>
      </c>
      <c r="AS723" s="136">
        <v>148.38305</v>
      </c>
      <c r="AU723" s="7" t="str">
        <f>VLOOKUP($AO723,Mapping!$E$11:$I$96,3,0)</f>
        <v>Replacement</v>
      </c>
      <c r="AV723" s="7" t="str">
        <f>VLOOKUP($AQ723,Mapping!$E$140:$K$2771,5,0)</f>
        <v>PNS Corporate OH</v>
      </c>
      <c r="AW723" s="7" t="str">
        <f>VLOOKUP($AQ723,Mapping!$E$140:$K$2771,7,0)</f>
        <v>OH</v>
      </c>
      <c r="AX723" s="7" t="str">
        <f>IFERROR(HLOOKUP(AV723,'Calc|Weightings'!$K$5:$M$5,1,0),"Excl")</f>
        <v>Excl</v>
      </c>
      <c r="AY723" s="7" t="str">
        <f>VLOOKUP(AO723,Mapping!$E$11:$I$96,5,0)</f>
        <v>SCS</v>
      </c>
    </row>
    <row r="724" spans="1:51" x14ac:dyDescent="0.2">
      <c r="A724" s="7"/>
      <c r="B724" s="7"/>
      <c r="C724" s="7"/>
      <c r="D724" s="7"/>
      <c r="E724" s="36">
        <v>126</v>
      </c>
      <c r="F724" s="36" t="s">
        <v>2136</v>
      </c>
      <c r="G724" s="36">
        <v>639050</v>
      </c>
      <c r="H724" s="36" t="s">
        <v>2113</v>
      </c>
      <c r="I724" s="37">
        <v>7.1667399999999999</v>
      </c>
      <c r="J724" s="7"/>
      <c r="K724" s="7" t="str">
        <f>VLOOKUP($E724,Mapping!$E$11:$I$96,3,0)</f>
        <v>Metering Opex</v>
      </c>
      <c r="L724" s="7" t="str">
        <f>VLOOKUP($G724,Mapping!$E$140:$K$2771,5,0)</f>
        <v>PNS Fleet &amp; Property OH</v>
      </c>
      <c r="M724" s="7" t="str">
        <f>VLOOKUP($G724,Mapping!$E$140:$K$2771,7,0)</f>
        <v>OH</v>
      </c>
      <c r="N724" s="7" t="str">
        <f>IFERROR(HLOOKUP(L724,'Calc|Weightings'!$K$5:$M$5,1,0),"Excl")</f>
        <v>Excl</v>
      </c>
      <c r="O724" s="7" t="str">
        <f>VLOOKUP(E724,Mapping!$E$11:$I$96,5,0)</f>
        <v>Connection Services</v>
      </c>
      <c r="Q724" s="33">
        <v>131</v>
      </c>
      <c r="R724" s="33" t="s">
        <v>2139</v>
      </c>
      <c r="S724" s="33">
        <v>613290</v>
      </c>
      <c r="T724" s="33" t="s">
        <v>2093</v>
      </c>
      <c r="U724" s="34">
        <v>161.5446</v>
      </c>
      <c r="V724" s="7"/>
      <c r="W724" s="7" t="str">
        <f>VLOOKUP($Q724,Mapping!$E$11:$I$96,3,0)</f>
        <v>Replacement</v>
      </c>
      <c r="X724" s="7" t="str">
        <f>VLOOKUP($S724,Mapping!$E$140:$K$2771,5,0)</f>
        <v>Labour</v>
      </c>
      <c r="Y724" s="7" t="str">
        <f>VLOOKUP($S724,Mapping!$E$140:$K$2771,7,0)</f>
        <v>ENDirect</v>
      </c>
      <c r="Z724" s="7" t="str">
        <f>IFERROR(HLOOKUP(X724,'Calc|Weightings'!$K$5:$M$5,1,0),"Excl")</f>
        <v>Labour</v>
      </c>
      <c r="AA724" s="7" t="str">
        <f>VLOOKUP(Q724,Mapping!$E$11:$I$96,5,0)</f>
        <v>SCS</v>
      </c>
      <c r="AC724" s="111">
        <v>131</v>
      </c>
      <c r="AD724" s="111" t="s">
        <v>2139</v>
      </c>
      <c r="AE724" s="111">
        <v>523100</v>
      </c>
      <c r="AF724" s="111" t="s">
        <v>2074</v>
      </c>
      <c r="AG724" s="112">
        <v>3.6083599999999998</v>
      </c>
      <c r="AI724" s="7" t="str">
        <f>VLOOKUP($AC724,Mapping!$E$11:$I$96,3,0)</f>
        <v>Replacement</v>
      </c>
      <c r="AJ724" s="7" t="str">
        <f>VLOOKUP($AE724,Mapping!$E$140:$K$2771,5,0)</f>
        <v>Materials</v>
      </c>
      <c r="AK724" s="7" t="str">
        <f>VLOOKUP($AE724,Mapping!$E$140:$K$2771,7,0)</f>
        <v>ENDirect</v>
      </c>
      <c r="AL724" s="7" t="str">
        <f>IFERROR(HLOOKUP(AJ724,'Calc|Weightings'!$K$5:$M$5,1,0),"Excl")</f>
        <v>Materials</v>
      </c>
      <c r="AM724" s="7" t="str">
        <f>VLOOKUP(AC724,Mapping!$E$11:$I$96,5,0)</f>
        <v>SCS</v>
      </c>
      <c r="AO724" s="134">
        <v>131</v>
      </c>
      <c r="AP724" s="135" t="s">
        <v>2139</v>
      </c>
      <c r="AQ724" s="135">
        <v>639050</v>
      </c>
      <c r="AR724" s="135" t="s">
        <v>2113</v>
      </c>
      <c r="AS724" s="136">
        <v>78.357560000000007</v>
      </c>
      <c r="AU724" s="7" t="str">
        <f>VLOOKUP($AO724,Mapping!$E$11:$I$96,3,0)</f>
        <v>Replacement</v>
      </c>
      <c r="AV724" s="7" t="str">
        <f>VLOOKUP($AQ724,Mapping!$E$140:$K$2771,5,0)</f>
        <v>PNS Fleet &amp; Property OH</v>
      </c>
      <c r="AW724" s="7" t="str">
        <f>VLOOKUP($AQ724,Mapping!$E$140:$K$2771,7,0)</f>
        <v>OH</v>
      </c>
      <c r="AX724" s="7" t="str">
        <f>IFERROR(HLOOKUP(AV724,'Calc|Weightings'!$K$5:$M$5,1,0),"Excl")</f>
        <v>Excl</v>
      </c>
      <c r="AY724" s="7" t="str">
        <f>VLOOKUP(AO724,Mapping!$E$11:$I$96,5,0)</f>
        <v>SCS</v>
      </c>
    </row>
    <row r="725" spans="1:51" x14ac:dyDescent="0.2">
      <c r="A725" s="7"/>
      <c r="B725" s="7"/>
      <c r="C725" s="7"/>
      <c r="D725" s="7"/>
      <c r="E725" s="36">
        <v>130</v>
      </c>
      <c r="F725" s="36" t="s">
        <v>2138</v>
      </c>
      <c r="G725" s="36">
        <v>624689</v>
      </c>
      <c r="H725" s="36" t="s">
        <v>858</v>
      </c>
      <c r="I725" s="37">
        <v>234.39429000000001</v>
      </c>
      <c r="J725" s="7"/>
      <c r="K725" s="7" t="str">
        <f>VLOOKUP($E725,Mapping!$E$11:$I$96,3,0)</f>
        <v>Fee Based Opex</v>
      </c>
      <c r="L725" s="7" t="str">
        <f>VLOOKUP($G725,Mapping!$E$140:$K$2771,5,0)</f>
        <v>Labour</v>
      </c>
      <c r="M725" s="7" t="str">
        <f>VLOOKUP($G725,Mapping!$E$140:$K$2771,7,0)</f>
        <v>ENDirect</v>
      </c>
      <c r="N725" s="7" t="str">
        <f>IFERROR(HLOOKUP(L725,'Calc|Weightings'!$K$5:$M$5,1,0),"Excl")</f>
        <v>Labour</v>
      </c>
      <c r="O725" s="7" t="str">
        <f>VLOOKUP(E725,Mapping!$E$11:$I$96,5,0)</f>
        <v>Ancillary Network Services</v>
      </c>
      <c r="Q725" s="33">
        <v>131</v>
      </c>
      <c r="R725" s="33" t="s">
        <v>2139</v>
      </c>
      <c r="S725" s="33">
        <v>613291</v>
      </c>
      <c r="T725" s="33" t="s">
        <v>2094</v>
      </c>
      <c r="U725" s="34">
        <v>0.53305000000000002</v>
      </c>
      <c r="V725" s="7"/>
      <c r="W725" s="7" t="str">
        <f>VLOOKUP($Q725,Mapping!$E$11:$I$96,3,0)</f>
        <v>Replacement</v>
      </c>
      <c r="X725" s="7" t="str">
        <f>VLOOKUP($S725,Mapping!$E$140:$K$2771,5,0)</f>
        <v>Labour</v>
      </c>
      <c r="Y725" s="7" t="str">
        <f>VLOOKUP($S725,Mapping!$E$140:$K$2771,7,0)</f>
        <v>ENDirect</v>
      </c>
      <c r="Z725" s="7" t="str">
        <f>IFERROR(HLOOKUP(X725,'Calc|Weightings'!$K$5:$M$5,1,0),"Excl")</f>
        <v>Labour</v>
      </c>
      <c r="AA725" s="7" t="str">
        <f>VLOOKUP(Q725,Mapping!$E$11:$I$96,5,0)</f>
        <v>SCS</v>
      </c>
      <c r="AC725" s="111">
        <v>131</v>
      </c>
      <c r="AD725" s="111" t="s">
        <v>2139</v>
      </c>
      <c r="AE725" s="111">
        <v>523300</v>
      </c>
      <c r="AF725" s="111" t="s">
        <v>2075</v>
      </c>
      <c r="AG725" s="112">
        <v>0.44144</v>
      </c>
      <c r="AI725" s="7" t="str">
        <f>VLOOKUP($AC725,Mapping!$E$11:$I$96,3,0)</f>
        <v>Replacement</v>
      </c>
      <c r="AJ725" s="7" t="str">
        <f>VLOOKUP($AE725,Mapping!$E$140:$K$2771,5,0)</f>
        <v>Materials</v>
      </c>
      <c r="AK725" s="7" t="str">
        <f>VLOOKUP($AE725,Mapping!$E$140:$K$2771,7,0)</f>
        <v>ENDirect</v>
      </c>
      <c r="AL725" s="7" t="str">
        <f>IFERROR(HLOOKUP(AJ725,'Calc|Weightings'!$K$5:$M$5,1,0),"Excl")</f>
        <v>Materials</v>
      </c>
      <c r="AM725" s="7" t="str">
        <f>VLOOKUP(AC725,Mapping!$E$11:$I$96,5,0)</f>
        <v>SCS</v>
      </c>
      <c r="AO725" s="134">
        <v>131</v>
      </c>
      <c r="AP725" s="135" t="s">
        <v>2139</v>
      </c>
      <c r="AQ725" s="135">
        <v>613575</v>
      </c>
      <c r="AR725" s="135" t="s">
        <v>1489</v>
      </c>
      <c r="AS725" s="136">
        <v>-630.58105902613886</v>
      </c>
      <c r="AU725" s="7" t="str">
        <f>VLOOKUP($AO725,Mapping!$E$11:$I$96,3,0)</f>
        <v>Replacement</v>
      </c>
      <c r="AV725" s="7" t="str">
        <f>VLOOKUP($AQ725,Mapping!$E$140:$K$2771,5,0)</f>
        <v>Labour</v>
      </c>
      <c r="AW725" s="7" t="str">
        <f>VLOOKUP($AQ725,Mapping!$E$140:$K$2771,7,0)</f>
        <v>ENDirect</v>
      </c>
      <c r="AX725" s="7" t="str">
        <f>IFERROR(HLOOKUP(AV725,'Calc|Weightings'!$K$5:$M$5,1,0),"Excl")</f>
        <v>Labour</v>
      </c>
      <c r="AY725" s="7" t="str">
        <f>VLOOKUP(AO725,Mapping!$E$11:$I$96,5,0)</f>
        <v>SCS</v>
      </c>
    </row>
    <row r="726" spans="1:51" x14ac:dyDescent="0.2">
      <c r="A726" s="7"/>
      <c r="B726" s="7"/>
      <c r="C726" s="7"/>
      <c r="D726" s="7"/>
      <c r="E726" s="36">
        <v>130</v>
      </c>
      <c r="F726" s="36" t="s">
        <v>2138</v>
      </c>
      <c r="G726" s="36">
        <v>624690</v>
      </c>
      <c r="H726" s="36" t="s">
        <v>1609</v>
      </c>
      <c r="I726" s="37">
        <v>0.83862000000000003</v>
      </c>
      <c r="J726" s="7"/>
      <c r="K726" s="7" t="str">
        <f>VLOOKUP($E726,Mapping!$E$11:$I$96,3,0)</f>
        <v>Fee Based Opex</v>
      </c>
      <c r="L726" s="7" t="str">
        <f>VLOOKUP($G726,Mapping!$E$140:$K$2771,5,0)</f>
        <v>Labour</v>
      </c>
      <c r="M726" s="7" t="str">
        <f>VLOOKUP($G726,Mapping!$E$140:$K$2771,7,0)</f>
        <v>ENDirect</v>
      </c>
      <c r="N726" s="7" t="str">
        <f>IFERROR(HLOOKUP(L726,'Calc|Weightings'!$K$5:$M$5,1,0),"Excl")</f>
        <v>Labour</v>
      </c>
      <c r="O726" s="7" t="str">
        <f>VLOOKUP(E726,Mapping!$E$11:$I$96,5,0)</f>
        <v>Ancillary Network Services</v>
      </c>
      <c r="Q726" s="33">
        <v>131</v>
      </c>
      <c r="R726" s="33" t="s">
        <v>2139</v>
      </c>
      <c r="S726" s="33">
        <v>613310</v>
      </c>
      <c r="T726" s="33" t="s">
        <v>2095</v>
      </c>
      <c r="U726" s="34">
        <v>8.2540999999999993</v>
      </c>
      <c r="V726" s="7"/>
      <c r="W726" s="7" t="str">
        <f>VLOOKUP($Q726,Mapping!$E$11:$I$96,3,0)</f>
        <v>Replacement</v>
      </c>
      <c r="X726" s="7" t="str">
        <f>VLOOKUP($S726,Mapping!$E$140:$K$2771,5,0)</f>
        <v>Labour</v>
      </c>
      <c r="Y726" s="7" t="str">
        <f>VLOOKUP($S726,Mapping!$E$140:$K$2771,7,0)</f>
        <v>ENDirect</v>
      </c>
      <c r="Z726" s="7" t="str">
        <f>IFERROR(HLOOKUP(X726,'Calc|Weightings'!$K$5:$M$5,1,0),"Excl")</f>
        <v>Labour</v>
      </c>
      <c r="AA726" s="7" t="str">
        <f>VLOOKUP(Q726,Mapping!$E$11:$I$96,5,0)</f>
        <v>SCS</v>
      </c>
      <c r="AC726" s="111">
        <v>131</v>
      </c>
      <c r="AD726" s="111" t="s">
        <v>2139</v>
      </c>
      <c r="AE726" s="111">
        <v>531020</v>
      </c>
      <c r="AF726" s="111" t="s">
        <v>219</v>
      </c>
      <c r="AG726" s="112">
        <v>-1.9703200000000001</v>
      </c>
      <c r="AI726" s="7" t="str">
        <f>VLOOKUP($AC726,Mapping!$E$11:$I$96,3,0)</f>
        <v>Replacement</v>
      </c>
      <c r="AJ726" s="7" t="str">
        <f>VLOOKUP($AE726,Mapping!$E$140:$K$2771,5,0)</f>
        <v>Labour</v>
      </c>
      <c r="AK726" s="7" t="str">
        <f>VLOOKUP($AE726,Mapping!$E$140:$K$2771,7,0)</f>
        <v>ENDirect</v>
      </c>
      <c r="AL726" s="7" t="str">
        <f>IFERROR(HLOOKUP(AJ726,'Calc|Weightings'!$K$5:$M$5,1,0),"Excl")</f>
        <v>Labour</v>
      </c>
      <c r="AM726" s="7" t="str">
        <f>VLOOKUP(AC726,Mapping!$E$11:$I$96,5,0)</f>
        <v>SCS</v>
      </c>
      <c r="AO726" s="134">
        <v>131</v>
      </c>
      <c r="AP726" s="135" t="s">
        <v>2139</v>
      </c>
      <c r="AQ726" s="135">
        <v>613390</v>
      </c>
      <c r="AR726" s="135" t="s">
        <v>2141</v>
      </c>
      <c r="AS726" s="136">
        <v>-190.37014993327261</v>
      </c>
      <c r="AU726" s="7" t="str">
        <f>VLOOKUP($AO726,Mapping!$E$11:$I$96,3,0)</f>
        <v>Replacement</v>
      </c>
      <c r="AV726" s="7" t="str">
        <f>VLOOKUP($AQ726,Mapping!$E$140:$K$2771,5,0)</f>
        <v>Contracts</v>
      </c>
      <c r="AW726" s="7" t="str">
        <f>VLOOKUP($AQ726,Mapping!$E$140:$K$2771,7,0)</f>
        <v>ENDirect</v>
      </c>
      <c r="AX726" s="7" t="str">
        <f>IFERROR(HLOOKUP(AV726,'Calc|Weightings'!$K$5:$M$5,1,0),"Excl")</f>
        <v>Contracts</v>
      </c>
      <c r="AY726" s="7" t="str">
        <f>VLOOKUP(AO726,Mapping!$E$11:$I$96,5,0)</f>
        <v>SCS</v>
      </c>
    </row>
    <row r="727" spans="1:51" x14ac:dyDescent="0.2">
      <c r="A727" s="7"/>
      <c r="B727" s="7"/>
      <c r="C727" s="7"/>
      <c r="D727" s="7"/>
      <c r="E727" s="36">
        <v>130</v>
      </c>
      <c r="F727" s="36" t="s">
        <v>2138</v>
      </c>
      <c r="G727" s="36">
        <v>624691</v>
      </c>
      <c r="H727" s="36" t="s">
        <v>860</v>
      </c>
      <c r="I727" s="37">
        <v>126.66132</v>
      </c>
      <c r="J727" s="7"/>
      <c r="K727" s="7" t="str">
        <f>VLOOKUP($E727,Mapping!$E$11:$I$96,3,0)</f>
        <v>Fee Based Opex</v>
      </c>
      <c r="L727" s="7" t="str">
        <f>VLOOKUP($G727,Mapping!$E$140:$K$2771,5,0)</f>
        <v>Labour</v>
      </c>
      <c r="M727" s="7" t="str">
        <f>VLOOKUP($G727,Mapping!$E$140:$K$2771,7,0)</f>
        <v>ENDirect</v>
      </c>
      <c r="N727" s="7" t="str">
        <f>IFERROR(HLOOKUP(L727,'Calc|Weightings'!$K$5:$M$5,1,0),"Excl")</f>
        <v>Labour</v>
      </c>
      <c r="O727" s="7" t="str">
        <f>VLOOKUP(E727,Mapping!$E$11:$I$96,5,0)</f>
        <v>Ancillary Network Services</v>
      </c>
      <c r="Q727" s="33">
        <v>131</v>
      </c>
      <c r="R727" s="33" t="s">
        <v>2139</v>
      </c>
      <c r="S727" s="33">
        <v>613311</v>
      </c>
      <c r="T727" s="33" t="s">
        <v>2116</v>
      </c>
      <c r="U727" s="34">
        <v>0.64888000000000001</v>
      </c>
      <c r="V727" s="7"/>
      <c r="W727" s="7" t="str">
        <f>VLOOKUP($Q727,Mapping!$E$11:$I$96,3,0)</f>
        <v>Replacement</v>
      </c>
      <c r="X727" s="7" t="str">
        <f>VLOOKUP($S727,Mapping!$E$140:$K$2771,5,0)</f>
        <v>Labour</v>
      </c>
      <c r="Y727" s="7" t="str">
        <f>VLOOKUP($S727,Mapping!$E$140:$K$2771,7,0)</f>
        <v>ENDirect</v>
      </c>
      <c r="Z727" s="7" t="str">
        <f>IFERROR(HLOOKUP(X727,'Calc|Weightings'!$K$5:$M$5,1,0),"Excl")</f>
        <v>Labour</v>
      </c>
      <c r="AA727" s="7" t="str">
        <f>VLOOKUP(Q727,Mapping!$E$11:$I$96,5,0)</f>
        <v>SCS</v>
      </c>
      <c r="AC727" s="111">
        <v>131</v>
      </c>
      <c r="AD727" s="111" t="s">
        <v>2139</v>
      </c>
      <c r="AE727" s="111">
        <v>531200</v>
      </c>
      <c r="AF727" s="111" t="s">
        <v>250</v>
      </c>
      <c r="AG727" s="112">
        <v>-10.676270000000001</v>
      </c>
      <c r="AI727" s="7" t="str">
        <f>VLOOKUP($AC727,Mapping!$E$11:$I$96,3,0)</f>
        <v>Replacement</v>
      </c>
      <c r="AJ727" s="7" t="str">
        <f>VLOOKUP($AE727,Mapping!$E$140:$K$2771,5,0)</f>
        <v>Contracts</v>
      </c>
      <c r="AK727" s="7" t="str">
        <f>VLOOKUP($AE727,Mapping!$E$140:$K$2771,7,0)</f>
        <v>ENDirect</v>
      </c>
      <c r="AL727" s="7" t="str">
        <f>IFERROR(HLOOKUP(AJ727,'Calc|Weightings'!$K$5:$M$5,1,0),"Excl")</f>
        <v>Contracts</v>
      </c>
      <c r="AM727" s="7" t="str">
        <f>VLOOKUP(AC727,Mapping!$E$11:$I$96,5,0)</f>
        <v>SCS</v>
      </c>
      <c r="AO727" s="134">
        <v>131</v>
      </c>
      <c r="AP727" s="135" t="s">
        <v>2139</v>
      </c>
      <c r="AQ727" s="135">
        <v>635001</v>
      </c>
      <c r="AR727" s="135" t="s">
        <v>1929</v>
      </c>
      <c r="AS727" s="136">
        <v>-43.630764435595296</v>
      </c>
      <c r="AU727" s="7" t="str">
        <f>VLOOKUP($AO727,Mapping!$E$11:$I$96,3,0)</f>
        <v>Replacement</v>
      </c>
      <c r="AV727" s="7" t="str">
        <f>VLOOKUP($AQ727,Mapping!$E$140:$K$2771,5,0)</f>
        <v>PNS MG</v>
      </c>
      <c r="AW727" s="7" t="str">
        <f>VLOOKUP($AQ727,Mapping!$E$140:$K$2771,7,0)</f>
        <v>ENDirect</v>
      </c>
      <c r="AX727" s="7" t="str">
        <f>IFERROR(HLOOKUP(AV727,'Calc|Weightings'!$K$5:$M$5,1,0),"Excl")</f>
        <v>Excl</v>
      </c>
      <c r="AY727" s="7" t="str">
        <f>VLOOKUP(AO727,Mapping!$E$11:$I$96,5,0)</f>
        <v>SCS</v>
      </c>
    </row>
    <row r="728" spans="1:51" x14ac:dyDescent="0.2">
      <c r="A728" s="7"/>
      <c r="B728" s="7"/>
      <c r="C728" s="7"/>
      <c r="D728" s="7"/>
      <c r="E728" s="36">
        <v>130</v>
      </c>
      <c r="F728" s="36" t="s">
        <v>2138</v>
      </c>
      <c r="G728" s="36">
        <v>624692</v>
      </c>
      <c r="H728" s="36" t="s">
        <v>1610</v>
      </c>
      <c r="I728" s="37">
        <v>0.78186</v>
      </c>
      <c r="J728" s="7"/>
      <c r="K728" s="7" t="str">
        <f>VLOOKUP($E728,Mapping!$E$11:$I$96,3,0)</f>
        <v>Fee Based Opex</v>
      </c>
      <c r="L728" s="7" t="str">
        <f>VLOOKUP($G728,Mapping!$E$140:$K$2771,5,0)</f>
        <v>Labour</v>
      </c>
      <c r="M728" s="7" t="str">
        <f>VLOOKUP($G728,Mapping!$E$140:$K$2771,7,0)</f>
        <v>ENDirect</v>
      </c>
      <c r="N728" s="7" t="str">
        <f>IFERROR(HLOOKUP(L728,'Calc|Weightings'!$K$5:$M$5,1,0),"Excl")</f>
        <v>Labour</v>
      </c>
      <c r="O728" s="7" t="str">
        <f>VLOOKUP(E728,Mapping!$E$11:$I$96,5,0)</f>
        <v>Ancillary Network Services</v>
      </c>
      <c r="Q728" s="33">
        <v>131</v>
      </c>
      <c r="R728" s="33" t="s">
        <v>2139</v>
      </c>
      <c r="S728" s="33">
        <v>613350</v>
      </c>
      <c r="T728" s="33" t="s">
        <v>2096</v>
      </c>
      <c r="U728" s="34">
        <v>0.49501000000000001</v>
      </c>
      <c r="V728" s="7"/>
      <c r="W728" s="7" t="str">
        <f>VLOOKUP($Q728,Mapping!$E$11:$I$96,3,0)</f>
        <v>Replacement</v>
      </c>
      <c r="X728" s="7" t="str">
        <f>VLOOKUP($S728,Mapping!$E$140:$K$2771,5,0)</f>
        <v>Labour</v>
      </c>
      <c r="Y728" s="7" t="str">
        <f>VLOOKUP($S728,Mapping!$E$140:$K$2771,7,0)</f>
        <v>ENDirect</v>
      </c>
      <c r="Z728" s="7" t="str">
        <f>IFERROR(HLOOKUP(X728,'Calc|Weightings'!$K$5:$M$5,1,0),"Excl")</f>
        <v>Labour</v>
      </c>
      <c r="AA728" s="7" t="str">
        <f>VLOOKUP(Q728,Mapping!$E$11:$I$96,5,0)</f>
        <v>SCS</v>
      </c>
      <c r="AC728" s="111">
        <v>131</v>
      </c>
      <c r="AD728" s="111" t="s">
        <v>2139</v>
      </c>
      <c r="AE728" s="111">
        <v>531464</v>
      </c>
      <c r="AF728" s="111" t="s">
        <v>256</v>
      </c>
      <c r="AG728" s="112">
        <v>414.39026000000001</v>
      </c>
      <c r="AI728" s="7" t="str">
        <f>VLOOKUP($AC728,Mapping!$E$11:$I$96,3,0)</f>
        <v>Replacement</v>
      </c>
      <c r="AJ728" s="7" t="str">
        <f>VLOOKUP($AE728,Mapping!$E$140:$K$2771,5,0)</f>
        <v>Contracts</v>
      </c>
      <c r="AK728" s="7" t="str">
        <f>VLOOKUP($AE728,Mapping!$E$140:$K$2771,7,0)</f>
        <v>ENDirect</v>
      </c>
      <c r="AL728" s="7" t="str">
        <f>IFERROR(HLOOKUP(AJ728,'Calc|Weightings'!$K$5:$M$5,1,0),"Excl")</f>
        <v>Contracts</v>
      </c>
      <c r="AM728" s="7" t="str">
        <f>VLOOKUP(AC728,Mapping!$E$11:$I$96,5,0)</f>
        <v>SCS</v>
      </c>
      <c r="AO728" s="134">
        <v>131</v>
      </c>
      <c r="AP728" s="135" t="s">
        <v>2139</v>
      </c>
      <c r="AQ728" s="135">
        <v>636001</v>
      </c>
      <c r="AR728" s="135" t="s">
        <v>2111</v>
      </c>
      <c r="AS728" s="136">
        <v>-133.49807632774832</v>
      </c>
      <c r="AU728" s="7" t="str">
        <f>VLOOKUP($AO728,Mapping!$E$11:$I$96,3,0)</f>
        <v>Replacement</v>
      </c>
      <c r="AV728" s="7" t="str">
        <f>VLOOKUP($AQ728,Mapping!$E$140:$K$2771,5,0)</f>
        <v>System Control OH</v>
      </c>
      <c r="AW728" s="7" t="str">
        <f>VLOOKUP($AQ728,Mapping!$E$140:$K$2771,7,0)</f>
        <v>OH</v>
      </c>
      <c r="AX728" s="7" t="str">
        <f>IFERROR(HLOOKUP(AV728,'Calc|Weightings'!$K$5:$M$5,1,0),"Excl")</f>
        <v>Excl</v>
      </c>
      <c r="AY728" s="7" t="str">
        <f>VLOOKUP(AO728,Mapping!$E$11:$I$96,5,0)</f>
        <v>SCS</v>
      </c>
    </row>
    <row r="729" spans="1:51" x14ac:dyDescent="0.2">
      <c r="A729" s="7"/>
      <c r="B729" s="7"/>
      <c r="C729" s="7"/>
      <c r="D729" s="7"/>
      <c r="E729" s="36">
        <v>130</v>
      </c>
      <c r="F729" s="36" t="s">
        <v>2138</v>
      </c>
      <c r="G729" s="36">
        <v>624705</v>
      </c>
      <c r="H729" s="36" t="s">
        <v>1587</v>
      </c>
      <c r="I729" s="37">
        <v>5.8703399999999997</v>
      </c>
      <c r="J729" s="7"/>
      <c r="K729" s="7" t="str">
        <f>VLOOKUP($E729,Mapping!$E$11:$I$96,3,0)</f>
        <v>Fee Based Opex</v>
      </c>
      <c r="L729" s="7" t="str">
        <f>VLOOKUP($G729,Mapping!$E$140:$K$2771,5,0)</f>
        <v>Labour</v>
      </c>
      <c r="M729" s="7" t="str">
        <f>VLOOKUP($G729,Mapping!$E$140:$K$2771,7,0)</f>
        <v>ENDirect</v>
      </c>
      <c r="N729" s="7" t="str">
        <f>IFERROR(HLOOKUP(L729,'Calc|Weightings'!$K$5:$M$5,1,0),"Excl")</f>
        <v>Labour</v>
      </c>
      <c r="O729" s="7" t="str">
        <f>VLOOKUP(E729,Mapping!$E$11:$I$96,5,0)</f>
        <v>Ancillary Network Services</v>
      </c>
      <c r="Q729" s="33">
        <v>131</v>
      </c>
      <c r="R729" s="33" t="s">
        <v>2139</v>
      </c>
      <c r="S729" s="33">
        <v>613360</v>
      </c>
      <c r="T729" s="33" t="s">
        <v>2097</v>
      </c>
      <c r="U729" s="34">
        <v>30.46144</v>
      </c>
      <c r="V729" s="7"/>
      <c r="W729" s="7" t="str">
        <f>VLOOKUP($Q729,Mapping!$E$11:$I$96,3,0)</f>
        <v>Replacement</v>
      </c>
      <c r="X729" s="7" t="str">
        <f>VLOOKUP($S729,Mapping!$E$140:$K$2771,5,0)</f>
        <v>Labour</v>
      </c>
      <c r="Y729" s="7" t="str">
        <f>VLOOKUP($S729,Mapping!$E$140:$K$2771,7,0)</f>
        <v>ENDirect</v>
      </c>
      <c r="Z729" s="7" t="str">
        <f>IFERROR(HLOOKUP(X729,'Calc|Weightings'!$K$5:$M$5,1,0),"Excl")</f>
        <v>Labour</v>
      </c>
      <c r="AA729" s="7" t="str">
        <f>VLOOKUP(Q729,Mapping!$E$11:$I$96,5,0)</f>
        <v>SCS</v>
      </c>
      <c r="AC729" s="111">
        <v>131</v>
      </c>
      <c r="AD729" s="111" t="s">
        <v>2139</v>
      </c>
      <c r="AE729" s="111">
        <v>531465</v>
      </c>
      <c r="AF729" s="111" t="s">
        <v>257</v>
      </c>
      <c r="AG729" s="112">
        <v>1.18245</v>
      </c>
      <c r="AI729" s="7" t="str">
        <f>VLOOKUP($AC729,Mapping!$E$11:$I$96,3,0)</f>
        <v>Replacement</v>
      </c>
      <c r="AJ729" s="7" t="str">
        <f>VLOOKUP($AE729,Mapping!$E$140:$K$2771,5,0)</f>
        <v>Contracts</v>
      </c>
      <c r="AK729" s="7" t="str">
        <f>VLOOKUP($AE729,Mapping!$E$140:$K$2771,7,0)</f>
        <v>ENDirect</v>
      </c>
      <c r="AL729" s="7" t="str">
        <f>IFERROR(HLOOKUP(AJ729,'Calc|Weightings'!$K$5:$M$5,1,0),"Excl")</f>
        <v>Contracts</v>
      </c>
      <c r="AM729" s="7" t="str">
        <f>VLOOKUP(AC729,Mapping!$E$11:$I$96,5,0)</f>
        <v>SCS</v>
      </c>
      <c r="AO729" s="134">
        <v>134</v>
      </c>
      <c r="AP729" s="135" t="s">
        <v>2143</v>
      </c>
      <c r="AQ729" s="135">
        <v>613686</v>
      </c>
      <c r="AR729" s="135" t="s">
        <v>1228</v>
      </c>
      <c r="AS729" s="136">
        <v>81.221400000000003</v>
      </c>
      <c r="AU729" s="7" t="str">
        <f>VLOOKUP($AO729,Mapping!$E$11:$I$96,3,0)</f>
        <v>Metering Capex</v>
      </c>
      <c r="AV729" s="7" t="str">
        <f>VLOOKUP($AQ729,Mapping!$E$140:$K$2771,5,0)</f>
        <v>Materials</v>
      </c>
      <c r="AW729" s="7" t="str">
        <f>VLOOKUP($AQ729,Mapping!$E$140:$K$2771,7,0)</f>
        <v>ENDirect</v>
      </c>
      <c r="AX729" s="7" t="str">
        <f>IFERROR(HLOOKUP(AV729,'Calc|Weightings'!$K$5:$M$5,1,0),"Excl")</f>
        <v>Materials</v>
      </c>
      <c r="AY729" s="7" t="str">
        <f>VLOOKUP(AO729,Mapping!$E$11:$I$96,5,0)</f>
        <v>Metering Services</v>
      </c>
    </row>
    <row r="730" spans="1:51" x14ac:dyDescent="0.2">
      <c r="A730" s="7"/>
      <c r="B730" s="7"/>
      <c r="C730" s="7"/>
      <c r="D730" s="7"/>
      <c r="E730" s="36">
        <v>130</v>
      </c>
      <c r="F730" s="36" t="s">
        <v>2138</v>
      </c>
      <c r="G730" s="36">
        <v>624707</v>
      </c>
      <c r="H730" s="36" t="s">
        <v>1589</v>
      </c>
      <c r="I730" s="37">
        <v>61.1798</v>
      </c>
      <c r="J730" s="7"/>
      <c r="K730" s="7" t="str">
        <f>VLOOKUP($E730,Mapping!$E$11:$I$96,3,0)</f>
        <v>Fee Based Opex</v>
      </c>
      <c r="L730" s="7" t="str">
        <f>VLOOKUP($G730,Mapping!$E$140:$K$2771,5,0)</f>
        <v>Labour</v>
      </c>
      <c r="M730" s="7" t="str">
        <f>VLOOKUP($G730,Mapping!$E$140:$K$2771,7,0)</f>
        <v>ENDirect</v>
      </c>
      <c r="N730" s="7" t="str">
        <f>IFERROR(HLOOKUP(L730,'Calc|Weightings'!$K$5:$M$5,1,0),"Excl")</f>
        <v>Labour</v>
      </c>
      <c r="O730" s="7" t="str">
        <f>VLOOKUP(E730,Mapping!$E$11:$I$96,5,0)</f>
        <v>Ancillary Network Services</v>
      </c>
      <c r="Q730" s="33">
        <v>131</v>
      </c>
      <c r="R730" s="33" t="s">
        <v>2139</v>
      </c>
      <c r="S730" s="33">
        <v>613361</v>
      </c>
      <c r="T730" s="33" t="s">
        <v>2098</v>
      </c>
      <c r="U730" s="34">
        <v>7.3380000000000001E-2</v>
      </c>
      <c r="V730" s="7"/>
      <c r="W730" s="7" t="str">
        <f>VLOOKUP($Q730,Mapping!$E$11:$I$96,3,0)</f>
        <v>Replacement</v>
      </c>
      <c r="X730" s="7" t="str">
        <f>VLOOKUP($S730,Mapping!$E$140:$K$2771,5,0)</f>
        <v>Labour</v>
      </c>
      <c r="Y730" s="7" t="str">
        <f>VLOOKUP($S730,Mapping!$E$140:$K$2771,7,0)</f>
        <v>ENDirect</v>
      </c>
      <c r="Z730" s="7" t="str">
        <f>IFERROR(HLOOKUP(X730,'Calc|Weightings'!$K$5:$M$5,1,0),"Excl")</f>
        <v>Labour</v>
      </c>
      <c r="AA730" s="7" t="str">
        <f>VLOOKUP(Q730,Mapping!$E$11:$I$96,5,0)</f>
        <v>SCS</v>
      </c>
      <c r="AC730" s="111">
        <v>131</v>
      </c>
      <c r="AD730" s="111" t="s">
        <v>2139</v>
      </c>
      <c r="AE730" s="111">
        <v>531466</v>
      </c>
      <c r="AF730" s="111" t="s">
        <v>258</v>
      </c>
      <c r="AG730" s="112">
        <v>130.99941000000001</v>
      </c>
      <c r="AI730" s="7" t="str">
        <f>VLOOKUP($AC730,Mapping!$E$11:$I$96,3,0)</f>
        <v>Replacement</v>
      </c>
      <c r="AJ730" s="7" t="str">
        <f>VLOOKUP($AE730,Mapping!$E$140:$K$2771,5,0)</f>
        <v>Contracts</v>
      </c>
      <c r="AK730" s="7" t="str">
        <f>VLOOKUP($AE730,Mapping!$E$140:$K$2771,7,0)</f>
        <v>ENDirect</v>
      </c>
      <c r="AL730" s="7" t="str">
        <f>IFERROR(HLOOKUP(AJ730,'Calc|Weightings'!$K$5:$M$5,1,0),"Excl")</f>
        <v>Contracts</v>
      </c>
      <c r="AM730" s="7" t="str">
        <f>VLOOKUP(AC730,Mapping!$E$11:$I$96,5,0)</f>
        <v>SCS</v>
      </c>
      <c r="AO730" s="134">
        <v>134</v>
      </c>
      <c r="AP730" s="135" t="s">
        <v>2143</v>
      </c>
      <c r="AQ730" s="135">
        <v>613687</v>
      </c>
      <c r="AR730" s="135" t="s">
        <v>1229</v>
      </c>
      <c r="AS730" s="136">
        <v>5.6070000000000002</v>
      </c>
      <c r="AU730" s="7" t="str">
        <f>VLOOKUP($AO730,Mapping!$E$11:$I$96,3,0)</f>
        <v>Metering Capex</v>
      </c>
      <c r="AV730" s="7" t="str">
        <f>VLOOKUP($AQ730,Mapping!$E$140:$K$2771,5,0)</f>
        <v>Materials</v>
      </c>
      <c r="AW730" s="7" t="str">
        <f>VLOOKUP($AQ730,Mapping!$E$140:$K$2771,7,0)</f>
        <v>ENDirect</v>
      </c>
      <c r="AX730" s="7" t="str">
        <f>IFERROR(HLOOKUP(AV730,'Calc|Weightings'!$K$5:$M$5,1,0),"Excl")</f>
        <v>Materials</v>
      </c>
      <c r="AY730" s="7" t="str">
        <f>VLOOKUP(AO730,Mapping!$E$11:$I$96,5,0)</f>
        <v>Metering Services</v>
      </c>
    </row>
    <row r="731" spans="1:51" x14ac:dyDescent="0.2">
      <c r="A731" s="7"/>
      <c r="B731" s="7"/>
      <c r="C731" s="7"/>
      <c r="D731" s="7"/>
      <c r="E731" s="36">
        <v>130</v>
      </c>
      <c r="F731" s="36" t="s">
        <v>2138</v>
      </c>
      <c r="G731" s="36">
        <v>633000</v>
      </c>
      <c r="H731" s="36" t="s">
        <v>2202</v>
      </c>
      <c r="I731" s="37">
        <v>72.159790000000001</v>
      </c>
      <c r="J731" s="7"/>
      <c r="K731" s="7" t="str">
        <f>VLOOKUP($E731,Mapping!$E$11:$I$96,3,0)</f>
        <v>Fee Based Opex</v>
      </c>
      <c r="L731" s="7" t="str">
        <f>VLOOKUP($G731,Mapping!$E$140:$K$2771,5,0)</f>
        <v>Contracts</v>
      </c>
      <c r="M731" s="7" t="str">
        <f>VLOOKUP($G731,Mapping!$E$140:$K$2771,7,0)</f>
        <v>OH</v>
      </c>
      <c r="N731" s="7" t="str">
        <f>IFERROR(HLOOKUP(L731,'Calc|Weightings'!$K$5:$M$5,1,0),"Excl")</f>
        <v>Contracts</v>
      </c>
      <c r="O731" s="7" t="str">
        <f>VLOOKUP(E731,Mapping!$E$11:$I$96,5,0)</f>
        <v>Ancillary Network Services</v>
      </c>
      <c r="Q731" s="33">
        <v>131</v>
      </c>
      <c r="R731" s="33" t="s">
        <v>2139</v>
      </c>
      <c r="S731" s="33">
        <v>613370</v>
      </c>
      <c r="T731" s="33" t="s">
        <v>1402</v>
      </c>
      <c r="U731" s="34">
        <v>2.4984999999999999</v>
      </c>
      <c r="V731" s="7"/>
      <c r="W731" s="7" t="str">
        <f>VLOOKUP($Q731,Mapping!$E$11:$I$96,3,0)</f>
        <v>Replacement</v>
      </c>
      <c r="X731" s="7" t="str">
        <f>VLOOKUP($S731,Mapping!$E$140:$K$2771,5,0)</f>
        <v>Labour</v>
      </c>
      <c r="Y731" s="7" t="str">
        <f>VLOOKUP($S731,Mapping!$E$140:$K$2771,7,0)</f>
        <v>ENDirect</v>
      </c>
      <c r="Z731" s="7" t="str">
        <f>IFERROR(HLOOKUP(X731,'Calc|Weightings'!$K$5:$M$5,1,0),"Excl")</f>
        <v>Labour</v>
      </c>
      <c r="AA731" s="7" t="str">
        <f>VLOOKUP(Q731,Mapping!$E$11:$I$96,5,0)</f>
        <v>SCS</v>
      </c>
      <c r="AC731" s="111">
        <v>131</v>
      </c>
      <c r="AD731" s="111" t="s">
        <v>2139</v>
      </c>
      <c r="AE731" s="111">
        <v>531467</v>
      </c>
      <c r="AF731" s="111" t="s">
        <v>259</v>
      </c>
      <c r="AG731" s="112">
        <v>681.52892999999995</v>
      </c>
      <c r="AI731" s="7" t="str">
        <f>VLOOKUP($AC731,Mapping!$E$11:$I$96,3,0)</f>
        <v>Replacement</v>
      </c>
      <c r="AJ731" s="7" t="str">
        <f>VLOOKUP($AE731,Mapping!$E$140:$K$2771,5,0)</f>
        <v>Contracts</v>
      </c>
      <c r="AK731" s="7" t="str">
        <f>VLOOKUP($AE731,Mapping!$E$140:$K$2771,7,0)</f>
        <v>ENDirect</v>
      </c>
      <c r="AL731" s="7" t="str">
        <f>IFERROR(HLOOKUP(AJ731,'Calc|Weightings'!$K$5:$M$5,1,0),"Excl")</f>
        <v>Contracts</v>
      </c>
      <c r="AM731" s="7" t="str">
        <f>VLOOKUP(AC731,Mapping!$E$11:$I$96,5,0)</f>
        <v>SCS</v>
      </c>
      <c r="AO731" s="134">
        <v>134</v>
      </c>
      <c r="AP731" s="135" t="s">
        <v>2143</v>
      </c>
      <c r="AQ731" s="135">
        <v>613688</v>
      </c>
      <c r="AR731" s="135" t="s">
        <v>1230</v>
      </c>
      <c r="AS731" s="136">
        <v>19.5444</v>
      </c>
      <c r="AU731" s="7" t="str">
        <f>VLOOKUP($AO731,Mapping!$E$11:$I$96,3,0)</f>
        <v>Metering Capex</v>
      </c>
      <c r="AV731" s="7" t="str">
        <f>VLOOKUP($AQ731,Mapping!$E$140:$K$2771,5,0)</f>
        <v>Materials</v>
      </c>
      <c r="AW731" s="7" t="str">
        <f>VLOOKUP($AQ731,Mapping!$E$140:$K$2771,7,0)</f>
        <v>ENDirect</v>
      </c>
      <c r="AX731" s="7" t="str">
        <f>IFERROR(HLOOKUP(AV731,'Calc|Weightings'!$K$5:$M$5,1,0),"Excl")</f>
        <v>Materials</v>
      </c>
      <c r="AY731" s="7" t="str">
        <f>VLOOKUP(AO731,Mapping!$E$11:$I$96,5,0)</f>
        <v>Metering Services</v>
      </c>
    </row>
    <row r="732" spans="1:51" x14ac:dyDescent="0.2">
      <c r="A732" s="7"/>
      <c r="B732" s="7"/>
      <c r="C732" s="7"/>
      <c r="D732" s="7"/>
      <c r="E732" s="36">
        <v>130</v>
      </c>
      <c r="F732" s="36" t="s">
        <v>2138</v>
      </c>
      <c r="G732" s="36">
        <v>638000</v>
      </c>
      <c r="H732" s="36" t="s">
        <v>1147</v>
      </c>
      <c r="I732" s="37">
        <v>11.843540000000001</v>
      </c>
      <c r="J732" s="7"/>
      <c r="K732" s="7" t="str">
        <f>VLOOKUP($E732,Mapping!$E$11:$I$96,3,0)</f>
        <v>Fee Based Opex</v>
      </c>
      <c r="L732" s="7" t="str">
        <f>VLOOKUP($G732,Mapping!$E$140:$K$2771,5,0)</f>
        <v>CHEDS AMI BAU MG</v>
      </c>
      <c r="M732" s="7" t="str">
        <f>VLOOKUP($G732,Mapping!$E$140:$K$2771,7,0)</f>
        <v>ENDirect</v>
      </c>
      <c r="N732" s="7" t="str">
        <f>IFERROR(HLOOKUP(L732,'Calc|Weightings'!$K$5:$M$5,1,0),"Excl")</f>
        <v>Excl</v>
      </c>
      <c r="O732" s="7" t="str">
        <f>VLOOKUP(E732,Mapping!$E$11:$I$96,5,0)</f>
        <v>Ancillary Network Services</v>
      </c>
      <c r="Q732" s="33">
        <v>131</v>
      </c>
      <c r="R732" s="33" t="s">
        <v>2139</v>
      </c>
      <c r="S732" s="33">
        <v>613390</v>
      </c>
      <c r="T732" s="33" t="s">
        <v>2141</v>
      </c>
      <c r="U732" s="34">
        <v>-539.91318999999999</v>
      </c>
      <c r="V732" s="7"/>
      <c r="W732" s="7" t="str">
        <f>VLOOKUP($Q732,Mapping!$E$11:$I$96,3,0)</f>
        <v>Replacement</v>
      </c>
      <c r="X732" s="7" t="str">
        <f>VLOOKUP($S732,Mapping!$E$140:$K$2771,5,0)</f>
        <v>Contracts</v>
      </c>
      <c r="Y732" s="7" t="str">
        <f>VLOOKUP($S732,Mapping!$E$140:$K$2771,7,0)</f>
        <v>ENDirect</v>
      </c>
      <c r="Z732" s="7" t="str">
        <f>IFERROR(HLOOKUP(X732,'Calc|Weightings'!$K$5:$M$5,1,0),"Excl")</f>
        <v>Contracts</v>
      </c>
      <c r="AA732" s="7" t="str">
        <f>VLOOKUP(Q732,Mapping!$E$11:$I$96,5,0)</f>
        <v>SCS</v>
      </c>
      <c r="AC732" s="111">
        <v>131</v>
      </c>
      <c r="AD732" s="111" t="s">
        <v>2139</v>
      </c>
      <c r="AE732" s="111">
        <v>531468</v>
      </c>
      <c r="AF732" s="111" t="s">
        <v>260</v>
      </c>
      <c r="AG732" s="112">
        <v>308.6103</v>
      </c>
      <c r="AI732" s="7" t="str">
        <f>VLOOKUP($AC732,Mapping!$E$11:$I$96,3,0)</f>
        <v>Replacement</v>
      </c>
      <c r="AJ732" s="7" t="str">
        <f>VLOOKUP($AE732,Mapping!$E$140:$K$2771,5,0)</f>
        <v>Contracts</v>
      </c>
      <c r="AK732" s="7" t="str">
        <f>VLOOKUP($AE732,Mapping!$E$140:$K$2771,7,0)</f>
        <v>ENDirect</v>
      </c>
      <c r="AL732" s="7" t="str">
        <f>IFERROR(HLOOKUP(AJ732,'Calc|Weightings'!$K$5:$M$5,1,0),"Excl")</f>
        <v>Contracts</v>
      </c>
      <c r="AM732" s="7" t="str">
        <f>VLOOKUP(AC732,Mapping!$E$11:$I$96,5,0)</f>
        <v>SCS</v>
      </c>
      <c r="AO732" s="134">
        <v>134</v>
      </c>
      <c r="AP732" s="135" t="s">
        <v>2143</v>
      </c>
      <c r="AQ732" s="135">
        <v>613689</v>
      </c>
      <c r="AR732" s="135" t="s">
        <v>1231</v>
      </c>
      <c r="AS732" s="136">
        <v>132.91874999999999</v>
      </c>
      <c r="AU732" s="7" t="str">
        <f>VLOOKUP($AO732,Mapping!$E$11:$I$96,3,0)</f>
        <v>Metering Capex</v>
      </c>
      <c r="AV732" s="7" t="str">
        <f>VLOOKUP($AQ732,Mapping!$E$140:$K$2771,5,0)</f>
        <v>Materials</v>
      </c>
      <c r="AW732" s="7" t="str">
        <f>VLOOKUP($AQ732,Mapping!$E$140:$K$2771,7,0)</f>
        <v>ENDirect</v>
      </c>
      <c r="AX732" s="7" t="str">
        <f>IFERROR(HLOOKUP(AV732,'Calc|Weightings'!$K$5:$M$5,1,0),"Excl")</f>
        <v>Materials</v>
      </c>
      <c r="AY732" s="7" t="str">
        <f>VLOOKUP(AO732,Mapping!$E$11:$I$96,5,0)</f>
        <v>Metering Services</v>
      </c>
    </row>
    <row r="733" spans="1:51" x14ac:dyDescent="0.2">
      <c r="A733" s="7"/>
      <c r="B733" s="7"/>
      <c r="C733" s="7"/>
      <c r="D733" s="7"/>
      <c r="E733" s="36">
        <v>130</v>
      </c>
      <c r="F733" s="36" t="s">
        <v>2138</v>
      </c>
      <c r="G733" s="36">
        <v>639050</v>
      </c>
      <c r="H733" s="36" t="s">
        <v>2113</v>
      </c>
      <c r="I733" s="37">
        <v>2.8816600000000001</v>
      </c>
      <c r="J733" s="7"/>
      <c r="K733" s="7" t="str">
        <f>VLOOKUP($E733,Mapping!$E$11:$I$96,3,0)</f>
        <v>Fee Based Opex</v>
      </c>
      <c r="L733" s="7" t="str">
        <f>VLOOKUP($G733,Mapping!$E$140:$K$2771,5,0)</f>
        <v>PNS Fleet &amp; Property OH</v>
      </c>
      <c r="M733" s="7" t="str">
        <f>VLOOKUP($G733,Mapping!$E$140:$K$2771,7,0)</f>
        <v>OH</v>
      </c>
      <c r="N733" s="7" t="str">
        <f>IFERROR(HLOOKUP(L733,'Calc|Weightings'!$K$5:$M$5,1,0),"Excl")</f>
        <v>Excl</v>
      </c>
      <c r="O733" s="7" t="str">
        <f>VLOOKUP(E733,Mapping!$E$11:$I$96,5,0)</f>
        <v>Ancillary Network Services</v>
      </c>
      <c r="Q733" s="33">
        <v>131</v>
      </c>
      <c r="R733" s="33" t="s">
        <v>2139</v>
      </c>
      <c r="S733" s="33">
        <v>613400</v>
      </c>
      <c r="T733" s="33" t="s">
        <v>2099</v>
      </c>
      <c r="U733" s="34">
        <v>803.06173000000001</v>
      </c>
      <c r="V733" s="7"/>
      <c r="W733" s="7" t="str">
        <f>VLOOKUP($Q733,Mapping!$E$11:$I$96,3,0)</f>
        <v>Replacement</v>
      </c>
      <c r="X733" s="7" t="str">
        <f>VLOOKUP($S733,Mapping!$E$140:$K$2771,5,0)</f>
        <v>Labour</v>
      </c>
      <c r="Y733" s="7" t="str">
        <f>VLOOKUP($S733,Mapping!$E$140:$K$2771,7,0)</f>
        <v>ENDirect</v>
      </c>
      <c r="Z733" s="7" t="str">
        <f>IFERROR(HLOOKUP(X733,'Calc|Weightings'!$K$5:$M$5,1,0),"Excl")</f>
        <v>Labour</v>
      </c>
      <c r="AA733" s="7" t="str">
        <f>VLOOKUP(Q733,Mapping!$E$11:$I$96,5,0)</f>
        <v>SCS</v>
      </c>
      <c r="AC733" s="111">
        <v>131</v>
      </c>
      <c r="AD733" s="111" t="s">
        <v>2139</v>
      </c>
      <c r="AE733" s="111">
        <v>531469</v>
      </c>
      <c r="AF733" s="111" t="s">
        <v>261</v>
      </c>
      <c r="AG733" s="112">
        <v>7.8174999999999999</v>
      </c>
      <c r="AI733" s="7" t="str">
        <f>VLOOKUP($AC733,Mapping!$E$11:$I$96,3,0)</f>
        <v>Replacement</v>
      </c>
      <c r="AJ733" s="7" t="str">
        <f>VLOOKUP($AE733,Mapping!$E$140:$K$2771,5,0)</f>
        <v>Labour</v>
      </c>
      <c r="AK733" s="7" t="str">
        <f>VLOOKUP($AE733,Mapping!$E$140:$K$2771,7,0)</f>
        <v>ENDirect</v>
      </c>
      <c r="AL733" s="7" t="str">
        <f>IFERROR(HLOOKUP(AJ733,'Calc|Weightings'!$K$5:$M$5,1,0),"Excl")</f>
        <v>Labour</v>
      </c>
      <c r="AM733" s="7" t="str">
        <f>VLOOKUP(AC733,Mapping!$E$11:$I$96,5,0)</f>
        <v>SCS</v>
      </c>
      <c r="AO733" s="134">
        <v>134</v>
      </c>
      <c r="AP733" s="135" t="s">
        <v>2143</v>
      </c>
      <c r="AQ733" s="135">
        <v>613690</v>
      </c>
      <c r="AR733" s="135" t="s">
        <v>1232</v>
      </c>
      <c r="AS733" s="136">
        <v>5.6295000000000002</v>
      </c>
      <c r="AU733" s="7" t="str">
        <f>VLOOKUP($AO733,Mapping!$E$11:$I$96,3,0)</f>
        <v>Metering Capex</v>
      </c>
      <c r="AV733" s="7" t="str">
        <f>VLOOKUP($AQ733,Mapping!$E$140:$K$2771,5,0)</f>
        <v>Materials</v>
      </c>
      <c r="AW733" s="7" t="str">
        <f>VLOOKUP($AQ733,Mapping!$E$140:$K$2771,7,0)</f>
        <v>ENDirect</v>
      </c>
      <c r="AX733" s="7" t="str">
        <f>IFERROR(HLOOKUP(AV733,'Calc|Weightings'!$K$5:$M$5,1,0),"Excl")</f>
        <v>Materials</v>
      </c>
      <c r="AY733" s="7" t="str">
        <f>VLOOKUP(AO733,Mapping!$E$11:$I$96,5,0)</f>
        <v>Metering Services</v>
      </c>
    </row>
    <row r="734" spans="1:51" x14ac:dyDescent="0.2">
      <c r="A734" s="7"/>
      <c r="B734" s="7"/>
      <c r="C734" s="7"/>
      <c r="D734" s="7"/>
      <c r="E734" s="36">
        <v>131</v>
      </c>
      <c r="F734" s="36" t="s">
        <v>2139</v>
      </c>
      <c r="G734" s="36">
        <v>500200</v>
      </c>
      <c r="H734" s="36" t="s">
        <v>136</v>
      </c>
      <c r="I734" s="37">
        <v>1.4789999999999999E-2</v>
      </c>
      <c r="J734" s="7"/>
      <c r="K734" s="7" t="str">
        <f>VLOOKUP($E734,Mapping!$E$11:$I$96,3,0)</f>
        <v>Replacement</v>
      </c>
      <c r="L734" s="7" t="str">
        <f>VLOOKUP($G734,Mapping!$E$140:$K$2771,5,0)</f>
        <v>Labour</v>
      </c>
      <c r="M734" s="7" t="str">
        <f>VLOOKUP($G734,Mapping!$E$140:$K$2771,7,0)</f>
        <v>ENDirect</v>
      </c>
      <c r="N734" s="7" t="str">
        <f>IFERROR(HLOOKUP(L734,'Calc|Weightings'!$K$5:$M$5,1,0),"Excl")</f>
        <v>Labour</v>
      </c>
      <c r="O734" s="7" t="str">
        <f>VLOOKUP(E734,Mapping!$E$11:$I$96,5,0)</f>
        <v>SCS</v>
      </c>
      <c r="Q734" s="33">
        <v>131</v>
      </c>
      <c r="R734" s="33" t="s">
        <v>2139</v>
      </c>
      <c r="S734" s="33">
        <v>613401</v>
      </c>
      <c r="T734" s="33" t="s">
        <v>2117</v>
      </c>
      <c r="U734" s="34">
        <v>32.444560000000003</v>
      </c>
      <c r="V734" s="7"/>
      <c r="W734" s="7" t="str">
        <f>VLOOKUP($Q734,Mapping!$E$11:$I$96,3,0)</f>
        <v>Replacement</v>
      </c>
      <c r="X734" s="7" t="str">
        <f>VLOOKUP($S734,Mapping!$E$140:$K$2771,5,0)</f>
        <v>Labour</v>
      </c>
      <c r="Y734" s="7" t="str">
        <f>VLOOKUP($S734,Mapping!$E$140:$K$2771,7,0)</f>
        <v>ENDirect</v>
      </c>
      <c r="Z734" s="7" t="str">
        <f>IFERROR(HLOOKUP(X734,'Calc|Weightings'!$K$5:$M$5,1,0),"Excl")</f>
        <v>Labour</v>
      </c>
      <c r="AA734" s="7" t="str">
        <f>VLOOKUP(Q734,Mapping!$E$11:$I$96,5,0)</f>
        <v>SCS</v>
      </c>
      <c r="AC734" s="111">
        <v>131</v>
      </c>
      <c r="AD734" s="111" t="s">
        <v>2139</v>
      </c>
      <c r="AE734" s="111">
        <v>532100</v>
      </c>
      <c r="AF734" s="111" t="s">
        <v>286</v>
      </c>
      <c r="AG734" s="112">
        <v>0.38900000000000001</v>
      </c>
      <c r="AI734" s="7" t="str">
        <f>VLOOKUP($AC734,Mapping!$E$11:$I$96,3,0)</f>
        <v>Replacement</v>
      </c>
      <c r="AJ734" s="7" t="str">
        <f>VLOOKUP($AE734,Mapping!$E$140:$K$2771,5,0)</f>
        <v>Contracts</v>
      </c>
      <c r="AK734" s="7" t="str">
        <f>VLOOKUP($AE734,Mapping!$E$140:$K$2771,7,0)</f>
        <v>ENDirect</v>
      </c>
      <c r="AL734" s="7" t="str">
        <f>IFERROR(HLOOKUP(AJ734,'Calc|Weightings'!$K$5:$M$5,1,0),"Excl")</f>
        <v>Contracts</v>
      </c>
      <c r="AM734" s="7" t="str">
        <f>VLOOKUP(AC734,Mapping!$E$11:$I$96,5,0)</f>
        <v>SCS</v>
      </c>
      <c r="AO734" s="134">
        <v>134</v>
      </c>
      <c r="AP734" s="135" t="s">
        <v>2143</v>
      </c>
      <c r="AQ734" s="135">
        <v>613691</v>
      </c>
      <c r="AR734" s="135" t="s">
        <v>1233</v>
      </c>
      <c r="AS734" s="136">
        <v>4.7342700000000004</v>
      </c>
      <c r="AU734" s="7" t="str">
        <f>VLOOKUP($AO734,Mapping!$E$11:$I$96,3,0)</f>
        <v>Metering Capex</v>
      </c>
      <c r="AV734" s="7" t="str">
        <f>VLOOKUP($AQ734,Mapping!$E$140:$K$2771,5,0)</f>
        <v>Materials</v>
      </c>
      <c r="AW734" s="7" t="str">
        <f>VLOOKUP($AQ734,Mapping!$E$140:$K$2771,7,0)</f>
        <v>ENDirect</v>
      </c>
      <c r="AX734" s="7" t="str">
        <f>IFERROR(HLOOKUP(AV734,'Calc|Weightings'!$K$5:$M$5,1,0),"Excl")</f>
        <v>Materials</v>
      </c>
      <c r="AY734" s="7" t="str">
        <f>VLOOKUP(AO734,Mapping!$E$11:$I$96,5,0)</f>
        <v>Metering Services</v>
      </c>
    </row>
    <row r="735" spans="1:51" x14ac:dyDescent="0.2">
      <c r="A735" s="7"/>
      <c r="B735" s="7"/>
      <c r="C735" s="7"/>
      <c r="D735" s="7"/>
      <c r="E735" s="36">
        <v>131</v>
      </c>
      <c r="F735" s="36" t="s">
        <v>2139</v>
      </c>
      <c r="G735" s="36">
        <v>520100</v>
      </c>
      <c r="H735" s="36" t="s">
        <v>2072</v>
      </c>
      <c r="I735" s="37">
        <v>325.10480999999999</v>
      </c>
      <c r="J735" s="7"/>
      <c r="K735" s="7" t="str">
        <f>VLOOKUP($E735,Mapping!$E$11:$I$96,3,0)</f>
        <v>Replacement</v>
      </c>
      <c r="L735" s="7" t="str">
        <f>VLOOKUP($G735,Mapping!$E$140:$K$2771,5,0)</f>
        <v>Materials</v>
      </c>
      <c r="M735" s="7" t="str">
        <f>VLOOKUP($G735,Mapping!$E$140:$K$2771,7,0)</f>
        <v>ENDirect</v>
      </c>
      <c r="N735" s="7" t="str">
        <f>IFERROR(HLOOKUP(L735,'Calc|Weightings'!$K$5:$M$5,1,0),"Excl")</f>
        <v>Materials</v>
      </c>
      <c r="O735" s="7" t="str">
        <f>VLOOKUP(E735,Mapping!$E$11:$I$96,5,0)</f>
        <v>SCS</v>
      </c>
      <c r="Q735" s="33">
        <v>131</v>
      </c>
      <c r="R735" s="33" t="s">
        <v>2139</v>
      </c>
      <c r="S735" s="33">
        <v>613410</v>
      </c>
      <c r="T735" s="33" t="s">
        <v>2100</v>
      </c>
      <c r="U735" s="34">
        <v>1263.1822299999999</v>
      </c>
      <c r="V735" s="7"/>
      <c r="W735" s="7" t="str">
        <f>VLOOKUP($Q735,Mapping!$E$11:$I$96,3,0)</f>
        <v>Replacement</v>
      </c>
      <c r="X735" s="7" t="str">
        <f>VLOOKUP($S735,Mapping!$E$140:$K$2771,5,0)</f>
        <v>Labour</v>
      </c>
      <c r="Y735" s="7" t="str">
        <f>VLOOKUP($S735,Mapping!$E$140:$K$2771,7,0)</f>
        <v>ENDirect</v>
      </c>
      <c r="Z735" s="7" t="str">
        <f>IFERROR(HLOOKUP(X735,'Calc|Weightings'!$K$5:$M$5,1,0),"Excl")</f>
        <v>Labour</v>
      </c>
      <c r="AA735" s="7" t="str">
        <f>VLOOKUP(Q735,Mapping!$E$11:$I$96,5,0)</f>
        <v>SCS</v>
      </c>
      <c r="AC735" s="111">
        <v>131</v>
      </c>
      <c r="AD735" s="111" t="s">
        <v>2139</v>
      </c>
      <c r="AE735" s="111">
        <v>532200</v>
      </c>
      <c r="AF735" s="111" t="s">
        <v>291</v>
      </c>
      <c r="AG735" s="112">
        <v>11.7125</v>
      </c>
      <c r="AI735" s="7" t="str">
        <f>VLOOKUP($AC735,Mapping!$E$11:$I$96,3,0)</f>
        <v>Replacement</v>
      </c>
      <c r="AJ735" s="7" t="str">
        <f>VLOOKUP($AE735,Mapping!$E$140:$K$2771,5,0)</f>
        <v>Contracts</v>
      </c>
      <c r="AK735" s="7" t="str">
        <f>VLOOKUP($AE735,Mapping!$E$140:$K$2771,7,0)</f>
        <v>ENDirect</v>
      </c>
      <c r="AL735" s="7" t="str">
        <f>IFERROR(HLOOKUP(AJ735,'Calc|Weightings'!$K$5:$M$5,1,0),"Excl")</f>
        <v>Contracts</v>
      </c>
      <c r="AM735" s="7" t="str">
        <f>VLOOKUP(AC735,Mapping!$E$11:$I$96,5,0)</f>
        <v>SCS</v>
      </c>
      <c r="AO735" s="134">
        <v>134</v>
      </c>
      <c r="AP735" s="135" t="s">
        <v>2143</v>
      </c>
      <c r="AQ735" s="135">
        <v>613773</v>
      </c>
      <c r="AR735" s="135" t="s">
        <v>1576</v>
      </c>
      <c r="AS735" s="136">
        <v>19.5444</v>
      </c>
      <c r="AU735" s="7" t="str">
        <f>VLOOKUP($AO735,Mapping!$E$11:$I$96,3,0)</f>
        <v>Metering Capex</v>
      </c>
      <c r="AV735" s="7" t="str">
        <f>VLOOKUP($AQ735,Mapping!$E$140:$K$2771,5,0)</f>
        <v>Materials</v>
      </c>
      <c r="AW735" s="7" t="str">
        <f>VLOOKUP($AQ735,Mapping!$E$140:$K$2771,7,0)</f>
        <v>ENDirect</v>
      </c>
      <c r="AX735" s="7" t="str">
        <f>IFERROR(HLOOKUP(AV735,'Calc|Weightings'!$K$5:$M$5,1,0),"Excl")</f>
        <v>Materials</v>
      </c>
      <c r="AY735" s="7" t="str">
        <f>VLOOKUP(AO735,Mapping!$E$11:$I$96,5,0)</f>
        <v>Metering Services</v>
      </c>
    </row>
    <row r="736" spans="1:51" x14ac:dyDescent="0.2">
      <c r="A736" s="7"/>
      <c r="B736" s="7"/>
      <c r="C736" s="7"/>
      <c r="D736" s="7"/>
      <c r="E736" s="36">
        <v>131</v>
      </c>
      <c r="F736" s="36" t="s">
        <v>2139</v>
      </c>
      <c r="G736" s="36">
        <v>520200</v>
      </c>
      <c r="H736" s="36" t="s">
        <v>2073</v>
      </c>
      <c r="I736" s="37">
        <v>2.31</v>
      </c>
      <c r="J736" s="7"/>
      <c r="K736" s="7" t="str">
        <f>VLOOKUP($E736,Mapping!$E$11:$I$96,3,0)</f>
        <v>Replacement</v>
      </c>
      <c r="L736" s="7" t="str">
        <f>VLOOKUP($G736,Mapping!$E$140:$K$2771,5,0)</f>
        <v>Materials</v>
      </c>
      <c r="M736" s="7" t="str">
        <f>VLOOKUP($G736,Mapping!$E$140:$K$2771,7,0)</f>
        <v>ENDirect</v>
      </c>
      <c r="N736" s="7" t="str">
        <f>IFERROR(HLOOKUP(L736,'Calc|Weightings'!$K$5:$M$5,1,0),"Excl")</f>
        <v>Materials</v>
      </c>
      <c r="O736" s="7" t="str">
        <f>VLOOKUP(E736,Mapping!$E$11:$I$96,5,0)</f>
        <v>SCS</v>
      </c>
      <c r="Q736" s="33">
        <v>131</v>
      </c>
      <c r="R736" s="33" t="s">
        <v>2139</v>
      </c>
      <c r="S736" s="33">
        <v>613411</v>
      </c>
      <c r="T736" s="33" t="s">
        <v>2101</v>
      </c>
      <c r="U736" s="34">
        <v>39.164009999999998</v>
      </c>
      <c r="V736" s="7"/>
      <c r="W736" s="7" t="str">
        <f>VLOOKUP($Q736,Mapping!$E$11:$I$96,3,0)</f>
        <v>Replacement</v>
      </c>
      <c r="X736" s="7" t="str">
        <f>VLOOKUP($S736,Mapping!$E$140:$K$2771,5,0)</f>
        <v>Labour</v>
      </c>
      <c r="Y736" s="7" t="str">
        <f>VLOOKUP($S736,Mapping!$E$140:$K$2771,7,0)</f>
        <v>ENDirect</v>
      </c>
      <c r="Z736" s="7" t="str">
        <f>IFERROR(HLOOKUP(X736,'Calc|Weightings'!$K$5:$M$5,1,0),"Excl")</f>
        <v>Labour</v>
      </c>
      <c r="AA736" s="7" t="str">
        <f>VLOOKUP(Q736,Mapping!$E$11:$I$96,5,0)</f>
        <v>SCS</v>
      </c>
      <c r="AC736" s="111">
        <v>131</v>
      </c>
      <c r="AD736" s="111" t="s">
        <v>2139</v>
      </c>
      <c r="AE736" s="111">
        <v>582301</v>
      </c>
      <c r="AF736" s="111" t="s">
        <v>382</v>
      </c>
      <c r="AG736" s="112">
        <v>4.3360000000000003</v>
      </c>
      <c r="AI736" s="7" t="str">
        <f>VLOOKUP($AC736,Mapping!$E$11:$I$96,3,0)</f>
        <v>Replacement</v>
      </c>
      <c r="AJ736" s="7" t="str">
        <f>VLOOKUP($AE736,Mapping!$E$140:$K$2771,5,0)</f>
        <v>Contracts</v>
      </c>
      <c r="AK736" s="7" t="str">
        <f>VLOOKUP($AE736,Mapping!$E$140:$K$2771,7,0)</f>
        <v>ENDirect</v>
      </c>
      <c r="AL736" s="7" t="str">
        <f>IFERROR(HLOOKUP(AJ736,'Calc|Weightings'!$K$5:$M$5,1,0),"Excl")</f>
        <v>Contracts</v>
      </c>
      <c r="AM736" s="7" t="str">
        <f>VLOOKUP(AC736,Mapping!$E$11:$I$96,5,0)</f>
        <v>SCS</v>
      </c>
      <c r="AO736" s="134">
        <v>134</v>
      </c>
      <c r="AP736" s="135" t="s">
        <v>2143</v>
      </c>
      <c r="AQ736" s="135">
        <v>613774</v>
      </c>
      <c r="AR736" s="135" t="s">
        <v>1577</v>
      </c>
      <c r="AS736" s="136">
        <v>2.7233999999999998</v>
      </c>
      <c r="AU736" s="7" t="str">
        <f>VLOOKUP($AO736,Mapping!$E$11:$I$96,3,0)</f>
        <v>Metering Capex</v>
      </c>
      <c r="AV736" s="7" t="str">
        <f>VLOOKUP($AQ736,Mapping!$E$140:$K$2771,5,0)</f>
        <v>Materials</v>
      </c>
      <c r="AW736" s="7" t="str">
        <f>VLOOKUP($AQ736,Mapping!$E$140:$K$2771,7,0)</f>
        <v>ENDirect</v>
      </c>
      <c r="AX736" s="7" t="str">
        <f>IFERROR(HLOOKUP(AV736,'Calc|Weightings'!$K$5:$M$5,1,0),"Excl")</f>
        <v>Materials</v>
      </c>
      <c r="AY736" s="7" t="str">
        <f>VLOOKUP(AO736,Mapping!$E$11:$I$96,5,0)</f>
        <v>Metering Services</v>
      </c>
    </row>
    <row r="737" spans="1:51" x14ac:dyDescent="0.2">
      <c r="A737" s="7"/>
      <c r="B737" s="7"/>
      <c r="C737" s="7"/>
      <c r="D737" s="7"/>
      <c r="E737" s="36">
        <v>131</v>
      </c>
      <c r="F737" s="36" t="s">
        <v>2139</v>
      </c>
      <c r="G737" s="36">
        <v>523100</v>
      </c>
      <c r="H737" s="36" t="s">
        <v>2074</v>
      </c>
      <c r="I737" s="37">
        <v>2.0264199999999999</v>
      </c>
      <c r="J737" s="7"/>
      <c r="K737" s="7" t="str">
        <f>VLOOKUP($E737,Mapping!$E$11:$I$96,3,0)</f>
        <v>Replacement</v>
      </c>
      <c r="L737" s="7" t="str">
        <f>VLOOKUP($G737,Mapping!$E$140:$K$2771,5,0)</f>
        <v>Materials</v>
      </c>
      <c r="M737" s="7" t="str">
        <f>VLOOKUP($G737,Mapping!$E$140:$K$2771,7,0)</f>
        <v>ENDirect</v>
      </c>
      <c r="N737" s="7" t="str">
        <f>IFERROR(HLOOKUP(L737,'Calc|Weightings'!$K$5:$M$5,1,0),"Excl")</f>
        <v>Materials</v>
      </c>
      <c r="O737" s="7" t="str">
        <f>VLOOKUP(E737,Mapping!$E$11:$I$96,5,0)</f>
        <v>SCS</v>
      </c>
      <c r="Q737" s="33">
        <v>131</v>
      </c>
      <c r="R737" s="33" t="s">
        <v>2139</v>
      </c>
      <c r="S737" s="33">
        <v>613434</v>
      </c>
      <c r="T737" s="33" t="s">
        <v>2102</v>
      </c>
      <c r="U737" s="34">
        <v>2.31955</v>
      </c>
      <c r="V737" s="7"/>
      <c r="W737" s="7" t="str">
        <f>VLOOKUP($Q737,Mapping!$E$11:$I$96,3,0)</f>
        <v>Replacement</v>
      </c>
      <c r="X737" s="7" t="str">
        <f>VLOOKUP($S737,Mapping!$E$140:$K$2771,5,0)</f>
        <v>Labour</v>
      </c>
      <c r="Y737" s="7" t="str">
        <f>VLOOKUP($S737,Mapping!$E$140:$K$2771,7,0)</f>
        <v>ENDirect</v>
      </c>
      <c r="Z737" s="7" t="str">
        <f>IFERROR(HLOOKUP(X737,'Calc|Weightings'!$K$5:$M$5,1,0),"Excl")</f>
        <v>Labour</v>
      </c>
      <c r="AA737" s="7" t="str">
        <f>VLOOKUP(Q737,Mapping!$E$11:$I$96,5,0)</f>
        <v>SCS</v>
      </c>
      <c r="AC737" s="111">
        <v>131</v>
      </c>
      <c r="AD737" s="111" t="s">
        <v>2139</v>
      </c>
      <c r="AE737" s="111">
        <v>591200</v>
      </c>
      <c r="AF737" s="111" t="s">
        <v>398</v>
      </c>
      <c r="AG737" s="112">
        <v>2.6119300000000001</v>
      </c>
      <c r="AI737" s="7" t="str">
        <f>VLOOKUP($AC737,Mapping!$E$11:$I$96,3,0)</f>
        <v>Replacement</v>
      </c>
      <c r="AJ737" s="7" t="str">
        <f>VLOOKUP($AE737,Mapping!$E$140:$K$2771,5,0)</f>
        <v>Contracts</v>
      </c>
      <c r="AK737" s="7" t="str">
        <f>VLOOKUP($AE737,Mapping!$E$140:$K$2771,7,0)</f>
        <v>ENDirect</v>
      </c>
      <c r="AL737" s="7" t="str">
        <f>IFERROR(HLOOKUP(AJ737,'Calc|Weightings'!$K$5:$M$5,1,0),"Excl")</f>
        <v>Contracts</v>
      </c>
      <c r="AM737" s="7" t="str">
        <f>VLOOKUP(AC737,Mapping!$E$11:$I$96,5,0)</f>
        <v>SCS</v>
      </c>
      <c r="AO737" s="134">
        <v>134</v>
      </c>
      <c r="AP737" s="135" t="s">
        <v>2143</v>
      </c>
      <c r="AQ737" s="135">
        <v>613775</v>
      </c>
      <c r="AR737" s="135" t="s">
        <v>1578</v>
      </c>
      <c r="AS737" s="136">
        <v>1.2816000000000001</v>
      </c>
      <c r="AU737" s="7" t="str">
        <f>VLOOKUP($AO737,Mapping!$E$11:$I$96,3,0)</f>
        <v>Metering Capex</v>
      </c>
      <c r="AV737" s="7" t="str">
        <f>VLOOKUP($AQ737,Mapping!$E$140:$K$2771,5,0)</f>
        <v>Materials</v>
      </c>
      <c r="AW737" s="7" t="str">
        <f>VLOOKUP($AQ737,Mapping!$E$140:$K$2771,7,0)</f>
        <v>ENDirect</v>
      </c>
      <c r="AX737" s="7" t="str">
        <f>IFERROR(HLOOKUP(AV737,'Calc|Weightings'!$K$5:$M$5,1,0),"Excl")</f>
        <v>Materials</v>
      </c>
      <c r="AY737" s="7" t="str">
        <f>VLOOKUP(AO737,Mapping!$E$11:$I$96,5,0)</f>
        <v>Metering Services</v>
      </c>
    </row>
    <row r="738" spans="1:51" x14ac:dyDescent="0.2">
      <c r="A738" s="7"/>
      <c r="B738" s="7"/>
      <c r="C738" s="7"/>
      <c r="D738" s="7"/>
      <c r="E738" s="36">
        <v>131</v>
      </c>
      <c r="F738" s="36" t="s">
        <v>2139</v>
      </c>
      <c r="G738" s="36">
        <v>523300</v>
      </c>
      <c r="H738" s="36" t="s">
        <v>2075</v>
      </c>
      <c r="I738" s="37">
        <v>9.6369999999999997E-2</v>
      </c>
      <c r="J738" s="7"/>
      <c r="K738" s="7" t="str">
        <f>VLOOKUP($E738,Mapping!$E$11:$I$96,3,0)</f>
        <v>Replacement</v>
      </c>
      <c r="L738" s="7" t="str">
        <f>VLOOKUP($G738,Mapping!$E$140:$K$2771,5,0)</f>
        <v>Materials</v>
      </c>
      <c r="M738" s="7" t="str">
        <f>VLOOKUP($G738,Mapping!$E$140:$K$2771,7,0)</f>
        <v>ENDirect</v>
      </c>
      <c r="N738" s="7" t="str">
        <f>IFERROR(HLOOKUP(L738,'Calc|Weightings'!$K$5:$M$5,1,0),"Excl")</f>
        <v>Materials</v>
      </c>
      <c r="O738" s="7" t="str">
        <f>VLOOKUP(E738,Mapping!$E$11:$I$96,5,0)</f>
        <v>SCS</v>
      </c>
      <c r="Q738" s="33">
        <v>131</v>
      </c>
      <c r="R738" s="33" t="s">
        <v>2139</v>
      </c>
      <c r="S738" s="33">
        <v>613440</v>
      </c>
      <c r="T738" s="33" t="s">
        <v>2103</v>
      </c>
      <c r="U738" s="34">
        <v>4.1906800000000004</v>
      </c>
      <c r="V738" s="7"/>
      <c r="W738" s="7" t="str">
        <f>VLOOKUP($Q738,Mapping!$E$11:$I$96,3,0)</f>
        <v>Replacement</v>
      </c>
      <c r="X738" s="7" t="str">
        <f>VLOOKUP($S738,Mapping!$E$140:$K$2771,5,0)</f>
        <v>Labour</v>
      </c>
      <c r="Y738" s="7" t="str">
        <f>VLOOKUP($S738,Mapping!$E$140:$K$2771,7,0)</f>
        <v>ENDirect</v>
      </c>
      <c r="Z738" s="7" t="str">
        <f>IFERROR(HLOOKUP(X738,'Calc|Weightings'!$K$5:$M$5,1,0),"Excl")</f>
        <v>Labour</v>
      </c>
      <c r="AA738" s="7" t="str">
        <f>VLOOKUP(Q738,Mapping!$E$11:$I$96,5,0)</f>
        <v>SCS</v>
      </c>
      <c r="AC738" s="111">
        <v>131</v>
      </c>
      <c r="AD738" s="111" t="s">
        <v>2139</v>
      </c>
      <c r="AE738" s="111">
        <v>591997</v>
      </c>
      <c r="AF738" s="111" t="s">
        <v>2194</v>
      </c>
      <c r="AG738" s="112">
        <v>-1.70709</v>
      </c>
      <c r="AI738" s="7" t="str">
        <f>VLOOKUP($AC738,Mapping!$E$11:$I$96,3,0)</f>
        <v>Replacement</v>
      </c>
      <c r="AJ738" s="7" t="str">
        <f>VLOOKUP($AE738,Mapping!$E$140:$K$2771,5,0)</f>
        <v>Contracts</v>
      </c>
      <c r="AK738" s="7" t="str">
        <f>VLOOKUP($AE738,Mapping!$E$140:$K$2771,7,0)</f>
        <v>ENDirect</v>
      </c>
      <c r="AL738" s="7" t="str">
        <f>IFERROR(HLOOKUP(AJ738,'Calc|Weightings'!$K$5:$M$5,1,0),"Excl")</f>
        <v>Contracts</v>
      </c>
      <c r="AM738" s="7" t="str">
        <f>VLOOKUP(AC738,Mapping!$E$11:$I$96,5,0)</f>
        <v>SCS</v>
      </c>
      <c r="AO738" s="134">
        <v>134</v>
      </c>
      <c r="AP738" s="135" t="s">
        <v>2143</v>
      </c>
      <c r="AQ738" s="135">
        <v>613776</v>
      </c>
      <c r="AR738" s="135" t="s">
        <v>1579</v>
      </c>
      <c r="AS738" s="136">
        <v>23.1435</v>
      </c>
      <c r="AU738" s="7" t="str">
        <f>VLOOKUP($AO738,Mapping!$E$11:$I$96,3,0)</f>
        <v>Metering Capex</v>
      </c>
      <c r="AV738" s="7" t="str">
        <f>VLOOKUP($AQ738,Mapping!$E$140:$K$2771,5,0)</f>
        <v>Materials</v>
      </c>
      <c r="AW738" s="7" t="str">
        <f>VLOOKUP($AQ738,Mapping!$E$140:$K$2771,7,0)</f>
        <v>ENDirect</v>
      </c>
      <c r="AX738" s="7" t="str">
        <f>IFERROR(HLOOKUP(AV738,'Calc|Weightings'!$K$5:$M$5,1,0),"Excl")</f>
        <v>Materials</v>
      </c>
      <c r="AY738" s="7" t="str">
        <f>VLOOKUP(AO738,Mapping!$E$11:$I$96,5,0)</f>
        <v>Metering Services</v>
      </c>
    </row>
    <row r="739" spans="1:51" x14ac:dyDescent="0.2">
      <c r="A739" s="7"/>
      <c r="B739" s="7"/>
      <c r="C739" s="7"/>
      <c r="D739" s="7"/>
      <c r="E739" s="36">
        <v>131</v>
      </c>
      <c r="F739" s="36" t="s">
        <v>2139</v>
      </c>
      <c r="G739" s="36">
        <v>531035</v>
      </c>
      <c r="H739" s="36" t="s">
        <v>244</v>
      </c>
      <c r="I739" s="37">
        <v>2.6997300000000002</v>
      </c>
      <c r="J739" s="7"/>
      <c r="K739" s="7" t="str">
        <f>VLOOKUP($E739,Mapping!$E$11:$I$96,3,0)</f>
        <v>Replacement</v>
      </c>
      <c r="L739" s="7" t="str">
        <f>VLOOKUP($G739,Mapping!$E$140:$K$2771,5,0)</f>
        <v>Labour</v>
      </c>
      <c r="M739" s="7" t="str">
        <f>VLOOKUP($G739,Mapping!$E$140:$K$2771,7,0)</f>
        <v>ENDirect</v>
      </c>
      <c r="N739" s="7" t="str">
        <f>IFERROR(HLOOKUP(L739,'Calc|Weightings'!$K$5:$M$5,1,0),"Excl")</f>
        <v>Labour</v>
      </c>
      <c r="O739" s="7" t="str">
        <f>VLOOKUP(E739,Mapping!$E$11:$I$96,5,0)</f>
        <v>SCS</v>
      </c>
      <c r="Q739" s="33">
        <v>131</v>
      </c>
      <c r="R739" s="33" t="s">
        <v>2139</v>
      </c>
      <c r="S739" s="33">
        <v>613441</v>
      </c>
      <c r="T739" s="33" t="s">
        <v>2104</v>
      </c>
      <c r="U739" s="34">
        <v>0.35263</v>
      </c>
      <c r="V739" s="7"/>
      <c r="W739" s="7" t="str">
        <f>VLOOKUP($Q739,Mapping!$E$11:$I$96,3,0)</f>
        <v>Replacement</v>
      </c>
      <c r="X739" s="7" t="str">
        <f>VLOOKUP($S739,Mapping!$E$140:$K$2771,5,0)</f>
        <v>Labour</v>
      </c>
      <c r="Y739" s="7" t="str">
        <f>VLOOKUP($S739,Mapping!$E$140:$K$2771,7,0)</f>
        <v>ENDirect</v>
      </c>
      <c r="Z739" s="7" t="str">
        <f>IFERROR(HLOOKUP(X739,'Calc|Weightings'!$K$5:$M$5,1,0),"Excl")</f>
        <v>Labour</v>
      </c>
      <c r="AA739" s="7" t="str">
        <f>VLOOKUP(Q739,Mapping!$E$11:$I$96,5,0)</f>
        <v>SCS</v>
      </c>
      <c r="AC739" s="111">
        <v>131</v>
      </c>
      <c r="AD739" s="111" t="s">
        <v>2139</v>
      </c>
      <c r="AE739" s="111">
        <v>591999</v>
      </c>
      <c r="AF739" s="111" t="s">
        <v>2195</v>
      </c>
      <c r="AG739" s="112">
        <v>74.856930000000006</v>
      </c>
      <c r="AI739" s="7" t="str">
        <f>VLOOKUP($AC739,Mapping!$E$11:$I$96,3,0)</f>
        <v>Replacement</v>
      </c>
      <c r="AJ739" s="7" t="str">
        <f>VLOOKUP($AE739,Mapping!$E$140:$K$2771,5,0)</f>
        <v>Contracts</v>
      </c>
      <c r="AK739" s="7" t="str">
        <f>VLOOKUP($AE739,Mapping!$E$140:$K$2771,7,0)</f>
        <v>ENDirect</v>
      </c>
      <c r="AL739" s="7" t="str">
        <f>IFERROR(HLOOKUP(AJ739,'Calc|Weightings'!$K$5:$M$5,1,0),"Excl")</f>
        <v>Contracts</v>
      </c>
      <c r="AM739" s="7" t="str">
        <f>VLOOKUP(AC739,Mapping!$E$11:$I$96,5,0)</f>
        <v>SCS</v>
      </c>
      <c r="AO739" s="134">
        <v>134</v>
      </c>
      <c r="AP739" s="135" t="s">
        <v>2143</v>
      </c>
      <c r="AQ739" s="135">
        <v>613779</v>
      </c>
      <c r="AR739" s="135" t="s">
        <v>1581</v>
      </c>
      <c r="AS739" s="136">
        <v>29.983709999999999</v>
      </c>
      <c r="AU739" s="7" t="str">
        <f>VLOOKUP($AO739,Mapping!$E$11:$I$96,3,0)</f>
        <v>Metering Capex</v>
      </c>
      <c r="AV739" s="7" t="str">
        <f>VLOOKUP($AQ739,Mapping!$E$140:$K$2771,5,0)</f>
        <v>Materials</v>
      </c>
      <c r="AW739" s="7" t="str">
        <f>VLOOKUP($AQ739,Mapping!$E$140:$K$2771,7,0)</f>
        <v>ENDirect</v>
      </c>
      <c r="AX739" s="7" t="str">
        <f>IFERROR(HLOOKUP(AV739,'Calc|Weightings'!$K$5:$M$5,1,0),"Excl")</f>
        <v>Materials</v>
      </c>
      <c r="AY739" s="7" t="str">
        <f>VLOOKUP(AO739,Mapping!$E$11:$I$96,5,0)</f>
        <v>Metering Services</v>
      </c>
    </row>
    <row r="740" spans="1:51" x14ac:dyDescent="0.2">
      <c r="A740" s="7"/>
      <c r="B740" s="7"/>
      <c r="C740" s="7"/>
      <c r="D740" s="7"/>
      <c r="E740" s="36">
        <v>131</v>
      </c>
      <c r="F740" s="36" t="s">
        <v>2139</v>
      </c>
      <c r="G740" s="36">
        <v>531200</v>
      </c>
      <c r="H740" s="36" t="s">
        <v>250</v>
      </c>
      <c r="I740" s="37">
        <v>-32.316049999999997</v>
      </c>
      <c r="J740" s="7"/>
      <c r="K740" s="7" t="str">
        <f>VLOOKUP($E740,Mapping!$E$11:$I$96,3,0)</f>
        <v>Replacement</v>
      </c>
      <c r="L740" s="7" t="str">
        <f>VLOOKUP($G740,Mapping!$E$140:$K$2771,5,0)</f>
        <v>Contracts</v>
      </c>
      <c r="M740" s="7" t="str">
        <f>VLOOKUP($G740,Mapping!$E$140:$K$2771,7,0)</f>
        <v>ENDirect</v>
      </c>
      <c r="N740" s="7" t="str">
        <f>IFERROR(HLOOKUP(L740,'Calc|Weightings'!$K$5:$M$5,1,0),"Excl")</f>
        <v>Contracts</v>
      </c>
      <c r="O740" s="7" t="str">
        <f>VLOOKUP(E740,Mapping!$E$11:$I$96,5,0)</f>
        <v>SCS</v>
      </c>
      <c r="Q740" s="33">
        <v>131</v>
      </c>
      <c r="R740" s="33" t="s">
        <v>2139</v>
      </c>
      <c r="S740" s="33">
        <v>613448</v>
      </c>
      <c r="T740" s="33" t="s">
        <v>2105</v>
      </c>
      <c r="U740" s="34">
        <v>3.2086000000000001</v>
      </c>
      <c r="V740" s="7"/>
      <c r="W740" s="7" t="str">
        <f>VLOOKUP($Q740,Mapping!$E$11:$I$96,3,0)</f>
        <v>Replacement</v>
      </c>
      <c r="X740" s="7" t="str">
        <f>VLOOKUP($S740,Mapping!$E$140:$K$2771,5,0)</f>
        <v>Labour</v>
      </c>
      <c r="Y740" s="7" t="str">
        <f>VLOOKUP($S740,Mapping!$E$140:$K$2771,7,0)</f>
        <v>ENDirect</v>
      </c>
      <c r="Z740" s="7" t="str">
        <f>IFERROR(HLOOKUP(X740,'Calc|Weightings'!$K$5:$M$5,1,0),"Excl")</f>
        <v>Labour</v>
      </c>
      <c r="AA740" s="7" t="str">
        <f>VLOOKUP(Q740,Mapping!$E$11:$I$96,5,0)</f>
        <v>SCS</v>
      </c>
      <c r="AC740" s="111">
        <v>131</v>
      </c>
      <c r="AD740" s="111" t="s">
        <v>2139</v>
      </c>
      <c r="AE740" s="111">
        <v>611860</v>
      </c>
      <c r="AF740" s="111" t="s">
        <v>2125</v>
      </c>
      <c r="AG740" s="112">
        <v>-837.00809000000004</v>
      </c>
      <c r="AI740" s="7" t="str">
        <f>VLOOKUP($AC740,Mapping!$E$11:$I$96,3,0)</f>
        <v>Replacement</v>
      </c>
      <c r="AJ740" s="7" t="str">
        <f>VLOOKUP($AE740,Mapping!$E$140:$K$2771,5,0)</f>
        <v>Labour</v>
      </c>
      <c r="AK740" s="7" t="str">
        <f>VLOOKUP($AE740,Mapping!$E$140:$K$2771,7,0)</f>
        <v>ENDirect</v>
      </c>
      <c r="AL740" s="7" t="str">
        <f>IFERROR(HLOOKUP(AJ740,'Calc|Weightings'!$K$5:$M$5,1,0),"Excl")</f>
        <v>Labour</v>
      </c>
      <c r="AM740" s="7" t="str">
        <f>VLOOKUP(AC740,Mapping!$E$11:$I$96,5,0)</f>
        <v>SCS</v>
      </c>
      <c r="AO740" s="134">
        <v>134</v>
      </c>
      <c r="AP740" s="135" t="s">
        <v>2143</v>
      </c>
      <c r="AQ740" s="135">
        <v>613809</v>
      </c>
      <c r="AR740" s="135" t="s">
        <v>664</v>
      </c>
      <c r="AS740" s="136">
        <v>10.413</v>
      </c>
      <c r="AU740" s="7" t="str">
        <f>VLOOKUP($AO740,Mapping!$E$11:$I$96,3,0)</f>
        <v>Metering Capex</v>
      </c>
      <c r="AV740" s="7" t="str">
        <f>VLOOKUP($AQ740,Mapping!$E$140:$K$2771,5,0)</f>
        <v>Materials</v>
      </c>
      <c r="AW740" s="7" t="str">
        <f>VLOOKUP($AQ740,Mapping!$E$140:$K$2771,7,0)</f>
        <v>ENDirect</v>
      </c>
      <c r="AX740" s="7" t="str">
        <f>IFERROR(HLOOKUP(AV740,'Calc|Weightings'!$K$5:$M$5,1,0),"Excl")</f>
        <v>Materials</v>
      </c>
      <c r="AY740" s="7" t="str">
        <f>VLOOKUP(AO740,Mapping!$E$11:$I$96,5,0)</f>
        <v>Metering Services</v>
      </c>
    </row>
    <row r="741" spans="1:51" x14ac:dyDescent="0.2">
      <c r="A741" s="7"/>
      <c r="B741" s="7"/>
      <c r="C741" s="7"/>
      <c r="D741" s="7"/>
      <c r="E741" s="36">
        <v>131</v>
      </c>
      <c r="F741" s="36" t="s">
        <v>2139</v>
      </c>
      <c r="G741" s="36">
        <v>531210</v>
      </c>
      <c r="H741" s="36" t="s">
        <v>252</v>
      </c>
      <c r="I741" s="37">
        <v>1.6405000000000001</v>
      </c>
      <c r="J741" s="7"/>
      <c r="K741" s="7" t="str">
        <f>VLOOKUP($E741,Mapping!$E$11:$I$96,3,0)</f>
        <v>Replacement</v>
      </c>
      <c r="L741" s="7" t="str">
        <f>VLOOKUP($G741,Mapping!$E$140:$K$2771,5,0)</f>
        <v>Labour</v>
      </c>
      <c r="M741" s="7" t="str">
        <f>VLOOKUP($G741,Mapping!$E$140:$K$2771,7,0)</f>
        <v>ENDirect</v>
      </c>
      <c r="N741" s="7" t="str">
        <f>IFERROR(HLOOKUP(L741,'Calc|Weightings'!$K$5:$M$5,1,0),"Excl")</f>
        <v>Labour</v>
      </c>
      <c r="O741" s="7" t="str">
        <f>VLOOKUP(E741,Mapping!$E$11:$I$96,5,0)</f>
        <v>SCS</v>
      </c>
      <c r="Q741" s="33">
        <v>131</v>
      </c>
      <c r="R741" s="33" t="s">
        <v>2139</v>
      </c>
      <c r="S741" s="33">
        <v>613449</v>
      </c>
      <c r="T741" s="33" t="s">
        <v>2106</v>
      </c>
      <c r="U741" s="34">
        <v>1.3146100000000001</v>
      </c>
      <c r="V741" s="7"/>
      <c r="W741" s="7" t="str">
        <f>VLOOKUP($Q741,Mapping!$E$11:$I$96,3,0)</f>
        <v>Replacement</v>
      </c>
      <c r="X741" s="7" t="str">
        <f>VLOOKUP($S741,Mapping!$E$140:$K$2771,5,0)</f>
        <v>Labour</v>
      </c>
      <c r="Y741" s="7" t="str">
        <f>VLOOKUP($S741,Mapping!$E$140:$K$2771,7,0)</f>
        <v>ENDirect</v>
      </c>
      <c r="Z741" s="7" t="str">
        <f>IFERROR(HLOOKUP(X741,'Calc|Weightings'!$K$5:$M$5,1,0),"Excl")</f>
        <v>Labour</v>
      </c>
      <c r="AA741" s="7" t="str">
        <f>VLOOKUP(Q741,Mapping!$E$11:$I$96,5,0)</f>
        <v>SCS</v>
      </c>
      <c r="AC741" s="111">
        <v>131</v>
      </c>
      <c r="AD741" s="111" t="s">
        <v>2139</v>
      </c>
      <c r="AE741" s="111">
        <v>611861</v>
      </c>
      <c r="AF741" s="111" t="s">
        <v>2140</v>
      </c>
      <c r="AG741" s="112">
        <v>-1423.9054799999999</v>
      </c>
      <c r="AI741" s="7" t="str">
        <f>VLOOKUP($AC741,Mapping!$E$11:$I$96,3,0)</f>
        <v>Replacement</v>
      </c>
      <c r="AJ741" s="7" t="str">
        <f>VLOOKUP($AE741,Mapping!$E$140:$K$2771,5,0)</f>
        <v>Labour</v>
      </c>
      <c r="AK741" s="7" t="str">
        <f>VLOOKUP($AE741,Mapping!$E$140:$K$2771,7,0)</f>
        <v>ENDirect</v>
      </c>
      <c r="AL741" s="7" t="str">
        <f>IFERROR(HLOOKUP(AJ741,'Calc|Weightings'!$K$5:$M$5,1,0),"Excl")</f>
        <v>Labour</v>
      </c>
      <c r="AM741" s="7" t="str">
        <f>VLOOKUP(AC741,Mapping!$E$11:$I$96,5,0)</f>
        <v>SCS</v>
      </c>
      <c r="AO741" s="134">
        <v>134</v>
      </c>
      <c r="AP741" s="135" t="s">
        <v>2143</v>
      </c>
      <c r="AQ741" s="135">
        <v>613811</v>
      </c>
      <c r="AR741" s="135" t="s">
        <v>666</v>
      </c>
      <c r="AS741" s="136">
        <v>48.47625</v>
      </c>
      <c r="AU741" s="7" t="str">
        <f>VLOOKUP($AO741,Mapping!$E$11:$I$96,3,0)</f>
        <v>Metering Capex</v>
      </c>
      <c r="AV741" s="7" t="str">
        <f>VLOOKUP($AQ741,Mapping!$E$140:$K$2771,5,0)</f>
        <v>Materials</v>
      </c>
      <c r="AW741" s="7" t="str">
        <f>VLOOKUP($AQ741,Mapping!$E$140:$K$2771,7,0)</f>
        <v>ENDirect</v>
      </c>
      <c r="AX741" s="7" t="str">
        <f>IFERROR(HLOOKUP(AV741,'Calc|Weightings'!$K$5:$M$5,1,0),"Excl")</f>
        <v>Materials</v>
      </c>
      <c r="AY741" s="7" t="str">
        <f>VLOOKUP(AO741,Mapping!$E$11:$I$96,5,0)</f>
        <v>Metering Services</v>
      </c>
    </row>
    <row r="742" spans="1:51" x14ac:dyDescent="0.2">
      <c r="A742" s="7"/>
      <c r="B742" s="7"/>
      <c r="C742" s="7"/>
      <c r="D742" s="7"/>
      <c r="E742" s="36">
        <v>131</v>
      </c>
      <c r="F742" s="36" t="s">
        <v>2139</v>
      </c>
      <c r="G742" s="36">
        <v>531464</v>
      </c>
      <c r="H742" s="36" t="s">
        <v>256</v>
      </c>
      <c r="I742" s="37">
        <v>160.49764999999999</v>
      </c>
      <c r="J742" s="7"/>
      <c r="K742" s="7" t="str">
        <f>VLOOKUP($E742,Mapping!$E$11:$I$96,3,0)</f>
        <v>Replacement</v>
      </c>
      <c r="L742" s="7" t="str">
        <f>VLOOKUP($G742,Mapping!$E$140:$K$2771,5,0)</f>
        <v>Contracts</v>
      </c>
      <c r="M742" s="7" t="str">
        <f>VLOOKUP($G742,Mapping!$E$140:$K$2771,7,0)</f>
        <v>ENDirect</v>
      </c>
      <c r="N742" s="7" t="str">
        <f>IFERROR(HLOOKUP(L742,'Calc|Weightings'!$K$5:$M$5,1,0),"Excl")</f>
        <v>Contracts</v>
      </c>
      <c r="O742" s="7" t="str">
        <f>VLOOKUP(E742,Mapping!$E$11:$I$96,5,0)</f>
        <v>SCS</v>
      </c>
      <c r="Q742" s="33">
        <v>131</v>
      </c>
      <c r="R742" s="33" t="s">
        <v>2139</v>
      </c>
      <c r="S742" s="33">
        <v>613566</v>
      </c>
      <c r="T742" s="33" t="s">
        <v>1482</v>
      </c>
      <c r="U742" s="34">
        <v>445.77161999999998</v>
      </c>
      <c r="V742" s="7"/>
      <c r="W742" s="7" t="str">
        <f>VLOOKUP($Q742,Mapping!$E$11:$I$96,3,0)</f>
        <v>Replacement</v>
      </c>
      <c r="X742" s="7" t="str">
        <f>VLOOKUP($S742,Mapping!$E$140:$K$2771,5,0)</f>
        <v>Labour</v>
      </c>
      <c r="Y742" s="7" t="str">
        <f>VLOOKUP($S742,Mapping!$E$140:$K$2771,7,0)</f>
        <v>ENDirect</v>
      </c>
      <c r="Z742" s="7" t="str">
        <f>IFERROR(HLOOKUP(X742,'Calc|Weightings'!$K$5:$M$5,1,0),"Excl")</f>
        <v>Labour</v>
      </c>
      <c r="AA742" s="7" t="str">
        <f>VLOOKUP(Q742,Mapping!$E$11:$I$96,5,0)</f>
        <v>SCS</v>
      </c>
      <c r="AC742" s="111">
        <v>131</v>
      </c>
      <c r="AD742" s="111" t="s">
        <v>2139</v>
      </c>
      <c r="AE742" s="111">
        <v>611900</v>
      </c>
      <c r="AF742" s="111" t="s">
        <v>2079</v>
      </c>
      <c r="AG742" s="112">
        <v>19.405090000000001</v>
      </c>
      <c r="AI742" s="7" t="str">
        <f>VLOOKUP($AC742,Mapping!$E$11:$I$96,3,0)</f>
        <v>Replacement</v>
      </c>
      <c r="AJ742" s="7" t="str">
        <f>VLOOKUP($AE742,Mapping!$E$140:$K$2771,5,0)</f>
        <v>Contracts</v>
      </c>
      <c r="AK742" s="7" t="str">
        <f>VLOOKUP($AE742,Mapping!$E$140:$K$2771,7,0)</f>
        <v>ENDirect</v>
      </c>
      <c r="AL742" s="7" t="str">
        <f>IFERROR(HLOOKUP(AJ742,'Calc|Weightings'!$K$5:$M$5,1,0),"Excl")</f>
        <v>Contracts</v>
      </c>
      <c r="AM742" s="7" t="str">
        <f>VLOOKUP(AC742,Mapping!$E$11:$I$96,5,0)</f>
        <v>SCS</v>
      </c>
      <c r="AO742" s="134">
        <v>134</v>
      </c>
      <c r="AP742" s="135" t="s">
        <v>2143</v>
      </c>
      <c r="AQ742" s="135">
        <v>613813</v>
      </c>
      <c r="AR742" s="135" t="s">
        <v>668</v>
      </c>
      <c r="AS742" s="136">
        <v>20.515170000000001</v>
      </c>
      <c r="AU742" s="7" t="str">
        <f>VLOOKUP($AO742,Mapping!$E$11:$I$96,3,0)</f>
        <v>Metering Capex</v>
      </c>
      <c r="AV742" s="7" t="str">
        <f>VLOOKUP($AQ742,Mapping!$E$140:$K$2771,5,0)</f>
        <v>Materials</v>
      </c>
      <c r="AW742" s="7" t="str">
        <f>VLOOKUP($AQ742,Mapping!$E$140:$K$2771,7,0)</f>
        <v>ENDirect</v>
      </c>
      <c r="AX742" s="7" t="str">
        <f>IFERROR(HLOOKUP(AV742,'Calc|Weightings'!$K$5:$M$5,1,0),"Excl")</f>
        <v>Materials</v>
      </c>
      <c r="AY742" s="7" t="str">
        <f>VLOOKUP(AO742,Mapping!$E$11:$I$96,5,0)</f>
        <v>Metering Services</v>
      </c>
    </row>
    <row r="743" spans="1:51" x14ac:dyDescent="0.2">
      <c r="A743" s="7"/>
      <c r="B743" s="7"/>
      <c r="C743" s="7"/>
      <c r="D743" s="7"/>
      <c r="E743" s="36">
        <v>131</v>
      </c>
      <c r="F743" s="36" t="s">
        <v>2139</v>
      </c>
      <c r="G743" s="36">
        <v>531465</v>
      </c>
      <c r="H743" s="36" t="s">
        <v>257</v>
      </c>
      <c r="I743" s="37">
        <v>2.8500000000000001E-2</v>
      </c>
      <c r="J743" s="7"/>
      <c r="K743" s="7" t="str">
        <f>VLOOKUP($E743,Mapping!$E$11:$I$96,3,0)</f>
        <v>Replacement</v>
      </c>
      <c r="L743" s="7" t="str">
        <f>VLOOKUP($G743,Mapping!$E$140:$K$2771,5,0)</f>
        <v>Contracts</v>
      </c>
      <c r="M743" s="7" t="str">
        <f>VLOOKUP($G743,Mapping!$E$140:$K$2771,7,0)</f>
        <v>ENDirect</v>
      </c>
      <c r="N743" s="7" t="str">
        <f>IFERROR(HLOOKUP(L743,'Calc|Weightings'!$K$5:$M$5,1,0),"Excl")</f>
        <v>Contracts</v>
      </c>
      <c r="O743" s="7" t="str">
        <f>VLOOKUP(E743,Mapping!$E$11:$I$96,5,0)</f>
        <v>SCS</v>
      </c>
      <c r="Q743" s="33">
        <v>131</v>
      </c>
      <c r="R743" s="33" t="s">
        <v>2139</v>
      </c>
      <c r="S743" s="33">
        <v>613567</v>
      </c>
      <c r="T743" s="33" t="s">
        <v>1483</v>
      </c>
      <c r="U743" s="34">
        <v>13.05158</v>
      </c>
      <c r="V743" s="7"/>
      <c r="W743" s="7" t="str">
        <f>VLOOKUP($Q743,Mapping!$E$11:$I$96,3,0)</f>
        <v>Replacement</v>
      </c>
      <c r="X743" s="7" t="str">
        <f>VLOOKUP($S743,Mapping!$E$140:$K$2771,5,0)</f>
        <v>Labour</v>
      </c>
      <c r="Y743" s="7" t="str">
        <f>VLOOKUP($S743,Mapping!$E$140:$K$2771,7,0)</f>
        <v>ENDirect</v>
      </c>
      <c r="Z743" s="7" t="str">
        <f>IFERROR(HLOOKUP(X743,'Calc|Weightings'!$K$5:$M$5,1,0),"Excl")</f>
        <v>Labour</v>
      </c>
      <c r="AA743" s="7" t="str">
        <f>VLOOKUP(Q743,Mapping!$E$11:$I$96,5,0)</f>
        <v>SCS</v>
      </c>
      <c r="AC743" s="111">
        <v>131</v>
      </c>
      <c r="AD743" s="111" t="s">
        <v>2139</v>
      </c>
      <c r="AE743" s="111">
        <v>611901</v>
      </c>
      <c r="AF743" s="111" t="s">
        <v>2080</v>
      </c>
      <c r="AG743" s="112">
        <v>-12.278119999999999</v>
      </c>
      <c r="AI743" s="7" t="str">
        <f>VLOOKUP($AC743,Mapping!$E$11:$I$96,3,0)</f>
        <v>Replacement</v>
      </c>
      <c r="AJ743" s="7" t="str">
        <f>VLOOKUP($AE743,Mapping!$E$140:$K$2771,5,0)</f>
        <v>Contracts</v>
      </c>
      <c r="AK743" s="7" t="str">
        <f>VLOOKUP($AE743,Mapping!$E$140:$K$2771,7,0)</f>
        <v>ENDirect</v>
      </c>
      <c r="AL743" s="7" t="str">
        <f>IFERROR(HLOOKUP(AJ743,'Calc|Weightings'!$K$5:$M$5,1,0),"Excl")</f>
        <v>Contracts</v>
      </c>
      <c r="AM743" s="7" t="str">
        <f>VLOOKUP(AC743,Mapping!$E$11:$I$96,5,0)</f>
        <v>SCS</v>
      </c>
      <c r="AO743" s="134">
        <v>134</v>
      </c>
      <c r="AP743" s="135" t="s">
        <v>2143</v>
      </c>
      <c r="AQ743" s="135">
        <v>634001</v>
      </c>
      <c r="AR743" s="135" t="s">
        <v>2110</v>
      </c>
      <c r="AS743" s="136">
        <v>1.0006699999999999</v>
      </c>
      <c r="AU743" s="7" t="str">
        <f>VLOOKUP($AO743,Mapping!$E$11:$I$96,3,0)</f>
        <v>Metering Capex</v>
      </c>
      <c r="AV743" s="7" t="str">
        <f>VLOOKUP($AQ743,Mapping!$E$140:$K$2771,5,0)</f>
        <v>Local OH</v>
      </c>
      <c r="AW743" s="7" t="str">
        <f>VLOOKUP($AQ743,Mapping!$E$140:$K$2771,7,0)</f>
        <v>OH</v>
      </c>
      <c r="AX743" s="7" t="str">
        <f>IFERROR(HLOOKUP(AV743,'Calc|Weightings'!$K$5:$M$5,1,0),"Excl")</f>
        <v>Excl</v>
      </c>
      <c r="AY743" s="7" t="str">
        <f>VLOOKUP(AO743,Mapping!$E$11:$I$96,5,0)</f>
        <v>Metering Services</v>
      </c>
    </row>
    <row r="744" spans="1:51" x14ac:dyDescent="0.2">
      <c r="A744" s="7"/>
      <c r="B744" s="7"/>
      <c r="C744" s="7"/>
      <c r="D744" s="7"/>
      <c r="E744" s="36">
        <v>131</v>
      </c>
      <c r="F744" s="36" t="s">
        <v>2139</v>
      </c>
      <c r="G744" s="36">
        <v>531466</v>
      </c>
      <c r="H744" s="36" t="s">
        <v>258</v>
      </c>
      <c r="I744" s="37">
        <v>101.4349</v>
      </c>
      <c r="J744" s="7"/>
      <c r="K744" s="7" t="str">
        <f>VLOOKUP($E744,Mapping!$E$11:$I$96,3,0)</f>
        <v>Replacement</v>
      </c>
      <c r="L744" s="7" t="str">
        <f>VLOOKUP($G744,Mapping!$E$140:$K$2771,5,0)</f>
        <v>Contracts</v>
      </c>
      <c r="M744" s="7" t="str">
        <f>VLOOKUP($G744,Mapping!$E$140:$K$2771,7,0)</f>
        <v>ENDirect</v>
      </c>
      <c r="N744" s="7" t="str">
        <f>IFERROR(HLOOKUP(L744,'Calc|Weightings'!$K$5:$M$5,1,0),"Excl")</f>
        <v>Contracts</v>
      </c>
      <c r="O744" s="7" t="str">
        <f>VLOOKUP(E744,Mapping!$E$11:$I$96,5,0)</f>
        <v>SCS</v>
      </c>
      <c r="Q744" s="33">
        <v>131</v>
      </c>
      <c r="R744" s="33" t="s">
        <v>2139</v>
      </c>
      <c r="S744" s="33">
        <v>613570</v>
      </c>
      <c r="T744" s="33" t="s">
        <v>1484</v>
      </c>
      <c r="U744" s="34">
        <v>8.1574399999999994</v>
      </c>
      <c r="V744" s="7"/>
      <c r="W744" s="7" t="str">
        <f>VLOOKUP($Q744,Mapping!$E$11:$I$96,3,0)</f>
        <v>Replacement</v>
      </c>
      <c r="X744" s="7" t="str">
        <f>VLOOKUP($S744,Mapping!$E$140:$K$2771,5,0)</f>
        <v>Labour</v>
      </c>
      <c r="Y744" s="7" t="str">
        <f>VLOOKUP($S744,Mapping!$E$140:$K$2771,7,0)</f>
        <v>ENDirect</v>
      </c>
      <c r="Z744" s="7" t="str">
        <f>IFERROR(HLOOKUP(X744,'Calc|Weightings'!$K$5:$M$5,1,0),"Excl")</f>
        <v>Labour</v>
      </c>
      <c r="AA744" s="7" t="str">
        <f>VLOOKUP(Q744,Mapping!$E$11:$I$96,5,0)</f>
        <v>SCS</v>
      </c>
      <c r="AC744" s="111">
        <v>131</v>
      </c>
      <c r="AD744" s="111" t="s">
        <v>2139</v>
      </c>
      <c r="AE744" s="111">
        <v>611902</v>
      </c>
      <c r="AF744" s="111" t="s">
        <v>2081</v>
      </c>
      <c r="AG744" s="112">
        <v>0.5131</v>
      </c>
      <c r="AI744" s="7" t="str">
        <f>VLOOKUP($AC744,Mapping!$E$11:$I$96,3,0)</f>
        <v>Replacement</v>
      </c>
      <c r="AJ744" s="7" t="str">
        <f>VLOOKUP($AE744,Mapping!$E$140:$K$2771,5,0)</f>
        <v>Contracts</v>
      </c>
      <c r="AK744" s="7" t="str">
        <f>VLOOKUP($AE744,Mapping!$E$140:$K$2771,7,0)</f>
        <v>ENDirect</v>
      </c>
      <c r="AL744" s="7" t="str">
        <f>IFERROR(HLOOKUP(AJ744,'Calc|Weightings'!$K$5:$M$5,1,0),"Excl")</f>
        <v>Contracts</v>
      </c>
      <c r="AM744" s="7" t="str">
        <f>VLOOKUP(AC744,Mapping!$E$11:$I$96,5,0)</f>
        <v>SCS</v>
      </c>
      <c r="AO744" s="134">
        <v>134</v>
      </c>
      <c r="AP744" s="135" t="s">
        <v>2143</v>
      </c>
      <c r="AQ744" s="135">
        <v>635001</v>
      </c>
      <c r="AR744" s="135" t="s">
        <v>1929</v>
      </c>
      <c r="AS744" s="136">
        <v>0.96209</v>
      </c>
      <c r="AU744" s="7" t="str">
        <f>VLOOKUP($AO744,Mapping!$E$11:$I$96,3,0)</f>
        <v>Metering Capex</v>
      </c>
      <c r="AV744" s="7" t="str">
        <f>VLOOKUP($AQ744,Mapping!$E$140:$K$2771,5,0)</f>
        <v>PNS MG</v>
      </c>
      <c r="AW744" s="7" t="str">
        <f>VLOOKUP($AQ744,Mapping!$E$140:$K$2771,7,0)</f>
        <v>ENDirect</v>
      </c>
      <c r="AX744" s="7" t="str">
        <f>IFERROR(HLOOKUP(AV744,'Calc|Weightings'!$K$5:$M$5,1,0),"Excl")</f>
        <v>Excl</v>
      </c>
      <c r="AY744" s="7" t="str">
        <f>VLOOKUP(AO744,Mapping!$E$11:$I$96,5,0)</f>
        <v>Metering Services</v>
      </c>
    </row>
    <row r="745" spans="1:51" x14ac:dyDescent="0.2">
      <c r="A745" s="7"/>
      <c r="B745" s="7"/>
      <c r="C745" s="7"/>
      <c r="D745" s="7"/>
      <c r="E745" s="36">
        <v>131</v>
      </c>
      <c r="F745" s="36" t="s">
        <v>2139</v>
      </c>
      <c r="G745" s="36">
        <v>531467</v>
      </c>
      <c r="H745" s="36" t="s">
        <v>259</v>
      </c>
      <c r="I745" s="37">
        <v>283.1832</v>
      </c>
      <c r="J745" s="7"/>
      <c r="K745" s="7" t="str">
        <f>VLOOKUP($E745,Mapping!$E$11:$I$96,3,0)</f>
        <v>Replacement</v>
      </c>
      <c r="L745" s="7" t="str">
        <f>VLOOKUP($G745,Mapping!$E$140:$K$2771,5,0)</f>
        <v>Contracts</v>
      </c>
      <c r="M745" s="7" t="str">
        <f>VLOOKUP($G745,Mapping!$E$140:$K$2771,7,0)</f>
        <v>ENDirect</v>
      </c>
      <c r="N745" s="7" t="str">
        <f>IFERROR(HLOOKUP(L745,'Calc|Weightings'!$K$5:$M$5,1,0),"Excl")</f>
        <v>Contracts</v>
      </c>
      <c r="O745" s="7" t="str">
        <f>VLOOKUP(E745,Mapping!$E$11:$I$96,5,0)</f>
        <v>SCS</v>
      </c>
      <c r="Q745" s="33">
        <v>131</v>
      </c>
      <c r="R745" s="33" t="s">
        <v>2139</v>
      </c>
      <c r="S745" s="33">
        <v>613571</v>
      </c>
      <c r="T745" s="33" t="s">
        <v>1485</v>
      </c>
      <c r="U745" s="34">
        <v>0.92478000000000005</v>
      </c>
      <c r="V745" s="7"/>
      <c r="W745" s="7" t="str">
        <f>VLOOKUP($Q745,Mapping!$E$11:$I$96,3,0)</f>
        <v>Replacement</v>
      </c>
      <c r="X745" s="7" t="str">
        <f>VLOOKUP($S745,Mapping!$E$140:$K$2771,5,0)</f>
        <v>Labour</v>
      </c>
      <c r="Y745" s="7" t="str">
        <f>VLOOKUP($S745,Mapping!$E$140:$K$2771,7,0)</f>
        <v>ENDirect</v>
      </c>
      <c r="Z745" s="7" t="str">
        <f>IFERROR(HLOOKUP(X745,'Calc|Weightings'!$K$5:$M$5,1,0),"Excl")</f>
        <v>Labour</v>
      </c>
      <c r="AA745" s="7" t="str">
        <f>VLOOKUP(Q745,Mapping!$E$11:$I$96,5,0)</f>
        <v>SCS</v>
      </c>
      <c r="AC745" s="111">
        <v>131</v>
      </c>
      <c r="AD745" s="111" t="s">
        <v>2139</v>
      </c>
      <c r="AE745" s="111">
        <v>612210</v>
      </c>
      <c r="AF745" s="111" t="s">
        <v>1184</v>
      </c>
      <c r="AG745" s="112">
        <v>2.5718999999999999</v>
      </c>
      <c r="AI745" s="7" t="str">
        <f>VLOOKUP($AC745,Mapping!$E$11:$I$96,3,0)</f>
        <v>Replacement</v>
      </c>
      <c r="AJ745" s="7" t="str">
        <f>VLOOKUP($AE745,Mapping!$E$140:$K$2771,5,0)</f>
        <v>Labour</v>
      </c>
      <c r="AK745" s="7" t="str">
        <f>VLOOKUP($AE745,Mapping!$E$140:$K$2771,7,0)</f>
        <v>ENDirect</v>
      </c>
      <c r="AL745" s="7" t="str">
        <f>IFERROR(HLOOKUP(AJ745,'Calc|Weightings'!$K$5:$M$5,1,0),"Excl")</f>
        <v>Labour</v>
      </c>
      <c r="AM745" s="7" t="str">
        <f>VLOOKUP(AC745,Mapping!$E$11:$I$96,5,0)</f>
        <v>SCS</v>
      </c>
      <c r="AO745" s="134">
        <v>134</v>
      </c>
      <c r="AP745" s="135" t="s">
        <v>2143</v>
      </c>
      <c r="AQ745" s="135">
        <v>636001</v>
      </c>
      <c r="AR745" s="135" t="s">
        <v>2111</v>
      </c>
      <c r="AS745" s="136">
        <v>0.64061999999999997</v>
      </c>
      <c r="AU745" s="7" t="str">
        <f>VLOOKUP($AO745,Mapping!$E$11:$I$96,3,0)</f>
        <v>Metering Capex</v>
      </c>
      <c r="AV745" s="7" t="str">
        <f>VLOOKUP($AQ745,Mapping!$E$140:$K$2771,5,0)</f>
        <v>System Control OH</v>
      </c>
      <c r="AW745" s="7" t="str">
        <f>VLOOKUP($AQ745,Mapping!$E$140:$K$2771,7,0)</f>
        <v>OH</v>
      </c>
      <c r="AX745" s="7" t="str">
        <f>IFERROR(HLOOKUP(AV745,'Calc|Weightings'!$K$5:$M$5,1,0),"Excl")</f>
        <v>Excl</v>
      </c>
      <c r="AY745" s="7" t="str">
        <f>VLOOKUP(AO745,Mapping!$E$11:$I$96,5,0)</f>
        <v>Metering Services</v>
      </c>
    </row>
    <row r="746" spans="1:51" x14ac:dyDescent="0.2">
      <c r="A746" s="7"/>
      <c r="B746" s="7"/>
      <c r="C746" s="7"/>
      <c r="D746" s="7"/>
      <c r="E746" s="36">
        <v>131</v>
      </c>
      <c r="F746" s="36" t="s">
        <v>2139</v>
      </c>
      <c r="G746" s="36">
        <v>531468</v>
      </c>
      <c r="H746" s="36" t="s">
        <v>260</v>
      </c>
      <c r="I746" s="37">
        <v>83.768190000000004</v>
      </c>
      <c r="J746" s="7"/>
      <c r="K746" s="7" t="str">
        <f>VLOOKUP($E746,Mapping!$E$11:$I$96,3,0)</f>
        <v>Replacement</v>
      </c>
      <c r="L746" s="7" t="str">
        <f>VLOOKUP($G746,Mapping!$E$140:$K$2771,5,0)</f>
        <v>Contracts</v>
      </c>
      <c r="M746" s="7" t="str">
        <f>VLOOKUP($G746,Mapping!$E$140:$K$2771,7,0)</f>
        <v>ENDirect</v>
      </c>
      <c r="N746" s="7" t="str">
        <f>IFERROR(HLOOKUP(L746,'Calc|Weightings'!$K$5:$M$5,1,0),"Excl")</f>
        <v>Contracts</v>
      </c>
      <c r="O746" s="7" t="str">
        <f>VLOOKUP(E746,Mapping!$E$11:$I$96,5,0)</f>
        <v>SCS</v>
      </c>
      <c r="Q746" s="33">
        <v>131</v>
      </c>
      <c r="R746" s="33" t="s">
        <v>2139</v>
      </c>
      <c r="S746" s="33">
        <v>613572</v>
      </c>
      <c r="T746" s="33" t="s">
        <v>1486</v>
      </c>
      <c r="U746" s="34">
        <v>3.4414199999999999</v>
      </c>
      <c r="V746" s="7"/>
      <c r="W746" s="7" t="str">
        <f>VLOOKUP($Q746,Mapping!$E$11:$I$96,3,0)</f>
        <v>Replacement</v>
      </c>
      <c r="X746" s="7" t="str">
        <f>VLOOKUP($S746,Mapping!$E$140:$K$2771,5,0)</f>
        <v>Labour</v>
      </c>
      <c r="Y746" s="7" t="str">
        <f>VLOOKUP($S746,Mapping!$E$140:$K$2771,7,0)</f>
        <v>ENDirect</v>
      </c>
      <c r="Z746" s="7" t="str">
        <f>IFERROR(HLOOKUP(X746,'Calc|Weightings'!$K$5:$M$5,1,0),"Excl")</f>
        <v>Labour</v>
      </c>
      <c r="AA746" s="7" t="str">
        <f>VLOOKUP(Q746,Mapping!$E$11:$I$96,5,0)</f>
        <v>SCS</v>
      </c>
      <c r="AC746" s="111">
        <v>131</v>
      </c>
      <c r="AD746" s="111" t="s">
        <v>2139</v>
      </c>
      <c r="AE746" s="111">
        <v>612462</v>
      </c>
      <c r="AF746" s="111" t="s">
        <v>1244</v>
      </c>
      <c r="AG746" s="112">
        <v>-2.7560000000000001E-2</v>
      </c>
      <c r="AI746" s="7" t="str">
        <f>VLOOKUP($AC746,Mapping!$E$11:$I$96,3,0)</f>
        <v>Replacement</v>
      </c>
      <c r="AJ746" s="7" t="str">
        <f>VLOOKUP($AE746,Mapping!$E$140:$K$2771,5,0)</f>
        <v>Labour</v>
      </c>
      <c r="AK746" s="7" t="str">
        <f>VLOOKUP($AE746,Mapping!$E$140:$K$2771,7,0)</f>
        <v>ENDirect</v>
      </c>
      <c r="AL746" s="7" t="str">
        <f>IFERROR(HLOOKUP(AJ746,'Calc|Weightings'!$K$5:$M$5,1,0),"Excl")</f>
        <v>Labour</v>
      </c>
      <c r="AM746" s="7" t="str">
        <f>VLOOKUP(AC746,Mapping!$E$11:$I$96,5,0)</f>
        <v>SCS</v>
      </c>
      <c r="AO746" s="134">
        <v>134</v>
      </c>
      <c r="AP746" s="135" t="s">
        <v>2143</v>
      </c>
      <c r="AQ746" s="135">
        <v>639000</v>
      </c>
      <c r="AR746" s="135" t="s">
        <v>2112</v>
      </c>
      <c r="AS746" s="136">
        <v>16.878609999999998</v>
      </c>
      <c r="AU746" s="7" t="str">
        <f>VLOOKUP($AO746,Mapping!$E$11:$I$96,3,0)</f>
        <v>Metering Capex</v>
      </c>
      <c r="AV746" s="7" t="str">
        <f>VLOOKUP($AQ746,Mapping!$E$140:$K$2771,5,0)</f>
        <v>PNS Corporate OH</v>
      </c>
      <c r="AW746" s="7" t="str">
        <f>VLOOKUP($AQ746,Mapping!$E$140:$K$2771,7,0)</f>
        <v>OH</v>
      </c>
      <c r="AX746" s="7" t="str">
        <f>IFERROR(HLOOKUP(AV746,'Calc|Weightings'!$K$5:$M$5,1,0),"Excl")</f>
        <v>Excl</v>
      </c>
      <c r="AY746" s="7" t="str">
        <f>VLOOKUP(AO746,Mapping!$E$11:$I$96,5,0)</f>
        <v>Metering Services</v>
      </c>
    </row>
    <row r="747" spans="1:51" x14ac:dyDescent="0.2">
      <c r="A747" s="7"/>
      <c r="B747" s="7"/>
      <c r="C747" s="7"/>
      <c r="D747" s="7"/>
      <c r="E747" s="36">
        <v>131</v>
      </c>
      <c r="F747" s="36" t="s">
        <v>2139</v>
      </c>
      <c r="G747" s="36">
        <v>531469</v>
      </c>
      <c r="H747" s="36" t="s">
        <v>261</v>
      </c>
      <c r="I747" s="37">
        <v>16.63626</v>
      </c>
      <c r="J747" s="7"/>
      <c r="K747" s="7" t="str">
        <f>VLOOKUP($E747,Mapping!$E$11:$I$96,3,0)</f>
        <v>Replacement</v>
      </c>
      <c r="L747" s="7" t="str">
        <f>VLOOKUP($G747,Mapping!$E$140:$K$2771,5,0)</f>
        <v>Labour</v>
      </c>
      <c r="M747" s="7" t="str">
        <f>VLOOKUP($G747,Mapping!$E$140:$K$2771,7,0)</f>
        <v>ENDirect</v>
      </c>
      <c r="N747" s="7" t="str">
        <f>IFERROR(HLOOKUP(L747,'Calc|Weightings'!$K$5:$M$5,1,0),"Excl")</f>
        <v>Labour</v>
      </c>
      <c r="O747" s="7" t="str">
        <f>VLOOKUP(E747,Mapping!$E$11:$I$96,5,0)</f>
        <v>SCS</v>
      </c>
      <c r="Q747" s="33">
        <v>131</v>
      </c>
      <c r="R747" s="33" t="s">
        <v>2139</v>
      </c>
      <c r="S747" s="33">
        <v>613574</v>
      </c>
      <c r="T747" s="33" t="s">
        <v>1488</v>
      </c>
      <c r="U747" s="34">
        <v>11.19624</v>
      </c>
      <c r="V747" s="7"/>
      <c r="W747" s="7" t="str">
        <f>VLOOKUP($Q747,Mapping!$E$11:$I$96,3,0)</f>
        <v>Replacement</v>
      </c>
      <c r="X747" s="7" t="str">
        <f>VLOOKUP($S747,Mapping!$E$140:$K$2771,5,0)</f>
        <v>Labour</v>
      </c>
      <c r="Y747" s="7" t="str">
        <f>VLOOKUP($S747,Mapping!$E$140:$K$2771,7,0)</f>
        <v>ENDirect</v>
      </c>
      <c r="Z747" s="7" t="str">
        <f>IFERROR(HLOOKUP(X747,'Calc|Weightings'!$K$5:$M$5,1,0),"Excl")</f>
        <v>Labour</v>
      </c>
      <c r="AA747" s="7" t="str">
        <f>VLOOKUP(Q747,Mapping!$E$11:$I$96,5,0)</f>
        <v>SCS</v>
      </c>
      <c r="AC747" s="111">
        <v>131</v>
      </c>
      <c r="AD747" s="111" t="s">
        <v>2139</v>
      </c>
      <c r="AE747" s="111">
        <v>613240</v>
      </c>
      <c r="AF747" s="111" t="s">
        <v>2082</v>
      </c>
      <c r="AG747" s="112">
        <v>708.32551999999998</v>
      </c>
      <c r="AI747" s="7" t="str">
        <f>VLOOKUP($AC747,Mapping!$E$11:$I$96,3,0)</f>
        <v>Replacement</v>
      </c>
      <c r="AJ747" s="7" t="str">
        <f>VLOOKUP($AE747,Mapping!$E$140:$K$2771,5,0)</f>
        <v>Labour</v>
      </c>
      <c r="AK747" s="7" t="str">
        <f>VLOOKUP($AE747,Mapping!$E$140:$K$2771,7,0)</f>
        <v>ENDirect</v>
      </c>
      <c r="AL747" s="7" t="str">
        <f>IFERROR(HLOOKUP(AJ747,'Calc|Weightings'!$K$5:$M$5,1,0),"Excl")</f>
        <v>Labour</v>
      </c>
      <c r="AM747" s="7" t="str">
        <f>VLOOKUP(AC747,Mapping!$E$11:$I$96,5,0)</f>
        <v>SCS</v>
      </c>
      <c r="AO747" s="134">
        <v>134</v>
      </c>
      <c r="AP747" s="135" t="s">
        <v>2143</v>
      </c>
      <c r="AQ747" s="135">
        <v>639050</v>
      </c>
      <c r="AR747" s="135" t="s">
        <v>2113</v>
      </c>
      <c r="AS747" s="136">
        <v>0.19624</v>
      </c>
      <c r="AU747" s="7" t="str">
        <f>VLOOKUP($AO747,Mapping!$E$11:$I$96,3,0)</f>
        <v>Metering Capex</v>
      </c>
      <c r="AV747" s="7" t="str">
        <f>VLOOKUP($AQ747,Mapping!$E$140:$K$2771,5,0)</f>
        <v>PNS Fleet &amp; Property OH</v>
      </c>
      <c r="AW747" s="7" t="str">
        <f>VLOOKUP($AQ747,Mapping!$E$140:$K$2771,7,0)</f>
        <v>OH</v>
      </c>
      <c r="AX747" s="7" t="str">
        <f>IFERROR(HLOOKUP(AV747,'Calc|Weightings'!$K$5:$M$5,1,0),"Excl")</f>
        <v>Excl</v>
      </c>
      <c r="AY747" s="7" t="str">
        <f>VLOOKUP(AO747,Mapping!$E$11:$I$96,5,0)</f>
        <v>Metering Services</v>
      </c>
    </row>
    <row r="748" spans="1:51" x14ac:dyDescent="0.2">
      <c r="A748" s="7"/>
      <c r="B748" s="7"/>
      <c r="C748" s="7"/>
      <c r="D748" s="7"/>
      <c r="E748" s="36">
        <v>131</v>
      </c>
      <c r="F748" s="36" t="s">
        <v>2139</v>
      </c>
      <c r="G748" s="36">
        <v>531485</v>
      </c>
      <c r="H748" s="36" t="s">
        <v>2350</v>
      </c>
      <c r="I748" s="37">
        <v>3.4860000000000002E-2</v>
      </c>
      <c r="J748" s="7"/>
      <c r="K748" s="7" t="str">
        <f>VLOOKUP($E748,Mapping!$E$11:$I$96,3,0)</f>
        <v>Replacement</v>
      </c>
      <c r="L748" s="7" t="str">
        <f>VLOOKUP($G748,Mapping!$E$140:$K$2771,5,0)</f>
        <v>Contracts</v>
      </c>
      <c r="M748" s="7" t="str">
        <f>VLOOKUP($G748,Mapping!$E$140:$K$2771,7,0)</f>
        <v>ENDirect</v>
      </c>
      <c r="N748" s="7" t="str">
        <f>IFERROR(HLOOKUP(L748,'Calc|Weightings'!$K$5:$M$5,1,0),"Excl")</f>
        <v>Contracts</v>
      </c>
      <c r="O748" s="7" t="str">
        <f>VLOOKUP(E748,Mapping!$E$11:$I$96,5,0)</f>
        <v>SCS</v>
      </c>
      <c r="Q748" s="33">
        <v>131</v>
      </c>
      <c r="R748" s="33" t="s">
        <v>2139</v>
      </c>
      <c r="S748" s="33">
        <v>613575</v>
      </c>
      <c r="T748" s="33" t="s">
        <v>1489</v>
      </c>
      <c r="U748" s="34">
        <v>2.6766299999999998</v>
      </c>
      <c r="V748" s="7"/>
      <c r="W748" s="7" t="str">
        <f>VLOOKUP($Q748,Mapping!$E$11:$I$96,3,0)</f>
        <v>Replacement</v>
      </c>
      <c r="X748" s="7" t="str">
        <f>VLOOKUP($S748,Mapping!$E$140:$K$2771,5,0)</f>
        <v>Labour</v>
      </c>
      <c r="Y748" s="7" t="str">
        <f>VLOOKUP($S748,Mapping!$E$140:$K$2771,7,0)</f>
        <v>ENDirect</v>
      </c>
      <c r="Z748" s="7" t="str">
        <f>IFERROR(HLOOKUP(X748,'Calc|Weightings'!$K$5:$M$5,1,0),"Excl")</f>
        <v>Labour</v>
      </c>
      <c r="AA748" s="7" t="str">
        <f>VLOOKUP(Q748,Mapping!$E$11:$I$96,5,0)</f>
        <v>SCS</v>
      </c>
      <c r="AC748" s="111">
        <v>131</v>
      </c>
      <c r="AD748" s="111" t="s">
        <v>2139</v>
      </c>
      <c r="AE748" s="111">
        <v>613241</v>
      </c>
      <c r="AF748" s="111" t="s">
        <v>2083</v>
      </c>
      <c r="AG748" s="112">
        <v>43.421509999999998</v>
      </c>
      <c r="AI748" s="7" t="str">
        <f>VLOOKUP($AC748,Mapping!$E$11:$I$96,3,0)</f>
        <v>Replacement</v>
      </c>
      <c r="AJ748" s="7" t="str">
        <f>VLOOKUP($AE748,Mapping!$E$140:$K$2771,5,0)</f>
        <v>Labour</v>
      </c>
      <c r="AK748" s="7" t="str">
        <f>VLOOKUP($AE748,Mapping!$E$140:$K$2771,7,0)</f>
        <v>ENDirect</v>
      </c>
      <c r="AL748" s="7" t="str">
        <f>IFERROR(HLOOKUP(AJ748,'Calc|Weightings'!$K$5:$M$5,1,0),"Excl")</f>
        <v>Labour</v>
      </c>
      <c r="AM748" s="7" t="str">
        <f>VLOOKUP(AC748,Mapping!$E$11:$I$96,5,0)</f>
        <v>SCS</v>
      </c>
      <c r="AO748" s="134">
        <v>136</v>
      </c>
      <c r="AP748" s="135" t="s">
        <v>2203</v>
      </c>
      <c r="AQ748" s="135">
        <v>604600</v>
      </c>
      <c r="AR748" s="135" t="s">
        <v>487</v>
      </c>
      <c r="AS748" s="136">
        <v>675.82547</v>
      </c>
      <c r="AU748" s="7" t="str">
        <f>VLOOKUP($AO748,Mapping!$E$11:$I$96,3,0)</f>
        <v>Metering Capex</v>
      </c>
      <c r="AV748" s="7" t="str">
        <f>VLOOKUP($AQ748,Mapping!$E$140:$K$2771,5,0)</f>
        <v>Corporate Services Fee</v>
      </c>
      <c r="AW748" s="7" t="str">
        <f>VLOOKUP($AQ748,Mapping!$E$140:$K$2771,7,0)</f>
        <v>ENDirect</v>
      </c>
      <c r="AX748" s="7" t="str">
        <f>IFERROR(HLOOKUP(AV748,'Calc|Weightings'!$K$5:$M$5,1,0),"Excl")</f>
        <v>Excl</v>
      </c>
      <c r="AY748" s="7" t="str">
        <f>VLOOKUP(AO748,Mapping!$E$11:$I$96,5,0)</f>
        <v>Metering Services</v>
      </c>
    </row>
    <row r="749" spans="1:51" x14ac:dyDescent="0.2">
      <c r="A749" s="7"/>
      <c r="B749" s="7"/>
      <c r="C749" s="7"/>
      <c r="D749" s="7"/>
      <c r="E749" s="36">
        <v>131</v>
      </c>
      <c r="F749" s="36" t="s">
        <v>2139</v>
      </c>
      <c r="G749" s="36">
        <v>531495</v>
      </c>
      <c r="H749" s="36" t="s">
        <v>2353</v>
      </c>
      <c r="I749" s="37">
        <v>0.73704999999999998</v>
      </c>
      <c r="J749" s="7"/>
      <c r="K749" s="7" t="str">
        <f>VLOOKUP($E749,Mapping!$E$11:$I$96,3,0)</f>
        <v>Replacement</v>
      </c>
      <c r="L749" s="7" t="str">
        <f>VLOOKUP($G749,Mapping!$E$140:$K$2771,5,0)</f>
        <v>Contracts</v>
      </c>
      <c r="M749" s="7" t="str">
        <f>VLOOKUP($G749,Mapping!$E$140:$K$2771,7,0)</f>
        <v>ENDirect</v>
      </c>
      <c r="N749" s="7" t="str">
        <f>IFERROR(HLOOKUP(L749,'Calc|Weightings'!$K$5:$M$5,1,0),"Excl")</f>
        <v>Contracts</v>
      </c>
      <c r="O749" s="7" t="str">
        <f>VLOOKUP(E749,Mapping!$E$11:$I$96,5,0)</f>
        <v>SCS</v>
      </c>
      <c r="Q749" s="33">
        <v>131</v>
      </c>
      <c r="R749" s="33" t="s">
        <v>2139</v>
      </c>
      <c r="S749" s="33">
        <v>613602</v>
      </c>
      <c r="T749" s="33" t="s">
        <v>1494</v>
      </c>
      <c r="U749" s="34">
        <v>2.05105</v>
      </c>
      <c r="V749" s="7"/>
      <c r="W749" s="7" t="str">
        <f>VLOOKUP($Q749,Mapping!$E$11:$I$96,3,0)</f>
        <v>Replacement</v>
      </c>
      <c r="X749" s="7" t="str">
        <f>VLOOKUP($S749,Mapping!$E$140:$K$2771,5,0)</f>
        <v>Labour</v>
      </c>
      <c r="Y749" s="7" t="str">
        <f>VLOOKUP($S749,Mapping!$E$140:$K$2771,7,0)</f>
        <v>ENDirect</v>
      </c>
      <c r="Z749" s="7" t="str">
        <f>IFERROR(HLOOKUP(X749,'Calc|Weightings'!$K$5:$M$5,1,0),"Excl")</f>
        <v>Labour</v>
      </c>
      <c r="AA749" s="7" t="str">
        <f>VLOOKUP(Q749,Mapping!$E$11:$I$96,5,0)</f>
        <v>SCS</v>
      </c>
      <c r="AC749" s="111">
        <v>131</v>
      </c>
      <c r="AD749" s="111" t="s">
        <v>2139</v>
      </c>
      <c r="AE749" s="111">
        <v>613244</v>
      </c>
      <c r="AF749" s="111" t="s">
        <v>2084</v>
      </c>
      <c r="AG749" s="112">
        <v>0.53076000000000001</v>
      </c>
      <c r="AI749" s="7" t="str">
        <f>VLOOKUP($AC749,Mapping!$E$11:$I$96,3,0)</f>
        <v>Replacement</v>
      </c>
      <c r="AJ749" s="7" t="str">
        <f>VLOOKUP($AE749,Mapping!$E$140:$K$2771,5,0)</f>
        <v>Labour</v>
      </c>
      <c r="AK749" s="7" t="str">
        <f>VLOOKUP($AE749,Mapping!$E$140:$K$2771,7,0)</f>
        <v>ENDirect</v>
      </c>
      <c r="AL749" s="7" t="str">
        <f>IFERROR(HLOOKUP(AJ749,'Calc|Weightings'!$K$5:$M$5,1,0),"Excl")</f>
        <v>Labour</v>
      </c>
      <c r="AM749" s="7" t="str">
        <f>VLOOKUP(AC749,Mapping!$E$11:$I$96,5,0)</f>
        <v>SCS</v>
      </c>
      <c r="AO749" s="134">
        <v>137</v>
      </c>
      <c r="AP749" s="135" t="s">
        <v>2144</v>
      </c>
      <c r="AQ749" s="135">
        <v>520100</v>
      </c>
      <c r="AR749" s="135" t="s">
        <v>2072</v>
      </c>
      <c r="AS749" s="136">
        <v>4.26823</v>
      </c>
      <c r="AU749" s="7" t="str">
        <f>VLOOKUP($AO749,Mapping!$E$11:$I$96,3,0)</f>
        <v>Metering Capex</v>
      </c>
      <c r="AV749" s="7" t="str">
        <f>VLOOKUP($AQ749,Mapping!$E$140:$K$2771,5,0)</f>
        <v>Materials</v>
      </c>
      <c r="AW749" s="7" t="str">
        <f>VLOOKUP($AQ749,Mapping!$E$140:$K$2771,7,0)</f>
        <v>ENDirect</v>
      </c>
      <c r="AX749" s="7" t="str">
        <f>IFERROR(HLOOKUP(AV749,'Calc|Weightings'!$K$5:$M$5,1,0),"Excl")</f>
        <v>Materials</v>
      </c>
      <c r="AY749" s="7" t="str">
        <f>VLOOKUP(AO749,Mapping!$E$11:$I$96,5,0)</f>
        <v>Metering Services</v>
      </c>
    </row>
    <row r="750" spans="1:51" x14ac:dyDescent="0.2">
      <c r="A750" s="7"/>
      <c r="B750" s="7"/>
      <c r="C750" s="7"/>
      <c r="D750" s="7"/>
      <c r="E750" s="36">
        <v>131</v>
      </c>
      <c r="F750" s="36" t="s">
        <v>2139</v>
      </c>
      <c r="G750" s="36">
        <v>582301</v>
      </c>
      <c r="H750" s="36" t="s">
        <v>382</v>
      </c>
      <c r="I750" s="37">
        <v>28.157</v>
      </c>
      <c r="J750" s="7"/>
      <c r="K750" s="7" t="str">
        <f>VLOOKUP($E750,Mapping!$E$11:$I$96,3,0)</f>
        <v>Replacement</v>
      </c>
      <c r="L750" s="7" t="str">
        <f>VLOOKUP($G750,Mapping!$E$140:$K$2771,5,0)</f>
        <v>Contracts</v>
      </c>
      <c r="M750" s="7" t="str">
        <f>VLOOKUP($G750,Mapping!$E$140:$K$2771,7,0)</f>
        <v>ENDirect</v>
      </c>
      <c r="N750" s="7" t="str">
        <f>IFERROR(HLOOKUP(L750,'Calc|Weightings'!$K$5:$M$5,1,0),"Excl")</f>
        <v>Contracts</v>
      </c>
      <c r="O750" s="7" t="str">
        <f>VLOOKUP(E750,Mapping!$E$11:$I$96,5,0)</f>
        <v>SCS</v>
      </c>
      <c r="Q750" s="33">
        <v>131</v>
      </c>
      <c r="R750" s="33" t="s">
        <v>2139</v>
      </c>
      <c r="S750" s="33">
        <v>613630</v>
      </c>
      <c r="T750" s="33" t="s">
        <v>1498</v>
      </c>
      <c r="U750" s="34">
        <v>2.7247699999999999</v>
      </c>
      <c r="V750" s="7"/>
      <c r="W750" s="7" t="str">
        <f>VLOOKUP($Q750,Mapping!$E$11:$I$96,3,0)</f>
        <v>Replacement</v>
      </c>
      <c r="X750" s="7" t="str">
        <f>VLOOKUP($S750,Mapping!$E$140:$K$2771,5,0)</f>
        <v>Labour</v>
      </c>
      <c r="Y750" s="7" t="str">
        <f>VLOOKUP($S750,Mapping!$E$140:$K$2771,7,0)</f>
        <v>ENDirect</v>
      </c>
      <c r="Z750" s="7" t="str">
        <f>IFERROR(HLOOKUP(X750,'Calc|Weightings'!$K$5:$M$5,1,0),"Excl")</f>
        <v>Labour</v>
      </c>
      <c r="AA750" s="7" t="str">
        <f>VLOOKUP(Q750,Mapping!$E$11:$I$96,5,0)</f>
        <v>SCS</v>
      </c>
      <c r="AC750" s="111">
        <v>131</v>
      </c>
      <c r="AD750" s="111" t="s">
        <v>2139</v>
      </c>
      <c r="AE750" s="111">
        <v>613250</v>
      </c>
      <c r="AF750" s="111" t="s">
        <v>2086</v>
      </c>
      <c r="AG750" s="112">
        <v>1511.1624400000001</v>
      </c>
      <c r="AI750" s="7" t="str">
        <f>VLOOKUP($AC750,Mapping!$E$11:$I$96,3,0)</f>
        <v>Replacement</v>
      </c>
      <c r="AJ750" s="7" t="str">
        <f>VLOOKUP($AE750,Mapping!$E$140:$K$2771,5,0)</f>
        <v>Labour</v>
      </c>
      <c r="AK750" s="7" t="str">
        <f>VLOOKUP($AE750,Mapping!$E$140:$K$2771,7,0)</f>
        <v>ENDirect</v>
      </c>
      <c r="AL750" s="7" t="str">
        <f>IFERROR(HLOOKUP(AJ750,'Calc|Weightings'!$K$5:$M$5,1,0),"Excl")</f>
        <v>Labour</v>
      </c>
      <c r="AM750" s="7" t="str">
        <f>VLOOKUP(AC750,Mapping!$E$11:$I$96,5,0)</f>
        <v>SCS</v>
      </c>
      <c r="AO750" s="134">
        <v>137</v>
      </c>
      <c r="AP750" s="135" t="s">
        <v>2144</v>
      </c>
      <c r="AQ750" s="135">
        <v>591997</v>
      </c>
      <c r="AR750" s="135" t="s">
        <v>2194</v>
      </c>
      <c r="AS750" s="136">
        <v>-0.19076000000000001</v>
      </c>
      <c r="AU750" s="7" t="str">
        <f>VLOOKUP($AO750,Mapping!$E$11:$I$96,3,0)</f>
        <v>Metering Capex</v>
      </c>
      <c r="AV750" s="7" t="str">
        <f>VLOOKUP($AQ750,Mapping!$E$140:$K$2771,5,0)</f>
        <v>Contracts</v>
      </c>
      <c r="AW750" s="7" t="str">
        <f>VLOOKUP($AQ750,Mapping!$E$140:$K$2771,7,0)</f>
        <v>ENDirect</v>
      </c>
      <c r="AX750" s="7" t="str">
        <f>IFERROR(HLOOKUP(AV750,'Calc|Weightings'!$K$5:$M$5,1,0),"Excl")</f>
        <v>Contracts</v>
      </c>
      <c r="AY750" s="7" t="str">
        <f>VLOOKUP(AO750,Mapping!$E$11:$I$96,5,0)</f>
        <v>Metering Services</v>
      </c>
    </row>
    <row r="751" spans="1:51" x14ac:dyDescent="0.2">
      <c r="A751" s="7"/>
      <c r="B751" s="7"/>
      <c r="C751" s="7"/>
      <c r="D751" s="7"/>
      <c r="E751" s="36">
        <v>131</v>
      </c>
      <c r="F751" s="36" t="s">
        <v>2139</v>
      </c>
      <c r="G751" s="36">
        <v>591997</v>
      </c>
      <c r="H751" s="36" t="s">
        <v>2194</v>
      </c>
      <c r="I751" s="37">
        <v>-0.45850999999999997</v>
      </c>
      <c r="J751" s="7"/>
      <c r="K751" s="7" t="str">
        <f>VLOOKUP($E751,Mapping!$E$11:$I$96,3,0)</f>
        <v>Replacement</v>
      </c>
      <c r="L751" s="7" t="str">
        <f>VLOOKUP($G751,Mapping!$E$140:$K$2771,5,0)</f>
        <v>Contracts</v>
      </c>
      <c r="M751" s="7" t="str">
        <f>VLOOKUP($G751,Mapping!$E$140:$K$2771,7,0)</f>
        <v>ENDirect</v>
      </c>
      <c r="N751" s="7" t="str">
        <f>IFERROR(HLOOKUP(L751,'Calc|Weightings'!$K$5:$M$5,1,0),"Excl")</f>
        <v>Contracts</v>
      </c>
      <c r="O751" s="7" t="str">
        <f>VLOOKUP(E751,Mapping!$E$11:$I$96,5,0)</f>
        <v>SCS</v>
      </c>
      <c r="Q751" s="33">
        <v>131</v>
      </c>
      <c r="R751" s="33" t="s">
        <v>2139</v>
      </c>
      <c r="S751" s="33">
        <v>613680</v>
      </c>
      <c r="T751" s="33" t="s">
        <v>2107</v>
      </c>
      <c r="U751" s="34">
        <v>115.83065000000001</v>
      </c>
      <c r="V751" s="7"/>
      <c r="W751" s="7" t="str">
        <f>VLOOKUP($Q751,Mapping!$E$11:$I$96,3,0)</f>
        <v>Replacement</v>
      </c>
      <c r="X751" s="7" t="str">
        <f>VLOOKUP($S751,Mapping!$E$140:$K$2771,5,0)</f>
        <v>Labour</v>
      </c>
      <c r="Y751" s="7" t="str">
        <f>VLOOKUP($S751,Mapping!$E$140:$K$2771,7,0)</f>
        <v>ENDirect</v>
      </c>
      <c r="Z751" s="7" t="str">
        <f>IFERROR(HLOOKUP(X751,'Calc|Weightings'!$K$5:$M$5,1,0),"Excl")</f>
        <v>Labour</v>
      </c>
      <c r="AA751" s="7" t="str">
        <f>VLOOKUP(Q751,Mapping!$E$11:$I$96,5,0)</f>
        <v>SCS</v>
      </c>
      <c r="AC751" s="111">
        <v>131</v>
      </c>
      <c r="AD751" s="111" t="s">
        <v>2139</v>
      </c>
      <c r="AE751" s="111">
        <v>613251</v>
      </c>
      <c r="AF751" s="111" t="s">
        <v>2087</v>
      </c>
      <c r="AG751" s="112">
        <v>117.98390000000001</v>
      </c>
      <c r="AI751" s="7" t="str">
        <f>VLOOKUP($AC751,Mapping!$E$11:$I$96,3,0)</f>
        <v>Replacement</v>
      </c>
      <c r="AJ751" s="7" t="str">
        <f>VLOOKUP($AE751,Mapping!$E$140:$K$2771,5,0)</f>
        <v>Labour</v>
      </c>
      <c r="AK751" s="7" t="str">
        <f>VLOOKUP($AE751,Mapping!$E$140:$K$2771,7,0)</f>
        <v>ENDirect</v>
      </c>
      <c r="AL751" s="7" t="str">
        <f>IFERROR(HLOOKUP(AJ751,'Calc|Weightings'!$K$5:$M$5,1,0),"Excl")</f>
        <v>Labour</v>
      </c>
      <c r="AM751" s="7" t="str">
        <f>VLOOKUP(AC751,Mapping!$E$11:$I$96,5,0)</f>
        <v>SCS</v>
      </c>
      <c r="AO751" s="134">
        <v>137</v>
      </c>
      <c r="AP751" s="135" t="s">
        <v>2144</v>
      </c>
      <c r="AQ751" s="135">
        <v>591999</v>
      </c>
      <c r="AR751" s="135" t="s">
        <v>2195</v>
      </c>
      <c r="AS751" s="136">
        <v>-1.3123499999999999</v>
      </c>
      <c r="AU751" s="7" t="str">
        <f>VLOOKUP($AO751,Mapping!$E$11:$I$96,3,0)</f>
        <v>Metering Capex</v>
      </c>
      <c r="AV751" s="7" t="str">
        <f>VLOOKUP($AQ751,Mapping!$E$140:$K$2771,5,0)</f>
        <v>Contracts</v>
      </c>
      <c r="AW751" s="7" t="str">
        <f>VLOOKUP($AQ751,Mapping!$E$140:$K$2771,7,0)</f>
        <v>ENDirect</v>
      </c>
      <c r="AX751" s="7" t="str">
        <f>IFERROR(HLOOKUP(AV751,'Calc|Weightings'!$K$5:$M$5,1,0),"Excl")</f>
        <v>Contracts</v>
      </c>
      <c r="AY751" s="7" t="str">
        <f>VLOOKUP(AO751,Mapping!$E$11:$I$96,5,0)</f>
        <v>Metering Services</v>
      </c>
    </row>
    <row r="752" spans="1:51" x14ac:dyDescent="0.2">
      <c r="A752" s="7"/>
      <c r="B752" s="7"/>
      <c r="C752" s="7"/>
      <c r="D752" s="7"/>
      <c r="E752" s="36">
        <v>131</v>
      </c>
      <c r="F752" s="36" t="s">
        <v>2139</v>
      </c>
      <c r="G752" s="36">
        <v>591999</v>
      </c>
      <c r="H752" s="36" t="s">
        <v>2195</v>
      </c>
      <c r="I752" s="37">
        <v>-2.0210699999999999</v>
      </c>
      <c r="J752" s="7"/>
      <c r="K752" s="7" t="str">
        <f>VLOOKUP($E752,Mapping!$E$11:$I$96,3,0)</f>
        <v>Replacement</v>
      </c>
      <c r="L752" s="7" t="str">
        <f>VLOOKUP($G752,Mapping!$E$140:$K$2771,5,0)</f>
        <v>Contracts</v>
      </c>
      <c r="M752" s="7" t="str">
        <f>VLOOKUP($G752,Mapping!$E$140:$K$2771,7,0)</f>
        <v>ENDirect</v>
      </c>
      <c r="N752" s="7" t="str">
        <f>IFERROR(HLOOKUP(L752,'Calc|Weightings'!$K$5:$M$5,1,0),"Excl")</f>
        <v>Contracts</v>
      </c>
      <c r="O752" s="7" t="str">
        <f>VLOOKUP(E752,Mapping!$E$11:$I$96,5,0)</f>
        <v>SCS</v>
      </c>
      <c r="Q752" s="33">
        <v>131</v>
      </c>
      <c r="R752" s="33" t="s">
        <v>2139</v>
      </c>
      <c r="S752" s="33">
        <v>613681</v>
      </c>
      <c r="T752" s="33" t="s">
        <v>2108</v>
      </c>
      <c r="U752" s="34">
        <v>0.41322999999999999</v>
      </c>
      <c r="V752" s="7"/>
      <c r="W752" s="7" t="str">
        <f>VLOOKUP($Q752,Mapping!$E$11:$I$96,3,0)</f>
        <v>Replacement</v>
      </c>
      <c r="X752" s="7" t="str">
        <f>VLOOKUP($S752,Mapping!$E$140:$K$2771,5,0)</f>
        <v>Labour</v>
      </c>
      <c r="Y752" s="7" t="str">
        <f>VLOOKUP($S752,Mapping!$E$140:$K$2771,7,0)</f>
        <v>ENDirect</v>
      </c>
      <c r="Z752" s="7" t="str">
        <f>IFERROR(HLOOKUP(X752,'Calc|Weightings'!$K$5:$M$5,1,0),"Excl")</f>
        <v>Labour</v>
      </c>
      <c r="AA752" s="7" t="str">
        <f>VLOOKUP(Q752,Mapping!$E$11:$I$96,5,0)</f>
        <v>SCS</v>
      </c>
      <c r="AC752" s="111">
        <v>131</v>
      </c>
      <c r="AD752" s="111" t="s">
        <v>2139</v>
      </c>
      <c r="AE752" s="111">
        <v>613254</v>
      </c>
      <c r="AF752" s="111" t="s">
        <v>2088</v>
      </c>
      <c r="AG752" s="112">
        <v>3.4751799999999999</v>
      </c>
      <c r="AI752" s="7" t="str">
        <f>VLOOKUP($AC752,Mapping!$E$11:$I$96,3,0)</f>
        <v>Replacement</v>
      </c>
      <c r="AJ752" s="7" t="str">
        <f>VLOOKUP($AE752,Mapping!$E$140:$K$2771,5,0)</f>
        <v>Labour</v>
      </c>
      <c r="AK752" s="7" t="str">
        <f>VLOOKUP($AE752,Mapping!$E$140:$K$2771,7,0)</f>
        <v>ENDirect</v>
      </c>
      <c r="AL752" s="7" t="str">
        <f>IFERROR(HLOOKUP(AJ752,'Calc|Weightings'!$K$5:$M$5,1,0),"Excl")</f>
        <v>Labour</v>
      </c>
      <c r="AM752" s="7" t="str">
        <f>VLOOKUP(AC752,Mapping!$E$11:$I$96,5,0)</f>
        <v>SCS</v>
      </c>
      <c r="AO752" s="134">
        <v>137</v>
      </c>
      <c r="AP752" s="135" t="s">
        <v>2144</v>
      </c>
      <c r="AQ752" s="135">
        <v>604600</v>
      </c>
      <c r="AR752" s="135" t="s">
        <v>487</v>
      </c>
      <c r="AS752" s="136">
        <v>32.047669999999997</v>
      </c>
      <c r="AU752" s="7" t="str">
        <f>VLOOKUP($AO752,Mapping!$E$11:$I$96,3,0)</f>
        <v>Metering Capex</v>
      </c>
      <c r="AV752" s="7" t="str">
        <f>VLOOKUP($AQ752,Mapping!$E$140:$K$2771,5,0)</f>
        <v>Corporate Services Fee</v>
      </c>
      <c r="AW752" s="7" t="str">
        <f>VLOOKUP($AQ752,Mapping!$E$140:$K$2771,7,0)</f>
        <v>ENDirect</v>
      </c>
      <c r="AX752" s="7" t="str">
        <f>IFERROR(HLOOKUP(AV752,'Calc|Weightings'!$K$5:$M$5,1,0),"Excl")</f>
        <v>Excl</v>
      </c>
      <c r="AY752" s="7" t="str">
        <f>VLOOKUP(AO752,Mapping!$E$11:$I$96,5,0)</f>
        <v>Metering Services</v>
      </c>
    </row>
    <row r="753" spans="1:51" x14ac:dyDescent="0.2">
      <c r="A753" s="7"/>
      <c r="B753" s="7"/>
      <c r="C753" s="7"/>
      <c r="D753" s="7"/>
      <c r="E753" s="36">
        <v>131</v>
      </c>
      <c r="F753" s="36" t="s">
        <v>2139</v>
      </c>
      <c r="G753" s="36">
        <v>611860</v>
      </c>
      <c r="H753" s="36" t="s">
        <v>2125</v>
      </c>
      <c r="I753" s="37">
        <v>-351.74892</v>
      </c>
      <c r="J753" s="7"/>
      <c r="K753" s="7" t="str">
        <f>VLOOKUP($E753,Mapping!$E$11:$I$96,3,0)</f>
        <v>Replacement</v>
      </c>
      <c r="L753" s="7" t="str">
        <f>VLOOKUP($G753,Mapping!$E$140:$K$2771,5,0)</f>
        <v>Labour</v>
      </c>
      <c r="M753" s="7" t="str">
        <f>VLOOKUP($G753,Mapping!$E$140:$K$2771,7,0)</f>
        <v>ENDirect</v>
      </c>
      <c r="N753" s="7" t="str">
        <f>IFERROR(HLOOKUP(L753,'Calc|Weightings'!$K$5:$M$5,1,0),"Excl")</f>
        <v>Labour</v>
      </c>
      <c r="O753" s="7" t="str">
        <f>VLOOKUP(E753,Mapping!$E$11:$I$96,5,0)</f>
        <v>SCS</v>
      </c>
      <c r="Q753" s="33">
        <v>131</v>
      </c>
      <c r="R753" s="33" t="s">
        <v>2139</v>
      </c>
      <c r="S753" s="33">
        <v>613800</v>
      </c>
      <c r="T753" s="33" t="s">
        <v>2142</v>
      </c>
      <c r="U753" s="34">
        <v>-198.59773000000001</v>
      </c>
      <c r="V753" s="7"/>
      <c r="W753" s="7" t="str">
        <f>VLOOKUP($Q753,Mapping!$E$11:$I$96,3,0)</f>
        <v>Replacement</v>
      </c>
      <c r="X753" s="7" t="str">
        <f>VLOOKUP($S753,Mapping!$E$140:$K$2771,5,0)</f>
        <v>Materials</v>
      </c>
      <c r="Y753" s="7" t="str">
        <f>VLOOKUP($S753,Mapping!$E$140:$K$2771,7,0)</f>
        <v>ENDirect</v>
      </c>
      <c r="Z753" s="7" t="str">
        <f>IFERROR(HLOOKUP(X753,'Calc|Weightings'!$K$5:$M$5,1,0),"Excl")</f>
        <v>Materials</v>
      </c>
      <c r="AA753" s="7" t="str">
        <f>VLOOKUP(Q753,Mapping!$E$11:$I$96,5,0)</f>
        <v>SCS</v>
      </c>
      <c r="AC753" s="111">
        <v>131</v>
      </c>
      <c r="AD753" s="111" t="s">
        <v>2139</v>
      </c>
      <c r="AE753" s="111">
        <v>613260</v>
      </c>
      <c r="AF753" s="111" t="s">
        <v>2090</v>
      </c>
      <c r="AG753" s="112">
        <v>3.7281599999999999</v>
      </c>
      <c r="AI753" s="7" t="str">
        <f>VLOOKUP($AC753,Mapping!$E$11:$I$96,3,0)</f>
        <v>Replacement</v>
      </c>
      <c r="AJ753" s="7" t="str">
        <f>VLOOKUP($AE753,Mapping!$E$140:$K$2771,5,0)</f>
        <v>Labour</v>
      </c>
      <c r="AK753" s="7" t="str">
        <f>VLOOKUP($AE753,Mapping!$E$140:$K$2771,7,0)</f>
        <v>ENDirect</v>
      </c>
      <c r="AL753" s="7" t="str">
        <f>IFERROR(HLOOKUP(AJ753,'Calc|Weightings'!$K$5:$M$5,1,0),"Excl")</f>
        <v>Labour</v>
      </c>
      <c r="AM753" s="7" t="str">
        <f>VLOOKUP(AC753,Mapping!$E$11:$I$96,5,0)</f>
        <v>SCS</v>
      </c>
      <c r="AO753" s="134">
        <v>137</v>
      </c>
      <c r="AP753" s="135" t="s">
        <v>2144</v>
      </c>
      <c r="AQ753" s="135">
        <v>611900</v>
      </c>
      <c r="AR753" s="135" t="s">
        <v>2079</v>
      </c>
      <c r="AS753" s="136">
        <v>0.25541000000000003</v>
      </c>
      <c r="AU753" s="7" t="str">
        <f>VLOOKUP($AO753,Mapping!$E$11:$I$96,3,0)</f>
        <v>Metering Capex</v>
      </c>
      <c r="AV753" s="7" t="str">
        <f>VLOOKUP($AQ753,Mapping!$E$140:$K$2771,5,0)</f>
        <v>Contracts</v>
      </c>
      <c r="AW753" s="7" t="str">
        <f>VLOOKUP($AQ753,Mapping!$E$140:$K$2771,7,0)</f>
        <v>ENDirect</v>
      </c>
      <c r="AX753" s="7" t="str">
        <f>IFERROR(HLOOKUP(AV753,'Calc|Weightings'!$K$5:$M$5,1,0),"Excl")</f>
        <v>Contracts</v>
      </c>
      <c r="AY753" s="7" t="str">
        <f>VLOOKUP(AO753,Mapping!$E$11:$I$96,5,0)</f>
        <v>Metering Services</v>
      </c>
    </row>
    <row r="754" spans="1:51" x14ac:dyDescent="0.2">
      <c r="A754" s="7"/>
      <c r="B754" s="7"/>
      <c r="C754" s="7"/>
      <c r="D754" s="7"/>
      <c r="E754" s="36">
        <v>131</v>
      </c>
      <c r="F754" s="36" t="s">
        <v>2139</v>
      </c>
      <c r="G754" s="36">
        <v>611861</v>
      </c>
      <c r="H754" s="36" t="s">
        <v>2140</v>
      </c>
      <c r="I754" s="37">
        <v>-285.70098999999999</v>
      </c>
      <c r="J754" s="7"/>
      <c r="K754" s="7" t="str">
        <f>VLOOKUP($E754,Mapping!$E$11:$I$96,3,0)</f>
        <v>Replacement</v>
      </c>
      <c r="L754" s="7" t="str">
        <f>VLOOKUP($G754,Mapping!$E$140:$K$2771,5,0)</f>
        <v>Labour</v>
      </c>
      <c r="M754" s="7" t="str">
        <f>VLOOKUP($G754,Mapping!$E$140:$K$2771,7,0)</f>
        <v>ENDirect</v>
      </c>
      <c r="N754" s="7" t="str">
        <f>IFERROR(HLOOKUP(L754,'Calc|Weightings'!$K$5:$M$5,1,0),"Excl")</f>
        <v>Labour</v>
      </c>
      <c r="O754" s="7" t="str">
        <f>VLOOKUP(E754,Mapping!$E$11:$I$96,5,0)</f>
        <v>SCS</v>
      </c>
      <c r="Q754" s="33">
        <v>131</v>
      </c>
      <c r="R754" s="33" t="s">
        <v>2139</v>
      </c>
      <c r="S754" s="33">
        <v>613964</v>
      </c>
      <c r="T754" s="33" t="s">
        <v>1650</v>
      </c>
      <c r="U754" s="34">
        <v>0.53490000000000004</v>
      </c>
      <c r="V754" s="7"/>
      <c r="W754" s="7" t="str">
        <f>VLOOKUP($Q754,Mapping!$E$11:$I$96,3,0)</f>
        <v>Replacement</v>
      </c>
      <c r="X754" s="7" t="str">
        <f>VLOOKUP($S754,Mapping!$E$140:$K$2771,5,0)</f>
        <v>Contracts</v>
      </c>
      <c r="Y754" s="7" t="str">
        <f>VLOOKUP($S754,Mapping!$E$140:$K$2771,7,0)</f>
        <v>ENDirect</v>
      </c>
      <c r="Z754" s="7" t="str">
        <f>IFERROR(HLOOKUP(X754,'Calc|Weightings'!$K$5:$M$5,1,0),"Excl")</f>
        <v>Contracts</v>
      </c>
      <c r="AA754" s="7" t="str">
        <f>VLOOKUP(Q754,Mapping!$E$11:$I$96,5,0)</f>
        <v>SCS</v>
      </c>
      <c r="AC754" s="111">
        <v>131</v>
      </c>
      <c r="AD754" s="111" t="s">
        <v>2139</v>
      </c>
      <c r="AE754" s="111">
        <v>613261</v>
      </c>
      <c r="AF754" s="111" t="s">
        <v>2091</v>
      </c>
      <c r="AG754" s="112">
        <v>0.31940000000000002</v>
      </c>
      <c r="AI754" s="7" t="str">
        <f>VLOOKUP($AC754,Mapping!$E$11:$I$96,3,0)</f>
        <v>Replacement</v>
      </c>
      <c r="AJ754" s="7" t="str">
        <f>VLOOKUP($AE754,Mapping!$E$140:$K$2771,5,0)</f>
        <v>Labour</v>
      </c>
      <c r="AK754" s="7" t="str">
        <f>VLOOKUP($AE754,Mapping!$E$140:$K$2771,7,0)</f>
        <v>ENDirect</v>
      </c>
      <c r="AL754" s="7" t="str">
        <f>IFERROR(HLOOKUP(AJ754,'Calc|Weightings'!$K$5:$M$5,1,0),"Excl")</f>
        <v>Labour</v>
      </c>
      <c r="AM754" s="7" t="str">
        <f>VLOOKUP(AC754,Mapping!$E$11:$I$96,5,0)</f>
        <v>SCS</v>
      </c>
      <c r="AO754" s="134">
        <v>137</v>
      </c>
      <c r="AP754" s="135" t="s">
        <v>2144</v>
      </c>
      <c r="AQ754" s="135">
        <v>613240</v>
      </c>
      <c r="AR754" s="135" t="s">
        <v>2082</v>
      </c>
      <c r="AS754" s="136">
        <v>11.498060000000001</v>
      </c>
      <c r="AU754" s="7" t="str">
        <f>VLOOKUP($AO754,Mapping!$E$11:$I$96,3,0)</f>
        <v>Metering Capex</v>
      </c>
      <c r="AV754" s="7" t="str">
        <f>VLOOKUP($AQ754,Mapping!$E$140:$K$2771,5,0)</f>
        <v>Labour</v>
      </c>
      <c r="AW754" s="7" t="str">
        <f>VLOOKUP($AQ754,Mapping!$E$140:$K$2771,7,0)</f>
        <v>ENDirect</v>
      </c>
      <c r="AX754" s="7" t="str">
        <f>IFERROR(HLOOKUP(AV754,'Calc|Weightings'!$K$5:$M$5,1,0),"Excl")</f>
        <v>Labour</v>
      </c>
      <c r="AY754" s="7" t="str">
        <f>VLOOKUP(AO754,Mapping!$E$11:$I$96,5,0)</f>
        <v>Metering Services</v>
      </c>
    </row>
    <row r="755" spans="1:51" x14ac:dyDescent="0.2">
      <c r="A755" s="7"/>
      <c r="B755" s="7"/>
      <c r="C755" s="7"/>
      <c r="D755" s="7"/>
      <c r="E755" s="36">
        <v>131</v>
      </c>
      <c r="F755" s="36" t="s">
        <v>2139</v>
      </c>
      <c r="G755" s="36">
        <v>611900</v>
      </c>
      <c r="H755" s="36" t="s">
        <v>2079</v>
      </c>
      <c r="I755" s="37">
        <v>21.64668</v>
      </c>
      <c r="J755" s="7"/>
      <c r="K755" s="7" t="str">
        <f>VLOOKUP($E755,Mapping!$E$11:$I$96,3,0)</f>
        <v>Replacement</v>
      </c>
      <c r="L755" s="7" t="str">
        <f>VLOOKUP($G755,Mapping!$E$140:$K$2771,5,0)</f>
        <v>Contracts</v>
      </c>
      <c r="M755" s="7" t="str">
        <f>VLOOKUP($G755,Mapping!$E$140:$K$2771,7,0)</f>
        <v>ENDirect</v>
      </c>
      <c r="N755" s="7" t="str">
        <f>IFERROR(HLOOKUP(L755,'Calc|Weightings'!$K$5:$M$5,1,0),"Excl")</f>
        <v>Contracts</v>
      </c>
      <c r="O755" s="7" t="str">
        <f>VLOOKUP(E755,Mapping!$E$11:$I$96,5,0)</f>
        <v>SCS</v>
      </c>
      <c r="Q755" s="33">
        <v>131</v>
      </c>
      <c r="R755" s="33" t="s">
        <v>2139</v>
      </c>
      <c r="S755" s="33">
        <v>634001</v>
      </c>
      <c r="T755" s="33" t="s">
        <v>2110</v>
      </c>
      <c r="U755" s="34">
        <v>360.20765999999998</v>
      </c>
      <c r="V755" s="7"/>
      <c r="W755" s="7" t="str">
        <f>VLOOKUP($Q755,Mapping!$E$11:$I$96,3,0)</f>
        <v>Replacement</v>
      </c>
      <c r="X755" s="7" t="str">
        <f>VLOOKUP($S755,Mapping!$E$140:$K$2771,5,0)</f>
        <v>Local OH</v>
      </c>
      <c r="Y755" s="7" t="str">
        <f>VLOOKUP($S755,Mapping!$E$140:$K$2771,7,0)</f>
        <v>OH</v>
      </c>
      <c r="Z755" s="7" t="str">
        <f>IFERROR(HLOOKUP(X755,'Calc|Weightings'!$K$5:$M$5,1,0),"Excl")</f>
        <v>Excl</v>
      </c>
      <c r="AA755" s="7" t="str">
        <f>VLOOKUP(Q755,Mapping!$E$11:$I$96,5,0)</f>
        <v>SCS</v>
      </c>
      <c r="AC755" s="111">
        <v>131</v>
      </c>
      <c r="AD755" s="111" t="s">
        <v>2139</v>
      </c>
      <c r="AE755" s="111">
        <v>613280</v>
      </c>
      <c r="AF755" s="111" t="s">
        <v>1342</v>
      </c>
      <c r="AG755" s="112">
        <v>57.864339999999999</v>
      </c>
      <c r="AI755" s="7" t="str">
        <f>VLOOKUP($AC755,Mapping!$E$11:$I$96,3,0)</f>
        <v>Replacement</v>
      </c>
      <c r="AJ755" s="7" t="str">
        <f>VLOOKUP($AE755,Mapping!$E$140:$K$2771,5,0)</f>
        <v>Labour</v>
      </c>
      <c r="AK755" s="7" t="str">
        <f>VLOOKUP($AE755,Mapping!$E$140:$K$2771,7,0)</f>
        <v>ENDirect</v>
      </c>
      <c r="AL755" s="7" t="str">
        <f>IFERROR(HLOOKUP(AJ755,'Calc|Weightings'!$K$5:$M$5,1,0),"Excl")</f>
        <v>Labour</v>
      </c>
      <c r="AM755" s="7" t="str">
        <f>VLOOKUP(AC755,Mapping!$E$11:$I$96,5,0)</f>
        <v>SCS</v>
      </c>
      <c r="AO755" s="134">
        <v>137</v>
      </c>
      <c r="AP755" s="135" t="s">
        <v>2144</v>
      </c>
      <c r="AQ755" s="135">
        <v>613241</v>
      </c>
      <c r="AR755" s="135" t="s">
        <v>2083</v>
      </c>
      <c r="AS755" s="136">
        <v>1.70499</v>
      </c>
      <c r="AU755" s="7" t="str">
        <f>VLOOKUP($AO755,Mapping!$E$11:$I$96,3,0)</f>
        <v>Metering Capex</v>
      </c>
      <c r="AV755" s="7" t="str">
        <f>VLOOKUP($AQ755,Mapping!$E$140:$K$2771,5,0)</f>
        <v>Labour</v>
      </c>
      <c r="AW755" s="7" t="str">
        <f>VLOOKUP($AQ755,Mapping!$E$140:$K$2771,7,0)</f>
        <v>ENDirect</v>
      </c>
      <c r="AX755" s="7" t="str">
        <f>IFERROR(HLOOKUP(AV755,'Calc|Weightings'!$K$5:$M$5,1,0),"Excl")</f>
        <v>Labour</v>
      </c>
      <c r="AY755" s="7" t="str">
        <f>VLOOKUP(AO755,Mapping!$E$11:$I$96,5,0)</f>
        <v>Metering Services</v>
      </c>
    </row>
    <row r="756" spans="1:51" x14ac:dyDescent="0.2">
      <c r="A756" s="7"/>
      <c r="B756" s="7"/>
      <c r="C756" s="7"/>
      <c r="D756" s="7"/>
      <c r="E756" s="36">
        <v>131</v>
      </c>
      <c r="F756" s="36" t="s">
        <v>2139</v>
      </c>
      <c r="G756" s="36">
        <v>611901</v>
      </c>
      <c r="H756" s="36" t="s">
        <v>2080</v>
      </c>
      <c r="I756" s="37">
        <v>4.5590599999999997</v>
      </c>
      <c r="J756" s="7"/>
      <c r="K756" s="7" t="str">
        <f>VLOOKUP($E756,Mapping!$E$11:$I$96,3,0)</f>
        <v>Replacement</v>
      </c>
      <c r="L756" s="7" t="str">
        <f>VLOOKUP($G756,Mapping!$E$140:$K$2771,5,0)</f>
        <v>Contracts</v>
      </c>
      <c r="M756" s="7" t="str">
        <f>VLOOKUP($G756,Mapping!$E$140:$K$2771,7,0)</f>
        <v>ENDirect</v>
      </c>
      <c r="N756" s="7" t="str">
        <f>IFERROR(HLOOKUP(L756,'Calc|Weightings'!$K$5:$M$5,1,0),"Excl")</f>
        <v>Contracts</v>
      </c>
      <c r="O756" s="7" t="str">
        <f>VLOOKUP(E756,Mapping!$E$11:$I$96,5,0)</f>
        <v>SCS</v>
      </c>
      <c r="Q756" s="33">
        <v>131</v>
      </c>
      <c r="R756" s="33" t="s">
        <v>2139</v>
      </c>
      <c r="S756" s="33">
        <v>635001</v>
      </c>
      <c r="T756" s="33" t="s">
        <v>1929</v>
      </c>
      <c r="U756" s="34">
        <v>247.26774</v>
      </c>
      <c r="V756" s="7"/>
      <c r="W756" s="7" t="str">
        <f>VLOOKUP($Q756,Mapping!$E$11:$I$96,3,0)</f>
        <v>Replacement</v>
      </c>
      <c r="X756" s="7" t="str">
        <f>VLOOKUP($S756,Mapping!$E$140:$K$2771,5,0)</f>
        <v>PNS MG</v>
      </c>
      <c r="Y756" s="7" t="str">
        <f>VLOOKUP($S756,Mapping!$E$140:$K$2771,7,0)</f>
        <v>ENDirect</v>
      </c>
      <c r="Z756" s="7" t="str">
        <f>IFERROR(HLOOKUP(X756,'Calc|Weightings'!$K$5:$M$5,1,0),"Excl")</f>
        <v>Excl</v>
      </c>
      <c r="AA756" s="7" t="str">
        <f>VLOOKUP(Q756,Mapping!$E$11:$I$96,5,0)</f>
        <v>SCS</v>
      </c>
      <c r="AC756" s="111">
        <v>131</v>
      </c>
      <c r="AD756" s="111" t="s">
        <v>2139</v>
      </c>
      <c r="AE756" s="111">
        <v>613281</v>
      </c>
      <c r="AF756" s="111" t="s">
        <v>1343</v>
      </c>
      <c r="AG756" s="112">
        <v>0.31012000000000001</v>
      </c>
      <c r="AI756" s="7" t="str">
        <f>VLOOKUP($AC756,Mapping!$E$11:$I$96,3,0)</f>
        <v>Replacement</v>
      </c>
      <c r="AJ756" s="7" t="str">
        <f>VLOOKUP($AE756,Mapping!$E$140:$K$2771,5,0)</f>
        <v>Labour</v>
      </c>
      <c r="AK756" s="7" t="str">
        <f>VLOOKUP($AE756,Mapping!$E$140:$K$2771,7,0)</f>
        <v>ENDirect</v>
      </c>
      <c r="AL756" s="7" t="str">
        <f>IFERROR(HLOOKUP(AJ756,'Calc|Weightings'!$K$5:$M$5,1,0),"Excl")</f>
        <v>Labour</v>
      </c>
      <c r="AM756" s="7" t="str">
        <f>VLOOKUP(AC756,Mapping!$E$11:$I$96,5,0)</f>
        <v>SCS</v>
      </c>
      <c r="AO756" s="134">
        <v>137</v>
      </c>
      <c r="AP756" s="135" t="s">
        <v>2144</v>
      </c>
      <c r="AQ756" s="135">
        <v>613250</v>
      </c>
      <c r="AR756" s="135" t="s">
        <v>2086</v>
      </c>
      <c r="AS756" s="136">
        <v>14.961790000000001</v>
      </c>
      <c r="AU756" s="7" t="str">
        <f>VLOOKUP($AO756,Mapping!$E$11:$I$96,3,0)</f>
        <v>Metering Capex</v>
      </c>
      <c r="AV756" s="7" t="str">
        <f>VLOOKUP($AQ756,Mapping!$E$140:$K$2771,5,0)</f>
        <v>Labour</v>
      </c>
      <c r="AW756" s="7" t="str">
        <f>VLOOKUP($AQ756,Mapping!$E$140:$K$2771,7,0)</f>
        <v>ENDirect</v>
      </c>
      <c r="AX756" s="7" t="str">
        <f>IFERROR(HLOOKUP(AV756,'Calc|Weightings'!$K$5:$M$5,1,0),"Excl")</f>
        <v>Labour</v>
      </c>
      <c r="AY756" s="7" t="str">
        <f>VLOOKUP(AO756,Mapping!$E$11:$I$96,5,0)</f>
        <v>Metering Services</v>
      </c>
    </row>
    <row r="757" spans="1:51" x14ac:dyDescent="0.2">
      <c r="A757" s="7"/>
      <c r="B757" s="7"/>
      <c r="C757" s="7"/>
      <c r="D757" s="7"/>
      <c r="E757" s="36">
        <v>131</v>
      </c>
      <c r="F757" s="36" t="s">
        <v>2139</v>
      </c>
      <c r="G757" s="36">
        <v>611902</v>
      </c>
      <c r="H757" s="36" t="s">
        <v>2081</v>
      </c>
      <c r="I757" s="37">
        <v>5.9100000000000003E-3</v>
      </c>
      <c r="J757" s="7"/>
      <c r="K757" s="7" t="str">
        <f>VLOOKUP($E757,Mapping!$E$11:$I$96,3,0)</f>
        <v>Replacement</v>
      </c>
      <c r="L757" s="7" t="str">
        <f>VLOOKUP($G757,Mapping!$E$140:$K$2771,5,0)</f>
        <v>Contracts</v>
      </c>
      <c r="M757" s="7" t="str">
        <f>VLOOKUP($G757,Mapping!$E$140:$K$2771,7,0)</f>
        <v>ENDirect</v>
      </c>
      <c r="N757" s="7" t="str">
        <f>IFERROR(HLOOKUP(L757,'Calc|Weightings'!$K$5:$M$5,1,0),"Excl")</f>
        <v>Contracts</v>
      </c>
      <c r="O757" s="7" t="str">
        <f>VLOOKUP(E757,Mapping!$E$11:$I$96,5,0)</f>
        <v>SCS</v>
      </c>
      <c r="Q757" s="33">
        <v>131</v>
      </c>
      <c r="R757" s="33" t="s">
        <v>2139</v>
      </c>
      <c r="S757" s="33">
        <v>636001</v>
      </c>
      <c r="T757" s="33" t="s">
        <v>2111</v>
      </c>
      <c r="U757" s="34">
        <v>110.21787999999999</v>
      </c>
      <c r="V757" s="7"/>
      <c r="W757" s="7" t="str">
        <f>VLOOKUP($Q757,Mapping!$E$11:$I$96,3,0)</f>
        <v>Replacement</v>
      </c>
      <c r="X757" s="7" t="str">
        <f>VLOOKUP($S757,Mapping!$E$140:$K$2771,5,0)</f>
        <v>System Control OH</v>
      </c>
      <c r="Y757" s="7" t="str">
        <f>VLOOKUP($S757,Mapping!$E$140:$K$2771,7,0)</f>
        <v>OH</v>
      </c>
      <c r="Z757" s="7" t="str">
        <f>IFERROR(HLOOKUP(X757,'Calc|Weightings'!$K$5:$M$5,1,0),"Excl")</f>
        <v>Excl</v>
      </c>
      <c r="AA757" s="7" t="str">
        <f>VLOOKUP(Q757,Mapping!$E$11:$I$96,5,0)</f>
        <v>SCS</v>
      </c>
      <c r="AC757" s="111">
        <v>131</v>
      </c>
      <c r="AD757" s="111" t="s">
        <v>2139</v>
      </c>
      <c r="AE757" s="111">
        <v>613290</v>
      </c>
      <c r="AF757" s="111" t="s">
        <v>2093</v>
      </c>
      <c r="AG757" s="112">
        <v>222.08620999999999</v>
      </c>
      <c r="AI757" s="7" t="str">
        <f>VLOOKUP($AC757,Mapping!$E$11:$I$96,3,0)</f>
        <v>Replacement</v>
      </c>
      <c r="AJ757" s="7" t="str">
        <f>VLOOKUP($AE757,Mapping!$E$140:$K$2771,5,0)</f>
        <v>Labour</v>
      </c>
      <c r="AK757" s="7" t="str">
        <f>VLOOKUP($AE757,Mapping!$E$140:$K$2771,7,0)</f>
        <v>ENDirect</v>
      </c>
      <c r="AL757" s="7" t="str">
        <f>IFERROR(HLOOKUP(AJ757,'Calc|Weightings'!$K$5:$M$5,1,0),"Excl")</f>
        <v>Labour</v>
      </c>
      <c r="AM757" s="7" t="str">
        <f>VLOOKUP(AC757,Mapping!$E$11:$I$96,5,0)</f>
        <v>SCS</v>
      </c>
      <c r="AO757" s="134">
        <v>137</v>
      </c>
      <c r="AP757" s="135" t="s">
        <v>2144</v>
      </c>
      <c r="AQ757" s="135">
        <v>613251</v>
      </c>
      <c r="AR757" s="135" t="s">
        <v>2087</v>
      </c>
      <c r="AS757" s="136">
        <v>8.4697700000000005</v>
      </c>
      <c r="AU757" s="7" t="str">
        <f>VLOOKUP($AO757,Mapping!$E$11:$I$96,3,0)</f>
        <v>Metering Capex</v>
      </c>
      <c r="AV757" s="7" t="str">
        <f>VLOOKUP($AQ757,Mapping!$E$140:$K$2771,5,0)</f>
        <v>Labour</v>
      </c>
      <c r="AW757" s="7" t="str">
        <f>VLOOKUP($AQ757,Mapping!$E$140:$K$2771,7,0)</f>
        <v>ENDirect</v>
      </c>
      <c r="AX757" s="7" t="str">
        <f>IFERROR(HLOOKUP(AV757,'Calc|Weightings'!$K$5:$M$5,1,0),"Excl")</f>
        <v>Labour</v>
      </c>
      <c r="AY757" s="7" t="str">
        <f>VLOOKUP(AO757,Mapping!$E$11:$I$96,5,0)</f>
        <v>Metering Services</v>
      </c>
    </row>
    <row r="758" spans="1:51" x14ac:dyDescent="0.2">
      <c r="A758" s="7"/>
      <c r="B758" s="7"/>
      <c r="C758" s="7"/>
      <c r="D758" s="7"/>
      <c r="E758" s="36">
        <v>131</v>
      </c>
      <c r="F758" s="36" t="s">
        <v>2139</v>
      </c>
      <c r="G758" s="36">
        <v>612210</v>
      </c>
      <c r="H758" s="36" t="s">
        <v>1184</v>
      </c>
      <c r="I758" s="37">
        <v>2.0996299999999999</v>
      </c>
      <c r="J758" s="7"/>
      <c r="K758" s="7" t="str">
        <f>VLOOKUP($E758,Mapping!$E$11:$I$96,3,0)</f>
        <v>Replacement</v>
      </c>
      <c r="L758" s="7" t="str">
        <f>VLOOKUP($G758,Mapping!$E$140:$K$2771,5,0)</f>
        <v>Labour</v>
      </c>
      <c r="M758" s="7" t="str">
        <f>VLOOKUP($G758,Mapping!$E$140:$K$2771,7,0)</f>
        <v>ENDirect</v>
      </c>
      <c r="N758" s="7" t="str">
        <f>IFERROR(HLOOKUP(L758,'Calc|Weightings'!$K$5:$M$5,1,0),"Excl")</f>
        <v>Labour</v>
      </c>
      <c r="O758" s="7" t="str">
        <f>VLOOKUP(E758,Mapping!$E$11:$I$96,5,0)</f>
        <v>SCS</v>
      </c>
      <c r="Q758" s="33">
        <v>131</v>
      </c>
      <c r="R758" s="33" t="s">
        <v>2139</v>
      </c>
      <c r="S758" s="33">
        <v>639000</v>
      </c>
      <c r="T758" s="33" t="s">
        <v>2112</v>
      </c>
      <c r="U758" s="34">
        <v>290.45276999999999</v>
      </c>
      <c r="V758" s="7"/>
      <c r="W758" s="7" t="str">
        <f>VLOOKUP($Q758,Mapping!$E$11:$I$96,3,0)</f>
        <v>Replacement</v>
      </c>
      <c r="X758" s="7" t="str">
        <f>VLOOKUP($S758,Mapping!$E$140:$K$2771,5,0)</f>
        <v>PNS Corporate OH</v>
      </c>
      <c r="Y758" s="7" t="str">
        <f>VLOOKUP($S758,Mapping!$E$140:$K$2771,7,0)</f>
        <v>OH</v>
      </c>
      <c r="Z758" s="7" t="str">
        <f>IFERROR(HLOOKUP(X758,'Calc|Weightings'!$K$5:$M$5,1,0),"Excl")</f>
        <v>Excl</v>
      </c>
      <c r="AA758" s="7" t="str">
        <f>VLOOKUP(Q758,Mapping!$E$11:$I$96,5,0)</f>
        <v>SCS</v>
      </c>
      <c r="AC758" s="111">
        <v>131</v>
      </c>
      <c r="AD758" s="111" t="s">
        <v>2139</v>
      </c>
      <c r="AE758" s="111">
        <v>613291</v>
      </c>
      <c r="AF758" s="111" t="s">
        <v>2094</v>
      </c>
      <c r="AG758" s="112">
        <v>5.0762</v>
      </c>
      <c r="AI758" s="7" t="str">
        <f>VLOOKUP($AC758,Mapping!$E$11:$I$96,3,0)</f>
        <v>Replacement</v>
      </c>
      <c r="AJ758" s="7" t="str">
        <f>VLOOKUP($AE758,Mapping!$E$140:$K$2771,5,0)</f>
        <v>Labour</v>
      </c>
      <c r="AK758" s="7" t="str">
        <f>VLOOKUP($AE758,Mapping!$E$140:$K$2771,7,0)</f>
        <v>ENDirect</v>
      </c>
      <c r="AL758" s="7" t="str">
        <f>IFERROR(HLOOKUP(AJ758,'Calc|Weightings'!$K$5:$M$5,1,0),"Excl")</f>
        <v>Labour</v>
      </c>
      <c r="AM758" s="7" t="str">
        <f>VLOOKUP(AC758,Mapping!$E$11:$I$96,5,0)</f>
        <v>SCS</v>
      </c>
      <c r="AO758" s="134">
        <v>137</v>
      </c>
      <c r="AP758" s="135" t="s">
        <v>2144</v>
      </c>
      <c r="AQ758" s="135">
        <v>613692</v>
      </c>
      <c r="AR758" s="135" t="s">
        <v>1235</v>
      </c>
      <c r="AS758" s="136">
        <v>170.44833</v>
      </c>
      <c r="AU758" s="7" t="str">
        <f>VLOOKUP($AO758,Mapping!$E$11:$I$96,3,0)</f>
        <v>Metering Capex</v>
      </c>
      <c r="AV758" s="7" t="str">
        <f>VLOOKUP($AQ758,Mapping!$E$140:$K$2771,5,0)</f>
        <v>Contracts</v>
      </c>
      <c r="AW758" s="7" t="str">
        <f>VLOOKUP($AQ758,Mapping!$E$140:$K$2771,7,0)</f>
        <v>ENDirect</v>
      </c>
      <c r="AX758" s="7" t="str">
        <f>IFERROR(HLOOKUP(AV758,'Calc|Weightings'!$K$5:$M$5,1,0),"Excl")</f>
        <v>Contracts</v>
      </c>
      <c r="AY758" s="7" t="str">
        <f>VLOOKUP(AO758,Mapping!$E$11:$I$96,5,0)</f>
        <v>Metering Services</v>
      </c>
    </row>
    <row r="759" spans="1:51" x14ac:dyDescent="0.2">
      <c r="A759" s="7"/>
      <c r="B759" s="7"/>
      <c r="C759" s="7"/>
      <c r="D759" s="7"/>
      <c r="E759" s="36">
        <v>131</v>
      </c>
      <c r="F759" s="36" t="s">
        <v>2139</v>
      </c>
      <c r="G759" s="36">
        <v>612221</v>
      </c>
      <c r="H759" s="36" t="s">
        <v>2354</v>
      </c>
      <c r="I759" s="37">
        <v>0.12909000000000001</v>
      </c>
      <c r="J759" s="7"/>
      <c r="K759" s="7" t="str">
        <f>VLOOKUP($E759,Mapping!$E$11:$I$96,3,0)</f>
        <v>Replacement</v>
      </c>
      <c r="L759" s="7" t="str">
        <f>VLOOKUP($G759,Mapping!$E$140:$K$2771,5,0)</f>
        <v>Labour</v>
      </c>
      <c r="M759" s="7" t="str">
        <f>VLOOKUP($G759,Mapping!$E$140:$K$2771,7,0)</f>
        <v>ENDirect</v>
      </c>
      <c r="N759" s="7" t="str">
        <f>IFERROR(HLOOKUP(L759,'Calc|Weightings'!$K$5:$M$5,1,0),"Excl")</f>
        <v>Labour</v>
      </c>
      <c r="O759" s="7" t="str">
        <f>VLOOKUP(E759,Mapping!$E$11:$I$96,5,0)</f>
        <v>SCS</v>
      </c>
      <c r="Q759" s="33">
        <v>131</v>
      </c>
      <c r="R759" s="33" t="s">
        <v>2139</v>
      </c>
      <c r="S759" s="33">
        <v>639050</v>
      </c>
      <c r="T759" s="33" t="s">
        <v>2113</v>
      </c>
      <c r="U759" s="34">
        <v>139.07037</v>
      </c>
      <c r="V759" s="7"/>
      <c r="W759" s="7" t="str">
        <f>VLOOKUP($Q759,Mapping!$E$11:$I$96,3,0)</f>
        <v>Replacement</v>
      </c>
      <c r="X759" s="7" t="str">
        <f>VLOOKUP($S759,Mapping!$E$140:$K$2771,5,0)</f>
        <v>PNS Fleet &amp; Property OH</v>
      </c>
      <c r="Y759" s="7" t="str">
        <f>VLOOKUP($S759,Mapping!$E$140:$K$2771,7,0)</f>
        <v>OH</v>
      </c>
      <c r="Z759" s="7" t="str">
        <f>IFERROR(HLOOKUP(X759,'Calc|Weightings'!$K$5:$M$5,1,0),"Excl")</f>
        <v>Excl</v>
      </c>
      <c r="AA759" s="7" t="str">
        <f>VLOOKUP(Q759,Mapping!$E$11:$I$96,5,0)</f>
        <v>SCS</v>
      </c>
      <c r="AC759" s="111">
        <v>131</v>
      </c>
      <c r="AD759" s="111" t="s">
        <v>2139</v>
      </c>
      <c r="AE759" s="111">
        <v>613310</v>
      </c>
      <c r="AF759" s="111" t="s">
        <v>2095</v>
      </c>
      <c r="AG759" s="112">
        <v>7.8445600000000004</v>
      </c>
      <c r="AI759" s="7" t="str">
        <f>VLOOKUP($AC759,Mapping!$E$11:$I$96,3,0)</f>
        <v>Replacement</v>
      </c>
      <c r="AJ759" s="7" t="str">
        <f>VLOOKUP($AE759,Mapping!$E$140:$K$2771,5,0)</f>
        <v>Labour</v>
      </c>
      <c r="AK759" s="7" t="str">
        <f>VLOOKUP($AE759,Mapping!$E$140:$K$2771,7,0)</f>
        <v>ENDirect</v>
      </c>
      <c r="AL759" s="7" t="str">
        <f>IFERROR(HLOOKUP(AJ759,'Calc|Weightings'!$K$5:$M$5,1,0),"Excl")</f>
        <v>Labour</v>
      </c>
      <c r="AM759" s="7" t="str">
        <f>VLOOKUP(AC759,Mapping!$E$11:$I$96,5,0)</f>
        <v>SCS</v>
      </c>
      <c r="AO759" s="134">
        <v>137</v>
      </c>
      <c r="AP759" s="135" t="s">
        <v>2144</v>
      </c>
      <c r="AQ759" s="135">
        <v>613693</v>
      </c>
      <c r="AR759" s="135" t="s">
        <v>1236</v>
      </c>
      <c r="AS759" s="136">
        <v>11.76665</v>
      </c>
      <c r="AU759" s="7" t="str">
        <f>VLOOKUP($AO759,Mapping!$E$11:$I$96,3,0)</f>
        <v>Metering Capex</v>
      </c>
      <c r="AV759" s="7" t="str">
        <f>VLOOKUP($AQ759,Mapping!$E$140:$K$2771,5,0)</f>
        <v>Contracts</v>
      </c>
      <c r="AW759" s="7" t="str">
        <f>VLOOKUP($AQ759,Mapping!$E$140:$K$2771,7,0)</f>
        <v>ENDirect</v>
      </c>
      <c r="AX759" s="7" t="str">
        <f>IFERROR(HLOOKUP(AV759,'Calc|Weightings'!$K$5:$M$5,1,0),"Excl")</f>
        <v>Contracts</v>
      </c>
      <c r="AY759" s="7" t="str">
        <f>VLOOKUP(AO759,Mapping!$E$11:$I$96,5,0)</f>
        <v>Metering Services</v>
      </c>
    </row>
    <row r="760" spans="1:51" x14ac:dyDescent="0.2">
      <c r="A760" s="7"/>
      <c r="B760" s="7"/>
      <c r="C760" s="7"/>
      <c r="D760" s="7"/>
      <c r="E760" s="36">
        <v>131</v>
      </c>
      <c r="F760" s="36" t="s">
        <v>2139</v>
      </c>
      <c r="G760" s="36">
        <v>612460</v>
      </c>
      <c r="H760" s="36" t="s">
        <v>1243</v>
      </c>
      <c r="I760" s="37">
        <v>0.33404</v>
      </c>
      <c r="J760" s="7"/>
      <c r="K760" s="7" t="str">
        <f>VLOOKUP($E760,Mapping!$E$11:$I$96,3,0)</f>
        <v>Replacement</v>
      </c>
      <c r="L760" s="7" t="str">
        <f>VLOOKUP($G760,Mapping!$E$140:$K$2771,5,0)</f>
        <v>Labour</v>
      </c>
      <c r="M760" s="7" t="str">
        <f>VLOOKUP($G760,Mapping!$E$140:$K$2771,7,0)</f>
        <v>ENDirect</v>
      </c>
      <c r="N760" s="7" t="str">
        <f>IFERROR(HLOOKUP(L760,'Calc|Weightings'!$K$5:$M$5,1,0),"Excl")</f>
        <v>Labour</v>
      </c>
      <c r="O760" s="7" t="str">
        <f>VLOOKUP(E760,Mapping!$E$11:$I$96,5,0)</f>
        <v>SCS</v>
      </c>
      <c r="Q760" s="33">
        <v>134</v>
      </c>
      <c r="R760" s="33" t="s">
        <v>2143</v>
      </c>
      <c r="S760" s="33">
        <v>613686</v>
      </c>
      <c r="T760" s="33" t="s">
        <v>1228</v>
      </c>
      <c r="U760" s="34">
        <v>75.707279999999997</v>
      </c>
      <c r="V760" s="7"/>
      <c r="W760" s="7" t="str">
        <f>VLOOKUP($Q760,Mapping!$E$11:$I$96,3,0)</f>
        <v>Metering Capex</v>
      </c>
      <c r="X760" s="7" t="str">
        <f>VLOOKUP($S760,Mapping!$E$140:$K$2771,5,0)</f>
        <v>Materials</v>
      </c>
      <c r="Y760" s="7" t="str">
        <f>VLOOKUP($S760,Mapping!$E$140:$K$2771,7,0)</f>
        <v>ENDirect</v>
      </c>
      <c r="Z760" s="7" t="str">
        <f>IFERROR(HLOOKUP(X760,'Calc|Weightings'!$K$5:$M$5,1,0),"Excl")</f>
        <v>Materials</v>
      </c>
      <c r="AA760" s="7" t="str">
        <f>VLOOKUP(Q760,Mapping!$E$11:$I$96,5,0)</f>
        <v>Metering Services</v>
      </c>
      <c r="AC760" s="111">
        <v>131</v>
      </c>
      <c r="AD760" s="111" t="s">
        <v>2139</v>
      </c>
      <c r="AE760" s="111">
        <v>613311</v>
      </c>
      <c r="AF760" s="111" t="s">
        <v>2116</v>
      </c>
      <c r="AG760" s="112">
        <v>0.51236999999999999</v>
      </c>
      <c r="AI760" s="7" t="str">
        <f>VLOOKUP($AC760,Mapping!$E$11:$I$96,3,0)</f>
        <v>Replacement</v>
      </c>
      <c r="AJ760" s="7" t="str">
        <f>VLOOKUP($AE760,Mapping!$E$140:$K$2771,5,0)</f>
        <v>Labour</v>
      </c>
      <c r="AK760" s="7" t="str">
        <f>VLOOKUP($AE760,Mapping!$E$140:$K$2771,7,0)</f>
        <v>ENDirect</v>
      </c>
      <c r="AL760" s="7" t="str">
        <f>IFERROR(HLOOKUP(AJ760,'Calc|Weightings'!$K$5:$M$5,1,0),"Excl")</f>
        <v>Labour</v>
      </c>
      <c r="AM760" s="7" t="str">
        <f>VLOOKUP(AC760,Mapping!$E$11:$I$96,5,0)</f>
        <v>SCS</v>
      </c>
      <c r="AO760" s="134">
        <v>137</v>
      </c>
      <c r="AP760" s="135" t="s">
        <v>2144</v>
      </c>
      <c r="AQ760" s="135">
        <v>613694</v>
      </c>
      <c r="AR760" s="135" t="s">
        <v>1237</v>
      </c>
      <c r="AS760" s="136">
        <v>41.015180000000001</v>
      </c>
      <c r="AU760" s="7" t="str">
        <f>VLOOKUP($AO760,Mapping!$E$11:$I$96,3,0)</f>
        <v>Metering Capex</v>
      </c>
      <c r="AV760" s="7" t="str">
        <f>VLOOKUP($AQ760,Mapping!$E$140:$K$2771,5,0)</f>
        <v>Contracts</v>
      </c>
      <c r="AW760" s="7" t="str">
        <f>VLOOKUP($AQ760,Mapping!$E$140:$K$2771,7,0)</f>
        <v>ENDirect</v>
      </c>
      <c r="AX760" s="7" t="str">
        <f>IFERROR(HLOOKUP(AV760,'Calc|Weightings'!$K$5:$M$5,1,0),"Excl")</f>
        <v>Contracts</v>
      </c>
      <c r="AY760" s="7" t="str">
        <f>VLOOKUP(AO760,Mapping!$E$11:$I$96,5,0)</f>
        <v>Metering Services</v>
      </c>
    </row>
    <row r="761" spans="1:51" x14ac:dyDescent="0.2">
      <c r="A761" s="7"/>
      <c r="B761" s="7"/>
      <c r="C761" s="7"/>
      <c r="D761" s="7"/>
      <c r="E761" s="36">
        <v>131</v>
      </c>
      <c r="F761" s="36" t="s">
        <v>2139</v>
      </c>
      <c r="G761" s="36">
        <v>612462</v>
      </c>
      <c r="H761" s="36" t="s">
        <v>1244</v>
      </c>
      <c r="I761" s="37">
        <v>-4.9050000000000003E-2</v>
      </c>
      <c r="J761" s="7"/>
      <c r="K761" s="7" t="str">
        <f>VLOOKUP($E761,Mapping!$E$11:$I$96,3,0)</f>
        <v>Replacement</v>
      </c>
      <c r="L761" s="7" t="str">
        <f>VLOOKUP($G761,Mapping!$E$140:$K$2771,5,0)</f>
        <v>Labour</v>
      </c>
      <c r="M761" s="7" t="str">
        <f>VLOOKUP($G761,Mapping!$E$140:$K$2771,7,0)</f>
        <v>ENDirect</v>
      </c>
      <c r="N761" s="7" t="str">
        <f>IFERROR(HLOOKUP(L761,'Calc|Weightings'!$K$5:$M$5,1,0),"Excl")</f>
        <v>Labour</v>
      </c>
      <c r="O761" s="7" t="str">
        <f>VLOOKUP(E761,Mapping!$E$11:$I$96,5,0)</f>
        <v>SCS</v>
      </c>
      <c r="Q761" s="33">
        <v>134</v>
      </c>
      <c r="R761" s="33" t="s">
        <v>2143</v>
      </c>
      <c r="S761" s="33">
        <v>613687</v>
      </c>
      <c r="T761" s="33" t="s">
        <v>1229</v>
      </c>
      <c r="U761" s="34">
        <v>5.4178699999999997</v>
      </c>
      <c r="V761" s="7"/>
      <c r="W761" s="7" t="str">
        <f>VLOOKUP($Q761,Mapping!$E$11:$I$96,3,0)</f>
        <v>Metering Capex</v>
      </c>
      <c r="X761" s="7" t="str">
        <f>VLOOKUP($S761,Mapping!$E$140:$K$2771,5,0)</f>
        <v>Materials</v>
      </c>
      <c r="Y761" s="7" t="str">
        <f>VLOOKUP($S761,Mapping!$E$140:$K$2771,7,0)</f>
        <v>ENDirect</v>
      </c>
      <c r="Z761" s="7" t="str">
        <f>IFERROR(HLOOKUP(X761,'Calc|Weightings'!$K$5:$M$5,1,0),"Excl")</f>
        <v>Materials</v>
      </c>
      <c r="AA761" s="7" t="str">
        <f>VLOOKUP(Q761,Mapping!$E$11:$I$96,5,0)</f>
        <v>Metering Services</v>
      </c>
      <c r="AC761" s="111">
        <v>131</v>
      </c>
      <c r="AD761" s="111" t="s">
        <v>2139</v>
      </c>
      <c r="AE761" s="111">
        <v>613360</v>
      </c>
      <c r="AF761" s="111" t="s">
        <v>2097</v>
      </c>
      <c r="AG761" s="112">
        <v>108.33322</v>
      </c>
      <c r="AI761" s="7" t="str">
        <f>VLOOKUP($AC761,Mapping!$E$11:$I$96,3,0)</f>
        <v>Replacement</v>
      </c>
      <c r="AJ761" s="7" t="str">
        <f>VLOOKUP($AE761,Mapping!$E$140:$K$2771,5,0)</f>
        <v>Labour</v>
      </c>
      <c r="AK761" s="7" t="str">
        <f>VLOOKUP($AE761,Mapping!$E$140:$K$2771,7,0)</f>
        <v>ENDirect</v>
      </c>
      <c r="AL761" s="7" t="str">
        <f>IFERROR(HLOOKUP(AJ761,'Calc|Weightings'!$K$5:$M$5,1,0),"Excl")</f>
        <v>Labour</v>
      </c>
      <c r="AM761" s="7" t="str">
        <f>VLOOKUP(AC761,Mapping!$E$11:$I$96,5,0)</f>
        <v>SCS</v>
      </c>
      <c r="AO761" s="134">
        <v>137</v>
      </c>
      <c r="AP761" s="135" t="s">
        <v>2144</v>
      </c>
      <c r="AQ761" s="135">
        <v>613695</v>
      </c>
      <c r="AR761" s="135" t="s">
        <v>1238</v>
      </c>
      <c r="AS761" s="136">
        <v>147.98075</v>
      </c>
      <c r="AU761" s="7" t="str">
        <f>VLOOKUP($AO761,Mapping!$E$11:$I$96,3,0)</f>
        <v>Metering Capex</v>
      </c>
      <c r="AV761" s="7" t="str">
        <f>VLOOKUP($AQ761,Mapping!$E$140:$K$2771,5,0)</f>
        <v>Contracts</v>
      </c>
      <c r="AW761" s="7" t="str">
        <f>VLOOKUP($AQ761,Mapping!$E$140:$K$2771,7,0)</f>
        <v>ENDirect</v>
      </c>
      <c r="AX761" s="7" t="str">
        <f>IFERROR(HLOOKUP(AV761,'Calc|Weightings'!$K$5:$M$5,1,0),"Excl")</f>
        <v>Contracts</v>
      </c>
      <c r="AY761" s="7" t="str">
        <f>VLOOKUP(AO761,Mapping!$E$11:$I$96,5,0)</f>
        <v>Metering Services</v>
      </c>
    </row>
    <row r="762" spans="1:51" x14ac:dyDescent="0.2">
      <c r="A762" s="7"/>
      <c r="B762" s="7"/>
      <c r="C762" s="7"/>
      <c r="D762" s="7"/>
      <c r="E762" s="36">
        <v>131</v>
      </c>
      <c r="F762" s="36" t="s">
        <v>2139</v>
      </c>
      <c r="G762" s="36">
        <v>613240</v>
      </c>
      <c r="H762" s="36" t="s">
        <v>2082</v>
      </c>
      <c r="I762" s="37">
        <v>24.6463</v>
      </c>
      <c r="J762" s="7"/>
      <c r="K762" s="7" t="str">
        <f>VLOOKUP($E762,Mapping!$E$11:$I$96,3,0)</f>
        <v>Replacement</v>
      </c>
      <c r="L762" s="7" t="str">
        <f>VLOOKUP($G762,Mapping!$E$140:$K$2771,5,0)</f>
        <v>Labour</v>
      </c>
      <c r="M762" s="7" t="str">
        <f>VLOOKUP($G762,Mapping!$E$140:$K$2771,7,0)</f>
        <v>ENDirect</v>
      </c>
      <c r="N762" s="7" t="str">
        <f>IFERROR(HLOOKUP(L762,'Calc|Weightings'!$K$5:$M$5,1,0),"Excl")</f>
        <v>Labour</v>
      </c>
      <c r="O762" s="7" t="str">
        <f>VLOOKUP(E762,Mapping!$E$11:$I$96,5,0)</f>
        <v>SCS</v>
      </c>
      <c r="Q762" s="33">
        <v>134</v>
      </c>
      <c r="R762" s="33" t="s">
        <v>2143</v>
      </c>
      <c r="S762" s="33">
        <v>613688</v>
      </c>
      <c r="T762" s="33" t="s">
        <v>1230</v>
      </c>
      <c r="U762" s="34">
        <v>10.6998</v>
      </c>
      <c r="V762" s="7"/>
      <c r="W762" s="7" t="str">
        <f>VLOOKUP($Q762,Mapping!$E$11:$I$96,3,0)</f>
        <v>Metering Capex</v>
      </c>
      <c r="X762" s="7" t="str">
        <f>VLOOKUP($S762,Mapping!$E$140:$K$2771,5,0)</f>
        <v>Materials</v>
      </c>
      <c r="Y762" s="7" t="str">
        <f>VLOOKUP($S762,Mapping!$E$140:$K$2771,7,0)</f>
        <v>ENDirect</v>
      </c>
      <c r="Z762" s="7" t="str">
        <f>IFERROR(HLOOKUP(X762,'Calc|Weightings'!$K$5:$M$5,1,0),"Excl")</f>
        <v>Materials</v>
      </c>
      <c r="AA762" s="7" t="str">
        <f>VLOOKUP(Q762,Mapping!$E$11:$I$96,5,0)</f>
        <v>Metering Services</v>
      </c>
      <c r="AC762" s="111">
        <v>131</v>
      </c>
      <c r="AD762" s="111" t="s">
        <v>2139</v>
      </c>
      <c r="AE762" s="111">
        <v>613361</v>
      </c>
      <c r="AF762" s="111" t="s">
        <v>2098</v>
      </c>
      <c r="AG762" s="112">
        <v>0.81188000000000005</v>
      </c>
      <c r="AI762" s="7" t="str">
        <f>VLOOKUP($AC762,Mapping!$E$11:$I$96,3,0)</f>
        <v>Replacement</v>
      </c>
      <c r="AJ762" s="7" t="str">
        <f>VLOOKUP($AE762,Mapping!$E$140:$K$2771,5,0)</f>
        <v>Labour</v>
      </c>
      <c r="AK762" s="7" t="str">
        <f>VLOOKUP($AE762,Mapping!$E$140:$K$2771,7,0)</f>
        <v>ENDirect</v>
      </c>
      <c r="AL762" s="7" t="str">
        <f>IFERROR(HLOOKUP(AJ762,'Calc|Weightings'!$K$5:$M$5,1,0),"Excl")</f>
        <v>Labour</v>
      </c>
      <c r="AM762" s="7" t="str">
        <f>VLOOKUP(AC762,Mapping!$E$11:$I$96,5,0)</f>
        <v>SCS</v>
      </c>
      <c r="AO762" s="134">
        <v>137</v>
      </c>
      <c r="AP762" s="135" t="s">
        <v>2144</v>
      </c>
      <c r="AQ762" s="135">
        <v>613696</v>
      </c>
      <c r="AR762" s="135" t="s">
        <v>1239</v>
      </c>
      <c r="AS762" s="136">
        <v>8.1721800000000009</v>
      </c>
      <c r="AU762" s="7" t="str">
        <f>VLOOKUP($AO762,Mapping!$E$11:$I$96,3,0)</f>
        <v>Metering Capex</v>
      </c>
      <c r="AV762" s="7" t="str">
        <f>VLOOKUP($AQ762,Mapping!$E$140:$K$2771,5,0)</f>
        <v>Contracts</v>
      </c>
      <c r="AW762" s="7" t="str">
        <f>VLOOKUP($AQ762,Mapping!$E$140:$K$2771,7,0)</f>
        <v>ENDirect</v>
      </c>
      <c r="AX762" s="7" t="str">
        <f>IFERROR(HLOOKUP(AV762,'Calc|Weightings'!$K$5:$M$5,1,0),"Excl")</f>
        <v>Contracts</v>
      </c>
      <c r="AY762" s="7" t="str">
        <f>VLOOKUP(AO762,Mapping!$E$11:$I$96,5,0)</f>
        <v>Metering Services</v>
      </c>
    </row>
    <row r="763" spans="1:51" x14ac:dyDescent="0.2">
      <c r="A763" s="7"/>
      <c r="B763" s="7"/>
      <c r="C763" s="7"/>
      <c r="D763" s="7"/>
      <c r="E763" s="36">
        <v>131</v>
      </c>
      <c r="F763" s="36" t="s">
        <v>2139</v>
      </c>
      <c r="G763" s="36">
        <v>613241</v>
      </c>
      <c r="H763" s="36" t="s">
        <v>2083</v>
      </c>
      <c r="I763" s="37">
        <v>0.73026000000000002</v>
      </c>
      <c r="J763" s="7"/>
      <c r="K763" s="7" t="str">
        <f>VLOOKUP($E763,Mapping!$E$11:$I$96,3,0)</f>
        <v>Replacement</v>
      </c>
      <c r="L763" s="7" t="str">
        <f>VLOOKUP($G763,Mapping!$E$140:$K$2771,5,0)</f>
        <v>Labour</v>
      </c>
      <c r="M763" s="7" t="str">
        <f>VLOOKUP($G763,Mapping!$E$140:$K$2771,7,0)</f>
        <v>ENDirect</v>
      </c>
      <c r="N763" s="7" t="str">
        <f>IFERROR(HLOOKUP(L763,'Calc|Weightings'!$K$5:$M$5,1,0),"Excl")</f>
        <v>Labour</v>
      </c>
      <c r="O763" s="7" t="str">
        <f>VLOOKUP(E763,Mapping!$E$11:$I$96,5,0)</f>
        <v>SCS</v>
      </c>
      <c r="Q763" s="33">
        <v>134</v>
      </c>
      <c r="R763" s="33" t="s">
        <v>2143</v>
      </c>
      <c r="S763" s="33">
        <v>613689</v>
      </c>
      <c r="T763" s="33" t="s">
        <v>1231</v>
      </c>
      <c r="U763" s="34">
        <v>101.69517999999999</v>
      </c>
      <c r="V763" s="7"/>
      <c r="W763" s="7" t="str">
        <f>VLOOKUP($Q763,Mapping!$E$11:$I$96,3,0)</f>
        <v>Metering Capex</v>
      </c>
      <c r="X763" s="7" t="str">
        <f>VLOOKUP($S763,Mapping!$E$140:$K$2771,5,0)</f>
        <v>Materials</v>
      </c>
      <c r="Y763" s="7" t="str">
        <f>VLOOKUP($S763,Mapping!$E$140:$K$2771,7,0)</f>
        <v>ENDirect</v>
      </c>
      <c r="Z763" s="7" t="str">
        <f>IFERROR(HLOOKUP(X763,'Calc|Weightings'!$K$5:$M$5,1,0),"Excl")</f>
        <v>Materials</v>
      </c>
      <c r="AA763" s="7" t="str">
        <f>VLOOKUP(Q763,Mapping!$E$11:$I$96,5,0)</f>
        <v>Metering Services</v>
      </c>
      <c r="AC763" s="111">
        <v>131</v>
      </c>
      <c r="AD763" s="111" t="s">
        <v>2139</v>
      </c>
      <c r="AE763" s="111">
        <v>613370</v>
      </c>
      <c r="AF763" s="111" t="s">
        <v>1402</v>
      </c>
      <c r="AG763" s="112">
        <v>0.30434</v>
      </c>
      <c r="AI763" s="7" t="str">
        <f>VLOOKUP($AC763,Mapping!$E$11:$I$96,3,0)</f>
        <v>Replacement</v>
      </c>
      <c r="AJ763" s="7" t="str">
        <f>VLOOKUP($AE763,Mapping!$E$140:$K$2771,5,0)</f>
        <v>Labour</v>
      </c>
      <c r="AK763" s="7" t="str">
        <f>VLOOKUP($AE763,Mapping!$E$140:$K$2771,7,0)</f>
        <v>ENDirect</v>
      </c>
      <c r="AL763" s="7" t="str">
        <f>IFERROR(HLOOKUP(AJ763,'Calc|Weightings'!$K$5:$M$5,1,0),"Excl")</f>
        <v>Labour</v>
      </c>
      <c r="AM763" s="7" t="str">
        <f>VLOOKUP(AC763,Mapping!$E$11:$I$96,5,0)</f>
        <v>SCS</v>
      </c>
      <c r="AO763" s="134">
        <v>137</v>
      </c>
      <c r="AP763" s="135" t="s">
        <v>2144</v>
      </c>
      <c r="AQ763" s="135">
        <v>613697</v>
      </c>
      <c r="AR763" s="135" t="s">
        <v>1240</v>
      </c>
      <c r="AS763" s="136">
        <v>11.785679999999999</v>
      </c>
      <c r="AU763" s="7" t="str">
        <f>VLOOKUP($AO763,Mapping!$E$11:$I$96,3,0)</f>
        <v>Metering Capex</v>
      </c>
      <c r="AV763" s="7" t="str">
        <f>VLOOKUP($AQ763,Mapping!$E$140:$K$2771,5,0)</f>
        <v>Contracts</v>
      </c>
      <c r="AW763" s="7" t="str">
        <f>VLOOKUP($AQ763,Mapping!$E$140:$K$2771,7,0)</f>
        <v>ENDirect</v>
      </c>
      <c r="AX763" s="7" t="str">
        <f>IFERROR(HLOOKUP(AV763,'Calc|Weightings'!$K$5:$M$5,1,0),"Excl")</f>
        <v>Contracts</v>
      </c>
      <c r="AY763" s="7" t="str">
        <f>VLOOKUP(AO763,Mapping!$E$11:$I$96,5,0)</f>
        <v>Metering Services</v>
      </c>
    </row>
    <row r="764" spans="1:51" x14ac:dyDescent="0.2">
      <c r="A764" s="7"/>
      <c r="B764" s="7"/>
      <c r="C764" s="7"/>
      <c r="D764" s="7"/>
      <c r="E764" s="36">
        <v>131</v>
      </c>
      <c r="F764" s="36" t="s">
        <v>2139</v>
      </c>
      <c r="G764" s="36">
        <v>613248</v>
      </c>
      <c r="H764" s="36" t="s">
        <v>2383</v>
      </c>
      <c r="I764" s="37">
        <v>493.54331000000002</v>
      </c>
      <c r="J764" s="7"/>
      <c r="K764" s="7" t="str">
        <f>VLOOKUP($E764,Mapping!$E$11:$I$96,3,0)</f>
        <v>Replacement</v>
      </c>
      <c r="L764" s="7" t="str">
        <f>VLOOKUP($G764,Mapping!$E$140:$K$2771,5,0)</f>
        <v>Labour</v>
      </c>
      <c r="M764" s="7" t="str">
        <f>VLOOKUP($G764,Mapping!$E$140:$K$2771,7,0)</f>
        <v>ENDirect</v>
      </c>
      <c r="N764" s="7" t="str">
        <f>IFERROR(HLOOKUP(L764,'Calc|Weightings'!$K$5:$M$5,1,0),"Excl")</f>
        <v>Labour</v>
      </c>
      <c r="O764" s="7" t="str">
        <f>VLOOKUP(E764,Mapping!$E$11:$I$96,5,0)</f>
        <v>SCS</v>
      </c>
      <c r="Q764" s="33">
        <v>134</v>
      </c>
      <c r="R764" s="33" t="s">
        <v>2143</v>
      </c>
      <c r="S764" s="33">
        <v>613690</v>
      </c>
      <c r="T764" s="33" t="s">
        <v>1232</v>
      </c>
      <c r="U764" s="34">
        <v>1.5774999999999999</v>
      </c>
      <c r="V764" s="7"/>
      <c r="W764" s="7" t="str">
        <f>VLOOKUP($Q764,Mapping!$E$11:$I$96,3,0)</f>
        <v>Metering Capex</v>
      </c>
      <c r="X764" s="7" t="str">
        <f>VLOOKUP($S764,Mapping!$E$140:$K$2771,5,0)</f>
        <v>Materials</v>
      </c>
      <c r="Y764" s="7" t="str">
        <f>VLOOKUP($S764,Mapping!$E$140:$K$2771,7,0)</f>
        <v>ENDirect</v>
      </c>
      <c r="Z764" s="7" t="str">
        <f>IFERROR(HLOOKUP(X764,'Calc|Weightings'!$K$5:$M$5,1,0),"Excl")</f>
        <v>Materials</v>
      </c>
      <c r="AA764" s="7" t="str">
        <f>VLOOKUP(Q764,Mapping!$E$11:$I$96,5,0)</f>
        <v>Metering Services</v>
      </c>
      <c r="AC764" s="111">
        <v>131</v>
      </c>
      <c r="AD764" s="111" t="s">
        <v>2139</v>
      </c>
      <c r="AE764" s="111">
        <v>613390</v>
      </c>
      <c r="AF764" s="111" t="s">
        <v>2141</v>
      </c>
      <c r="AG764" s="112">
        <v>-539.56232999999997</v>
      </c>
      <c r="AI764" s="7" t="str">
        <f>VLOOKUP($AC764,Mapping!$E$11:$I$96,3,0)</f>
        <v>Replacement</v>
      </c>
      <c r="AJ764" s="7" t="str">
        <f>VLOOKUP($AE764,Mapping!$E$140:$K$2771,5,0)</f>
        <v>Contracts</v>
      </c>
      <c r="AK764" s="7" t="str">
        <f>VLOOKUP($AE764,Mapping!$E$140:$K$2771,7,0)</f>
        <v>ENDirect</v>
      </c>
      <c r="AL764" s="7" t="str">
        <f>IFERROR(HLOOKUP(AJ764,'Calc|Weightings'!$K$5:$M$5,1,0),"Excl")</f>
        <v>Contracts</v>
      </c>
      <c r="AM764" s="7" t="str">
        <f>VLOOKUP(AC764,Mapping!$E$11:$I$96,5,0)</f>
        <v>SCS</v>
      </c>
      <c r="AO764" s="134">
        <v>137</v>
      </c>
      <c r="AP764" s="135" t="s">
        <v>2144</v>
      </c>
      <c r="AQ764" s="135">
        <v>613780</v>
      </c>
      <c r="AR764" s="135" t="s">
        <v>1582</v>
      </c>
      <c r="AS764" s="136">
        <v>1.8173600000000001</v>
      </c>
      <c r="AU764" s="7" t="str">
        <f>VLOOKUP($AO764,Mapping!$E$11:$I$96,3,0)</f>
        <v>Metering Capex</v>
      </c>
      <c r="AV764" s="7" t="str">
        <f>VLOOKUP($AQ764,Mapping!$E$140:$K$2771,5,0)</f>
        <v>Labour</v>
      </c>
      <c r="AW764" s="7" t="str">
        <f>VLOOKUP($AQ764,Mapping!$E$140:$K$2771,7,0)</f>
        <v>ENDirect</v>
      </c>
      <c r="AX764" s="7" t="str">
        <f>IFERROR(HLOOKUP(AV764,'Calc|Weightings'!$K$5:$M$5,1,0),"Excl")</f>
        <v>Labour</v>
      </c>
      <c r="AY764" s="7" t="str">
        <f>VLOOKUP(AO764,Mapping!$E$11:$I$96,5,0)</f>
        <v>Metering Services</v>
      </c>
    </row>
    <row r="765" spans="1:51" x14ac:dyDescent="0.2">
      <c r="A765" s="7"/>
      <c r="B765" s="7"/>
      <c r="C765" s="7"/>
      <c r="D765" s="7"/>
      <c r="E765" s="36">
        <v>131</v>
      </c>
      <c r="F765" s="36" t="s">
        <v>2139</v>
      </c>
      <c r="G765" s="36">
        <v>613249</v>
      </c>
      <c r="H765" s="36" t="s">
        <v>2384</v>
      </c>
      <c r="I765" s="37">
        <v>16.70654</v>
      </c>
      <c r="J765" s="7"/>
      <c r="K765" s="7" t="str">
        <f>VLOOKUP($E765,Mapping!$E$11:$I$96,3,0)</f>
        <v>Replacement</v>
      </c>
      <c r="L765" s="7" t="str">
        <f>VLOOKUP($G765,Mapping!$E$140:$K$2771,5,0)</f>
        <v>Labour</v>
      </c>
      <c r="M765" s="7" t="str">
        <f>VLOOKUP($G765,Mapping!$E$140:$K$2771,7,0)</f>
        <v>ENDirect</v>
      </c>
      <c r="N765" s="7" t="str">
        <f>IFERROR(HLOOKUP(L765,'Calc|Weightings'!$K$5:$M$5,1,0),"Excl")</f>
        <v>Labour</v>
      </c>
      <c r="O765" s="7" t="str">
        <f>VLOOKUP(E765,Mapping!$E$11:$I$96,5,0)</f>
        <v>SCS</v>
      </c>
      <c r="Q765" s="33">
        <v>134</v>
      </c>
      <c r="R765" s="33" t="s">
        <v>2143</v>
      </c>
      <c r="S765" s="33">
        <v>613691</v>
      </c>
      <c r="T765" s="33" t="s">
        <v>1233</v>
      </c>
      <c r="U765" s="34">
        <v>39.06071</v>
      </c>
      <c r="V765" s="7"/>
      <c r="W765" s="7" t="str">
        <f>VLOOKUP($Q765,Mapping!$E$11:$I$96,3,0)</f>
        <v>Metering Capex</v>
      </c>
      <c r="X765" s="7" t="str">
        <f>VLOOKUP($S765,Mapping!$E$140:$K$2771,5,0)</f>
        <v>Materials</v>
      </c>
      <c r="Y765" s="7" t="str">
        <f>VLOOKUP($S765,Mapping!$E$140:$K$2771,7,0)</f>
        <v>ENDirect</v>
      </c>
      <c r="Z765" s="7" t="str">
        <f>IFERROR(HLOOKUP(X765,'Calc|Weightings'!$K$5:$M$5,1,0),"Excl")</f>
        <v>Materials</v>
      </c>
      <c r="AA765" s="7" t="str">
        <f>VLOOKUP(Q765,Mapping!$E$11:$I$96,5,0)</f>
        <v>Metering Services</v>
      </c>
      <c r="AC765" s="111">
        <v>131</v>
      </c>
      <c r="AD765" s="111" t="s">
        <v>2139</v>
      </c>
      <c r="AE765" s="111">
        <v>613400</v>
      </c>
      <c r="AF765" s="111" t="s">
        <v>2099</v>
      </c>
      <c r="AG765" s="112">
        <v>559.07141999999999</v>
      </c>
      <c r="AI765" s="7" t="str">
        <f>VLOOKUP($AC765,Mapping!$E$11:$I$96,3,0)</f>
        <v>Replacement</v>
      </c>
      <c r="AJ765" s="7" t="str">
        <f>VLOOKUP($AE765,Mapping!$E$140:$K$2771,5,0)</f>
        <v>Labour</v>
      </c>
      <c r="AK765" s="7" t="str">
        <f>VLOOKUP($AE765,Mapping!$E$140:$K$2771,7,0)</f>
        <v>ENDirect</v>
      </c>
      <c r="AL765" s="7" t="str">
        <f>IFERROR(HLOOKUP(AJ765,'Calc|Weightings'!$K$5:$M$5,1,0),"Excl")</f>
        <v>Labour</v>
      </c>
      <c r="AM765" s="7" t="str">
        <f>VLOOKUP(AC765,Mapping!$E$11:$I$96,5,0)</f>
        <v>SCS</v>
      </c>
      <c r="AO765" s="134">
        <v>137</v>
      </c>
      <c r="AP765" s="135" t="s">
        <v>2144</v>
      </c>
      <c r="AQ765" s="135">
        <v>613783</v>
      </c>
      <c r="AR765" s="135" t="s">
        <v>1584</v>
      </c>
      <c r="AS765" s="136">
        <v>19.46322</v>
      </c>
      <c r="AU765" s="7" t="str">
        <f>VLOOKUP($AO765,Mapping!$E$11:$I$96,3,0)</f>
        <v>Metering Capex</v>
      </c>
      <c r="AV765" s="7" t="str">
        <f>VLOOKUP($AQ765,Mapping!$E$140:$K$2771,5,0)</f>
        <v>Labour</v>
      </c>
      <c r="AW765" s="7" t="str">
        <f>VLOOKUP($AQ765,Mapping!$E$140:$K$2771,7,0)</f>
        <v>ENDirect</v>
      </c>
      <c r="AX765" s="7" t="str">
        <f>IFERROR(HLOOKUP(AV765,'Calc|Weightings'!$K$5:$M$5,1,0),"Excl")</f>
        <v>Labour</v>
      </c>
      <c r="AY765" s="7" t="str">
        <f>VLOOKUP(AO765,Mapping!$E$11:$I$96,5,0)</f>
        <v>Metering Services</v>
      </c>
    </row>
    <row r="766" spans="1:51" x14ac:dyDescent="0.2">
      <c r="A766" s="7"/>
      <c r="B766" s="7"/>
      <c r="C766" s="7"/>
      <c r="D766" s="7"/>
      <c r="E766" s="36">
        <v>131</v>
      </c>
      <c r="F766" s="36" t="s">
        <v>2139</v>
      </c>
      <c r="G766" s="36">
        <v>613250</v>
      </c>
      <c r="H766" s="36" t="s">
        <v>2086</v>
      </c>
      <c r="I766" s="37">
        <v>105.1806</v>
      </c>
      <c r="J766" s="7"/>
      <c r="K766" s="7" t="str">
        <f>VLOOKUP($E766,Mapping!$E$11:$I$96,3,0)</f>
        <v>Replacement</v>
      </c>
      <c r="L766" s="7" t="str">
        <f>VLOOKUP($G766,Mapping!$E$140:$K$2771,5,0)</f>
        <v>Labour</v>
      </c>
      <c r="M766" s="7" t="str">
        <f>VLOOKUP($G766,Mapping!$E$140:$K$2771,7,0)</f>
        <v>ENDirect</v>
      </c>
      <c r="N766" s="7" t="str">
        <f>IFERROR(HLOOKUP(L766,'Calc|Weightings'!$K$5:$M$5,1,0),"Excl")</f>
        <v>Labour</v>
      </c>
      <c r="O766" s="7" t="str">
        <f>VLOOKUP(E766,Mapping!$E$11:$I$96,5,0)</f>
        <v>SCS</v>
      </c>
      <c r="Q766" s="33">
        <v>134</v>
      </c>
      <c r="R766" s="33" t="s">
        <v>2143</v>
      </c>
      <c r="S766" s="33">
        <v>613773</v>
      </c>
      <c r="T766" s="33" t="s">
        <v>1576</v>
      </c>
      <c r="U766" s="34">
        <v>5.6311200000000001</v>
      </c>
      <c r="V766" s="7"/>
      <c r="W766" s="7" t="str">
        <f>VLOOKUP($Q766,Mapping!$E$11:$I$96,3,0)</f>
        <v>Metering Capex</v>
      </c>
      <c r="X766" s="7" t="str">
        <f>VLOOKUP($S766,Mapping!$E$140:$K$2771,5,0)</f>
        <v>Materials</v>
      </c>
      <c r="Y766" s="7" t="str">
        <f>VLOOKUP($S766,Mapping!$E$140:$K$2771,7,0)</f>
        <v>ENDirect</v>
      </c>
      <c r="Z766" s="7" t="str">
        <f>IFERROR(HLOOKUP(X766,'Calc|Weightings'!$K$5:$M$5,1,0),"Excl")</f>
        <v>Materials</v>
      </c>
      <c r="AA766" s="7" t="str">
        <f>VLOOKUP(Q766,Mapping!$E$11:$I$96,5,0)</f>
        <v>Metering Services</v>
      </c>
      <c r="AC766" s="111">
        <v>131</v>
      </c>
      <c r="AD766" s="111" t="s">
        <v>2139</v>
      </c>
      <c r="AE766" s="111">
        <v>613401</v>
      </c>
      <c r="AF766" s="111" t="s">
        <v>2117</v>
      </c>
      <c r="AG766" s="112">
        <v>18.990680000000001</v>
      </c>
      <c r="AI766" s="7" t="str">
        <f>VLOOKUP($AC766,Mapping!$E$11:$I$96,3,0)</f>
        <v>Replacement</v>
      </c>
      <c r="AJ766" s="7" t="str">
        <f>VLOOKUP($AE766,Mapping!$E$140:$K$2771,5,0)</f>
        <v>Labour</v>
      </c>
      <c r="AK766" s="7" t="str">
        <f>VLOOKUP($AE766,Mapping!$E$140:$K$2771,7,0)</f>
        <v>ENDirect</v>
      </c>
      <c r="AL766" s="7" t="str">
        <f>IFERROR(HLOOKUP(AJ766,'Calc|Weightings'!$K$5:$M$5,1,0),"Excl")</f>
        <v>Labour</v>
      </c>
      <c r="AM766" s="7" t="str">
        <f>VLOOKUP(AC766,Mapping!$E$11:$I$96,5,0)</f>
        <v>SCS</v>
      </c>
      <c r="AO766" s="134">
        <v>137</v>
      </c>
      <c r="AP766" s="135" t="s">
        <v>2144</v>
      </c>
      <c r="AQ766" s="135">
        <v>613846</v>
      </c>
      <c r="AR766" s="135" t="s">
        <v>847</v>
      </c>
      <c r="AS766" s="136">
        <v>27.714739999999999</v>
      </c>
      <c r="AU766" s="7" t="str">
        <f>VLOOKUP($AO766,Mapping!$E$11:$I$96,3,0)</f>
        <v>Metering Capex</v>
      </c>
      <c r="AV766" s="7" t="str">
        <f>VLOOKUP($AQ766,Mapping!$E$140:$K$2771,5,0)</f>
        <v>Labour</v>
      </c>
      <c r="AW766" s="7" t="str">
        <f>VLOOKUP($AQ766,Mapping!$E$140:$K$2771,7,0)</f>
        <v>ENDirect</v>
      </c>
      <c r="AX766" s="7" t="str">
        <f>IFERROR(HLOOKUP(AV766,'Calc|Weightings'!$K$5:$M$5,1,0),"Excl")</f>
        <v>Labour</v>
      </c>
      <c r="AY766" s="7" t="str">
        <f>VLOOKUP(AO766,Mapping!$E$11:$I$96,5,0)</f>
        <v>Metering Services</v>
      </c>
    </row>
    <row r="767" spans="1:51" x14ac:dyDescent="0.2">
      <c r="A767" s="7"/>
      <c r="B767" s="7"/>
      <c r="C767" s="7"/>
      <c r="D767" s="7"/>
      <c r="E767" s="36">
        <v>131</v>
      </c>
      <c r="F767" s="36" t="s">
        <v>2139</v>
      </c>
      <c r="G767" s="36">
        <v>613251</v>
      </c>
      <c r="H767" s="36" t="s">
        <v>2087</v>
      </c>
      <c r="I767" s="37">
        <v>0.53256000000000003</v>
      </c>
      <c r="J767" s="7"/>
      <c r="K767" s="7" t="str">
        <f>VLOOKUP($E767,Mapping!$E$11:$I$96,3,0)</f>
        <v>Replacement</v>
      </c>
      <c r="L767" s="7" t="str">
        <f>VLOOKUP($G767,Mapping!$E$140:$K$2771,5,0)</f>
        <v>Labour</v>
      </c>
      <c r="M767" s="7" t="str">
        <f>VLOOKUP($G767,Mapping!$E$140:$K$2771,7,0)</f>
        <v>ENDirect</v>
      </c>
      <c r="N767" s="7" t="str">
        <f>IFERROR(HLOOKUP(L767,'Calc|Weightings'!$K$5:$M$5,1,0),"Excl")</f>
        <v>Labour</v>
      </c>
      <c r="O767" s="7" t="str">
        <f>VLOOKUP(E767,Mapping!$E$11:$I$96,5,0)</f>
        <v>SCS</v>
      </c>
      <c r="Q767" s="33">
        <v>134</v>
      </c>
      <c r="R767" s="33" t="s">
        <v>2143</v>
      </c>
      <c r="S767" s="33">
        <v>613774</v>
      </c>
      <c r="T767" s="33" t="s">
        <v>1577</v>
      </c>
      <c r="U767" s="34">
        <v>0.69908000000000003</v>
      </c>
      <c r="V767" s="7"/>
      <c r="W767" s="7" t="str">
        <f>VLOOKUP($Q767,Mapping!$E$11:$I$96,3,0)</f>
        <v>Metering Capex</v>
      </c>
      <c r="X767" s="7" t="str">
        <f>VLOOKUP($S767,Mapping!$E$140:$K$2771,5,0)</f>
        <v>Materials</v>
      </c>
      <c r="Y767" s="7" t="str">
        <f>VLOOKUP($S767,Mapping!$E$140:$K$2771,7,0)</f>
        <v>ENDirect</v>
      </c>
      <c r="Z767" s="7" t="str">
        <f>IFERROR(HLOOKUP(X767,'Calc|Weightings'!$K$5:$M$5,1,0),"Excl")</f>
        <v>Materials</v>
      </c>
      <c r="AA767" s="7" t="str">
        <f>VLOOKUP(Q767,Mapping!$E$11:$I$96,5,0)</f>
        <v>Metering Services</v>
      </c>
      <c r="AC767" s="111">
        <v>131</v>
      </c>
      <c r="AD767" s="111" t="s">
        <v>2139</v>
      </c>
      <c r="AE767" s="111">
        <v>613410</v>
      </c>
      <c r="AF767" s="111" t="s">
        <v>2100</v>
      </c>
      <c r="AG767" s="112">
        <v>1128.2600299999999</v>
      </c>
      <c r="AI767" s="7" t="str">
        <f>VLOOKUP($AC767,Mapping!$E$11:$I$96,3,0)</f>
        <v>Replacement</v>
      </c>
      <c r="AJ767" s="7" t="str">
        <f>VLOOKUP($AE767,Mapping!$E$140:$K$2771,5,0)</f>
        <v>Labour</v>
      </c>
      <c r="AK767" s="7" t="str">
        <f>VLOOKUP($AE767,Mapping!$E$140:$K$2771,7,0)</f>
        <v>ENDirect</v>
      </c>
      <c r="AL767" s="7" t="str">
        <f>IFERROR(HLOOKUP(AJ767,'Calc|Weightings'!$K$5:$M$5,1,0),"Excl")</f>
        <v>Labour</v>
      </c>
      <c r="AM767" s="7" t="str">
        <f>VLOOKUP(AC767,Mapping!$E$11:$I$96,5,0)</f>
        <v>SCS</v>
      </c>
      <c r="AO767" s="134">
        <v>137</v>
      </c>
      <c r="AP767" s="135" t="s">
        <v>2144</v>
      </c>
      <c r="AQ767" s="135">
        <v>613847</v>
      </c>
      <c r="AR767" s="135" t="s">
        <v>1605</v>
      </c>
      <c r="AS767" s="136">
        <v>3.8618899999999998</v>
      </c>
      <c r="AU767" s="7" t="str">
        <f>VLOOKUP($AO767,Mapping!$E$11:$I$96,3,0)</f>
        <v>Metering Capex</v>
      </c>
      <c r="AV767" s="7" t="str">
        <f>VLOOKUP($AQ767,Mapping!$E$140:$K$2771,5,0)</f>
        <v>Labour</v>
      </c>
      <c r="AW767" s="7" t="str">
        <f>VLOOKUP($AQ767,Mapping!$E$140:$K$2771,7,0)</f>
        <v>ENDirect</v>
      </c>
      <c r="AX767" s="7" t="str">
        <f>IFERROR(HLOOKUP(AV767,'Calc|Weightings'!$K$5:$M$5,1,0),"Excl")</f>
        <v>Labour</v>
      </c>
      <c r="AY767" s="7" t="str">
        <f>VLOOKUP(AO767,Mapping!$E$11:$I$96,5,0)</f>
        <v>Metering Services</v>
      </c>
    </row>
    <row r="768" spans="1:51" x14ac:dyDescent="0.2">
      <c r="A768" s="7"/>
      <c r="B768" s="7"/>
      <c r="C768" s="7"/>
      <c r="D768" s="7"/>
      <c r="E768" s="36">
        <v>131</v>
      </c>
      <c r="F768" s="36" t="s">
        <v>2139</v>
      </c>
      <c r="G768" s="36">
        <v>613258</v>
      </c>
      <c r="H768" s="36" t="s">
        <v>2356</v>
      </c>
      <c r="I768" s="37">
        <v>303.64042999999998</v>
      </c>
      <c r="J768" s="7"/>
      <c r="K768" s="7" t="str">
        <f>VLOOKUP($E768,Mapping!$E$11:$I$96,3,0)</f>
        <v>Replacement</v>
      </c>
      <c r="L768" s="7" t="str">
        <f>VLOOKUP($G768,Mapping!$E$140:$K$2771,5,0)</f>
        <v>Labour</v>
      </c>
      <c r="M768" s="7" t="str">
        <f>VLOOKUP($G768,Mapping!$E$140:$K$2771,7,0)</f>
        <v>ENDirect</v>
      </c>
      <c r="N768" s="7" t="str">
        <f>IFERROR(HLOOKUP(L768,'Calc|Weightings'!$K$5:$M$5,1,0),"Excl")</f>
        <v>Labour</v>
      </c>
      <c r="O768" s="7" t="str">
        <f>VLOOKUP(E768,Mapping!$E$11:$I$96,5,0)</f>
        <v>SCS</v>
      </c>
      <c r="Q768" s="33">
        <v>134</v>
      </c>
      <c r="R768" s="33" t="s">
        <v>2143</v>
      </c>
      <c r="S768" s="33">
        <v>613775</v>
      </c>
      <c r="T768" s="33" t="s">
        <v>1578</v>
      </c>
      <c r="U768" s="34">
        <v>0.88116000000000005</v>
      </c>
      <c r="V768" s="7"/>
      <c r="W768" s="7" t="str">
        <f>VLOOKUP($Q768,Mapping!$E$11:$I$96,3,0)</f>
        <v>Metering Capex</v>
      </c>
      <c r="X768" s="7" t="str">
        <f>VLOOKUP($S768,Mapping!$E$140:$K$2771,5,0)</f>
        <v>Materials</v>
      </c>
      <c r="Y768" s="7" t="str">
        <f>VLOOKUP($S768,Mapping!$E$140:$K$2771,7,0)</f>
        <v>ENDirect</v>
      </c>
      <c r="Z768" s="7" t="str">
        <f>IFERROR(HLOOKUP(X768,'Calc|Weightings'!$K$5:$M$5,1,0),"Excl")</f>
        <v>Materials</v>
      </c>
      <c r="AA768" s="7" t="str">
        <f>VLOOKUP(Q768,Mapping!$E$11:$I$96,5,0)</f>
        <v>Metering Services</v>
      </c>
      <c r="AC768" s="111">
        <v>131</v>
      </c>
      <c r="AD768" s="111" t="s">
        <v>2139</v>
      </c>
      <c r="AE768" s="111">
        <v>613411</v>
      </c>
      <c r="AF768" s="111" t="s">
        <v>2101</v>
      </c>
      <c r="AG768" s="112">
        <v>24.505839999999999</v>
      </c>
      <c r="AI768" s="7" t="str">
        <f>VLOOKUP($AC768,Mapping!$E$11:$I$96,3,0)</f>
        <v>Replacement</v>
      </c>
      <c r="AJ768" s="7" t="str">
        <f>VLOOKUP($AE768,Mapping!$E$140:$K$2771,5,0)</f>
        <v>Labour</v>
      </c>
      <c r="AK768" s="7" t="str">
        <f>VLOOKUP($AE768,Mapping!$E$140:$K$2771,7,0)</f>
        <v>ENDirect</v>
      </c>
      <c r="AL768" s="7" t="str">
        <f>IFERROR(HLOOKUP(AJ768,'Calc|Weightings'!$K$5:$M$5,1,0),"Excl")</f>
        <v>Labour</v>
      </c>
      <c r="AM768" s="7" t="str">
        <f>VLOOKUP(AC768,Mapping!$E$11:$I$96,5,0)</f>
        <v>SCS</v>
      </c>
      <c r="AO768" s="134">
        <v>137</v>
      </c>
      <c r="AP768" s="135" t="s">
        <v>2144</v>
      </c>
      <c r="AQ768" s="135">
        <v>613848</v>
      </c>
      <c r="AR768" s="135" t="s">
        <v>849</v>
      </c>
      <c r="AS768" s="136">
        <v>25.268039999999999</v>
      </c>
      <c r="AU768" s="7" t="str">
        <f>VLOOKUP($AO768,Mapping!$E$11:$I$96,3,0)</f>
        <v>Metering Capex</v>
      </c>
      <c r="AV768" s="7" t="str">
        <f>VLOOKUP($AQ768,Mapping!$E$140:$K$2771,5,0)</f>
        <v>Labour</v>
      </c>
      <c r="AW768" s="7" t="str">
        <f>VLOOKUP($AQ768,Mapping!$E$140:$K$2771,7,0)</f>
        <v>ENDirect</v>
      </c>
      <c r="AX768" s="7" t="str">
        <f>IFERROR(HLOOKUP(AV768,'Calc|Weightings'!$K$5:$M$5,1,0),"Excl")</f>
        <v>Labour</v>
      </c>
      <c r="AY768" s="7" t="str">
        <f>VLOOKUP(AO768,Mapping!$E$11:$I$96,5,0)</f>
        <v>Metering Services</v>
      </c>
    </row>
    <row r="769" spans="1:51" x14ac:dyDescent="0.2">
      <c r="A769" s="7"/>
      <c r="B769" s="7"/>
      <c r="C769" s="7"/>
      <c r="D769" s="7"/>
      <c r="E769" s="36">
        <v>131</v>
      </c>
      <c r="F769" s="36" t="s">
        <v>2139</v>
      </c>
      <c r="G769" s="36">
        <v>613259</v>
      </c>
      <c r="H769" s="36" t="s">
        <v>2359</v>
      </c>
      <c r="I769" s="37">
        <v>9.4729100000000006</v>
      </c>
      <c r="J769" s="7"/>
      <c r="K769" s="7" t="str">
        <f>VLOOKUP($E769,Mapping!$E$11:$I$96,3,0)</f>
        <v>Replacement</v>
      </c>
      <c r="L769" s="7" t="str">
        <f>VLOOKUP($G769,Mapping!$E$140:$K$2771,5,0)</f>
        <v>Labour</v>
      </c>
      <c r="M769" s="7" t="str">
        <f>VLOOKUP($G769,Mapping!$E$140:$K$2771,7,0)</f>
        <v>ENDirect</v>
      </c>
      <c r="N769" s="7" t="str">
        <f>IFERROR(HLOOKUP(L769,'Calc|Weightings'!$K$5:$M$5,1,0),"Excl")</f>
        <v>Labour</v>
      </c>
      <c r="O769" s="7" t="str">
        <f>VLOOKUP(E769,Mapping!$E$11:$I$96,5,0)</f>
        <v>SCS</v>
      </c>
      <c r="Q769" s="33">
        <v>134</v>
      </c>
      <c r="R769" s="33" t="s">
        <v>2143</v>
      </c>
      <c r="S769" s="33">
        <v>613776</v>
      </c>
      <c r="T769" s="33" t="s">
        <v>1579</v>
      </c>
      <c r="U769" s="34">
        <v>8.4206199999999995</v>
      </c>
      <c r="V769" s="7"/>
      <c r="W769" s="7" t="str">
        <f>VLOOKUP($Q769,Mapping!$E$11:$I$96,3,0)</f>
        <v>Metering Capex</v>
      </c>
      <c r="X769" s="7" t="str">
        <f>VLOOKUP($S769,Mapping!$E$140:$K$2771,5,0)</f>
        <v>Materials</v>
      </c>
      <c r="Y769" s="7" t="str">
        <f>VLOOKUP($S769,Mapping!$E$140:$K$2771,7,0)</f>
        <v>ENDirect</v>
      </c>
      <c r="Z769" s="7" t="str">
        <f>IFERROR(HLOOKUP(X769,'Calc|Weightings'!$K$5:$M$5,1,0),"Excl")</f>
        <v>Materials</v>
      </c>
      <c r="AA769" s="7" t="str">
        <f>VLOOKUP(Q769,Mapping!$E$11:$I$96,5,0)</f>
        <v>Metering Services</v>
      </c>
      <c r="AC769" s="111">
        <v>131</v>
      </c>
      <c r="AD769" s="111" t="s">
        <v>2139</v>
      </c>
      <c r="AE769" s="111">
        <v>613434</v>
      </c>
      <c r="AF769" s="111" t="s">
        <v>2102</v>
      </c>
      <c r="AG769" s="112">
        <v>4.0985199999999997</v>
      </c>
      <c r="AI769" s="7" t="str">
        <f>VLOOKUP($AC769,Mapping!$E$11:$I$96,3,0)</f>
        <v>Replacement</v>
      </c>
      <c r="AJ769" s="7" t="str">
        <f>VLOOKUP($AE769,Mapping!$E$140:$K$2771,5,0)</f>
        <v>Labour</v>
      </c>
      <c r="AK769" s="7" t="str">
        <f>VLOOKUP($AE769,Mapping!$E$140:$K$2771,7,0)</f>
        <v>ENDirect</v>
      </c>
      <c r="AL769" s="7" t="str">
        <f>IFERROR(HLOOKUP(AJ769,'Calc|Weightings'!$K$5:$M$5,1,0),"Excl")</f>
        <v>Labour</v>
      </c>
      <c r="AM769" s="7" t="str">
        <f>VLOOKUP(AC769,Mapping!$E$11:$I$96,5,0)</f>
        <v>SCS</v>
      </c>
      <c r="AO769" s="134">
        <v>137</v>
      </c>
      <c r="AP769" s="135" t="s">
        <v>2144</v>
      </c>
      <c r="AQ769" s="135">
        <v>634001</v>
      </c>
      <c r="AR769" s="135" t="s">
        <v>2110</v>
      </c>
      <c r="AS769" s="136">
        <v>5.1710599999999998</v>
      </c>
      <c r="AU769" s="7" t="str">
        <f>VLOOKUP($AO769,Mapping!$E$11:$I$96,3,0)</f>
        <v>Metering Capex</v>
      </c>
      <c r="AV769" s="7" t="str">
        <f>VLOOKUP($AQ769,Mapping!$E$140:$K$2771,5,0)</f>
        <v>Local OH</v>
      </c>
      <c r="AW769" s="7" t="str">
        <f>VLOOKUP($AQ769,Mapping!$E$140:$K$2771,7,0)</f>
        <v>OH</v>
      </c>
      <c r="AX769" s="7" t="str">
        <f>IFERROR(HLOOKUP(AV769,'Calc|Weightings'!$K$5:$M$5,1,0),"Excl")</f>
        <v>Excl</v>
      </c>
      <c r="AY769" s="7" t="str">
        <f>VLOOKUP(AO769,Mapping!$E$11:$I$96,5,0)</f>
        <v>Metering Services</v>
      </c>
    </row>
    <row r="770" spans="1:51" x14ac:dyDescent="0.2">
      <c r="A770" s="7"/>
      <c r="B770" s="7"/>
      <c r="C770" s="7"/>
      <c r="D770" s="7"/>
      <c r="E770" s="36">
        <v>131</v>
      </c>
      <c r="F770" s="36" t="s">
        <v>2139</v>
      </c>
      <c r="G770" s="36">
        <v>613268</v>
      </c>
      <c r="H770" s="36" t="s">
        <v>1335</v>
      </c>
      <c r="I770" s="37">
        <v>2.7539799999999999</v>
      </c>
      <c r="J770" s="7"/>
      <c r="K770" s="7" t="str">
        <f>VLOOKUP($E770,Mapping!$E$11:$I$96,3,0)</f>
        <v>Replacement</v>
      </c>
      <c r="L770" s="7" t="str">
        <f>VLOOKUP($G770,Mapping!$E$140:$K$2771,5,0)</f>
        <v>Labour</v>
      </c>
      <c r="M770" s="7" t="str">
        <f>VLOOKUP($G770,Mapping!$E$140:$K$2771,7,0)</f>
        <v>ENDirect</v>
      </c>
      <c r="N770" s="7" t="str">
        <f>IFERROR(HLOOKUP(L770,'Calc|Weightings'!$K$5:$M$5,1,0),"Excl")</f>
        <v>Labour</v>
      </c>
      <c r="O770" s="7" t="str">
        <f>VLOOKUP(E770,Mapping!$E$11:$I$96,5,0)</f>
        <v>SCS</v>
      </c>
      <c r="Q770" s="33">
        <v>134</v>
      </c>
      <c r="R770" s="33" t="s">
        <v>2143</v>
      </c>
      <c r="S770" s="33">
        <v>613778</v>
      </c>
      <c r="T770" s="33" t="s">
        <v>1065</v>
      </c>
      <c r="U770" s="34">
        <v>0.3155</v>
      </c>
      <c r="V770" s="7"/>
      <c r="W770" s="7" t="str">
        <f>VLOOKUP($Q770,Mapping!$E$11:$I$96,3,0)</f>
        <v>Metering Capex</v>
      </c>
      <c r="X770" s="7" t="str">
        <f>VLOOKUP($S770,Mapping!$E$140:$K$2771,5,0)</f>
        <v>Materials</v>
      </c>
      <c r="Y770" s="7" t="str">
        <f>VLOOKUP($S770,Mapping!$E$140:$K$2771,7,0)</f>
        <v>ENDirect</v>
      </c>
      <c r="Z770" s="7" t="str">
        <f>IFERROR(HLOOKUP(X770,'Calc|Weightings'!$K$5:$M$5,1,0),"Excl")</f>
        <v>Materials</v>
      </c>
      <c r="AA770" s="7" t="str">
        <f>VLOOKUP(Q770,Mapping!$E$11:$I$96,5,0)</f>
        <v>Metering Services</v>
      </c>
      <c r="AC770" s="111">
        <v>131</v>
      </c>
      <c r="AD770" s="111" t="s">
        <v>2139</v>
      </c>
      <c r="AE770" s="111">
        <v>613440</v>
      </c>
      <c r="AF770" s="111" t="s">
        <v>2103</v>
      </c>
      <c r="AG770" s="112">
        <v>11.476839999999999</v>
      </c>
      <c r="AI770" s="7" t="str">
        <f>VLOOKUP($AC770,Mapping!$E$11:$I$96,3,0)</f>
        <v>Replacement</v>
      </c>
      <c r="AJ770" s="7" t="str">
        <f>VLOOKUP($AE770,Mapping!$E$140:$K$2771,5,0)</f>
        <v>Labour</v>
      </c>
      <c r="AK770" s="7" t="str">
        <f>VLOOKUP($AE770,Mapping!$E$140:$K$2771,7,0)</f>
        <v>ENDirect</v>
      </c>
      <c r="AL770" s="7" t="str">
        <f>IFERROR(HLOOKUP(AJ770,'Calc|Weightings'!$K$5:$M$5,1,0),"Excl")</f>
        <v>Labour</v>
      </c>
      <c r="AM770" s="7" t="str">
        <f>VLOOKUP(AC770,Mapping!$E$11:$I$96,5,0)</f>
        <v>SCS</v>
      </c>
      <c r="AO770" s="134">
        <v>137</v>
      </c>
      <c r="AP770" s="135" t="s">
        <v>2144</v>
      </c>
      <c r="AQ770" s="135">
        <v>635001</v>
      </c>
      <c r="AR770" s="135" t="s">
        <v>1929</v>
      </c>
      <c r="AS770" s="136">
        <v>30.06288</v>
      </c>
      <c r="AU770" s="7" t="str">
        <f>VLOOKUP($AO770,Mapping!$E$11:$I$96,3,0)</f>
        <v>Metering Capex</v>
      </c>
      <c r="AV770" s="7" t="str">
        <f>VLOOKUP($AQ770,Mapping!$E$140:$K$2771,5,0)</f>
        <v>PNS MG</v>
      </c>
      <c r="AW770" s="7" t="str">
        <f>VLOOKUP($AQ770,Mapping!$E$140:$K$2771,7,0)</f>
        <v>ENDirect</v>
      </c>
      <c r="AX770" s="7" t="str">
        <f>IFERROR(HLOOKUP(AV770,'Calc|Weightings'!$K$5:$M$5,1,0),"Excl")</f>
        <v>Excl</v>
      </c>
      <c r="AY770" s="7" t="str">
        <f>VLOOKUP(AO770,Mapping!$E$11:$I$96,5,0)</f>
        <v>Metering Services</v>
      </c>
    </row>
    <row r="771" spans="1:51" x14ac:dyDescent="0.2">
      <c r="A771" s="7"/>
      <c r="B771" s="7"/>
      <c r="C771" s="7"/>
      <c r="D771" s="7"/>
      <c r="E771" s="36">
        <v>131</v>
      </c>
      <c r="F771" s="36" t="s">
        <v>2139</v>
      </c>
      <c r="G771" s="36">
        <v>613269</v>
      </c>
      <c r="H771" s="36" t="s">
        <v>1336</v>
      </c>
      <c r="I771" s="37">
        <v>0.61058000000000001</v>
      </c>
      <c r="J771" s="7"/>
      <c r="K771" s="7" t="str">
        <f>VLOOKUP($E771,Mapping!$E$11:$I$96,3,0)</f>
        <v>Replacement</v>
      </c>
      <c r="L771" s="7" t="str">
        <f>VLOOKUP($G771,Mapping!$E$140:$K$2771,5,0)</f>
        <v>Labour</v>
      </c>
      <c r="M771" s="7" t="str">
        <f>VLOOKUP($G771,Mapping!$E$140:$K$2771,7,0)</f>
        <v>ENDirect</v>
      </c>
      <c r="N771" s="7" t="str">
        <f>IFERROR(HLOOKUP(L771,'Calc|Weightings'!$K$5:$M$5,1,0),"Excl")</f>
        <v>Labour</v>
      </c>
      <c r="O771" s="7" t="str">
        <f>VLOOKUP(E771,Mapping!$E$11:$I$96,5,0)</f>
        <v>SCS</v>
      </c>
      <c r="Q771" s="33">
        <v>134</v>
      </c>
      <c r="R771" s="33" t="s">
        <v>2143</v>
      </c>
      <c r="S771" s="33">
        <v>613779</v>
      </c>
      <c r="T771" s="33" t="s">
        <v>1581</v>
      </c>
      <c r="U771" s="34">
        <v>5.1850500000000004</v>
      </c>
      <c r="V771" s="7"/>
      <c r="W771" s="7" t="str">
        <f>VLOOKUP($Q771,Mapping!$E$11:$I$96,3,0)</f>
        <v>Metering Capex</v>
      </c>
      <c r="X771" s="7" t="str">
        <f>VLOOKUP($S771,Mapping!$E$140:$K$2771,5,0)</f>
        <v>Materials</v>
      </c>
      <c r="Y771" s="7" t="str">
        <f>VLOOKUP($S771,Mapping!$E$140:$K$2771,7,0)</f>
        <v>ENDirect</v>
      </c>
      <c r="Z771" s="7" t="str">
        <f>IFERROR(HLOOKUP(X771,'Calc|Weightings'!$K$5:$M$5,1,0),"Excl")</f>
        <v>Materials</v>
      </c>
      <c r="AA771" s="7" t="str">
        <f>VLOOKUP(Q771,Mapping!$E$11:$I$96,5,0)</f>
        <v>Metering Services</v>
      </c>
      <c r="AC771" s="111">
        <v>131</v>
      </c>
      <c r="AD771" s="111" t="s">
        <v>2139</v>
      </c>
      <c r="AE771" s="111">
        <v>613441</v>
      </c>
      <c r="AF771" s="111" t="s">
        <v>2104</v>
      </c>
      <c r="AG771" s="112">
        <v>1.58107</v>
      </c>
      <c r="AI771" s="7" t="str">
        <f>VLOOKUP($AC771,Mapping!$E$11:$I$96,3,0)</f>
        <v>Replacement</v>
      </c>
      <c r="AJ771" s="7" t="str">
        <f>VLOOKUP($AE771,Mapping!$E$140:$K$2771,5,0)</f>
        <v>Labour</v>
      </c>
      <c r="AK771" s="7" t="str">
        <f>VLOOKUP($AE771,Mapping!$E$140:$K$2771,7,0)</f>
        <v>ENDirect</v>
      </c>
      <c r="AL771" s="7" t="str">
        <f>IFERROR(HLOOKUP(AJ771,'Calc|Weightings'!$K$5:$M$5,1,0),"Excl")</f>
        <v>Labour</v>
      </c>
      <c r="AM771" s="7" t="str">
        <f>VLOOKUP(AC771,Mapping!$E$11:$I$96,5,0)</f>
        <v>SCS</v>
      </c>
      <c r="AO771" s="134">
        <v>137</v>
      </c>
      <c r="AP771" s="135" t="s">
        <v>2144</v>
      </c>
      <c r="AQ771" s="135">
        <v>636001</v>
      </c>
      <c r="AR771" s="135" t="s">
        <v>2111</v>
      </c>
      <c r="AS771" s="136">
        <v>3.5205500000000001</v>
      </c>
      <c r="AU771" s="7" t="str">
        <f>VLOOKUP($AO771,Mapping!$E$11:$I$96,3,0)</f>
        <v>Metering Capex</v>
      </c>
      <c r="AV771" s="7" t="str">
        <f>VLOOKUP($AQ771,Mapping!$E$140:$K$2771,5,0)</f>
        <v>System Control OH</v>
      </c>
      <c r="AW771" s="7" t="str">
        <f>VLOOKUP($AQ771,Mapping!$E$140:$K$2771,7,0)</f>
        <v>OH</v>
      </c>
      <c r="AX771" s="7" t="str">
        <f>IFERROR(HLOOKUP(AV771,'Calc|Weightings'!$K$5:$M$5,1,0),"Excl")</f>
        <v>Excl</v>
      </c>
      <c r="AY771" s="7" t="str">
        <f>VLOOKUP(AO771,Mapping!$E$11:$I$96,5,0)</f>
        <v>Metering Services</v>
      </c>
    </row>
    <row r="772" spans="1:51" x14ac:dyDescent="0.2">
      <c r="A772" s="7"/>
      <c r="B772" s="7"/>
      <c r="C772" s="7"/>
      <c r="D772" s="7"/>
      <c r="E772" s="36">
        <v>131</v>
      </c>
      <c r="F772" s="36" t="s">
        <v>2139</v>
      </c>
      <c r="G772" s="36">
        <v>613278</v>
      </c>
      <c r="H772" s="36" t="s">
        <v>2357</v>
      </c>
      <c r="I772" s="37">
        <v>219.43582000000001</v>
      </c>
      <c r="J772" s="7"/>
      <c r="K772" s="7" t="str">
        <f>VLOOKUP($E772,Mapping!$E$11:$I$96,3,0)</f>
        <v>Replacement</v>
      </c>
      <c r="L772" s="7" t="str">
        <f>VLOOKUP($G772,Mapping!$E$140:$K$2771,5,0)</f>
        <v>Labour</v>
      </c>
      <c r="M772" s="7" t="str">
        <f>VLOOKUP($G772,Mapping!$E$140:$K$2771,7,0)</f>
        <v>ENDirect</v>
      </c>
      <c r="N772" s="7" t="str">
        <f>IFERROR(HLOOKUP(L772,'Calc|Weightings'!$K$5:$M$5,1,0),"Excl")</f>
        <v>Labour</v>
      </c>
      <c r="O772" s="7" t="str">
        <f>VLOOKUP(E772,Mapping!$E$11:$I$96,5,0)</f>
        <v>SCS</v>
      </c>
      <c r="Q772" s="33">
        <v>134</v>
      </c>
      <c r="R772" s="33" t="s">
        <v>2143</v>
      </c>
      <c r="S772" s="33">
        <v>613784</v>
      </c>
      <c r="T772" s="33" t="s">
        <v>1585</v>
      </c>
      <c r="U772" s="34">
        <v>0.37763999999999998</v>
      </c>
      <c r="V772" s="7"/>
      <c r="W772" s="7" t="str">
        <f>VLOOKUP($Q772,Mapping!$E$11:$I$96,3,0)</f>
        <v>Metering Capex</v>
      </c>
      <c r="X772" s="7" t="str">
        <f>VLOOKUP($S772,Mapping!$E$140:$K$2771,5,0)</f>
        <v>Materials</v>
      </c>
      <c r="Y772" s="7" t="str">
        <f>VLOOKUP($S772,Mapping!$E$140:$K$2771,7,0)</f>
        <v>ENDirect</v>
      </c>
      <c r="Z772" s="7" t="str">
        <f>IFERROR(HLOOKUP(X772,'Calc|Weightings'!$K$5:$M$5,1,0),"Excl")</f>
        <v>Materials</v>
      </c>
      <c r="AA772" s="7" t="str">
        <f>VLOOKUP(Q772,Mapping!$E$11:$I$96,5,0)</f>
        <v>Metering Services</v>
      </c>
      <c r="AC772" s="111">
        <v>131</v>
      </c>
      <c r="AD772" s="111" t="s">
        <v>2139</v>
      </c>
      <c r="AE772" s="111">
        <v>613448</v>
      </c>
      <c r="AF772" s="111" t="s">
        <v>2105</v>
      </c>
      <c r="AG772" s="112">
        <v>2.4952700000000001</v>
      </c>
      <c r="AI772" s="7" t="str">
        <f>VLOOKUP($AC772,Mapping!$E$11:$I$96,3,0)</f>
        <v>Replacement</v>
      </c>
      <c r="AJ772" s="7" t="str">
        <f>VLOOKUP($AE772,Mapping!$E$140:$K$2771,5,0)</f>
        <v>Labour</v>
      </c>
      <c r="AK772" s="7" t="str">
        <f>VLOOKUP($AE772,Mapping!$E$140:$K$2771,7,0)</f>
        <v>ENDirect</v>
      </c>
      <c r="AL772" s="7" t="str">
        <f>IFERROR(HLOOKUP(AJ772,'Calc|Weightings'!$K$5:$M$5,1,0),"Excl")</f>
        <v>Labour</v>
      </c>
      <c r="AM772" s="7" t="str">
        <f>VLOOKUP(AC772,Mapping!$E$11:$I$96,5,0)</f>
        <v>SCS</v>
      </c>
      <c r="AO772" s="134">
        <v>137</v>
      </c>
      <c r="AP772" s="135" t="s">
        <v>2144</v>
      </c>
      <c r="AQ772" s="135">
        <v>639000</v>
      </c>
      <c r="AR772" s="135" t="s">
        <v>2112</v>
      </c>
      <c r="AS772" s="136">
        <v>21.234780000000001</v>
      </c>
      <c r="AU772" s="7" t="str">
        <f>VLOOKUP($AO772,Mapping!$E$11:$I$96,3,0)</f>
        <v>Metering Capex</v>
      </c>
      <c r="AV772" s="7" t="str">
        <f>VLOOKUP($AQ772,Mapping!$E$140:$K$2771,5,0)</f>
        <v>PNS Corporate OH</v>
      </c>
      <c r="AW772" s="7" t="str">
        <f>VLOOKUP($AQ772,Mapping!$E$140:$K$2771,7,0)</f>
        <v>OH</v>
      </c>
      <c r="AX772" s="7" t="str">
        <f>IFERROR(HLOOKUP(AV772,'Calc|Weightings'!$K$5:$M$5,1,0),"Excl")</f>
        <v>Excl</v>
      </c>
      <c r="AY772" s="7" t="str">
        <f>VLOOKUP(AO772,Mapping!$E$11:$I$96,5,0)</f>
        <v>Metering Services</v>
      </c>
    </row>
    <row r="773" spans="1:51" x14ac:dyDescent="0.2">
      <c r="A773" s="7"/>
      <c r="B773" s="7"/>
      <c r="C773" s="7"/>
      <c r="D773" s="7"/>
      <c r="E773" s="36">
        <v>131</v>
      </c>
      <c r="F773" s="36" t="s">
        <v>2139</v>
      </c>
      <c r="G773" s="36">
        <v>613279</v>
      </c>
      <c r="H773" s="36" t="s">
        <v>2360</v>
      </c>
      <c r="I773" s="37">
        <v>14.50018</v>
      </c>
      <c r="J773" s="7"/>
      <c r="K773" s="7" t="str">
        <f>VLOOKUP($E773,Mapping!$E$11:$I$96,3,0)</f>
        <v>Replacement</v>
      </c>
      <c r="L773" s="7" t="str">
        <f>VLOOKUP($G773,Mapping!$E$140:$K$2771,5,0)</f>
        <v>Labour</v>
      </c>
      <c r="M773" s="7" t="str">
        <f>VLOOKUP($G773,Mapping!$E$140:$K$2771,7,0)</f>
        <v>ENDirect</v>
      </c>
      <c r="N773" s="7" t="str">
        <f>IFERROR(HLOOKUP(L773,'Calc|Weightings'!$K$5:$M$5,1,0),"Excl")</f>
        <v>Labour</v>
      </c>
      <c r="O773" s="7" t="str">
        <f>VLOOKUP(E773,Mapping!$E$11:$I$96,5,0)</f>
        <v>SCS</v>
      </c>
      <c r="Q773" s="33">
        <v>134</v>
      </c>
      <c r="R773" s="33" t="s">
        <v>2143</v>
      </c>
      <c r="S773" s="33">
        <v>613809</v>
      </c>
      <c r="T773" s="33" t="s">
        <v>664</v>
      </c>
      <c r="U773" s="34">
        <v>14.703480000000001</v>
      </c>
      <c r="V773" s="7"/>
      <c r="W773" s="7" t="str">
        <f>VLOOKUP($Q773,Mapping!$E$11:$I$96,3,0)</f>
        <v>Metering Capex</v>
      </c>
      <c r="X773" s="7" t="str">
        <f>VLOOKUP($S773,Mapping!$E$140:$K$2771,5,0)</f>
        <v>Materials</v>
      </c>
      <c r="Y773" s="7" t="str">
        <f>VLOOKUP($S773,Mapping!$E$140:$K$2771,7,0)</f>
        <v>ENDirect</v>
      </c>
      <c r="Z773" s="7" t="str">
        <f>IFERROR(HLOOKUP(X773,'Calc|Weightings'!$K$5:$M$5,1,0),"Excl")</f>
        <v>Materials</v>
      </c>
      <c r="AA773" s="7" t="str">
        <f>VLOOKUP(Q773,Mapping!$E$11:$I$96,5,0)</f>
        <v>Metering Services</v>
      </c>
      <c r="AC773" s="111">
        <v>131</v>
      </c>
      <c r="AD773" s="111" t="s">
        <v>2139</v>
      </c>
      <c r="AE773" s="111">
        <v>613449</v>
      </c>
      <c r="AF773" s="111" t="s">
        <v>2106</v>
      </c>
      <c r="AG773" s="112">
        <v>1.29278</v>
      </c>
      <c r="AI773" s="7" t="str">
        <f>VLOOKUP($AC773,Mapping!$E$11:$I$96,3,0)</f>
        <v>Replacement</v>
      </c>
      <c r="AJ773" s="7" t="str">
        <f>VLOOKUP($AE773,Mapping!$E$140:$K$2771,5,0)</f>
        <v>Labour</v>
      </c>
      <c r="AK773" s="7" t="str">
        <f>VLOOKUP($AE773,Mapping!$E$140:$K$2771,7,0)</f>
        <v>ENDirect</v>
      </c>
      <c r="AL773" s="7" t="str">
        <f>IFERROR(HLOOKUP(AJ773,'Calc|Weightings'!$K$5:$M$5,1,0),"Excl")</f>
        <v>Labour</v>
      </c>
      <c r="AM773" s="7" t="str">
        <f>VLOOKUP(AC773,Mapping!$E$11:$I$96,5,0)</f>
        <v>SCS</v>
      </c>
      <c r="AO773" s="134">
        <v>137</v>
      </c>
      <c r="AP773" s="135" t="s">
        <v>2144</v>
      </c>
      <c r="AQ773" s="135">
        <v>639050</v>
      </c>
      <c r="AR773" s="135" t="s">
        <v>2113</v>
      </c>
      <c r="AS773" s="136">
        <v>0.97009000000000001</v>
      </c>
      <c r="AU773" s="7" t="str">
        <f>VLOOKUP($AO773,Mapping!$E$11:$I$96,3,0)</f>
        <v>Metering Capex</v>
      </c>
      <c r="AV773" s="7" t="str">
        <f>VLOOKUP($AQ773,Mapping!$E$140:$K$2771,5,0)</f>
        <v>PNS Fleet &amp; Property OH</v>
      </c>
      <c r="AW773" s="7" t="str">
        <f>VLOOKUP($AQ773,Mapping!$E$140:$K$2771,7,0)</f>
        <v>OH</v>
      </c>
      <c r="AX773" s="7" t="str">
        <f>IFERROR(HLOOKUP(AV773,'Calc|Weightings'!$K$5:$M$5,1,0),"Excl")</f>
        <v>Excl</v>
      </c>
      <c r="AY773" s="7" t="str">
        <f>VLOOKUP(AO773,Mapping!$E$11:$I$96,5,0)</f>
        <v>Metering Services</v>
      </c>
    </row>
    <row r="774" spans="1:51" x14ac:dyDescent="0.2">
      <c r="A774" s="7"/>
      <c r="B774" s="7"/>
      <c r="C774" s="7"/>
      <c r="D774" s="7"/>
      <c r="E774" s="36">
        <v>131</v>
      </c>
      <c r="F774" s="36" t="s">
        <v>2139</v>
      </c>
      <c r="G774" s="36">
        <v>613280</v>
      </c>
      <c r="H774" s="36" t="s">
        <v>1342</v>
      </c>
      <c r="I774" s="37">
        <v>174.15989999999999</v>
      </c>
      <c r="J774" s="7"/>
      <c r="K774" s="7" t="str">
        <f>VLOOKUP($E774,Mapping!$E$11:$I$96,3,0)</f>
        <v>Replacement</v>
      </c>
      <c r="L774" s="7" t="str">
        <f>VLOOKUP($G774,Mapping!$E$140:$K$2771,5,0)</f>
        <v>Labour</v>
      </c>
      <c r="M774" s="7" t="str">
        <f>VLOOKUP($G774,Mapping!$E$140:$K$2771,7,0)</f>
        <v>ENDirect</v>
      </c>
      <c r="N774" s="7" t="str">
        <f>IFERROR(HLOOKUP(L774,'Calc|Weightings'!$K$5:$M$5,1,0),"Excl")</f>
        <v>Labour</v>
      </c>
      <c r="O774" s="7" t="str">
        <f>VLOOKUP(E774,Mapping!$E$11:$I$96,5,0)</f>
        <v>SCS</v>
      </c>
      <c r="Q774" s="33">
        <v>134</v>
      </c>
      <c r="R774" s="33" t="s">
        <v>2143</v>
      </c>
      <c r="S774" s="33">
        <v>613811</v>
      </c>
      <c r="T774" s="33" t="s">
        <v>666</v>
      </c>
      <c r="U774" s="34">
        <v>88.416510000000002</v>
      </c>
      <c r="V774" s="7"/>
      <c r="W774" s="7" t="str">
        <f>VLOOKUP($Q774,Mapping!$E$11:$I$96,3,0)</f>
        <v>Metering Capex</v>
      </c>
      <c r="X774" s="7" t="str">
        <f>VLOOKUP($S774,Mapping!$E$140:$K$2771,5,0)</f>
        <v>Materials</v>
      </c>
      <c r="Y774" s="7" t="str">
        <f>VLOOKUP($S774,Mapping!$E$140:$K$2771,7,0)</f>
        <v>ENDirect</v>
      </c>
      <c r="Z774" s="7" t="str">
        <f>IFERROR(HLOOKUP(X774,'Calc|Weightings'!$K$5:$M$5,1,0),"Excl")</f>
        <v>Materials</v>
      </c>
      <c r="AA774" s="7" t="str">
        <f>VLOOKUP(Q774,Mapping!$E$11:$I$96,5,0)</f>
        <v>Metering Services</v>
      </c>
      <c r="AC774" s="111">
        <v>131</v>
      </c>
      <c r="AD774" s="111" t="s">
        <v>2139</v>
      </c>
      <c r="AE774" s="111">
        <v>613450</v>
      </c>
      <c r="AF774" s="111" t="s">
        <v>2175</v>
      </c>
      <c r="AG774" s="112">
        <v>2.1303800000000002</v>
      </c>
      <c r="AI774" s="7" t="str">
        <f>VLOOKUP($AC774,Mapping!$E$11:$I$96,3,0)</f>
        <v>Replacement</v>
      </c>
      <c r="AJ774" s="7" t="str">
        <f>VLOOKUP($AE774,Mapping!$E$140:$K$2771,5,0)</f>
        <v>Labour</v>
      </c>
      <c r="AK774" s="7" t="str">
        <f>VLOOKUP($AE774,Mapping!$E$140:$K$2771,7,0)</f>
        <v>ENDirect</v>
      </c>
      <c r="AL774" s="7" t="str">
        <f>IFERROR(HLOOKUP(AJ774,'Calc|Weightings'!$K$5:$M$5,1,0),"Excl")</f>
        <v>Labour</v>
      </c>
      <c r="AM774" s="7" t="str">
        <f>VLOOKUP(AC774,Mapping!$E$11:$I$96,5,0)</f>
        <v>SCS</v>
      </c>
      <c r="AO774" s="134">
        <v>140</v>
      </c>
      <c r="AP774" s="135" t="s">
        <v>2148</v>
      </c>
      <c r="AQ774" s="135">
        <v>520100</v>
      </c>
      <c r="AR774" s="135" t="s">
        <v>2072</v>
      </c>
      <c r="AS774" s="136">
        <v>496.22034000000002</v>
      </c>
      <c r="AU774" s="7" t="str">
        <f>VLOOKUP($AO774,Mapping!$E$11:$I$96,3,0)</f>
        <v>Public lighting Capex</v>
      </c>
      <c r="AV774" s="7" t="str">
        <f>VLOOKUP($AQ774,Mapping!$E$140:$K$2771,5,0)</f>
        <v>Materials</v>
      </c>
      <c r="AW774" s="7" t="str">
        <f>VLOOKUP($AQ774,Mapping!$E$140:$K$2771,7,0)</f>
        <v>ENDirect</v>
      </c>
      <c r="AX774" s="7" t="str">
        <f>IFERROR(HLOOKUP(AV774,'Calc|Weightings'!$K$5:$M$5,1,0),"Excl")</f>
        <v>Materials</v>
      </c>
      <c r="AY774" s="7" t="str">
        <f>VLOOKUP(AO774,Mapping!$E$11:$I$96,5,0)</f>
        <v>Public Lighting</v>
      </c>
    </row>
    <row r="775" spans="1:51" x14ac:dyDescent="0.2">
      <c r="A775" s="7"/>
      <c r="B775" s="7"/>
      <c r="C775" s="7"/>
      <c r="D775" s="7"/>
      <c r="E775" s="36">
        <v>131</v>
      </c>
      <c r="F775" s="36" t="s">
        <v>2139</v>
      </c>
      <c r="G775" s="36">
        <v>613290</v>
      </c>
      <c r="H775" s="36" t="s">
        <v>2093</v>
      </c>
      <c r="I775" s="37">
        <v>121.57538</v>
      </c>
      <c r="J775" s="7"/>
      <c r="K775" s="7" t="str">
        <f>VLOOKUP($E775,Mapping!$E$11:$I$96,3,0)</f>
        <v>Replacement</v>
      </c>
      <c r="L775" s="7" t="str">
        <f>VLOOKUP($G775,Mapping!$E$140:$K$2771,5,0)</f>
        <v>Labour</v>
      </c>
      <c r="M775" s="7" t="str">
        <f>VLOOKUP($G775,Mapping!$E$140:$K$2771,7,0)</f>
        <v>ENDirect</v>
      </c>
      <c r="N775" s="7" t="str">
        <f>IFERROR(HLOOKUP(L775,'Calc|Weightings'!$K$5:$M$5,1,0),"Excl")</f>
        <v>Labour</v>
      </c>
      <c r="O775" s="7" t="str">
        <f>VLOOKUP(E775,Mapping!$E$11:$I$96,5,0)</f>
        <v>SCS</v>
      </c>
      <c r="Q775" s="33">
        <v>134</v>
      </c>
      <c r="R775" s="33" t="s">
        <v>2143</v>
      </c>
      <c r="S775" s="33">
        <v>613813</v>
      </c>
      <c r="T775" s="33" t="s">
        <v>668</v>
      </c>
      <c r="U775" s="34">
        <v>6.9134000000000002</v>
      </c>
      <c r="V775" s="7"/>
      <c r="W775" s="7" t="str">
        <f>VLOOKUP($Q775,Mapping!$E$11:$I$96,3,0)</f>
        <v>Metering Capex</v>
      </c>
      <c r="X775" s="7" t="str">
        <f>VLOOKUP($S775,Mapping!$E$140:$K$2771,5,0)</f>
        <v>Materials</v>
      </c>
      <c r="Y775" s="7" t="str">
        <f>VLOOKUP($S775,Mapping!$E$140:$K$2771,7,0)</f>
        <v>ENDirect</v>
      </c>
      <c r="Z775" s="7" t="str">
        <f>IFERROR(HLOOKUP(X775,'Calc|Weightings'!$K$5:$M$5,1,0),"Excl")</f>
        <v>Materials</v>
      </c>
      <c r="AA775" s="7" t="str">
        <f>VLOOKUP(Q775,Mapping!$E$11:$I$96,5,0)</f>
        <v>Metering Services</v>
      </c>
      <c r="AC775" s="111">
        <v>131</v>
      </c>
      <c r="AD775" s="111" t="s">
        <v>2139</v>
      </c>
      <c r="AE775" s="111">
        <v>613566</v>
      </c>
      <c r="AF775" s="111" t="s">
        <v>1482</v>
      </c>
      <c r="AG775" s="112">
        <v>317.38711000000001</v>
      </c>
      <c r="AI775" s="7" t="str">
        <f>VLOOKUP($AC775,Mapping!$E$11:$I$96,3,0)</f>
        <v>Replacement</v>
      </c>
      <c r="AJ775" s="7" t="str">
        <f>VLOOKUP($AE775,Mapping!$E$140:$K$2771,5,0)</f>
        <v>Labour</v>
      </c>
      <c r="AK775" s="7" t="str">
        <f>VLOOKUP($AE775,Mapping!$E$140:$K$2771,7,0)</f>
        <v>ENDirect</v>
      </c>
      <c r="AL775" s="7" t="str">
        <f>IFERROR(HLOOKUP(AJ775,'Calc|Weightings'!$K$5:$M$5,1,0),"Excl")</f>
        <v>Labour</v>
      </c>
      <c r="AM775" s="7" t="str">
        <f>VLOOKUP(AC775,Mapping!$E$11:$I$96,5,0)</f>
        <v>SCS</v>
      </c>
      <c r="AO775" s="134">
        <v>140</v>
      </c>
      <c r="AP775" s="135" t="s">
        <v>2148</v>
      </c>
      <c r="AQ775" s="135">
        <v>523100</v>
      </c>
      <c r="AR775" s="135" t="s">
        <v>2074</v>
      </c>
      <c r="AS775" s="136">
        <v>0.97941</v>
      </c>
      <c r="AU775" s="7" t="str">
        <f>VLOOKUP($AO775,Mapping!$E$11:$I$96,3,0)</f>
        <v>Public lighting Capex</v>
      </c>
      <c r="AV775" s="7" t="str">
        <f>VLOOKUP($AQ775,Mapping!$E$140:$K$2771,5,0)</f>
        <v>Materials</v>
      </c>
      <c r="AW775" s="7" t="str">
        <f>VLOOKUP($AQ775,Mapping!$E$140:$K$2771,7,0)</f>
        <v>ENDirect</v>
      </c>
      <c r="AX775" s="7" t="str">
        <f>IFERROR(HLOOKUP(AV775,'Calc|Weightings'!$K$5:$M$5,1,0),"Excl")</f>
        <v>Materials</v>
      </c>
      <c r="AY775" s="7" t="str">
        <f>VLOOKUP(AO775,Mapping!$E$11:$I$96,5,0)</f>
        <v>Public Lighting</v>
      </c>
    </row>
    <row r="776" spans="1:51" x14ac:dyDescent="0.2">
      <c r="A776" s="7"/>
      <c r="B776" s="7"/>
      <c r="C776" s="7"/>
      <c r="D776" s="7"/>
      <c r="E776" s="36">
        <v>131</v>
      </c>
      <c r="F776" s="36" t="s">
        <v>2139</v>
      </c>
      <c r="G776" s="36">
        <v>613298</v>
      </c>
      <c r="H776" s="36" t="s">
        <v>2122</v>
      </c>
      <c r="I776" s="37">
        <v>0.70043999999999995</v>
      </c>
      <c r="J776" s="7"/>
      <c r="K776" s="7" t="str">
        <f>VLOOKUP($E776,Mapping!$E$11:$I$96,3,0)</f>
        <v>Replacement</v>
      </c>
      <c r="L776" s="7" t="str">
        <f>VLOOKUP($G776,Mapping!$E$140:$K$2771,5,0)</f>
        <v>Labour</v>
      </c>
      <c r="M776" s="7" t="str">
        <f>VLOOKUP($G776,Mapping!$E$140:$K$2771,7,0)</f>
        <v>ENDirect</v>
      </c>
      <c r="N776" s="7" t="str">
        <f>IFERROR(HLOOKUP(L776,'Calc|Weightings'!$K$5:$M$5,1,0),"Excl")</f>
        <v>Labour</v>
      </c>
      <c r="O776" s="7" t="str">
        <f>VLOOKUP(E776,Mapping!$E$11:$I$96,5,0)</f>
        <v>SCS</v>
      </c>
      <c r="Q776" s="33">
        <v>134</v>
      </c>
      <c r="R776" s="33" t="s">
        <v>2143</v>
      </c>
      <c r="S776" s="33">
        <v>634001</v>
      </c>
      <c r="T776" s="33" t="s">
        <v>2110</v>
      </c>
      <c r="U776" s="34">
        <v>1.5664400000000001</v>
      </c>
      <c r="V776" s="7"/>
      <c r="W776" s="7" t="str">
        <f>VLOOKUP($Q776,Mapping!$E$11:$I$96,3,0)</f>
        <v>Metering Capex</v>
      </c>
      <c r="X776" s="7" t="str">
        <f>VLOOKUP($S776,Mapping!$E$140:$K$2771,5,0)</f>
        <v>Local OH</v>
      </c>
      <c r="Y776" s="7" t="str">
        <f>VLOOKUP($S776,Mapping!$E$140:$K$2771,7,0)</f>
        <v>OH</v>
      </c>
      <c r="Z776" s="7" t="str">
        <f>IFERROR(HLOOKUP(X776,'Calc|Weightings'!$K$5:$M$5,1,0),"Excl")</f>
        <v>Excl</v>
      </c>
      <c r="AA776" s="7" t="str">
        <f>VLOOKUP(Q776,Mapping!$E$11:$I$96,5,0)</f>
        <v>Metering Services</v>
      </c>
      <c r="AC776" s="111">
        <v>131</v>
      </c>
      <c r="AD776" s="111" t="s">
        <v>2139</v>
      </c>
      <c r="AE776" s="111">
        <v>613567</v>
      </c>
      <c r="AF776" s="111" t="s">
        <v>1483</v>
      </c>
      <c r="AG776" s="112">
        <v>40.234319999999997</v>
      </c>
      <c r="AI776" s="7" t="str">
        <f>VLOOKUP($AC776,Mapping!$E$11:$I$96,3,0)</f>
        <v>Replacement</v>
      </c>
      <c r="AJ776" s="7" t="str">
        <f>VLOOKUP($AE776,Mapping!$E$140:$K$2771,5,0)</f>
        <v>Labour</v>
      </c>
      <c r="AK776" s="7" t="str">
        <f>VLOOKUP($AE776,Mapping!$E$140:$K$2771,7,0)</f>
        <v>ENDirect</v>
      </c>
      <c r="AL776" s="7" t="str">
        <f>IFERROR(HLOOKUP(AJ776,'Calc|Weightings'!$K$5:$M$5,1,0),"Excl")</f>
        <v>Labour</v>
      </c>
      <c r="AM776" s="7" t="str">
        <f>VLOOKUP(AC776,Mapping!$E$11:$I$96,5,0)</f>
        <v>SCS</v>
      </c>
      <c r="AO776" s="134">
        <v>140</v>
      </c>
      <c r="AP776" s="135" t="s">
        <v>2148</v>
      </c>
      <c r="AQ776" s="135">
        <v>531000</v>
      </c>
      <c r="AR776" s="135" t="s">
        <v>242</v>
      </c>
      <c r="AS776" s="136">
        <v>3.0038999999999998</v>
      </c>
      <c r="AU776" s="7" t="str">
        <f>VLOOKUP($AO776,Mapping!$E$11:$I$96,3,0)</f>
        <v>Public lighting Capex</v>
      </c>
      <c r="AV776" s="7" t="str">
        <f>VLOOKUP($AQ776,Mapping!$E$140:$K$2771,5,0)</f>
        <v>Contracts</v>
      </c>
      <c r="AW776" s="7" t="str">
        <f>VLOOKUP($AQ776,Mapping!$E$140:$K$2771,7,0)</f>
        <v>ENDirect</v>
      </c>
      <c r="AX776" s="7" t="str">
        <f>IFERROR(HLOOKUP(AV776,'Calc|Weightings'!$K$5:$M$5,1,0),"Excl")</f>
        <v>Contracts</v>
      </c>
      <c r="AY776" s="7" t="str">
        <f>VLOOKUP(AO776,Mapping!$E$11:$I$96,5,0)</f>
        <v>Public Lighting</v>
      </c>
    </row>
    <row r="777" spans="1:51" x14ac:dyDescent="0.2">
      <c r="A777" s="7"/>
      <c r="B777" s="7"/>
      <c r="C777" s="7"/>
      <c r="D777" s="7"/>
      <c r="E777" s="36">
        <v>131</v>
      </c>
      <c r="F777" s="36" t="s">
        <v>2139</v>
      </c>
      <c r="G777" s="36">
        <v>613310</v>
      </c>
      <c r="H777" s="36" t="s">
        <v>2095</v>
      </c>
      <c r="I777" s="37">
        <v>0.94830000000000003</v>
      </c>
      <c r="J777" s="7"/>
      <c r="K777" s="7" t="str">
        <f>VLOOKUP($E777,Mapping!$E$11:$I$96,3,0)</f>
        <v>Replacement</v>
      </c>
      <c r="L777" s="7" t="str">
        <f>VLOOKUP($G777,Mapping!$E$140:$K$2771,5,0)</f>
        <v>Labour</v>
      </c>
      <c r="M777" s="7" t="str">
        <f>VLOOKUP($G777,Mapping!$E$140:$K$2771,7,0)</f>
        <v>ENDirect</v>
      </c>
      <c r="N777" s="7" t="str">
        <f>IFERROR(HLOOKUP(L777,'Calc|Weightings'!$K$5:$M$5,1,0),"Excl")</f>
        <v>Labour</v>
      </c>
      <c r="O777" s="7" t="str">
        <f>VLOOKUP(E777,Mapping!$E$11:$I$96,5,0)</f>
        <v>SCS</v>
      </c>
      <c r="Q777" s="33">
        <v>134</v>
      </c>
      <c r="R777" s="33" t="s">
        <v>2143</v>
      </c>
      <c r="S777" s="33">
        <v>635001</v>
      </c>
      <c r="T777" s="33" t="s">
        <v>1929</v>
      </c>
      <c r="U777" s="34">
        <v>1.15777</v>
      </c>
      <c r="V777" s="7"/>
      <c r="W777" s="7" t="str">
        <f>VLOOKUP($Q777,Mapping!$E$11:$I$96,3,0)</f>
        <v>Metering Capex</v>
      </c>
      <c r="X777" s="7" t="str">
        <f>VLOOKUP($S777,Mapping!$E$140:$K$2771,5,0)</f>
        <v>PNS MG</v>
      </c>
      <c r="Y777" s="7" t="str">
        <f>VLOOKUP($S777,Mapping!$E$140:$K$2771,7,0)</f>
        <v>ENDirect</v>
      </c>
      <c r="Z777" s="7" t="str">
        <f>IFERROR(HLOOKUP(X777,'Calc|Weightings'!$K$5:$M$5,1,0),"Excl")</f>
        <v>Excl</v>
      </c>
      <c r="AA777" s="7" t="str">
        <f>VLOOKUP(Q777,Mapping!$E$11:$I$96,5,0)</f>
        <v>Metering Services</v>
      </c>
      <c r="AC777" s="111">
        <v>131</v>
      </c>
      <c r="AD777" s="111" t="s">
        <v>2139</v>
      </c>
      <c r="AE777" s="111">
        <v>613570</v>
      </c>
      <c r="AF777" s="111" t="s">
        <v>1484</v>
      </c>
      <c r="AG777" s="112">
        <v>6.3691199999999997</v>
      </c>
      <c r="AI777" s="7" t="str">
        <f>VLOOKUP($AC777,Mapping!$E$11:$I$96,3,0)</f>
        <v>Replacement</v>
      </c>
      <c r="AJ777" s="7" t="str">
        <f>VLOOKUP($AE777,Mapping!$E$140:$K$2771,5,0)</f>
        <v>Labour</v>
      </c>
      <c r="AK777" s="7" t="str">
        <f>VLOOKUP($AE777,Mapping!$E$140:$K$2771,7,0)</f>
        <v>ENDirect</v>
      </c>
      <c r="AL777" s="7" t="str">
        <f>IFERROR(HLOOKUP(AJ777,'Calc|Weightings'!$K$5:$M$5,1,0),"Excl")</f>
        <v>Labour</v>
      </c>
      <c r="AM777" s="7" t="str">
        <f>VLOOKUP(AC777,Mapping!$E$11:$I$96,5,0)</f>
        <v>SCS</v>
      </c>
      <c r="AO777" s="134">
        <v>140</v>
      </c>
      <c r="AP777" s="135" t="s">
        <v>2148</v>
      </c>
      <c r="AQ777" s="135">
        <v>531200</v>
      </c>
      <c r="AR777" s="135" t="s">
        <v>250</v>
      </c>
      <c r="AS777" s="136">
        <v>-0.52507000000000004</v>
      </c>
      <c r="AU777" s="7" t="str">
        <f>VLOOKUP($AO777,Mapping!$E$11:$I$96,3,0)</f>
        <v>Public lighting Capex</v>
      </c>
      <c r="AV777" s="7" t="str">
        <f>VLOOKUP($AQ777,Mapping!$E$140:$K$2771,5,0)</f>
        <v>Contracts</v>
      </c>
      <c r="AW777" s="7" t="str">
        <f>VLOOKUP($AQ777,Mapping!$E$140:$K$2771,7,0)</f>
        <v>ENDirect</v>
      </c>
      <c r="AX777" s="7" t="str">
        <f>IFERROR(HLOOKUP(AV777,'Calc|Weightings'!$K$5:$M$5,1,0),"Excl")</f>
        <v>Contracts</v>
      </c>
      <c r="AY777" s="7" t="str">
        <f>VLOOKUP(AO777,Mapping!$E$11:$I$96,5,0)</f>
        <v>Public Lighting</v>
      </c>
    </row>
    <row r="778" spans="1:51" x14ac:dyDescent="0.2">
      <c r="A778" s="7"/>
      <c r="B778" s="7"/>
      <c r="C778" s="7"/>
      <c r="D778" s="7"/>
      <c r="E778" s="36">
        <v>131</v>
      </c>
      <c r="F778" s="36" t="s">
        <v>2139</v>
      </c>
      <c r="G778" s="36">
        <v>613318</v>
      </c>
      <c r="H778" s="36" t="s">
        <v>1360</v>
      </c>
      <c r="I778" s="37">
        <v>11.13761</v>
      </c>
      <c r="J778" s="7"/>
      <c r="K778" s="7" t="str">
        <f>VLOOKUP($E778,Mapping!$E$11:$I$96,3,0)</f>
        <v>Replacement</v>
      </c>
      <c r="L778" s="7" t="str">
        <f>VLOOKUP($G778,Mapping!$E$140:$K$2771,5,0)</f>
        <v>Labour</v>
      </c>
      <c r="M778" s="7" t="str">
        <f>VLOOKUP($G778,Mapping!$E$140:$K$2771,7,0)</f>
        <v>ENDirect</v>
      </c>
      <c r="N778" s="7" t="str">
        <f>IFERROR(HLOOKUP(L778,'Calc|Weightings'!$K$5:$M$5,1,0),"Excl")</f>
        <v>Labour</v>
      </c>
      <c r="O778" s="7" t="str">
        <f>VLOOKUP(E778,Mapping!$E$11:$I$96,5,0)</f>
        <v>SCS</v>
      </c>
      <c r="Q778" s="33">
        <v>134</v>
      </c>
      <c r="R778" s="33" t="s">
        <v>2143</v>
      </c>
      <c r="S778" s="33">
        <v>636001</v>
      </c>
      <c r="T778" s="33" t="s">
        <v>2111</v>
      </c>
      <c r="U778" s="34">
        <v>0.44317000000000001</v>
      </c>
      <c r="V778" s="7"/>
      <c r="W778" s="7" t="str">
        <f>VLOOKUP($Q778,Mapping!$E$11:$I$96,3,0)</f>
        <v>Metering Capex</v>
      </c>
      <c r="X778" s="7" t="str">
        <f>VLOOKUP($S778,Mapping!$E$140:$K$2771,5,0)</f>
        <v>System Control OH</v>
      </c>
      <c r="Y778" s="7" t="str">
        <f>VLOOKUP($S778,Mapping!$E$140:$K$2771,7,0)</f>
        <v>OH</v>
      </c>
      <c r="Z778" s="7" t="str">
        <f>IFERROR(HLOOKUP(X778,'Calc|Weightings'!$K$5:$M$5,1,0),"Excl")</f>
        <v>Excl</v>
      </c>
      <c r="AA778" s="7" t="str">
        <f>VLOOKUP(Q778,Mapping!$E$11:$I$96,5,0)</f>
        <v>Metering Services</v>
      </c>
      <c r="AC778" s="111">
        <v>131</v>
      </c>
      <c r="AD778" s="111" t="s">
        <v>2139</v>
      </c>
      <c r="AE778" s="111">
        <v>613571</v>
      </c>
      <c r="AF778" s="111" t="s">
        <v>1485</v>
      </c>
      <c r="AG778" s="112">
        <v>2.5320900000000002</v>
      </c>
      <c r="AI778" s="7" t="str">
        <f>VLOOKUP($AC778,Mapping!$E$11:$I$96,3,0)</f>
        <v>Replacement</v>
      </c>
      <c r="AJ778" s="7" t="str">
        <f>VLOOKUP($AE778,Mapping!$E$140:$K$2771,5,0)</f>
        <v>Labour</v>
      </c>
      <c r="AK778" s="7" t="str">
        <f>VLOOKUP($AE778,Mapping!$E$140:$K$2771,7,0)</f>
        <v>ENDirect</v>
      </c>
      <c r="AL778" s="7" t="str">
        <f>IFERROR(HLOOKUP(AJ778,'Calc|Weightings'!$K$5:$M$5,1,0),"Excl")</f>
        <v>Labour</v>
      </c>
      <c r="AM778" s="7" t="str">
        <f>VLOOKUP(AC778,Mapping!$E$11:$I$96,5,0)</f>
        <v>SCS</v>
      </c>
      <c r="AO778" s="134">
        <v>140</v>
      </c>
      <c r="AP778" s="135" t="s">
        <v>2148</v>
      </c>
      <c r="AQ778" s="135">
        <v>531464</v>
      </c>
      <c r="AR778" s="135" t="s">
        <v>256</v>
      </c>
      <c r="AS778" s="136">
        <v>131.44493</v>
      </c>
      <c r="AU778" s="7" t="str">
        <f>VLOOKUP($AO778,Mapping!$E$11:$I$96,3,0)</f>
        <v>Public lighting Capex</v>
      </c>
      <c r="AV778" s="7" t="str">
        <f>VLOOKUP($AQ778,Mapping!$E$140:$K$2771,5,0)</f>
        <v>Contracts</v>
      </c>
      <c r="AW778" s="7" t="str">
        <f>VLOOKUP($AQ778,Mapping!$E$140:$K$2771,7,0)</f>
        <v>ENDirect</v>
      </c>
      <c r="AX778" s="7" t="str">
        <f>IFERROR(HLOOKUP(AV778,'Calc|Weightings'!$K$5:$M$5,1,0),"Excl")</f>
        <v>Contracts</v>
      </c>
      <c r="AY778" s="7" t="str">
        <f>VLOOKUP(AO778,Mapping!$E$11:$I$96,5,0)</f>
        <v>Public Lighting</v>
      </c>
    </row>
    <row r="779" spans="1:51" x14ac:dyDescent="0.2">
      <c r="A779" s="7"/>
      <c r="B779" s="7"/>
      <c r="C779" s="7"/>
      <c r="D779" s="7"/>
      <c r="E779" s="36">
        <v>131</v>
      </c>
      <c r="F779" s="36" t="s">
        <v>2139</v>
      </c>
      <c r="G779" s="36">
        <v>613319</v>
      </c>
      <c r="H779" s="36" t="s">
        <v>2358</v>
      </c>
      <c r="I779" s="37">
        <v>4.1206800000000001</v>
      </c>
      <c r="J779" s="7"/>
      <c r="K779" s="7" t="str">
        <f>VLOOKUP($E779,Mapping!$E$11:$I$96,3,0)</f>
        <v>Replacement</v>
      </c>
      <c r="L779" s="7" t="str">
        <f>VLOOKUP($G779,Mapping!$E$140:$K$2771,5,0)</f>
        <v>Labour</v>
      </c>
      <c r="M779" s="7" t="str">
        <f>VLOOKUP($G779,Mapping!$E$140:$K$2771,7,0)</f>
        <v>ENDirect</v>
      </c>
      <c r="N779" s="7" t="str">
        <f>IFERROR(HLOOKUP(L779,'Calc|Weightings'!$K$5:$M$5,1,0),"Excl")</f>
        <v>Labour</v>
      </c>
      <c r="O779" s="7" t="str">
        <f>VLOOKUP(E779,Mapping!$E$11:$I$96,5,0)</f>
        <v>SCS</v>
      </c>
      <c r="Q779" s="33">
        <v>134</v>
      </c>
      <c r="R779" s="33" t="s">
        <v>2143</v>
      </c>
      <c r="S779" s="33">
        <v>639000</v>
      </c>
      <c r="T779" s="33" t="s">
        <v>2112</v>
      </c>
      <c r="U779" s="34">
        <v>21.845120000000001</v>
      </c>
      <c r="V779" s="7"/>
      <c r="W779" s="7" t="str">
        <f>VLOOKUP($Q779,Mapping!$E$11:$I$96,3,0)</f>
        <v>Metering Capex</v>
      </c>
      <c r="X779" s="7" t="str">
        <f>VLOOKUP($S779,Mapping!$E$140:$K$2771,5,0)</f>
        <v>PNS Corporate OH</v>
      </c>
      <c r="Y779" s="7" t="str">
        <f>VLOOKUP($S779,Mapping!$E$140:$K$2771,7,0)</f>
        <v>OH</v>
      </c>
      <c r="Z779" s="7" t="str">
        <f>IFERROR(HLOOKUP(X779,'Calc|Weightings'!$K$5:$M$5,1,0),"Excl")</f>
        <v>Excl</v>
      </c>
      <c r="AA779" s="7" t="str">
        <f>VLOOKUP(Q779,Mapping!$E$11:$I$96,5,0)</f>
        <v>Metering Services</v>
      </c>
      <c r="AC779" s="111">
        <v>131</v>
      </c>
      <c r="AD779" s="111" t="s">
        <v>2139</v>
      </c>
      <c r="AE779" s="111">
        <v>613574</v>
      </c>
      <c r="AF779" s="111" t="s">
        <v>1488</v>
      </c>
      <c r="AG779" s="112">
        <v>19.833349999999999</v>
      </c>
      <c r="AI779" s="7" t="str">
        <f>VLOOKUP($AC779,Mapping!$E$11:$I$96,3,0)</f>
        <v>Replacement</v>
      </c>
      <c r="AJ779" s="7" t="str">
        <f>VLOOKUP($AE779,Mapping!$E$140:$K$2771,5,0)</f>
        <v>Labour</v>
      </c>
      <c r="AK779" s="7" t="str">
        <f>VLOOKUP($AE779,Mapping!$E$140:$K$2771,7,0)</f>
        <v>ENDirect</v>
      </c>
      <c r="AL779" s="7" t="str">
        <f>IFERROR(HLOOKUP(AJ779,'Calc|Weightings'!$K$5:$M$5,1,0),"Excl")</f>
        <v>Labour</v>
      </c>
      <c r="AM779" s="7" t="str">
        <f>VLOOKUP(AC779,Mapping!$E$11:$I$96,5,0)</f>
        <v>SCS</v>
      </c>
      <c r="AO779" s="134">
        <v>140</v>
      </c>
      <c r="AP779" s="135" t="s">
        <v>2148</v>
      </c>
      <c r="AQ779" s="135">
        <v>531465</v>
      </c>
      <c r="AR779" s="135" t="s">
        <v>257</v>
      </c>
      <c r="AS779" s="136">
        <v>-1.3709899999999999</v>
      </c>
      <c r="AU779" s="7" t="str">
        <f>VLOOKUP($AO779,Mapping!$E$11:$I$96,3,0)</f>
        <v>Public lighting Capex</v>
      </c>
      <c r="AV779" s="7" t="str">
        <f>VLOOKUP($AQ779,Mapping!$E$140:$K$2771,5,0)</f>
        <v>Contracts</v>
      </c>
      <c r="AW779" s="7" t="str">
        <f>VLOOKUP($AQ779,Mapping!$E$140:$K$2771,7,0)</f>
        <v>ENDirect</v>
      </c>
      <c r="AX779" s="7" t="str">
        <f>IFERROR(HLOOKUP(AV779,'Calc|Weightings'!$K$5:$M$5,1,0),"Excl")</f>
        <v>Contracts</v>
      </c>
      <c r="AY779" s="7" t="str">
        <f>VLOOKUP(AO779,Mapping!$E$11:$I$96,5,0)</f>
        <v>Public Lighting</v>
      </c>
    </row>
    <row r="780" spans="1:51" x14ac:dyDescent="0.2">
      <c r="A780" s="7"/>
      <c r="B780" s="7"/>
      <c r="C780" s="7"/>
      <c r="D780" s="7"/>
      <c r="E780" s="36">
        <v>131</v>
      </c>
      <c r="F780" s="36" t="s">
        <v>2139</v>
      </c>
      <c r="G780" s="36">
        <v>613350</v>
      </c>
      <c r="H780" s="36" t="s">
        <v>2096</v>
      </c>
      <c r="I780" s="37">
        <v>12.66427</v>
      </c>
      <c r="J780" s="7"/>
      <c r="K780" s="7" t="str">
        <f>VLOOKUP($E780,Mapping!$E$11:$I$96,3,0)</f>
        <v>Replacement</v>
      </c>
      <c r="L780" s="7" t="str">
        <f>VLOOKUP($G780,Mapping!$E$140:$K$2771,5,0)</f>
        <v>Labour</v>
      </c>
      <c r="M780" s="7" t="str">
        <f>VLOOKUP($G780,Mapping!$E$140:$K$2771,7,0)</f>
        <v>ENDirect</v>
      </c>
      <c r="N780" s="7" t="str">
        <f>IFERROR(HLOOKUP(L780,'Calc|Weightings'!$K$5:$M$5,1,0),"Excl")</f>
        <v>Labour</v>
      </c>
      <c r="O780" s="7" t="str">
        <f>VLOOKUP(E780,Mapping!$E$11:$I$96,5,0)</f>
        <v>SCS</v>
      </c>
      <c r="Q780" s="33">
        <v>134</v>
      </c>
      <c r="R780" s="33" t="s">
        <v>2143</v>
      </c>
      <c r="S780" s="33">
        <v>639050</v>
      </c>
      <c r="T780" s="33" t="s">
        <v>2113</v>
      </c>
      <c r="U780" s="34">
        <v>0.22228999999999999</v>
      </c>
      <c r="V780" s="7"/>
      <c r="W780" s="7" t="str">
        <f>VLOOKUP($Q780,Mapping!$E$11:$I$96,3,0)</f>
        <v>Metering Capex</v>
      </c>
      <c r="X780" s="7" t="str">
        <f>VLOOKUP($S780,Mapping!$E$140:$K$2771,5,0)</f>
        <v>PNS Fleet &amp; Property OH</v>
      </c>
      <c r="Y780" s="7" t="str">
        <f>VLOOKUP($S780,Mapping!$E$140:$K$2771,7,0)</f>
        <v>OH</v>
      </c>
      <c r="Z780" s="7" t="str">
        <f>IFERROR(HLOOKUP(X780,'Calc|Weightings'!$K$5:$M$5,1,0),"Excl")</f>
        <v>Excl</v>
      </c>
      <c r="AA780" s="7" t="str">
        <f>VLOOKUP(Q780,Mapping!$E$11:$I$96,5,0)</f>
        <v>Metering Services</v>
      </c>
      <c r="AC780" s="111">
        <v>131</v>
      </c>
      <c r="AD780" s="111" t="s">
        <v>2139</v>
      </c>
      <c r="AE780" s="111">
        <v>613575</v>
      </c>
      <c r="AF780" s="111" t="s">
        <v>1489</v>
      </c>
      <c r="AG780" s="112">
        <v>12.126110000000001</v>
      </c>
      <c r="AI780" s="7" t="str">
        <f>VLOOKUP($AC780,Mapping!$E$11:$I$96,3,0)</f>
        <v>Replacement</v>
      </c>
      <c r="AJ780" s="7" t="str">
        <f>VLOOKUP($AE780,Mapping!$E$140:$K$2771,5,0)</f>
        <v>Labour</v>
      </c>
      <c r="AK780" s="7" t="str">
        <f>VLOOKUP($AE780,Mapping!$E$140:$K$2771,7,0)</f>
        <v>ENDirect</v>
      </c>
      <c r="AL780" s="7" t="str">
        <f>IFERROR(HLOOKUP(AJ780,'Calc|Weightings'!$K$5:$M$5,1,0),"Excl")</f>
        <v>Labour</v>
      </c>
      <c r="AM780" s="7" t="str">
        <f>VLOOKUP(AC780,Mapping!$E$11:$I$96,5,0)</f>
        <v>SCS</v>
      </c>
      <c r="AO780" s="134">
        <v>140</v>
      </c>
      <c r="AP780" s="135" t="s">
        <v>2148</v>
      </c>
      <c r="AQ780" s="135">
        <v>531466</v>
      </c>
      <c r="AR780" s="135" t="s">
        <v>258</v>
      </c>
      <c r="AS780" s="136">
        <v>261.17874</v>
      </c>
      <c r="AU780" s="7" t="str">
        <f>VLOOKUP($AO780,Mapping!$E$11:$I$96,3,0)</f>
        <v>Public lighting Capex</v>
      </c>
      <c r="AV780" s="7" t="str">
        <f>VLOOKUP($AQ780,Mapping!$E$140:$K$2771,5,0)</f>
        <v>Contracts</v>
      </c>
      <c r="AW780" s="7" t="str">
        <f>VLOOKUP($AQ780,Mapping!$E$140:$K$2771,7,0)</f>
        <v>ENDirect</v>
      </c>
      <c r="AX780" s="7" t="str">
        <f>IFERROR(HLOOKUP(AV780,'Calc|Weightings'!$K$5:$M$5,1,0),"Excl")</f>
        <v>Contracts</v>
      </c>
      <c r="AY780" s="7" t="str">
        <f>VLOOKUP(AO780,Mapping!$E$11:$I$96,5,0)</f>
        <v>Public Lighting</v>
      </c>
    </row>
    <row r="781" spans="1:51" x14ac:dyDescent="0.2">
      <c r="A781" s="7"/>
      <c r="B781" s="7"/>
      <c r="C781" s="7"/>
      <c r="D781" s="7"/>
      <c r="E781" s="36">
        <v>131</v>
      </c>
      <c r="F781" s="36" t="s">
        <v>2139</v>
      </c>
      <c r="G781" s="36">
        <v>613360</v>
      </c>
      <c r="H781" s="36" t="s">
        <v>2097</v>
      </c>
      <c r="I781" s="37">
        <v>30.00224</v>
      </c>
      <c r="J781" s="7"/>
      <c r="K781" s="7" t="str">
        <f>VLOOKUP($E781,Mapping!$E$11:$I$96,3,0)</f>
        <v>Replacement</v>
      </c>
      <c r="L781" s="7" t="str">
        <f>VLOOKUP($G781,Mapping!$E$140:$K$2771,5,0)</f>
        <v>Labour</v>
      </c>
      <c r="M781" s="7" t="str">
        <f>VLOOKUP($G781,Mapping!$E$140:$K$2771,7,0)</f>
        <v>ENDirect</v>
      </c>
      <c r="N781" s="7" t="str">
        <f>IFERROR(HLOOKUP(L781,'Calc|Weightings'!$K$5:$M$5,1,0),"Excl")</f>
        <v>Labour</v>
      </c>
      <c r="O781" s="7" t="str">
        <f>VLOOKUP(E781,Mapping!$E$11:$I$96,5,0)</f>
        <v>SCS</v>
      </c>
      <c r="Q781" s="33">
        <v>137</v>
      </c>
      <c r="R781" s="33" t="s">
        <v>2144</v>
      </c>
      <c r="S781" s="33">
        <v>591997</v>
      </c>
      <c r="T781" s="33" t="s">
        <v>399</v>
      </c>
      <c r="U781" s="34">
        <v>-3.3329999999999999E-2</v>
      </c>
      <c r="V781" s="7"/>
      <c r="W781" s="7" t="str">
        <f>VLOOKUP($Q781,Mapping!$E$11:$I$96,3,0)</f>
        <v>Metering Capex</v>
      </c>
      <c r="X781" s="7" t="str">
        <f>VLOOKUP($S781,Mapping!$E$140:$K$2771,5,0)</f>
        <v>Contracts</v>
      </c>
      <c r="Y781" s="7" t="str">
        <f>VLOOKUP($S781,Mapping!$E$140:$K$2771,7,0)</f>
        <v>ENDirect</v>
      </c>
      <c r="Z781" s="7" t="str">
        <f>IFERROR(HLOOKUP(X781,'Calc|Weightings'!$K$5:$M$5,1,0),"Excl")</f>
        <v>Contracts</v>
      </c>
      <c r="AA781" s="7" t="str">
        <f>VLOOKUP(Q781,Mapping!$E$11:$I$96,5,0)</f>
        <v>Metering Services</v>
      </c>
      <c r="AC781" s="111">
        <v>131</v>
      </c>
      <c r="AD781" s="111" t="s">
        <v>2139</v>
      </c>
      <c r="AE781" s="111">
        <v>613630</v>
      </c>
      <c r="AF781" s="111" t="s">
        <v>1498</v>
      </c>
      <c r="AG781" s="112">
        <v>30.395029999999998</v>
      </c>
      <c r="AI781" s="7" t="str">
        <f>VLOOKUP($AC781,Mapping!$E$11:$I$96,3,0)</f>
        <v>Replacement</v>
      </c>
      <c r="AJ781" s="7" t="str">
        <f>VLOOKUP($AE781,Mapping!$E$140:$K$2771,5,0)</f>
        <v>Labour</v>
      </c>
      <c r="AK781" s="7" t="str">
        <f>VLOOKUP($AE781,Mapping!$E$140:$K$2771,7,0)</f>
        <v>ENDirect</v>
      </c>
      <c r="AL781" s="7" t="str">
        <f>IFERROR(HLOOKUP(AJ781,'Calc|Weightings'!$K$5:$M$5,1,0),"Excl")</f>
        <v>Labour</v>
      </c>
      <c r="AM781" s="7" t="str">
        <f>VLOOKUP(AC781,Mapping!$E$11:$I$96,5,0)</f>
        <v>SCS</v>
      </c>
      <c r="AO781" s="134">
        <v>140</v>
      </c>
      <c r="AP781" s="135" t="s">
        <v>2148</v>
      </c>
      <c r="AQ781" s="135">
        <v>531467</v>
      </c>
      <c r="AR781" s="135" t="s">
        <v>259</v>
      </c>
      <c r="AS781" s="136">
        <v>53.818860000000001</v>
      </c>
      <c r="AU781" s="7" t="str">
        <f>VLOOKUP($AO781,Mapping!$E$11:$I$96,3,0)</f>
        <v>Public lighting Capex</v>
      </c>
      <c r="AV781" s="7" t="str">
        <f>VLOOKUP($AQ781,Mapping!$E$140:$K$2771,5,0)</f>
        <v>Contracts</v>
      </c>
      <c r="AW781" s="7" t="str">
        <f>VLOOKUP($AQ781,Mapping!$E$140:$K$2771,7,0)</f>
        <v>ENDirect</v>
      </c>
      <c r="AX781" s="7" t="str">
        <f>IFERROR(HLOOKUP(AV781,'Calc|Weightings'!$K$5:$M$5,1,0),"Excl")</f>
        <v>Contracts</v>
      </c>
      <c r="AY781" s="7" t="str">
        <f>VLOOKUP(AO781,Mapping!$E$11:$I$96,5,0)</f>
        <v>Public Lighting</v>
      </c>
    </row>
    <row r="782" spans="1:51" x14ac:dyDescent="0.2">
      <c r="A782" s="7"/>
      <c r="B782" s="7"/>
      <c r="C782" s="7"/>
      <c r="D782" s="7"/>
      <c r="E782" s="36">
        <v>131</v>
      </c>
      <c r="F782" s="36" t="s">
        <v>2139</v>
      </c>
      <c r="G782" s="36">
        <v>613370</v>
      </c>
      <c r="H782" s="36" t="s">
        <v>1402</v>
      </c>
      <c r="I782" s="37">
        <v>6.7918900000000004</v>
      </c>
      <c r="J782" s="7"/>
      <c r="K782" s="7" t="str">
        <f>VLOOKUP($E782,Mapping!$E$11:$I$96,3,0)</f>
        <v>Replacement</v>
      </c>
      <c r="L782" s="7" t="str">
        <f>VLOOKUP($G782,Mapping!$E$140:$K$2771,5,0)</f>
        <v>Labour</v>
      </c>
      <c r="M782" s="7" t="str">
        <f>VLOOKUP($G782,Mapping!$E$140:$K$2771,7,0)</f>
        <v>ENDirect</v>
      </c>
      <c r="N782" s="7" t="str">
        <f>IFERROR(HLOOKUP(L782,'Calc|Weightings'!$K$5:$M$5,1,0),"Excl")</f>
        <v>Labour</v>
      </c>
      <c r="O782" s="7" t="str">
        <f>VLOOKUP(E782,Mapping!$E$11:$I$96,5,0)</f>
        <v>SCS</v>
      </c>
      <c r="Q782" s="33">
        <v>137</v>
      </c>
      <c r="R782" s="33" t="s">
        <v>2144</v>
      </c>
      <c r="S782" s="33">
        <v>591999</v>
      </c>
      <c r="T782" s="33" t="s">
        <v>2078</v>
      </c>
      <c r="U782" s="34">
        <v>-0.42427999999999999</v>
      </c>
      <c r="V782" s="7"/>
      <c r="W782" s="7" t="str">
        <f>VLOOKUP($Q782,Mapping!$E$11:$I$96,3,0)</f>
        <v>Metering Capex</v>
      </c>
      <c r="X782" s="7" t="str">
        <f>VLOOKUP($S782,Mapping!$E$140:$K$2771,5,0)</f>
        <v>Contracts</v>
      </c>
      <c r="Y782" s="7" t="str">
        <f>VLOOKUP($S782,Mapping!$E$140:$K$2771,7,0)</f>
        <v>ENDirect</v>
      </c>
      <c r="Z782" s="7" t="str">
        <f>IFERROR(HLOOKUP(X782,'Calc|Weightings'!$K$5:$M$5,1,0),"Excl")</f>
        <v>Contracts</v>
      </c>
      <c r="AA782" s="7" t="str">
        <f>VLOOKUP(Q782,Mapping!$E$11:$I$96,5,0)</f>
        <v>Metering Services</v>
      </c>
      <c r="AC782" s="111">
        <v>131</v>
      </c>
      <c r="AD782" s="111" t="s">
        <v>2139</v>
      </c>
      <c r="AE782" s="111">
        <v>613631</v>
      </c>
      <c r="AF782" s="111" t="s">
        <v>1499</v>
      </c>
      <c r="AG782" s="112">
        <v>0.79608000000000001</v>
      </c>
      <c r="AI782" s="7" t="str">
        <f>VLOOKUP($AC782,Mapping!$E$11:$I$96,3,0)</f>
        <v>Replacement</v>
      </c>
      <c r="AJ782" s="7" t="str">
        <f>VLOOKUP($AE782,Mapping!$E$140:$K$2771,5,0)</f>
        <v>Labour</v>
      </c>
      <c r="AK782" s="7" t="str">
        <f>VLOOKUP($AE782,Mapping!$E$140:$K$2771,7,0)</f>
        <v>ENDirect</v>
      </c>
      <c r="AL782" s="7" t="str">
        <f>IFERROR(HLOOKUP(AJ782,'Calc|Weightings'!$K$5:$M$5,1,0),"Excl")</f>
        <v>Labour</v>
      </c>
      <c r="AM782" s="7" t="str">
        <f>VLOOKUP(AC782,Mapping!$E$11:$I$96,5,0)</f>
        <v>SCS</v>
      </c>
      <c r="AO782" s="134">
        <v>140</v>
      </c>
      <c r="AP782" s="135" t="s">
        <v>2148</v>
      </c>
      <c r="AQ782" s="135">
        <v>531468</v>
      </c>
      <c r="AR782" s="135" t="s">
        <v>260</v>
      </c>
      <c r="AS782" s="136">
        <v>39.750120000000003</v>
      </c>
      <c r="AU782" s="7" t="str">
        <f>VLOOKUP($AO782,Mapping!$E$11:$I$96,3,0)</f>
        <v>Public lighting Capex</v>
      </c>
      <c r="AV782" s="7" t="str">
        <f>VLOOKUP($AQ782,Mapping!$E$140:$K$2771,5,0)</f>
        <v>Contracts</v>
      </c>
      <c r="AW782" s="7" t="str">
        <f>VLOOKUP($AQ782,Mapping!$E$140:$K$2771,7,0)</f>
        <v>ENDirect</v>
      </c>
      <c r="AX782" s="7" t="str">
        <f>IFERROR(HLOOKUP(AV782,'Calc|Weightings'!$K$5:$M$5,1,0),"Excl")</f>
        <v>Contracts</v>
      </c>
      <c r="AY782" s="7" t="str">
        <f>VLOOKUP(AO782,Mapping!$E$11:$I$96,5,0)</f>
        <v>Public Lighting</v>
      </c>
    </row>
    <row r="783" spans="1:51" x14ac:dyDescent="0.2">
      <c r="A783" s="7"/>
      <c r="B783" s="7"/>
      <c r="C783" s="7"/>
      <c r="D783" s="7"/>
      <c r="E783" s="36">
        <v>131</v>
      </c>
      <c r="F783" s="36" t="s">
        <v>2139</v>
      </c>
      <c r="G783" s="36">
        <v>613390</v>
      </c>
      <c r="H783" s="36" t="s">
        <v>2141</v>
      </c>
      <c r="I783" s="37">
        <v>-101.20234000000001</v>
      </c>
      <c r="J783" s="7"/>
      <c r="K783" s="7" t="str">
        <f>VLOOKUP($E783,Mapping!$E$11:$I$96,3,0)</f>
        <v>Replacement</v>
      </c>
      <c r="L783" s="7" t="str">
        <f>VLOOKUP($G783,Mapping!$E$140:$K$2771,5,0)</f>
        <v>Contracts</v>
      </c>
      <c r="M783" s="7" t="str">
        <f>VLOOKUP($G783,Mapping!$E$140:$K$2771,7,0)</f>
        <v>ENDirect</v>
      </c>
      <c r="N783" s="7" t="str">
        <f>IFERROR(HLOOKUP(L783,'Calc|Weightings'!$K$5:$M$5,1,0),"Excl")</f>
        <v>Contracts</v>
      </c>
      <c r="O783" s="7" t="str">
        <f>VLOOKUP(E783,Mapping!$E$11:$I$96,5,0)</f>
        <v>SCS</v>
      </c>
      <c r="Q783" s="33">
        <v>137</v>
      </c>
      <c r="R783" s="33" t="s">
        <v>2144</v>
      </c>
      <c r="S783" s="33">
        <v>604149</v>
      </c>
      <c r="T783" s="33" t="s">
        <v>485</v>
      </c>
      <c r="U783" s="34">
        <v>4.6026300000000004</v>
      </c>
      <c r="V783" s="7"/>
      <c r="W783" s="7" t="str">
        <f>VLOOKUP($Q783,Mapping!$E$11:$I$96,3,0)</f>
        <v>Metering Capex</v>
      </c>
      <c r="X783" s="7" t="str">
        <f>VLOOKUP($S783,Mapping!$E$140:$K$2771,5,0)</f>
        <v>Contracts</v>
      </c>
      <c r="Y783" s="7" t="str">
        <f>VLOOKUP($S783,Mapping!$E$140:$K$2771,7,0)</f>
        <v>ENDirect</v>
      </c>
      <c r="Z783" s="7" t="str">
        <f>IFERROR(HLOOKUP(X783,'Calc|Weightings'!$K$5:$M$5,1,0),"Excl")</f>
        <v>Contracts</v>
      </c>
      <c r="AA783" s="7" t="str">
        <f>VLOOKUP(Q783,Mapping!$E$11:$I$96,5,0)</f>
        <v>Metering Services</v>
      </c>
      <c r="AC783" s="111">
        <v>131</v>
      </c>
      <c r="AD783" s="111" t="s">
        <v>2139</v>
      </c>
      <c r="AE783" s="111">
        <v>613680</v>
      </c>
      <c r="AF783" s="111" t="s">
        <v>2107</v>
      </c>
      <c r="AG783" s="112">
        <v>34.586680000000001</v>
      </c>
      <c r="AI783" s="7" t="str">
        <f>VLOOKUP($AC783,Mapping!$E$11:$I$96,3,0)</f>
        <v>Replacement</v>
      </c>
      <c r="AJ783" s="7" t="str">
        <f>VLOOKUP($AE783,Mapping!$E$140:$K$2771,5,0)</f>
        <v>Labour</v>
      </c>
      <c r="AK783" s="7" t="str">
        <f>VLOOKUP($AE783,Mapping!$E$140:$K$2771,7,0)</f>
        <v>ENDirect</v>
      </c>
      <c r="AL783" s="7" t="str">
        <f>IFERROR(HLOOKUP(AJ783,'Calc|Weightings'!$K$5:$M$5,1,0),"Excl")</f>
        <v>Labour</v>
      </c>
      <c r="AM783" s="7" t="str">
        <f>VLOOKUP(AC783,Mapping!$E$11:$I$96,5,0)</f>
        <v>SCS</v>
      </c>
      <c r="AO783" s="134">
        <v>140</v>
      </c>
      <c r="AP783" s="135" t="s">
        <v>2148</v>
      </c>
      <c r="AQ783" s="135">
        <v>532200</v>
      </c>
      <c r="AR783" s="135" t="s">
        <v>291</v>
      </c>
      <c r="AS783" s="136">
        <v>3.1179999999999999</v>
      </c>
      <c r="AU783" s="7" t="str">
        <f>VLOOKUP($AO783,Mapping!$E$11:$I$96,3,0)</f>
        <v>Public lighting Capex</v>
      </c>
      <c r="AV783" s="7" t="str">
        <f>VLOOKUP($AQ783,Mapping!$E$140:$K$2771,5,0)</f>
        <v>Contracts</v>
      </c>
      <c r="AW783" s="7" t="str">
        <f>VLOOKUP($AQ783,Mapping!$E$140:$K$2771,7,0)</f>
        <v>ENDirect</v>
      </c>
      <c r="AX783" s="7" t="str">
        <f>IFERROR(HLOOKUP(AV783,'Calc|Weightings'!$K$5:$M$5,1,0),"Excl")</f>
        <v>Contracts</v>
      </c>
      <c r="AY783" s="7" t="str">
        <f>VLOOKUP(AO783,Mapping!$E$11:$I$96,5,0)</f>
        <v>Public Lighting</v>
      </c>
    </row>
    <row r="784" spans="1:51" x14ac:dyDescent="0.2">
      <c r="A784" s="7"/>
      <c r="B784" s="7"/>
      <c r="C784" s="7"/>
      <c r="D784" s="7"/>
      <c r="E784" s="36">
        <v>131</v>
      </c>
      <c r="F784" s="36" t="s">
        <v>2139</v>
      </c>
      <c r="G784" s="36">
        <v>613400</v>
      </c>
      <c r="H784" s="36" t="s">
        <v>2099</v>
      </c>
      <c r="I784" s="37">
        <v>50.75311</v>
      </c>
      <c r="J784" s="7"/>
      <c r="K784" s="7" t="str">
        <f>VLOOKUP($E784,Mapping!$E$11:$I$96,3,0)</f>
        <v>Replacement</v>
      </c>
      <c r="L784" s="7" t="str">
        <f>VLOOKUP($G784,Mapping!$E$140:$K$2771,5,0)</f>
        <v>Labour</v>
      </c>
      <c r="M784" s="7" t="str">
        <f>VLOOKUP($G784,Mapping!$E$140:$K$2771,7,0)</f>
        <v>ENDirect</v>
      </c>
      <c r="N784" s="7" t="str">
        <f>IFERROR(HLOOKUP(L784,'Calc|Weightings'!$K$5:$M$5,1,0),"Excl")</f>
        <v>Labour</v>
      </c>
      <c r="O784" s="7" t="str">
        <f>VLOOKUP(E784,Mapping!$E$11:$I$96,5,0)</f>
        <v>SCS</v>
      </c>
      <c r="Q784" s="33">
        <v>137</v>
      </c>
      <c r="R784" s="33" t="s">
        <v>2144</v>
      </c>
      <c r="S784" s="33">
        <v>604152</v>
      </c>
      <c r="T784" s="33" t="s">
        <v>486</v>
      </c>
      <c r="U784" s="34">
        <v>54.734259999999999</v>
      </c>
      <c r="V784" s="7"/>
      <c r="W784" s="7" t="str">
        <f>VLOOKUP($Q784,Mapping!$E$11:$I$96,3,0)</f>
        <v>Metering Capex</v>
      </c>
      <c r="X784" s="7" t="str">
        <f>VLOOKUP($S784,Mapping!$E$140:$K$2771,5,0)</f>
        <v>Contracts</v>
      </c>
      <c r="Y784" s="7" t="str">
        <f>VLOOKUP($S784,Mapping!$E$140:$K$2771,7,0)</f>
        <v>ENDirect</v>
      </c>
      <c r="Z784" s="7" t="str">
        <f>IFERROR(HLOOKUP(X784,'Calc|Weightings'!$K$5:$M$5,1,0),"Excl")</f>
        <v>Contracts</v>
      </c>
      <c r="AA784" s="7" t="str">
        <f>VLOOKUP(Q784,Mapping!$E$11:$I$96,5,0)</f>
        <v>Metering Services</v>
      </c>
      <c r="AC784" s="111">
        <v>131</v>
      </c>
      <c r="AD784" s="111" t="s">
        <v>2139</v>
      </c>
      <c r="AE784" s="111">
        <v>613800</v>
      </c>
      <c r="AF784" s="111" t="s">
        <v>2142</v>
      </c>
      <c r="AG784" s="112">
        <v>-211.32445999999999</v>
      </c>
      <c r="AI784" s="7" t="str">
        <f>VLOOKUP($AC784,Mapping!$E$11:$I$96,3,0)</f>
        <v>Replacement</v>
      </c>
      <c r="AJ784" s="7" t="str">
        <f>VLOOKUP($AE784,Mapping!$E$140:$K$2771,5,0)</f>
        <v>Materials</v>
      </c>
      <c r="AK784" s="7" t="str">
        <f>VLOOKUP($AE784,Mapping!$E$140:$K$2771,7,0)</f>
        <v>ENDirect</v>
      </c>
      <c r="AL784" s="7" t="str">
        <f>IFERROR(HLOOKUP(AJ784,'Calc|Weightings'!$K$5:$M$5,1,0),"Excl")</f>
        <v>Materials</v>
      </c>
      <c r="AM784" s="7" t="str">
        <f>VLOOKUP(AC784,Mapping!$E$11:$I$96,5,0)</f>
        <v>SCS</v>
      </c>
      <c r="AO784" s="134">
        <v>140</v>
      </c>
      <c r="AP784" s="135" t="s">
        <v>2148</v>
      </c>
      <c r="AQ784" s="135">
        <v>545150</v>
      </c>
      <c r="AR784" s="135" t="s">
        <v>345</v>
      </c>
      <c r="AS784" s="136">
        <v>-0.12776999999999999</v>
      </c>
      <c r="AU784" s="7" t="str">
        <f>VLOOKUP($AO784,Mapping!$E$11:$I$96,3,0)</f>
        <v>Public lighting Capex</v>
      </c>
      <c r="AV784" s="7" t="str">
        <f>VLOOKUP($AQ784,Mapping!$E$140:$K$2771,5,0)</f>
        <v>Contracts</v>
      </c>
      <c r="AW784" s="7" t="str">
        <f>VLOOKUP($AQ784,Mapping!$E$140:$K$2771,7,0)</f>
        <v>ENDirect</v>
      </c>
      <c r="AX784" s="7" t="str">
        <f>IFERROR(HLOOKUP(AV784,'Calc|Weightings'!$K$5:$M$5,1,0),"Excl")</f>
        <v>Contracts</v>
      </c>
      <c r="AY784" s="7" t="str">
        <f>VLOOKUP(AO784,Mapping!$E$11:$I$96,5,0)</f>
        <v>Public Lighting</v>
      </c>
    </row>
    <row r="785" spans="1:51" x14ac:dyDescent="0.2">
      <c r="A785" s="7"/>
      <c r="B785" s="7"/>
      <c r="C785" s="7"/>
      <c r="D785" s="7"/>
      <c r="E785" s="36">
        <v>131</v>
      </c>
      <c r="F785" s="36" t="s">
        <v>2139</v>
      </c>
      <c r="G785" s="36">
        <v>613401</v>
      </c>
      <c r="H785" s="36" t="s">
        <v>2117</v>
      </c>
      <c r="I785" s="37">
        <v>7.3026099999999996</v>
      </c>
      <c r="J785" s="7"/>
      <c r="K785" s="7" t="str">
        <f>VLOOKUP($E785,Mapping!$E$11:$I$96,3,0)</f>
        <v>Replacement</v>
      </c>
      <c r="L785" s="7" t="str">
        <f>VLOOKUP($G785,Mapping!$E$140:$K$2771,5,0)</f>
        <v>Labour</v>
      </c>
      <c r="M785" s="7" t="str">
        <f>VLOOKUP($G785,Mapping!$E$140:$K$2771,7,0)</f>
        <v>ENDirect</v>
      </c>
      <c r="N785" s="7" t="str">
        <f>IFERROR(HLOOKUP(L785,'Calc|Weightings'!$K$5:$M$5,1,0),"Excl")</f>
        <v>Labour</v>
      </c>
      <c r="O785" s="7" t="str">
        <f>VLOOKUP(E785,Mapping!$E$11:$I$96,5,0)</f>
        <v>SCS</v>
      </c>
      <c r="Q785" s="33">
        <v>137</v>
      </c>
      <c r="R785" s="33" t="s">
        <v>2144</v>
      </c>
      <c r="S785" s="33">
        <v>613240</v>
      </c>
      <c r="T785" s="33" t="s">
        <v>2082</v>
      </c>
      <c r="U785" s="34">
        <v>1.33833</v>
      </c>
      <c r="V785" s="7"/>
      <c r="W785" s="7" t="str">
        <f>VLOOKUP($Q785,Mapping!$E$11:$I$96,3,0)</f>
        <v>Metering Capex</v>
      </c>
      <c r="X785" s="7" t="str">
        <f>VLOOKUP($S785,Mapping!$E$140:$K$2771,5,0)</f>
        <v>Labour</v>
      </c>
      <c r="Y785" s="7" t="str">
        <f>VLOOKUP($S785,Mapping!$E$140:$K$2771,7,0)</f>
        <v>ENDirect</v>
      </c>
      <c r="Z785" s="7" t="str">
        <f>IFERROR(HLOOKUP(X785,'Calc|Weightings'!$K$5:$M$5,1,0),"Excl")</f>
        <v>Labour</v>
      </c>
      <c r="AA785" s="7" t="str">
        <f>VLOOKUP(Q785,Mapping!$E$11:$I$96,5,0)</f>
        <v>Metering Services</v>
      </c>
      <c r="AC785" s="111">
        <v>131</v>
      </c>
      <c r="AD785" s="111" t="s">
        <v>2139</v>
      </c>
      <c r="AE785" s="111">
        <v>633000</v>
      </c>
      <c r="AF785" s="111" t="s">
        <v>2202</v>
      </c>
      <c r="AG785" s="112">
        <v>156.40065000000001</v>
      </c>
      <c r="AI785" s="7" t="str">
        <f>VLOOKUP($AC785,Mapping!$E$11:$I$96,3,0)</f>
        <v>Replacement</v>
      </c>
      <c r="AJ785" s="7" t="str">
        <f>VLOOKUP($AE785,Mapping!$E$140:$K$2771,5,0)</f>
        <v>Contracts</v>
      </c>
      <c r="AK785" s="7" t="str">
        <f>VLOOKUP($AE785,Mapping!$E$140:$K$2771,7,0)</f>
        <v>OH</v>
      </c>
      <c r="AL785" s="7" t="str">
        <f>IFERROR(HLOOKUP(AJ785,'Calc|Weightings'!$K$5:$M$5,1,0),"Excl")</f>
        <v>Contracts</v>
      </c>
      <c r="AM785" s="7" t="str">
        <f>VLOOKUP(AC785,Mapping!$E$11:$I$96,5,0)</f>
        <v>SCS</v>
      </c>
      <c r="AO785" s="134">
        <v>140</v>
      </c>
      <c r="AP785" s="135" t="s">
        <v>2148</v>
      </c>
      <c r="AQ785" s="135">
        <v>591997</v>
      </c>
      <c r="AR785" s="135" t="s">
        <v>2194</v>
      </c>
      <c r="AS785" s="136">
        <v>-0.32624999999999998</v>
      </c>
      <c r="AU785" s="7" t="str">
        <f>VLOOKUP($AO785,Mapping!$E$11:$I$96,3,0)</f>
        <v>Public lighting Capex</v>
      </c>
      <c r="AV785" s="7" t="str">
        <f>VLOOKUP($AQ785,Mapping!$E$140:$K$2771,5,0)</f>
        <v>Contracts</v>
      </c>
      <c r="AW785" s="7" t="str">
        <f>VLOOKUP($AQ785,Mapping!$E$140:$K$2771,7,0)</f>
        <v>ENDirect</v>
      </c>
      <c r="AX785" s="7" t="str">
        <f>IFERROR(HLOOKUP(AV785,'Calc|Weightings'!$K$5:$M$5,1,0),"Excl")</f>
        <v>Contracts</v>
      </c>
      <c r="AY785" s="7" t="str">
        <f>VLOOKUP(AO785,Mapping!$E$11:$I$96,5,0)</f>
        <v>Public Lighting</v>
      </c>
    </row>
    <row r="786" spans="1:51" x14ac:dyDescent="0.2">
      <c r="A786" s="7"/>
      <c r="B786" s="7"/>
      <c r="C786" s="7"/>
      <c r="D786" s="7"/>
      <c r="E786" s="36">
        <v>131</v>
      </c>
      <c r="F786" s="36" t="s">
        <v>2139</v>
      </c>
      <c r="G786" s="36">
        <v>613408</v>
      </c>
      <c r="H786" s="36" t="s">
        <v>1418</v>
      </c>
      <c r="I786" s="37">
        <v>638.92349999999999</v>
      </c>
      <c r="J786" s="7"/>
      <c r="K786" s="7" t="str">
        <f>VLOOKUP($E786,Mapping!$E$11:$I$96,3,0)</f>
        <v>Replacement</v>
      </c>
      <c r="L786" s="7" t="str">
        <f>VLOOKUP($G786,Mapping!$E$140:$K$2771,5,0)</f>
        <v>Labour</v>
      </c>
      <c r="M786" s="7" t="str">
        <f>VLOOKUP($G786,Mapping!$E$140:$K$2771,7,0)</f>
        <v>ENDirect</v>
      </c>
      <c r="N786" s="7" t="str">
        <f>IFERROR(HLOOKUP(L786,'Calc|Weightings'!$K$5:$M$5,1,0),"Excl")</f>
        <v>Labour</v>
      </c>
      <c r="O786" s="7" t="str">
        <f>VLOOKUP(E786,Mapping!$E$11:$I$96,5,0)</f>
        <v>SCS</v>
      </c>
      <c r="Q786" s="33">
        <v>137</v>
      </c>
      <c r="R786" s="33" t="s">
        <v>2144</v>
      </c>
      <c r="S786" s="33">
        <v>613241</v>
      </c>
      <c r="T786" s="33" t="s">
        <v>2083</v>
      </c>
      <c r="U786" s="34">
        <v>3.63748</v>
      </c>
      <c r="V786" s="7"/>
      <c r="W786" s="7" t="str">
        <f>VLOOKUP($Q786,Mapping!$E$11:$I$96,3,0)</f>
        <v>Metering Capex</v>
      </c>
      <c r="X786" s="7" t="str">
        <f>VLOOKUP($S786,Mapping!$E$140:$K$2771,5,0)</f>
        <v>Labour</v>
      </c>
      <c r="Y786" s="7" t="str">
        <f>VLOOKUP($S786,Mapping!$E$140:$K$2771,7,0)</f>
        <v>ENDirect</v>
      </c>
      <c r="Z786" s="7" t="str">
        <f>IFERROR(HLOOKUP(X786,'Calc|Weightings'!$K$5:$M$5,1,0),"Excl")</f>
        <v>Labour</v>
      </c>
      <c r="AA786" s="7" t="str">
        <f>VLOOKUP(Q786,Mapping!$E$11:$I$96,5,0)</f>
        <v>Metering Services</v>
      </c>
      <c r="AC786" s="111">
        <v>131</v>
      </c>
      <c r="AD786" s="111" t="s">
        <v>2139</v>
      </c>
      <c r="AE786" s="111">
        <v>634000</v>
      </c>
      <c r="AF786" s="111" t="s">
        <v>2110</v>
      </c>
      <c r="AG786" s="112">
        <v>-44.740070000000003</v>
      </c>
      <c r="AI786" s="7" t="str">
        <f>VLOOKUP($AC786,Mapping!$E$11:$I$96,3,0)</f>
        <v>Replacement</v>
      </c>
      <c r="AJ786" s="7" t="str">
        <f>VLOOKUP($AE786,Mapping!$E$140:$K$2771,5,0)</f>
        <v>Local OH</v>
      </c>
      <c r="AK786" s="7" t="str">
        <f>VLOOKUP($AE786,Mapping!$E$140:$K$2771,7,0)</f>
        <v>OH</v>
      </c>
      <c r="AL786" s="7" t="str">
        <f>IFERROR(HLOOKUP(AJ786,'Calc|Weightings'!$K$5:$M$5,1,0),"Excl")</f>
        <v>Excl</v>
      </c>
      <c r="AM786" s="7" t="str">
        <f>VLOOKUP(AC786,Mapping!$E$11:$I$96,5,0)</f>
        <v>SCS</v>
      </c>
      <c r="AO786" s="134">
        <v>140</v>
      </c>
      <c r="AP786" s="135" t="s">
        <v>2148</v>
      </c>
      <c r="AQ786" s="135">
        <v>591999</v>
      </c>
      <c r="AR786" s="135" t="s">
        <v>2195</v>
      </c>
      <c r="AS786" s="136">
        <v>-2.9389799999999999</v>
      </c>
      <c r="AU786" s="7" t="str">
        <f>VLOOKUP($AO786,Mapping!$E$11:$I$96,3,0)</f>
        <v>Public lighting Capex</v>
      </c>
      <c r="AV786" s="7" t="str">
        <f>VLOOKUP($AQ786,Mapping!$E$140:$K$2771,5,0)</f>
        <v>Contracts</v>
      </c>
      <c r="AW786" s="7" t="str">
        <f>VLOOKUP($AQ786,Mapping!$E$140:$K$2771,7,0)</f>
        <v>ENDirect</v>
      </c>
      <c r="AX786" s="7" t="str">
        <f>IFERROR(HLOOKUP(AV786,'Calc|Weightings'!$K$5:$M$5,1,0),"Excl")</f>
        <v>Contracts</v>
      </c>
      <c r="AY786" s="7" t="str">
        <f>VLOOKUP(AO786,Mapping!$E$11:$I$96,5,0)</f>
        <v>Public Lighting</v>
      </c>
    </row>
    <row r="787" spans="1:51" x14ac:dyDescent="0.2">
      <c r="A787" s="7"/>
      <c r="B787" s="7"/>
      <c r="C787" s="7"/>
      <c r="D787" s="7"/>
      <c r="E787" s="36">
        <v>131</v>
      </c>
      <c r="F787" s="36" t="s">
        <v>2139</v>
      </c>
      <c r="G787" s="36">
        <v>613409</v>
      </c>
      <c r="H787" s="36" t="s">
        <v>1419</v>
      </c>
      <c r="I787" s="37">
        <v>58.313870000000001</v>
      </c>
      <c r="J787" s="7"/>
      <c r="K787" s="7" t="str">
        <f>VLOOKUP($E787,Mapping!$E$11:$I$96,3,0)</f>
        <v>Replacement</v>
      </c>
      <c r="L787" s="7" t="str">
        <f>VLOOKUP($G787,Mapping!$E$140:$K$2771,5,0)</f>
        <v>Labour</v>
      </c>
      <c r="M787" s="7" t="str">
        <f>VLOOKUP($G787,Mapping!$E$140:$K$2771,7,0)</f>
        <v>ENDirect</v>
      </c>
      <c r="N787" s="7" t="str">
        <f>IFERROR(HLOOKUP(L787,'Calc|Weightings'!$K$5:$M$5,1,0),"Excl")</f>
        <v>Labour</v>
      </c>
      <c r="O787" s="7" t="str">
        <f>VLOOKUP(E787,Mapping!$E$11:$I$96,5,0)</f>
        <v>SCS</v>
      </c>
      <c r="Q787" s="33">
        <v>137</v>
      </c>
      <c r="R787" s="33" t="s">
        <v>2144</v>
      </c>
      <c r="S787" s="33">
        <v>613250</v>
      </c>
      <c r="T787" s="33" t="s">
        <v>2086</v>
      </c>
      <c r="U787" s="34">
        <v>3.1390099999999999</v>
      </c>
      <c r="V787" s="7"/>
      <c r="W787" s="7" t="str">
        <f>VLOOKUP($Q787,Mapping!$E$11:$I$96,3,0)</f>
        <v>Metering Capex</v>
      </c>
      <c r="X787" s="7" t="str">
        <f>VLOOKUP($S787,Mapping!$E$140:$K$2771,5,0)</f>
        <v>Labour</v>
      </c>
      <c r="Y787" s="7" t="str">
        <f>VLOOKUP($S787,Mapping!$E$140:$K$2771,7,0)</f>
        <v>ENDirect</v>
      </c>
      <c r="Z787" s="7" t="str">
        <f>IFERROR(HLOOKUP(X787,'Calc|Weightings'!$K$5:$M$5,1,0),"Excl")</f>
        <v>Labour</v>
      </c>
      <c r="AA787" s="7" t="str">
        <f>VLOOKUP(Q787,Mapping!$E$11:$I$96,5,0)</f>
        <v>Metering Services</v>
      </c>
      <c r="AC787" s="111">
        <v>131</v>
      </c>
      <c r="AD787" s="111" t="s">
        <v>2139</v>
      </c>
      <c r="AE787" s="111">
        <v>634001</v>
      </c>
      <c r="AF787" s="111" t="s">
        <v>2110</v>
      </c>
      <c r="AG787" s="112">
        <v>189.56832</v>
      </c>
      <c r="AI787" s="7" t="str">
        <f>VLOOKUP($AC787,Mapping!$E$11:$I$96,3,0)</f>
        <v>Replacement</v>
      </c>
      <c r="AJ787" s="7" t="str">
        <f>VLOOKUP($AE787,Mapping!$E$140:$K$2771,5,0)</f>
        <v>Local OH</v>
      </c>
      <c r="AK787" s="7" t="str">
        <f>VLOOKUP($AE787,Mapping!$E$140:$K$2771,7,0)</f>
        <v>OH</v>
      </c>
      <c r="AL787" s="7" t="str">
        <f>IFERROR(HLOOKUP(AJ787,'Calc|Weightings'!$K$5:$M$5,1,0),"Excl")</f>
        <v>Excl</v>
      </c>
      <c r="AM787" s="7" t="str">
        <f>VLOOKUP(AC787,Mapping!$E$11:$I$96,5,0)</f>
        <v>SCS</v>
      </c>
      <c r="AO787" s="134">
        <v>140</v>
      </c>
      <c r="AP787" s="135" t="s">
        <v>2148</v>
      </c>
      <c r="AQ787" s="135">
        <v>611860</v>
      </c>
      <c r="AR787" s="135" t="s">
        <v>2125</v>
      </c>
      <c r="AS787" s="136">
        <v>-30.164950000000001</v>
      </c>
      <c r="AU787" s="7" t="str">
        <f>VLOOKUP($AO787,Mapping!$E$11:$I$96,3,0)</f>
        <v>Public lighting Capex</v>
      </c>
      <c r="AV787" s="7" t="str">
        <f>VLOOKUP($AQ787,Mapping!$E$140:$K$2771,5,0)</f>
        <v>Labour</v>
      </c>
      <c r="AW787" s="7" t="str">
        <f>VLOOKUP($AQ787,Mapping!$E$140:$K$2771,7,0)</f>
        <v>ENDirect</v>
      </c>
      <c r="AX787" s="7" t="str">
        <f>IFERROR(HLOOKUP(AV787,'Calc|Weightings'!$K$5:$M$5,1,0),"Excl")</f>
        <v>Labour</v>
      </c>
      <c r="AY787" s="7" t="str">
        <f>VLOOKUP(AO787,Mapping!$E$11:$I$96,5,0)</f>
        <v>Public Lighting</v>
      </c>
    </row>
    <row r="788" spans="1:51" x14ac:dyDescent="0.2">
      <c r="A788" s="7"/>
      <c r="B788" s="7"/>
      <c r="C788" s="7"/>
      <c r="D788" s="7"/>
      <c r="E788" s="36">
        <v>131</v>
      </c>
      <c r="F788" s="36" t="s">
        <v>2139</v>
      </c>
      <c r="G788" s="36">
        <v>613410</v>
      </c>
      <c r="H788" s="36" t="s">
        <v>2100</v>
      </c>
      <c r="I788" s="37">
        <v>95.061959999999999</v>
      </c>
      <c r="J788" s="7"/>
      <c r="K788" s="7" t="str">
        <f>VLOOKUP($E788,Mapping!$E$11:$I$96,3,0)</f>
        <v>Replacement</v>
      </c>
      <c r="L788" s="7" t="str">
        <f>VLOOKUP($G788,Mapping!$E$140:$K$2771,5,0)</f>
        <v>Labour</v>
      </c>
      <c r="M788" s="7" t="str">
        <f>VLOOKUP($G788,Mapping!$E$140:$K$2771,7,0)</f>
        <v>ENDirect</v>
      </c>
      <c r="N788" s="7" t="str">
        <f>IFERROR(HLOOKUP(L788,'Calc|Weightings'!$K$5:$M$5,1,0),"Excl")</f>
        <v>Labour</v>
      </c>
      <c r="O788" s="7" t="str">
        <f>VLOOKUP(E788,Mapping!$E$11:$I$96,5,0)</f>
        <v>SCS</v>
      </c>
      <c r="Q788" s="33">
        <v>137</v>
      </c>
      <c r="R788" s="33" t="s">
        <v>2144</v>
      </c>
      <c r="S788" s="33">
        <v>613251</v>
      </c>
      <c r="T788" s="33" t="s">
        <v>2087</v>
      </c>
      <c r="U788" s="34">
        <v>5.5102000000000002</v>
      </c>
      <c r="V788" s="7"/>
      <c r="W788" s="7" t="str">
        <f>VLOOKUP($Q788,Mapping!$E$11:$I$96,3,0)</f>
        <v>Metering Capex</v>
      </c>
      <c r="X788" s="7" t="str">
        <f>VLOOKUP($S788,Mapping!$E$140:$K$2771,5,0)</f>
        <v>Labour</v>
      </c>
      <c r="Y788" s="7" t="str">
        <f>VLOOKUP($S788,Mapping!$E$140:$K$2771,7,0)</f>
        <v>ENDirect</v>
      </c>
      <c r="Z788" s="7" t="str">
        <f>IFERROR(HLOOKUP(X788,'Calc|Weightings'!$K$5:$M$5,1,0),"Excl")</f>
        <v>Labour</v>
      </c>
      <c r="AA788" s="7" t="str">
        <f>VLOOKUP(Q788,Mapping!$E$11:$I$96,5,0)</f>
        <v>Metering Services</v>
      </c>
      <c r="AC788" s="111">
        <v>131</v>
      </c>
      <c r="AD788" s="111" t="s">
        <v>2139</v>
      </c>
      <c r="AE788" s="111">
        <v>635000</v>
      </c>
      <c r="AF788" s="111" t="s">
        <v>2128</v>
      </c>
      <c r="AG788" s="112">
        <v>-159.85300000000001</v>
      </c>
      <c r="AI788" s="7" t="str">
        <f>VLOOKUP($AC788,Mapping!$E$11:$I$96,3,0)</f>
        <v>Replacement</v>
      </c>
      <c r="AJ788" s="7" t="str">
        <f>VLOOKUP($AE788,Mapping!$E$140:$K$2771,5,0)</f>
        <v>PNS MG</v>
      </c>
      <c r="AK788" s="7" t="str">
        <f>VLOOKUP($AE788,Mapping!$E$140:$K$2771,7,0)</f>
        <v>ENDirect</v>
      </c>
      <c r="AL788" s="7" t="str">
        <f>IFERROR(HLOOKUP(AJ788,'Calc|Weightings'!$K$5:$M$5,1,0),"Excl")</f>
        <v>Excl</v>
      </c>
      <c r="AM788" s="7" t="str">
        <f>VLOOKUP(AC788,Mapping!$E$11:$I$96,5,0)</f>
        <v>SCS</v>
      </c>
      <c r="AO788" s="134">
        <v>140</v>
      </c>
      <c r="AP788" s="135" t="s">
        <v>2148</v>
      </c>
      <c r="AQ788" s="135">
        <v>611861</v>
      </c>
      <c r="AR788" s="135" t="s">
        <v>2140</v>
      </c>
      <c r="AS788" s="136">
        <v>-5.2118599999999997</v>
      </c>
      <c r="AU788" s="7" t="str">
        <f>VLOOKUP($AO788,Mapping!$E$11:$I$96,3,0)</f>
        <v>Public lighting Capex</v>
      </c>
      <c r="AV788" s="7" t="str">
        <f>VLOOKUP($AQ788,Mapping!$E$140:$K$2771,5,0)</f>
        <v>Labour</v>
      </c>
      <c r="AW788" s="7" t="str">
        <f>VLOOKUP($AQ788,Mapping!$E$140:$K$2771,7,0)</f>
        <v>ENDirect</v>
      </c>
      <c r="AX788" s="7" t="str">
        <f>IFERROR(HLOOKUP(AV788,'Calc|Weightings'!$K$5:$M$5,1,0),"Excl")</f>
        <v>Labour</v>
      </c>
      <c r="AY788" s="7" t="str">
        <f>VLOOKUP(AO788,Mapping!$E$11:$I$96,5,0)</f>
        <v>Public Lighting</v>
      </c>
    </row>
    <row r="789" spans="1:51" x14ac:dyDescent="0.2">
      <c r="A789" s="7"/>
      <c r="B789" s="7"/>
      <c r="C789" s="7"/>
      <c r="D789" s="7"/>
      <c r="E789" s="36">
        <v>131</v>
      </c>
      <c r="F789" s="36" t="s">
        <v>2139</v>
      </c>
      <c r="G789" s="36">
        <v>613411</v>
      </c>
      <c r="H789" s="36" t="s">
        <v>2101</v>
      </c>
      <c r="I789" s="37">
        <v>11.45004</v>
      </c>
      <c r="J789" s="7"/>
      <c r="K789" s="7" t="str">
        <f>VLOOKUP($E789,Mapping!$E$11:$I$96,3,0)</f>
        <v>Replacement</v>
      </c>
      <c r="L789" s="7" t="str">
        <f>VLOOKUP($G789,Mapping!$E$140:$K$2771,5,0)</f>
        <v>Labour</v>
      </c>
      <c r="M789" s="7" t="str">
        <f>VLOOKUP($G789,Mapping!$E$140:$K$2771,7,0)</f>
        <v>ENDirect</v>
      </c>
      <c r="N789" s="7" t="str">
        <f>IFERROR(HLOOKUP(L789,'Calc|Weightings'!$K$5:$M$5,1,0),"Excl")</f>
        <v>Labour</v>
      </c>
      <c r="O789" s="7" t="str">
        <f>VLOOKUP(E789,Mapping!$E$11:$I$96,5,0)</f>
        <v>SCS</v>
      </c>
      <c r="Q789" s="33">
        <v>137</v>
      </c>
      <c r="R789" s="33" t="s">
        <v>2144</v>
      </c>
      <c r="S789" s="33">
        <v>613401</v>
      </c>
      <c r="T789" s="33" t="s">
        <v>2117</v>
      </c>
      <c r="U789" s="34">
        <v>0.30825999999999998</v>
      </c>
      <c r="V789" s="7"/>
      <c r="W789" s="7" t="str">
        <f>VLOOKUP($Q789,Mapping!$E$11:$I$96,3,0)</f>
        <v>Metering Capex</v>
      </c>
      <c r="X789" s="7" t="str">
        <f>VLOOKUP($S789,Mapping!$E$140:$K$2771,5,0)</f>
        <v>Labour</v>
      </c>
      <c r="Y789" s="7" t="str">
        <f>VLOOKUP($S789,Mapping!$E$140:$K$2771,7,0)</f>
        <v>ENDirect</v>
      </c>
      <c r="Z789" s="7" t="str">
        <f>IFERROR(HLOOKUP(X789,'Calc|Weightings'!$K$5:$M$5,1,0),"Excl")</f>
        <v>Labour</v>
      </c>
      <c r="AA789" s="7" t="str">
        <f>VLOOKUP(Q789,Mapping!$E$11:$I$96,5,0)</f>
        <v>Metering Services</v>
      </c>
      <c r="AC789" s="111">
        <v>131</v>
      </c>
      <c r="AD789" s="111" t="s">
        <v>2139</v>
      </c>
      <c r="AE789" s="111">
        <v>635001</v>
      </c>
      <c r="AF789" s="111" t="s">
        <v>1929</v>
      </c>
      <c r="AG789" s="112">
        <v>510.90893999999997</v>
      </c>
      <c r="AI789" s="7" t="str">
        <f>VLOOKUP($AC789,Mapping!$E$11:$I$96,3,0)</f>
        <v>Replacement</v>
      </c>
      <c r="AJ789" s="7" t="str">
        <f>VLOOKUP($AE789,Mapping!$E$140:$K$2771,5,0)</f>
        <v>PNS MG</v>
      </c>
      <c r="AK789" s="7" t="str">
        <f>VLOOKUP($AE789,Mapping!$E$140:$K$2771,7,0)</f>
        <v>ENDirect</v>
      </c>
      <c r="AL789" s="7" t="str">
        <f>IFERROR(HLOOKUP(AJ789,'Calc|Weightings'!$K$5:$M$5,1,0),"Excl")</f>
        <v>Excl</v>
      </c>
      <c r="AM789" s="7" t="str">
        <f>VLOOKUP(AC789,Mapping!$E$11:$I$96,5,0)</f>
        <v>SCS</v>
      </c>
      <c r="AO789" s="134">
        <v>140</v>
      </c>
      <c r="AP789" s="135" t="s">
        <v>2148</v>
      </c>
      <c r="AQ789" s="135">
        <v>611900</v>
      </c>
      <c r="AR789" s="135" t="s">
        <v>2079</v>
      </c>
      <c r="AS789" s="136">
        <v>4.5122999999999998</v>
      </c>
      <c r="AU789" s="7" t="str">
        <f>VLOOKUP($AO789,Mapping!$E$11:$I$96,3,0)</f>
        <v>Public lighting Capex</v>
      </c>
      <c r="AV789" s="7" t="str">
        <f>VLOOKUP($AQ789,Mapping!$E$140:$K$2771,5,0)</f>
        <v>Contracts</v>
      </c>
      <c r="AW789" s="7" t="str">
        <f>VLOOKUP($AQ789,Mapping!$E$140:$K$2771,7,0)</f>
        <v>ENDirect</v>
      </c>
      <c r="AX789" s="7" t="str">
        <f>IFERROR(HLOOKUP(AV789,'Calc|Weightings'!$K$5:$M$5,1,0),"Excl")</f>
        <v>Contracts</v>
      </c>
      <c r="AY789" s="7" t="str">
        <f>VLOOKUP(AO789,Mapping!$E$11:$I$96,5,0)</f>
        <v>Public Lighting</v>
      </c>
    </row>
    <row r="790" spans="1:51" x14ac:dyDescent="0.2">
      <c r="A790" s="7"/>
      <c r="B790" s="7"/>
      <c r="C790" s="7"/>
      <c r="D790" s="7"/>
      <c r="E790" s="36">
        <v>131</v>
      </c>
      <c r="F790" s="36" t="s">
        <v>2139</v>
      </c>
      <c r="G790" s="36">
        <v>613418</v>
      </c>
      <c r="H790" s="36" t="s">
        <v>1424</v>
      </c>
      <c r="I790" s="37">
        <v>255.68472</v>
      </c>
      <c r="J790" s="7"/>
      <c r="K790" s="7" t="str">
        <f>VLOOKUP($E790,Mapping!$E$11:$I$96,3,0)</f>
        <v>Replacement</v>
      </c>
      <c r="L790" s="7" t="str">
        <f>VLOOKUP($G790,Mapping!$E$140:$K$2771,5,0)</f>
        <v>Labour</v>
      </c>
      <c r="M790" s="7" t="str">
        <f>VLOOKUP($G790,Mapping!$E$140:$K$2771,7,0)</f>
        <v>ENDirect</v>
      </c>
      <c r="N790" s="7" t="str">
        <f>IFERROR(HLOOKUP(L790,'Calc|Weightings'!$K$5:$M$5,1,0),"Excl")</f>
        <v>Labour</v>
      </c>
      <c r="O790" s="7" t="str">
        <f>VLOOKUP(E790,Mapping!$E$11:$I$96,5,0)</f>
        <v>SCS</v>
      </c>
      <c r="Q790" s="33">
        <v>137</v>
      </c>
      <c r="R790" s="33" t="s">
        <v>2144</v>
      </c>
      <c r="S790" s="33">
        <v>613410</v>
      </c>
      <c r="T790" s="33" t="s">
        <v>2100</v>
      </c>
      <c r="U790" s="34">
        <v>0.59352000000000005</v>
      </c>
      <c r="V790" s="7"/>
      <c r="W790" s="7" t="str">
        <f>VLOOKUP($Q790,Mapping!$E$11:$I$96,3,0)</f>
        <v>Metering Capex</v>
      </c>
      <c r="X790" s="7" t="str">
        <f>VLOOKUP($S790,Mapping!$E$140:$K$2771,5,0)</f>
        <v>Labour</v>
      </c>
      <c r="Y790" s="7" t="str">
        <f>VLOOKUP($S790,Mapping!$E$140:$K$2771,7,0)</f>
        <v>ENDirect</v>
      </c>
      <c r="Z790" s="7" t="str">
        <f>IFERROR(HLOOKUP(X790,'Calc|Weightings'!$K$5:$M$5,1,0),"Excl")</f>
        <v>Labour</v>
      </c>
      <c r="AA790" s="7" t="str">
        <f>VLOOKUP(Q790,Mapping!$E$11:$I$96,5,0)</f>
        <v>Metering Services</v>
      </c>
      <c r="AC790" s="111">
        <v>131</v>
      </c>
      <c r="AD790" s="111" t="s">
        <v>2139</v>
      </c>
      <c r="AE790" s="111">
        <v>636000</v>
      </c>
      <c r="AF790" s="111" t="s">
        <v>2111</v>
      </c>
      <c r="AG790" s="112">
        <v>-9.0945900000000002</v>
      </c>
      <c r="AI790" s="7" t="str">
        <f>VLOOKUP($AC790,Mapping!$E$11:$I$96,3,0)</f>
        <v>Replacement</v>
      </c>
      <c r="AJ790" s="7" t="str">
        <f>VLOOKUP($AE790,Mapping!$E$140:$K$2771,5,0)</f>
        <v>System Control OH</v>
      </c>
      <c r="AK790" s="7" t="str">
        <f>VLOOKUP($AE790,Mapping!$E$140:$K$2771,7,0)</f>
        <v>OH</v>
      </c>
      <c r="AL790" s="7" t="str">
        <f>IFERROR(HLOOKUP(AJ790,'Calc|Weightings'!$K$5:$M$5,1,0),"Excl")</f>
        <v>Excl</v>
      </c>
      <c r="AM790" s="7" t="str">
        <f>VLOOKUP(AC790,Mapping!$E$11:$I$96,5,0)</f>
        <v>SCS</v>
      </c>
      <c r="AO790" s="134">
        <v>140</v>
      </c>
      <c r="AP790" s="135" t="s">
        <v>2148</v>
      </c>
      <c r="AQ790" s="135">
        <v>611901</v>
      </c>
      <c r="AR790" s="135" t="s">
        <v>2080</v>
      </c>
      <c r="AS790" s="136">
        <v>0.42313000000000001</v>
      </c>
      <c r="AU790" s="7" t="str">
        <f>VLOOKUP($AO790,Mapping!$E$11:$I$96,3,0)</f>
        <v>Public lighting Capex</v>
      </c>
      <c r="AV790" s="7" t="str">
        <f>VLOOKUP($AQ790,Mapping!$E$140:$K$2771,5,0)</f>
        <v>Contracts</v>
      </c>
      <c r="AW790" s="7" t="str">
        <f>VLOOKUP($AQ790,Mapping!$E$140:$K$2771,7,0)</f>
        <v>ENDirect</v>
      </c>
      <c r="AX790" s="7" t="str">
        <f>IFERROR(HLOOKUP(AV790,'Calc|Weightings'!$K$5:$M$5,1,0),"Excl")</f>
        <v>Contracts</v>
      </c>
      <c r="AY790" s="7" t="str">
        <f>VLOOKUP(AO790,Mapping!$E$11:$I$96,5,0)</f>
        <v>Public Lighting</v>
      </c>
    </row>
    <row r="791" spans="1:51" x14ac:dyDescent="0.2">
      <c r="A791" s="7"/>
      <c r="B791" s="7"/>
      <c r="C791" s="7"/>
      <c r="D791" s="7"/>
      <c r="E791" s="36">
        <v>131</v>
      </c>
      <c r="F791" s="36" t="s">
        <v>2139</v>
      </c>
      <c r="G791" s="36">
        <v>613419</v>
      </c>
      <c r="H791" s="36" t="s">
        <v>1425</v>
      </c>
      <c r="I791" s="37">
        <v>33.620510000000003</v>
      </c>
      <c r="J791" s="7"/>
      <c r="K791" s="7" t="str">
        <f>VLOOKUP($E791,Mapping!$E$11:$I$96,3,0)</f>
        <v>Replacement</v>
      </c>
      <c r="L791" s="7" t="str">
        <f>VLOOKUP($G791,Mapping!$E$140:$K$2771,5,0)</f>
        <v>Labour</v>
      </c>
      <c r="M791" s="7" t="str">
        <f>VLOOKUP($G791,Mapping!$E$140:$K$2771,7,0)</f>
        <v>ENDirect</v>
      </c>
      <c r="N791" s="7" t="str">
        <f>IFERROR(HLOOKUP(L791,'Calc|Weightings'!$K$5:$M$5,1,0),"Excl")</f>
        <v>Labour</v>
      </c>
      <c r="O791" s="7" t="str">
        <f>VLOOKUP(E791,Mapping!$E$11:$I$96,5,0)</f>
        <v>SCS</v>
      </c>
      <c r="Q791" s="33">
        <v>137</v>
      </c>
      <c r="R791" s="33" t="s">
        <v>2144</v>
      </c>
      <c r="S791" s="33">
        <v>613411</v>
      </c>
      <c r="T791" s="33" t="s">
        <v>2101</v>
      </c>
      <c r="U791" s="34">
        <v>0.32035999999999998</v>
      </c>
      <c r="V791" s="7"/>
      <c r="W791" s="7" t="str">
        <f>VLOOKUP($Q791,Mapping!$E$11:$I$96,3,0)</f>
        <v>Metering Capex</v>
      </c>
      <c r="X791" s="7" t="str">
        <f>VLOOKUP($S791,Mapping!$E$140:$K$2771,5,0)</f>
        <v>Labour</v>
      </c>
      <c r="Y791" s="7" t="str">
        <f>VLOOKUP($S791,Mapping!$E$140:$K$2771,7,0)</f>
        <v>ENDirect</v>
      </c>
      <c r="Z791" s="7" t="str">
        <f>IFERROR(HLOOKUP(X791,'Calc|Weightings'!$K$5:$M$5,1,0),"Excl")</f>
        <v>Labour</v>
      </c>
      <c r="AA791" s="7" t="str">
        <f>VLOOKUP(Q791,Mapping!$E$11:$I$96,5,0)</f>
        <v>Metering Services</v>
      </c>
      <c r="AC791" s="111">
        <v>131</v>
      </c>
      <c r="AD791" s="111" t="s">
        <v>2139</v>
      </c>
      <c r="AE791" s="111">
        <v>636001</v>
      </c>
      <c r="AF791" s="111" t="s">
        <v>2111</v>
      </c>
      <c r="AG791" s="112">
        <v>184.08416</v>
      </c>
      <c r="AI791" s="7" t="str">
        <f>VLOOKUP($AC791,Mapping!$E$11:$I$96,3,0)</f>
        <v>Replacement</v>
      </c>
      <c r="AJ791" s="7" t="str">
        <f>VLOOKUP($AE791,Mapping!$E$140:$K$2771,5,0)</f>
        <v>System Control OH</v>
      </c>
      <c r="AK791" s="7" t="str">
        <f>VLOOKUP($AE791,Mapping!$E$140:$K$2771,7,0)</f>
        <v>OH</v>
      </c>
      <c r="AL791" s="7" t="str">
        <f>IFERROR(HLOOKUP(AJ791,'Calc|Weightings'!$K$5:$M$5,1,0),"Excl")</f>
        <v>Excl</v>
      </c>
      <c r="AM791" s="7" t="str">
        <f>VLOOKUP(AC791,Mapping!$E$11:$I$96,5,0)</f>
        <v>SCS</v>
      </c>
      <c r="AO791" s="134">
        <v>140</v>
      </c>
      <c r="AP791" s="135" t="s">
        <v>2148</v>
      </c>
      <c r="AQ791" s="135">
        <v>611902</v>
      </c>
      <c r="AR791" s="135" t="s">
        <v>2081</v>
      </c>
      <c r="AS791" s="136">
        <v>0.10134</v>
      </c>
      <c r="AU791" s="7" t="str">
        <f>VLOOKUP($AO791,Mapping!$E$11:$I$96,3,0)</f>
        <v>Public lighting Capex</v>
      </c>
      <c r="AV791" s="7" t="str">
        <f>VLOOKUP($AQ791,Mapping!$E$140:$K$2771,5,0)</f>
        <v>Contracts</v>
      </c>
      <c r="AW791" s="7" t="str">
        <f>VLOOKUP($AQ791,Mapping!$E$140:$K$2771,7,0)</f>
        <v>ENDirect</v>
      </c>
      <c r="AX791" s="7" t="str">
        <f>IFERROR(HLOOKUP(AV791,'Calc|Weightings'!$K$5:$M$5,1,0),"Excl")</f>
        <v>Contracts</v>
      </c>
      <c r="AY791" s="7" t="str">
        <f>VLOOKUP(AO791,Mapping!$E$11:$I$96,5,0)</f>
        <v>Public Lighting</v>
      </c>
    </row>
    <row r="792" spans="1:51" x14ac:dyDescent="0.2">
      <c r="A792" s="7"/>
      <c r="B792" s="7"/>
      <c r="C792" s="7"/>
      <c r="D792" s="7"/>
      <c r="E792" s="36">
        <v>131</v>
      </c>
      <c r="F792" s="36" t="s">
        <v>2139</v>
      </c>
      <c r="G792" s="36">
        <v>613428</v>
      </c>
      <c r="H792" s="36" t="s">
        <v>1430</v>
      </c>
      <c r="I792" s="37">
        <v>6.5887900000000004</v>
      </c>
      <c r="J792" s="7"/>
      <c r="K792" s="7" t="str">
        <f>VLOOKUP($E792,Mapping!$E$11:$I$96,3,0)</f>
        <v>Replacement</v>
      </c>
      <c r="L792" s="7" t="str">
        <f>VLOOKUP($G792,Mapping!$E$140:$K$2771,5,0)</f>
        <v>Labour</v>
      </c>
      <c r="M792" s="7" t="str">
        <f>VLOOKUP($G792,Mapping!$E$140:$K$2771,7,0)</f>
        <v>ENDirect</v>
      </c>
      <c r="N792" s="7" t="str">
        <f>IFERROR(HLOOKUP(L792,'Calc|Weightings'!$K$5:$M$5,1,0),"Excl")</f>
        <v>Labour</v>
      </c>
      <c r="O792" s="7" t="str">
        <f>VLOOKUP(E792,Mapping!$E$11:$I$96,5,0)</f>
        <v>SCS</v>
      </c>
      <c r="Q792" s="33">
        <v>137</v>
      </c>
      <c r="R792" s="33" t="s">
        <v>2144</v>
      </c>
      <c r="S792" s="33">
        <v>613566</v>
      </c>
      <c r="T792" s="33" t="s">
        <v>1482</v>
      </c>
      <c r="U792" s="34">
        <v>0.19819999999999999</v>
      </c>
      <c r="V792" s="7"/>
      <c r="W792" s="7" t="str">
        <f>VLOOKUP($Q792,Mapping!$E$11:$I$96,3,0)</f>
        <v>Metering Capex</v>
      </c>
      <c r="X792" s="7" t="str">
        <f>VLOOKUP($S792,Mapping!$E$140:$K$2771,5,0)</f>
        <v>Labour</v>
      </c>
      <c r="Y792" s="7" t="str">
        <f>VLOOKUP($S792,Mapping!$E$140:$K$2771,7,0)</f>
        <v>ENDirect</v>
      </c>
      <c r="Z792" s="7" t="str">
        <f>IFERROR(HLOOKUP(X792,'Calc|Weightings'!$K$5:$M$5,1,0),"Excl")</f>
        <v>Labour</v>
      </c>
      <c r="AA792" s="7" t="str">
        <f>VLOOKUP(Q792,Mapping!$E$11:$I$96,5,0)</f>
        <v>Metering Services</v>
      </c>
      <c r="AC792" s="111">
        <v>131</v>
      </c>
      <c r="AD792" s="111" t="s">
        <v>2139</v>
      </c>
      <c r="AE792" s="111">
        <v>639000</v>
      </c>
      <c r="AF792" s="111" t="s">
        <v>2112</v>
      </c>
      <c r="AG792" s="112">
        <v>251.30276000000001</v>
      </c>
      <c r="AI792" s="7" t="str">
        <f>VLOOKUP($AC792,Mapping!$E$11:$I$96,3,0)</f>
        <v>Replacement</v>
      </c>
      <c r="AJ792" s="7" t="str">
        <f>VLOOKUP($AE792,Mapping!$E$140:$K$2771,5,0)</f>
        <v>PNS Corporate OH</v>
      </c>
      <c r="AK792" s="7" t="str">
        <f>VLOOKUP($AE792,Mapping!$E$140:$K$2771,7,0)</f>
        <v>OH</v>
      </c>
      <c r="AL792" s="7" t="str">
        <f>IFERROR(HLOOKUP(AJ792,'Calc|Weightings'!$K$5:$M$5,1,0),"Excl")</f>
        <v>Excl</v>
      </c>
      <c r="AM792" s="7" t="str">
        <f>VLOOKUP(AC792,Mapping!$E$11:$I$96,5,0)</f>
        <v>SCS</v>
      </c>
      <c r="AO792" s="134">
        <v>140</v>
      </c>
      <c r="AP792" s="135" t="s">
        <v>2148</v>
      </c>
      <c r="AQ792" s="135">
        <v>612210</v>
      </c>
      <c r="AR792" s="135" t="s">
        <v>1184</v>
      </c>
      <c r="AS792" s="136">
        <v>0.10309</v>
      </c>
      <c r="AU792" s="7" t="str">
        <f>VLOOKUP($AO792,Mapping!$E$11:$I$96,3,0)</f>
        <v>Public lighting Capex</v>
      </c>
      <c r="AV792" s="7" t="str">
        <f>VLOOKUP($AQ792,Mapping!$E$140:$K$2771,5,0)</f>
        <v>Labour</v>
      </c>
      <c r="AW792" s="7" t="str">
        <f>VLOOKUP($AQ792,Mapping!$E$140:$K$2771,7,0)</f>
        <v>ENDirect</v>
      </c>
      <c r="AX792" s="7" t="str">
        <f>IFERROR(HLOOKUP(AV792,'Calc|Weightings'!$K$5:$M$5,1,0),"Excl")</f>
        <v>Labour</v>
      </c>
      <c r="AY792" s="7" t="str">
        <f>VLOOKUP(AO792,Mapping!$E$11:$I$96,5,0)</f>
        <v>Public Lighting</v>
      </c>
    </row>
    <row r="793" spans="1:51" x14ac:dyDescent="0.2">
      <c r="A793" s="7"/>
      <c r="B793" s="7"/>
      <c r="C793" s="7"/>
      <c r="D793" s="7"/>
      <c r="E793" s="36">
        <v>131</v>
      </c>
      <c r="F793" s="36" t="s">
        <v>2139</v>
      </c>
      <c r="G793" s="36">
        <v>613429</v>
      </c>
      <c r="H793" s="36" t="s">
        <v>1431</v>
      </c>
      <c r="I793" s="37">
        <v>1.07474</v>
      </c>
      <c r="J793" s="7"/>
      <c r="K793" s="7" t="str">
        <f>VLOOKUP($E793,Mapping!$E$11:$I$96,3,0)</f>
        <v>Replacement</v>
      </c>
      <c r="L793" s="7" t="str">
        <f>VLOOKUP($G793,Mapping!$E$140:$K$2771,5,0)</f>
        <v>Labour</v>
      </c>
      <c r="M793" s="7" t="str">
        <f>VLOOKUP($G793,Mapping!$E$140:$K$2771,7,0)</f>
        <v>ENDirect</v>
      </c>
      <c r="N793" s="7" t="str">
        <f>IFERROR(HLOOKUP(L793,'Calc|Weightings'!$K$5:$M$5,1,0),"Excl")</f>
        <v>Labour</v>
      </c>
      <c r="O793" s="7" t="str">
        <f>VLOOKUP(E793,Mapping!$E$11:$I$96,5,0)</f>
        <v>SCS</v>
      </c>
      <c r="Q793" s="33">
        <v>137</v>
      </c>
      <c r="R793" s="33" t="s">
        <v>2144</v>
      </c>
      <c r="S793" s="33">
        <v>613567</v>
      </c>
      <c r="T793" s="33" t="s">
        <v>1483</v>
      </c>
      <c r="U793" s="34">
        <v>0.26145000000000002</v>
      </c>
      <c r="V793" s="7"/>
      <c r="W793" s="7" t="str">
        <f>VLOOKUP($Q793,Mapping!$E$11:$I$96,3,0)</f>
        <v>Metering Capex</v>
      </c>
      <c r="X793" s="7" t="str">
        <f>VLOOKUP($S793,Mapping!$E$140:$K$2771,5,0)</f>
        <v>Labour</v>
      </c>
      <c r="Y793" s="7" t="str">
        <f>VLOOKUP($S793,Mapping!$E$140:$K$2771,7,0)</f>
        <v>ENDirect</v>
      </c>
      <c r="Z793" s="7" t="str">
        <f>IFERROR(HLOOKUP(X793,'Calc|Weightings'!$K$5:$M$5,1,0),"Excl")</f>
        <v>Labour</v>
      </c>
      <c r="AA793" s="7" t="str">
        <f>VLOOKUP(Q793,Mapping!$E$11:$I$96,5,0)</f>
        <v>Metering Services</v>
      </c>
      <c r="AC793" s="111">
        <v>131</v>
      </c>
      <c r="AD793" s="111" t="s">
        <v>2139</v>
      </c>
      <c r="AE793" s="111">
        <v>639050</v>
      </c>
      <c r="AF793" s="111" t="s">
        <v>2113</v>
      </c>
      <c r="AG793" s="112">
        <v>79.574439999999996</v>
      </c>
      <c r="AI793" s="7" t="str">
        <f>VLOOKUP($AC793,Mapping!$E$11:$I$96,3,0)</f>
        <v>Replacement</v>
      </c>
      <c r="AJ793" s="7" t="str">
        <f>VLOOKUP($AE793,Mapping!$E$140:$K$2771,5,0)</f>
        <v>PNS Fleet &amp; Property OH</v>
      </c>
      <c r="AK793" s="7" t="str">
        <f>VLOOKUP($AE793,Mapping!$E$140:$K$2771,7,0)</f>
        <v>OH</v>
      </c>
      <c r="AL793" s="7" t="str">
        <f>IFERROR(HLOOKUP(AJ793,'Calc|Weightings'!$K$5:$M$5,1,0),"Excl")</f>
        <v>Excl</v>
      </c>
      <c r="AM793" s="7" t="str">
        <f>VLOOKUP(AC793,Mapping!$E$11:$I$96,5,0)</f>
        <v>SCS</v>
      </c>
      <c r="AO793" s="134">
        <v>140</v>
      </c>
      <c r="AP793" s="135" t="s">
        <v>2148</v>
      </c>
      <c r="AQ793" s="135">
        <v>613240</v>
      </c>
      <c r="AR793" s="135" t="s">
        <v>2082</v>
      </c>
      <c r="AS793" s="136">
        <v>33.691339999999997</v>
      </c>
      <c r="AU793" s="7" t="str">
        <f>VLOOKUP($AO793,Mapping!$E$11:$I$96,3,0)</f>
        <v>Public lighting Capex</v>
      </c>
      <c r="AV793" s="7" t="str">
        <f>VLOOKUP($AQ793,Mapping!$E$140:$K$2771,5,0)</f>
        <v>Labour</v>
      </c>
      <c r="AW793" s="7" t="str">
        <f>VLOOKUP($AQ793,Mapping!$E$140:$K$2771,7,0)</f>
        <v>ENDirect</v>
      </c>
      <c r="AX793" s="7" t="str">
        <f>IFERROR(HLOOKUP(AV793,'Calc|Weightings'!$K$5:$M$5,1,0),"Excl")</f>
        <v>Labour</v>
      </c>
      <c r="AY793" s="7" t="str">
        <f>VLOOKUP(AO793,Mapping!$E$11:$I$96,5,0)</f>
        <v>Public Lighting</v>
      </c>
    </row>
    <row r="794" spans="1:51" x14ac:dyDescent="0.2">
      <c r="A794" s="7"/>
      <c r="B794" s="7"/>
      <c r="C794" s="7"/>
      <c r="D794" s="7"/>
      <c r="E794" s="36">
        <v>131</v>
      </c>
      <c r="F794" s="36" t="s">
        <v>2139</v>
      </c>
      <c r="G794" s="36">
        <v>613438</v>
      </c>
      <c r="H794" s="36" t="s">
        <v>1436</v>
      </c>
      <c r="I794" s="37">
        <v>61.914110000000001</v>
      </c>
      <c r="J794" s="7"/>
      <c r="K794" s="7" t="str">
        <f>VLOOKUP($E794,Mapping!$E$11:$I$96,3,0)</f>
        <v>Replacement</v>
      </c>
      <c r="L794" s="7" t="str">
        <f>VLOOKUP($G794,Mapping!$E$140:$K$2771,5,0)</f>
        <v>Labour</v>
      </c>
      <c r="M794" s="7" t="str">
        <f>VLOOKUP($G794,Mapping!$E$140:$K$2771,7,0)</f>
        <v>ENDirect</v>
      </c>
      <c r="N794" s="7" t="str">
        <f>IFERROR(HLOOKUP(L794,'Calc|Weightings'!$K$5:$M$5,1,0),"Excl")</f>
        <v>Labour</v>
      </c>
      <c r="O794" s="7" t="str">
        <f>VLOOKUP(E794,Mapping!$E$11:$I$96,5,0)</f>
        <v>SCS</v>
      </c>
      <c r="Q794" s="33">
        <v>137</v>
      </c>
      <c r="R794" s="33" t="s">
        <v>2144</v>
      </c>
      <c r="S794" s="33">
        <v>613692</v>
      </c>
      <c r="T794" s="33" t="s">
        <v>1235</v>
      </c>
      <c r="U794" s="34">
        <v>135.38932</v>
      </c>
      <c r="V794" s="7"/>
      <c r="W794" s="7" t="str">
        <f>VLOOKUP($Q794,Mapping!$E$11:$I$96,3,0)</f>
        <v>Metering Capex</v>
      </c>
      <c r="X794" s="7" t="str">
        <f>VLOOKUP($S794,Mapping!$E$140:$K$2771,5,0)</f>
        <v>Contracts</v>
      </c>
      <c r="Y794" s="7" t="str">
        <f>VLOOKUP($S794,Mapping!$E$140:$K$2771,7,0)</f>
        <v>ENDirect</v>
      </c>
      <c r="Z794" s="7" t="str">
        <f>IFERROR(HLOOKUP(X794,'Calc|Weightings'!$K$5:$M$5,1,0),"Excl")</f>
        <v>Contracts</v>
      </c>
      <c r="AA794" s="7" t="str">
        <f>VLOOKUP(Q794,Mapping!$E$11:$I$96,5,0)</f>
        <v>Metering Services</v>
      </c>
      <c r="AC794" s="111">
        <v>134</v>
      </c>
      <c r="AD794" s="111" t="s">
        <v>2143</v>
      </c>
      <c r="AE794" s="111">
        <v>613686</v>
      </c>
      <c r="AF794" s="111" t="s">
        <v>1228</v>
      </c>
      <c r="AG794" s="112">
        <v>77.763750000000002</v>
      </c>
      <c r="AI794" s="7" t="str">
        <f>VLOOKUP($AC794,Mapping!$E$11:$I$96,3,0)</f>
        <v>Metering Capex</v>
      </c>
      <c r="AJ794" s="7" t="str">
        <f>VLOOKUP($AE794,Mapping!$E$140:$K$2771,5,0)</f>
        <v>Materials</v>
      </c>
      <c r="AK794" s="7" t="str">
        <f>VLOOKUP($AE794,Mapping!$E$140:$K$2771,7,0)</f>
        <v>ENDirect</v>
      </c>
      <c r="AL794" s="7" t="str">
        <f>IFERROR(HLOOKUP(AJ794,'Calc|Weightings'!$K$5:$M$5,1,0),"Excl")</f>
        <v>Materials</v>
      </c>
      <c r="AM794" s="7" t="str">
        <f>VLOOKUP(AC794,Mapping!$E$11:$I$96,5,0)</f>
        <v>Metering Services</v>
      </c>
      <c r="AO794" s="134">
        <v>140</v>
      </c>
      <c r="AP794" s="135" t="s">
        <v>2148</v>
      </c>
      <c r="AQ794" s="135">
        <v>613241</v>
      </c>
      <c r="AR794" s="135" t="s">
        <v>2083</v>
      </c>
      <c r="AS794" s="136">
        <v>2.0297499999999999</v>
      </c>
      <c r="AU794" s="7" t="str">
        <f>VLOOKUP($AO794,Mapping!$E$11:$I$96,3,0)</f>
        <v>Public lighting Capex</v>
      </c>
      <c r="AV794" s="7" t="str">
        <f>VLOOKUP($AQ794,Mapping!$E$140:$K$2771,5,0)</f>
        <v>Labour</v>
      </c>
      <c r="AW794" s="7" t="str">
        <f>VLOOKUP($AQ794,Mapping!$E$140:$K$2771,7,0)</f>
        <v>ENDirect</v>
      </c>
      <c r="AX794" s="7" t="str">
        <f>IFERROR(HLOOKUP(AV794,'Calc|Weightings'!$K$5:$M$5,1,0),"Excl")</f>
        <v>Labour</v>
      </c>
      <c r="AY794" s="7" t="str">
        <f>VLOOKUP(AO794,Mapping!$E$11:$I$96,5,0)</f>
        <v>Public Lighting</v>
      </c>
    </row>
    <row r="795" spans="1:51" x14ac:dyDescent="0.2">
      <c r="A795" s="7"/>
      <c r="B795" s="7"/>
      <c r="C795" s="7"/>
      <c r="D795" s="7"/>
      <c r="E795" s="36">
        <v>131</v>
      </c>
      <c r="F795" s="36" t="s">
        <v>2139</v>
      </c>
      <c r="G795" s="36">
        <v>613439</v>
      </c>
      <c r="H795" s="36" t="s">
        <v>1437</v>
      </c>
      <c r="I795" s="37">
        <v>2.7627199999999998</v>
      </c>
      <c r="J795" s="7"/>
      <c r="K795" s="7" t="str">
        <f>VLOOKUP($E795,Mapping!$E$11:$I$96,3,0)</f>
        <v>Replacement</v>
      </c>
      <c r="L795" s="7" t="str">
        <f>VLOOKUP($G795,Mapping!$E$140:$K$2771,5,0)</f>
        <v>Labour</v>
      </c>
      <c r="M795" s="7" t="str">
        <f>VLOOKUP($G795,Mapping!$E$140:$K$2771,7,0)</f>
        <v>ENDirect</v>
      </c>
      <c r="N795" s="7" t="str">
        <f>IFERROR(HLOOKUP(L795,'Calc|Weightings'!$K$5:$M$5,1,0),"Excl")</f>
        <v>Labour</v>
      </c>
      <c r="O795" s="7" t="str">
        <f>VLOOKUP(E795,Mapping!$E$11:$I$96,5,0)</f>
        <v>SCS</v>
      </c>
      <c r="Q795" s="33">
        <v>137</v>
      </c>
      <c r="R795" s="33" t="s">
        <v>2144</v>
      </c>
      <c r="S795" s="33">
        <v>613693</v>
      </c>
      <c r="T795" s="33" t="s">
        <v>1236</v>
      </c>
      <c r="U795" s="34">
        <v>8.6716300000000004</v>
      </c>
      <c r="V795" s="7"/>
      <c r="W795" s="7" t="str">
        <f>VLOOKUP($Q795,Mapping!$E$11:$I$96,3,0)</f>
        <v>Metering Capex</v>
      </c>
      <c r="X795" s="7" t="str">
        <f>VLOOKUP($S795,Mapping!$E$140:$K$2771,5,0)</f>
        <v>Contracts</v>
      </c>
      <c r="Y795" s="7" t="str">
        <f>VLOOKUP($S795,Mapping!$E$140:$K$2771,7,0)</f>
        <v>ENDirect</v>
      </c>
      <c r="Z795" s="7" t="str">
        <f>IFERROR(HLOOKUP(X795,'Calc|Weightings'!$K$5:$M$5,1,0),"Excl")</f>
        <v>Contracts</v>
      </c>
      <c r="AA795" s="7" t="str">
        <f>VLOOKUP(Q795,Mapping!$E$11:$I$96,5,0)</f>
        <v>Metering Services</v>
      </c>
      <c r="AC795" s="111">
        <v>134</v>
      </c>
      <c r="AD795" s="111" t="s">
        <v>2143</v>
      </c>
      <c r="AE795" s="111">
        <v>613687</v>
      </c>
      <c r="AF795" s="111" t="s">
        <v>1229</v>
      </c>
      <c r="AG795" s="112">
        <v>12.582000000000001</v>
      </c>
      <c r="AI795" s="7" t="str">
        <f>VLOOKUP($AC795,Mapping!$E$11:$I$96,3,0)</f>
        <v>Metering Capex</v>
      </c>
      <c r="AJ795" s="7" t="str">
        <f>VLOOKUP($AE795,Mapping!$E$140:$K$2771,5,0)</f>
        <v>Materials</v>
      </c>
      <c r="AK795" s="7" t="str">
        <f>VLOOKUP($AE795,Mapping!$E$140:$K$2771,7,0)</f>
        <v>ENDirect</v>
      </c>
      <c r="AL795" s="7" t="str">
        <f>IFERROR(HLOOKUP(AJ795,'Calc|Weightings'!$K$5:$M$5,1,0),"Excl")</f>
        <v>Materials</v>
      </c>
      <c r="AM795" s="7" t="str">
        <f>VLOOKUP(AC795,Mapping!$E$11:$I$96,5,0)</f>
        <v>Metering Services</v>
      </c>
      <c r="AO795" s="134">
        <v>140</v>
      </c>
      <c r="AP795" s="135" t="s">
        <v>2148</v>
      </c>
      <c r="AQ795" s="135">
        <v>613250</v>
      </c>
      <c r="AR795" s="135" t="s">
        <v>2086</v>
      </c>
      <c r="AS795" s="136">
        <v>45.023159999999997</v>
      </c>
      <c r="AU795" s="7" t="str">
        <f>VLOOKUP($AO795,Mapping!$E$11:$I$96,3,0)</f>
        <v>Public lighting Capex</v>
      </c>
      <c r="AV795" s="7" t="str">
        <f>VLOOKUP($AQ795,Mapping!$E$140:$K$2771,5,0)</f>
        <v>Labour</v>
      </c>
      <c r="AW795" s="7" t="str">
        <f>VLOOKUP($AQ795,Mapping!$E$140:$K$2771,7,0)</f>
        <v>ENDirect</v>
      </c>
      <c r="AX795" s="7" t="str">
        <f>IFERROR(HLOOKUP(AV795,'Calc|Weightings'!$K$5:$M$5,1,0),"Excl")</f>
        <v>Labour</v>
      </c>
      <c r="AY795" s="7" t="str">
        <f>VLOOKUP(AO795,Mapping!$E$11:$I$96,5,0)</f>
        <v>Public Lighting</v>
      </c>
    </row>
    <row r="796" spans="1:51" x14ac:dyDescent="0.2">
      <c r="A796" s="7"/>
      <c r="B796" s="7"/>
      <c r="C796" s="7"/>
      <c r="D796" s="7"/>
      <c r="E796" s="36">
        <v>131</v>
      </c>
      <c r="F796" s="36" t="s">
        <v>2139</v>
      </c>
      <c r="G796" s="36">
        <v>613566</v>
      </c>
      <c r="H796" s="36" t="s">
        <v>1482</v>
      </c>
      <c r="I796" s="37">
        <v>35.600250000000003</v>
      </c>
      <c r="J796" s="7"/>
      <c r="K796" s="7" t="str">
        <f>VLOOKUP($E796,Mapping!$E$11:$I$96,3,0)</f>
        <v>Replacement</v>
      </c>
      <c r="L796" s="7" t="str">
        <f>VLOOKUP($G796,Mapping!$E$140:$K$2771,5,0)</f>
        <v>Labour</v>
      </c>
      <c r="M796" s="7" t="str">
        <f>VLOOKUP($G796,Mapping!$E$140:$K$2771,7,0)</f>
        <v>ENDirect</v>
      </c>
      <c r="N796" s="7" t="str">
        <f>IFERROR(HLOOKUP(L796,'Calc|Weightings'!$K$5:$M$5,1,0),"Excl")</f>
        <v>Labour</v>
      </c>
      <c r="O796" s="7" t="str">
        <f>VLOOKUP(E796,Mapping!$E$11:$I$96,5,0)</f>
        <v>SCS</v>
      </c>
      <c r="Q796" s="33">
        <v>137</v>
      </c>
      <c r="R796" s="33" t="s">
        <v>2144</v>
      </c>
      <c r="S796" s="33">
        <v>613694</v>
      </c>
      <c r="T796" s="33" t="s">
        <v>1237</v>
      </c>
      <c r="U796" s="34">
        <v>23.777049999999999</v>
      </c>
      <c r="V796" s="7"/>
      <c r="W796" s="7" t="str">
        <f>VLOOKUP($Q796,Mapping!$E$11:$I$96,3,0)</f>
        <v>Metering Capex</v>
      </c>
      <c r="X796" s="7" t="str">
        <f>VLOOKUP($S796,Mapping!$E$140:$K$2771,5,0)</f>
        <v>Contracts</v>
      </c>
      <c r="Y796" s="7" t="str">
        <f>VLOOKUP($S796,Mapping!$E$140:$K$2771,7,0)</f>
        <v>ENDirect</v>
      </c>
      <c r="Z796" s="7" t="str">
        <f>IFERROR(HLOOKUP(X796,'Calc|Weightings'!$K$5:$M$5,1,0),"Excl")</f>
        <v>Contracts</v>
      </c>
      <c r="AA796" s="7" t="str">
        <f>VLOOKUP(Q796,Mapping!$E$11:$I$96,5,0)</f>
        <v>Metering Services</v>
      </c>
      <c r="AC796" s="111">
        <v>134</v>
      </c>
      <c r="AD796" s="111" t="s">
        <v>2143</v>
      </c>
      <c r="AE796" s="111">
        <v>613688</v>
      </c>
      <c r="AF796" s="111" t="s">
        <v>1230</v>
      </c>
      <c r="AG796" s="112">
        <v>15.028499999999999</v>
      </c>
      <c r="AI796" s="7" t="str">
        <f>VLOOKUP($AC796,Mapping!$E$11:$I$96,3,0)</f>
        <v>Metering Capex</v>
      </c>
      <c r="AJ796" s="7" t="str">
        <f>VLOOKUP($AE796,Mapping!$E$140:$K$2771,5,0)</f>
        <v>Materials</v>
      </c>
      <c r="AK796" s="7" t="str">
        <f>VLOOKUP($AE796,Mapping!$E$140:$K$2771,7,0)</f>
        <v>ENDirect</v>
      </c>
      <c r="AL796" s="7" t="str">
        <f>IFERROR(HLOOKUP(AJ796,'Calc|Weightings'!$K$5:$M$5,1,0),"Excl")</f>
        <v>Materials</v>
      </c>
      <c r="AM796" s="7" t="str">
        <f>VLOOKUP(AC796,Mapping!$E$11:$I$96,5,0)</f>
        <v>Metering Services</v>
      </c>
      <c r="AO796" s="134">
        <v>140</v>
      </c>
      <c r="AP796" s="135" t="s">
        <v>2148</v>
      </c>
      <c r="AQ796" s="135">
        <v>613251</v>
      </c>
      <c r="AR796" s="135" t="s">
        <v>2087</v>
      </c>
      <c r="AS796" s="136">
        <v>6.9670100000000001</v>
      </c>
      <c r="AU796" s="7" t="str">
        <f>VLOOKUP($AO796,Mapping!$E$11:$I$96,3,0)</f>
        <v>Public lighting Capex</v>
      </c>
      <c r="AV796" s="7" t="str">
        <f>VLOOKUP($AQ796,Mapping!$E$140:$K$2771,5,0)</f>
        <v>Labour</v>
      </c>
      <c r="AW796" s="7" t="str">
        <f>VLOOKUP($AQ796,Mapping!$E$140:$K$2771,7,0)</f>
        <v>ENDirect</v>
      </c>
      <c r="AX796" s="7" t="str">
        <f>IFERROR(HLOOKUP(AV796,'Calc|Weightings'!$K$5:$M$5,1,0),"Excl")</f>
        <v>Labour</v>
      </c>
      <c r="AY796" s="7" t="str">
        <f>VLOOKUP(AO796,Mapping!$E$11:$I$96,5,0)</f>
        <v>Public Lighting</v>
      </c>
    </row>
    <row r="797" spans="1:51" x14ac:dyDescent="0.2">
      <c r="A797" s="7"/>
      <c r="B797" s="7"/>
      <c r="C797" s="7"/>
      <c r="D797" s="7"/>
      <c r="E797" s="36">
        <v>131</v>
      </c>
      <c r="F797" s="36" t="s">
        <v>2139</v>
      </c>
      <c r="G797" s="36">
        <v>613567</v>
      </c>
      <c r="H797" s="36" t="s">
        <v>1483</v>
      </c>
      <c r="I797" s="37">
        <v>0.24342</v>
      </c>
      <c r="J797" s="7"/>
      <c r="K797" s="7" t="str">
        <f>VLOOKUP($E797,Mapping!$E$11:$I$96,3,0)</f>
        <v>Replacement</v>
      </c>
      <c r="L797" s="7" t="str">
        <f>VLOOKUP($G797,Mapping!$E$140:$K$2771,5,0)</f>
        <v>Labour</v>
      </c>
      <c r="M797" s="7" t="str">
        <f>VLOOKUP($G797,Mapping!$E$140:$K$2771,7,0)</f>
        <v>ENDirect</v>
      </c>
      <c r="N797" s="7" t="str">
        <f>IFERROR(HLOOKUP(L797,'Calc|Weightings'!$K$5:$M$5,1,0),"Excl")</f>
        <v>Labour</v>
      </c>
      <c r="O797" s="7" t="str">
        <f>VLOOKUP(E797,Mapping!$E$11:$I$96,5,0)</f>
        <v>SCS</v>
      </c>
      <c r="Q797" s="33">
        <v>137</v>
      </c>
      <c r="R797" s="33" t="s">
        <v>2144</v>
      </c>
      <c r="S797" s="33">
        <v>613695</v>
      </c>
      <c r="T797" s="33" t="s">
        <v>1238</v>
      </c>
      <c r="U797" s="34">
        <v>83.589939999999999</v>
      </c>
      <c r="V797" s="7"/>
      <c r="W797" s="7" t="str">
        <f>VLOOKUP($Q797,Mapping!$E$11:$I$96,3,0)</f>
        <v>Metering Capex</v>
      </c>
      <c r="X797" s="7" t="str">
        <f>VLOOKUP($S797,Mapping!$E$140:$K$2771,5,0)</f>
        <v>Contracts</v>
      </c>
      <c r="Y797" s="7" t="str">
        <f>VLOOKUP($S797,Mapping!$E$140:$K$2771,7,0)</f>
        <v>ENDirect</v>
      </c>
      <c r="Z797" s="7" t="str">
        <f>IFERROR(HLOOKUP(X797,'Calc|Weightings'!$K$5:$M$5,1,0),"Excl")</f>
        <v>Contracts</v>
      </c>
      <c r="AA797" s="7" t="str">
        <f>VLOOKUP(Q797,Mapping!$E$11:$I$96,5,0)</f>
        <v>Metering Services</v>
      </c>
      <c r="AC797" s="111">
        <v>134</v>
      </c>
      <c r="AD797" s="111" t="s">
        <v>2143</v>
      </c>
      <c r="AE797" s="111">
        <v>613689</v>
      </c>
      <c r="AF797" s="111" t="s">
        <v>1231</v>
      </c>
      <c r="AG797" s="112">
        <v>122.56310000000001</v>
      </c>
      <c r="AI797" s="7" t="str">
        <f>VLOOKUP($AC797,Mapping!$E$11:$I$96,3,0)</f>
        <v>Metering Capex</v>
      </c>
      <c r="AJ797" s="7" t="str">
        <f>VLOOKUP($AE797,Mapping!$E$140:$K$2771,5,0)</f>
        <v>Materials</v>
      </c>
      <c r="AK797" s="7" t="str">
        <f>VLOOKUP($AE797,Mapping!$E$140:$K$2771,7,0)</f>
        <v>ENDirect</v>
      </c>
      <c r="AL797" s="7" t="str">
        <f>IFERROR(HLOOKUP(AJ797,'Calc|Weightings'!$K$5:$M$5,1,0),"Excl")</f>
        <v>Materials</v>
      </c>
      <c r="AM797" s="7" t="str">
        <f>VLOOKUP(AC797,Mapping!$E$11:$I$96,5,0)</f>
        <v>Metering Services</v>
      </c>
      <c r="AO797" s="134">
        <v>140</v>
      </c>
      <c r="AP797" s="135" t="s">
        <v>2148</v>
      </c>
      <c r="AQ797" s="135">
        <v>613260</v>
      </c>
      <c r="AR797" s="135" t="s">
        <v>2090</v>
      </c>
      <c r="AS797" s="136">
        <v>1.1842200000000001</v>
      </c>
      <c r="AU797" s="7" t="str">
        <f>VLOOKUP($AO797,Mapping!$E$11:$I$96,3,0)</f>
        <v>Public lighting Capex</v>
      </c>
      <c r="AV797" s="7" t="str">
        <f>VLOOKUP($AQ797,Mapping!$E$140:$K$2771,5,0)</f>
        <v>Labour</v>
      </c>
      <c r="AW797" s="7" t="str">
        <f>VLOOKUP($AQ797,Mapping!$E$140:$K$2771,7,0)</f>
        <v>ENDirect</v>
      </c>
      <c r="AX797" s="7" t="str">
        <f>IFERROR(HLOOKUP(AV797,'Calc|Weightings'!$K$5:$M$5,1,0),"Excl")</f>
        <v>Labour</v>
      </c>
      <c r="AY797" s="7" t="str">
        <f>VLOOKUP(AO797,Mapping!$E$11:$I$96,5,0)</f>
        <v>Public Lighting</v>
      </c>
    </row>
    <row r="798" spans="1:51" x14ac:dyDescent="0.2">
      <c r="A798" s="7"/>
      <c r="B798" s="7"/>
      <c r="C798" s="7"/>
      <c r="D798" s="7"/>
      <c r="E798" s="36">
        <v>131</v>
      </c>
      <c r="F798" s="36" t="s">
        <v>2139</v>
      </c>
      <c r="G798" s="36">
        <v>613575</v>
      </c>
      <c r="H798" s="36" t="s">
        <v>1489</v>
      </c>
      <c r="I798" s="37">
        <v>0.50575999999999999</v>
      </c>
      <c r="J798" s="7"/>
      <c r="K798" s="7" t="str">
        <f>VLOOKUP($E798,Mapping!$E$11:$I$96,3,0)</f>
        <v>Replacement</v>
      </c>
      <c r="L798" s="7" t="str">
        <f>VLOOKUP($G798,Mapping!$E$140:$K$2771,5,0)</f>
        <v>Labour</v>
      </c>
      <c r="M798" s="7" t="str">
        <f>VLOOKUP($G798,Mapping!$E$140:$K$2771,7,0)</f>
        <v>ENDirect</v>
      </c>
      <c r="N798" s="7" t="str">
        <f>IFERROR(HLOOKUP(L798,'Calc|Weightings'!$K$5:$M$5,1,0),"Excl")</f>
        <v>Labour</v>
      </c>
      <c r="O798" s="7" t="str">
        <f>VLOOKUP(E798,Mapping!$E$11:$I$96,5,0)</f>
        <v>SCS</v>
      </c>
      <c r="Q798" s="33">
        <v>137</v>
      </c>
      <c r="R798" s="33" t="s">
        <v>2144</v>
      </c>
      <c r="S798" s="33">
        <v>613696</v>
      </c>
      <c r="T798" s="33" t="s">
        <v>1239</v>
      </c>
      <c r="U798" s="34">
        <v>1.3310500000000001</v>
      </c>
      <c r="V798" s="7"/>
      <c r="W798" s="7" t="str">
        <f>VLOOKUP($Q798,Mapping!$E$11:$I$96,3,0)</f>
        <v>Metering Capex</v>
      </c>
      <c r="X798" s="7" t="str">
        <f>VLOOKUP($S798,Mapping!$E$140:$K$2771,5,0)</f>
        <v>Contracts</v>
      </c>
      <c r="Y798" s="7" t="str">
        <f>VLOOKUP($S798,Mapping!$E$140:$K$2771,7,0)</f>
        <v>ENDirect</v>
      </c>
      <c r="Z798" s="7" t="str">
        <f>IFERROR(HLOOKUP(X798,'Calc|Weightings'!$K$5:$M$5,1,0),"Excl")</f>
        <v>Contracts</v>
      </c>
      <c r="AA798" s="7" t="str">
        <f>VLOOKUP(Q798,Mapping!$E$11:$I$96,5,0)</f>
        <v>Metering Services</v>
      </c>
      <c r="AC798" s="111">
        <v>134</v>
      </c>
      <c r="AD798" s="111" t="s">
        <v>2143</v>
      </c>
      <c r="AE798" s="111">
        <v>613690</v>
      </c>
      <c r="AF798" s="111" t="s">
        <v>1232</v>
      </c>
      <c r="AG798" s="112">
        <v>4.0244600000000004</v>
      </c>
      <c r="AI798" s="7" t="str">
        <f>VLOOKUP($AC798,Mapping!$E$11:$I$96,3,0)</f>
        <v>Metering Capex</v>
      </c>
      <c r="AJ798" s="7" t="str">
        <f>VLOOKUP($AE798,Mapping!$E$140:$K$2771,5,0)</f>
        <v>Materials</v>
      </c>
      <c r="AK798" s="7" t="str">
        <f>VLOOKUP($AE798,Mapping!$E$140:$K$2771,7,0)</f>
        <v>ENDirect</v>
      </c>
      <c r="AL798" s="7" t="str">
        <f>IFERROR(HLOOKUP(AJ798,'Calc|Weightings'!$K$5:$M$5,1,0),"Excl")</f>
        <v>Materials</v>
      </c>
      <c r="AM798" s="7" t="str">
        <f>VLOOKUP(AC798,Mapping!$E$11:$I$96,5,0)</f>
        <v>Metering Services</v>
      </c>
      <c r="AO798" s="134">
        <v>140</v>
      </c>
      <c r="AP798" s="135" t="s">
        <v>2148</v>
      </c>
      <c r="AQ798" s="135">
        <v>613280</v>
      </c>
      <c r="AR798" s="135" t="s">
        <v>1342</v>
      </c>
      <c r="AS798" s="136">
        <v>0.66447999999999996</v>
      </c>
      <c r="AU798" s="7" t="str">
        <f>VLOOKUP($AO798,Mapping!$E$11:$I$96,3,0)</f>
        <v>Public lighting Capex</v>
      </c>
      <c r="AV798" s="7" t="str">
        <f>VLOOKUP($AQ798,Mapping!$E$140:$K$2771,5,0)</f>
        <v>Labour</v>
      </c>
      <c r="AW798" s="7" t="str">
        <f>VLOOKUP($AQ798,Mapping!$E$140:$K$2771,7,0)</f>
        <v>ENDirect</v>
      </c>
      <c r="AX798" s="7" t="str">
        <f>IFERROR(HLOOKUP(AV798,'Calc|Weightings'!$K$5:$M$5,1,0),"Excl")</f>
        <v>Labour</v>
      </c>
      <c r="AY798" s="7" t="str">
        <f>VLOOKUP(AO798,Mapping!$E$11:$I$96,5,0)</f>
        <v>Public Lighting</v>
      </c>
    </row>
    <row r="799" spans="1:51" x14ac:dyDescent="0.2">
      <c r="A799" s="7"/>
      <c r="B799" s="7"/>
      <c r="C799" s="7"/>
      <c r="D799" s="7"/>
      <c r="E799" s="36">
        <v>131</v>
      </c>
      <c r="F799" s="36" t="s">
        <v>2139</v>
      </c>
      <c r="G799" s="36">
        <v>613630</v>
      </c>
      <c r="H799" s="36" t="s">
        <v>1498</v>
      </c>
      <c r="I799" s="37">
        <v>11.70919</v>
      </c>
      <c r="J799" s="7"/>
      <c r="K799" s="7" t="str">
        <f>VLOOKUP($E799,Mapping!$E$11:$I$96,3,0)</f>
        <v>Replacement</v>
      </c>
      <c r="L799" s="7" t="str">
        <f>VLOOKUP($G799,Mapping!$E$140:$K$2771,5,0)</f>
        <v>Labour</v>
      </c>
      <c r="M799" s="7" t="str">
        <f>VLOOKUP($G799,Mapping!$E$140:$K$2771,7,0)</f>
        <v>ENDirect</v>
      </c>
      <c r="N799" s="7" t="str">
        <f>IFERROR(HLOOKUP(L799,'Calc|Weightings'!$K$5:$M$5,1,0),"Excl")</f>
        <v>Labour</v>
      </c>
      <c r="O799" s="7" t="str">
        <f>VLOOKUP(E799,Mapping!$E$11:$I$96,5,0)</f>
        <v>SCS</v>
      </c>
      <c r="Q799" s="33">
        <v>137</v>
      </c>
      <c r="R799" s="33" t="s">
        <v>2144</v>
      </c>
      <c r="S799" s="33">
        <v>613697</v>
      </c>
      <c r="T799" s="33" t="s">
        <v>1240</v>
      </c>
      <c r="U799" s="34">
        <v>126.68769</v>
      </c>
      <c r="V799" s="7"/>
      <c r="W799" s="7" t="str">
        <f>VLOOKUP($Q799,Mapping!$E$11:$I$96,3,0)</f>
        <v>Metering Capex</v>
      </c>
      <c r="X799" s="7" t="str">
        <f>VLOOKUP($S799,Mapping!$E$140:$K$2771,5,0)</f>
        <v>Contracts</v>
      </c>
      <c r="Y799" s="7" t="str">
        <f>VLOOKUP($S799,Mapping!$E$140:$K$2771,7,0)</f>
        <v>ENDirect</v>
      </c>
      <c r="Z799" s="7" t="str">
        <f>IFERROR(HLOOKUP(X799,'Calc|Weightings'!$K$5:$M$5,1,0),"Excl")</f>
        <v>Contracts</v>
      </c>
      <c r="AA799" s="7" t="str">
        <f>VLOOKUP(Q799,Mapping!$E$11:$I$96,5,0)</f>
        <v>Metering Services</v>
      </c>
      <c r="AC799" s="111">
        <v>134</v>
      </c>
      <c r="AD799" s="111" t="s">
        <v>2143</v>
      </c>
      <c r="AE799" s="111">
        <v>613691</v>
      </c>
      <c r="AF799" s="111" t="s">
        <v>1233</v>
      </c>
      <c r="AG799" s="112">
        <v>55.421950000000002</v>
      </c>
      <c r="AI799" s="7" t="str">
        <f>VLOOKUP($AC799,Mapping!$E$11:$I$96,3,0)</f>
        <v>Metering Capex</v>
      </c>
      <c r="AJ799" s="7" t="str">
        <f>VLOOKUP($AE799,Mapping!$E$140:$K$2771,5,0)</f>
        <v>Materials</v>
      </c>
      <c r="AK799" s="7" t="str">
        <f>VLOOKUP($AE799,Mapping!$E$140:$K$2771,7,0)</f>
        <v>ENDirect</v>
      </c>
      <c r="AL799" s="7" t="str">
        <f>IFERROR(HLOOKUP(AJ799,'Calc|Weightings'!$K$5:$M$5,1,0),"Excl")</f>
        <v>Materials</v>
      </c>
      <c r="AM799" s="7" t="str">
        <f>VLOOKUP(AC799,Mapping!$E$11:$I$96,5,0)</f>
        <v>Metering Services</v>
      </c>
      <c r="AO799" s="134">
        <v>140</v>
      </c>
      <c r="AP799" s="135" t="s">
        <v>2148</v>
      </c>
      <c r="AQ799" s="135">
        <v>613290</v>
      </c>
      <c r="AR799" s="135" t="s">
        <v>2093</v>
      </c>
      <c r="AS799" s="136">
        <v>1.1811799999999999</v>
      </c>
      <c r="AU799" s="7" t="str">
        <f>VLOOKUP($AO799,Mapping!$E$11:$I$96,3,0)</f>
        <v>Public lighting Capex</v>
      </c>
      <c r="AV799" s="7" t="str">
        <f>VLOOKUP($AQ799,Mapping!$E$140:$K$2771,5,0)</f>
        <v>Labour</v>
      </c>
      <c r="AW799" s="7" t="str">
        <f>VLOOKUP($AQ799,Mapping!$E$140:$K$2771,7,0)</f>
        <v>ENDirect</v>
      </c>
      <c r="AX799" s="7" t="str">
        <f>IFERROR(HLOOKUP(AV799,'Calc|Weightings'!$K$5:$M$5,1,0),"Excl")</f>
        <v>Labour</v>
      </c>
      <c r="AY799" s="7" t="str">
        <f>VLOOKUP(AO799,Mapping!$E$11:$I$96,5,0)</f>
        <v>Public Lighting</v>
      </c>
    </row>
    <row r="800" spans="1:51" x14ac:dyDescent="0.2">
      <c r="A800" s="7"/>
      <c r="B800" s="7"/>
      <c r="C800" s="7"/>
      <c r="D800" s="7"/>
      <c r="E800" s="36">
        <v>131</v>
      </c>
      <c r="F800" s="36" t="s">
        <v>2139</v>
      </c>
      <c r="G800" s="36">
        <v>613680</v>
      </c>
      <c r="H800" s="36" t="s">
        <v>2107</v>
      </c>
      <c r="I800" s="37">
        <v>58.416609999999999</v>
      </c>
      <c r="J800" s="7"/>
      <c r="K800" s="7" t="str">
        <f>VLOOKUP($E800,Mapping!$E$11:$I$96,3,0)</f>
        <v>Replacement</v>
      </c>
      <c r="L800" s="7" t="str">
        <f>VLOOKUP($G800,Mapping!$E$140:$K$2771,5,0)</f>
        <v>Labour</v>
      </c>
      <c r="M800" s="7" t="str">
        <f>VLOOKUP($G800,Mapping!$E$140:$K$2771,7,0)</f>
        <v>ENDirect</v>
      </c>
      <c r="N800" s="7" t="str">
        <f>IFERROR(HLOOKUP(L800,'Calc|Weightings'!$K$5:$M$5,1,0),"Excl")</f>
        <v>Labour</v>
      </c>
      <c r="O800" s="7" t="str">
        <f>VLOOKUP(E800,Mapping!$E$11:$I$96,5,0)</f>
        <v>SCS</v>
      </c>
      <c r="Q800" s="33">
        <v>137</v>
      </c>
      <c r="R800" s="33" t="s">
        <v>2144</v>
      </c>
      <c r="S800" s="33">
        <v>613780</v>
      </c>
      <c r="T800" s="33" t="s">
        <v>1582</v>
      </c>
      <c r="U800" s="34">
        <v>2.15082</v>
      </c>
      <c r="V800" s="7"/>
      <c r="W800" s="7" t="str">
        <f>VLOOKUP($Q800,Mapping!$E$11:$I$96,3,0)</f>
        <v>Metering Capex</v>
      </c>
      <c r="X800" s="7" t="str">
        <f>VLOOKUP($S800,Mapping!$E$140:$K$2771,5,0)</f>
        <v>Labour</v>
      </c>
      <c r="Y800" s="7" t="str">
        <f>VLOOKUP($S800,Mapping!$E$140:$K$2771,7,0)</f>
        <v>ENDirect</v>
      </c>
      <c r="Z800" s="7" t="str">
        <f>IFERROR(HLOOKUP(X800,'Calc|Weightings'!$K$5:$M$5,1,0),"Excl")</f>
        <v>Labour</v>
      </c>
      <c r="AA800" s="7" t="str">
        <f>VLOOKUP(Q800,Mapping!$E$11:$I$96,5,0)</f>
        <v>Metering Services</v>
      </c>
      <c r="AC800" s="111">
        <v>134</v>
      </c>
      <c r="AD800" s="111" t="s">
        <v>2143</v>
      </c>
      <c r="AE800" s="111">
        <v>613773</v>
      </c>
      <c r="AF800" s="111" t="s">
        <v>1576</v>
      </c>
      <c r="AG800" s="112">
        <v>13.45575</v>
      </c>
      <c r="AI800" s="7" t="str">
        <f>VLOOKUP($AC800,Mapping!$E$11:$I$96,3,0)</f>
        <v>Metering Capex</v>
      </c>
      <c r="AJ800" s="7" t="str">
        <f>VLOOKUP($AE800,Mapping!$E$140:$K$2771,5,0)</f>
        <v>Materials</v>
      </c>
      <c r="AK800" s="7" t="str">
        <f>VLOOKUP($AE800,Mapping!$E$140:$K$2771,7,0)</f>
        <v>ENDirect</v>
      </c>
      <c r="AL800" s="7" t="str">
        <f>IFERROR(HLOOKUP(AJ800,'Calc|Weightings'!$K$5:$M$5,1,0),"Excl")</f>
        <v>Materials</v>
      </c>
      <c r="AM800" s="7" t="str">
        <f>VLOOKUP(AC800,Mapping!$E$11:$I$96,5,0)</f>
        <v>Metering Services</v>
      </c>
      <c r="AO800" s="134">
        <v>140</v>
      </c>
      <c r="AP800" s="135" t="s">
        <v>2148</v>
      </c>
      <c r="AQ800" s="135">
        <v>613360</v>
      </c>
      <c r="AR800" s="135" t="s">
        <v>2097</v>
      </c>
      <c r="AS800" s="136">
        <v>1.934E-2</v>
      </c>
      <c r="AU800" s="7" t="str">
        <f>VLOOKUP($AO800,Mapping!$E$11:$I$96,3,0)</f>
        <v>Public lighting Capex</v>
      </c>
      <c r="AV800" s="7" t="str">
        <f>VLOOKUP($AQ800,Mapping!$E$140:$K$2771,5,0)</f>
        <v>Labour</v>
      </c>
      <c r="AW800" s="7" t="str">
        <f>VLOOKUP($AQ800,Mapping!$E$140:$K$2771,7,0)</f>
        <v>ENDirect</v>
      </c>
      <c r="AX800" s="7" t="str">
        <f>IFERROR(HLOOKUP(AV800,'Calc|Weightings'!$K$5:$M$5,1,0),"Excl")</f>
        <v>Labour</v>
      </c>
      <c r="AY800" s="7" t="str">
        <f>VLOOKUP(AO800,Mapping!$E$11:$I$96,5,0)</f>
        <v>Public Lighting</v>
      </c>
    </row>
    <row r="801" spans="1:51" x14ac:dyDescent="0.2">
      <c r="A801" s="7"/>
      <c r="B801" s="7"/>
      <c r="C801" s="7"/>
      <c r="D801" s="7"/>
      <c r="E801" s="36">
        <v>131</v>
      </c>
      <c r="F801" s="36" t="s">
        <v>2139</v>
      </c>
      <c r="G801" s="36">
        <v>613800</v>
      </c>
      <c r="H801" s="36" t="s">
        <v>2142</v>
      </c>
      <c r="I801" s="37">
        <v>-93.483810000000005</v>
      </c>
      <c r="J801" s="7"/>
      <c r="K801" s="7" t="str">
        <f>VLOOKUP($E801,Mapping!$E$11:$I$96,3,0)</f>
        <v>Replacement</v>
      </c>
      <c r="L801" s="7" t="str">
        <f>VLOOKUP($G801,Mapping!$E$140:$K$2771,5,0)</f>
        <v>Materials</v>
      </c>
      <c r="M801" s="7" t="str">
        <f>VLOOKUP($G801,Mapping!$E$140:$K$2771,7,0)</f>
        <v>ENDirect</v>
      </c>
      <c r="N801" s="7" t="str">
        <f>IFERROR(HLOOKUP(L801,'Calc|Weightings'!$K$5:$M$5,1,0),"Excl")</f>
        <v>Materials</v>
      </c>
      <c r="O801" s="7" t="str">
        <f>VLOOKUP(E801,Mapping!$E$11:$I$96,5,0)</f>
        <v>SCS</v>
      </c>
      <c r="Q801" s="33">
        <v>137</v>
      </c>
      <c r="R801" s="33" t="s">
        <v>2144</v>
      </c>
      <c r="S801" s="33">
        <v>613782</v>
      </c>
      <c r="T801" s="33" t="s">
        <v>1583</v>
      </c>
      <c r="U801" s="34">
        <v>0.84601999999999999</v>
      </c>
      <c r="V801" s="7"/>
      <c r="W801" s="7" t="str">
        <f>VLOOKUP($Q801,Mapping!$E$11:$I$96,3,0)</f>
        <v>Metering Capex</v>
      </c>
      <c r="X801" s="7" t="str">
        <f>VLOOKUP($S801,Mapping!$E$140:$K$2771,5,0)</f>
        <v>Labour</v>
      </c>
      <c r="Y801" s="7" t="str">
        <f>VLOOKUP($S801,Mapping!$E$140:$K$2771,7,0)</f>
        <v>ENDirect</v>
      </c>
      <c r="Z801" s="7" t="str">
        <f>IFERROR(HLOOKUP(X801,'Calc|Weightings'!$K$5:$M$5,1,0),"Excl")</f>
        <v>Labour</v>
      </c>
      <c r="AA801" s="7" t="str">
        <f>VLOOKUP(Q801,Mapping!$E$11:$I$96,5,0)</f>
        <v>Metering Services</v>
      </c>
      <c r="AC801" s="111">
        <v>134</v>
      </c>
      <c r="AD801" s="111" t="s">
        <v>2143</v>
      </c>
      <c r="AE801" s="111">
        <v>613774</v>
      </c>
      <c r="AF801" s="111" t="s">
        <v>1577</v>
      </c>
      <c r="AG801" s="112">
        <v>1.7475000000000001</v>
      </c>
      <c r="AI801" s="7" t="str">
        <f>VLOOKUP($AC801,Mapping!$E$11:$I$96,3,0)</f>
        <v>Metering Capex</v>
      </c>
      <c r="AJ801" s="7" t="str">
        <f>VLOOKUP($AE801,Mapping!$E$140:$K$2771,5,0)</f>
        <v>Materials</v>
      </c>
      <c r="AK801" s="7" t="str">
        <f>VLOOKUP($AE801,Mapping!$E$140:$K$2771,7,0)</f>
        <v>ENDirect</v>
      </c>
      <c r="AL801" s="7" t="str">
        <f>IFERROR(HLOOKUP(AJ801,'Calc|Weightings'!$K$5:$M$5,1,0),"Excl")</f>
        <v>Materials</v>
      </c>
      <c r="AM801" s="7" t="str">
        <f>VLOOKUP(AC801,Mapping!$E$11:$I$96,5,0)</f>
        <v>Metering Services</v>
      </c>
      <c r="AO801" s="134">
        <v>140</v>
      </c>
      <c r="AP801" s="135" t="s">
        <v>2148</v>
      </c>
      <c r="AQ801" s="135">
        <v>613370</v>
      </c>
      <c r="AR801" s="135" t="s">
        <v>1402</v>
      </c>
      <c r="AS801" s="136">
        <v>7.6400000000000001E-3</v>
      </c>
      <c r="AU801" s="7" t="str">
        <f>VLOOKUP($AO801,Mapping!$E$11:$I$96,3,0)</f>
        <v>Public lighting Capex</v>
      </c>
      <c r="AV801" s="7" t="str">
        <f>VLOOKUP($AQ801,Mapping!$E$140:$K$2771,5,0)</f>
        <v>Labour</v>
      </c>
      <c r="AW801" s="7" t="str">
        <f>VLOOKUP($AQ801,Mapping!$E$140:$K$2771,7,0)</f>
        <v>ENDirect</v>
      </c>
      <c r="AX801" s="7" t="str">
        <f>IFERROR(HLOOKUP(AV801,'Calc|Weightings'!$K$5:$M$5,1,0),"Excl")</f>
        <v>Labour</v>
      </c>
      <c r="AY801" s="7" t="str">
        <f>VLOOKUP(AO801,Mapping!$E$11:$I$96,5,0)</f>
        <v>Public Lighting</v>
      </c>
    </row>
    <row r="802" spans="1:51" x14ac:dyDescent="0.2">
      <c r="A802" s="7"/>
      <c r="B802" s="7"/>
      <c r="C802" s="7"/>
      <c r="D802" s="7"/>
      <c r="E802" s="36">
        <v>131</v>
      </c>
      <c r="F802" s="36" t="s">
        <v>2139</v>
      </c>
      <c r="G802" s="36">
        <v>633000</v>
      </c>
      <c r="H802" s="36" t="s">
        <v>2202</v>
      </c>
      <c r="I802" s="37">
        <v>409.47054000000003</v>
      </c>
      <c r="J802" s="7"/>
      <c r="K802" s="7" t="str">
        <f>VLOOKUP($E802,Mapping!$E$11:$I$96,3,0)</f>
        <v>Replacement</v>
      </c>
      <c r="L802" s="7" t="str">
        <f>VLOOKUP($G802,Mapping!$E$140:$K$2771,5,0)</f>
        <v>Contracts</v>
      </c>
      <c r="M802" s="7" t="str">
        <f>VLOOKUP($G802,Mapping!$E$140:$K$2771,7,0)</f>
        <v>OH</v>
      </c>
      <c r="N802" s="7" t="str">
        <f>IFERROR(HLOOKUP(L802,'Calc|Weightings'!$K$5:$M$5,1,0),"Excl")</f>
        <v>Contracts</v>
      </c>
      <c r="O802" s="7" t="str">
        <f>VLOOKUP(E802,Mapping!$E$11:$I$96,5,0)</f>
        <v>SCS</v>
      </c>
      <c r="Q802" s="33">
        <v>137</v>
      </c>
      <c r="R802" s="33" t="s">
        <v>2144</v>
      </c>
      <c r="S802" s="33">
        <v>613783</v>
      </c>
      <c r="T802" s="33" t="s">
        <v>1584</v>
      </c>
      <c r="U802" s="34">
        <v>7.6180500000000002</v>
      </c>
      <c r="V802" s="7"/>
      <c r="W802" s="7" t="str">
        <f>VLOOKUP($Q802,Mapping!$E$11:$I$96,3,0)</f>
        <v>Metering Capex</v>
      </c>
      <c r="X802" s="7" t="str">
        <f>VLOOKUP($S802,Mapping!$E$140:$K$2771,5,0)</f>
        <v>Labour</v>
      </c>
      <c r="Y802" s="7" t="str">
        <f>VLOOKUP($S802,Mapping!$E$140:$K$2771,7,0)</f>
        <v>ENDirect</v>
      </c>
      <c r="Z802" s="7" t="str">
        <f>IFERROR(HLOOKUP(X802,'Calc|Weightings'!$K$5:$M$5,1,0),"Excl")</f>
        <v>Labour</v>
      </c>
      <c r="AA802" s="7" t="str">
        <f>VLOOKUP(Q802,Mapping!$E$11:$I$96,5,0)</f>
        <v>Metering Services</v>
      </c>
      <c r="AC802" s="111">
        <v>134</v>
      </c>
      <c r="AD802" s="111" t="s">
        <v>2143</v>
      </c>
      <c r="AE802" s="111">
        <v>613775</v>
      </c>
      <c r="AF802" s="111" t="s">
        <v>1578</v>
      </c>
      <c r="AG802" s="112">
        <v>2.9707499999999998</v>
      </c>
      <c r="AI802" s="7" t="str">
        <f>VLOOKUP($AC802,Mapping!$E$11:$I$96,3,0)</f>
        <v>Metering Capex</v>
      </c>
      <c r="AJ802" s="7" t="str">
        <f>VLOOKUP($AE802,Mapping!$E$140:$K$2771,5,0)</f>
        <v>Materials</v>
      </c>
      <c r="AK802" s="7" t="str">
        <f>VLOOKUP($AE802,Mapping!$E$140:$K$2771,7,0)</f>
        <v>ENDirect</v>
      </c>
      <c r="AL802" s="7" t="str">
        <f>IFERROR(HLOOKUP(AJ802,'Calc|Weightings'!$K$5:$M$5,1,0),"Excl")</f>
        <v>Materials</v>
      </c>
      <c r="AM802" s="7" t="str">
        <f>VLOOKUP(AC802,Mapping!$E$11:$I$96,5,0)</f>
        <v>Metering Services</v>
      </c>
      <c r="AO802" s="134">
        <v>140</v>
      </c>
      <c r="AP802" s="135" t="s">
        <v>2148</v>
      </c>
      <c r="AQ802" s="135">
        <v>613390</v>
      </c>
      <c r="AR802" s="135" t="s">
        <v>2141</v>
      </c>
      <c r="AS802" s="136">
        <v>-9.9562399999999993</v>
      </c>
      <c r="AU802" s="7" t="str">
        <f>VLOOKUP($AO802,Mapping!$E$11:$I$96,3,0)</f>
        <v>Public lighting Capex</v>
      </c>
      <c r="AV802" s="7" t="str">
        <f>VLOOKUP($AQ802,Mapping!$E$140:$K$2771,5,0)</f>
        <v>Contracts</v>
      </c>
      <c r="AW802" s="7" t="str">
        <f>VLOOKUP($AQ802,Mapping!$E$140:$K$2771,7,0)</f>
        <v>ENDirect</v>
      </c>
      <c r="AX802" s="7" t="str">
        <f>IFERROR(HLOOKUP(AV802,'Calc|Weightings'!$K$5:$M$5,1,0),"Excl")</f>
        <v>Contracts</v>
      </c>
      <c r="AY802" s="7" t="str">
        <f>VLOOKUP(AO802,Mapping!$E$11:$I$96,5,0)</f>
        <v>Public Lighting</v>
      </c>
    </row>
    <row r="803" spans="1:51" x14ac:dyDescent="0.2">
      <c r="A803" s="7"/>
      <c r="B803" s="7"/>
      <c r="C803" s="7"/>
      <c r="D803" s="7"/>
      <c r="E803" s="36">
        <v>131</v>
      </c>
      <c r="F803" s="36" t="s">
        <v>2139</v>
      </c>
      <c r="G803" s="36">
        <v>634001</v>
      </c>
      <c r="H803" s="36" t="s">
        <v>2110</v>
      </c>
      <c r="I803" s="37">
        <v>169.92178000000001</v>
      </c>
      <c r="J803" s="7"/>
      <c r="K803" s="7" t="str">
        <f>VLOOKUP($E803,Mapping!$E$11:$I$96,3,0)</f>
        <v>Replacement</v>
      </c>
      <c r="L803" s="7" t="str">
        <f>VLOOKUP($G803,Mapping!$E$140:$K$2771,5,0)</f>
        <v>Local OH</v>
      </c>
      <c r="M803" s="7" t="str">
        <f>VLOOKUP($G803,Mapping!$E$140:$K$2771,7,0)</f>
        <v>OH</v>
      </c>
      <c r="N803" s="7" t="str">
        <f>IFERROR(HLOOKUP(L803,'Calc|Weightings'!$K$5:$M$5,1,0),"Excl")</f>
        <v>Excl</v>
      </c>
      <c r="O803" s="7" t="str">
        <f>VLOOKUP(E803,Mapping!$E$11:$I$96,5,0)</f>
        <v>SCS</v>
      </c>
      <c r="Q803" s="33">
        <v>137</v>
      </c>
      <c r="R803" s="33" t="s">
        <v>2144</v>
      </c>
      <c r="S803" s="33">
        <v>613846</v>
      </c>
      <c r="T803" s="33" t="s">
        <v>847</v>
      </c>
      <c r="U803" s="34">
        <v>11.061360000000001</v>
      </c>
      <c r="V803" s="7"/>
      <c r="W803" s="7" t="str">
        <f>VLOOKUP($Q803,Mapping!$E$11:$I$96,3,0)</f>
        <v>Metering Capex</v>
      </c>
      <c r="X803" s="7" t="str">
        <f>VLOOKUP($S803,Mapping!$E$140:$K$2771,5,0)</f>
        <v>Labour</v>
      </c>
      <c r="Y803" s="7" t="str">
        <f>VLOOKUP($S803,Mapping!$E$140:$K$2771,7,0)</f>
        <v>ENDirect</v>
      </c>
      <c r="Z803" s="7" t="str">
        <f>IFERROR(HLOOKUP(X803,'Calc|Weightings'!$K$5:$M$5,1,0),"Excl")</f>
        <v>Labour</v>
      </c>
      <c r="AA803" s="7" t="str">
        <f>VLOOKUP(Q803,Mapping!$E$11:$I$96,5,0)</f>
        <v>Metering Services</v>
      </c>
      <c r="AC803" s="111">
        <v>134</v>
      </c>
      <c r="AD803" s="111" t="s">
        <v>2143</v>
      </c>
      <c r="AE803" s="111">
        <v>613776</v>
      </c>
      <c r="AF803" s="111" t="s">
        <v>1579</v>
      </c>
      <c r="AG803" s="112">
        <v>19.39058</v>
      </c>
      <c r="AI803" s="7" t="str">
        <f>VLOOKUP($AC803,Mapping!$E$11:$I$96,3,0)</f>
        <v>Metering Capex</v>
      </c>
      <c r="AJ803" s="7" t="str">
        <f>VLOOKUP($AE803,Mapping!$E$140:$K$2771,5,0)</f>
        <v>Materials</v>
      </c>
      <c r="AK803" s="7" t="str">
        <f>VLOOKUP($AE803,Mapping!$E$140:$K$2771,7,0)</f>
        <v>ENDirect</v>
      </c>
      <c r="AL803" s="7" t="str">
        <f>IFERROR(HLOOKUP(AJ803,'Calc|Weightings'!$K$5:$M$5,1,0),"Excl")</f>
        <v>Materials</v>
      </c>
      <c r="AM803" s="7" t="str">
        <f>VLOOKUP(AC803,Mapping!$E$11:$I$96,5,0)</f>
        <v>Metering Services</v>
      </c>
      <c r="AO803" s="134">
        <v>140</v>
      </c>
      <c r="AP803" s="135" t="s">
        <v>2148</v>
      </c>
      <c r="AQ803" s="135">
        <v>613400</v>
      </c>
      <c r="AR803" s="135" t="s">
        <v>2099</v>
      </c>
      <c r="AS803" s="136">
        <v>24.529119999999999</v>
      </c>
      <c r="AU803" s="7" t="str">
        <f>VLOOKUP($AO803,Mapping!$E$11:$I$96,3,0)</f>
        <v>Public lighting Capex</v>
      </c>
      <c r="AV803" s="7" t="str">
        <f>VLOOKUP($AQ803,Mapping!$E$140:$K$2771,5,0)</f>
        <v>Labour</v>
      </c>
      <c r="AW803" s="7" t="str">
        <f>VLOOKUP($AQ803,Mapping!$E$140:$K$2771,7,0)</f>
        <v>ENDirect</v>
      </c>
      <c r="AX803" s="7" t="str">
        <f>IFERROR(HLOOKUP(AV803,'Calc|Weightings'!$K$5:$M$5,1,0),"Excl")</f>
        <v>Labour</v>
      </c>
      <c r="AY803" s="7" t="str">
        <f>VLOOKUP(AO803,Mapping!$E$11:$I$96,5,0)</f>
        <v>Public Lighting</v>
      </c>
    </row>
    <row r="804" spans="1:51" x14ac:dyDescent="0.2">
      <c r="A804" s="7"/>
      <c r="B804" s="7"/>
      <c r="C804" s="7"/>
      <c r="D804" s="7"/>
      <c r="E804" s="36">
        <v>131</v>
      </c>
      <c r="F804" s="36" t="s">
        <v>2139</v>
      </c>
      <c r="G804" s="36">
        <v>635001</v>
      </c>
      <c r="H804" s="36" t="s">
        <v>1929</v>
      </c>
      <c r="I804" s="37">
        <v>155.33869000000001</v>
      </c>
      <c r="J804" s="7"/>
      <c r="K804" s="7" t="str">
        <f>VLOOKUP($E804,Mapping!$E$11:$I$96,3,0)</f>
        <v>Replacement</v>
      </c>
      <c r="L804" s="7" t="str">
        <f>VLOOKUP($G804,Mapping!$E$140:$K$2771,5,0)</f>
        <v>PNS MG</v>
      </c>
      <c r="M804" s="7" t="str">
        <f>VLOOKUP($G804,Mapping!$E$140:$K$2771,7,0)</f>
        <v>ENDirect</v>
      </c>
      <c r="N804" s="7" t="str">
        <f>IFERROR(HLOOKUP(L804,'Calc|Weightings'!$K$5:$M$5,1,0),"Excl")</f>
        <v>Excl</v>
      </c>
      <c r="O804" s="7" t="str">
        <f>VLOOKUP(E804,Mapping!$E$11:$I$96,5,0)</f>
        <v>SCS</v>
      </c>
      <c r="Q804" s="33">
        <v>137</v>
      </c>
      <c r="R804" s="33" t="s">
        <v>2144</v>
      </c>
      <c r="S804" s="33">
        <v>613847</v>
      </c>
      <c r="T804" s="33" t="s">
        <v>1605</v>
      </c>
      <c r="U804" s="34">
        <v>1.2290399999999999</v>
      </c>
      <c r="V804" s="7"/>
      <c r="W804" s="7" t="str">
        <f>VLOOKUP($Q804,Mapping!$E$11:$I$96,3,0)</f>
        <v>Metering Capex</v>
      </c>
      <c r="X804" s="7" t="str">
        <f>VLOOKUP($S804,Mapping!$E$140:$K$2771,5,0)</f>
        <v>Labour</v>
      </c>
      <c r="Y804" s="7" t="str">
        <f>VLOOKUP($S804,Mapping!$E$140:$K$2771,7,0)</f>
        <v>ENDirect</v>
      </c>
      <c r="Z804" s="7" t="str">
        <f>IFERROR(HLOOKUP(X804,'Calc|Weightings'!$K$5:$M$5,1,0),"Excl")</f>
        <v>Labour</v>
      </c>
      <c r="AA804" s="7" t="str">
        <f>VLOOKUP(Q804,Mapping!$E$11:$I$96,5,0)</f>
        <v>Metering Services</v>
      </c>
      <c r="AC804" s="111">
        <v>134</v>
      </c>
      <c r="AD804" s="111" t="s">
        <v>2143</v>
      </c>
      <c r="AE804" s="111">
        <v>613779</v>
      </c>
      <c r="AF804" s="111" t="s">
        <v>1581</v>
      </c>
      <c r="AG804" s="112">
        <v>0.48193000000000003</v>
      </c>
      <c r="AI804" s="7" t="str">
        <f>VLOOKUP($AC804,Mapping!$E$11:$I$96,3,0)</f>
        <v>Metering Capex</v>
      </c>
      <c r="AJ804" s="7" t="str">
        <f>VLOOKUP($AE804,Mapping!$E$140:$K$2771,5,0)</f>
        <v>Materials</v>
      </c>
      <c r="AK804" s="7" t="str">
        <f>VLOOKUP($AE804,Mapping!$E$140:$K$2771,7,0)</f>
        <v>ENDirect</v>
      </c>
      <c r="AL804" s="7" t="str">
        <f>IFERROR(HLOOKUP(AJ804,'Calc|Weightings'!$K$5:$M$5,1,0),"Excl")</f>
        <v>Materials</v>
      </c>
      <c r="AM804" s="7" t="str">
        <f>VLOOKUP(AC804,Mapping!$E$11:$I$96,5,0)</f>
        <v>Metering Services</v>
      </c>
      <c r="AO804" s="134">
        <v>140</v>
      </c>
      <c r="AP804" s="135" t="s">
        <v>2148</v>
      </c>
      <c r="AQ804" s="135">
        <v>613401</v>
      </c>
      <c r="AR804" s="135" t="s">
        <v>2117</v>
      </c>
      <c r="AS804" s="136">
        <v>1.29904</v>
      </c>
      <c r="AU804" s="7" t="str">
        <f>VLOOKUP($AO804,Mapping!$E$11:$I$96,3,0)</f>
        <v>Public lighting Capex</v>
      </c>
      <c r="AV804" s="7" t="str">
        <f>VLOOKUP($AQ804,Mapping!$E$140:$K$2771,5,0)</f>
        <v>Labour</v>
      </c>
      <c r="AW804" s="7" t="str">
        <f>VLOOKUP($AQ804,Mapping!$E$140:$K$2771,7,0)</f>
        <v>ENDirect</v>
      </c>
      <c r="AX804" s="7" t="str">
        <f>IFERROR(HLOOKUP(AV804,'Calc|Weightings'!$K$5:$M$5,1,0),"Excl")</f>
        <v>Labour</v>
      </c>
      <c r="AY804" s="7" t="str">
        <f>VLOOKUP(AO804,Mapping!$E$11:$I$96,5,0)</f>
        <v>Public Lighting</v>
      </c>
    </row>
    <row r="805" spans="1:51" x14ac:dyDescent="0.2">
      <c r="A805" s="7"/>
      <c r="B805" s="7"/>
      <c r="C805" s="7"/>
      <c r="D805" s="7"/>
      <c r="E805" s="36">
        <v>131</v>
      </c>
      <c r="F805" s="36" t="s">
        <v>2139</v>
      </c>
      <c r="G805" s="36">
        <v>636001</v>
      </c>
      <c r="H805" s="36" t="s">
        <v>2111</v>
      </c>
      <c r="I805" s="37">
        <v>59.58999</v>
      </c>
      <c r="J805" s="7"/>
      <c r="K805" s="7" t="str">
        <f>VLOOKUP($E805,Mapping!$E$11:$I$96,3,0)</f>
        <v>Replacement</v>
      </c>
      <c r="L805" s="7" t="str">
        <f>VLOOKUP($G805,Mapping!$E$140:$K$2771,5,0)</f>
        <v>System Control OH</v>
      </c>
      <c r="M805" s="7" t="str">
        <f>VLOOKUP($G805,Mapping!$E$140:$K$2771,7,0)</f>
        <v>OH</v>
      </c>
      <c r="N805" s="7" t="str">
        <f>IFERROR(HLOOKUP(L805,'Calc|Weightings'!$K$5:$M$5,1,0),"Excl")</f>
        <v>Excl</v>
      </c>
      <c r="O805" s="7" t="str">
        <f>VLOOKUP(E805,Mapping!$E$11:$I$96,5,0)</f>
        <v>SCS</v>
      </c>
      <c r="Q805" s="33">
        <v>137</v>
      </c>
      <c r="R805" s="33" t="s">
        <v>2144</v>
      </c>
      <c r="S805" s="33">
        <v>613848</v>
      </c>
      <c r="T805" s="33" t="s">
        <v>849</v>
      </c>
      <c r="U805" s="34">
        <v>12.379379999999999</v>
      </c>
      <c r="V805" s="7"/>
      <c r="W805" s="7" t="str">
        <f>VLOOKUP($Q805,Mapping!$E$11:$I$96,3,0)</f>
        <v>Metering Capex</v>
      </c>
      <c r="X805" s="7" t="str">
        <f>VLOOKUP($S805,Mapping!$E$140:$K$2771,5,0)</f>
        <v>Labour</v>
      </c>
      <c r="Y805" s="7" t="str">
        <f>VLOOKUP($S805,Mapping!$E$140:$K$2771,7,0)</f>
        <v>ENDirect</v>
      </c>
      <c r="Z805" s="7" t="str">
        <f>IFERROR(HLOOKUP(X805,'Calc|Weightings'!$K$5:$M$5,1,0),"Excl")</f>
        <v>Labour</v>
      </c>
      <c r="AA805" s="7" t="str">
        <f>VLOOKUP(Q805,Mapping!$E$11:$I$96,5,0)</f>
        <v>Metering Services</v>
      </c>
      <c r="AC805" s="111">
        <v>134</v>
      </c>
      <c r="AD805" s="111" t="s">
        <v>2143</v>
      </c>
      <c r="AE805" s="111">
        <v>613809</v>
      </c>
      <c r="AF805" s="111" t="s">
        <v>664</v>
      </c>
      <c r="AG805" s="112">
        <v>13.106249999999999</v>
      </c>
      <c r="AI805" s="7" t="str">
        <f>VLOOKUP($AC805,Mapping!$E$11:$I$96,3,0)</f>
        <v>Metering Capex</v>
      </c>
      <c r="AJ805" s="7" t="str">
        <f>VLOOKUP($AE805,Mapping!$E$140:$K$2771,5,0)</f>
        <v>Materials</v>
      </c>
      <c r="AK805" s="7" t="str">
        <f>VLOOKUP($AE805,Mapping!$E$140:$K$2771,7,0)</f>
        <v>ENDirect</v>
      </c>
      <c r="AL805" s="7" t="str">
        <f>IFERROR(HLOOKUP(AJ805,'Calc|Weightings'!$K$5:$M$5,1,0),"Excl")</f>
        <v>Materials</v>
      </c>
      <c r="AM805" s="7" t="str">
        <f>VLOOKUP(AC805,Mapping!$E$11:$I$96,5,0)</f>
        <v>Metering Services</v>
      </c>
      <c r="AO805" s="134">
        <v>140</v>
      </c>
      <c r="AP805" s="135" t="s">
        <v>2148</v>
      </c>
      <c r="AQ805" s="135">
        <v>613410</v>
      </c>
      <c r="AR805" s="135" t="s">
        <v>2100</v>
      </c>
      <c r="AS805" s="136">
        <v>23.88984</v>
      </c>
      <c r="AU805" s="7" t="str">
        <f>VLOOKUP($AO805,Mapping!$E$11:$I$96,3,0)</f>
        <v>Public lighting Capex</v>
      </c>
      <c r="AV805" s="7" t="str">
        <f>VLOOKUP($AQ805,Mapping!$E$140:$K$2771,5,0)</f>
        <v>Labour</v>
      </c>
      <c r="AW805" s="7" t="str">
        <f>VLOOKUP($AQ805,Mapping!$E$140:$K$2771,7,0)</f>
        <v>ENDirect</v>
      </c>
      <c r="AX805" s="7" t="str">
        <f>IFERROR(HLOOKUP(AV805,'Calc|Weightings'!$K$5:$M$5,1,0),"Excl")</f>
        <v>Labour</v>
      </c>
      <c r="AY805" s="7" t="str">
        <f>VLOOKUP(AO805,Mapping!$E$11:$I$96,5,0)</f>
        <v>Public Lighting</v>
      </c>
    </row>
    <row r="806" spans="1:51" x14ac:dyDescent="0.2">
      <c r="A806" s="7"/>
      <c r="B806" s="7"/>
      <c r="C806" s="7"/>
      <c r="D806" s="7"/>
      <c r="E806" s="36">
        <v>131</v>
      </c>
      <c r="F806" s="36" t="s">
        <v>2139</v>
      </c>
      <c r="G806" s="36">
        <v>639000</v>
      </c>
      <c r="H806" s="36" t="s">
        <v>2112</v>
      </c>
      <c r="I806" s="37">
        <v>142.32494</v>
      </c>
      <c r="J806" s="7"/>
      <c r="K806" s="7" t="str">
        <f>VLOOKUP($E806,Mapping!$E$11:$I$96,3,0)</f>
        <v>Replacement</v>
      </c>
      <c r="L806" s="7" t="str">
        <f>VLOOKUP($G806,Mapping!$E$140:$K$2771,5,0)</f>
        <v>PNS Corporate OH</v>
      </c>
      <c r="M806" s="7" t="str">
        <f>VLOOKUP($G806,Mapping!$E$140:$K$2771,7,0)</f>
        <v>OH</v>
      </c>
      <c r="N806" s="7" t="str">
        <f>IFERROR(HLOOKUP(L806,'Calc|Weightings'!$K$5:$M$5,1,0),"Excl")</f>
        <v>Excl</v>
      </c>
      <c r="O806" s="7" t="str">
        <f>VLOOKUP(E806,Mapping!$E$11:$I$96,5,0)</f>
        <v>SCS</v>
      </c>
      <c r="Q806" s="33">
        <v>137</v>
      </c>
      <c r="R806" s="33" t="s">
        <v>2144</v>
      </c>
      <c r="S806" s="33">
        <v>613858</v>
      </c>
      <c r="T806" s="33" t="s">
        <v>858</v>
      </c>
      <c r="U806" s="34">
        <v>0.55945999999999996</v>
      </c>
      <c r="V806" s="7"/>
      <c r="W806" s="7" t="str">
        <f>VLOOKUP($Q806,Mapping!$E$11:$I$96,3,0)</f>
        <v>Metering Capex</v>
      </c>
      <c r="X806" s="7" t="str">
        <f>VLOOKUP($S806,Mapping!$E$140:$K$2771,5,0)</f>
        <v>Labour</v>
      </c>
      <c r="Y806" s="7" t="str">
        <f>VLOOKUP($S806,Mapping!$E$140:$K$2771,7,0)</f>
        <v>ENDirect</v>
      </c>
      <c r="Z806" s="7" t="str">
        <f>IFERROR(HLOOKUP(X806,'Calc|Weightings'!$K$5:$M$5,1,0),"Excl")</f>
        <v>Labour</v>
      </c>
      <c r="AA806" s="7" t="str">
        <f>VLOOKUP(Q806,Mapping!$E$11:$I$96,5,0)</f>
        <v>Metering Services</v>
      </c>
      <c r="AC806" s="111">
        <v>134</v>
      </c>
      <c r="AD806" s="111" t="s">
        <v>2143</v>
      </c>
      <c r="AE806" s="111">
        <v>613811</v>
      </c>
      <c r="AF806" s="111" t="s">
        <v>666</v>
      </c>
      <c r="AG806" s="112">
        <v>132.44131999999999</v>
      </c>
      <c r="AI806" s="7" t="str">
        <f>VLOOKUP($AC806,Mapping!$E$11:$I$96,3,0)</f>
        <v>Metering Capex</v>
      </c>
      <c r="AJ806" s="7" t="str">
        <f>VLOOKUP($AE806,Mapping!$E$140:$K$2771,5,0)</f>
        <v>Materials</v>
      </c>
      <c r="AK806" s="7" t="str">
        <f>VLOOKUP($AE806,Mapping!$E$140:$K$2771,7,0)</f>
        <v>ENDirect</v>
      </c>
      <c r="AL806" s="7" t="str">
        <f>IFERROR(HLOOKUP(AJ806,'Calc|Weightings'!$K$5:$M$5,1,0),"Excl")</f>
        <v>Materials</v>
      </c>
      <c r="AM806" s="7" t="str">
        <f>VLOOKUP(AC806,Mapping!$E$11:$I$96,5,0)</f>
        <v>Metering Services</v>
      </c>
      <c r="AO806" s="134">
        <v>140</v>
      </c>
      <c r="AP806" s="135" t="s">
        <v>2148</v>
      </c>
      <c r="AQ806" s="135">
        <v>613411</v>
      </c>
      <c r="AR806" s="135" t="s">
        <v>2101</v>
      </c>
      <c r="AS806" s="136">
        <v>0.70552000000000004</v>
      </c>
      <c r="AU806" s="7" t="str">
        <f>VLOOKUP($AO806,Mapping!$E$11:$I$96,3,0)</f>
        <v>Public lighting Capex</v>
      </c>
      <c r="AV806" s="7" t="str">
        <f>VLOOKUP($AQ806,Mapping!$E$140:$K$2771,5,0)</f>
        <v>Labour</v>
      </c>
      <c r="AW806" s="7" t="str">
        <f>VLOOKUP($AQ806,Mapping!$E$140:$K$2771,7,0)</f>
        <v>ENDirect</v>
      </c>
      <c r="AX806" s="7" t="str">
        <f>IFERROR(HLOOKUP(AV806,'Calc|Weightings'!$K$5:$M$5,1,0),"Excl")</f>
        <v>Labour</v>
      </c>
      <c r="AY806" s="7" t="str">
        <f>VLOOKUP(AO806,Mapping!$E$11:$I$96,5,0)</f>
        <v>Public Lighting</v>
      </c>
    </row>
    <row r="807" spans="1:51" x14ac:dyDescent="0.2">
      <c r="A807" s="7"/>
      <c r="B807" s="7"/>
      <c r="C807" s="7"/>
      <c r="D807" s="7"/>
      <c r="E807" s="36">
        <v>131</v>
      </c>
      <c r="F807" s="36" t="s">
        <v>2139</v>
      </c>
      <c r="G807" s="36">
        <v>639050</v>
      </c>
      <c r="H807" s="36" t="s">
        <v>2113</v>
      </c>
      <c r="I807" s="37">
        <v>91.527860000000004</v>
      </c>
      <c r="J807" s="7"/>
      <c r="K807" s="7" t="str">
        <f>VLOOKUP($E807,Mapping!$E$11:$I$96,3,0)</f>
        <v>Replacement</v>
      </c>
      <c r="L807" s="7" t="str">
        <f>VLOOKUP($G807,Mapping!$E$140:$K$2771,5,0)</f>
        <v>PNS Fleet &amp; Property OH</v>
      </c>
      <c r="M807" s="7" t="str">
        <f>VLOOKUP($G807,Mapping!$E$140:$K$2771,7,0)</f>
        <v>OH</v>
      </c>
      <c r="N807" s="7" t="str">
        <f>IFERROR(HLOOKUP(L807,'Calc|Weightings'!$K$5:$M$5,1,0),"Excl")</f>
        <v>Excl</v>
      </c>
      <c r="O807" s="7" t="str">
        <f>VLOOKUP(E807,Mapping!$E$11:$I$96,5,0)</f>
        <v>SCS</v>
      </c>
      <c r="Q807" s="33">
        <v>137</v>
      </c>
      <c r="R807" s="33" t="s">
        <v>2144</v>
      </c>
      <c r="S807" s="33">
        <v>613860</v>
      </c>
      <c r="T807" s="33" t="s">
        <v>860</v>
      </c>
      <c r="U807" s="34">
        <v>4.25936</v>
      </c>
      <c r="V807" s="7"/>
      <c r="W807" s="7" t="str">
        <f>VLOOKUP($Q807,Mapping!$E$11:$I$96,3,0)</f>
        <v>Metering Capex</v>
      </c>
      <c r="X807" s="7" t="str">
        <f>VLOOKUP($S807,Mapping!$E$140:$K$2771,5,0)</f>
        <v>Labour</v>
      </c>
      <c r="Y807" s="7" t="str">
        <f>VLOOKUP($S807,Mapping!$E$140:$K$2771,7,0)</f>
        <v>ENDirect</v>
      </c>
      <c r="Z807" s="7" t="str">
        <f>IFERROR(HLOOKUP(X807,'Calc|Weightings'!$K$5:$M$5,1,0),"Excl")</f>
        <v>Labour</v>
      </c>
      <c r="AA807" s="7" t="str">
        <f>VLOOKUP(Q807,Mapping!$E$11:$I$96,5,0)</f>
        <v>Metering Services</v>
      </c>
      <c r="AC807" s="111">
        <v>134</v>
      </c>
      <c r="AD807" s="111" t="s">
        <v>2143</v>
      </c>
      <c r="AE807" s="111">
        <v>613813</v>
      </c>
      <c r="AF807" s="111" t="s">
        <v>668</v>
      </c>
      <c r="AG807" s="112">
        <v>19.277200000000001</v>
      </c>
      <c r="AI807" s="7" t="str">
        <f>VLOOKUP($AC807,Mapping!$E$11:$I$96,3,0)</f>
        <v>Metering Capex</v>
      </c>
      <c r="AJ807" s="7" t="str">
        <f>VLOOKUP($AE807,Mapping!$E$140:$K$2771,5,0)</f>
        <v>Materials</v>
      </c>
      <c r="AK807" s="7" t="str">
        <f>VLOOKUP($AE807,Mapping!$E$140:$K$2771,7,0)</f>
        <v>ENDirect</v>
      </c>
      <c r="AL807" s="7" t="str">
        <f>IFERROR(HLOOKUP(AJ807,'Calc|Weightings'!$K$5:$M$5,1,0),"Excl")</f>
        <v>Materials</v>
      </c>
      <c r="AM807" s="7" t="str">
        <f>VLOOKUP(AC807,Mapping!$E$11:$I$96,5,0)</f>
        <v>Metering Services</v>
      </c>
      <c r="AO807" s="134">
        <v>140</v>
      </c>
      <c r="AP807" s="135" t="s">
        <v>2148</v>
      </c>
      <c r="AQ807" s="135">
        <v>613440</v>
      </c>
      <c r="AR807" s="135" t="s">
        <v>2103</v>
      </c>
      <c r="AS807" s="136">
        <v>1.1095600000000001</v>
      </c>
      <c r="AU807" s="7" t="str">
        <f>VLOOKUP($AO807,Mapping!$E$11:$I$96,3,0)</f>
        <v>Public lighting Capex</v>
      </c>
      <c r="AV807" s="7" t="str">
        <f>VLOOKUP($AQ807,Mapping!$E$140:$K$2771,5,0)</f>
        <v>Labour</v>
      </c>
      <c r="AW807" s="7" t="str">
        <f>VLOOKUP($AQ807,Mapping!$E$140:$K$2771,7,0)</f>
        <v>ENDirect</v>
      </c>
      <c r="AX807" s="7" t="str">
        <f>IFERROR(HLOOKUP(AV807,'Calc|Weightings'!$K$5:$M$5,1,0),"Excl")</f>
        <v>Labour</v>
      </c>
      <c r="AY807" s="7" t="str">
        <f>VLOOKUP(AO807,Mapping!$E$11:$I$96,5,0)</f>
        <v>Public Lighting</v>
      </c>
    </row>
    <row r="808" spans="1:51" x14ac:dyDescent="0.2">
      <c r="A808" s="7"/>
      <c r="B808" s="7"/>
      <c r="C808" s="7"/>
      <c r="D808" s="7"/>
      <c r="E808" s="36">
        <v>134</v>
      </c>
      <c r="F808" s="36" t="s">
        <v>2143</v>
      </c>
      <c r="G808" s="36">
        <v>624631</v>
      </c>
      <c r="H808" s="36" t="s">
        <v>1060</v>
      </c>
      <c r="I808" s="37">
        <v>19.715</v>
      </c>
      <c r="J808" s="7"/>
      <c r="K808" s="7" t="str">
        <f>VLOOKUP($E808,Mapping!$E$11:$I$96,3,0)</f>
        <v>Metering Capex</v>
      </c>
      <c r="L808" s="7" t="str">
        <f>VLOOKUP($G808,Mapping!$E$140:$K$2771,5,0)</f>
        <v>Materials</v>
      </c>
      <c r="M808" s="7" t="str">
        <f>VLOOKUP($G808,Mapping!$E$140:$K$2771,7,0)</f>
        <v>ENDirect</v>
      </c>
      <c r="N808" s="7" t="str">
        <f>IFERROR(HLOOKUP(L808,'Calc|Weightings'!$K$5:$M$5,1,0),"Excl")</f>
        <v>Materials</v>
      </c>
      <c r="O808" s="7" t="str">
        <f>VLOOKUP(E808,Mapping!$E$11:$I$96,5,0)</f>
        <v>Metering Services</v>
      </c>
      <c r="Q808" s="33">
        <v>137</v>
      </c>
      <c r="R808" s="33" t="s">
        <v>2144</v>
      </c>
      <c r="S808" s="33">
        <v>634001</v>
      </c>
      <c r="T808" s="33" t="s">
        <v>2110</v>
      </c>
      <c r="U808" s="34">
        <v>4.4064699999999997</v>
      </c>
      <c r="V808" s="7"/>
      <c r="W808" s="7" t="str">
        <f>VLOOKUP($Q808,Mapping!$E$11:$I$96,3,0)</f>
        <v>Metering Capex</v>
      </c>
      <c r="X808" s="7" t="str">
        <f>VLOOKUP($S808,Mapping!$E$140:$K$2771,5,0)</f>
        <v>Local OH</v>
      </c>
      <c r="Y808" s="7" t="str">
        <f>VLOOKUP($S808,Mapping!$E$140:$K$2771,7,0)</f>
        <v>OH</v>
      </c>
      <c r="Z808" s="7" t="str">
        <f>IFERROR(HLOOKUP(X808,'Calc|Weightings'!$K$5:$M$5,1,0),"Excl")</f>
        <v>Excl</v>
      </c>
      <c r="AA808" s="7" t="str">
        <f>VLOOKUP(Q808,Mapping!$E$11:$I$96,5,0)</f>
        <v>Metering Services</v>
      </c>
      <c r="AC808" s="111">
        <v>134</v>
      </c>
      <c r="AD808" s="111" t="s">
        <v>2143</v>
      </c>
      <c r="AE808" s="111">
        <v>634001</v>
      </c>
      <c r="AF808" s="111" t="s">
        <v>2110</v>
      </c>
      <c r="AG808" s="112">
        <v>1.9389799999999999</v>
      </c>
      <c r="AI808" s="7" t="str">
        <f>VLOOKUP($AC808,Mapping!$E$11:$I$96,3,0)</f>
        <v>Metering Capex</v>
      </c>
      <c r="AJ808" s="7" t="str">
        <f>VLOOKUP($AE808,Mapping!$E$140:$K$2771,5,0)</f>
        <v>Local OH</v>
      </c>
      <c r="AK808" s="7" t="str">
        <f>VLOOKUP($AE808,Mapping!$E$140:$K$2771,7,0)</f>
        <v>OH</v>
      </c>
      <c r="AL808" s="7" t="str">
        <f>IFERROR(HLOOKUP(AJ808,'Calc|Weightings'!$K$5:$M$5,1,0),"Excl")</f>
        <v>Excl</v>
      </c>
      <c r="AM808" s="7" t="str">
        <f>VLOOKUP(AC808,Mapping!$E$11:$I$96,5,0)</f>
        <v>Metering Services</v>
      </c>
      <c r="AO808" s="134">
        <v>140</v>
      </c>
      <c r="AP808" s="135" t="s">
        <v>2148</v>
      </c>
      <c r="AQ808" s="135">
        <v>613566</v>
      </c>
      <c r="AR808" s="135" t="s">
        <v>1482</v>
      </c>
      <c r="AS808" s="136">
        <v>16.465979999999998</v>
      </c>
      <c r="AU808" s="7" t="str">
        <f>VLOOKUP($AO808,Mapping!$E$11:$I$96,3,0)</f>
        <v>Public lighting Capex</v>
      </c>
      <c r="AV808" s="7" t="str">
        <f>VLOOKUP($AQ808,Mapping!$E$140:$K$2771,5,0)</f>
        <v>Labour</v>
      </c>
      <c r="AW808" s="7" t="str">
        <f>VLOOKUP($AQ808,Mapping!$E$140:$K$2771,7,0)</f>
        <v>ENDirect</v>
      </c>
      <c r="AX808" s="7" t="str">
        <f>IFERROR(HLOOKUP(AV808,'Calc|Weightings'!$K$5:$M$5,1,0),"Excl")</f>
        <v>Labour</v>
      </c>
      <c r="AY808" s="7" t="str">
        <f>VLOOKUP(AO808,Mapping!$E$11:$I$96,5,0)</f>
        <v>Public Lighting</v>
      </c>
    </row>
    <row r="809" spans="1:51" x14ac:dyDescent="0.2">
      <c r="A809" s="7"/>
      <c r="B809" s="7"/>
      <c r="C809" s="7"/>
      <c r="D809" s="7"/>
      <c r="E809" s="36">
        <v>134</v>
      </c>
      <c r="F809" s="36" t="s">
        <v>2143</v>
      </c>
      <c r="G809" s="36">
        <v>624632</v>
      </c>
      <c r="H809" s="36" t="s">
        <v>1889</v>
      </c>
      <c r="I809" s="37">
        <v>0.17077999999999999</v>
      </c>
      <c r="J809" s="7"/>
      <c r="K809" s="7" t="str">
        <f>VLOOKUP($E809,Mapping!$E$11:$I$96,3,0)</f>
        <v>Metering Capex</v>
      </c>
      <c r="L809" s="7" t="str">
        <f>VLOOKUP($G809,Mapping!$E$140:$K$2771,5,0)</f>
        <v>Materials</v>
      </c>
      <c r="M809" s="7" t="str">
        <f>VLOOKUP($G809,Mapping!$E$140:$K$2771,7,0)</f>
        <v>ENDirect</v>
      </c>
      <c r="N809" s="7" t="str">
        <f>IFERROR(HLOOKUP(L809,'Calc|Weightings'!$K$5:$M$5,1,0),"Excl")</f>
        <v>Materials</v>
      </c>
      <c r="O809" s="7" t="str">
        <f>VLOOKUP(E809,Mapping!$E$11:$I$96,5,0)</f>
        <v>Metering Services</v>
      </c>
      <c r="Q809" s="33">
        <v>137</v>
      </c>
      <c r="R809" s="33" t="s">
        <v>2144</v>
      </c>
      <c r="S809" s="33">
        <v>635001</v>
      </c>
      <c r="T809" s="33" t="s">
        <v>1929</v>
      </c>
      <c r="U809" s="34">
        <v>24.407889999999998</v>
      </c>
      <c r="V809" s="7"/>
      <c r="W809" s="7" t="str">
        <f>VLOOKUP($Q809,Mapping!$E$11:$I$96,3,0)</f>
        <v>Metering Capex</v>
      </c>
      <c r="X809" s="7" t="str">
        <f>VLOOKUP($S809,Mapping!$E$140:$K$2771,5,0)</f>
        <v>PNS MG</v>
      </c>
      <c r="Y809" s="7" t="str">
        <f>VLOOKUP($S809,Mapping!$E$140:$K$2771,7,0)</f>
        <v>ENDirect</v>
      </c>
      <c r="Z809" s="7" t="str">
        <f>IFERROR(HLOOKUP(X809,'Calc|Weightings'!$K$5:$M$5,1,0),"Excl")</f>
        <v>Excl</v>
      </c>
      <c r="AA809" s="7" t="str">
        <f>VLOOKUP(Q809,Mapping!$E$11:$I$96,5,0)</f>
        <v>Metering Services</v>
      </c>
      <c r="AC809" s="111">
        <v>134</v>
      </c>
      <c r="AD809" s="111" t="s">
        <v>2143</v>
      </c>
      <c r="AE809" s="111">
        <v>635001</v>
      </c>
      <c r="AF809" s="111" t="s">
        <v>1929</v>
      </c>
      <c r="AG809" s="112">
        <v>1.50621</v>
      </c>
      <c r="AI809" s="7" t="str">
        <f>VLOOKUP($AC809,Mapping!$E$11:$I$96,3,0)</f>
        <v>Metering Capex</v>
      </c>
      <c r="AJ809" s="7" t="str">
        <f>VLOOKUP($AE809,Mapping!$E$140:$K$2771,5,0)</f>
        <v>PNS MG</v>
      </c>
      <c r="AK809" s="7" t="str">
        <f>VLOOKUP($AE809,Mapping!$E$140:$K$2771,7,0)</f>
        <v>ENDirect</v>
      </c>
      <c r="AL809" s="7" t="str">
        <f>IFERROR(HLOOKUP(AJ809,'Calc|Weightings'!$K$5:$M$5,1,0),"Excl")</f>
        <v>Excl</v>
      </c>
      <c r="AM809" s="7" t="str">
        <f>VLOOKUP(AC809,Mapping!$E$11:$I$96,5,0)</f>
        <v>Metering Services</v>
      </c>
      <c r="AO809" s="134">
        <v>140</v>
      </c>
      <c r="AP809" s="135" t="s">
        <v>2148</v>
      </c>
      <c r="AQ809" s="135">
        <v>613567</v>
      </c>
      <c r="AR809" s="135" t="s">
        <v>1483</v>
      </c>
      <c r="AS809" s="136">
        <v>3.0649700000000002</v>
      </c>
      <c r="AU809" s="7" t="str">
        <f>VLOOKUP($AO809,Mapping!$E$11:$I$96,3,0)</f>
        <v>Public lighting Capex</v>
      </c>
      <c r="AV809" s="7" t="str">
        <f>VLOOKUP($AQ809,Mapping!$E$140:$K$2771,5,0)</f>
        <v>Labour</v>
      </c>
      <c r="AW809" s="7" t="str">
        <f>VLOOKUP($AQ809,Mapping!$E$140:$K$2771,7,0)</f>
        <v>ENDirect</v>
      </c>
      <c r="AX809" s="7" t="str">
        <f>IFERROR(HLOOKUP(AV809,'Calc|Weightings'!$K$5:$M$5,1,0),"Excl")</f>
        <v>Labour</v>
      </c>
      <c r="AY809" s="7" t="str">
        <f>VLOOKUP(AO809,Mapping!$E$11:$I$96,5,0)</f>
        <v>Public Lighting</v>
      </c>
    </row>
    <row r="810" spans="1:51" x14ac:dyDescent="0.2">
      <c r="A810" s="7"/>
      <c r="B810" s="7"/>
      <c r="C810" s="7"/>
      <c r="D810" s="7"/>
      <c r="E810" s="36">
        <v>134</v>
      </c>
      <c r="F810" s="36" t="s">
        <v>2143</v>
      </c>
      <c r="G810" s="36">
        <v>624633</v>
      </c>
      <c r="H810" s="36" t="s">
        <v>1063</v>
      </c>
      <c r="I810" s="37">
        <v>55.242179999999998</v>
      </c>
      <c r="J810" s="7"/>
      <c r="K810" s="7" t="str">
        <f>VLOOKUP($E810,Mapping!$E$11:$I$96,3,0)</f>
        <v>Metering Capex</v>
      </c>
      <c r="L810" s="7" t="str">
        <f>VLOOKUP($G810,Mapping!$E$140:$K$2771,5,0)</f>
        <v>Materials</v>
      </c>
      <c r="M810" s="7" t="str">
        <f>VLOOKUP($G810,Mapping!$E$140:$K$2771,7,0)</f>
        <v>ENDirect</v>
      </c>
      <c r="N810" s="7" t="str">
        <f>IFERROR(HLOOKUP(L810,'Calc|Weightings'!$K$5:$M$5,1,0),"Excl")</f>
        <v>Materials</v>
      </c>
      <c r="O810" s="7" t="str">
        <f>VLOOKUP(E810,Mapping!$E$11:$I$96,5,0)</f>
        <v>Metering Services</v>
      </c>
      <c r="Q810" s="33">
        <v>137</v>
      </c>
      <c r="R810" s="33" t="s">
        <v>2144</v>
      </c>
      <c r="S810" s="33">
        <v>636001</v>
      </c>
      <c r="T810" s="33" t="s">
        <v>2111</v>
      </c>
      <c r="U810" s="34">
        <v>1.24424</v>
      </c>
      <c r="V810" s="7"/>
      <c r="W810" s="7" t="str">
        <f>VLOOKUP($Q810,Mapping!$E$11:$I$96,3,0)</f>
        <v>Metering Capex</v>
      </c>
      <c r="X810" s="7" t="str">
        <f>VLOOKUP($S810,Mapping!$E$140:$K$2771,5,0)</f>
        <v>System Control OH</v>
      </c>
      <c r="Y810" s="7" t="str">
        <f>VLOOKUP($S810,Mapping!$E$140:$K$2771,7,0)</f>
        <v>OH</v>
      </c>
      <c r="Z810" s="7" t="str">
        <f>IFERROR(HLOOKUP(X810,'Calc|Weightings'!$K$5:$M$5,1,0),"Excl")</f>
        <v>Excl</v>
      </c>
      <c r="AA810" s="7" t="str">
        <f>VLOOKUP(Q810,Mapping!$E$11:$I$96,5,0)</f>
        <v>Metering Services</v>
      </c>
      <c r="AC810" s="111">
        <v>134</v>
      </c>
      <c r="AD810" s="111" t="s">
        <v>2143</v>
      </c>
      <c r="AE810" s="111">
        <v>636001</v>
      </c>
      <c r="AF810" s="111" t="s">
        <v>2111</v>
      </c>
      <c r="AG810" s="112">
        <v>0.97365000000000002</v>
      </c>
      <c r="AI810" s="7" t="str">
        <f>VLOOKUP($AC810,Mapping!$E$11:$I$96,3,0)</f>
        <v>Metering Capex</v>
      </c>
      <c r="AJ810" s="7" t="str">
        <f>VLOOKUP($AE810,Mapping!$E$140:$K$2771,5,0)</f>
        <v>System Control OH</v>
      </c>
      <c r="AK810" s="7" t="str">
        <f>VLOOKUP($AE810,Mapping!$E$140:$K$2771,7,0)</f>
        <v>OH</v>
      </c>
      <c r="AL810" s="7" t="str">
        <f>IFERROR(HLOOKUP(AJ810,'Calc|Weightings'!$K$5:$M$5,1,0),"Excl")</f>
        <v>Excl</v>
      </c>
      <c r="AM810" s="7" t="str">
        <f>VLOOKUP(AC810,Mapping!$E$11:$I$96,5,0)</f>
        <v>Metering Services</v>
      </c>
      <c r="AO810" s="134">
        <v>140</v>
      </c>
      <c r="AP810" s="135" t="s">
        <v>2148</v>
      </c>
      <c r="AQ810" s="135">
        <v>613570</v>
      </c>
      <c r="AR810" s="135" t="s">
        <v>1484</v>
      </c>
      <c r="AS810" s="136">
        <v>0.41810999999999998</v>
      </c>
      <c r="AU810" s="7" t="str">
        <f>VLOOKUP($AO810,Mapping!$E$11:$I$96,3,0)</f>
        <v>Public lighting Capex</v>
      </c>
      <c r="AV810" s="7" t="str">
        <f>VLOOKUP($AQ810,Mapping!$E$140:$K$2771,5,0)</f>
        <v>Labour</v>
      </c>
      <c r="AW810" s="7" t="str">
        <f>VLOOKUP($AQ810,Mapping!$E$140:$K$2771,7,0)</f>
        <v>ENDirect</v>
      </c>
      <c r="AX810" s="7" t="str">
        <f>IFERROR(HLOOKUP(AV810,'Calc|Weightings'!$K$5:$M$5,1,0),"Excl")</f>
        <v>Labour</v>
      </c>
      <c r="AY810" s="7" t="str">
        <f>VLOOKUP(AO810,Mapping!$E$11:$I$96,5,0)</f>
        <v>Public Lighting</v>
      </c>
    </row>
    <row r="811" spans="1:51" x14ac:dyDescent="0.2">
      <c r="A811" s="7"/>
      <c r="B811" s="7"/>
      <c r="C811" s="7"/>
      <c r="D811" s="7"/>
      <c r="E811" s="36">
        <v>134</v>
      </c>
      <c r="F811" s="36" t="s">
        <v>2143</v>
      </c>
      <c r="G811" s="36">
        <v>624637</v>
      </c>
      <c r="H811" s="36" t="s">
        <v>1794</v>
      </c>
      <c r="I811" s="37">
        <v>87.061440000000005</v>
      </c>
      <c r="J811" s="7"/>
      <c r="K811" s="7" t="str">
        <f>VLOOKUP($E811,Mapping!$E$11:$I$96,3,0)</f>
        <v>Metering Capex</v>
      </c>
      <c r="L811" s="7" t="str">
        <f>VLOOKUP($G811,Mapping!$E$140:$K$2771,5,0)</f>
        <v>Materials</v>
      </c>
      <c r="M811" s="7" t="str">
        <f>VLOOKUP($G811,Mapping!$E$140:$K$2771,7,0)</f>
        <v>ENDirect</v>
      </c>
      <c r="N811" s="7" t="str">
        <f>IFERROR(HLOOKUP(L811,'Calc|Weightings'!$K$5:$M$5,1,0),"Excl")</f>
        <v>Materials</v>
      </c>
      <c r="O811" s="7" t="str">
        <f>VLOOKUP(E811,Mapping!$E$11:$I$96,5,0)</f>
        <v>Metering Services</v>
      </c>
      <c r="Q811" s="33">
        <v>137</v>
      </c>
      <c r="R811" s="33" t="s">
        <v>2144</v>
      </c>
      <c r="S811" s="33">
        <v>636105</v>
      </c>
      <c r="T811" s="33" t="s">
        <v>1937</v>
      </c>
      <c r="U811" s="34">
        <v>5.5186200000000003</v>
      </c>
      <c r="V811" s="7"/>
      <c r="W811" s="7" t="str">
        <f>VLOOKUP($Q811,Mapping!$E$11:$I$96,3,0)</f>
        <v>Metering Capex</v>
      </c>
      <c r="X811" s="7" t="str">
        <f>VLOOKUP($S811,Mapping!$E$140:$K$2771,5,0)</f>
        <v>CSG MG</v>
      </c>
      <c r="Y811" s="7" t="str">
        <f>VLOOKUP($S811,Mapping!$E$140:$K$2771,7,0)</f>
        <v>ENDirect</v>
      </c>
      <c r="Z811" s="7" t="str">
        <f>IFERROR(HLOOKUP(X811,'Calc|Weightings'!$K$5:$M$5,1,0),"Excl")</f>
        <v>Excl</v>
      </c>
      <c r="AA811" s="7" t="str">
        <f>VLOOKUP(Q811,Mapping!$E$11:$I$96,5,0)</f>
        <v>Metering Services</v>
      </c>
      <c r="AC811" s="111">
        <v>134</v>
      </c>
      <c r="AD811" s="111" t="s">
        <v>2143</v>
      </c>
      <c r="AE811" s="111">
        <v>639000</v>
      </c>
      <c r="AF811" s="111" t="s">
        <v>2112</v>
      </c>
      <c r="AG811" s="112">
        <v>26.42474</v>
      </c>
      <c r="AI811" s="7" t="str">
        <f>VLOOKUP($AC811,Mapping!$E$11:$I$96,3,0)</f>
        <v>Metering Capex</v>
      </c>
      <c r="AJ811" s="7" t="str">
        <f>VLOOKUP($AE811,Mapping!$E$140:$K$2771,5,0)</f>
        <v>PNS Corporate OH</v>
      </c>
      <c r="AK811" s="7" t="str">
        <f>VLOOKUP($AE811,Mapping!$E$140:$K$2771,7,0)</f>
        <v>OH</v>
      </c>
      <c r="AL811" s="7" t="str">
        <f>IFERROR(HLOOKUP(AJ811,'Calc|Weightings'!$K$5:$M$5,1,0),"Excl")</f>
        <v>Excl</v>
      </c>
      <c r="AM811" s="7" t="str">
        <f>VLOOKUP(AC811,Mapping!$E$11:$I$96,5,0)</f>
        <v>Metering Services</v>
      </c>
      <c r="AO811" s="134">
        <v>140</v>
      </c>
      <c r="AP811" s="135" t="s">
        <v>2148</v>
      </c>
      <c r="AQ811" s="135">
        <v>613571</v>
      </c>
      <c r="AR811" s="135" t="s">
        <v>1485</v>
      </c>
      <c r="AS811" s="136">
        <v>0.97428000000000003</v>
      </c>
      <c r="AU811" s="7" t="str">
        <f>VLOOKUP($AO811,Mapping!$E$11:$I$96,3,0)</f>
        <v>Public lighting Capex</v>
      </c>
      <c r="AV811" s="7" t="str">
        <f>VLOOKUP($AQ811,Mapping!$E$140:$K$2771,5,0)</f>
        <v>Labour</v>
      </c>
      <c r="AW811" s="7" t="str">
        <f>VLOOKUP($AQ811,Mapping!$E$140:$K$2771,7,0)</f>
        <v>ENDirect</v>
      </c>
      <c r="AX811" s="7" t="str">
        <f>IFERROR(HLOOKUP(AV811,'Calc|Weightings'!$K$5:$M$5,1,0),"Excl")</f>
        <v>Labour</v>
      </c>
      <c r="AY811" s="7" t="str">
        <f>VLOOKUP(AO811,Mapping!$E$11:$I$96,5,0)</f>
        <v>Public Lighting</v>
      </c>
    </row>
    <row r="812" spans="1:51" x14ac:dyDescent="0.2">
      <c r="A812" s="7"/>
      <c r="B812" s="7"/>
      <c r="C812" s="7"/>
      <c r="D812" s="7"/>
      <c r="E812" s="36">
        <v>134</v>
      </c>
      <c r="F812" s="36" t="s">
        <v>2143</v>
      </c>
      <c r="G812" s="36">
        <v>624638</v>
      </c>
      <c r="H812" s="36" t="s">
        <v>1890</v>
      </c>
      <c r="I812" s="37">
        <v>0.34155999999999997</v>
      </c>
      <c r="J812" s="7"/>
      <c r="K812" s="7" t="str">
        <f>VLOOKUP($E812,Mapping!$E$11:$I$96,3,0)</f>
        <v>Metering Capex</v>
      </c>
      <c r="L812" s="7" t="str">
        <f>VLOOKUP($G812,Mapping!$E$140:$K$2771,5,0)</f>
        <v>Materials</v>
      </c>
      <c r="M812" s="7" t="str">
        <f>VLOOKUP($G812,Mapping!$E$140:$K$2771,7,0)</f>
        <v>ENDirect</v>
      </c>
      <c r="N812" s="7" t="str">
        <f>IFERROR(HLOOKUP(L812,'Calc|Weightings'!$K$5:$M$5,1,0),"Excl")</f>
        <v>Materials</v>
      </c>
      <c r="O812" s="7" t="str">
        <f>VLOOKUP(E812,Mapping!$E$11:$I$96,5,0)</f>
        <v>Metering Services</v>
      </c>
      <c r="Q812" s="33">
        <v>137</v>
      </c>
      <c r="R812" s="33" t="s">
        <v>2144</v>
      </c>
      <c r="S812" s="33">
        <v>639000</v>
      </c>
      <c r="T812" s="33" t="s">
        <v>2112</v>
      </c>
      <c r="U812" s="34">
        <v>26.13</v>
      </c>
      <c r="V812" s="7"/>
      <c r="W812" s="7" t="str">
        <f>VLOOKUP($Q812,Mapping!$E$11:$I$96,3,0)</f>
        <v>Metering Capex</v>
      </c>
      <c r="X812" s="7" t="str">
        <f>VLOOKUP($S812,Mapping!$E$140:$K$2771,5,0)</f>
        <v>PNS Corporate OH</v>
      </c>
      <c r="Y812" s="7" t="str">
        <f>VLOOKUP($S812,Mapping!$E$140:$K$2771,7,0)</f>
        <v>OH</v>
      </c>
      <c r="Z812" s="7" t="str">
        <f>IFERROR(HLOOKUP(X812,'Calc|Weightings'!$K$5:$M$5,1,0),"Excl")</f>
        <v>Excl</v>
      </c>
      <c r="AA812" s="7" t="str">
        <f>VLOOKUP(Q812,Mapping!$E$11:$I$96,5,0)</f>
        <v>Metering Services</v>
      </c>
      <c r="AC812" s="111">
        <v>134</v>
      </c>
      <c r="AD812" s="111" t="s">
        <v>2143</v>
      </c>
      <c r="AE812" s="111">
        <v>639050</v>
      </c>
      <c r="AF812" s="111" t="s">
        <v>2113</v>
      </c>
      <c r="AG812" s="112">
        <v>0.21229000000000001</v>
      </c>
      <c r="AI812" s="7" t="str">
        <f>VLOOKUP($AC812,Mapping!$E$11:$I$96,3,0)</f>
        <v>Metering Capex</v>
      </c>
      <c r="AJ812" s="7" t="str">
        <f>VLOOKUP($AE812,Mapping!$E$140:$K$2771,5,0)</f>
        <v>PNS Fleet &amp; Property OH</v>
      </c>
      <c r="AK812" s="7" t="str">
        <f>VLOOKUP($AE812,Mapping!$E$140:$K$2771,7,0)</f>
        <v>OH</v>
      </c>
      <c r="AL812" s="7" t="str">
        <f>IFERROR(HLOOKUP(AJ812,'Calc|Weightings'!$K$5:$M$5,1,0),"Excl")</f>
        <v>Excl</v>
      </c>
      <c r="AM812" s="7" t="str">
        <f>VLOOKUP(AC812,Mapping!$E$11:$I$96,5,0)</f>
        <v>Metering Services</v>
      </c>
      <c r="AO812" s="134">
        <v>140</v>
      </c>
      <c r="AP812" s="135" t="s">
        <v>2148</v>
      </c>
      <c r="AQ812" s="135">
        <v>613574</v>
      </c>
      <c r="AR812" s="135" t="s">
        <v>1488</v>
      </c>
      <c r="AS812" s="136">
        <v>31.279990000000002</v>
      </c>
      <c r="AU812" s="7" t="str">
        <f>VLOOKUP($AO812,Mapping!$E$11:$I$96,3,0)</f>
        <v>Public lighting Capex</v>
      </c>
      <c r="AV812" s="7" t="str">
        <f>VLOOKUP($AQ812,Mapping!$E$140:$K$2771,5,0)</f>
        <v>Labour</v>
      </c>
      <c r="AW812" s="7" t="str">
        <f>VLOOKUP($AQ812,Mapping!$E$140:$K$2771,7,0)</f>
        <v>ENDirect</v>
      </c>
      <c r="AX812" s="7" t="str">
        <f>IFERROR(HLOOKUP(AV812,'Calc|Weightings'!$K$5:$M$5,1,0),"Excl")</f>
        <v>Labour</v>
      </c>
      <c r="AY812" s="7" t="str">
        <f>VLOOKUP(AO812,Mapping!$E$11:$I$96,5,0)</f>
        <v>Public Lighting</v>
      </c>
    </row>
    <row r="813" spans="1:51" x14ac:dyDescent="0.2">
      <c r="A813" s="7"/>
      <c r="B813" s="7"/>
      <c r="C813" s="7"/>
      <c r="D813" s="7"/>
      <c r="E813" s="36">
        <v>134</v>
      </c>
      <c r="F813" s="36" t="s">
        <v>2143</v>
      </c>
      <c r="G813" s="36">
        <v>624639</v>
      </c>
      <c r="H813" s="36" t="s">
        <v>666</v>
      </c>
      <c r="I813" s="37">
        <v>96.455100000000002</v>
      </c>
      <c r="J813" s="7"/>
      <c r="K813" s="7" t="str">
        <f>VLOOKUP($E813,Mapping!$E$11:$I$96,3,0)</f>
        <v>Metering Capex</v>
      </c>
      <c r="L813" s="7" t="str">
        <f>VLOOKUP($G813,Mapping!$E$140:$K$2771,5,0)</f>
        <v>Materials</v>
      </c>
      <c r="M813" s="7" t="str">
        <f>VLOOKUP($G813,Mapping!$E$140:$K$2771,7,0)</f>
        <v>ENDirect</v>
      </c>
      <c r="N813" s="7" t="str">
        <f>IFERROR(HLOOKUP(L813,'Calc|Weightings'!$K$5:$M$5,1,0),"Excl")</f>
        <v>Materials</v>
      </c>
      <c r="O813" s="7" t="str">
        <f>VLOOKUP(E813,Mapping!$E$11:$I$96,5,0)</f>
        <v>Metering Services</v>
      </c>
      <c r="Q813" s="33">
        <v>137</v>
      </c>
      <c r="R813" s="33" t="s">
        <v>2144</v>
      </c>
      <c r="S813" s="33">
        <v>639050</v>
      </c>
      <c r="T813" s="33" t="s">
        <v>2113</v>
      </c>
      <c r="U813" s="34">
        <v>0.60845000000000005</v>
      </c>
      <c r="V813" s="7"/>
      <c r="W813" s="7" t="str">
        <f>VLOOKUP($Q813,Mapping!$E$11:$I$96,3,0)</f>
        <v>Metering Capex</v>
      </c>
      <c r="X813" s="7" t="str">
        <f>VLOOKUP($S813,Mapping!$E$140:$K$2771,5,0)</f>
        <v>PNS Fleet &amp; Property OH</v>
      </c>
      <c r="Y813" s="7" t="str">
        <f>VLOOKUP($S813,Mapping!$E$140:$K$2771,7,0)</f>
        <v>OH</v>
      </c>
      <c r="Z813" s="7" t="str">
        <f>IFERROR(HLOOKUP(X813,'Calc|Weightings'!$K$5:$M$5,1,0),"Excl")</f>
        <v>Excl</v>
      </c>
      <c r="AA813" s="7" t="str">
        <f>VLOOKUP(Q813,Mapping!$E$11:$I$96,5,0)</f>
        <v>Metering Services</v>
      </c>
      <c r="AC813" s="111">
        <v>136</v>
      </c>
      <c r="AD813" s="111" t="s">
        <v>2203</v>
      </c>
      <c r="AE813" s="111">
        <v>604600</v>
      </c>
      <c r="AF813" s="111" t="s">
        <v>487</v>
      </c>
      <c r="AG813" s="112">
        <v>850.24630000000002</v>
      </c>
      <c r="AI813" s="7" t="str">
        <f>VLOOKUP($AC813,Mapping!$E$11:$I$96,3,0)</f>
        <v>Metering Capex</v>
      </c>
      <c r="AJ813" s="7" t="str">
        <f>VLOOKUP($AE813,Mapping!$E$140:$K$2771,5,0)</f>
        <v>Corporate Services Fee</v>
      </c>
      <c r="AK813" s="7" t="str">
        <f>VLOOKUP($AE813,Mapping!$E$140:$K$2771,7,0)</f>
        <v>ENDirect</v>
      </c>
      <c r="AL813" s="7" t="str">
        <f>IFERROR(HLOOKUP(AJ813,'Calc|Weightings'!$K$5:$M$5,1,0),"Excl")</f>
        <v>Excl</v>
      </c>
      <c r="AM813" s="7" t="str">
        <f>VLOOKUP(AC813,Mapping!$E$11:$I$96,5,0)</f>
        <v>Metering Services</v>
      </c>
      <c r="AO813" s="134">
        <v>140</v>
      </c>
      <c r="AP813" s="135" t="s">
        <v>2148</v>
      </c>
      <c r="AQ813" s="135">
        <v>613575</v>
      </c>
      <c r="AR813" s="135" t="s">
        <v>1489</v>
      </c>
      <c r="AS813" s="136">
        <v>4.3002799999999999</v>
      </c>
      <c r="AU813" s="7" t="str">
        <f>VLOOKUP($AO813,Mapping!$E$11:$I$96,3,0)</f>
        <v>Public lighting Capex</v>
      </c>
      <c r="AV813" s="7" t="str">
        <f>VLOOKUP($AQ813,Mapping!$E$140:$K$2771,5,0)</f>
        <v>Labour</v>
      </c>
      <c r="AW813" s="7" t="str">
        <f>VLOOKUP($AQ813,Mapping!$E$140:$K$2771,7,0)</f>
        <v>ENDirect</v>
      </c>
      <c r="AX813" s="7" t="str">
        <f>IFERROR(HLOOKUP(AV813,'Calc|Weightings'!$K$5:$M$5,1,0),"Excl")</f>
        <v>Labour</v>
      </c>
      <c r="AY813" s="7" t="str">
        <f>VLOOKUP(AO813,Mapping!$E$11:$I$96,5,0)</f>
        <v>Public Lighting</v>
      </c>
    </row>
    <row r="814" spans="1:51" x14ac:dyDescent="0.2">
      <c r="A814" s="7"/>
      <c r="B814" s="7"/>
      <c r="C814" s="7"/>
      <c r="D814" s="7"/>
      <c r="E814" s="36">
        <v>134</v>
      </c>
      <c r="F814" s="36" t="s">
        <v>2143</v>
      </c>
      <c r="G814" s="36">
        <v>624640</v>
      </c>
      <c r="H814" s="36" t="s">
        <v>1891</v>
      </c>
      <c r="I814" s="37">
        <v>0.32679000000000002</v>
      </c>
      <c r="J814" s="7"/>
      <c r="K814" s="7" t="str">
        <f>VLOOKUP($E814,Mapping!$E$11:$I$96,3,0)</f>
        <v>Metering Capex</v>
      </c>
      <c r="L814" s="7" t="str">
        <f>VLOOKUP($G814,Mapping!$E$140:$K$2771,5,0)</f>
        <v>Materials</v>
      </c>
      <c r="M814" s="7" t="str">
        <f>VLOOKUP($G814,Mapping!$E$140:$K$2771,7,0)</f>
        <v>ENDirect</v>
      </c>
      <c r="N814" s="7" t="str">
        <f>IFERROR(HLOOKUP(L814,'Calc|Weightings'!$K$5:$M$5,1,0),"Excl")</f>
        <v>Materials</v>
      </c>
      <c r="O814" s="7" t="str">
        <f>VLOOKUP(E814,Mapping!$E$11:$I$96,5,0)</f>
        <v>Metering Services</v>
      </c>
      <c r="Q814" s="33">
        <v>138</v>
      </c>
      <c r="R814" s="33" t="s">
        <v>2145</v>
      </c>
      <c r="S814" s="33">
        <v>613116</v>
      </c>
      <c r="T814" s="33" t="s">
        <v>1270</v>
      </c>
      <c r="U814" s="34">
        <v>0.69299999999999995</v>
      </c>
      <c r="V814" s="7"/>
      <c r="W814" s="7" t="str">
        <f>VLOOKUP($Q814,Mapping!$E$11:$I$96,3,0)</f>
        <v>Metering Capex</v>
      </c>
      <c r="X814" s="7" t="str">
        <f>VLOOKUP($S814,Mapping!$E$140:$K$2771,5,0)</f>
        <v>Labour</v>
      </c>
      <c r="Y814" s="7" t="str">
        <f>VLOOKUP($S814,Mapping!$E$140:$K$2771,7,0)</f>
        <v>ENDirect</v>
      </c>
      <c r="Z814" s="7" t="str">
        <f>IFERROR(HLOOKUP(X814,'Calc|Weightings'!$K$5:$M$5,1,0),"Excl")</f>
        <v>Labour</v>
      </c>
      <c r="AA814" s="7" t="str">
        <f>VLOOKUP(Q814,Mapping!$E$11:$I$96,5,0)</f>
        <v>Metering Services</v>
      </c>
      <c r="AC814" s="111">
        <v>137</v>
      </c>
      <c r="AD814" s="111" t="s">
        <v>2144</v>
      </c>
      <c r="AE814" s="111">
        <v>531467</v>
      </c>
      <c r="AF814" s="111" t="s">
        <v>259</v>
      </c>
      <c r="AG814" s="112">
        <v>0.49968000000000001</v>
      </c>
      <c r="AI814" s="7" t="str">
        <f>VLOOKUP($AC814,Mapping!$E$11:$I$96,3,0)</f>
        <v>Metering Capex</v>
      </c>
      <c r="AJ814" s="7" t="str">
        <f>VLOOKUP($AE814,Mapping!$E$140:$K$2771,5,0)</f>
        <v>Contracts</v>
      </c>
      <c r="AK814" s="7" t="str">
        <f>VLOOKUP($AE814,Mapping!$E$140:$K$2771,7,0)</f>
        <v>ENDirect</v>
      </c>
      <c r="AL814" s="7" t="str">
        <f>IFERROR(HLOOKUP(AJ814,'Calc|Weightings'!$K$5:$M$5,1,0),"Excl")</f>
        <v>Contracts</v>
      </c>
      <c r="AM814" s="7" t="str">
        <f>VLOOKUP(AC814,Mapping!$E$11:$I$96,5,0)</f>
        <v>Metering Services</v>
      </c>
      <c r="AO814" s="134">
        <v>140</v>
      </c>
      <c r="AP814" s="135" t="s">
        <v>2148</v>
      </c>
      <c r="AQ814" s="135">
        <v>613630</v>
      </c>
      <c r="AR814" s="135" t="s">
        <v>1498</v>
      </c>
      <c r="AS814" s="136">
        <v>5.7400000000000003E-3</v>
      </c>
      <c r="AU814" s="7" t="str">
        <f>VLOOKUP($AO814,Mapping!$E$11:$I$96,3,0)</f>
        <v>Public lighting Capex</v>
      </c>
      <c r="AV814" s="7" t="str">
        <f>VLOOKUP($AQ814,Mapping!$E$140:$K$2771,5,0)</f>
        <v>Labour</v>
      </c>
      <c r="AW814" s="7" t="str">
        <f>VLOOKUP($AQ814,Mapping!$E$140:$K$2771,7,0)</f>
        <v>ENDirect</v>
      </c>
      <c r="AX814" s="7" t="str">
        <f>IFERROR(HLOOKUP(AV814,'Calc|Weightings'!$K$5:$M$5,1,0),"Excl")</f>
        <v>Labour</v>
      </c>
      <c r="AY814" s="7" t="str">
        <f>VLOOKUP(AO814,Mapping!$E$11:$I$96,5,0)</f>
        <v>Public Lighting</v>
      </c>
    </row>
    <row r="815" spans="1:51" x14ac:dyDescent="0.2">
      <c r="A815" s="7"/>
      <c r="B815" s="7"/>
      <c r="C815" s="7"/>
      <c r="D815" s="7"/>
      <c r="E815" s="36">
        <v>134</v>
      </c>
      <c r="F815" s="36" t="s">
        <v>2143</v>
      </c>
      <c r="G815" s="36">
        <v>624694</v>
      </c>
      <c r="H815" s="36" t="s">
        <v>1578</v>
      </c>
      <c r="I815" s="37">
        <v>0.61661999999999995</v>
      </c>
      <c r="J815" s="7"/>
      <c r="K815" s="7" t="str">
        <f>VLOOKUP($E815,Mapping!$E$11:$I$96,3,0)</f>
        <v>Metering Capex</v>
      </c>
      <c r="L815" s="7" t="str">
        <f>VLOOKUP($G815,Mapping!$E$140:$K$2771,5,0)</f>
        <v>Materials</v>
      </c>
      <c r="M815" s="7" t="str">
        <f>VLOOKUP($G815,Mapping!$E$140:$K$2771,7,0)</f>
        <v>ENDirect</v>
      </c>
      <c r="N815" s="7" t="str">
        <f>IFERROR(HLOOKUP(L815,'Calc|Weightings'!$K$5:$M$5,1,0),"Excl")</f>
        <v>Materials</v>
      </c>
      <c r="O815" s="7" t="str">
        <f>VLOOKUP(E815,Mapping!$E$11:$I$96,5,0)</f>
        <v>Metering Services</v>
      </c>
      <c r="Q815" s="33">
        <v>138</v>
      </c>
      <c r="R815" s="33" t="s">
        <v>2145</v>
      </c>
      <c r="S815" s="33">
        <v>613890</v>
      </c>
      <c r="T815" s="33" t="s">
        <v>1270</v>
      </c>
      <c r="U815" s="34">
        <v>0.189</v>
      </c>
      <c r="V815" s="7"/>
      <c r="W815" s="7" t="str">
        <f>VLOOKUP($Q815,Mapping!$E$11:$I$96,3,0)</f>
        <v>Metering Capex</v>
      </c>
      <c r="X815" s="7" t="str">
        <f>VLOOKUP($S815,Mapping!$E$140:$K$2771,5,0)</f>
        <v>Labour</v>
      </c>
      <c r="Y815" s="7" t="str">
        <f>VLOOKUP($S815,Mapping!$E$140:$K$2771,7,0)</f>
        <v>ENDirect</v>
      </c>
      <c r="Z815" s="7" t="str">
        <f>IFERROR(HLOOKUP(X815,'Calc|Weightings'!$K$5:$M$5,1,0),"Excl")</f>
        <v>Labour</v>
      </c>
      <c r="AA815" s="7" t="str">
        <f>VLOOKUP(Q815,Mapping!$E$11:$I$96,5,0)</f>
        <v>Metering Services</v>
      </c>
      <c r="AC815" s="111">
        <v>137</v>
      </c>
      <c r="AD815" s="111" t="s">
        <v>2144</v>
      </c>
      <c r="AE815" s="111">
        <v>604600</v>
      </c>
      <c r="AF815" s="111" t="s">
        <v>487</v>
      </c>
      <c r="AG815" s="112">
        <v>65.467560000000006</v>
      </c>
      <c r="AI815" s="7" t="str">
        <f>VLOOKUP($AC815,Mapping!$E$11:$I$96,3,0)</f>
        <v>Metering Capex</v>
      </c>
      <c r="AJ815" s="7" t="str">
        <f>VLOOKUP($AE815,Mapping!$E$140:$K$2771,5,0)</f>
        <v>Corporate Services Fee</v>
      </c>
      <c r="AK815" s="7" t="str">
        <f>VLOOKUP($AE815,Mapping!$E$140:$K$2771,7,0)</f>
        <v>ENDirect</v>
      </c>
      <c r="AL815" s="7" t="str">
        <f>IFERROR(HLOOKUP(AJ815,'Calc|Weightings'!$K$5:$M$5,1,0),"Excl")</f>
        <v>Excl</v>
      </c>
      <c r="AM815" s="7" t="str">
        <f>VLOOKUP(AC815,Mapping!$E$11:$I$96,5,0)</f>
        <v>Metering Services</v>
      </c>
      <c r="AO815" s="134">
        <v>140</v>
      </c>
      <c r="AP815" s="135" t="s">
        <v>2148</v>
      </c>
      <c r="AQ815" s="135">
        <v>613800</v>
      </c>
      <c r="AR815" s="135" t="s">
        <v>2142</v>
      </c>
      <c r="AS815" s="136">
        <v>-10.09662</v>
      </c>
      <c r="AU815" s="7" t="str">
        <f>VLOOKUP($AO815,Mapping!$E$11:$I$96,3,0)</f>
        <v>Public lighting Capex</v>
      </c>
      <c r="AV815" s="7" t="str">
        <f>VLOOKUP($AQ815,Mapping!$E$140:$K$2771,5,0)</f>
        <v>Materials</v>
      </c>
      <c r="AW815" s="7" t="str">
        <f>VLOOKUP($AQ815,Mapping!$E$140:$K$2771,7,0)</f>
        <v>ENDirect</v>
      </c>
      <c r="AX815" s="7" t="str">
        <f>IFERROR(HLOOKUP(AV815,'Calc|Weightings'!$K$5:$M$5,1,0),"Excl")</f>
        <v>Materials</v>
      </c>
      <c r="AY815" s="7" t="str">
        <f>VLOOKUP(AO815,Mapping!$E$11:$I$96,5,0)</f>
        <v>Public Lighting</v>
      </c>
    </row>
    <row r="816" spans="1:51" x14ac:dyDescent="0.2">
      <c r="A816" s="7"/>
      <c r="B816" s="7"/>
      <c r="C816" s="7"/>
      <c r="D816" s="7"/>
      <c r="E816" s="36">
        <v>134</v>
      </c>
      <c r="F816" s="36" t="s">
        <v>2143</v>
      </c>
      <c r="G816" s="36">
        <v>624697</v>
      </c>
      <c r="H816" s="36" t="s">
        <v>1581</v>
      </c>
      <c r="I816" s="37">
        <v>9.9806399999999993</v>
      </c>
      <c r="J816" s="7"/>
      <c r="K816" s="7" t="str">
        <f>VLOOKUP($E816,Mapping!$E$11:$I$96,3,0)</f>
        <v>Metering Capex</v>
      </c>
      <c r="L816" s="7" t="str">
        <f>VLOOKUP($G816,Mapping!$E$140:$K$2771,5,0)</f>
        <v>Materials</v>
      </c>
      <c r="M816" s="7" t="str">
        <f>VLOOKUP($G816,Mapping!$E$140:$K$2771,7,0)</f>
        <v>ENDirect</v>
      </c>
      <c r="N816" s="7" t="str">
        <f>IFERROR(HLOOKUP(L816,'Calc|Weightings'!$K$5:$M$5,1,0),"Excl")</f>
        <v>Materials</v>
      </c>
      <c r="O816" s="7" t="str">
        <f>VLOOKUP(E816,Mapping!$E$11:$I$96,5,0)</f>
        <v>Metering Services</v>
      </c>
      <c r="Q816" s="33">
        <v>139</v>
      </c>
      <c r="R816" s="33" t="s">
        <v>2146</v>
      </c>
      <c r="S816" s="33">
        <v>520100</v>
      </c>
      <c r="T816" s="33" t="s">
        <v>2072</v>
      </c>
      <c r="U816" s="34">
        <v>-0.98834999999999995</v>
      </c>
      <c r="V816" s="7"/>
      <c r="W816" s="7" t="str">
        <f>VLOOKUP($Q816,Mapping!$E$11:$I$96,3,0)</f>
        <v>Replacement</v>
      </c>
      <c r="X816" s="7" t="str">
        <f>VLOOKUP($S816,Mapping!$E$140:$K$2771,5,0)</f>
        <v>Materials</v>
      </c>
      <c r="Y816" s="7" t="str">
        <f>VLOOKUP($S816,Mapping!$E$140:$K$2771,7,0)</f>
        <v>ENDirect</v>
      </c>
      <c r="Z816" s="7" t="str">
        <f>IFERROR(HLOOKUP(X816,'Calc|Weightings'!$K$5:$M$5,1,0),"Excl")</f>
        <v>Materials</v>
      </c>
      <c r="AA816" s="7" t="str">
        <f>VLOOKUP(Q816,Mapping!$E$11:$I$96,5,0)</f>
        <v>SCS</v>
      </c>
      <c r="AC816" s="111">
        <v>137</v>
      </c>
      <c r="AD816" s="111" t="s">
        <v>2144</v>
      </c>
      <c r="AE816" s="111">
        <v>613240</v>
      </c>
      <c r="AF816" s="111" t="s">
        <v>2082</v>
      </c>
      <c r="AG816" s="112">
        <v>4.84321</v>
      </c>
      <c r="AI816" s="7" t="str">
        <f>VLOOKUP($AC816,Mapping!$E$11:$I$96,3,0)</f>
        <v>Metering Capex</v>
      </c>
      <c r="AJ816" s="7" t="str">
        <f>VLOOKUP($AE816,Mapping!$E$140:$K$2771,5,0)</f>
        <v>Labour</v>
      </c>
      <c r="AK816" s="7" t="str">
        <f>VLOOKUP($AE816,Mapping!$E$140:$K$2771,7,0)</f>
        <v>ENDirect</v>
      </c>
      <c r="AL816" s="7" t="str">
        <f>IFERROR(HLOOKUP(AJ816,'Calc|Weightings'!$K$5:$M$5,1,0),"Excl")</f>
        <v>Labour</v>
      </c>
      <c r="AM816" s="7" t="str">
        <f>VLOOKUP(AC816,Mapping!$E$11:$I$96,5,0)</f>
        <v>Metering Services</v>
      </c>
      <c r="AO816" s="134">
        <v>140</v>
      </c>
      <c r="AP816" s="135" t="s">
        <v>2148</v>
      </c>
      <c r="AQ816" s="135">
        <v>634001</v>
      </c>
      <c r="AR816" s="135" t="s">
        <v>2110</v>
      </c>
      <c r="AS816" s="136">
        <v>66.88494</v>
      </c>
      <c r="AU816" s="7" t="str">
        <f>VLOOKUP($AO816,Mapping!$E$11:$I$96,3,0)</f>
        <v>Public lighting Capex</v>
      </c>
      <c r="AV816" s="7" t="str">
        <f>VLOOKUP($AQ816,Mapping!$E$140:$K$2771,5,0)</f>
        <v>Local OH</v>
      </c>
      <c r="AW816" s="7" t="str">
        <f>VLOOKUP($AQ816,Mapping!$E$140:$K$2771,7,0)</f>
        <v>OH</v>
      </c>
      <c r="AX816" s="7" t="str">
        <f>IFERROR(HLOOKUP(AV816,'Calc|Weightings'!$K$5:$M$5,1,0),"Excl")</f>
        <v>Excl</v>
      </c>
      <c r="AY816" s="7" t="str">
        <f>VLOOKUP(AO816,Mapping!$E$11:$I$96,5,0)</f>
        <v>Public Lighting</v>
      </c>
    </row>
    <row r="817" spans="1:51" x14ac:dyDescent="0.2">
      <c r="A817" s="7"/>
      <c r="B817" s="7"/>
      <c r="C817" s="7"/>
      <c r="D817" s="7"/>
      <c r="E817" s="36">
        <v>134</v>
      </c>
      <c r="F817" s="36" t="s">
        <v>2143</v>
      </c>
      <c r="G817" s="36">
        <v>624702</v>
      </c>
      <c r="H817" s="36" t="s">
        <v>1585</v>
      </c>
      <c r="I817" s="37">
        <v>2.4664799999999998</v>
      </c>
      <c r="J817" s="7"/>
      <c r="K817" s="7" t="str">
        <f>VLOOKUP($E817,Mapping!$E$11:$I$96,3,0)</f>
        <v>Metering Capex</v>
      </c>
      <c r="L817" s="7" t="str">
        <f>VLOOKUP($G817,Mapping!$E$140:$K$2771,5,0)</f>
        <v>Materials</v>
      </c>
      <c r="M817" s="7" t="str">
        <f>VLOOKUP($G817,Mapping!$E$140:$K$2771,7,0)</f>
        <v>ENDirect</v>
      </c>
      <c r="N817" s="7" t="str">
        <f>IFERROR(HLOOKUP(L817,'Calc|Weightings'!$K$5:$M$5,1,0),"Excl")</f>
        <v>Materials</v>
      </c>
      <c r="O817" s="7" t="str">
        <f>VLOOKUP(E817,Mapping!$E$11:$I$96,5,0)</f>
        <v>Metering Services</v>
      </c>
      <c r="Q817" s="33">
        <v>139</v>
      </c>
      <c r="R817" s="33" t="s">
        <v>2146</v>
      </c>
      <c r="S817" s="33">
        <v>531464</v>
      </c>
      <c r="T817" s="33" t="s">
        <v>256</v>
      </c>
      <c r="U817" s="34">
        <v>3.5713200000000001</v>
      </c>
      <c r="V817" s="7"/>
      <c r="W817" s="7" t="str">
        <f>VLOOKUP($Q817,Mapping!$E$11:$I$96,3,0)</f>
        <v>Replacement</v>
      </c>
      <c r="X817" s="7" t="str">
        <f>VLOOKUP($S817,Mapping!$E$140:$K$2771,5,0)</f>
        <v>Contracts</v>
      </c>
      <c r="Y817" s="7" t="str">
        <f>VLOOKUP($S817,Mapping!$E$140:$K$2771,7,0)</f>
        <v>ENDirect</v>
      </c>
      <c r="Z817" s="7" t="str">
        <f>IFERROR(HLOOKUP(X817,'Calc|Weightings'!$K$5:$M$5,1,0),"Excl")</f>
        <v>Contracts</v>
      </c>
      <c r="AA817" s="7" t="str">
        <f>VLOOKUP(Q817,Mapping!$E$11:$I$96,5,0)</f>
        <v>SCS</v>
      </c>
      <c r="AC817" s="111">
        <v>137</v>
      </c>
      <c r="AD817" s="111" t="s">
        <v>2144</v>
      </c>
      <c r="AE817" s="111">
        <v>613241</v>
      </c>
      <c r="AF817" s="111" t="s">
        <v>2083</v>
      </c>
      <c r="AG817" s="112">
        <v>3.0231699999999999</v>
      </c>
      <c r="AI817" s="7" t="str">
        <f>VLOOKUP($AC817,Mapping!$E$11:$I$96,3,0)</f>
        <v>Metering Capex</v>
      </c>
      <c r="AJ817" s="7" t="str">
        <f>VLOOKUP($AE817,Mapping!$E$140:$K$2771,5,0)</f>
        <v>Labour</v>
      </c>
      <c r="AK817" s="7" t="str">
        <f>VLOOKUP($AE817,Mapping!$E$140:$K$2771,7,0)</f>
        <v>ENDirect</v>
      </c>
      <c r="AL817" s="7" t="str">
        <f>IFERROR(HLOOKUP(AJ817,'Calc|Weightings'!$K$5:$M$5,1,0),"Excl")</f>
        <v>Labour</v>
      </c>
      <c r="AM817" s="7" t="str">
        <f>VLOOKUP(AC817,Mapping!$E$11:$I$96,5,0)</f>
        <v>Metering Services</v>
      </c>
      <c r="AO817" s="134">
        <v>140</v>
      </c>
      <c r="AP817" s="135" t="s">
        <v>2148</v>
      </c>
      <c r="AQ817" s="135">
        <v>635001</v>
      </c>
      <c r="AR817" s="135" t="s">
        <v>1929</v>
      </c>
      <c r="AS817" s="136">
        <v>36.127679999999998</v>
      </c>
      <c r="AU817" s="7" t="str">
        <f>VLOOKUP($AO817,Mapping!$E$11:$I$96,3,0)</f>
        <v>Public lighting Capex</v>
      </c>
      <c r="AV817" s="7" t="str">
        <f>VLOOKUP($AQ817,Mapping!$E$140:$K$2771,5,0)</f>
        <v>PNS MG</v>
      </c>
      <c r="AW817" s="7" t="str">
        <f>VLOOKUP($AQ817,Mapping!$E$140:$K$2771,7,0)</f>
        <v>ENDirect</v>
      </c>
      <c r="AX817" s="7" t="str">
        <f>IFERROR(HLOOKUP(AV817,'Calc|Weightings'!$K$5:$M$5,1,0),"Excl")</f>
        <v>Excl</v>
      </c>
      <c r="AY817" s="7" t="str">
        <f>VLOOKUP(AO817,Mapping!$E$11:$I$96,5,0)</f>
        <v>Public Lighting</v>
      </c>
    </row>
    <row r="818" spans="1:51" x14ac:dyDescent="0.2">
      <c r="A818" s="7"/>
      <c r="B818" s="7"/>
      <c r="C818" s="7"/>
      <c r="D818" s="7"/>
      <c r="E818" s="36">
        <v>134</v>
      </c>
      <c r="F818" s="36" t="s">
        <v>2143</v>
      </c>
      <c r="G818" s="36">
        <v>624704</v>
      </c>
      <c r="H818" s="36" t="s">
        <v>668</v>
      </c>
      <c r="I818" s="37">
        <v>15.38682</v>
      </c>
      <c r="J818" s="7"/>
      <c r="K818" s="7" t="str">
        <f>VLOOKUP($E818,Mapping!$E$11:$I$96,3,0)</f>
        <v>Metering Capex</v>
      </c>
      <c r="L818" s="7" t="str">
        <f>VLOOKUP($G818,Mapping!$E$140:$K$2771,5,0)</f>
        <v>Materials</v>
      </c>
      <c r="M818" s="7" t="str">
        <f>VLOOKUP($G818,Mapping!$E$140:$K$2771,7,0)</f>
        <v>ENDirect</v>
      </c>
      <c r="N818" s="7" t="str">
        <f>IFERROR(HLOOKUP(L818,'Calc|Weightings'!$K$5:$M$5,1,0),"Excl")</f>
        <v>Materials</v>
      </c>
      <c r="O818" s="7" t="str">
        <f>VLOOKUP(E818,Mapping!$E$11:$I$96,5,0)</f>
        <v>Metering Services</v>
      </c>
      <c r="Q818" s="33">
        <v>139</v>
      </c>
      <c r="R818" s="33" t="s">
        <v>2146</v>
      </c>
      <c r="S818" s="33">
        <v>531466</v>
      </c>
      <c r="T818" s="33" t="s">
        <v>258</v>
      </c>
      <c r="U818" s="34">
        <v>24.280660000000001</v>
      </c>
      <c r="V818" s="7"/>
      <c r="W818" s="7" t="str">
        <f>VLOOKUP($Q818,Mapping!$E$11:$I$96,3,0)</f>
        <v>Replacement</v>
      </c>
      <c r="X818" s="7" t="str">
        <f>VLOOKUP($S818,Mapping!$E$140:$K$2771,5,0)</f>
        <v>Contracts</v>
      </c>
      <c r="Y818" s="7" t="str">
        <f>VLOOKUP($S818,Mapping!$E$140:$K$2771,7,0)</f>
        <v>ENDirect</v>
      </c>
      <c r="Z818" s="7" t="str">
        <f>IFERROR(HLOOKUP(X818,'Calc|Weightings'!$K$5:$M$5,1,0),"Excl")</f>
        <v>Contracts</v>
      </c>
      <c r="AA818" s="7" t="str">
        <f>VLOOKUP(Q818,Mapping!$E$11:$I$96,5,0)</f>
        <v>SCS</v>
      </c>
      <c r="AC818" s="111">
        <v>137</v>
      </c>
      <c r="AD818" s="111" t="s">
        <v>2144</v>
      </c>
      <c r="AE818" s="111">
        <v>613250</v>
      </c>
      <c r="AF818" s="111" t="s">
        <v>2086</v>
      </c>
      <c r="AG818" s="112">
        <v>9.4643200000000007</v>
      </c>
      <c r="AI818" s="7" t="str">
        <f>VLOOKUP($AC818,Mapping!$E$11:$I$96,3,0)</f>
        <v>Metering Capex</v>
      </c>
      <c r="AJ818" s="7" t="str">
        <f>VLOOKUP($AE818,Mapping!$E$140:$K$2771,5,0)</f>
        <v>Labour</v>
      </c>
      <c r="AK818" s="7" t="str">
        <f>VLOOKUP($AE818,Mapping!$E$140:$K$2771,7,0)</f>
        <v>ENDirect</v>
      </c>
      <c r="AL818" s="7" t="str">
        <f>IFERROR(HLOOKUP(AJ818,'Calc|Weightings'!$K$5:$M$5,1,0),"Excl")</f>
        <v>Labour</v>
      </c>
      <c r="AM818" s="7" t="str">
        <f>VLOOKUP(AC818,Mapping!$E$11:$I$96,5,0)</f>
        <v>Metering Services</v>
      </c>
      <c r="AO818" s="134">
        <v>140</v>
      </c>
      <c r="AP818" s="135" t="s">
        <v>2148</v>
      </c>
      <c r="AQ818" s="135">
        <v>636001</v>
      </c>
      <c r="AR818" s="135" t="s">
        <v>2111</v>
      </c>
      <c r="AS818" s="136">
        <v>43.724400000000003</v>
      </c>
      <c r="AU818" s="7" t="str">
        <f>VLOOKUP($AO818,Mapping!$E$11:$I$96,3,0)</f>
        <v>Public lighting Capex</v>
      </c>
      <c r="AV818" s="7" t="str">
        <f>VLOOKUP($AQ818,Mapping!$E$140:$K$2771,5,0)</f>
        <v>System Control OH</v>
      </c>
      <c r="AW818" s="7" t="str">
        <f>VLOOKUP($AQ818,Mapping!$E$140:$K$2771,7,0)</f>
        <v>OH</v>
      </c>
      <c r="AX818" s="7" t="str">
        <f>IFERROR(HLOOKUP(AV818,'Calc|Weightings'!$K$5:$M$5,1,0),"Excl")</f>
        <v>Excl</v>
      </c>
      <c r="AY818" s="7" t="str">
        <f>VLOOKUP(AO818,Mapping!$E$11:$I$96,5,0)</f>
        <v>Public Lighting</v>
      </c>
    </row>
    <row r="819" spans="1:51" x14ac:dyDescent="0.2">
      <c r="A819" s="7"/>
      <c r="B819" s="7"/>
      <c r="C819" s="7"/>
      <c r="D819" s="7"/>
      <c r="E819" s="36">
        <v>134</v>
      </c>
      <c r="F819" s="36" t="s">
        <v>2143</v>
      </c>
      <c r="G819" s="36">
        <v>625006</v>
      </c>
      <c r="H819" s="36" t="s">
        <v>1228</v>
      </c>
      <c r="I819" s="37">
        <v>108.82680000000001</v>
      </c>
      <c r="J819" s="7"/>
      <c r="K819" s="7" t="str">
        <f>VLOOKUP($E819,Mapping!$E$11:$I$96,3,0)</f>
        <v>Metering Capex</v>
      </c>
      <c r="L819" s="7" t="str">
        <f>VLOOKUP($G819,Mapping!$E$140:$K$2771,5,0)</f>
        <v>Materials</v>
      </c>
      <c r="M819" s="7" t="str">
        <f>VLOOKUP($G819,Mapping!$E$140:$K$2771,7,0)</f>
        <v>ENDirect</v>
      </c>
      <c r="N819" s="7" t="str">
        <f>IFERROR(HLOOKUP(L819,'Calc|Weightings'!$K$5:$M$5,1,0),"Excl")</f>
        <v>Materials</v>
      </c>
      <c r="O819" s="7" t="str">
        <f>VLOOKUP(E819,Mapping!$E$11:$I$96,5,0)</f>
        <v>Metering Services</v>
      </c>
      <c r="Q819" s="33">
        <v>139</v>
      </c>
      <c r="R819" s="33" t="s">
        <v>2146</v>
      </c>
      <c r="S819" s="33">
        <v>531467</v>
      </c>
      <c r="T819" s="33" t="s">
        <v>259</v>
      </c>
      <c r="U819" s="34">
        <v>5.7976599999999996</v>
      </c>
      <c r="V819" s="7"/>
      <c r="W819" s="7" t="str">
        <f>VLOOKUP($Q819,Mapping!$E$11:$I$96,3,0)</f>
        <v>Replacement</v>
      </c>
      <c r="X819" s="7" t="str">
        <f>VLOOKUP($S819,Mapping!$E$140:$K$2771,5,0)</f>
        <v>Contracts</v>
      </c>
      <c r="Y819" s="7" t="str">
        <f>VLOOKUP($S819,Mapping!$E$140:$K$2771,7,0)</f>
        <v>ENDirect</v>
      </c>
      <c r="Z819" s="7" t="str">
        <f>IFERROR(HLOOKUP(X819,'Calc|Weightings'!$K$5:$M$5,1,0),"Excl")</f>
        <v>Contracts</v>
      </c>
      <c r="AA819" s="7" t="str">
        <f>VLOOKUP(Q819,Mapping!$E$11:$I$96,5,0)</f>
        <v>SCS</v>
      </c>
      <c r="AC819" s="111">
        <v>137</v>
      </c>
      <c r="AD819" s="111" t="s">
        <v>2144</v>
      </c>
      <c r="AE819" s="111">
        <v>613251</v>
      </c>
      <c r="AF819" s="111" t="s">
        <v>2087</v>
      </c>
      <c r="AG819" s="112">
        <v>10.67573</v>
      </c>
      <c r="AI819" s="7" t="str">
        <f>VLOOKUP($AC819,Mapping!$E$11:$I$96,3,0)</f>
        <v>Metering Capex</v>
      </c>
      <c r="AJ819" s="7" t="str">
        <f>VLOOKUP($AE819,Mapping!$E$140:$K$2771,5,0)</f>
        <v>Labour</v>
      </c>
      <c r="AK819" s="7" t="str">
        <f>VLOOKUP($AE819,Mapping!$E$140:$K$2771,7,0)</f>
        <v>ENDirect</v>
      </c>
      <c r="AL819" s="7" t="str">
        <f>IFERROR(HLOOKUP(AJ819,'Calc|Weightings'!$K$5:$M$5,1,0),"Excl")</f>
        <v>Labour</v>
      </c>
      <c r="AM819" s="7" t="str">
        <f>VLOOKUP(AC819,Mapping!$E$11:$I$96,5,0)</f>
        <v>Metering Services</v>
      </c>
      <c r="AO819" s="134">
        <v>140</v>
      </c>
      <c r="AP819" s="135" t="s">
        <v>2148</v>
      </c>
      <c r="AQ819" s="135">
        <v>639000</v>
      </c>
      <c r="AR819" s="135" t="s">
        <v>2112</v>
      </c>
      <c r="AS819" s="136">
        <v>46.985489999999999</v>
      </c>
      <c r="AU819" s="7" t="str">
        <f>VLOOKUP($AO819,Mapping!$E$11:$I$96,3,0)</f>
        <v>Public lighting Capex</v>
      </c>
      <c r="AV819" s="7" t="str">
        <f>VLOOKUP($AQ819,Mapping!$E$140:$K$2771,5,0)</f>
        <v>PNS Corporate OH</v>
      </c>
      <c r="AW819" s="7" t="str">
        <f>VLOOKUP($AQ819,Mapping!$E$140:$K$2771,7,0)</f>
        <v>OH</v>
      </c>
      <c r="AX819" s="7" t="str">
        <f>IFERROR(HLOOKUP(AV819,'Calc|Weightings'!$K$5:$M$5,1,0),"Excl")</f>
        <v>Excl</v>
      </c>
      <c r="AY819" s="7" t="str">
        <f>VLOOKUP(AO819,Mapping!$E$11:$I$96,5,0)</f>
        <v>Public Lighting</v>
      </c>
    </row>
    <row r="820" spans="1:51" x14ac:dyDescent="0.2">
      <c r="A820" s="7"/>
      <c r="B820" s="7"/>
      <c r="C820" s="7"/>
      <c r="D820" s="7"/>
      <c r="E820" s="36">
        <v>134</v>
      </c>
      <c r="F820" s="36" t="s">
        <v>2143</v>
      </c>
      <c r="G820" s="36">
        <v>625007</v>
      </c>
      <c r="H820" s="36" t="s">
        <v>1229</v>
      </c>
      <c r="I820" s="37">
        <v>1.19546</v>
      </c>
      <c r="J820" s="7"/>
      <c r="K820" s="7" t="str">
        <f>VLOOKUP($E820,Mapping!$E$11:$I$96,3,0)</f>
        <v>Metering Capex</v>
      </c>
      <c r="L820" s="7" t="str">
        <f>VLOOKUP($G820,Mapping!$E$140:$K$2771,5,0)</f>
        <v>Materials</v>
      </c>
      <c r="M820" s="7" t="str">
        <f>VLOOKUP($G820,Mapping!$E$140:$K$2771,7,0)</f>
        <v>ENDirect</v>
      </c>
      <c r="N820" s="7" t="str">
        <f>IFERROR(HLOOKUP(L820,'Calc|Weightings'!$K$5:$M$5,1,0),"Excl")</f>
        <v>Materials</v>
      </c>
      <c r="O820" s="7" t="str">
        <f>VLOOKUP(E820,Mapping!$E$11:$I$96,5,0)</f>
        <v>Metering Services</v>
      </c>
      <c r="Q820" s="33">
        <v>139</v>
      </c>
      <c r="R820" s="33" t="s">
        <v>2146</v>
      </c>
      <c r="S820" s="33">
        <v>531468</v>
      </c>
      <c r="T820" s="33" t="s">
        <v>260</v>
      </c>
      <c r="U820" s="34">
        <v>3.1575000000000002</v>
      </c>
      <c r="V820" s="7"/>
      <c r="W820" s="7" t="str">
        <f>VLOOKUP($Q820,Mapping!$E$11:$I$96,3,0)</f>
        <v>Replacement</v>
      </c>
      <c r="X820" s="7" t="str">
        <f>VLOOKUP($S820,Mapping!$E$140:$K$2771,5,0)</f>
        <v>Contracts</v>
      </c>
      <c r="Y820" s="7" t="str">
        <f>VLOOKUP($S820,Mapping!$E$140:$K$2771,7,0)</f>
        <v>ENDirect</v>
      </c>
      <c r="Z820" s="7" t="str">
        <f>IFERROR(HLOOKUP(X820,'Calc|Weightings'!$K$5:$M$5,1,0),"Excl")</f>
        <v>Contracts</v>
      </c>
      <c r="AA820" s="7" t="str">
        <f>VLOOKUP(Q820,Mapping!$E$11:$I$96,5,0)</f>
        <v>SCS</v>
      </c>
      <c r="AC820" s="111">
        <v>137</v>
      </c>
      <c r="AD820" s="111" t="s">
        <v>2144</v>
      </c>
      <c r="AE820" s="111">
        <v>613300</v>
      </c>
      <c r="AF820" s="111" t="s">
        <v>2197</v>
      </c>
      <c r="AG820" s="112">
        <v>1.38798</v>
      </c>
      <c r="AI820" s="7" t="str">
        <f>VLOOKUP($AC820,Mapping!$E$11:$I$96,3,0)</f>
        <v>Metering Capex</v>
      </c>
      <c r="AJ820" s="7" t="str">
        <f>VLOOKUP($AE820,Mapping!$E$140:$K$2771,5,0)</f>
        <v>Labour</v>
      </c>
      <c r="AK820" s="7" t="str">
        <f>VLOOKUP($AE820,Mapping!$E$140:$K$2771,7,0)</f>
        <v>ENDirect</v>
      </c>
      <c r="AL820" s="7" t="str">
        <f>IFERROR(HLOOKUP(AJ820,'Calc|Weightings'!$K$5:$M$5,1,0),"Excl")</f>
        <v>Labour</v>
      </c>
      <c r="AM820" s="7" t="str">
        <f>VLOOKUP(AC820,Mapping!$E$11:$I$96,5,0)</f>
        <v>Metering Services</v>
      </c>
      <c r="AO820" s="134">
        <v>140</v>
      </c>
      <c r="AP820" s="135" t="s">
        <v>2148</v>
      </c>
      <c r="AQ820" s="135">
        <v>639050</v>
      </c>
      <c r="AR820" s="135" t="s">
        <v>2113</v>
      </c>
      <c r="AS820" s="136">
        <v>8.1611499999999992</v>
      </c>
      <c r="AU820" s="7" t="str">
        <f>VLOOKUP($AO820,Mapping!$E$11:$I$96,3,0)</f>
        <v>Public lighting Capex</v>
      </c>
      <c r="AV820" s="7" t="str">
        <f>VLOOKUP($AQ820,Mapping!$E$140:$K$2771,5,0)</f>
        <v>PNS Fleet &amp; Property OH</v>
      </c>
      <c r="AW820" s="7" t="str">
        <f>VLOOKUP($AQ820,Mapping!$E$140:$K$2771,7,0)</f>
        <v>OH</v>
      </c>
      <c r="AX820" s="7" t="str">
        <f>IFERROR(HLOOKUP(AV820,'Calc|Weightings'!$K$5:$M$5,1,0),"Excl")</f>
        <v>Excl</v>
      </c>
      <c r="AY820" s="7" t="str">
        <f>VLOOKUP(AO820,Mapping!$E$11:$I$96,5,0)</f>
        <v>Public Lighting</v>
      </c>
    </row>
    <row r="821" spans="1:51" x14ac:dyDescent="0.2">
      <c r="A821" s="7"/>
      <c r="B821" s="7"/>
      <c r="C821" s="7"/>
      <c r="D821" s="7"/>
      <c r="E821" s="36">
        <v>134</v>
      </c>
      <c r="F821" s="36" t="s">
        <v>2143</v>
      </c>
      <c r="G821" s="36">
        <v>625008</v>
      </c>
      <c r="H821" s="36" t="s">
        <v>1230</v>
      </c>
      <c r="I821" s="37">
        <v>54.673639999999999</v>
      </c>
      <c r="J821" s="7"/>
      <c r="K821" s="7" t="str">
        <f>VLOOKUP($E821,Mapping!$E$11:$I$96,3,0)</f>
        <v>Metering Capex</v>
      </c>
      <c r="L821" s="7" t="str">
        <f>VLOOKUP($G821,Mapping!$E$140:$K$2771,5,0)</f>
        <v>Materials</v>
      </c>
      <c r="M821" s="7" t="str">
        <f>VLOOKUP($G821,Mapping!$E$140:$K$2771,7,0)</f>
        <v>ENDirect</v>
      </c>
      <c r="N821" s="7" t="str">
        <f>IFERROR(HLOOKUP(L821,'Calc|Weightings'!$K$5:$M$5,1,0),"Excl")</f>
        <v>Materials</v>
      </c>
      <c r="O821" s="7" t="str">
        <f>VLOOKUP(E821,Mapping!$E$11:$I$96,5,0)</f>
        <v>Metering Services</v>
      </c>
      <c r="Q821" s="33">
        <v>139</v>
      </c>
      <c r="R821" s="33" t="s">
        <v>2146</v>
      </c>
      <c r="S821" s="33">
        <v>591997</v>
      </c>
      <c r="T821" s="33" t="s">
        <v>399</v>
      </c>
      <c r="U821" s="34">
        <v>-0.40488000000000002</v>
      </c>
      <c r="V821" s="7"/>
      <c r="W821" s="7" t="str">
        <f>VLOOKUP($Q821,Mapping!$E$11:$I$96,3,0)</f>
        <v>Replacement</v>
      </c>
      <c r="X821" s="7" t="str">
        <f>VLOOKUP($S821,Mapping!$E$140:$K$2771,5,0)</f>
        <v>Contracts</v>
      </c>
      <c r="Y821" s="7" t="str">
        <f>VLOOKUP($S821,Mapping!$E$140:$K$2771,7,0)</f>
        <v>ENDirect</v>
      </c>
      <c r="Z821" s="7" t="str">
        <f>IFERROR(HLOOKUP(X821,'Calc|Weightings'!$K$5:$M$5,1,0),"Excl")</f>
        <v>Contracts</v>
      </c>
      <c r="AA821" s="7" t="str">
        <f>VLOOKUP(Q821,Mapping!$E$11:$I$96,5,0)</f>
        <v>SCS</v>
      </c>
      <c r="AC821" s="111">
        <v>137</v>
      </c>
      <c r="AD821" s="111" t="s">
        <v>2144</v>
      </c>
      <c r="AE821" s="111">
        <v>613566</v>
      </c>
      <c r="AF821" s="111" t="s">
        <v>1482</v>
      </c>
      <c r="AG821" s="112">
        <v>1.1145799999999999</v>
      </c>
      <c r="AI821" s="7" t="str">
        <f>VLOOKUP($AC821,Mapping!$E$11:$I$96,3,0)</f>
        <v>Metering Capex</v>
      </c>
      <c r="AJ821" s="7" t="str">
        <f>VLOOKUP($AE821,Mapping!$E$140:$K$2771,5,0)</f>
        <v>Labour</v>
      </c>
      <c r="AK821" s="7" t="str">
        <f>VLOOKUP($AE821,Mapping!$E$140:$K$2771,7,0)</f>
        <v>ENDirect</v>
      </c>
      <c r="AL821" s="7" t="str">
        <f>IFERROR(HLOOKUP(AJ821,'Calc|Weightings'!$K$5:$M$5,1,0),"Excl")</f>
        <v>Labour</v>
      </c>
      <c r="AM821" s="7" t="str">
        <f>VLOOKUP(AC821,Mapping!$E$11:$I$96,5,0)</f>
        <v>Metering Services</v>
      </c>
      <c r="AO821" s="134">
        <v>141</v>
      </c>
      <c r="AP821" s="135" t="s">
        <v>2149</v>
      </c>
      <c r="AQ821" s="135">
        <v>503281</v>
      </c>
      <c r="AR821" s="135" t="s">
        <v>2198</v>
      </c>
      <c r="AS821" s="136">
        <v>5.8199999999999997E-3</v>
      </c>
      <c r="AU821" s="7" t="str">
        <f>VLOOKUP($AO821,Mapping!$E$11:$I$96,3,0)</f>
        <v>Replacement</v>
      </c>
      <c r="AV821" s="7" t="str">
        <f>VLOOKUP($AQ821,Mapping!$E$140:$K$2771,5,0)</f>
        <v>Contracts</v>
      </c>
      <c r="AW821" s="7" t="str">
        <f>VLOOKUP($AQ821,Mapping!$E$140:$K$2771,7,0)</f>
        <v>ENDirect</v>
      </c>
      <c r="AX821" s="7" t="str">
        <f>IFERROR(HLOOKUP(AV821,'Calc|Weightings'!$K$5:$M$5,1,0),"Excl")</f>
        <v>Contracts</v>
      </c>
      <c r="AY821" s="7" t="str">
        <f>VLOOKUP(AO821,Mapping!$E$11:$I$96,5,0)</f>
        <v>SCS</v>
      </c>
    </row>
    <row r="822" spans="1:51" x14ac:dyDescent="0.2">
      <c r="A822" s="7"/>
      <c r="B822" s="7"/>
      <c r="C822" s="7"/>
      <c r="D822" s="7"/>
      <c r="E822" s="36">
        <v>134</v>
      </c>
      <c r="F822" s="36" t="s">
        <v>2143</v>
      </c>
      <c r="G822" s="36">
        <v>625009</v>
      </c>
      <c r="H822" s="36" t="s">
        <v>1231</v>
      </c>
      <c r="I822" s="37">
        <v>96.455100000000002</v>
      </c>
      <c r="J822" s="7"/>
      <c r="K822" s="7" t="str">
        <f>VLOOKUP($E822,Mapping!$E$11:$I$96,3,0)</f>
        <v>Metering Capex</v>
      </c>
      <c r="L822" s="7" t="str">
        <f>VLOOKUP($G822,Mapping!$E$140:$K$2771,5,0)</f>
        <v>Materials</v>
      </c>
      <c r="M822" s="7" t="str">
        <f>VLOOKUP($G822,Mapping!$E$140:$K$2771,7,0)</f>
        <v>ENDirect</v>
      </c>
      <c r="N822" s="7" t="str">
        <f>IFERROR(HLOOKUP(L822,'Calc|Weightings'!$K$5:$M$5,1,0),"Excl")</f>
        <v>Materials</v>
      </c>
      <c r="O822" s="7" t="str">
        <f>VLOOKUP(E822,Mapping!$E$11:$I$96,5,0)</f>
        <v>Metering Services</v>
      </c>
      <c r="Q822" s="33">
        <v>139</v>
      </c>
      <c r="R822" s="33" t="s">
        <v>2146</v>
      </c>
      <c r="S822" s="33">
        <v>591999</v>
      </c>
      <c r="T822" s="33" t="s">
        <v>2078</v>
      </c>
      <c r="U822" s="34">
        <v>-1.52918</v>
      </c>
      <c r="V822" s="7"/>
      <c r="W822" s="7" t="str">
        <f>VLOOKUP($Q822,Mapping!$E$11:$I$96,3,0)</f>
        <v>Replacement</v>
      </c>
      <c r="X822" s="7" t="str">
        <f>VLOOKUP($S822,Mapping!$E$140:$K$2771,5,0)</f>
        <v>Contracts</v>
      </c>
      <c r="Y822" s="7" t="str">
        <f>VLOOKUP($S822,Mapping!$E$140:$K$2771,7,0)</f>
        <v>ENDirect</v>
      </c>
      <c r="Z822" s="7" t="str">
        <f>IFERROR(HLOOKUP(X822,'Calc|Weightings'!$K$5:$M$5,1,0),"Excl")</f>
        <v>Contracts</v>
      </c>
      <c r="AA822" s="7" t="str">
        <f>VLOOKUP(Q822,Mapping!$E$11:$I$96,5,0)</f>
        <v>SCS</v>
      </c>
      <c r="AC822" s="111">
        <v>137</v>
      </c>
      <c r="AD822" s="111" t="s">
        <v>2144</v>
      </c>
      <c r="AE822" s="111">
        <v>613567</v>
      </c>
      <c r="AF822" s="111" t="s">
        <v>1483</v>
      </c>
      <c r="AG822" s="112">
        <v>0.6804</v>
      </c>
      <c r="AI822" s="7" t="str">
        <f>VLOOKUP($AC822,Mapping!$E$11:$I$96,3,0)</f>
        <v>Metering Capex</v>
      </c>
      <c r="AJ822" s="7" t="str">
        <f>VLOOKUP($AE822,Mapping!$E$140:$K$2771,5,0)</f>
        <v>Labour</v>
      </c>
      <c r="AK822" s="7" t="str">
        <f>VLOOKUP($AE822,Mapping!$E$140:$K$2771,7,0)</f>
        <v>ENDirect</v>
      </c>
      <c r="AL822" s="7" t="str">
        <f>IFERROR(HLOOKUP(AJ822,'Calc|Weightings'!$K$5:$M$5,1,0),"Excl")</f>
        <v>Labour</v>
      </c>
      <c r="AM822" s="7" t="str">
        <f>VLOOKUP(AC822,Mapping!$E$11:$I$96,5,0)</f>
        <v>Metering Services</v>
      </c>
      <c r="AO822" s="134">
        <v>141</v>
      </c>
      <c r="AP822" s="135" t="s">
        <v>2149</v>
      </c>
      <c r="AQ822" s="135">
        <v>520100</v>
      </c>
      <c r="AR822" s="135" t="s">
        <v>2072</v>
      </c>
      <c r="AS822" s="136">
        <v>764.98442999999997</v>
      </c>
      <c r="AU822" s="7" t="str">
        <f>VLOOKUP($AO822,Mapping!$E$11:$I$96,3,0)</f>
        <v>Replacement</v>
      </c>
      <c r="AV822" s="7" t="str">
        <f>VLOOKUP($AQ822,Mapping!$E$140:$K$2771,5,0)</f>
        <v>Materials</v>
      </c>
      <c r="AW822" s="7" t="str">
        <f>VLOOKUP($AQ822,Mapping!$E$140:$K$2771,7,0)</f>
        <v>ENDirect</v>
      </c>
      <c r="AX822" s="7" t="str">
        <f>IFERROR(HLOOKUP(AV822,'Calc|Weightings'!$K$5:$M$5,1,0),"Excl")</f>
        <v>Materials</v>
      </c>
      <c r="AY822" s="7" t="str">
        <f>VLOOKUP(AO822,Mapping!$E$11:$I$96,5,0)</f>
        <v>SCS</v>
      </c>
    </row>
    <row r="823" spans="1:51" x14ac:dyDescent="0.2">
      <c r="A823" s="7"/>
      <c r="B823" s="7"/>
      <c r="C823" s="7"/>
      <c r="D823" s="7"/>
      <c r="E823" s="36">
        <v>134</v>
      </c>
      <c r="F823" s="36" t="s">
        <v>2143</v>
      </c>
      <c r="G823" s="36">
        <v>625010</v>
      </c>
      <c r="H823" s="36" t="s">
        <v>1232</v>
      </c>
      <c r="I823" s="37">
        <v>0.98036999999999996</v>
      </c>
      <c r="J823" s="7"/>
      <c r="K823" s="7" t="str">
        <f>VLOOKUP($E823,Mapping!$E$11:$I$96,3,0)</f>
        <v>Metering Capex</v>
      </c>
      <c r="L823" s="7" t="str">
        <f>VLOOKUP($G823,Mapping!$E$140:$K$2771,5,0)</f>
        <v>Materials</v>
      </c>
      <c r="M823" s="7" t="str">
        <f>VLOOKUP($G823,Mapping!$E$140:$K$2771,7,0)</f>
        <v>ENDirect</v>
      </c>
      <c r="N823" s="7" t="str">
        <f>IFERROR(HLOOKUP(L823,'Calc|Weightings'!$K$5:$M$5,1,0),"Excl")</f>
        <v>Materials</v>
      </c>
      <c r="O823" s="7" t="str">
        <f>VLOOKUP(E823,Mapping!$E$11:$I$96,5,0)</f>
        <v>Metering Services</v>
      </c>
      <c r="Q823" s="33">
        <v>139</v>
      </c>
      <c r="R823" s="33" t="s">
        <v>2146</v>
      </c>
      <c r="S823" s="33">
        <v>611900</v>
      </c>
      <c r="T823" s="33" t="s">
        <v>2079</v>
      </c>
      <c r="U823" s="34">
        <v>2.1770000000000001E-2</v>
      </c>
      <c r="V823" s="7"/>
      <c r="W823" s="7" t="str">
        <f>VLOOKUP($Q823,Mapping!$E$11:$I$96,3,0)</f>
        <v>Replacement</v>
      </c>
      <c r="X823" s="7" t="str">
        <f>VLOOKUP($S823,Mapping!$E$140:$K$2771,5,0)</f>
        <v>Contracts</v>
      </c>
      <c r="Y823" s="7" t="str">
        <f>VLOOKUP($S823,Mapping!$E$140:$K$2771,7,0)</f>
        <v>ENDirect</v>
      </c>
      <c r="Z823" s="7" t="str">
        <f>IFERROR(HLOOKUP(X823,'Calc|Weightings'!$K$5:$M$5,1,0),"Excl")</f>
        <v>Contracts</v>
      </c>
      <c r="AA823" s="7" t="str">
        <f>VLOOKUP(Q823,Mapping!$E$11:$I$96,5,0)</f>
        <v>SCS</v>
      </c>
      <c r="AC823" s="111">
        <v>137</v>
      </c>
      <c r="AD823" s="111" t="s">
        <v>2144</v>
      </c>
      <c r="AE823" s="111">
        <v>613575</v>
      </c>
      <c r="AF823" s="111" t="s">
        <v>1489</v>
      </c>
      <c r="AG823" s="112">
        <v>0.17079</v>
      </c>
      <c r="AI823" s="7" t="str">
        <f>VLOOKUP($AC823,Mapping!$E$11:$I$96,3,0)</f>
        <v>Metering Capex</v>
      </c>
      <c r="AJ823" s="7" t="str">
        <f>VLOOKUP($AE823,Mapping!$E$140:$K$2771,5,0)</f>
        <v>Labour</v>
      </c>
      <c r="AK823" s="7" t="str">
        <f>VLOOKUP($AE823,Mapping!$E$140:$K$2771,7,0)</f>
        <v>ENDirect</v>
      </c>
      <c r="AL823" s="7" t="str">
        <f>IFERROR(HLOOKUP(AJ823,'Calc|Weightings'!$K$5:$M$5,1,0),"Excl")</f>
        <v>Labour</v>
      </c>
      <c r="AM823" s="7" t="str">
        <f>VLOOKUP(AC823,Mapping!$E$11:$I$96,5,0)</f>
        <v>Metering Services</v>
      </c>
      <c r="AO823" s="134">
        <v>141</v>
      </c>
      <c r="AP823" s="135" t="s">
        <v>2149</v>
      </c>
      <c r="AQ823" s="135">
        <v>522100</v>
      </c>
      <c r="AR823" s="135" t="s">
        <v>2115</v>
      </c>
      <c r="AS823" s="136">
        <v>7.4999999999999997E-2</v>
      </c>
      <c r="AU823" s="7" t="str">
        <f>VLOOKUP($AO823,Mapping!$E$11:$I$96,3,0)</f>
        <v>Replacement</v>
      </c>
      <c r="AV823" s="7" t="str">
        <f>VLOOKUP($AQ823,Mapping!$E$140:$K$2771,5,0)</f>
        <v>Materials</v>
      </c>
      <c r="AW823" s="7" t="str">
        <f>VLOOKUP($AQ823,Mapping!$E$140:$K$2771,7,0)</f>
        <v>ENDirect</v>
      </c>
      <c r="AX823" s="7" t="str">
        <f>IFERROR(HLOOKUP(AV823,'Calc|Weightings'!$K$5:$M$5,1,0),"Excl")</f>
        <v>Materials</v>
      </c>
      <c r="AY823" s="7" t="str">
        <f>VLOOKUP(AO823,Mapping!$E$11:$I$96,5,0)</f>
        <v>SCS</v>
      </c>
    </row>
    <row r="824" spans="1:51" x14ac:dyDescent="0.2">
      <c r="A824" s="7"/>
      <c r="B824" s="7"/>
      <c r="C824" s="7"/>
      <c r="D824" s="7"/>
      <c r="E824" s="36">
        <v>134</v>
      </c>
      <c r="F824" s="36" t="s">
        <v>2143</v>
      </c>
      <c r="G824" s="36">
        <v>625011</v>
      </c>
      <c r="H824" s="36" t="s">
        <v>1233</v>
      </c>
      <c r="I824" s="37">
        <v>51.982500000000002</v>
      </c>
      <c r="J824" s="7"/>
      <c r="K824" s="7" t="str">
        <f>VLOOKUP($E824,Mapping!$E$11:$I$96,3,0)</f>
        <v>Metering Capex</v>
      </c>
      <c r="L824" s="7" t="str">
        <f>VLOOKUP($G824,Mapping!$E$140:$K$2771,5,0)</f>
        <v>Materials</v>
      </c>
      <c r="M824" s="7" t="str">
        <f>VLOOKUP($G824,Mapping!$E$140:$K$2771,7,0)</f>
        <v>ENDirect</v>
      </c>
      <c r="N824" s="7" t="str">
        <f>IFERROR(HLOOKUP(L824,'Calc|Weightings'!$K$5:$M$5,1,0),"Excl")</f>
        <v>Materials</v>
      </c>
      <c r="O824" s="7" t="str">
        <f>VLOOKUP(E824,Mapping!$E$11:$I$96,5,0)</f>
        <v>Metering Services</v>
      </c>
      <c r="Q824" s="33">
        <v>139</v>
      </c>
      <c r="R824" s="33" t="s">
        <v>2146</v>
      </c>
      <c r="S824" s="33">
        <v>613240</v>
      </c>
      <c r="T824" s="33" t="s">
        <v>2082</v>
      </c>
      <c r="U824" s="34">
        <v>0.25491999999999998</v>
      </c>
      <c r="V824" s="7"/>
      <c r="W824" s="7" t="str">
        <f>VLOOKUP($Q824,Mapping!$E$11:$I$96,3,0)</f>
        <v>Replacement</v>
      </c>
      <c r="X824" s="7" t="str">
        <f>VLOOKUP($S824,Mapping!$E$140:$K$2771,5,0)</f>
        <v>Labour</v>
      </c>
      <c r="Y824" s="7" t="str">
        <f>VLOOKUP($S824,Mapping!$E$140:$K$2771,7,0)</f>
        <v>ENDirect</v>
      </c>
      <c r="Z824" s="7" t="str">
        <f>IFERROR(HLOOKUP(X824,'Calc|Weightings'!$K$5:$M$5,1,0),"Excl")</f>
        <v>Labour</v>
      </c>
      <c r="AA824" s="7" t="str">
        <f>VLOOKUP(Q824,Mapping!$E$11:$I$96,5,0)</f>
        <v>SCS</v>
      </c>
      <c r="AC824" s="111">
        <v>137</v>
      </c>
      <c r="AD824" s="111" t="s">
        <v>2144</v>
      </c>
      <c r="AE824" s="111">
        <v>613692</v>
      </c>
      <c r="AF824" s="111" t="s">
        <v>1235</v>
      </c>
      <c r="AG824" s="112">
        <v>150.9529</v>
      </c>
      <c r="AI824" s="7" t="str">
        <f>VLOOKUP($AC824,Mapping!$E$11:$I$96,3,0)</f>
        <v>Metering Capex</v>
      </c>
      <c r="AJ824" s="7" t="str">
        <f>VLOOKUP($AE824,Mapping!$E$140:$K$2771,5,0)</f>
        <v>Contracts</v>
      </c>
      <c r="AK824" s="7" t="str">
        <f>VLOOKUP($AE824,Mapping!$E$140:$K$2771,7,0)</f>
        <v>ENDirect</v>
      </c>
      <c r="AL824" s="7" t="str">
        <f>IFERROR(HLOOKUP(AJ824,'Calc|Weightings'!$K$5:$M$5,1,0),"Excl")</f>
        <v>Contracts</v>
      </c>
      <c r="AM824" s="7" t="str">
        <f>VLOOKUP(AC824,Mapping!$E$11:$I$96,5,0)</f>
        <v>Metering Services</v>
      </c>
      <c r="AO824" s="134">
        <v>141</v>
      </c>
      <c r="AP824" s="135" t="s">
        <v>2149</v>
      </c>
      <c r="AQ824" s="135">
        <v>523100</v>
      </c>
      <c r="AR824" s="135" t="s">
        <v>2074</v>
      </c>
      <c r="AS824" s="136">
        <v>6.3339600000000003</v>
      </c>
      <c r="AU824" s="7" t="str">
        <f>VLOOKUP($AO824,Mapping!$E$11:$I$96,3,0)</f>
        <v>Replacement</v>
      </c>
      <c r="AV824" s="7" t="str">
        <f>VLOOKUP($AQ824,Mapping!$E$140:$K$2771,5,0)</f>
        <v>Materials</v>
      </c>
      <c r="AW824" s="7" t="str">
        <f>VLOOKUP($AQ824,Mapping!$E$140:$K$2771,7,0)</f>
        <v>ENDirect</v>
      </c>
      <c r="AX824" s="7" t="str">
        <f>IFERROR(HLOOKUP(AV824,'Calc|Weightings'!$K$5:$M$5,1,0),"Excl")</f>
        <v>Materials</v>
      </c>
      <c r="AY824" s="7" t="str">
        <f>VLOOKUP(AO824,Mapping!$E$11:$I$96,5,0)</f>
        <v>SCS</v>
      </c>
    </row>
    <row r="825" spans="1:51" x14ac:dyDescent="0.2">
      <c r="A825" s="7"/>
      <c r="B825" s="7"/>
      <c r="C825" s="7"/>
      <c r="D825" s="7"/>
      <c r="E825" s="36">
        <v>134</v>
      </c>
      <c r="F825" s="36" t="s">
        <v>2143</v>
      </c>
      <c r="G825" s="36">
        <v>633000</v>
      </c>
      <c r="H825" s="36" t="s">
        <v>2202</v>
      </c>
      <c r="I825" s="37">
        <v>48.538139999999999</v>
      </c>
      <c r="J825" s="7"/>
      <c r="K825" s="7" t="str">
        <f>VLOOKUP($E825,Mapping!$E$11:$I$96,3,0)</f>
        <v>Metering Capex</v>
      </c>
      <c r="L825" s="7" t="str">
        <f>VLOOKUP($G825,Mapping!$E$140:$K$2771,5,0)</f>
        <v>Contracts</v>
      </c>
      <c r="M825" s="7" t="str">
        <f>VLOOKUP($G825,Mapping!$E$140:$K$2771,7,0)</f>
        <v>OH</v>
      </c>
      <c r="N825" s="7" t="str">
        <f>IFERROR(HLOOKUP(L825,'Calc|Weightings'!$K$5:$M$5,1,0),"Excl")</f>
        <v>Contracts</v>
      </c>
      <c r="O825" s="7" t="str">
        <f>VLOOKUP(E825,Mapping!$E$11:$I$96,5,0)</f>
        <v>Metering Services</v>
      </c>
      <c r="Q825" s="33">
        <v>139</v>
      </c>
      <c r="R825" s="33" t="s">
        <v>2146</v>
      </c>
      <c r="S825" s="33">
        <v>613250</v>
      </c>
      <c r="T825" s="33" t="s">
        <v>2086</v>
      </c>
      <c r="U825" s="34">
        <v>0.32973000000000002</v>
      </c>
      <c r="V825" s="7"/>
      <c r="W825" s="7" t="str">
        <f>VLOOKUP($Q825,Mapping!$E$11:$I$96,3,0)</f>
        <v>Replacement</v>
      </c>
      <c r="X825" s="7" t="str">
        <f>VLOOKUP($S825,Mapping!$E$140:$K$2771,5,0)</f>
        <v>Labour</v>
      </c>
      <c r="Y825" s="7" t="str">
        <f>VLOOKUP($S825,Mapping!$E$140:$K$2771,7,0)</f>
        <v>ENDirect</v>
      </c>
      <c r="Z825" s="7" t="str">
        <f>IFERROR(HLOOKUP(X825,'Calc|Weightings'!$K$5:$M$5,1,0),"Excl")</f>
        <v>Labour</v>
      </c>
      <c r="AA825" s="7" t="str">
        <f>VLOOKUP(Q825,Mapping!$E$11:$I$96,5,0)</f>
        <v>SCS</v>
      </c>
      <c r="AC825" s="111">
        <v>137</v>
      </c>
      <c r="AD825" s="111" t="s">
        <v>2144</v>
      </c>
      <c r="AE825" s="111">
        <v>613693</v>
      </c>
      <c r="AF825" s="111" t="s">
        <v>1236</v>
      </c>
      <c r="AG825" s="112">
        <v>24.423839999999998</v>
      </c>
      <c r="AI825" s="7" t="str">
        <f>VLOOKUP($AC825,Mapping!$E$11:$I$96,3,0)</f>
        <v>Metering Capex</v>
      </c>
      <c r="AJ825" s="7" t="str">
        <f>VLOOKUP($AE825,Mapping!$E$140:$K$2771,5,0)</f>
        <v>Contracts</v>
      </c>
      <c r="AK825" s="7" t="str">
        <f>VLOOKUP($AE825,Mapping!$E$140:$K$2771,7,0)</f>
        <v>ENDirect</v>
      </c>
      <c r="AL825" s="7" t="str">
        <f>IFERROR(HLOOKUP(AJ825,'Calc|Weightings'!$K$5:$M$5,1,0),"Excl")</f>
        <v>Contracts</v>
      </c>
      <c r="AM825" s="7" t="str">
        <f>VLOOKUP(AC825,Mapping!$E$11:$I$96,5,0)</f>
        <v>Metering Services</v>
      </c>
      <c r="AO825" s="134">
        <v>141</v>
      </c>
      <c r="AP825" s="135" t="s">
        <v>2149</v>
      </c>
      <c r="AQ825" s="135">
        <v>523300</v>
      </c>
      <c r="AR825" s="135" t="s">
        <v>2075</v>
      </c>
      <c r="AS825" s="136">
        <v>0.61985999999999997</v>
      </c>
      <c r="AU825" s="7" t="str">
        <f>VLOOKUP($AO825,Mapping!$E$11:$I$96,3,0)</f>
        <v>Replacement</v>
      </c>
      <c r="AV825" s="7" t="str">
        <f>VLOOKUP($AQ825,Mapping!$E$140:$K$2771,5,0)</f>
        <v>Materials</v>
      </c>
      <c r="AW825" s="7" t="str">
        <f>VLOOKUP($AQ825,Mapping!$E$140:$K$2771,7,0)</f>
        <v>ENDirect</v>
      </c>
      <c r="AX825" s="7" t="str">
        <f>IFERROR(HLOOKUP(AV825,'Calc|Weightings'!$K$5:$M$5,1,0),"Excl")</f>
        <v>Materials</v>
      </c>
      <c r="AY825" s="7" t="str">
        <f>VLOOKUP(AO825,Mapping!$E$11:$I$96,5,0)</f>
        <v>SCS</v>
      </c>
    </row>
    <row r="826" spans="1:51" x14ac:dyDescent="0.2">
      <c r="A826" s="7"/>
      <c r="B826" s="7"/>
      <c r="C826" s="7"/>
      <c r="D826" s="7"/>
      <c r="E826" s="36">
        <v>134</v>
      </c>
      <c r="F826" s="36" t="s">
        <v>2143</v>
      </c>
      <c r="G826" s="36">
        <v>638000</v>
      </c>
      <c r="H826" s="36" t="s">
        <v>1147</v>
      </c>
      <c r="I826" s="37">
        <v>16.527529999999999</v>
      </c>
      <c r="J826" s="7"/>
      <c r="K826" s="7" t="str">
        <f>VLOOKUP($E826,Mapping!$E$11:$I$96,3,0)</f>
        <v>Metering Capex</v>
      </c>
      <c r="L826" s="7" t="str">
        <f>VLOOKUP($G826,Mapping!$E$140:$K$2771,5,0)</f>
        <v>CHEDS AMI BAU MG</v>
      </c>
      <c r="M826" s="7" t="str">
        <f>VLOOKUP($G826,Mapping!$E$140:$K$2771,7,0)</f>
        <v>ENDirect</v>
      </c>
      <c r="N826" s="7" t="str">
        <f>IFERROR(HLOOKUP(L826,'Calc|Weightings'!$K$5:$M$5,1,0),"Excl")</f>
        <v>Excl</v>
      </c>
      <c r="O826" s="7" t="str">
        <f>VLOOKUP(E826,Mapping!$E$11:$I$96,5,0)</f>
        <v>Metering Services</v>
      </c>
      <c r="Q826" s="33">
        <v>139</v>
      </c>
      <c r="R826" s="33" t="s">
        <v>2146</v>
      </c>
      <c r="S826" s="33">
        <v>613566</v>
      </c>
      <c r="T826" s="33" t="s">
        <v>1482</v>
      </c>
      <c r="U826" s="34">
        <v>0.4955</v>
      </c>
      <c r="V826" s="7"/>
      <c r="W826" s="7" t="str">
        <f>VLOOKUP($Q826,Mapping!$E$11:$I$96,3,0)</f>
        <v>Replacement</v>
      </c>
      <c r="X826" s="7" t="str">
        <f>VLOOKUP($S826,Mapping!$E$140:$K$2771,5,0)</f>
        <v>Labour</v>
      </c>
      <c r="Y826" s="7" t="str">
        <f>VLOOKUP($S826,Mapping!$E$140:$K$2771,7,0)</f>
        <v>ENDirect</v>
      </c>
      <c r="Z826" s="7" t="str">
        <f>IFERROR(HLOOKUP(X826,'Calc|Weightings'!$K$5:$M$5,1,0),"Excl")</f>
        <v>Labour</v>
      </c>
      <c r="AA826" s="7" t="str">
        <f>VLOOKUP(Q826,Mapping!$E$11:$I$96,5,0)</f>
        <v>SCS</v>
      </c>
      <c r="AC826" s="111">
        <v>137</v>
      </c>
      <c r="AD826" s="111" t="s">
        <v>2144</v>
      </c>
      <c r="AE826" s="111">
        <v>613694</v>
      </c>
      <c r="AF826" s="111" t="s">
        <v>1237</v>
      </c>
      <c r="AG826" s="112">
        <v>29.172920000000001</v>
      </c>
      <c r="AI826" s="7" t="str">
        <f>VLOOKUP($AC826,Mapping!$E$11:$I$96,3,0)</f>
        <v>Metering Capex</v>
      </c>
      <c r="AJ826" s="7" t="str">
        <f>VLOOKUP($AE826,Mapping!$E$140:$K$2771,5,0)</f>
        <v>Contracts</v>
      </c>
      <c r="AK826" s="7" t="str">
        <f>VLOOKUP($AE826,Mapping!$E$140:$K$2771,7,0)</f>
        <v>ENDirect</v>
      </c>
      <c r="AL826" s="7" t="str">
        <f>IFERROR(HLOOKUP(AJ826,'Calc|Weightings'!$K$5:$M$5,1,0),"Excl")</f>
        <v>Contracts</v>
      </c>
      <c r="AM826" s="7" t="str">
        <f>VLOOKUP(AC826,Mapping!$E$11:$I$96,5,0)</f>
        <v>Metering Services</v>
      </c>
      <c r="AO826" s="134">
        <v>141</v>
      </c>
      <c r="AP826" s="135" t="s">
        <v>2149</v>
      </c>
      <c r="AQ826" s="135">
        <v>531000</v>
      </c>
      <c r="AR826" s="135" t="s">
        <v>242</v>
      </c>
      <c r="AS826" s="136">
        <v>25.004999999999999</v>
      </c>
      <c r="AU826" s="7" t="str">
        <f>VLOOKUP($AO826,Mapping!$E$11:$I$96,3,0)</f>
        <v>Replacement</v>
      </c>
      <c r="AV826" s="7" t="str">
        <f>VLOOKUP($AQ826,Mapping!$E$140:$K$2771,5,0)</f>
        <v>Contracts</v>
      </c>
      <c r="AW826" s="7" t="str">
        <f>VLOOKUP($AQ826,Mapping!$E$140:$K$2771,7,0)</f>
        <v>ENDirect</v>
      </c>
      <c r="AX826" s="7" t="str">
        <f>IFERROR(HLOOKUP(AV826,'Calc|Weightings'!$K$5:$M$5,1,0),"Excl")</f>
        <v>Contracts</v>
      </c>
      <c r="AY826" s="7" t="str">
        <f>VLOOKUP(AO826,Mapping!$E$11:$I$96,5,0)</f>
        <v>SCS</v>
      </c>
    </row>
    <row r="827" spans="1:51" x14ac:dyDescent="0.2">
      <c r="A827" s="7"/>
      <c r="B827" s="7"/>
      <c r="C827" s="7"/>
      <c r="D827" s="7"/>
      <c r="E827" s="36">
        <v>134</v>
      </c>
      <c r="F827" s="36" t="s">
        <v>2143</v>
      </c>
      <c r="G827" s="36">
        <v>639050</v>
      </c>
      <c r="H827" s="36" t="s">
        <v>2113</v>
      </c>
      <c r="I827" s="37">
        <v>3.9919899999999999</v>
      </c>
      <c r="J827" s="7"/>
      <c r="K827" s="7" t="str">
        <f>VLOOKUP($E827,Mapping!$E$11:$I$96,3,0)</f>
        <v>Metering Capex</v>
      </c>
      <c r="L827" s="7" t="str">
        <f>VLOOKUP($G827,Mapping!$E$140:$K$2771,5,0)</f>
        <v>PNS Fleet &amp; Property OH</v>
      </c>
      <c r="M827" s="7" t="str">
        <f>VLOOKUP($G827,Mapping!$E$140:$K$2771,7,0)</f>
        <v>OH</v>
      </c>
      <c r="N827" s="7" t="str">
        <f>IFERROR(HLOOKUP(L827,'Calc|Weightings'!$K$5:$M$5,1,0),"Excl")</f>
        <v>Excl</v>
      </c>
      <c r="O827" s="7" t="str">
        <f>VLOOKUP(E827,Mapping!$E$11:$I$96,5,0)</f>
        <v>Metering Services</v>
      </c>
      <c r="Q827" s="33">
        <v>139</v>
      </c>
      <c r="R827" s="33" t="s">
        <v>2146</v>
      </c>
      <c r="S827" s="33">
        <v>634001</v>
      </c>
      <c r="T827" s="33" t="s">
        <v>2110</v>
      </c>
      <c r="U827" s="34">
        <v>2.3051499999999998</v>
      </c>
      <c r="V827" s="7"/>
      <c r="W827" s="7" t="str">
        <f>VLOOKUP($Q827,Mapping!$E$11:$I$96,3,0)</f>
        <v>Replacement</v>
      </c>
      <c r="X827" s="7" t="str">
        <f>VLOOKUP($S827,Mapping!$E$140:$K$2771,5,0)</f>
        <v>Local OH</v>
      </c>
      <c r="Y827" s="7" t="str">
        <f>VLOOKUP($S827,Mapping!$E$140:$K$2771,7,0)</f>
        <v>OH</v>
      </c>
      <c r="Z827" s="7" t="str">
        <f>IFERROR(HLOOKUP(X827,'Calc|Weightings'!$K$5:$M$5,1,0),"Excl")</f>
        <v>Excl</v>
      </c>
      <c r="AA827" s="7" t="str">
        <f>VLOOKUP(Q827,Mapping!$E$11:$I$96,5,0)</f>
        <v>SCS</v>
      </c>
      <c r="AC827" s="111">
        <v>137</v>
      </c>
      <c r="AD827" s="111" t="s">
        <v>2144</v>
      </c>
      <c r="AE827" s="111">
        <v>613695</v>
      </c>
      <c r="AF827" s="111" t="s">
        <v>1238</v>
      </c>
      <c r="AG827" s="112">
        <v>111.07259999999999</v>
      </c>
      <c r="AI827" s="7" t="str">
        <f>VLOOKUP($AC827,Mapping!$E$11:$I$96,3,0)</f>
        <v>Metering Capex</v>
      </c>
      <c r="AJ827" s="7" t="str">
        <f>VLOOKUP($AE827,Mapping!$E$140:$K$2771,5,0)</f>
        <v>Contracts</v>
      </c>
      <c r="AK827" s="7" t="str">
        <f>VLOOKUP($AE827,Mapping!$E$140:$K$2771,7,0)</f>
        <v>ENDirect</v>
      </c>
      <c r="AL827" s="7" t="str">
        <f>IFERROR(HLOOKUP(AJ827,'Calc|Weightings'!$K$5:$M$5,1,0),"Excl")</f>
        <v>Contracts</v>
      </c>
      <c r="AM827" s="7" t="str">
        <f>VLOOKUP(AC827,Mapping!$E$11:$I$96,5,0)</f>
        <v>Metering Services</v>
      </c>
      <c r="AO827" s="134">
        <v>141</v>
      </c>
      <c r="AP827" s="135" t="s">
        <v>2149</v>
      </c>
      <c r="AQ827" s="135">
        <v>531210</v>
      </c>
      <c r="AR827" s="135" t="s">
        <v>252</v>
      </c>
      <c r="AS827" s="136">
        <v>0.6</v>
      </c>
      <c r="AU827" s="7" t="str">
        <f>VLOOKUP($AO827,Mapping!$E$11:$I$96,3,0)</f>
        <v>Replacement</v>
      </c>
      <c r="AV827" s="7" t="str">
        <f>VLOOKUP($AQ827,Mapping!$E$140:$K$2771,5,0)</f>
        <v>Labour</v>
      </c>
      <c r="AW827" s="7" t="str">
        <f>VLOOKUP($AQ827,Mapping!$E$140:$K$2771,7,0)</f>
        <v>ENDirect</v>
      </c>
      <c r="AX827" s="7" t="str">
        <f>IFERROR(HLOOKUP(AV827,'Calc|Weightings'!$K$5:$M$5,1,0),"Excl")</f>
        <v>Labour</v>
      </c>
      <c r="AY827" s="7" t="str">
        <f>VLOOKUP(AO827,Mapping!$E$11:$I$96,5,0)</f>
        <v>SCS</v>
      </c>
    </row>
    <row r="828" spans="1:51" x14ac:dyDescent="0.2">
      <c r="A828" s="7"/>
      <c r="B828" s="7"/>
      <c r="C828" s="7"/>
      <c r="D828" s="7"/>
      <c r="E828" s="36">
        <v>135</v>
      </c>
      <c r="F828" s="36" t="s">
        <v>2386</v>
      </c>
      <c r="G828" s="36">
        <v>625006</v>
      </c>
      <c r="H828" s="36" t="s">
        <v>1228</v>
      </c>
      <c r="I828" s="37">
        <v>6.46652</v>
      </c>
      <c r="J828" s="7"/>
      <c r="K828" s="7" t="str">
        <f>VLOOKUP($E828,Mapping!$E$11:$I$96,3,0)</f>
        <v>Metering Capex</v>
      </c>
      <c r="L828" s="7" t="str">
        <f>VLOOKUP($G828,Mapping!$E$140:$K$2771,5,0)</f>
        <v>Materials</v>
      </c>
      <c r="M828" s="7" t="str">
        <f>VLOOKUP($G828,Mapping!$E$140:$K$2771,7,0)</f>
        <v>ENDirect</v>
      </c>
      <c r="N828" s="7" t="str">
        <f>IFERROR(HLOOKUP(L828,'Calc|Weightings'!$K$5:$M$5,1,0),"Excl")</f>
        <v>Materials</v>
      </c>
      <c r="O828" s="7" t="str">
        <f>VLOOKUP(E828,Mapping!$E$11:$I$96,5,0)</f>
        <v>Metering Services</v>
      </c>
      <c r="Q828" s="33">
        <v>139</v>
      </c>
      <c r="R828" s="33" t="s">
        <v>2146</v>
      </c>
      <c r="S828" s="33">
        <v>635001</v>
      </c>
      <c r="T828" s="33" t="s">
        <v>1929</v>
      </c>
      <c r="U828" s="34">
        <v>2.0848100000000001</v>
      </c>
      <c r="V828" s="7"/>
      <c r="W828" s="7" t="str">
        <f>VLOOKUP($Q828,Mapping!$E$11:$I$96,3,0)</f>
        <v>Replacement</v>
      </c>
      <c r="X828" s="7" t="str">
        <f>VLOOKUP($S828,Mapping!$E$140:$K$2771,5,0)</f>
        <v>PNS MG</v>
      </c>
      <c r="Y828" s="7" t="str">
        <f>VLOOKUP($S828,Mapping!$E$140:$K$2771,7,0)</f>
        <v>ENDirect</v>
      </c>
      <c r="Z828" s="7" t="str">
        <f>IFERROR(HLOOKUP(X828,'Calc|Weightings'!$K$5:$M$5,1,0),"Excl")</f>
        <v>Excl</v>
      </c>
      <c r="AA828" s="7" t="str">
        <f>VLOOKUP(Q828,Mapping!$E$11:$I$96,5,0)</f>
        <v>SCS</v>
      </c>
      <c r="AC828" s="111">
        <v>137</v>
      </c>
      <c r="AD828" s="111" t="s">
        <v>2144</v>
      </c>
      <c r="AE828" s="111">
        <v>613696</v>
      </c>
      <c r="AF828" s="111" t="s">
        <v>1239</v>
      </c>
      <c r="AG828" s="112">
        <v>4.7231800000000002</v>
      </c>
      <c r="AI828" s="7" t="str">
        <f>VLOOKUP($AC828,Mapping!$E$11:$I$96,3,0)</f>
        <v>Metering Capex</v>
      </c>
      <c r="AJ828" s="7" t="str">
        <f>VLOOKUP($AE828,Mapping!$E$140:$K$2771,5,0)</f>
        <v>Contracts</v>
      </c>
      <c r="AK828" s="7" t="str">
        <f>VLOOKUP($AE828,Mapping!$E$140:$K$2771,7,0)</f>
        <v>ENDirect</v>
      </c>
      <c r="AL828" s="7" t="str">
        <f>IFERROR(HLOOKUP(AJ828,'Calc|Weightings'!$K$5:$M$5,1,0),"Excl")</f>
        <v>Contracts</v>
      </c>
      <c r="AM828" s="7" t="str">
        <f>VLOOKUP(AC828,Mapping!$E$11:$I$96,5,0)</f>
        <v>Metering Services</v>
      </c>
      <c r="AO828" s="134">
        <v>141</v>
      </c>
      <c r="AP828" s="135" t="s">
        <v>2149</v>
      </c>
      <c r="AQ828" s="135">
        <v>531464</v>
      </c>
      <c r="AR828" s="135" t="s">
        <v>256</v>
      </c>
      <c r="AS828" s="136">
        <v>1703.9279100000001</v>
      </c>
      <c r="AU828" s="7" t="str">
        <f>VLOOKUP($AO828,Mapping!$E$11:$I$96,3,0)</f>
        <v>Replacement</v>
      </c>
      <c r="AV828" s="7" t="str">
        <f>VLOOKUP($AQ828,Mapping!$E$140:$K$2771,5,0)</f>
        <v>Contracts</v>
      </c>
      <c r="AW828" s="7" t="str">
        <f>VLOOKUP($AQ828,Mapping!$E$140:$K$2771,7,0)</f>
        <v>ENDirect</v>
      </c>
      <c r="AX828" s="7" t="str">
        <f>IFERROR(HLOOKUP(AV828,'Calc|Weightings'!$K$5:$M$5,1,0),"Excl")</f>
        <v>Contracts</v>
      </c>
      <c r="AY828" s="7" t="str">
        <f>VLOOKUP(AO828,Mapping!$E$11:$I$96,5,0)</f>
        <v>SCS</v>
      </c>
    </row>
    <row r="829" spans="1:51" x14ac:dyDescent="0.2">
      <c r="A829" s="7"/>
      <c r="B829" s="7"/>
      <c r="C829" s="7"/>
      <c r="D829" s="7"/>
      <c r="E829" s="36">
        <v>135</v>
      </c>
      <c r="F829" s="36" t="s">
        <v>2386</v>
      </c>
      <c r="G829" s="36">
        <v>625009</v>
      </c>
      <c r="H829" s="36" t="s">
        <v>1231</v>
      </c>
      <c r="I829" s="37">
        <v>10.783799999999999</v>
      </c>
      <c r="J829" s="7"/>
      <c r="K829" s="7" t="str">
        <f>VLOOKUP($E829,Mapping!$E$11:$I$96,3,0)</f>
        <v>Metering Capex</v>
      </c>
      <c r="L829" s="7" t="str">
        <f>VLOOKUP($G829,Mapping!$E$140:$K$2771,5,0)</f>
        <v>Materials</v>
      </c>
      <c r="M829" s="7" t="str">
        <f>VLOOKUP($G829,Mapping!$E$140:$K$2771,7,0)</f>
        <v>ENDirect</v>
      </c>
      <c r="N829" s="7" t="str">
        <f>IFERROR(HLOOKUP(L829,'Calc|Weightings'!$K$5:$M$5,1,0),"Excl")</f>
        <v>Materials</v>
      </c>
      <c r="O829" s="7" t="str">
        <f>VLOOKUP(E829,Mapping!$E$11:$I$96,5,0)</f>
        <v>Metering Services</v>
      </c>
      <c r="Q829" s="33">
        <v>139</v>
      </c>
      <c r="R829" s="33" t="s">
        <v>2146</v>
      </c>
      <c r="S829" s="33">
        <v>636001</v>
      </c>
      <c r="T829" s="33" t="s">
        <v>2111</v>
      </c>
      <c r="U829" s="34">
        <v>0.71479000000000004</v>
      </c>
      <c r="V829" s="7"/>
      <c r="W829" s="7" t="str">
        <f>VLOOKUP($Q829,Mapping!$E$11:$I$96,3,0)</f>
        <v>Replacement</v>
      </c>
      <c r="X829" s="7" t="str">
        <f>VLOOKUP($S829,Mapping!$E$140:$K$2771,5,0)</f>
        <v>System Control OH</v>
      </c>
      <c r="Y829" s="7" t="str">
        <f>VLOOKUP($S829,Mapping!$E$140:$K$2771,7,0)</f>
        <v>OH</v>
      </c>
      <c r="Z829" s="7" t="str">
        <f>IFERROR(HLOOKUP(X829,'Calc|Weightings'!$K$5:$M$5,1,0),"Excl")</f>
        <v>Excl</v>
      </c>
      <c r="AA829" s="7" t="str">
        <f>VLOOKUP(Q829,Mapping!$E$11:$I$96,5,0)</f>
        <v>SCS</v>
      </c>
      <c r="AC829" s="111">
        <v>137</v>
      </c>
      <c r="AD829" s="111" t="s">
        <v>2144</v>
      </c>
      <c r="AE829" s="111">
        <v>613697</v>
      </c>
      <c r="AF829" s="111" t="s">
        <v>1240</v>
      </c>
      <c r="AG829" s="112">
        <v>139.2696</v>
      </c>
      <c r="AI829" s="7" t="str">
        <f>VLOOKUP($AC829,Mapping!$E$11:$I$96,3,0)</f>
        <v>Metering Capex</v>
      </c>
      <c r="AJ829" s="7" t="str">
        <f>VLOOKUP($AE829,Mapping!$E$140:$K$2771,5,0)</f>
        <v>Contracts</v>
      </c>
      <c r="AK829" s="7" t="str">
        <f>VLOOKUP($AE829,Mapping!$E$140:$K$2771,7,0)</f>
        <v>ENDirect</v>
      </c>
      <c r="AL829" s="7" t="str">
        <f>IFERROR(HLOOKUP(AJ829,'Calc|Weightings'!$K$5:$M$5,1,0),"Excl")</f>
        <v>Contracts</v>
      </c>
      <c r="AM829" s="7" t="str">
        <f>VLOOKUP(AC829,Mapping!$E$11:$I$96,5,0)</f>
        <v>Metering Services</v>
      </c>
      <c r="AO829" s="134">
        <v>141</v>
      </c>
      <c r="AP829" s="135" t="s">
        <v>2149</v>
      </c>
      <c r="AQ829" s="135">
        <v>531466</v>
      </c>
      <c r="AR829" s="135" t="s">
        <v>258</v>
      </c>
      <c r="AS829" s="136">
        <v>190.65759</v>
      </c>
      <c r="AU829" s="7" t="str">
        <f>VLOOKUP($AO829,Mapping!$E$11:$I$96,3,0)</f>
        <v>Replacement</v>
      </c>
      <c r="AV829" s="7" t="str">
        <f>VLOOKUP($AQ829,Mapping!$E$140:$K$2771,5,0)</f>
        <v>Contracts</v>
      </c>
      <c r="AW829" s="7" t="str">
        <f>VLOOKUP($AQ829,Mapping!$E$140:$K$2771,7,0)</f>
        <v>ENDirect</v>
      </c>
      <c r="AX829" s="7" t="str">
        <f>IFERROR(HLOOKUP(AV829,'Calc|Weightings'!$K$5:$M$5,1,0),"Excl")</f>
        <v>Contracts</v>
      </c>
      <c r="AY829" s="7" t="str">
        <f>VLOOKUP(AO829,Mapping!$E$11:$I$96,5,0)</f>
        <v>SCS</v>
      </c>
    </row>
    <row r="830" spans="1:51" x14ac:dyDescent="0.2">
      <c r="A830" s="7"/>
      <c r="B830" s="7"/>
      <c r="C830" s="7"/>
      <c r="D830" s="7"/>
      <c r="E830" s="36">
        <v>135</v>
      </c>
      <c r="F830" s="36" t="s">
        <v>2386</v>
      </c>
      <c r="G830" s="36">
        <v>633000</v>
      </c>
      <c r="H830" s="36" t="s">
        <v>2202</v>
      </c>
      <c r="I830" s="37">
        <v>7.8829999999999997E-2</v>
      </c>
      <c r="J830" s="7"/>
      <c r="K830" s="7" t="str">
        <f>VLOOKUP($E830,Mapping!$E$11:$I$96,3,0)</f>
        <v>Metering Capex</v>
      </c>
      <c r="L830" s="7" t="str">
        <f>VLOOKUP($G830,Mapping!$E$140:$K$2771,5,0)</f>
        <v>Contracts</v>
      </c>
      <c r="M830" s="7" t="str">
        <f>VLOOKUP($G830,Mapping!$E$140:$K$2771,7,0)</f>
        <v>OH</v>
      </c>
      <c r="N830" s="7" t="str">
        <f>IFERROR(HLOOKUP(L830,'Calc|Weightings'!$K$5:$M$5,1,0),"Excl")</f>
        <v>Contracts</v>
      </c>
      <c r="O830" s="7" t="str">
        <f>VLOOKUP(E830,Mapping!$E$11:$I$96,5,0)</f>
        <v>Metering Services</v>
      </c>
      <c r="Q830" s="33">
        <v>139</v>
      </c>
      <c r="R830" s="33" t="s">
        <v>2146</v>
      </c>
      <c r="S830" s="33">
        <v>639000</v>
      </c>
      <c r="T830" s="33" t="s">
        <v>2112</v>
      </c>
      <c r="U830" s="34">
        <v>1.92225</v>
      </c>
      <c r="V830" s="7"/>
      <c r="W830" s="7" t="str">
        <f>VLOOKUP($Q830,Mapping!$E$11:$I$96,3,0)</f>
        <v>Replacement</v>
      </c>
      <c r="X830" s="7" t="str">
        <f>VLOOKUP($S830,Mapping!$E$140:$K$2771,5,0)</f>
        <v>PNS Corporate OH</v>
      </c>
      <c r="Y830" s="7" t="str">
        <f>VLOOKUP($S830,Mapping!$E$140:$K$2771,7,0)</f>
        <v>OH</v>
      </c>
      <c r="Z830" s="7" t="str">
        <f>IFERROR(HLOOKUP(X830,'Calc|Weightings'!$K$5:$M$5,1,0),"Excl")</f>
        <v>Excl</v>
      </c>
      <c r="AA830" s="7" t="str">
        <f>VLOOKUP(Q830,Mapping!$E$11:$I$96,5,0)</f>
        <v>SCS</v>
      </c>
      <c r="AC830" s="111">
        <v>137</v>
      </c>
      <c r="AD830" s="111" t="s">
        <v>2144</v>
      </c>
      <c r="AE830" s="111">
        <v>613780</v>
      </c>
      <c r="AF830" s="111" t="s">
        <v>1582</v>
      </c>
      <c r="AG830" s="112">
        <v>3.57</v>
      </c>
      <c r="AI830" s="7" t="str">
        <f>VLOOKUP($AC830,Mapping!$E$11:$I$96,3,0)</f>
        <v>Metering Capex</v>
      </c>
      <c r="AJ830" s="7" t="str">
        <f>VLOOKUP($AE830,Mapping!$E$140:$K$2771,5,0)</f>
        <v>Labour</v>
      </c>
      <c r="AK830" s="7" t="str">
        <f>VLOOKUP($AE830,Mapping!$E$140:$K$2771,7,0)</f>
        <v>ENDirect</v>
      </c>
      <c r="AL830" s="7" t="str">
        <f>IFERROR(HLOOKUP(AJ830,'Calc|Weightings'!$K$5:$M$5,1,0),"Excl")</f>
        <v>Labour</v>
      </c>
      <c r="AM830" s="7" t="str">
        <f>VLOOKUP(AC830,Mapping!$E$11:$I$96,5,0)</f>
        <v>Metering Services</v>
      </c>
      <c r="AO830" s="134">
        <v>141</v>
      </c>
      <c r="AP830" s="135" t="s">
        <v>2149</v>
      </c>
      <c r="AQ830" s="135">
        <v>531467</v>
      </c>
      <c r="AR830" s="135" t="s">
        <v>259</v>
      </c>
      <c r="AS830" s="136">
        <v>545.96389999999997</v>
      </c>
      <c r="AU830" s="7" t="str">
        <f>VLOOKUP($AO830,Mapping!$E$11:$I$96,3,0)</f>
        <v>Replacement</v>
      </c>
      <c r="AV830" s="7" t="str">
        <f>VLOOKUP($AQ830,Mapping!$E$140:$K$2771,5,0)</f>
        <v>Contracts</v>
      </c>
      <c r="AW830" s="7" t="str">
        <f>VLOOKUP($AQ830,Mapping!$E$140:$K$2771,7,0)</f>
        <v>ENDirect</v>
      </c>
      <c r="AX830" s="7" t="str">
        <f>IFERROR(HLOOKUP(AV830,'Calc|Weightings'!$K$5:$M$5,1,0),"Excl")</f>
        <v>Contracts</v>
      </c>
      <c r="AY830" s="7" t="str">
        <f>VLOOKUP(AO830,Mapping!$E$11:$I$96,5,0)</f>
        <v>SCS</v>
      </c>
    </row>
    <row r="831" spans="1:51" x14ac:dyDescent="0.2">
      <c r="A831" s="7"/>
      <c r="B831" s="7"/>
      <c r="C831" s="7"/>
      <c r="D831" s="7"/>
      <c r="E831" s="36">
        <v>135</v>
      </c>
      <c r="F831" s="36" t="s">
        <v>2386</v>
      </c>
      <c r="G831" s="36">
        <v>638000</v>
      </c>
      <c r="H831" s="36" t="s">
        <v>1147</v>
      </c>
      <c r="I831" s="37">
        <v>0.47369</v>
      </c>
      <c r="J831" s="7"/>
      <c r="K831" s="7" t="str">
        <f>VLOOKUP($E831,Mapping!$E$11:$I$96,3,0)</f>
        <v>Metering Capex</v>
      </c>
      <c r="L831" s="7" t="str">
        <f>VLOOKUP($G831,Mapping!$E$140:$K$2771,5,0)</f>
        <v>CHEDS AMI BAU MG</v>
      </c>
      <c r="M831" s="7" t="str">
        <f>VLOOKUP($G831,Mapping!$E$140:$K$2771,7,0)</f>
        <v>ENDirect</v>
      </c>
      <c r="N831" s="7" t="str">
        <f>IFERROR(HLOOKUP(L831,'Calc|Weightings'!$K$5:$M$5,1,0),"Excl")</f>
        <v>Excl</v>
      </c>
      <c r="O831" s="7" t="str">
        <f>VLOOKUP(E831,Mapping!$E$11:$I$96,5,0)</f>
        <v>Metering Services</v>
      </c>
      <c r="Q831" s="33">
        <v>139</v>
      </c>
      <c r="R831" s="33" t="s">
        <v>2146</v>
      </c>
      <c r="S831" s="33">
        <v>639050</v>
      </c>
      <c r="T831" s="33" t="s">
        <v>2113</v>
      </c>
      <c r="U831" s="34">
        <v>0.26954</v>
      </c>
      <c r="V831" s="7"/>
      <c r="W831" s="7" t="str">
        <f>VLOOKUP($Q831,Mapping!$E$11:$I$96,3,0)</f>
        <v>Replacement</v>
      </c>
      <c r="X831" s="7" t="str">
        <f>VLOOKUP($S831,Mapping!$E$140:$K$2771,5,0)</f>
        <v>PNS Fleet &amp; Property OH</v>
      </c>
      <c r="Y831" s="7" t="str">
        <f>VLOOKUP($S831,Mapping!$E$140:$K$2771,7,0)</f>
        <v>OH</v>
      </c>
      <c r="Z831" s="7" t="str">
        <f>IFERROR(HLOOKUP(X831,'Calc|Weightings'!$K$5:$M$5,1,0),"Excl")</f>
        <v>Excl</v>
      </c>
      <c r="AA831" s="7" t="str">
        <f>VLOOKUP(Q831,Mapping!$E$11:$I$96,5,0)</f>
        <v>SCS</v>
      </c>
      <c r="AC831" s="111">
        <v>137</v>
      </c>
      <c r="AD831" s="111" t="s">
        <v>2144</v>
      </c>
      <c r="AE831" s="111">
        <v>613783</v>
      </c>
      <c r="AF831" s="111" t="s">
        <v>1584</v>
      </c>
      <c r="AG831" s="112">
        <v>0.31563999999999998</v>
      </c>
      <c r="AI831" s="7" t="str">
        <f>VLOOKUP($AC831,Mapping!$E$11:$I$96,3,0)</f>
        <v>Metering Capex</v>
      </c>
      <c r="AJ831" s="7" t="str">
        <f>VLOOKUP($AE831,Mapping!$E$140:$K$2771,5,0)</f>
        <v>Labour</v>
      </c>
      <c r="AK831" s="7" t="str">
        <f>VLOOKUP($AE831,Mapping!$E$140:$K$2771,7,0)</f>
        <v>ENDirect</v>
      </c>
      <c r="AL831" s="7" t="str">
        <f>IFERROR(HLOOKUP(AJ831,'Calc|Weightings'!$K$5:$M$5,1,0),"Excl")</f>
        <v>Labour</v>
      </c>
      <c r="AM831" s="7" t="str">
        <f>VLOOKUP(AC831,Mapping!$E$11:$I$96,5,0)</f>
        <v>Metering Services</v>
      </c>
      <c r="AO831" s="134">
        <v>141</v>
      </c>
      <c r="AP831" s="135" t="s">
        <v>2149</v>
      </c>
      <c r="AQ831" s="135">
        <v>531468</v>
      </c>
      <c r="AR831" s="135" t="s">
        <v>260</v>
      </c>
      <c r="AS831" s="136">
        <v>479.01323000000002</v>
      </c>
      <c r="AU831" s="7" t="str">
        <f>VLOOKUP($AO831,Mapping!$E$11:$I$96,3,0)</f>
        <v>Replacement</v>
      </c>
      <c r="AV831" s="7" t="str">
        <f>VLOOKUP($AQ831,Mapping!$E$140:$K$2771,5,0)</f>
        <v>Contracts</v>
      </c>
      <c r="AW831" s="7" t="str">
        <f>VLOOKUP($AQ831,Mapping!$E$140:$K$2771,7,0)</f>
        <v>ENDirect</v>
      </c>
      <c r="AX831" s="7" t="str">
        <f>IFERROR(HLOOKUP(AV831,'Calc|Weightings'!$K$5:$M$5,1,0),"Excl")</f>
        <v>Contracts</v>
      </c>
      <c r="AY831" s="7" t="str">
        <f>VLOOKUP(AO831,Mapping!$E$11:$I$96,5,0)</f>
        <v>SCS</v>
      </c>
    </row>
    <row r="832" spans="1:51" x14ac:dyDescent="0.2">
      <c r="A832" s="7"/>
      <c r="B832" s="7"/>
      <c r="C832" s="7"/>
      <c r="D832" s="7"/>
      <c r="E832" s="36">
        <v>135</v>
      </c>
      <c r="F832" s="36" t="s">
        <v>2386</v>
      </c>
      <c r="G832" s="36">
        <v>639050</v>
      </c>
      <c r="H832" s="36" t="s">
        <v>2113</v>
      </c>
      <c r="I832" s="37">
        <v>9.1429999999999997E-2</v>
      </c>
      <c r="J832" s="7"/>
      <c r="K832" s="7" t="str">
        <f>VLOOKUP($E832,Mapping!$E$11:$I$96,3,0)</f>
        <v>Metering Capex</v>
      </c>
      <c r="L832" s="7" t="str">
        <f>VLOOKUP($G832,Mapping!$E$140:$K$2771,5,0)</f>
        <v>PNS Fleet &amp; Property OH</v>
      </c>
      <c r="M832" s="7" t="str">
        <f>VLOOKUP($G832,Mapping!$E$140:$K$2771,7,0)</f>
        <v>OH</v>
      </c>
      <c r="N832" s="7" t="str">
        <f>IFERROR(HLOOKUP(L832,'Calc|Weightings'!$K$5:$M$5,1,0),"Excl")</f>
        <v>Excl</v>
      </c>
      <c r="O832" s="7" t="str">
        <f>VLOOKUP(E832,Mapping!$E$11:$I$96,5,0)</f>
        <v>Metering Services</v>
      </c>
      <c r="Q832" s="33">
        <v>140</v>
      </c>
      <c r="R832" s="33" t="s">
        <v>2148</v>
      </c>
      <c r="S832" s="33">
        <v>500200</v>
      </c>
      <c r="T832" s="33" t="s">
        <v>136</v>
      </c>
      <c r="U832" s="34">
        <v>5.0000000000000002E-5</v>
      </c>
      <c r="V832" s="7"/>
      <c r="W832" s="7" t="str">
        <f>VLOOKUP($Q832,Mapping!$E$11:$I$96,3,0)</f>
        <v>Public lighting Capex</v>
      </c>
      <c r="X832" s="7" t="str">
        <f>VLOOKUP($S832,Mapping!$E$140:$K$2771,5,0)</f>
        <v>Labour</v>
      </c>
      <c r="Y832" s="7" t="str">
        <f>VLOOKUP($S832,Mapping!$E$140:$K$2771,7,0)</f>
        <v>ENDirect</v>
      </c>
      <c r="Z832" s="7" t="str">
        <f>IFERROR(HLOOKUP(X832,'Calc|Weightings'!$K$5:$M$5,1,0),"Excl")</f>
        <v>Labour</v>
      </c>
      <c r="AA832" s="7" t="str">
        <f>VLOOKUP(Q832,Mapping!$E$11:$I$96,5,0)</f>
        <v>Public Lighting</v>
      </c>
      <c r="AC832" s="111">
        <v>137</v>
      </c>
      <c r="AD832" s="111" t="s">
        <v>2144</v>
      </c>
      <c r="AE832" s="111">
        <v>613846</v>
      </c>
      <c r="AF832" s="111" t="s">
        <v>847</v>
      </c>
      <c r="AG832" s="112">
        <v>16.170000000000002</v>
      </c>
      <c r="AI832" s="7" t="str">
        <f>VLOOKUP($AC832,Mapping!$E$11:$I$96,3,0)</f>
        <v>Metering Capex</v>
      </c>
      <c r="AJ832" s="7" t="str">
        <f>VLOOKUP($AE832,Mapping!$E$140:$K$2771,5,0)</f>
        <v>Labour</v>
      </c>
      <c r="AK832" s="7" t="str">
        <f>VLOOKUP($AE832,Mapping!$E$140:$K$2771,7,0)</f>
        <v>ENDirect</v>
      </c>
      <c r="AL832" s="7" t="str">
        <f>IFERROR(HLOOKUP(AJ832,'Calc|Weightings'!$K$5:$M$5,1,0),"Excl")</f>
        <v>Labour</v>
      </c>
      <c r="AM832" s="7" t="str">
        <f>VLOOKUP(AC832,Mapping!$E$11:$I$96,5,0)</f>
        <v>Metering Services</v>
      </c>
      <c r="AO832" s="134">
        <v>141</v>
      </c>
      <c r="AP832" s="135" t="s">
        <v>2149</v>
      </c>
      <c r="AQ832" s="135">
        <v>531469</v>
      </c>
      <c r="AR832" s="135" t="s">
        <v>261</v>
      </c>
      <c r="AS832" s="136">
        <v>19.27365</v>
      </c>
      <c r="AU832" s="7" t="str">
        <f>VLOOKUP($AO832,Mapping!$E$11:$I$96,3,0)</f>
        <v>Replacement</v>
      </c>
      <c r="AV832" s="7" t="str">
        <f>VLOOKUP($AQ832,Mapping!$E$140:$K$2771,5,0)</f>
        <v>Labour</v>
      </c>
      <c r="AW832" s="7" t="str">
        <f>VLOOKUP($AQ832,Mapping!$E$140:$K$2771,7,0)</f>
        <v>ENDirect</v>
      </c>
      <c r="AX832" s="7" t="str">
        <f>IFERROR(HLOOKUP(AV832,'Calc|Weightings'!$K$5:$M$5,1,0),"Excl")</f>
        <v>Labour</v>
      </c>
      <c r="AY832" s="7" t="str">
        <f>VLOOKUP(AO832,Mapping!$E$11:$I$96,5,0)</f>
        <v>SCS</v>
      </c>
    </row>
    <row r="833" spans="1:51" x14ac:dyDescent="0.2">
      <c r="A833" s="7"/>
      <c r="B833" s="7"/>
      <c r="C833" s="7"/>
      <c r="D833" s="7"/>
      <c r="E833" s="36">
        <v>137</v>
      </c>
      <c r="F833" s="36" t="s">
        <v>2144</v>
      </c>
      <c r="G833" s="36">
        <v>624654</v>
      </c>
      <c r="H833" s="36" t="s">
        <v>1901</v>
      </c>
      <c r="I833" s="37">
        <v>9.3355499999999996</v>
      </c>
      <c r="J833" s="7"/>
      <c r="K833" s="7" t="str">
        <f>VLOOKUP($E833,Mapping!$E$11:$I$96,3,0)</f>
        <v>Metering Capex</v>
      </c>
      <c r="L833" s="7" t="str">
        <f>VLOOKUP($G833,Mapping!$E$140:$K$2771,5,0)</f>
        <v>Contracts</v>
      </c>
      <c r="M833" s="7" t="str">
        <f>VLOOKUP($G833,Mapping!$E$140:$K$2771,7,0)</f>
        <v>ENDirect</v>
      </c>
      <c r="N833" s="7" t="str">
        <f>IFERROR(HLOOKUP(L833,'Calc|Weightings'!$K$5:$M$5,1,0),"Excl")</f>
        <v>Contracts</v>
      </c>
      <c r="O833" s="7" t="str">
        <f>VLOOKUP(E833,Mapping!$E$11:$I$96,5,0)</f>
        <v>Metering Services</v>
      </c>
      <c r="Q833" s="33">
        <v>140</v>
      </c>
      <c r="R833" s="33" t="s">
        <v>2148</v>
      </c>
      <c r="S833" s="33">
        <v>520100</v>
      </c>
      <c r="T833" s="33" t="s">
        <v>2072</v>
      </c>
      <c r="U833" s="34">
        <v>334.06148999999999</v>
      </c>
      <c r="V833" s="7"/>
      <c r="W833" s="7" t="str">
        <f>VLOOKUP($Q833,Mapping!$E$11:$I$96,3,0)</f>
        <v>Public lighting Capex</v>
      </c>
      <c r="X833" s="7" t="str">
        <f>VLOOKUP($S833,Mapping!$E$140:$K$2771,5,0)</f>
        <v>Materials</v>
      </c>
      <c r="Y833" s="7" t="str">
        <f>VLOOKUP($S833,Mapping!$E$140:$K$2771,7,0)</f>
        <v>ENDirect</v>
      </c>
      <c r="Z833" s="7" t="str">
        <f>IFERROR(HLOOKUP(X833,'Calc|Weightings'!$K$5:$M$5,1,0),"Excl")</f>
        <v>Materials</v>
      </c>
      <c r="AA833" s="7" t="str">
        <f>VLOOKUP(Q833,Mapping!$E$11:$I$96,5,0)</f>
        <v>Public Lighting</v>
      </c>
      <c r="AC833" s="111">
        <v>137</v>
      </c>
      <c r="AD833" s="111" t="s">
        <v>2144</v>
      </c>
      <c r="AE833" s="111">
        <v>613847</v>
      </c>
      <c r="AF833" s="111" t="s">
        <v>1605</v>
      </c>
      <c r="AG833" s="112">
        <v>2.1</v>
      </c>
      <c r="AI833" s="7" t="str">
        <f>VLOOKUP($AC833,Mapping!$E$11:$I$96,3,0)</f>
        <v>Metering Capex</v>
      </c>
      <c r="AJ833" s="7" t="str">
        <f>VLOOKUP($AE833,Mapping!$E$140:$K$2771,5,0)</f>
        <v>Labour</v>
      </c>
      <c r="AK833" s="7" t="str">
        <f>VLOOKUP($AE833,Mapping!$E$140:$K$2771,7,0)</f>
        <v>ENDirect</v>
      </c>
      <c r="AL833" s="7" t="str">
        <f>IFERROR(HLOOKUP(AJ833,'Calc|Weightings'!$K$5:$M$5,1,0),"Excl")</f>
        <v>Labour</v>
      </c>
      <c r="AM833" s="7" t="str">
        <f>VLOOKUP(AC833,Mapping!$E$11:$I$96,5,0)</f>
        <v>Metering Services</v>
      </c>
      <c r="AO833" s="134">
        <v>141</v>
      </c>
      <c r="AP833" s="135" t="s">
        <v>2149</v>
      </c>
      <c r="AQ833" s="135">
        <v>532200</v>
      </c>
      <c r="AR833" s="135" t="s">
        <v>291</v>
      </c>
      <c r="AS833" s="136">
        <v>1.3102499999999999</v>
      </c>
      <c r="AU833" s="7" t="str">
        <f>VLOOKUP($AO833,Mapping!$E$11:$I$96,3,0)</f>
        <v>Replacement</v>
      </c>
      <c r="AV833" s="7" t="str">
        <f>VLOOKUP($AQ833,Mapping!$E$140:$K$2771,5,0)</f>
        <v>Contracts</v>
      </c>
      <c r="AW833" s="7" t="str">
        <f>VLOOKUP($AQ833,Mapping!$E$140:$K$2771,7,0)</f>
        <v>ENDirect</v>
      </c>
      <c r="AX833" s="7" t="str">
        <f>IFERROR(HLOOKUP(AV833,'Calc|Weightings'!$K$5:$M$5,1,0),"Excl")</f>
        <v>Contracts</v>
      </c>
      <c r="AY833" s="7" t="str">
        <f>VLOOKUP(AO833,Mapping!$E$11:$I$96,5,0)</f>
        <v>SCS</v>
      </c>
    </row>
    <row r="834" spans="1:51" x14ac:dyDescent="0.2">
      <c r="A834" s="7"/>
      <c r="B834" s="7"/>
      <c r="C834" s="7"/>
      <c r="D834" s="7"/>
      <c r="E834" s="36">
        <v>137</v>
      </c>
      <c r="F834" s="36" t="s">
        <v>2144</v>
      </c>
      <c r="G834" s="36">
        <v>624678</v>
      </c>
      <c r="H834" s="36" t="s">
        <v>847</v>
      </c>
      <c r="I834" s="37">
        <v>32.065390000000001</v>
      </c>
      <c r="J834" s="7"/>
      <c r="K834" s="7" t="str">
        <f>VLOOKUP($E834,Mapping!$E$11:$I$96,3,0)</f>
        <v>Metering Capex</v>
      </c>
      <c r="L834" s="7" t="str">
        <f>VLOOKUP($G834,Mapping!$E$140:$K$2771,5,0)</f>
        <v>Labour</v>
      </c>
      <c r="M834" s="7" t="str">
        <f>VLOOKUP($G834,Mapping!$E$140:$K$2771,7,0)</f>
        <v>ENDirect</v>
      </c>
      <c r="N834" s="7" t="str">
        <f>IFERROR(HLOOKUP(L834,'Calc|Weightings'!$K$5:$M$5,1,0),"Excl")</f>
        <v>Labour</v>
      </c>
      <c r="O834" s="7" t="str">
        <f>VLOOKUP(E834,Mapping!$E$11:$I$96,5,0)</f>
        <v>Metering Services</v>
      </c>
      <c r="Q834" s="33">
        <v>140</v>
      </c>
      <c r="R834" s="33" t="s">
        <v>2148</v>
      </c>
      <c r="S834" s="33">
        <v>523100</v>
      </c>
      <c r="T834" s="33" t="s">
        <v>2074</v>
      </c>
      <c r="U834" s="34">
        <v>7.2580000000000006E-2</v>
      </c>
      <c r="V834" s="7"/>
      <c r="W834" s="7" t="str">
        <f>VLOOKUP($Q834,Mapping!$E$11:$I$96,3,0)</f>
        <v>Public lighting Capex</v>
      </c>
      <c r="X834" s="7" t="str">
        <f>VLOOKUP($S834,Mapping!$E$140:$K$2771,5,0)</f>
        <v>Materials</v>
      </c>
      <c r="Y834" s="7" t="str">
        <f>VLOOKUP($S834,Mapping!$E$140:$K$2771,7,0)</f>
        <v>ENDirect</v>
      </c>
      <c r="Z834" s="7" t="str">
        <f>IFERROR(HLOOKUP(X834,'Calc|Weightings'!$K$5:$M$5,1,0),"Excl")</f>
        <v>Materials</v>
      </c>
      <c r="AA834" s="7" t="str">
        <f>VLOOKUP(Q834,Mapping!$E$11:$I$96,5,0)</f>
        <v>Public Lighting</v>
      </c>
      <c r="AC834" s="111">
        <v>137</v>
      </c>
      <c r="AD834" s="111" t="s">
        <v>2144</v>
      </c>
      <c r="AE834" s="111">
        <v>613848</v>
      </c>
      <c r="AF834" s="111" t="s">
        <v>849</v>
      </c>
      <c r="AG834" s="112">
        <v>16.728919999999999</v>
      </c>
      <c r="AI834" s="7" t="str">
        <f>VLOOKUP($AC834,Mapping!$E$11:$I$96,3,0)</f>
        <v>Metering Capex</v>
      </c>
      <c r="AJ834" s="7" t="str">
        <f>VLOOKUP($AE834,Mapping!$E$140:$K$2771,5,0)</f>
        <v>Labour</v>
      </c>
      <c r="AK834" s="7" t="str">
        <f>VLOOKUP($AE834,Mapping!$E$140:$K$2771,7,0)</f>
        <v>ENDirect</v>
      </c>
      <c r="AL834" s="7" t="str">
        <f>IFERROR(HLOOKUP(AJ834,'Calc|Weightings'!$K$5:$M$5,1,0),"Excl")</f>
        <v>Labour</v>
      </c>
      <c r="AM834" s="7" t="str">
        <f>VLOOKUP(AC834,Mapping!$E$11:$I$96,5,0)</f>
        <v>Metering Services</v>
      </c>
      <c r="AO834" s="134">
        <v>141</v>
      </c>
      <c r="AP834" s="135" t="s">
        <v>2149</v>
      </c>
      <c r="AQ834" s="135">
        <v>532340</v>
      </c>
      <c r="AR834" s="135" t="s">
        <v>299</v>
      </c>
      <c r="AS834" s="136">
        <v>2.7839999999999998</v>
      </c>
      <c r="AU834" s="7" t="str">
        <f>VLOOKUP($AO834,Mapping!$E$11:$I$96,3,0)</f>
        <v>Replacement</v>
      </c>
      <c r="AV834" s="7" t="str">
        <f>VLOOKUP($AQ834,Mapping!$E$140:$K$2771,5,0)</f>
        <v>Contracts</v>
      </c>
      <c r="AW834" s="7" t="str">
        <f>VLOOKUP($AQ834,Mapping!$E$140:$K$2771,7,0)</f>
        <v>ENDirect</v>
      </c>
      <c r="AX834" s="7" t="str">
        <f>IFERROR(HLOOKUP(AV834,'Calc|Weightings'!$K$5:$M$5,1,0),"Excl")</f>
        <v>Contracts</v>
      </c>
      <c r="AY834" s="7" t="str">
        <f>VLOOKUP(AO834,Mapping!$E$11:$I$96,5,0)</f>
        <v>SCS</v>
      </c>
    </row>
    <row r="835" spans="1:51" x14ac:dyDescent="0.2">
      <c r="A835" s="7"/>
      <c r="B835" s="7"/>
      <c r="C835" s="7"/>
      <c r="D835" s="7"/>
      <c r="E835" s="36">
        <v>137</v>
      </c>
      <c r="F835" s="36" t="s">
        <v>2144</v>
      </c>
      <c r="G835" s="36">
        <v>624679</v>
      </c>
      <c r="H835" s="36" t="s">
        <v>1605</v>
      </c>
      <c r="I835" s="37">
        <v>1.54532</v>
      </c>
      <c r="J835" s="7"/>
      <c r="K835" s="7" t="str">
        <f>VLOOKUP($E835,Mapping!$E$11:$I$96,3,0)</f>
        <v>Metering Capex</v>
      </c>
      <c r="L835" s="7" t="str">
        <f>VLOOKUP($G835,Mapping!$E$140:$K$2771,5,0)</f>
        <v>Labour</v>
      </c>
      <c r="M835" s="7" t="str">
        <f>VLOOKUP($G835,Mapping!$E$140:$K$2771,7,0)</f>
        <v>ENDirect</v>
      </c>
      <c r="N835" s="7" t="str">
        <f>IFERROR(HLOOKUP(L835,'Calc|Weightings'!$K$5:$M$5,1,0),"Excl")</f>
        <v>Labour</v>
      </c>
      <c r="O835" s="7" t="str">
        <f>VLOOKUP(E835,Mapping!$E$11:$I$96,5,0)</f>
        <v>Metering Services</v>
      </c>
      <c r="Q835" s="33">
        <v>140</v>
      </c>
      <c r="R835" s="33" t="s">
        <v>2148</v>
      </c>
      <c r="S835" s="33">
        <v>523300</v>
      </c>
      <c r="T835" s="33" t="s">
        <v>2075</v>
      </c>
      <c r="U835" s="34">
        <v>2.7890000000000002E-2</v>
      </c>
      <c r="V835" s="7"/>
      <c r="W835" s="7" t="str">
        <f>VLOOKUP($Q835,Mapping!$E$11:$I$96,3,0)</f>
        <v>Public lighting Capex</v>
      </c>
      <c r="X835" s="7" t="str">
        <f>VLOOKUP($S835,Mapping!$E$140:$K$2771,5,0)</f>
        <v>Materials</v>
      </c>
      <c r="Y835" s="7" t="str">
        <f>VLOOKUP($S835,Mapping!$E$140:$K$2771,7,0)</f>
        <v>ENDirect</v>
      </c>
      <c r="Z835" s="7" t="str">
        <f>IFERROR(HLOOKUP(X835,'Calc|Weightings'!$K$5:$M$5,1,0),"Excl")</f>
        <v>Materials</v>
      </c>
      <c r="AA835" s="7" t="str">
        <f>VLOOKUP(Q835,Mapping!$E$11:$I$96,5,0)</f>
        <v>Public Lighting</v>
      </c>
      <c r="AC835" s="111">
        <v>137</v>
      </c>
      <c r="AD835" s="111" t="s">
        <v>2144</v>
      </c>
      <c r="AE835" s="111">
        <v>613858</v>
      </c>
      <c r="AF835" s="111" t="s">
        <v>858</v>
      </c>
      <c r="AG835" s="112">
        <v>21.269780000000001</v>
      </c>
      <c r="AI835" s="7" t="str">
        <f>VLOOKUP($AC835,Mapping!$E$11:$I$96,3,0)</f>
        <v>Metering Capex</v>
      </c>
      <c r="AJ835" s="7" t="str">
        <f>VLOOKUP($AE835,Mapping!$E$140:$K$2771,5,0)</f>
        <v>Labour</v>
      </c>
      <c r="AK835" s="7" t="str">
        <f>VLOOKUP($AE835,Mapping!$E$140:$K$2771,7,0)</f>
        <v>ENDirect</v>
      </c>
      <c r="AL835" s="7" t="str">
        <f>IFERROR(HLOOKUP(AJ835,'Calc|Weightings'!$K$5:$M$5,1,0),"Excl")</f>
        <v>Labour</v>
      </c>
      <c r="AM835" s="7" t="str">
        <f>VLOOKUP(AC835,Mapping!$E$11:$I$96,5,0)</f>
        <v>Metering Services</v>
      </c>
      <c r="AO835" s="134">
        <v>141</v>
      </c>
      <c r="AP835" s="135" t="s">
        <v>2149</v>
      </c>
      <c r="AQ835" s="135">
        <v>591997</v>
      </c>
      <c r="AR835" s="135" t="s">
        <v>2194</v>
      </c>
      <c r="AS835" s="136">
        <v>-3.27874</v>
      </c>
      <c r="AU835" s="7" t="str">
        <f>VLOOKUP($AO835,Mapping!$E$11:$I$96,3,0)</f>
        <v>Replacement</v>
      </c>
      <c r="AV835" s="7" t="str">
        <f>VLOOKUP($AQ835,Mapping!$E$140:$K$2771,5,0)</f>
        <v>Contracts</v>
      </c>
      <c r="AW835" s="7" t="str">
        <f>VLOOKUP($AQ835,Mapping!$E$140:$K$2771,7,0)</f>
        <v>ENDirect</v>
      </c>
      <c r="AX835" s="7" t="str">
        <f>IFERROR(HLOOKUP(AV835,'Calc|Weightings'!$K$5:$M$5,1,0),"Excl")</f>
        <v>Contracts</v>
      </c>
      <c r="AY835" s="7" t="str">
        <f>VLOOKUP(AO835,Mapping!$E$11:$I$96,5,0)</f>
        <v>SCS</v>
      </c>
    </row>
    <row r="836" spans="1:51" x14ac:dyDescent="0.2">
      <c r="A836" s="7"/>
      <c r="B836" s="7"/>
      <c r="C836" s="7"/>
      <c r="D836" s="7"/>
      <c r="E836" s="36">
        <v>137</v>
      </c>
      <c r="F836" s="36" t="s">
        <v>2144</v>
      </c>
      <c r="G836" s="36">
        <v>624680</v>
      </c>
      <c r="H836" s="36" t="s">
        <v>849</v>
      </c>
      <c r="I836" s="37">
        <v>22.8612</v>
      </c>
      <c r="J836" s="7"/>
      <c r="K836" s="7" t="str">
        <f>VLOOKUP($E836,Mapping!$E$11:$I$96,3,0)</f>
        <v>Metering Capex</v>
      </c>
      <c r="L836" s="7" t="str">
        <f>VLOOKUP($G836,Mapping!$E$140:$K$2771,5,0)</f>
        <v>Labour</v>
      </c>
      <c r="M836" s="7" t="str">
        <f>VLOOKUP($G836,Mapping!$E$140:$K$2771,7,0)</f>
        <v>ENDirect</v>
      </c>
      <c r="N836" s="7" t="str">
        <f>IFERROR(HLOOKUP(L836,'Calc|Weightings'!$K$5:$M$5,1,0),"Excl")</f>
        <v>Labour</v>
      </c>
      <c r="O836" s="7" t="str">
        <f>VLOOKUP(E836,Mapping!$E$11:$I$96,5,0)</f>
        <v>Metering Services</v>
      </c>
      <c r="Q836" s="33">
        <v>140</v>
      </c>
      <c r="R836" s="33" t="s">
        <v>2148</v>
      </c>
      <c r="S836" s="33">
        <v>531000</v>
      </c>
      <c r="T836" s="33" t="s">
        <v>242</v>
      </c>
      <c r="U836" s="34">
        <v>0.48359999999999997</v>
      </c>
      <c r="V836" s="7"/>
      <c r="W836" s="7" t="str">
        <f>VLOOKUP($Q836,Mapping!$E$11:$I$96,3,0)</f>
        <v>Public lighting Capex</v>
      </c>
      <c r="X836" s="7" t="str">
        <f>VLOOKUP($S836,Mapping!$E$140:$K$2771,5,0)</f>
        <v>Contracts</v>
      </c>
      <c r="Y836" s="7" t="str">
        <f>VLOOKUP($S836,Mapping!$E$140:$K$2771,7,0)</f>
        <v>ENDirect</v>
      </c>
      <c r="Z836" s="7" t="str">
        <f>IFERROR(HLOOKUP(X836,'Calc|Weightings'!$K$5:$M$5,1,0),"Excl")</f>
        <v>Contracts</v>
      </c>
      <c r="AA836" s="7" t="str">
        <f>VLOOKUP(Q836,Mapping!$E$11:$I$96,5,0)</f>
        <v>Public Lighting</v>
      </c>
      <c r="AC836" s="111">
        <v>137</v>
      </c>
      <c r="AD836" s="111" t="s">
        <v>2144</v>
      </c>
      <c r="AE836" s="111">
        <v>613860</v>
      </c>
      <c r="AF836" s="111" t="s">
        <v>860</v>
      </c>
      <c r="AG836" s="112">
        <v>92.847329999999999</v>
      </c>
      <c r="AI836" s="7" t="str">
        <f>VLOOKUP($AC836,Mapping!$E$11:$I$96,3,0)</f>
        <v>Metering Capex</v>
      </c>
      <c r="AJ836" s="7" t="str">
        <f>VLOOKUP($AE836,Mapping!$E$140:$K$2771,5,0)</f>
        <v>Labour</v>
      </c>
      <c r="AK836" s="7" t="str">
        <f>VLOOKUP($AE836,Mapping!$E$140:$K$2771,7,0)</f>
        <v>ENDirect</v>
      </c>
      <c r="AL836" s="7" t="str">
        <f>IFERROR(HLOOKUP(AJ836,'Calc|Weightings'!$K$5:$M$5,1,0),"Excl")</f>
        <v>Labour</v>
      </c>
      <c r="AM836" s="7" t="str">
        <f>VLOOKUP(AC836,Mapping!$E$11:$I$96,5,0)</f>
        <v>Metering Services</v>
      </c>
      <c r="AO836" s="134">
        <v>141</v>
      </c>
      <c r="AP836" s="135" t="s">
        <v>2149</v>
      </c>
      <c r="AQ836" s="135">
        <v>591999</v>
      </c>
      <c r="AR836" s="135" t="s">
        <v>2195</v>
      </c>
      <c r="AS836" s="136">
        <v>-18.207540000000002</v>
      </c>
      <c r="AU836" s="7" t="str">
        <f>VLOOKUP($AO836,Mapping!$E$11:$I$96,3,0)</f>
        <v>Replacement</v>
      </c>
      <c r="AV836" s="7" t="str">
        <f>VLOOKUP($AQ836,Mapping!$E$140:$K$2771,5,0)</f>
        <v>Contracts</v>
      </c>
      <c r="AW836" s="7" t="str">
        <f>VLOOKUP($AQ836,Mapping!$E$140:$K$2771,7,0)</f>
        <v>ENDirect</v>
      </c>
      <c r="AX836" s="7" t="str">
        <f>IFERROR(HLOOKUP(AV836,'Calc|Weightings'!$K$5:$M$5,1,0),"Excl")</f>
        <v>Contracts</v>
      </c>
      <c r="AY836" s="7" t="str">
        <f>VLOOKUP(AO836,Mapping!$E$11:$I$96,5,0)</f>
        <v>SCS</v>
      </c>
    </row>
    <row r="837" spans="1:51" x14ac:dyDescent="0.2">
      <c r="A837" s="7"/>
      <c r="B837" s="7"/>
      <c r="C837" s="7"/>
      <c r="D837" s="7"/>
      <c r="E837" s="36">
        <v>137</v>
      </c>
      <c r="F837" s="36" t="s">
        <v>2144</v>
      </c>
      <c r="G837" s="36">
        <v>624689</v>
      </c>
      <c r="H837" s="36" t="s">
        <v>858</v>
      </c>
      <c r="I837" s="37">
        <v>0.83862000000000003</v>
      </c>
      <c r="J837" s="7"/>
      <c r="K837" s="7" t="str">
        <f>VLOOKUP($E837,Mapping!$E$11:$I$96,3,0)</f>
        <v>Metering Capex</v>
      </c>
      <c r="L837" s="7" t="str">
        <f>VLOOKUP($G837,Mapping!$E$140:$K$2771,5,0)</f>
        <v>Labour</v>
      </c>
      <c r="M837" s="7" t="str">
        <f>VLOOKUP($G837,Mapping!$E$140:$K$2771,7,0)</f>
        <v>ENDirect</v>
      </c>
      <c r="N837" s="7" t="str">
        <f>IFERROR(HLOOKUP(L837,'Calc|Weightings'!$K$5:$M$5,1,0),"Excl")</f>
        <v>Labour</v>
      </c>
      <c r="O837" s="7" t="str">
        <f>VLOOKUP(E837,Mapping!$E$11:$I$96,5,0)</f>
        <v>Metering Services</v>
      </c>
      <c r="Q837" s="33">
        <v>140</v>
      </c>
      <c r="R837" s="33" t="s">
        <v>2148</v>
      </c>
      <c r="S837" s="33">
        <v>531200</v>
      </c>
      <c r="T837" s="33" t="s">
        <v>250</v>
      </c>
      <c r="U837" s="34">
        <v>1.27694</v>
      </c>
      <c r="V837" s="7"/>
      <c r="W837" s="7" t="str">
        <f>VLOOKUP($Q837,Mapping!$E$11:$I$96,3,0)</f>
        <v>Public lighting Capex</v>
      </c>
      <c r="X837" s="7" t="str">
        <f>VLOOKUP($S837,Mapping!$E$140:$K$2771,5,0)</f>
        <v>Contracts</v>
      </c>
      <c r="Y837" s="7" t="str">
        <f>VLOOKUP($S837,Mapping!$E$140:$K$2771,7,0)</f>
        <v>ENDirect</v>
      </c>
      <c r="Z837" s="7" t="str">
        <f>IFERROR(HLOOKUP(X837,'Calc|Weightings'!$K$5:$M$5,1,0),"Excl")</f>
        <v>Contracts</v>
      </c>
      <c r="AA837" s="7" t="str">
        <f>VLOOKUP(Q837,Mapping!$E$11:$I$96,5,0)</f>
        <v>Public Lighting</v>
      </c>
      <c r="AC837" s="111">
        <v>137</v>
      </c>
      <c r="AD837" s="111" t="s">
        <v>2144</v>
      </c>
      <c r="AE837" s="111">
        <v>634001</v>
      </c>
      <c r="AF837" s="111" t="s">
        <v>2110</v>
      </c>
      <c r="AG837" s="112">
        <v>7.2837500000000004</v>
      </c>
      <c r="AI837" s="7" t="str">
        <f>VLOOKUP($AC837,Mapping!$E$11:$I$96,3,0)</f>
        <v>Metering Capex</v>
      </c>
      <c r="AJ837" s="7" t="str">
        <f>VLOOKUP($AE837,Mapping!$E$140:$K$2771,5,0)</f>
        <v>Local OH</v>
      </c>
      <c r="AK837" s="7" t="str">
        <f>VLOOKUP($AE837,Mapping!$E$140:$K$2771,7,0)</f>
        <v>OH</v>
      </c>
      <c r="AL837" s="7" t="str">
        <f>IFERROR(HLOOKUP(AJ837,'Calc|Weightings'!$K$5:$M$5,1,0),"Excl")</f>
        <v>Excl</v>
      </c>
      <c r="AM837" s="7" t="str">
        <f>VLOOKUP(AC837,Mapping!$E$11:$I$96,5,0)</f>
        <v>Metering Services</v>
      </c>
      <c r="AO837" s="134">
        <v>141</v>
      </c>
      <c r="AP837" s="135" t="s">
        <v>2149</v>
      </c>
      <c r="AQ837" s="135">
        <v>611900</v>
      </c>
      <c r="AR837" s="135" t="s">
        <v>2079</v>
      </c>
      <c r="AS837" s="136">
        <v>4.7754399999999997</v>
      </c>
      <c r="AU837" s="7" t="str">
        <f>VLOOKUP($AO837,Mapping!$E$11:$I$96,3,0)</f>
        <v>Replacement</v>
      </c>
      <c r="AV837" s="7" t="str">
        <f>VLOOKUP($AQ837,Mapping!$E$140:$K$2771,5,0)</f>
        <v>Contracts</v>
      </c>
      <c r="AW837" s="7" t="str">
        <f>VLOOKUP($AQ837,Mapping!$E$140:$K$2771,7,0)</f>
        <v>ENDirect</v>
      </c>
      <c r="AX837" s="7" t="str">
        <f>IFERROR(HLOOKUP(AV837,'Calc|Weightings'!$K$5:$M$5,1,0),"Excl")</f>
        <v>Contracts</v>
      </c>
      <c r="AY837" s="7" t="str">
        <f>VLOOKUP(AO837,Mapping!$E$11:$I$96,5,0)</f>
        <v>SCS</v>
      </c>
    </row>
    <row r="838" spans="1:51" x14ac:dyDescent="0.2">
      <c r="A838" s="7"/>
      <c r="B838" s="7"/>
      <c r="C838" s="7"/>
      <c r="D838" s="7"/>
      <c r="E838" s="36">
        <v>137</v>
      </c>
      <c r="F838" s="36" t="s">
        <v>2144</v>
      </c>
      <c r="G838" s="36">
        <v>624691</v>
      </c>
      <c r="H838" s="36" t="s">
        <v>860</v>
      </c>
      <c r="I838" s="37">
        <v>3.12744</v>
      </c>
      <c r="J838" s="7"/>
      <c r="K838" s="7" t="str">
        <f>VLOOKUP($E838,Mapping!$E$11:$I$96,3,0)</f>
        <v>Metering Capex</v>
      </c>
      <c r="L838" s="7" t="str">
        <f>VLOOKUP($G838,Mapping!$E$140:$K$2771,5,0)</f>
        <v>Labour</v>
      </c>
      <c r="M838" s="7" t="str">
        <f>VLOOKUP($G838,Mapping!$E$140:$K$2771,7,0)</f>
        <v>ENDirect</v>
      </c>
      <c r="N838" s="7" t="str">
        <f>IFERROR(HLOOKUP(L838,'Calc|Weightings'!$K$5:$M$5,1,0),"Excl")</f>
        <v>Labour</v>
      </c>
      <c r="O838" s="7" t="str">
        <f>VLOOKUP(E838,Mapping!$E$11:$I$96,5,0)</f>
        <v>Metering Services</v>
      </c>
      <c r="Q838" s="33">
        <v>140</v>
      </c>
      <c r="R838" s="33" t="s">
        <v>2148</v>
      </c>
      <c r="S838" s="33">
        <v>531464</v>
      </c>
      <c r="T838" s="33" t="s">
        <v>256</v>
      </c>
      <c r="U838" s="34">
        <v>24.994949999999999</v>
      </c>
      <c r="V838" s="7"/>
      <c r="W838" s="7" t="str">
        <f>VLOOKUP($Q838,Mapping!$E$11:$I$96,3,0)</f>
        <v>Public lighting Capex</v>
      </c>
      <c r="X838" s="7" t="str">
        <f>VLOOKUP($S838,Mapping!$E$140:$K$2771,5,0)</f>
        <v>Contracts</v>
      </c>
      <c r="Y838" s="7" t="str">
        <f>VLOOKUP($S838,Mapping!$E$140:$K$2771,7,0)</f>
        <v>ENDirect</v>
      </c>
      <c r="Z838" s="7" t="str">
        <f>IFERROR(HLOOKUP(X838,'Calc|Weightings'!$K$5:$M$5,1,0),"Excl")</f>
        <v>Contracts</v>
      </c>
      <c r="AA838" s="7" t="str">
        <f>VLOOKUP(Q838,Mapping!$E$11:$I$96,5,0)</f>
        <v>Public Lighting</v>
      </c>
      <c r="AC838" s="111">
        <v>137</v>
      </c>
      <c r="AD838" s="111" t="s">
        <v>2144</v>
      </c>
      <c r="AE838" s="111">
        <v>635001</v>
      </c>
      <c r="AF838" s="111" t="s">
        <v>1929</v>
      </c>
      <c r="AG838" s="112">
        <v>38.60313</v>
      </c>
      <c r="AI838" s="7" t="str">
        <f>VLOOKUP($AC838,Mapping!$E$11:$I$96,3,0)</f>
        <v>Metering Capex</v>
      </c>
      <c r="AJ838" s="7" t="str">
        <f>VLOOKUP($AE838,Mapping!$E$140:$K$2771,5,0)</f>
        <v>PNS MG</v>
      </c>
      <c r="AK838" s="7" t="str">
        <f>VLOOKUP($AE838,Mapping!$E$140:$K$2771,7,0)</f>
        <v>ENDirect</v>
      </c>
      <c r="AL838" s="7" t="str">
        <f>IFERROR(HLOOKUP(AJ838,'Calc|Weightings'!$K$5:$M$5,1,0),"Excl")</f>
        <v>Excl</v>
      </c>
      <c r="AM838" s="7" t="str">
        <f>VLOOKUP(AC838,Mapping!$E$11:$I$96,5,0)</f>
        <v>Metering Services</v>
      </c>
      <c r="AO838" s="134">
        <v>141</v>
      </c>
      <c r="AP838" s="135" t="s">
        <v>2149</v>
      </c>
      <c r="AQ838" s="135">
        <v>611901</v>
      </c>
      <c r="AR838" s="135" t="s">
        <v>2080</v>
      </c>
      <c r="AS838" s="136">
        <v>18.872630000000001</v>
      </c>
      <c r="AU838" s="7" t="str">
        <f>VLOOKUP($AO838,Mapping!$E$11:$I$96,3,0)</f>
        <v>Replacement</v>
      </c>
      <c r="AV838" s="7" t="str">
        <f>VLOOKUP($AQ838,Mapping!$E$140:$K$2771,5,0)</f>
        <v>Contracts</v>
      </c>
      <c r="AW838" s="7" t="str">
        <f>VLOOKUP($AQ838,Mapping!$E$140:$K$2771,7,0)</f>
        <v>ENDirect</v>
      </c>
      <c r="AX838" s="7" t="str">
        <f>IFERROR(HLOOKUP(AV838,'Calc|Weightings'!$K$5:$M$5,1,0),"Excl")</f>
        <v>Contracts</v>
      </c>
      <c r="AY838" s="7" t="str">
        <f>VLOOKUP(AO838,Mapping!$E$11:$I$96,5,0)</f>
        <v>SCS</v>
      </c>
    </row>
    <row r="839" spans="1:51" x14ac:dyDescent="0.2">
      <c r="A839" s="7"/>
      <c r="B839" s="7"/>
      <c r="C839" s="7"/>
      <c r="D839" s="7"/>
      <c r="E839" s="36">
        <v>137</v>
      </c>
      <c r="F839" s="36" t="s">
        <v>2144</v>
      </c>
      <c r="G839" s="36">
        <v>624698</v>
      </c>
      <c r="H839" s="36" t="s">
        <v>1582</v>
      </c>
      <c r="I839" s="37">
        <v>5.40862</v>
      </c>
      <c r="J839" s="7"/>
      <c r="K839" s="7" t="str">
        <f>VLOOKUP($E839,Mapping!$E$11:$I$96,3,0)</f>
        <v>Metering Capex</v>
      </c>
      <c r="L839" s="7" t="str">
        <f>VLOOKUP($G839,Mapping!$E$140:$K$2771,5,0)</f>
        <v>Labour</v>
      </c>
      <c r="M839" s="7" t="str">
        <f>VLOOKUP($G839,Mapping!$E$140:$K$2771,7,0)</f>
        <v>ENDirect</v>
      </c>
      <c r="N839" s="7" t="str">
        <f>IFERROR(HLOOKUP(L839,'Calc|Weightings'!$K$5:$M$5,1,0),"Excl")</f>
        <v>Labour</v>
      </c>
      <c r="O839" s="7" t="str">
        <f>VLOOKUP(E839,Mapping!$E$11:$I$96,5,0)</f>
        <v>Metering Services</v>
      </c>
      <c r="Q839" s="33">
        <v>140</v>
      </c>
      <c r="R839" s="33" t="s">
        <v>2148</v>
      </c>
      <c r="S839" s="33">
        <v>531465</v>
      </c>
      <c r="T839" s="33" t="s">
        <v>257</v>
      </c>
      <c r="U839" s="34">
        <v>0.56955</v>
      </c>
      <c r="V839" s="7"/>
      <c r="W839" s="7" t="str">
        <f>VLOOKUP($Q839,Mapping!$E$11:$I$96,3,0)</f>
        <v>Public lighting Capex</v>
      </c>
      <c r="X839" s="7" t="str">
        <f>VLOOKUP($S839,Mapping!$E$140:$K$2771,5,0)</f>
        <v>Contracts</v>
      </c>
      <c r="Y839" s="7" t="str">
        <f>VLOOKUP($S839,Mapping!$E$140:$K$2771,7,0)</f>
        <v>ENDirect</v>
      </c>
      <c r="Z839" s="7" t="str">
        <f>IFERROR(HLOOKUP(X839,'Calc|Weightings'!$K$5:$M$5,1,0),"Excl")</f>
        <v>Contracts</v>
      </c>
      <c r="AA839" s="7" t="str">
        <f>VLOOKUP(Q839,Mapping!$E$11:$I$96,5,0)</f>
        <v>Public Lighting</v>
      </c>
      <c r="AC839" s="111">
        <v>137</v>
      </c>
      <c r="AD839" s="111" t="s">
        <v>2144</v>
      </c>
      <c r="AE839" s="111">
        <v>636001</v>
      </c>
      <c r="AF839" s="111" t="s">
        <v>2111</v>
      </c>
      <c r="AG839" s="112">
        <v>4.15212</v>
      </c>
      <c r="AI839" s="7" t="str">
        <f>VLOOKUP($AC839,Mapping!$E$11:$I$96,3,0)</f>
        <v>Metering Capex</v>
      </c>
      <c r="AJ839" s="7" t="str">
        <f>VLOOKUP($AE839,Mapping!$E$140:$K$2771,5,0)</f>
        <v>System Control OH</v>
      </c>
      <c r="AK839" s="7" t="str">
        <f>VLOOKUP($AE839,Mapping!$E$140:$K$2771,7,0)</f>
        <v>OH</v>
      </c>
      <c r="AL839" s="7" t="str">
        <f>IFERROR(HLOOKUP(AJ839,'Calc|Weightings'!$K$5:$M$5,1,0),"Excl")</f>
        <v>Excl</v>
      </c>
      <c r="AM839" s="7" t="str">
        <f>VLOOKUP(AC839,Mapping!$E$11:$I$96,5,0)</f>
        <v>Metering Services</v>
      </c>
      <c r="AO839" s="134">
        <v>141</v>
      </c>
      <c r="AP839" s="135" t="s">
        <v>2149</v>
      </c>
      <c r="AQ839" s="135">
        <v>611902</v>
      </c>
      <c r="AR839" s="135" t="s">
        <v>2081</v>
      </c>
      <c r="AS839" s="136">
        <v>0.54942999999999997</v>
      </c>
      <c r="AU839" s="7" t="str">
        <f>VLOOKUP($AO839,Mapping!$E$11:$I$96,3,0)</f>
        <v>Replacement</v>
      </c>
      <c r="AV839" s="7" t="str">
        <f>VLOOKUP($AQ839,Mapping!$E$140:$K$2771,5,0)</f>
        <v>Contracts</v>
      </c>
      <c r="AW839" s="7" t="str">
        <f>VLOOKUP($AQ839,Mapping!$E$140:$K$2771,7,0)</f>
        <v>ENDirect</v>
      </c>
      <c r="AX839" s="7" t="str">
        <f>IFERROR(HLOOKUP(AV839,'Calc|Weightings'!$K$5:$M$5,1,0),"Excl")</f>
        <v>Contracts</v>
      </c>
      <c r="AY839" s="7" t="str">
        <f>VLOOKUP(AO839,Mapping!$E$11:$I$96,5,0)</f>
        <v>SCS</v>
      </c>
    </row>
    <row r="840" spans="1:51" x14ac:dyDescent="0.2">
      <c r="A840" s="7"/>
      <c r="B840" s="7"/>
      <c r="C840" s="7"/>
      <c r="D840" s="7"/>
      <c r="E840" s="36">
        <v>137</v>
      </c>
      <c r="F840" s="36" t="s">
        <v>2144</v>
      </c>
      <c r="G840" s="36">
        <v>624700</v>
      </c>
      <c r="H840" s="36" t="s">
        <v>1583</v>
      </c>
      <c r="I840" s="37">
        <v>1.7145900000000001</v>
      </c>
      <c r="J840" s="7"/>
      <c r="K840" s="7" t="str">
        <f>VLOOKUP($E840,Mapping!$E$11:$I$96,3,0)</f>
        <v>Metering Capex</v>
      </c>
      <c r="L840" s="7" t="str">
        <f>VLOOKUP($G840,Mapping!$E$140:$K$2771,5,0)</f>
        <v>Labour</v>
      </c>
      <c r="M840" s="7" t="str">
        <f>VLOOKUP($G840,Mapping!$E$140:$K$2771,7,0)</f>
        <v>ENDirect</v>
      </c>
      <c r="N840" s="7" t="str">
        <f>IFERROR(HLOOKUP(L840,'Calc|Weightings'!$K$5:$M$5,1,0),"Excl")</f>
        <v>Labour</v>
      </c>
      <c r="O840" s="7" t="str">
        <f>VLOOKUP(E840,Mapping!$E$11:$I$96,5,0)</f>
        <v>Metering Services</v>
      </c>
      <c r="Q840" s="33">
        <v>140</v>
      </c>
      <c r="R840" s="33" t="s">
        <v>2148</v>
      </c>
      <c r="S840" s="33">
        <v>531466</v>
      </c>
      <c r="T840" s="33" t="s">
        <v>258</v>
      </c>
      <c r="U840" s="34">
        <v>451.91822000000002</v>
      </c>
      <c r="V840" s="7"/>
      <c r="W840" s="7" t="str">
        <f>VLOOKUP($Q840,Mapping!$E$11:$I$96,3,0)</f>
        <v>Public lighting Capex</v>
      </c>
      <c r="X840" s="7" t="str">
        <f>VLOOKUP($S840,Mapping!$E$140:$K$2771,5,0)</f>
        <v>Contracts</v>
      </c>
      <c r="Y840" s="7" t="str">
        <f>VLOOKUP($S840,Mapping!$E$140:$K$2771,7,0)</f>
        <v>ENDirect</v>
      </c>
      <c r="Z840" s="7" t="str">
        <f>IFERROR(HLOOKUP(X840,'Calc|Weightings'!$K$5:$M$5,1,0),"Excl")</f>
        <v>Contracts</v>
      </c>
      <c r="AA840" s="7" t="str">
        <f>VLOOKUP(Q840,Mapping!$E$11:$I$96,5,0)</f>
        <v>Public Lighting</v>
      </c>
      <c r="AC840" s="111">
        <v>137</v>
      </c>
      <c r="AD840" s="111" t="s">
        <v>2144</v>
      </c>
      <c r="AE840" s="111">
        <v>639000</v>
      </c>
      <c r="AF840" s="111" t="s">
        <v>2112</v>
      </c>
      <c r="AG840" s="112">
        <v>34.737319999999997</v>
      </c>
      <c r="AI840" s="7" t="str">
        <f>VLOOKUP($AC840,Mapping!$E$11:$I$96,3,0)</f>
        <v>Metering Capex</v>
      </c>
      <c r="AJ840" s="7" t="str">
        <f>VLOOKUP($AE840,Mapping!$E$140:$K$2771,5,0)</f>
        <v>PNS Corporate OH</v>
      </c>
      <c r="AK840" s="7" t="str">
        <f>VLOOKUP($AE840,Mapping!$E$140:$K$2771,7,0)</f>
        <v>OH</v>
      </c>
      <c r="AL840" s="7" t="str">
        <f>IFERROR(HLOOKUP(AJ840,'Calc|Weightings'!$K$5:$M$5,1,0),"Excl")</f>
        <v>Excl</v>
      </c>
      <c r="AM840" s="7" t="str">
        <f>VLOOKUP(AC840,Mapping!$E$11:$I$96,5,0)</f>
        <v>Metering Services</v>
      </c>
      <c r="AO840" s="134">
        <v>141</v>
      </c>
      <c r="AP840" s="135" t="s">
        <v>2149</v>
      </c>
      <c r="AQ840" s="135">
        <v>613236</v>
      </c>
      <c r="AR840" s="135" t="s">
        <v>2420</v>
      </c>
      <c r="AS840" s="136">
        <v>2.45024</v>
      </c>
      <c r="AU840" s="7" t="str">
        <f>VLOOKUP($AO840,Mapping!$E$11:$I$96,3,0)</f>
        <v>Replacement</v>
      </c>
      <c r="AV840" s="7" t="str">
        <f>VLOOKUP($AQ840,Mapping!$E$140:$K$2771,5,0)</f>
        <v>Labour</v>
      </c>
      <c r="AW840" s="7" t="str">
        <f>VLOOKUP($AQ840,Mapping!$E$140:$K$2771,7,0)</f>
        <v>ENDirect</v>
      </c>
      <c r="AX840" s="7" t="str">
        <f>IFERROR(HLOOKUP(AV840,'Calc|Weightings'!$K$5:$M$5,1,0),"Excl")</f>
        <v>Labour</v>
      </c>
      <c r="AY840" s="7" t="str">
        <f>VLOOKUP(AO840,Mapping!$E$11:$I$96,5,0)</f>
        <v>SCS</v>
      </c>
    </row>
    <row r="841" spans="1:51" x14ac:dyDescent="0.2">
      <c r="A841" s="7"/>
      <c r="B841" s="7"/>
      <c r="C841" s="7"/>
      <c r="D841" s="7"/>
      <c r="E841" s="36">
        <v>137</v>
      </c>
      <c r="F841" s="36" t="s">
        <v>2144</v>
      </c>
      <c r="G841" s="36">
        <v>624701</v>
      </c>
      <c r="H841" s="36" t="s">
        <v>1584</v>
      </c>
      <c r="I841" s="37">
        <v>16.371449999999999</v>
      </c>
      <c r="J841" s="7"/>
      <c r="K841" s="7" t="str">
        <f>VLOOKUP($E841,Mapping!$E$11:$I$96,3,0)</f>
        <v>Metering Capex</v>
      </c>
      <c r="L841" s="7" t="str">
        <f>VLOOKUP($G841,Mapping!$E$140:$K$2771,5,0)</f>
        <v>Labour</v>
      </c>
      <c r="M841" s="7" t="str">
        <f>VLOOKUP($G841,Mapping!$E$140:$K$2771,7,0)</f>
        <v>ENDirect</v>
      </c>
      <c r="N841" s="7" t="str">
        <f>IFERROR(HLOOKUP(L841,'Calc|Weightings'!$K$5:$M$5,1,0),"Excl")</f>
        <v>Labour</v>
      </c>
      <c r="O841" s="7" t="str">
        <f>VLOOKUP(E841,Mapping!$E$11:$I$96,5,0)</f>
        <v>Metering Services</v>
      </c>
      <c r="Q841" s="33">
        <v>140</v>
      </c>
      <c r="R841" s="33" t="s">
        <v>2148</v>
      </c>
      <c r="S841" s="33">
        <v>531467</v>
      </c>
      <c r="T841" s="33" t="s">
        <v>259</v>
      </c>
      <c r="U841" s="34">
        <v>10.591010000000001</v>
      </c>
      <c r="V841" s="7"/>
      <c r="W841" s="7" t="str">
        <f>VLOOKUP($Q841,Mapping!$E$11:$I$96,3,0)</f>
        <v>Public lighting Capex</v>
      </c>
      <c r="X841" s="7" t="str">
        <f>VLOOKUP($S841,Mapping!$E$140:$K$2771,5,0)</f>
        <v>Contracts</v>
      </c>
      <c r="Y841" s="7" t="str">
        <f>VLOOKUP($S841,Mapping!$E$140:$K$2771,7,0)</f>
        <v>ENDirect</v>
      </c>
      <c r="Z841" s="7" t="str">
        <f>IFERROR(HLOOKUP(X841,'Calc|Weightings'!$K$5:$M$5,1,0),"Excl")</f>
        <v>Contracts</v>
      </c>
      <c r="AA841" s="7" t="str">
        <f>VLOOKUP(Q841,Mapping!$E$11:$I$96,5,0)</f>
        <v>Public Lighting</v>
      </c>
      <c r="AC841" s="111">
        <v>137</v>
      </c>
      <c r="AD841" s="111" t="s">
        <v>2144</v>
      </c>
      <c r="AE841" s="111">
        <v>639050</v>
      </c>
      <c r="AF841" s="111" t="s">
        <v>2113</v>
      </c>
      <c r="AG841" s="112">
        <v>0.79952000000000001</v>
      </c>
      <c r="AI841" s="7" t="str">
        <f>VLOOKUP($AC841,Mapping!$E$11:$I$96,3,0)</f>
        <v>Metering Capex</v>
      </c>
      <c r="AJ841" s="7" t="str">
        <f>VLOOKUP($AE841,Mapping!$E$140:$K$2771,5,0)</f>
        <v>PNS Fleet &amp; Property OH</v>
      </c>
      <c r="AK841" s="7" t="str">
        <f>VLOOKUP($AE841,Mapping!$E$140:$K$2771,7,0)</f>
        <v>OH</v>
      </c>
      <c r="AL841" s="7" t="str">
        <f>IFERROR(HLOOKUP(AJ841,'Calc|Weightings'!$K$5:$M$5,1,0),"Excl")</f>
        <v>Excl</v>
      </c>
      <c r="AM841" s="7" t="str">
        <f>VLOOKUP(AC841,Mapping!$E$11:$I$96,5,0)</f>
        <v>Metering Services</v>
      </c>
      <c r="AO841" s="134">
        <v>141</v>
      </c>
      <c r="AP841" s="135" t="s">
        <v>2149</v>
      </c>
      <c r="AQ841" s="135">
        <v>613237</v>
      </c>
      <c r="AR841" s="135" t="s">
        <v>2421</v>
      </c>
      <c r="AS841" s="136">
        <v>0.23458999999999999</v>
      </c>
      <c r="AU841" s="7" t="str">
        <f>VLOOKUP($AO841,Mapping!$E$11:$I$96,3,0)</f>
        <v>Replacement</v>
      </c>
      <c r="AV841" s="7" t="str">
        <f>VLOOKUP($AQ841,Mapping!$E$140:$K$2771,5,0)</f>
        <v>Labour</v>
      </c>
      <c r="AW841" s="7" t="str">
        <f>VLOOKUP($AQ841,Mapping!$E$140:$K$2771,7,0)</f>
        <v>ENDirect</v>
      </c>
      <c r="AX841" s="7" t="str">
        <f>IFERROR(HLOOKUP(AV841,'Calc|Weightings'!$K$5:$M$5,1,0),"Excl")</f>
        <v>Labour</v>
      </c>
      <c r="AY841" s="7" t="str">
        <f>VLOOKUP(AO841,Mapping!$E$11:$I$96,5,0)</f>
        <v>SCS</v>
      </c>
    </row>
    <row r="842" spans="1:51" x14ac:dyDescent="0.2">
      <c r="A842" s="7"/>
      <c r="B842" s="7"/>
      <c r="C842" s="7"/>
      <c r="D842" s="7"/>
      <c r="E842" s="36">
        <v>137</v>
      </c>
      <c r="F842" s="36" t="s">
        <v>2144</v>
      </c>
      <c r="G842" s="36">
        <v>624705</v>
      </c>
      <c r="H842" s="36" t="s">
        <v>1587</v>
      </c>
      <c r="I842" s="37">
        <v>0.83862000000000003</v>
      </c>
      <c r="J842" s="7"/>
      <c r="K842" s="7" t="str">
        <f>VLOOKUP($E842,Mapping!$E$11:$I$96,3,0)</f>
        <v>Metering Capex</v>
      </c>
      <c r="L842" s="7" t="str">
        <f>VLOOKUP($G842,Mapping!$E$140:$K$2771,5,0)</f>
        <v>Labour</v>
      </c>
      <c r="M842" s="7" t="str">
        <f>VLOOKUP($G842,Mapping!$E$140:$K$2771,7,0)</f>
        <v>ENDirect</v>
      </c>
      <c r="N842" s="7" t="str">
        <f>IFERROR(HLOOKUP(L842,'Calc|Weightings'!$K$5:$M$5,1,0),"Excl")</f>
        <v>Labour</v>
      </c>
      <c r="O842" s="7" t="str">
        <f>VLOOKUP(E842,Mapping!$E$11:$I$96,5,0)</f>
        <v>Metering Services</v>
      </c>
      <c r="Q842" s="33">
        <v>140</v>
      </c>
      <c r="R842" s="33" t="s">
        <v>2148</v>
      </c>
      <c r="S842" s="33">
        <v>531468</v>
      </c>
      <c r="T842" s="33" t="s">
        <v>260</v>
      </c>
      <c r="U842" s="34">
        <v>3.7700499999999999</v>
      </c>
      <c r="V842" s="7"/>
      <c r="W842" s="7" t="str">
        <f>VLOOKUP($Q842,Mapping!$E$11:$I$96,3,0)</f>
        <v>Public lighting Capex</v>
      </c>
      <c r="X842" s="7" t="str">
        <f>VLOOKUP($S842,Mapping!$E$140:$K$2771,5,0)</f>
        <v>Contracts</v>
      </c>
      <c r="Y842" s="7" t="str">
        <f>VLOOKUP($S842,Mapping!$E$140:$K$2771,7,0)</f>
        <v>ENDirect</v>
      </c>
      <c r="Z842" s="7" t="str">
        <f>IFERROR(HLOOKUP(X842,'Calc|Weightings'!$K$5:$M$5,1,0),"Excl")</f>
        <v>Contracts</v>
      </c>
      <c r="AA842" s="7" t="str">
        <f>VLOOKUP(Q842,Mapping!$E$11:$I$96,5,0)</f>
        <v>Public Lighting</v>
      </c>
      <c r="AC842" s="111">
        <v>138</v>
      </c>
      <c r="AD842" s="111" t="s">
        <v>2145</v>
      </c>
      <c r="AE842" s="111">
        <v>613116</v>
      </c>
      <c r="AF842" s="111" t="s">
        <v>1270</v>
      </c>
      <c r="AG842" s="112">
        <v>9.3825299999999991</v>
      </c>
      <c r="AI842" s="7" t="str">
        <f>VLOOKUP($AC842,Mapping!$E$11:$I$96,3,0)</f>
        <v>Metering Capex</v>
      </c>
      <c r="AJ842" s="7" t="str">
        <f>VLOOKUP($AE842,Mapping!$E$140:$K$2771,5,0)</f>
        <v>Labour</v>
      </c>
      <c r="AK842" s="7" t="str">
        <f>VLOOKUP($AE842,Mapping!$E$140:$K$2771,7,0)</f>
        <v>ENDirect</v>
      </c>
      <c r="AL842" s="7" t="str">
        <f>IFERROR(HLOOKUP(AJ842,'Calc|Weightings'!$K$5:$M$5,1,0),"Excl")</f>
        <v>Labour</v>
      </c>
      <c r="AM842" s="7" t="str">
        <f>VLOOKUP(AC842,Mapping!$E$11:$I$96,5,0)</f>
        <v>Metering Services</v>
      </c>
      <c r="AO842" s="134">
        <v>141</v>
      </c>
      <c r="AP842" s="135" t="s">
        <v>2149</v>
      </c>
      <c r="AQ842" s="135">
        <v>613240</v>
      </c>
      <c r="AR842" s="135" t="s">
        <v>2082</v>
      </c>
      <c r="AS842" s="136">
        <v>275.13058999999998</v>
      </c>
      <c r="AU842" s="7" t="str">
        <f>VLOOKUP($AO842,Mapping!$E$11:$I$96,3,0)</f>
        <v>Replacement</v>
      </c>
      <c r="AV842" s="7" t="str">
        <f>VLOOKUP($AQ842,Mapping!$E$140:$K$2771,5,0)</f>
        <v>Labour</v>
      </c>
      <c r="AW842" s="7" t="str">
        <f>VLOOKUP($AQ842,Mapping!$E$140:$K$2771,7,0)</f>
        <v>ENDirect</v>
      </c>
      <c r="AX842" s="7" t="str">
        <f>IFERROR(HLOOKUP(AV842,'Calc|Weightings'!$K$5:$M$5,1,0),"Excl")</f>
        <v>Labour</v>
      </c>
      <c r="AY842" s="7" t="str">
        <f>VLOOKUP(AO842,Mapping!$E$11:$I$96,5,0)</f>
        <v>SCS</v>
      </c>
    </row>
    <row r="843" spans="1:51" x14ac:dyDescent="0.2">
      <c r="A843" s="7"/>
      <c r="B843" s="7"/>
      <c r="C843" s="7"/>
      <c r="D843" s="7"/>
      <c r="E843" s="36">
        <v>137</v>
      </c>
      <c r="F843" s="36" t="s">
        <v>2144</v>
      </c>
      <c r="G843" s="36">
        <v>625018</v>
      </c>
      <c r="H843" s="36" t="s">
        <v>1235</v>
      </c>
      <c r="I843" s="37">
        <v>307.77354000000003</v>
      </c>
      <c r="J843" s="7"/>
      <c r="K843" s="7" t="str">
        <f>VLOOKUP($E843,Mapping!$E$11:$I$96,3,0)</f>
        <v>Metering Capex</v>
      </c>
      <c r="L843" s="7" t="str">
        <f>VLOOKUP($G843,Mapping!$E$140:$K$2771,5,0)</f>
        <v>Labour</v>
      </c>
      <c r="M843" s="7" t="str">
        <f>VLOOKUP($G843,Mapping!$E$140:$K$2771,7,0)</f>
        <v>ENDirect</v>
      </c>
      <c r="N843" s="7" t="str">
        <f>IFERROR(HLOOKUP(L843,'Calc|Weightings'!$K$5:$M$5,1,0),"Excl")</f>
        <v>Labour</v>
      </c>
      <c r="O843" s="7" t="str">
        <f>VLOOKUP(E843,Mapping!$E$11:$I$96,5,0)</f>
        <v>Metering Services</v>
      </c>
      <c r="Q843" s="33">
        <v>140</v>
      </c>
      <c r="R843" s="33" t="s">
        <v>2148</v>
      </c>
      <c r="S843" s="33">
        <v>591997</v>
      </c>
      <c r="T843" s="33" t="s">
        <v>399</v>
      </c>
      <c r="U843" s="34">
        <v>-1.7790900000000001</v>
      </c>
      <c r="V843" s="7"/>
      <c r="W843" s="7" t="str">
        <f>VLOOKUP($Q843,Mapping!$E$11:$I$96,3,0)</f>
        <v>Public lighting Capex</v>
      </c>
      <c r="X843" s="7" t="str">
        <f>VLOOKUP($S843,Mapping!$E$140:$K$2771,5,0)</f>
        <v>Contracts</v>
      </c>
      <c r="Y843" s="7" t="str">
        <f>VLOOKUP($S843,Mapping!$E$140:$K$2771,7,0)</f>
        <v>ENDirect</v>
      </c>
      <c r="Z843" s="7" t="str">
        <f>IFERROR(HLOOKUP(X843,'Calc|Weightings'!$K$5:$M$5,1,0),"Excl")</f>
        <v>Contracts</v>
      </c>
      <c r="AA843" s="7" t="str">
        <f>VLOOKUP(Q843,Mapping!$E$11:$I$96,5,0)</f>
        <v>Public Lighting</v>
      </c>
      <c r="AC843" s="111">
        <v>138</v>
      </c>
      <c r="AD843" s="111" t="s">
        <v>2145</v>
      </c>
      <c r="AE843" s="111">
        <v>613165</v>
      </c>
      <c r="AF843" s="111" t="s">
        <v>1288</v>
      </c>
      <c r="AG843" s="112">
        <v>0.58814</v>
      </c>
      <c r="AI843" s="7" t="str">
        <f>VLOOKUP($AC843,Mapping!$E$11:$I$96,3,0)</f>
        <v>Metering Capex</v>
      </c>
      <c r="AJ843" s="7" t="str">
        <f>VLOOKUP($AE843,Mapping!$E$140:$K$2771,5,0)</f>
        <v>Labour</v>
      </c>
      <c r="AK843" s="7" t="str">
        <f>VLOOKUP($AE843,Mapping!$E$140:$K$2771,7,0)</f>
        <v>ENDirect</v>
      </c>
      <c r="AL843" s="7" t="str">
        <f>IFERROR(HLOOKUP(AJ843,'Calc|Weightings'!$K$5:$M$5,1,0),"Excl")</f>
        <v>Labour</v>
      </c>
      <c r="AM843" s="7" t="str">
        <f>VLOOKUP(AC843,Mapping!$E$11:$I$96,5,0)</f>
        <v>Metering Services</v>
      </c>
      <c r="AO843" s="134">
        <v>141</v>
      </c>
      <c r="AP843" s="135" t="s">
        <v>2149</v>
      </c>
      <c r="AQ843" s="135">
        <v>613241</v>
      </c>
      <c r="AR843" s="135" t="s">
        <v>2083</v>
      </c>
      <c r="AS843" s="136">
        <v>238.6061</v>
      </c>
      <c r="AU843" s="7" t="str">
        <f>VLOOKUP($AO843,Mapping!$E$11:$I$96,3,0)</f>
        <v>Replacement</v>
      </c>
      <c r="AV843" s="7" t="str">
        <f>VLOOKUP($AQ843,Mapping!$E$140:$K$2771,5,0)</f>
        <v>Labour</v>
      </c>
      <c r="AW843" s="7" t="str">
        <f>VLOOKUP($AQ843,Mapping!$E$140:$K$2771,7,0)</f>
        <v>ENDirect</v>
      </c>
      <c r="AX843" s="7" t="str">
        <f>IFERROR(HLOOKUP(AV843,'Calc|Weightings'!$K$5:$M$5,1,0),"Excl")</f>
        <v>Labour</v>
      </c>
      <c r="AY843" s="7" t="str">
        <f>VLOOKUP(AO843,Mapping!$E$11:$I$96,5,0)</f>
        <v>SCS</v>
      </c>
    </row>
    <row r="844" spans="1:51" x14ac:dyDescent="0.2">
      <c r="A844" s="7"/>
      <c r="B844" s="7"/>
      <c r="C844" s="7"/>
      <c r="D844" s="7"/>
      <c r="E844" s="36">
        <v>137</v>
      </c>
      <c r="F844" s="36" t="s">
        <v>2144</v>
      </c>
      <c r="G844" s="36">
        <v>625019</v>
      </c>
      <c r="H844" s="36" t="s">
        <v>1236</v>
      </c>
      <c r="I844" s="37">
        <v>12.998609999999999</v>
      </c>
      <c r="J844" s="7"/>
      <c r="K844" s="7" t="str">
        <f>VLOOKUP($E844,Mapping!$E$11:$I$96,3,0)</f>
        <v>Metering Capex</v>
      </c>
      <c r="L844" s="7" t="str">
        <f>VLOOKUP($G844,Mapping!$E$140:$K$2771,5,0)</f>
        <v>Labour</v>
      </c>
      <c r="M844" s="7" t="str">
        <f>VLOOKUP($G844,Mapping!$E$140:$K$2771,7,0)</f>
        <v>ENDirect</v>
      </c>
      <c r="N844" s="7" t="str">
        <f>IFERROR(HLOOKUP(L844,'Calc|Weightings'!$K$5:$M$5,1,0),"Excl")</f>
        <v>Labour</v>
      </c>
      <c r="O844" s="7" t="str">
        <f>VLOOKUP(E844,Mapping!$E$11:$I$96,5,0)</f>
        <v>Metering Services</v>
      </c>
      <c r="Q844" s="33">
        <v>140</v>
      </c>
      <c r="R844" s="33" t="s">
        <v>2148</v>
      </c>
      <c r="S844" s="33">
        <v>591999</v>
      </c>
      <c r="T844" s="33" t="s">
        <v>2078</v>
      </c>
      <c r="U844" s="34">
        <v>-10.31053</v>
      </c>
      <c r="V844" s="7"/>
      <c r="W844" s="7" t="str">
        <f>VLOOKUP($Q844,Mapping!$E$11:$I$96,3,0)</f>
        <v>Public lighting Capex</v>
      </c>
      <c r="X844" s="7" t="str">
        <f>VLOOKUP($S844,Mapping!$E$140:$K$2771,5,0)</f>
        <v>Contracts</v>
      </c>
      <c r="Y844" s="7" t="str">
        <f>VLOOKUP($S844,Mapping!$E$140:$K$2771,7,0)</f>
        <v>ENDirect</v>
      </c>
      <c r="Z844" s="7" t="str">
        <f>IFERROR(HLOOKUP(X844,'Calc|Weightings'!$K$5:$M$5,1,0),"Excl")</f>
        <v>Contracts</v>
      </c>
      <c r="AA844" s="7" t="str">
        <f>VLOOKUP(Q844,Mapping!$E$11:$I$96,5,0)</f>
        <v>Public Lighting</v>
      </c>
      <c r="AC844" s="111">
        <v>140</v>
      </c>
      <c r="AD844" s="111" t="s">
        <v>2148</v>
      </c>
      <c r="AE844" s="111">
        <v>520100</v>
      </c>
      <c r="AF844" s="111" t="s">
        <v>2072</v>
      </c>
      <c r="AG844" s="112">
        <v>314.40917999999999</v>
      </c>
      <c r="AI844" s="7" t="str">
        <f>VLOOKUP($AC844,Mapping!$E$11:$I$96,3,0)</f>
        <v>Public lighting Capex</v>
      </c>
      <c r="AJ844" s="7" t="str">
        <f>VLOOKUP($AE844,Mapping!$E$140:$K$2771,5,0)</f>
        <v>Materials</v>
      </c>
      <c r="AK844" s="7" t="str">
        <f>VLOOKUP($AE844,Mapping!$E$140:$K$2771,7,0)</f>
        <v>ENDirect</v>
      </c>
      <c r="AL844" s="7" t="str">
        <f>IFERROR(HLOOKUP(AJ844,'Calc|Weightings'!$K$5:$M$5,1,0),"Excl")</f>
        <v>Materials</v>
      </c>
      <c r="AM844" s="7" t="str">
        <f>VLOOKUP(AC844,Mapping!$E$11:$I$96,5,0)</f>
        <v>Public Lighting</v>
      </c>
      <c r="AO844" s="134">
        <v>141</v>
      </c>
      <c r="AP844" s="135" t="s">
        <v>2149</v>
      </c>
      <c r="AQ844" s="135">
        <v>613250</v>
      </c>
      <c r="AR844" s="135" t="s">
        <v>2086</v>
      </c>
      <c r="AS844" s="136">
        <v>353.82186000000002</v>
      </c>
      <c r="AU844" s="7" t="str">
        <f>VLOOKUP($AO844,Mapping!$E$11:$I$96,3,0)</f>
        <v>Replacement</v>
      </c>
      <c r="AV844" s="7" t="str">
        <f>VLOOKUP($AQ844,Mapping!$E$140:$K$2771,5,0)</f>
        <v>Labour</v>
      </c>
      <c r="AW844" s="7" t="str">
        <f>VLOOKUP($AQ844,Mapping!$E$140:$K$2771,7,0)</f>
        <v>ENDirect</v>
      </c>
      <c r="AX844" s="7" t="str">
        <f>IFERROR(HLOOKUP(AV844,'Calc|Weightings'!$K$5:$M$5,1,0),"Excl")</f>
        <v>Labour</v>
      </c>
      <c r="AY844" s="7" t="str">
        <f>VLOOKUP(AO844,Mapping!$E$11:$I$96,5,0)</f>
        <v>SCS</v>
      </c>
    </row>
    <row r="845" spans="1:51" x14ac:dyDescent="0.2">
      <c r="A845" s="7"/>
      <c r="B845" s="7"/>
      <c r="C845" s="7"/>
      <c r="D845" s="7"/>
      <c r="E845" s="36">
        <v>137</v>
      </c>
      <c r="F845" s="36" t="s">
        <v>2144</v>
      </c>
      <c r="G845" s="36">
        <v>625020</v>
      </c>
      <c r="H845" s="36" t="s">
        <v>1237</v>
      </c>
      <c r="I845" s="37">
        <v>139.21091999999999</v>
      </c>
      <c r="J845" s="7"/>
      <c r="K845" s="7" t="str">
        <f>VLOOKUP($E845,Mapping!$E$11:$I$96,3,0)</f>
        <v>Metering Capex</v>
      </c>
      <c r="L845" s="7" t="str">
        <f>VLOOKUP($G845,Mapping!$E$140:$K$2771,5,0)</f>
        <v>Labour</v>
      </c>
      <c r="M845" s="7" t="str">
        <f>VLOOKUP($G845,Mapping!$E$140:$K$2771,7,0)</f>
        <v>ENDirect</v>
      </c>
      <c r="N845" s="7" t="str">
        <f>IFERROR(HLOOKUP(L845,'Calc|Weightings'!$K$5:$M$5,1,0),"Excl")</f>
        <v>Labour</v>
      </c>
      <c r="O845" s="7" t="str">
        <f>VLOOKUP(E845,Mapping!$E$11:$I$96,5,0)</f>
        <v>Metering Services</v>
      </c>
      <c r="Q845" s="33">
        <v>140</v>
      </c>
      <c r="R845" s="33" t="s">
        <v>2148</v>
      </c>
      <c r="S845" s="33">
        <v>611860</v>
      </c>
      <c r="T845" s="33" t="s">
        <v>2125</v>
      </c>
      <c r="U845" s="34">
        <v>-15.71672</v>
      </c>
      <c r="V845" s="7"/>
      <c r="W845" s="7" t="str">
        <f>VLOOKUP($Q845,Mapping!$E$11:$I$96,3,0)</f>
        <v>Public lighting Capex</v>
      </c>
      <c r="X845" s="7" t="str">
        <f>VLOOKUP($S845,Mapping!$E$140:$K$2771,5,0)</f>
        <v>Labour</v>
      </c>
      <c r="Y845" s="7" t="str">
        <f>VLOOKUP($S845,Mapping!$E$140:$K$2771,7,0)</f>
        <v>ENDirect</v>
      </c>
      <c r="Z845" s="7" t="str">
        <f>IFERROR(HLOOKUP(X845,'Calc|Weightings'!$K$5:$M$5,1,0),"Excl")</f>
        <v>Labour</v>
      </c>
      <c r="AA845" s="7" t="str">
        <f>VLOOKUP(Q845,Mapping!$E$11:$I$96,5,0)</f>
        <v>Public Lighting</v>
      </c>
      <c r="AC845" s="111">
        <v>140</v>
      </c>
      <c r="AD845" s="111" t="s">
        <v>2148</v>
      </c>
      <c r="AE845" s="111">
        <v>523100</v>
      </c>
      <c r="AF845" s="111" t="s">
        <v>2074</v>
      </c>
      <c r="AG845" s="112">
        <v>0.35921999999999998</v>
      </c>
      <c r="AI845" s="7" t="str">
        <f>VLOOKUP($AC845,Mapping!$E$11:$I$96,3,0)</f>
        <v>Public lighting Capex</v>
      </c>
      <c r="AJ845" s="7" t="str">
        <f>VLOOKUP($AE845,Mapping!$E$140:$K$2771,5,0)</f>
        <v>Materials</v>
      </c>
      <c r="AK845" s="7" t="str">
        <f>VLOOKUP($AE845,Mapping!$E$140:$K$2771,7,0)</f>
        <v>ENDirect</v>
      </c>
      <c r="AL845" s="7" t="str">
        <f>IFERROR(HLOOKUP(AJ845,'Calc|Weightings'!$K$5:$M$5,1,0),"Excl")</f>
        <v>Materials</v>
      </c>
      <c r="AM845" s="7" t="str">
        <f>VLOOKUP(AC845,Mapping!$E$11:$I$96,5,0)</f>
        <v>Public Lighting</v>
      </c>
      <c r="AO845" s="134">
        <v>141</v>
      </c>
      <c r="AP845" s="135" t="s">
        <v>2149</v>
      </c>
      <c r="AQ845" s="135">
        <v>613251</v>
      </c>
      <c r="AR845" s="135" t="s">
        <v>2087</v>
      </c>
      <c r="AS845" s="136">
        <v>354.77120000000002</v>
      </c>
      <c r="AU845" s="7" t="str">
        <f>VLOOKUP($AO845,Mapping!$E$11:$I$96,3,0)</f>
        <v>Replacement</v>
      </c>
      <c r="AV845" s="7" t="str">
        <f>VLOOKUP($AQ845,Mapping!$E$140:$K$2771,5,0)</f>
        <v>Labour</v>
      </c>
      <c r="AW845" s="7" t="str">
        <f>VLOOKUP($AQ845,Mapping!$E$140:$K$2771,7,0)</f>
        <v>ENDirect</v>
      </c>
      <c r="AX845" s="7" t="str">
        <f>IFERROR(HLOOKUP(AV845,'Calc|Weightings'!$K$5:$M$5,1,0),"Excl")</f>
        <v>Labour</v>
      </c>
      <c r="AY845" s="7" t="str">
        <f>VLOOKUP(AO845,Mapping!$E$11:$I$96,5,0)</f>
        <v>SCS</v>
      </c>
    </row>
    <row r="846" spans="1:51" x14ac:dyDescent="0.2">
      <c r="A846" s="7"/>
      <c r="B846" s="7"/>
      <c r="C846" s="7"/>
      <c r="D846" s="7"/>
      <c r="E846" s="36">
        <v>137</v>
      </c>
      <c r="F846" s="36" t="s">
        <v>2144</v>
      </c>
      <c r="G846" s="36">
        <v>625021</v>
      </c>
      <c r="H846" s="36" t="s">
        <v>1238</v>
      </c>
      <c r="I846" s="37">
        <v>132.13434000000001</v>
      </c>
      <c r="J846" s="7"/>
      <c r="K846" s="7" t="str">
        <f>VLOOKUP($E846,Mapping!$E$11:$I$96,3,0)</f>
        <v>Metering Capex</v>
      </c>
      <c r="L846" s="7" t="str">
        <f>VLOOKUP($G846,Mapping!$E$140:$K$2771,5,0)</f>
        <v>Labour</v>
      </c>
      <c r="M846" s="7" t="str">
        <f>VLOOKUP($G846,Mapping!$E$140:$K$2771,7,0)</f>
        <v>ENDirect</v>
      </c>
      <c r="N846" s="7" t="str">
        <f>IFERROR(HLOOKUP(L846,'Calc|Weightings'!$K$5:$M$5,1,0),"Excl")</f>
        <v>Labour</v>
      </c>
      <c r="O846" s="7" t="str">
        <f>VLOOKUP(E846,Mapping!$E$11:$I$96,5,0)</f>
        <v>Metering Services</v>
      </c>
      <c r="Q846" s="33">
        <v>140</v>
      </c>
      <c r="R846" s="33" t="s">
        <v>2148</v>
      </c>
      <c r="S846" s="33">
        <v>611861</v>
      </c>
      <c r="T846" s="33" t="s">
        <v>2140</v>
      </c>
      <c r="U846" s="34">
        <v>-16.046679999999999</v>
      </c>
      <c r="V846" s="7"/>
      <c r="W846" s="7" t="str">
        <f>VLOOKUP($Q846,Mapping!$E$11:$I$96,3,0)</f>
        <v>Public lighting Capex</v>
      </c>
      <c r="X846" s="7" t="str">
        <f>VLOOKUP($S846,Mapping!$E$140:$K$2771,5,0)</f>
        <v>Labour</v>
      </c>
      <c r="Y846" s="7" t="str">
        <f>VLOOKUP($S846,Mapping!$E$140:$K$2771,7,0)</f>
        <v>ENDirect</v>
      </c>
      <c r="Z846" s="7" t="str">
        <f>IFERROR(HLOOKUP(X846,'Calc|Weightings'!$K$5:$M$5,1,0),"Excl")</f>
        <v>Labour</v>
      </c>
      <c r="AA846" s="7" t="str">
        <f>VLOOKUP(Q846,Mapping!$E$11:$I$96,5,0)</f>
        <v>Public Lighting</v>
      </c>
      <c r="AC846" s="111">
        <v>140</v>
      </c>
      <c r="AD846" s="111" t="s">
        <v>2148</v>
      </c>
      <c r="AE846" s="111">
        <v>531200</v>
      </c>
      <c r="AF846" s="111" t="s">
        <v>250</v>
      </c>
      <c r="AG846" s="112">
        <v>-7.5450000000000003E-2</v>
      </c>
      <c r="AI846" s="7" t="str">
        <f>VLOOKUP($AC846,Mapping!$E$11:$I$96,3,0)</f>
        <v>Public lighting Capex</v>
      </c>
      <c r="AJ846" s="7" t="str">
        <f>VLOOKUP($AE846,Mapping!$E$140:$K$2771,5,0)</f>
        <v>Contracts</v>
      </c>
      <c r="AK846" s="7" t="str">
        <f>VLOOKUP($AE846,Mapping!$E$140:$K$2771,7,0)</f>
        <v>ENDirect</v>
      </c>
      <c r="AL846" s="7" t="str">
        <f>IFERROR(HLOOKUP(AJ846,'Calc|Weightings'!$K$5:$M$5,1,0),"Excl")</f>
        <v>Contracts</v>
      </c>
      <c r="AM846" s="7" t="str">
        <f>VLOOKUP(AC846,Mapping!$E$11:$I$96,5,0)</f>
        <v>Public Lighting</v>
      </c>
      <c r="AO846" s="134">
        <v>141</v>
      </c>
      <c r="AP846" s="135" t="s">
        <v>2149</v>
      </c>
      <c r="AQ846" s="135">
        <v>613260</v>
      </c>
      <c r="AR846" s="135" t="s">
        <v>2090</v>
      </c>
      <c r="AS846" s="136">
        <v>9.2299500000000005</v>
      </c>
      <c r="AU846" s="7" t="str">
        <f>VLOOKUP($AO846,Mapping!$E$11:$I$96,3,0)</f>
        <v>Replacement</v>
      </c>
      <c r="AV846" s="7" t="str">
        <f>VLOOKUP($AQ846,Mapping!$E$140:$K$2771,5,0)</f>
        <v>Labour</v>
      </c>
      <c r="AW846" s="7" t="str">
        <f>VLOOKUP($AQ846,Mapping!$E$140:$K$2771,7,0)</f>
        <v>ENDirect</v>
      </c>
      <c r="AX846" s="7" t="str">
        <f>IFERROR(HLOOKUP(AV846,'Calc|Weightings'!$K$5:$M$5,1,0),"Excl")</f>
        <v>Labour</v>
      </c>
      <c r="AY846" s="7" t="str">
        <f>VLOOKUP(AO846,Mapping!$E$11:$I$96,5,0)</f>
        <v>SCS</v>
      </c>
    </row>
    <row r="847" spans="1:51" x14ac:dyDescent="0.2">
      <c r="A847" s="7"/>
      <c r="B847" s="7"/>
      <c r="C847" s="7"/>
      <c r="D847" s="7"/>
      <c r="E847" s="36">
        <v>137</v>
      </c>
      <c r="F847" s="36" t="s">
        <v>2144</v>
      </c>
      <c r="G847" s="36">
        <v>625022</v>
      </c>
      <c r="H847" s="36" t="s">
        <v>1239</v>
      </c>
      <c r="I847" s="37">
        <v>2.73651</v>
      </c>
      <c r="J847" s="7"/>
      <c r="K847" s="7" t="str">
        <f>VLOOKUP($E847,Mapping!$E$11:$I$96,3,0)</f>
        <v>Metering Capex</v>
      </c>
      <c r="L847" s="7" t="str">
        <f>VLOOKUP($G847,Mapping!$E$140:$K$2771,5,0)</f>
        <v>Labour</v>
      </c>
      <c r="M847" s="7" t="str">
        <f>VLOOKUP($G847,Mapping!$E$140:$K$2771,7,0)</f>
        <v>ENDirect</v>
      </c>
      <c r="N847" s="7" t="str">
        <f>IFERROR(HLOOKUP(L847,'Calc|Weightings'!$K$5:$M$5,1,0),"Excl")</f>
        <v>Labour</v>
      </c>
      <c r="O847" s="7" t="str">
        <f>VLOOKUP(E847,Mapping!$E$11:$I$96,5,0)</f>
        <v>Metering Services</v>
      </c>
      <c r="Q847" s="33">
        <v>140</v>
      </c>
      <c r="R847" s="33" t="s">
        <v>2148</v>
      </c>
      <c r="S847" s="33">
        <v>611900</v>
      </c>
      <c r="T847" s="33" t="s">
        <v>2079</v>
      </c>
      <c r="U847" s="34">
        <v>1.4270400000000001</v>
      </c>
      <c r="V847" s="7"/>
      <c r="W847" s="7" t="str">
        <f>VLOOKUP($Q847,Mapping!$E$11:$I$96,3,0)</f>
        <v>Public lighting Capex</v>
      </c>
      <c r="X847" s="7" t="str">
        <f>VLOOKUP($S847,Mapping!$E$140:$K$2771,5,0)</f>
        <v>Contracts</v>
      </c>
      <c r="Y847" s="7" t="str">
        <f>VLOOKUP($S847,Mapping!$E$140:$K$2771,7,0)</f>
        <v>ENDirect</v>
      </c>
      <c r="Z847" s="7" t="str">
        <f>IFERROR(HLOOKUP(X847,'Calc|Weightings'!$K$5:$M$5,1,0),"Excl")</f>
        <v>Contracts</v>
      </c>
      <c r="AA847" s="7" t="str">
        <f>VLOOKUP(Q847,Mapping!$E$11:$I$96,5,0)</f>
        <v>Public Lighting</v>
      </c>
      <c r="AC847" s="111">
        <v>140</v>
      </c>
      <c r="AD847" s="111" t="s">
        <v>2148</v>
      </c>
      <c r="AE847" s="111">
        <v>531464</v>
      </c>
      <c r="AF847" s="111" t="s">
        <v>256</v>
      </c>
      <c r="AG847" s="112">
        <v>70.966139999999996</v>
      </c>
      <c r="AI847" s="7" t="str">
        <f>VLOOKUP($AC847,Mapping!$E$11:$I$96,3,0)</f>
        <v>Public lighting Capex</v>
      </c>
      <c r="AJ847" s="7" t="str">
        <f>VLOOKUP($AE847,Mapping!$E$140:$K$2771,5,0)</f>
        <v>Contracts</v>
      </c>
      <c r="AK847" s="7" t="str">
        <f>VLOOKUP($AE847,Mapping!$E$140:$K$2771,7,0)</f>
        <v>ENDirect</v>
      </c>
      <c r="AL847" s="7" t="str">
        <f>IFERROR(HLOOKUP(AJ847,'Calc|Weightings'!$K$5:$M$5,1,0),"Excl")</f>
        <v>Contracts</v>
      </c>
      <c r="AM847" s="7" t="str">
        <f>VLOOKUP(AC847,Mapping!$E$11:$I$96,5,0)</f>
        <v>Public Lighting</v>
      </c>
      <c r="AO847" s="134">
        <v>141</v>
      </c>
      <c r="AP847" s="135" t="s">
        <v>2149</v>
      </c>
      <c r="AQ847" s="135">
        <v>613261</v>
      </c>
      <c r="AR847" s="135" t="s">
        <v>2091</v>
      </c>
      <c r="AS847" s="136">
        <v>2.9179499999999998</v>
      </c>
      <c r="AU847" s="7" t="str">
        <f>VLOOKUP($AO847,Mapping!$E$11:$I$96,3,0)</f>
        <v>Replacement</v>
      </c>
      <c r="AV847" s="7" t="str">
        <f>VLOOKUP($AQ847,Mapping!$E$140:$K$2771,5,0)</f>
        <v>Labour</v>
      </c>
      <c r="AW847" s="7" t="str">
        <f>VLOOKUP($AQ847,Mapping!$E$140:$K$2771,7,0)</f>
        <v>ENDirect</v>
      </c>
      <c r="AX847" s="7" t="str">
        <f>IFERROR(HLOOKUP(AV847,'Calc|Weightings'!$K$5:$M$5,1,0),"Excl")</f>
        <v>Labour</v>
      </c>
      <c r="AY847" s="7" t="str">
        <f>VLOOKUP(AO847,Mapping!$E$11:$I$96,5,0)</f>
        <v>SCS</v>
      </c>
    </row>
    <row r="848" spans="1:51" x14ac:dyDescent="0.2">
      <c r="A848" s="7"/>
      <c r="B848" s="7"/>
      <c r="C848" s="7"/>
      <c r="D848" s="7"/>
      <c r="E848" s="36">
        <v>137</v>
      </c>
      <c r="F848" s="36" t="s">
        <v>2144</v>
      </c>
      <c r="G848" s="36">
        <v>625023</v>
      </c>
      <c r="H848" s="36" t="s">
        <v>1240</v>
      </c>
      <c r="I848" s="37">
        <v>193.27255</v>
      </c>
      <c r="J848" s="7"/>
      <c r="K848" s="7" t="str">
        <f>VLOOKUP($E848,Mapping!$E$11:$I$96,3,0)</f>
        <v>Metering Capex</v>
      </c>
      <c r="L848" s="7" t="str">
        <f>VLOOKUP($G848,Mapping!$E$140:$K$2771,5,0)</f>
        <v>Labour</v>
      </c>
      <c r="M848" s="7" t="str">
        <f>VLOOKUP($G848,Mapping!$E$140:$K$2771,7,0)</f>
        <v>ENDirect</v>
      </c>
      <c r="N848" s="7" t="str">
        <f>IFERROR(HLOOKUP(L848,'Calc|Weightings'!$K$5:$M$5,1,0),"Excl")</f>
        <v>Labour</v>
      </c>
      <c r="O848" s="7" t="str">
        <f>VLOOKUP(E848,Mapping!$E$11:$I$96,5,0)</f>
        <v>Metering Services</v>
      </c>
      <c r="Q848" s="33">
        <v>140</v>
      </c>
      <c r="R848" s="33" t="s">
        <v>2148</v>
      </c>
      <c r="S848" s="33">
        <v>611901</v>
      </c>
      <c r="T848" s="33" t="s">
        <v>2080</v>
      </c>
      <c r="U848" s="34">
        <v>1.48725</v>
      </c>
      <c r="V848" s="7"/>
      <c r="W848" s="7" t="str">
        <f>VLOOKUP($Q848,Mapping!$E$11:$I$96,3,0)</f>
        <v>Public lighting Capex</v>
      </c>
      <c r="X848" s="7" t="str">
        <f>VLOOKUP($S848,Mapping!$E$140:$K$2771,5,0)</f>
        <v>Contracts</v>
      </c>
      <c r="Y848" s="7" t="str">
        <f>VLOOKUP($S848,Mapping!$E$140:$K$2771,7,0)</f>
        <v>ENDirect</v>
      </c>
      <c r="Z848" s="7" t="str">
        <f>IFERROR(HLOOKUP(X848,'Calc|Weightings'!$K$5:$M$5,1,0),"Excl")</f>
        <v>Contracts</v>
      </c>
      <c r="AA848" s="7" t="str">
        <f>VLOOKUP(Q848,Mapping!$E$11:$I$96,5,0)</f>
        <v>Public Lighting</v>
      </c>
      <c r="AC848" s="111">
        <v>140</v>
      </c>
      <c r="AD848" s="111" t="s">
        <v>2148</v>
      </c>
      <c r="AE848" s="111">
        <v>531465</v>
      </c>
      <c r="AF848" s="111" t="s">
        <v>257</v>
      </c>
      <c r="AG848" s="112">
        <v>1.3709899999999999</v>
      </c>
      <c r="AI848" s="7" t="str">
        <f>VLOOKUP($AC848,Mapping!$E$11:$I$96,3,0)</f>
        <v>Public lighting Capex</v>
      </c>
      <c r="AJ848" s="7" t="str">
        <f>VLOOKUP($AE848,Mapping!$E$140:$K$2771,5,0)</f>
        <v>Contracts</v>
      </c>
      <c r="AK848" s="7" t="str">
        <f>VLOOKUP($AE848,Mapping!$E$140:$K$2771,7,0)</f>
        <v>ENDirect</v>
      </c>
      <c r="AL848" s="7" t="str">
        <f>IFERROR(HLOOKUP(AJ848,'Calc|Weightings'!$K$5:$M$5,1,0),"Excl")</f>
        <v>Contracts</v>
      </c>
      <c r="AM848" s="7" t="str">
        <f>VLOOKUP(AC848,Mapping!$E$11:$I$96,5,0)</f>
        <v>Public Lighting</v>
      </c>
      <c r="AO848" s="134">
        <v>141</v>
      </c>
      <c r="AP848" s="135" t="s">
        <v>2149</v>
      </c>
      <c r="AQ848" s="135">
        <v>613280</v>
      </c>
      <c r="AR848" s="135" t="s">
        <v>1342</v>
      </c>
      <c r="AS848" s="136">
        <v>6.1259800000000002</v>
      </c>
      <c r="AU848" s="7" t="str">
        <f>VLOOKUP($AO848,Mapping!$E$11:$I$96,3,0)</f>
        <v>Replacement</v>
      </c>
      <c r="AV848" s="7" t="str">
        <f>VLOOKUP($AQ848,Mapping!$E$140:$K$2771,5,0)</f>
        <v>Labour</v>
      </c>
      <c r="AW848" s="7" t="str">
        <f>VLOOKUP($AQ848,Mapping!$E$140:$K$2771,7,0)</f>
        <v>ENDirect</v>
      </c>
      <c r="AX848" s="7" t="str">
        <f>IFERROR(HLOOKUP(AV848,'Calc|Weightings'!$K$5:$M$5,1,0),"Excl")</f>
        <v>Labour</v>
      </c>
      <c r="AY848" s="7" t="str">
        <f>VLOOKUP(AO848,Mapping!$E$11:$I$96,5,0)</f>
        <v>SCS</v>
      </c>
    </row>
    <row r="849" spans="1:51" x14ac:dyDescent="0.2">
      <c r="A849" s="7"/>
      <c r="B849" s="7"/>
      <c r="C849" s="7"/>
      <c r="D849" s="7"/>
      <c r="E849" s="36">
        <v>137</v>
      </c>
      <c r="F849" s="36" t="s">
        <v>2144</v>
      </c>
      <c r="G849" s="36">
        <v>633000</v>
      </c>
      <c r="H849" s="36" t="s">
        <v>2202</v>
      </c>
      <c r="I849" s="37">
        <v>142.79553999999999</v>
      </c>
      <c r="J849" s="7"/>
      <c r="K849" s="7" t="str">
        <f>VLOOKUP($E849,Mapping!$E$11:$I$96,3,0)</f>
        <v>Metering Capex</v>
      </c>
      <c r="L849" s="7" t="str">
        <f>VLOOKUP($G849,Mapping!$E$140:$K$2771,5,0)</f>
        <v>Contracts</v>
      </c>
      <c r="M849" s="7" t="str">
        <f>VLOOKUP($G849,Mapping!$E$140:$K$2771,7,0)</f>
        <v>OH</v>
      </c>
      <c r="N849" s="7" t="str">
        <f>IFERROR(HLOOKUP(L849,'Calc|Weightings'!$K$5:$M$5,1,0),"Excl")</f>
        <v>Contracts</v>
      </c>
      <c r="O849" s="7" t="str">
        <f>VLOOKUP(E849,Mapping!$E$11:$I$96,5,0)</f>
        <v>Metering Services</v>
      </c>
      <c r="Q849" s="33">
        <v>140</v>
      </c>
      <c r="R849" s="33" t="s">
        <v>2148</v>
      </c>
      <c r="S849" s="33">
        <v>611902</v>
      </c>
      <c r="T849" s="33" t="s">
        <v>2081</v>
      </c>
      <c r="U849" s="34">
        <v>0.16045000000000001</v>
      </c>
      <c r="V849" s="7"/>
      <c r="W849" s="7" t="str">
        <f>VLOOKUP($Q849,Mapping!$E$11:$I$96,3,0)</f>
        <v>Public lighting Capex</v>
      </c>
      <c r="X849" s="7" t="str">
        <f>VLOOKUP($S849,Mapping!$E$140:$K$2771,5,0)</f>
        <v>Contracts</v>
      </c>
      <c r="Y849" s="7" t="str">
        <f>VLOOKUP($S849,Mapping!$E$140:$K$2771,7,0)</f>
        <v>ENDirect</v>
      </c>
      <c r="Z849" s="7" t="str">
        <f>IFERROR(HLOOKUP(X849,'Calc|Weightings'!$K$5:$M$5,1,0),"Excl")</f>
        <v>Contracts</v>
      </c>
      <c r="AA849" s="7" t="str">
        <f>VLOOKUP(Q849,Mapping!$E$11:$I$96,5,0)</f>
        <v>Public Lighting</v>
      </c>
      <c r="AC849" s="111">
        <v>140</v>
      </c>
      <c r="AD849" s="111" t="s">
        <v>2148</v>
      </c>
      <c r="AE849" s="111">
        <v>531466</v>
      </c>
      <c r="AF849" s="111" t="s">
        <v>258</v>
      </c>
      <c r="AG849" s="112">
        <v>418.98054000000002</v>
      </c>
      <c r="AI849" s="7" t="str">
        <f>VLOOKUP($AC849,Mapping!$E$11:$I$96,3,0)</f>
        <v>Public lighting Capex</v>
      </c>
      <c r="AJ849" s="7" t="str">
        <f>VLOOKUP($AE849,Mapping!$E$140:$K$2771,5,0)</f>
        <v>Contracts</v>
      </c>
      <c r="AK849" s="7" t="str">
        <f>VLOOKUP($AE849,Mapping!$E$140:$K$2771,7,0)</f>
        <v>ENDirect</v>
      </c>
      <c r="AL849" s="7" t="str">
        <f>IFERROR(HLOOKUP(AJ849,'Calc|Weightings'!$K$5:$M$5,1,0),"Excl")</f>
        <v>Contracts</v>
      </c>
      <c r="AM849" s="7" t="str">
        <f>VLOOKUP(AC849,Mapping!$E$11:$I$96,5,0)</f>
        <v>Public Lighting</v>
      </c>
      <c r="AO849" s="134">
        <v>141</v>
      </c>
      <c r="AP849" s="135" t="s">
        <v>2149</v>
      </c>
      <c r="AQ849" s="135">
        <v>613290</v>
      </c>
      <c r="AR849" s="135" t="s">
        <v>2093</v>
      </c>
      <c r="AS849" s="136">
        <v>7.31935</v>
      </c>
      <c r="AU849" s="7" t="str">
        <f>VLOOKUP($AO849,Mapping!$E$11:$I$96,3,0)</f>
        <v>Replacement</v>
      </c>
      <c r="AV849" s="7" t="str">
        <f>VLOOKUP($AQ849,Mapping!$E$140:$K$2771,5,0)</f>
        <v>Labour</v>
      </c>
      <c r="AW849" s="7" t="str">
        <f>VLOOKUP($AQ849,Mapping!$E$140:$K$2771,7,0)</f>
        <v>ENDirect</v>
      </c>
      <c r="AX849" s="7" t="str">
        <f>IFERROR(HLOOKUP(AV849,'Calc|Weightings'!$K$5:$M$5,1,0),"Excl")</f>
        <v>Labour</v>
      </c>
      <c r="AY849" s="7" t="str">
        <f>VLOOKUP(AO849,Mapping!$E$11:$I$96,5,0)</f>
        <v>SCS</v>
      </c>
    </row>
    <row r="850" spans="1:51" x14ac:dyDescent="0.2">
      <c r="A850" s="7"/>
      <c r="B850" s="7"/>
      <c r="C850" s="7"/>
      <c r="D850" s="7"/>
      <c r="E850" s="36">
        <v>137</v>
      </c>
      <c r="F850" s="36" t="s">
        <v>2144</v>
      </c>
      <c r="G850" s="36">
        <v>638000</v>
      </c>
      <c r="H850" s="36" t="s">
        <v>1147</v>
      </c>
      <c r="I850" s="37">
        <v>24.254829999999998</v>
      </c>
      <c r="J850" s="7"/>
      <c r="K850" s="7" t="str">
        <f>VLOOKUP($E850,Mapping!$E$11:$I$96,3,0)</f>
        <v>Metering Capex</v>
      </c>
      <c r="L850" s="7" t="str">
        <f>VLOOKUP($G850,Mapping!$E$140:$K$2771,5,0)</f>
        <v>CHEDS AMI BAU MG</v>
      </c>
      <c r="M850" s="7" t="str">
        <f>VLOOKUP($G850,Mapping!$E$140:$K$2771,7,0)</f>
        <v>ENDirect</v>
      </c>
      <c r="N850" s="7" t="str">
        <f>IFERROR(HLOOKUP(L850,'Calc|Weightings'!$K$5:$M$5,1,0),"Excl")</f>
        <v>Excl</v>
      </c>
      <c r="O850" s="7" t="str">
        <f>VLOOKUP(E850,Mapping!$E$11:$I$96,5,0)</f>
        <v>Metering Services</v>
      </c>
      <c r="Q850" s="33">
        <v>140</v>
      </c>
      <c r="R850" s="33" t="s">
        <v>2148</v>
      </c>
      <c r="S850" s="33">
        <v>612210</v>
      </c>
      <c r="T850" s="33" t="s">
        <v>1184</v>
      </c>
      <c r="U850" s="34">
        <v>9.1300000000000006E-2</v>
      </c>
      <c r="V850" s="7"/>
      <c r="W850" s="7" t="str">
        <f>VLOOKUP($Q850,Mapping!$E$11:$I$96,3,0)</f>
        <v>Public lighting Capex</v>
      </c>
      <c r="X850" s="7" t="str">
        <f>VLOOKUP($S850,Mapping!$E$140:$K$2771,5,0)</f>
        <v>Labour</v>
      </c>
      <c r="Y850" s="7" t="str">
        <f>VLOOKUP($S850,Mapping!$E$140:$K$2771,7,0)</f>
        <v>ENDirect</v>
      </c>
      <c r="Z850" s="7" t="str">
        <f>IFERROR(HLOOKUP(X850,'Calc|Weightings'!$K$5:$M$5,1,0),"Excl")</f>
        <v>Labour</v>
      </c>
      <c r="AA850" s="7" t="str">
        <f>VLOOKUP(Q850,Mapping!$E$11:$I$96,5,0)</f>
        <v>Public Lighting</v>
      </c>
      <c r="AC850" s="111">
        <v>140</v>
      </c>
      <c r="AD850" s="111" t="s">
        <v>2148</v>
      </c>
      <c r="AE850" s="111">
        <v>531467</v>
      </c>
      <c r="AF850" s="111" t="s">
        <v>259</v>
      </c>
      <c r="AG850" s="112">
        <v>29.180209999999999</v>
      </c>
      <c r="AI850" s="7" t="str">
        <f>VLOOKUP($AC850,Mapping!$E$11:$I$96,3,0)</f>
        <v>Public lighting Capex</v>
      </c>
      <c r="AJ850" s="7" t="str">
        <f>VLOOKUP($AE850,Mapping!$E$140:$K$2771,5,0)</f>
        <v>Contracts</v>
      </c>
      <c r="AK850" s="7" t="str">
        <f>VLOOKUP($AE850,Mapping!$E$140:$K$2771,7,0)</f>
        <v>ENDirect</v>
      </c>
      <c r="AL850" s="7" t="str">
        <f>IFERROR(HLOOKUP(AJ850,'Calc|Weightings'!$K$5:$M$5,1,0),"Excl")</f>
        <v>Contracts</v>
      </c>
      <c r="AM850" s="7" t="str">
        <f>VLOOKUP(AC850,Mapping!$E$11:$I$96,5,0)</f>
        <v>Public Lighting</v>
      </c>
      <c r="AO850" s="134">
        <v>141</v>
      </c>
      <c r="AP850" s="135" t="s">
        <v>2149</v>
      </c>
      <c r="AQ850" s="135">
        <v>613310</v>
      </c>
      <c r="AR850" s="135" t="s">
        <v>2095</v>
      </c>
      <c r="AS850" s="136">
        <v>8.0790199999999999</v>
      </c>
      <c r="AU850" s="7" t="str">
        <f>VLOOKUP($AO850,Mapping!$E$11:$I$96,3,0)</f>
        <v>Replacement</v>
      </c>
      <c r="AV850" s="7" t="str">
        <f>VLOOKUP($AQ850,Mapping!$E$140:$K$2771,5,0)</f>
        <v>Labour</v>
      </c>
      <c r="AW850" s="7" t="str">
        <f>VLOOKUP($AQ850,Mapping!$E$140:$K$2771,7,0)</f>
        <v>ENDirect</v>
      </c>
      <c r="AX850" s="7" t="str">
        <f>IFERROR(HLOOKUP(AV850,'Calc|Weightings'!$K$5:$M$5,1,0),"Excl")</f>
        <v>Labour</v>
      </c>
      <c r="AY850" s="7" t="str">
        <f>VLOOKUP(AO850,Mapping!$E$11:$I$96,5,0)</f>
        <v>SCS</v>
      </c>
    </row>
    <row r="851" spans="1:51" x14ac:dyDescent="0.2">
      <c r="A851" s="7"/>
      <c r="B851" s="7"/>
      <c r="C851" s="7"/>
      <c r="D851" s="7"/>
      <c r="E851" s="36">
        <v>137</v>
      </c>
      <c r="F851" s="36" t="s">
        <v>2144</v>
      </c>
      <c r="G851" s="36">
        <v>639050</v>
      </c>
      <c r="H851" s="36" t="s">
        <v>2113</v>
      </c>
      <c r="I851" s="37">
        <v>5.6212200000000001</v>
      </c>
      <c r="J851" s="7"/>
      <c r="K851" s="7" t="str">
        <f>VLOOKUP($E851,Mapping!$E$11:$I$96,3,0)</f>
        <v>Metering Capex</v>
      </c>
      <c r="L851" s="7" t="str">
        <f>VLOOKUP($G851,Mapping!$E$140:$K$2771,5,0)</f>
        <v>PNS Fleet &amp; Property OH</v>
      </c>
      <c r="M851" s="7" t="str">
        <f>VLOOKUP($G851,Mapping!$E$140:$K$2771,7,0)</f>
        <v>OH</v>
      </c>
      <c r="N851" s="7" t="str">
        <f>IFERROR(HLOOKUP(L851,'Calc|Weightings'!$K$5:$M$5,1,0),"Excl")</f>
        <v>Excl</v>
      </c>
      <c r="O851" s="7" t="str">
        <f>VLOOKUP(E851,Mapping!$E$11:$I$96,5,0)</f>
        <v>Metering Services</v>
      </c>
      <c r="Q851" s="33">
        <v>140</v>
      </c>
      <c r="R851" s="33" t="s">
        <v>2148</v>
      </c>
      <c r="S851" s="33">
        <v>612462</v>
      </c>
      <c r="T851" s="33" t="s">
        <v>1244</v>
      </c>
      <c r="U851" s="34">
        <v>-0.11252</v>
      </c>
      <c r="V851" s="7"/>
      <c r="W851" s="7" t="str">
        <f>VLOOKUP($Q851,Mapping!$E$11:$I$96,3,0)</f>
        <v>Public lighting Capex</v>
      </c>
      <c r="X851" s="7" t="str">
        <f>VLOOKUP($S851,Mapping!$E$140:$K$2771,5,0)</f>
        <v>Labour</v>
      </c>
      <c r="Y851" s="7" t="str">
        <f>VLOOKUP($S851,Mapping!$E$140:$K$2771,7,0)</f>
        <v>ENDirect</v>
      </c>
      <c r="Z851" s="7" t="str">
        <f>IFERROR(HLOOKUP(X851,'Calc|Weightings'!$K$5:$M$5,1,0),"Excl")</f>
        <v>Labour</v>
      </c>
      <c r="AA851" s="7" t="str">
        <f>VLOOKUP(Q851,Mapping!$E$11:$I$96,5,0)</f>
        <v>Public Lighting</v>
      </c>
      <c r="AC851" s="111">
        <v>140</v>
      </c>
      <c r="AD851" s="111" t="s">
        <v>2148</v>
      </c>
      <c r="AE851" s="111">
        <v>531468</v>
      </c>
      <c r="AF851" s="111" t="s">
        <v>260</v>
      </c>
      <c r="AG851" s="112">
        <v>38.321330000000003</v>
      </c>
      <c r="AI851" s="7" t="str">
        <f>VLOOKUP($AC851,Mapping!$E$11:$I$96,3,0)</f>
        <v>Public lighting Capex</v>
      </c>
      <c r="AJ851" s="7" t="str">
        <f>VLOOKUP($AE851,Mapping!$E$140:$K$2771,5,0)</f>
        <v>Contracts</v>
      </c>
      <c r="AK851" s="7" t="str">
        <f>VLOOKUP($AE851,Mapping!$E$140:$K$2771,7,0)</f>
        <v>ENDirect</v>
      </c>
      <c r="AL851" s="7" t="str">
        <f>IFERROR(HLOOKUP(AJ851,'Calc|Weightings'!$K$5:$M$5,1,0),"Excl")</f>
        <v>Contracts</v>
      </c>
      <c r="AM851" s="7" t="str">
        <f>VLOOKUP(AC851,Mapping!$E$11:$I$96,5,0)</f>
        <v>Public Lighting</v>
      </c>
      <c r="AO851" s="134">
        <v>141</v>
      </c>
      <c r="AP851" s="135" t="s">
        <v>2149</v>
      </c>
      <c r="AQ851" s="135">
        <v>613360</v>
      </c>
      <c r="AR851" s="135" t="s">
        <v>2097</v>
      </c>
      <c r="AS851" s="136">
        <v>1.54081</v>
      </c>
      <c r="AU851" s="7" t="str">
        <f>VLOOKUP($AO851,Mapping!$E$11:$I$96,3,0)</f>
        <v>Replacement</v>
      </c>
      <c r="AV851" s="7" t="str">
        <f>VLOOKUP($AQ851,Mapping!$E$140:$K$2771,5,0)</f>
        <v>Labour</v>
      </c>
      <c r="AW851" s="7" t="str">
        <f>VLOOKUP($AQ851,Mapping!$E$140:$K$2771,7,0)</f>
        <v>ENDirect</v>
      </c>
      <c r="AX851" s="7" t="str">
        <f>IFERROR(HLOOKUP(AV851,'Calc|Weightings'!$K$5:$M$5,1,0),"Excl")</f>
        <v>Labour</v>
      </c>
      <c r="AY851" s="7" t="str">
        <f>VLOOKUP(AO851,Mapping!$E$11:$I$96,5,0)</f>
        <v>SCS</v>
      </c>
    </row>
    <row r="852" spans="1:51" x14ac:dyDescent="0.2">
      <c r="A852" s="7"/>
      <c r="B852" s="7"/>
      <c r="C852" s="7"/>
      <c r="D852" s="7"/>
      <c r="E852" s="36">
        <v>138</v>
      </c>
      <c r="F852" s="36" t="s">
        <v>2145</v>
      </c>
      <c r="G852" s="36">
        <v>624743</v>
      </c>
      <c r="H852" s="36" t="s">
        <v>1270</v>
      </c>
      <c r="I852" s="37">
        <v>11.25033</v>
      </c>
      <c r="J852" s="7"/>
      <c r="K852" s="7" t="str">
        <f>VLOOKUP($E852,Mapping!$E$11:$I$96,3,0)</f>
        <v>Metering Capex</v>
      </c>
      <c r="L852" s="7" t="str">
        <f>VLOOKUP($G852,Mapping!$E$140:$K$2771,5,0)</f>
        <v>Labour</v>
      </c>
      <c r="M852" s="7" t="str">
        <f>VLOOKUP($G852,Mapping!$E$140:$K$2771,7,0)</f>
        <v>ENDirect</v>
      </c>
      <c r="N852" s="7" t="str">
        <f>IFERROR(HLOOKUP(L852,'Calc|Weightings'!$K$5:$M$5,1,0),"Excl")</f>
        <v>Labour</v>
      </c>
      <c r="O852" s="7" t="str">
        <f>VLOOKUP(E852,Mapping!$E$11:$I$96,5,0)</f>
        <v>Metering Services</v>
      </c>
      <c r="Q852" s="33">
        <v>140</v>
      </c>
      <c r="R852" s="33" t="s">
        <v>2148</v>
      </c>
      <c r="S852" s="33">
        <v>613240</v>
      </c>
      <c r="T852" s="33" t="s">
        <v>2082</v>
      </c>
      <c r="U852" s="34">
        <v>2.7403900000000001</v>
      </c>
      <c r="V852" s="7"/>
      <c r="W852" s="7" t="str">
        <f>VLOOKUP($Q852,Mapping!$E$11:$I$96,3,0)</f>
        <v>Public lighting Capex</v>
      </c>
      <c r="X852" s="7" t="str">
        <f>VLOOKUP($S852,Mapping!$E$140:$K$2771,5,0)</f>
        <v>Labour</v>
      </c>
      <c r="Y852" s="7" t="str">
        <f>VLOOKUP($S852,Mapping!$E$140:$K$2771,7,0)</f>
        <v>ENDirect</v>
      </c>
      <c r="Z852" s="7" t="str">
        <f>IFERROR(HLOOKUP(X852,'Calc|Weightings'!$K$5:$M$5,1,0),"Excl")</f>
        <v>Labour</v>
      </c>
      <c r="AA852" s="7" t="str">
        <f>VLOOKUP(Q852,Mapping!$E$11:$I$96,5,0)</f>
        <v>Public Lighting</v>
      </c>
      <c r="AC852" s="111">
        <v>140</v>
      </c>
      <c r="AD852" s="111" t="s">
        <v>2148</v>
      </c>
      <c r="AE852" s="111">
        <v>591997</v>
      </c>
      <c r="AF852" s="111" t="s">
        <v>2194</v>
      </c>
      <c r="AG852" s="112">
        <v>-0.25586999999999999</v>
      </c>
      <c r="AI852" s="7" t="str">
        <f>VLOOKUP($AC852,Mapping!$E$11:$I$96,3,0)</f>
        <v>Public lighting Capex</v>
      </c>
      <c r="AJ852" s="7" t="str">
        <f>VLOOKUP($AE852,Mapping!$E$140:$K$2771,5,0)</f>
        <v>Contracts</v>
      </c>
      <c r="AK852" s="7" t="str">
        <f>VLOOKUP($AE852,Mapping!$E$140:$K$2771,7,0)</f>
        <v>ENDirect</v>
      </c>
      <c r="AL852" s="7" t="str">
        <f>IFERROR(HLOOKUP(AJ852,'Calc|Weightings'!$K$5:$M$5,1,0),"Excl")</f>
        <v>Contracts</v>
      </c>
      <c r="AM852" s="7" t="str">
        <f>VLOOKUP(AC852,Mapping!$E$11:$I$96,5,0)</f>
        <v>Public Lighting</v>
      </c>
      <c r="AO852" s="134">
        <v>141</v>
      </c>
      <c r="AP852" s="135" t="s">
        <v>2149</v>
      </c>
      <c r="AQ852" s="135">
        <v>613400</v>
      </c>
      <c r="AR852" s="135" t="s">
        <v>2099</v>
      </c>
      <c r="AS852" s="136">
        <v>15.575989999999999</v>
      </c>
      <c r="AU852" s="7" t="str">
        <f>VLOOKUP($AO852,Mapping!$E$11:$I$96,3,0)</f>
        <v>Replacement</v>
      </c>
      <c r="AV852" s="7" t="str">
        <f>VLOOKUP($AQ852,Mapping!$E$140:$K$2771,5,0)</f>
        <v>Labour</v>
      </c>
      <c r="AW852" s="7" t="str">
        <f>VLOOKUP($AQ852,Mapping!$E$140:$K$2771,7,0)</f>
        <v>ENDirect</v>
      </c>
      <c r="AX852" s="7" t="str">
        <f>IFERROR(HLOOKUP(AV852,'Calc|Weightings'!$K$5:$M$5,1,0),"Excl")</f>
        <v>Labour</v>
      </c>
      <c r="AY852" s="7" t="str">
        <f>VLOOKUP(AO852,Mapping!$E$11:$I$96,5,0)</f>
        <v>SCS</v>
      </c>
    </row>
    <row r="853" spans="1:51" x14ac:dyDescent="0.2">
      <c r="A853" s="7"/>
      <c r="B853" s="7"/>
      <c r="C853" s="7"/>
      <c r="D853" s="7"/>
      <c r="E853" s="36">
        <v>138</v>
      </c>
      <c r="F853" s="36" t="s">
        <v>2145</v>
      </c>
      <c r="G853" s="36">
        <v>624753</v>
      </c>
      <c r="H853" s="36" t="s">
        <v>1630</v>
      </c>
      <c r="I853" s="37">
        <v>0.66886000000000001</v>
      </c>
      <c r="J853" s="7"/>
      <c r="K853" s="7" t="str">
        <f>VLOOKUP($E853,Mapping!$E$11:$I$96,3,0)</f>
        <v>Metering Capex</v>
      </c>
      <c r="L853" s="7" t="str">
        <f>VLOOKUP($G853,Mapping!$E$140:$K$2771,5,0)</f>
        <v>Labour</v>
      </c>
      <c r="M853" s="7" t="str">
        <f>VLOOKUP($G853,Mapping!$E$140:$K$2771,7,0)</f>
        <v>ENDirect</v>
      </c>
      <c r="N853" s="7" t="str">
        <f>IFERROR(HLOOKUP(L853,'Calc|Weightings'!$K$5:$M$5,1,0),"Excl")</f>
        <v>Labour</v>
      </c>
      <c r="O853" s="7" t="str">
        <f>VLOOKUP(E853,Mapping!$E$11:$I$96,5,0)</f>
        <v>Metering Services</v>
      </c>
      <c r="Q853" s="33">
        <v>140</v>
      </c>
      <c r="R853" s="33" t="s">
        <v>2148</v>
      </c>
      <c r="S853" s="33">
        <v>613241</v>
      </c>
      <c r="T853" s="33" t="s">
        <v>2083</v>
      </c>
      <c r="U853" s="34">
        <v>0.46239000000000002</v>
      </c>
      <c r="V853" s="7"/>
      <c r="W853" s="7" t="str">
        <f>VLOOKUP($Q853,Mapping!$E$11:$I$96,3,0)</f>
        <v>Public lighting Capex</v>
      </c>
      <c r="X853" s="7" t="str">
        <f>VLOOKUP($S853,Mapping!$E$140:$K$2771,5,0)</f>
        <v>Labour</v>
      </c>
      <c r="Y853" s="7" t="str">
        <f>VLOOKUP($S853,Mapping!$E$140:$K$2771,7,0)</f>
        <v>ENDirect</v>
      </c>
      <c r="Z853" s="7" t="str">
        <f>IFERROR(HLOOKUP(X853,'Calc|Weightings'!$K$5:$M$5,1,0),"Excl")</f>
        <v>Labour</v>
      </c>
      <c r="AA853" s="7" t="str">
        <f>VLOOKUP(Q853,Mapping!$E$11:$I$96,5,0)</f>
        <v>Public Lighting</v>
      </c>
      <c r="AC853" s="111">
        <v>140</v>
      </c>
      <c r="AD853" s="111" t="s">
        <v>2148</v>
      </c>
      <c r="AE853" s="111">
        <v>591999</v>
      </c>
      <c r="AF853" s="111" t="s">
        <v>2195</v>
      </c>
      <c r="AG853" s="112">
        <v>-2.7176200000000001</v>
      </c>
      <c r="AI853" s="7" t="str">
        <f>VLOOKUP($AC853,Mapping!$E$11:$I$96,3,0)</f>
        <v>Public lighting Capex</v>
      </c>
      <c r="AJ853" s="7" t="str">
        <f>VLOOKUP($AE853,Mapping!$E$140:$K$2771,5,0)</f>
        <v>Contracts</v>
      </c>
      <c r="AK853" s="7" t="str">
        <f>VLOOKUP($AE853,Mapping!$E$140:$K$2771,7,0)</f>
        <v>ENDirect</v>
      </c>
      <c r="AL853" s="7" t="str">
        <f>IFERROR(HLOOKUP(AJ853,'Calc|Weightings'!$K$5:$M$5,1,0),"Excl")</f>
        <v>Contracts</v>
      </c>
      <c r="AM853" s="7" t="str">
        <f>VLOOKUP(AC853,Mapping!$E$11:$I$96,5,0)</f>
        <v>Public Lighting</v>
      </c>
      <c r="AO853" s="134">
        <v>141</v>
      </c>
      <c r="AP853" s="135" t="s">
        <v>2149</v>
      </c>
      <c r="AQ853" s="135">
        <v>613401</v>
      </c>
      <c r="AR853" s="135" t="s">
        <v>2117</v>
      </c>
      <c r="AS853" s="136">
        <v>1.7861800000000001</v>
      </c>
      <c r="AU853" s="7" t="str">
        <f>VLOOKUP($AO853,Mapping!$E$11:$I$96,3,0)</f>
        <v>Replacement</v>
      </c>
      <c r="AV853" s="7" t="str">
        <f>VLOOKUP($AQ853,Mapping!$E$140:$K$2771,5,0)</f>
        <v>Labour</v>
      </c>
      <c r="AW853" s="7" t="str">
        <f>VLOOKUP($AQ853,Mapping!$E$140:$K$2771,7,0)</f>
        <v>ENDirect</v>
      </c>
      <c r="AX853" s="7" t="str">
        <f>IFERROR(HLOOKUP(AV853,'Calc|Weightings'!$K$5:$M$5,1,0),"Excl")</f>
        <v>Labour</v>
      </c>
      <c r="AY853" s="7" t="str">
        <f>VLOOKUP(AO853,Mapping!$E$11:$I$96,5,0)</f>
        <v>SCS</v>
      </c>
    </row>
    <row r="854" spans="1:51" x14ac:dyDescent="0.2">
      <c r="A854" s="7"/>
      <c r="B854" s="7"/>
      <c r="C854" s="7"/>
      <c r="D854" s="7"/>
      <c r="E854" s="36">
        <v>138</v>
      </c>
      <c r="F854" s="36" t="s">
        <v>2145</v>
      </c>
      <c r="G854" s="36">
        <v>633000</v>
      </c>
      <c r="H854" s="36" t="s">
        <v>2202</v>
      </c>
      <c r="I854" s="37">
        <v>1.9243699999999999</v>
      </c>
      <c r="J854" s="7"/>
      <c r="K854" s="7" t="str">
        <f>VLOOKUP($E854,Mapping!$E$11:$I$96,3,0)</f>
        <v>Metering Capex</v>
      </c>
      <c r="L854" s="7" t="str">
        <f>VLOOKUP($G854,Mapping!$E$140:$K$2771,5,0)</f>
        <v>Contracts</v>
      </c>
      <c r="M854" s="7" t="str">
        <f>VLOOKUP($G854,Mapping!$E$140:$K$2771,7,0)</f>
        <v>OH</v>
      </c>
      <c r="N854" s="7" t="str">
        <f>IFERROR(HLOOKUP(L854,'Calc|Weightings'!$K$5:$M$5,1,0),"Excl")</f>
        <v>Contracts</v>
      </c>
      <c r="O854" s="7" t="str">
        <f>VLOOKUP(E854,Mapping!$E$11:$I$96,5,0)</f>
        <v>Metering Services</v>
      </c>
      <c r="Q854" s="33">
        <v>140</v>
      </c>
      <c r="R854" s="33" t="s">
        <v>2148</v>
      </c>
      <c r="S854" s="33">
        <v>613244</v>
      </c>
      <c r="T854" s="33" t="s">
        <v>2084</v>
      </c>
      <c r="U854" s="34">
        <v>0.50983999999999996</v>
      </c>
      <c r="V854" s="7"/>
      <c r="W854" s="7" t="str">
        <f>VLOOKUP($Q854,Mapping!$E$11:$I$96,3,0)</f>
        <v>Public lighting Capex</v>
      </c>
      <c r="X854" s="7" t="str">
        <f>VLOOKUP($S854,Mapping!$E$140:$K$2771,5,0)</f>
        <v>Labour</v>
      </c>
      <c r="Y854" s="7" t="str">
        <f>VLOOKUP($S854,Mapping!$E$140:$K$2771,7,0)</f>
        <v>ENDirect</v>
      </c>
      <c r="Z854" s="7" t="str">
        <f>IFERROR(HLOOKUP(X854,'Calc|Weightings'!$K$5:$M$5,1,0),"Excl")</f>
        <v>Labour</v>
      </c>
      <c r="AA854" s="7" t="str">
        <f>VLOOKUP(Q854,Mapping!$E$11:$I$96,5,0)</f>
        <v>Public Lighting</v>
      </c>
      <c r="AC854" s="111">
        <v>140</v>
      </c>
      <c r="AD854" s="111" t="s">
        <v>2148</v>
      </c>
      <c r="AE854" s="111">
        <v>611860</v>
      </c>
      <c r="AF854" s="111" t="s">
        <v>2125</v>
      </c>
      <c r="AG854" s="112">
        <v>-1.6660999999999999</v>
      </c>
      <c r="AI854" s="7" t="str">
        <f>VLOOKUP($AC854,Mapping!$E$11:$I$96,3,0)</f>
        <v>Public lighting Capex</v>
      </c>
      <c r="AJ854" s="7" t="str">
        <f>VLOOKUP($AE854,Mapping!$E$140:$K$2771,5,0)</f>
        <v>Labour</v>
      </c>
      <c r="AK854" s="7" t="str">
        <f>VLOOKUP($AE854,Mapping!$E$140:$K$2771,7,0)</f>
        <v>ENDirect</v>
      </c>
      <c r="AL854" s="7" t="str">
        <f>IFERROR(HLOOKUP(AJ854,'Calc|Weightings'!$K$5:$M$5,1,0),"Excl")</f>
        <v>Labour</v>
      </c>
      <c r="AM854" s="7" t="str">
        <f>VLOOKUP(AC854,Mapping!$E$11:$I$96,5,0)</f>
        <v>Public Lighting</v>
      </c>
      <c r="AO854" s="134">
        <v>141</v>
      </c>
      <c r="AP854" s="135" t="s">
        <v>2149</v>
      </c>
      <c r="AQ854" s="135">
        <v>613410</v>
      </c>
      <c r="AR854" s="135" t="s">
        <v>2100</v>
      </c>
      <c r="AS854" s="136">
        <v>32.909779999999998</v>
      </c>
      <c r="AU854" s="7" t="str">
        <f>VLOOKUP($AO854,Mapping!$E$11:$I$96,3,0)</f>
        <v>Replacement</v>
      </c>
      <c r="AV854" s="7" t="str">
        <f>VLOOKUP($AQ854,Mapping!$E$140:$K$2771,5,0)</f>
        <v>Labour</v>
      </c>
      <c r="AW854" s="7" t="str">
        <f>VLOOKUP($AQ854,Mapping!$E$140:$K$2771,7,0)</f>
        <v>ENDirect</v>
      </c>
      <c r="AX854" s="7" t="str">
        <f>IFERROR(HLOOKUP(AV854,'Calc|Weightings'!$K$5:$M$5,1,0),"Excl")</f>
        <v>Labour</v>
      </c>
      <c r="AY854" s="7" t="str">
        <f>VLOOKUP(AO854,Mapping!$E$11:$I$96,5,0)</f>
        <v>SCS</v>
      </c>
    </row>
    <row r="855" spans="1:51" x14ac:dyDescent="0.2">
      <c r="A855" s="7"/>
      <c r="B855" s="7"/>
      <c r="C855" s="7"/>
      <c r="D855" s="7"/>
      <c r="E855" s="36">
        <v>138</v>
      </c>
      <c r="F855" s="36" t="s">
        <v>2145</v>
      </c>
      <c r="G855" s="36">
        <v>638000</v>
      </c>
      <c r="H855" s="36" t="s">
        <v>1147</v>
      </c>
      <c r="I855" s="37">
        <v>0.33487</v>
      </c>
      <c r="J855" s="7"/>
      <c r="K855" s="7" t="str">
        <f>VLOOKUP($E855,Mapping!$E$11:$I$96,3,0)</f>
        <v>Metering Capex</v>
      </c>
      <c r="L855" s="7" t="str">
        <f>VLOOKUP($G855,Mapping!$E$140:$K$2771,5,0)</f>
        <v>CHEDS AMI BAU MG</v>
      </c>
      <c r="M855" s="7" t="str">
        <f>VLOOKUP($G855,Mapping!$E$140:$K$2771,7,0)</f>
        <v>ENDirect</v>
      </c>
      <c r="N855" s="7" t="str">
        <f>IFERROR(HLOOKUP(L855,'Calc|Weightings'!$K$5:$M$5,1,0),"Excl")</f>
        <v>Excl</v>
      </c>
      <c r="O855" s="7" t="str">
        <f>VLOOKUP(E855,Mapping!$E$11:$I$96,5,0)</f>
        <v>Metering Services</v>
      </c>
      <c r="Q855" s="33">
        <v>140</v>
      </c>
      <c r="R855" s="33" t="s">
        <v>2148</v>
      </c>
      <c r="S855" s="33">
        <v>613250</v>
      </c>
      <c r="T855" s="33" t="s">
        <v>2086</v>
      </c>
      <c r="U855" s="34">
        <v>4.8140000000000001</v>
      </c>
      <c r="V855" s="7"/>
      <c r="W855" s="7" t="str">
        <f>VLOOKUP($Q855,Mapping!$E$11:$I$96,3,0)</f>
        <v>Public lighting Capex</v>
      </c>
      <c r="X855" s="7" t="str">
        <f>VLOOKUP($S855,Mapping!$E$140:$K$2771,5,0)</f>
        <v>Labour</v>
      </c>
      <c r="Y855" s="7" t="str">
        <f>VLOOKUP($S855,Mapping!$E$140:$K$2771,7,0)</f>
        <v>ENDirect</v>
      </c>
      <c r="Z855" s="7" t="str">
        <f>IFERROR(HLOOKUP(X855,'Calc|Weightings'!$K$5:$M$5,1,0),"Excl")</f>
        <v>Labour</v>
      </c>
      <c r="AA855" s="7" t="str">
        <f>VLOOKUP(Q855,Mapping!$E$11:$I$96,5,0)</f>
        <v>Public Lighting</v>
      </c>
      <c r="AC855" s="111">
        <v>140</v>
      </c>
      <c r="AD855" s="111" t="s">
        <v>2148</v>
      </c>
      <c r="AE855" s="111">
        <v>611861</v>
      </c>
      <c r="AF855" s="111" t="s">
        <v>2140</v>
      </c>
      <c r="AG855" s="112">
        <v>-1.1036600000000001</v>
      </c>
      <c r="AI855" s="7" t="str">
        <f>VLOOKUP($AC855,Mapping!$E$11:$I$96,3,0)</f>
        <v>Public lighting Capex</v>
      </c>
      <c r="AJ855" s="7" t="str">
        <f>VLOOKUP($AE855,Mapping!$E$140:$K$2771,5,0)</f>
        <v>Labour</v>
      </c>
      <c r="AK855" s="7" t="str">
        <f>VLOOKUP($AE855,Mapping!$E$140:$K$2771,7,0)</f>
        <v>ENDirect</v>
      </c>
      <c r="AL855" s="7" t="str">
        <f>IFERROR(HLOOKUP(AJ855,'Calc|Weightings'!$K$5:$M$5,1,0),"Excl")</f>
        <v>Labour</v>
      </c>
      <c r="AM855" s="7" t="str">
        <f>VLOOKUP(AC855,Mapping!$E$11:$I$96,5,0)</f>
        <v>Public Lighting</v>
      </c>
      <c r="AO855" s="134">
        <v>141</v>
      </c>
      <c r="AP855" s="135" t="s">
        <v>2149</v>
      </c>
      <c r="AQ855" s="135">
        <v>613411</v>
      </c>
      <c r="AR855" s="135" t="s">
        <v>2101</v>
      </c>
      <c r="AS855" s="136">
        <v>9.7009000000000007</v>
      </c>
      <c r="AU855" s="7" t="str">
        <f>VLOOKUP($AO855,Mapping!$E$11:$I$96,3,0)</f>
        <v>Replacement</v>
      </c>
      <c r="AV855" s="7" t="str">
        <f>VLOOKUP($AQ855,Mapping!$E$140:$K$2771,5,0)</f>
        <v>Labour</v>
      </c>
      <c r="AW855" s="7" t="str">
        <f>VLOOKUP($AQ855,Mapping!$E$140:$K$2771,7,0)</f>
        <v>ENDirect</v>
      </c>
      <c r="AX855" s="7" t="str">
        <f>IFERROR(HLOOKUP(AV855,'Calc|Weightings'!$K$5:$M$5,1,0),"Excl")</f>
        <v>Labour</v>
      </c>
      <c r="AY855" s="7" t="str">
        <f>VLOOKUP(AO855,Mapping!$E$11:$I$96,5,0)</f>
        <v>SCS</v>
      </c>
    </row>
    <row r="856" spans="1:51" x14ac:dyDescent="0.2">
      <c r="A856" s="7"/>
      <c r="B856" s="7"/>
      <c r="C856" s="7"/>
      <c r="D856" s="7"/>
      <c r="E856" s="36">
        <v>138</v>
      </c>
      <c r="F856" s="36" t="s">
        <v>2145</v>
      </c>
      <c r="G856" s="36">
        <v>639050</v>
      </c>
      <c r="H856" s="36" t="s">
        <v>2113</v>
      </c>
      <c r="I856" s="37">
        <v>7.51E-2</v>
      </c>
      <c r="J856" s="7"/>
      <c r="K856" s="7" t="str">
        <f>VLOOKUP($E856,Mapping!$E$11:$I$96,3,0)</f>
        <v>Metering Capex</v>
      </c>
      <c r="L856" s="7" t="str">
        <f>VLOOKUP($G856,Mapping!$E$140:$K$2771,5,0)</f>
        <v>PNS Fleet &amp; Property OH</v>
      </c>
      <c r="M856" s="7" t="str">
        <f>VLOOKUP($G856,Mapping!$E$140:$K$2771,7,0)</f>
        <v>OH</v>
      </c>
      <c r="N856" s="7" t="str">
        <f>IFERROR(HLOOKUP(L856,'Calc|Weightings'!$K$5:$M$5,1,0),"Excl")</f>
        <v>Excl</v>
      </c>
      <c r="O856" s="7" t="str">
        <f>VLOOKUP(E856,Mapping!$E$11:$I$96,5,0)</f>
        <v>Metering Services</v>
      </c>
      <c r="Q856" s="33">
        <v>140</v>
      </c>
      <c r="R856" s="33" t="s">
        <v>2148</v>
      </c>
      <c r="S856" s="33">
        <v>613251</v>
      </c>
      <c r="T856" s="33" t="s">
        <v>2087</v>
      </c>
      <c r="U856" s="34">
        <v>2.4827900000000001</v>
      </c>
      <c r="V856" s="7"/>
      <c r="W856" s="7" t="str">
        <f>VLOOKUP($Q856,Mapping!$E$11:$I$96,3,0)</f>
        <v>Public lighting Capex</v>
      </c>
      <c r="X856" s="7" t="str">
        <f>VLOOKUP($S856,Mapping!$E$140:$K$2771,5,0)</f>
        <v>Labour</v>
      </c>
      <c r="Y856" s="7" t="str">
        <f>VLOOKUP($S856,Mapping!$E$140:$K$2771,7,0)</f>
        <v>ENDirect</v>
      </c>
      <c r="Z856" s="7" t="str">
        <f>IFERROR(HLOOKUP(X856,'Calc|Weightings'!$K$5:$M$5,1,0),"Excl")</f>
        <v>Labour</v>
      </c>
      <c r="AA856" s="7" t="str">
        <f>VLOOKUP(Q856,Mapping!$E$11:$I$96,5,0)</f>
        <v>Public Lighting</v>
      </c>
      <c r="AC856" s="111">
        <v>140</v>
      </c>
      <c r="AD856" s="111" t="s">
        <v>2148</v>
      </c>
      <c r="AE856" s="111">
        <v>611900</v>
      </c>
      <c r="AF856" s="111" t="s">
        <v>2079</v>
      </c>
      <c r="AG856" s="112">
        <v>11.929790000000001</v>
      </c>
      <c r="AI856" s="7" t="str">
        <f>VLOOKUP($AC856,Mapping!$E$11:$I$96,3,0)</f>
        <v>Public lighting Capex</v>
      </c>
      <c r="AJ856" s="7" t="str">
        <f>VLOOKUP($AE856,Mapping!$E$140:$K$2771,5,0)</f>
        <v>Contracts</v>
      </c>
      <c r="AK856" s="7" t="str">
        <f>VLOOKUP($AE856,Mapping!$E$140:$K$2771,7,0)</f>
        <v>ENDirect</v>
      </c>
      <c r="AL856" s="7" t="str">
        <f>IFERROR(HLOOKUP(AJ856,'Calc|Weightings'!$K$5:$M$5,1,0),"Excl")</f>
        <v>Contracts</v>
      </c>
      <c r="AM856" s="7" t="str">
        <f>VLOOKUP(AC856,Mapping!$E$11:$I$96,5,0)</f>
        <v>Public Lighting</v>
      </c>
      <c r="AO856" s="134">
        <v>141</v>
      </c>
      <c r="AP856" s="135" t="s">
        <v>2149</v>
      </c>
      <c r="AQ856" s="135">
        <v>613434</v>
      </c>
      <c r="AR856" s="135" t="s">
        <v>2102</v>
      </c>
      <c r="AS856" s="136">
        <v>3.3130299999999999</v>
      </c>
      <c r="AU856" s="7" t="str">
        <f>VLOOKUP($AO856,Mapping!$E$11:$I$96,3,0)</f>
        <v>Replacement</v>
      </c>
      <c r="AV856" s="7" t="str">
        <f>VLOOKUP($AQ856,Mapping!$E$140:$K$2771,5,0)</f>
        <v>Labour</v>
      </c>
      <c r="AW856" s="7" t="str">
        <f>VLOOKUP($AQ856,Mapping!$E$140:$K$2771,7,0)</f>
        <v>ENDirect</v>
      </c>
      <c r="AX856" s="7" t="str">
        <f>IFERROR(HLOOKUP(AV856,'Calc|Weightings'!$K$5:$M$5,1,0),"Excl")</f>
        <v>Labour</v>
      </c>
      <c r="AY856" s="7" t="str">
        <f>VLOOKUP(AO856,Mapping!$E$11:$I$96,5,0)</f>
        <v>SCS</v>
      </c>
    </row>
    <row r="857" spans="1:51" x14ac:dyDescent="0.2">
      <c r="A857" s="7"/>
      <c r="B857" s="7"/>
      <c r="C857" s="7"/>
      <c r="D857" s="7"/>
      <c r="E857" s="36">
        <v>139</v>
      </c>
      <c r="F857" s="36" t="s">
        <v>2146</v>
      </c>
      <c r="G857" s="36">
        <v>520100</v>
      </c>
      <c r="H857" s="36" t="s">
        <v>2072</v>
      </c>
      <c r="I857" s="37">
        <v>24.333680000000001</v>
      </c>
      <c r="J857" s="7"/>
      <c r="K857" s="7" t="str">
        <f>VLOOKUP($E857,Mapping!$E$11:$I$96,3,0)</f>
        <v>Replacement</v>
      </c>
      <c r="L857" s="7" t="str">
        <f>VLOOKUP($G857,Mapping!$E$140:$K$2771,5,0)</f>
        <v>Materials</v>
      </c>
      <c r="M857" s="7" t="str">
        <f>VLOOKUP($G857,Mapping!$E$140:$K$2771,7,0)</f>
        <v>ENDirect</v>
      </c>
      <c r="N857" s="7" t="str">
        <f>IFERROR(HLOOKUP(L857,'Calc|Weightings'!$K$5:$M$5,1,0),"Excl")</f>
        <v>Materials</v>
      </c>
      <c r="O857" s="7" t="str">
        <f>VLOOKUP(E857,Mapping!$E$11:$I$96,5,0)</f>
        <v>SCS</v>
      </c>
      <c r="Q857" s="33">
        <v>140</v>
      </c>
      <c r="R857" s="33" t="s">
        <v>2148</v>
      </c>
      <c r="S857" s="33">
        <v>613290</v>
      </c>
      <c r="T857" s="33" t="s">
        <v>2093</v>
      </c>
      <c r="U857" s="34">
        <v>0.18784000000000001</v>
      </c>
      <c r="V857" s="7"/>
      <c r="W857" s="7" t="str">
        <f>VLOOKUP($Q857,Mapping!$E$11:$I$96,3,0)</f>
        <v>Public lighting Capex</v>
      </c>
      <c r="X857" s="7" t="str">
        <f>VLOOKUP($S857,Mapping!$E$140:$K$2771,5,0)</f>
        <v>Labour</v>
      </c>
      <c r="Y857" s="7" t="str">
        <f>VLOOKUP($S857,Mapping!$E$140:$K$2771,7,0)</f>
        <v>ENDirect</v>
      </c>
      <c r="Z857" s="7" t="str">
        <f>IFERROR(HLOOKUP(X857,'Calc|Weightings'!$K$5:$M$5,1,0),"Excl")</f>
        <v>Labour</v>
      </c>
      <c r="AA857" s="7" t="str">
        <f>VLOOKUP(Q857,Mapping!$E$11:$I$96,5,0)</f>
        <v>Public Lighting</v>
      </c>
      <c r="AC857" s="111">
        <v>140</v>
      </c>
      <c r="AD857" s="111" t="s">
        <v>2148</v>
      </c>
      <c r="AE857" s="111">
        <v>611901</v>
      </c>
      <c r="AF857" s="111" t="s">
        <v>2080</v>
      </c>
      <c r="AG857" s="112">
        <v>1.4444600000000001</v>
      </c>
      <c r="AI857" s="7" t="str">
        <f>VLOOKUP($AC857,Mapping!$E$11:$I$96,3,0)</f>
        <v>Public lighting Capex</v>
      </c>
      <c r="AJ857" s="7" t="str">
        <f>VLOOKUP($AE857,Mapping!$E$140:$K$2771,5,0)</f>
        <v>Contracts</v>
      </c>
      <c r="AK857" s="7" t="str">
        <f>VLOOKUP($AE857,Mapping!$E$140:$K$2771,7,0)</f>
        <v>ENDirect</v>
      </c>
      <c r="AL857" s="7" t="str">
        <f>IFERROR(HLOOKUP(AJ857,'Calc|Weightings'!$K$5:$M$5,1,0),"Excl")</f>
        <v>Contracts</v>
      </c>
      <c r="AM857" s="7" t="str">
        <f>VLOOKUP(AC857,Mapping!$E$11:$I$96,5,0)</f>
        <v>Public Lighting</v>
      </c>
      <c r="AO857" s="134">
        <v>141</v>
      </c>
      <c r="AP857" s="135" t="s">
        <v>2149</v>
      </c>
      <c r="AQ857" s="135">
        <v>613440</v>
      </c>
      <c r="AR857" s="135" t="s">
        <v>2103</v>
      </c>
      <c r="AS857" s="136">
        <v>2.82314</v>
      </c>
      <c r="AU857" s="7" t="str">
        <f>VLOOKUP($AO857,Mapping!$E$11:$I$96,3,0)</f>
        <v>Replacement</v>
      </c>
      <c r="AV857" s="7" t="str">
        <f>VLOOKUP($AQ857,Mapping!$E$140:$K$2771,5,0)</f>
        <v>Labour</v>
      </c>
      <c r="AW857" s="7" t="str">
        <f>VLOOKUP($AQ857,Mapping!$E$140:$K$2771,7,0)</f>
        <v>ENDirect</v>
      </c>
      <c r="AX857" s="7" t="str">
        <f>IFERROR(HLOOKUP(AV857,'Calc|Weightings'!$K$5:$M$5,1,0),"Excl")</f>
        <v>Labour</v>
      </c>
      <c r="AY857" s="7" t="str">
        <f>VLOOKUP(AO857,Mapping!$E$11:$I$96,5,0)</f>
        <v>SCS</v>
      </c>
    </row>
    <row r="858" spans="1:51" x14ac:dyDescent="0.2">
      <c r="A858" s="7"/>
      <c r="B858" s="7"/>
      <c r="C858" s="7"/>
      <c r="D858" s="7"/>
      <c r="E858" s="36">
        <v>139</v>
      </c>
      <c r="F858" s="36" t="s">
        <v>2146</v>
      </c>
      <c r="G858" s="36">
        <v>523100</v>
      </c>
      <c r="H858" s="36" t="s">
        <v>2074</v>
      </c>
      <c r="I858" s="37">
        <v>0.16594999999999999</v>
      </c>
      <c r="J858" s="7"/>
      <c r="K858" s="7" t="str">
        <f>VLOOKUP($E858,Mapping!$E$11:$I$96,3,0)</f>
        <v>Replacement</v>
      </c>
      <c r="L858" s="7" t="str">
        <f>VLOOKUP($G858,Mapping!$E$140:$K$2771,5,0)</f>
        <v>Materials</v>
      </c>
      <c r="M858" s="7" t="str">
        <f>VLOOKUP($G858,Mapping!$E$140:$K$2771,7,0)</f>
        <v>ENDirect</v>
      </c>
      <c r="N858" s="7" t="str">
        <f>IFERROR(HLOOKUP(L858,'Calc|Weightings'!$K$5:$M$5,1,0),"Excl")</f>
        <v>Materials</v>
      </c>
      <c r="O858" s="7" t="str">
        <f>VLOOKUP(E858,Mapping!$E$11:$I$96,5,0)</f>
        <v>SCS</v>
      </c>
      <c r="Q858" s="33">
        <v>140</v>
      </c>
      <c r="R858" s="33" t="s">
        <v>2148</v>
      </c>
      <c r="S858" s="33">
        <v>613360</v>
      </c>
      <c r="T858" s="33" t="s">
        <v>2097</v>
      </c>
      <c r="U858" s="34">
        <v>1.6653</v>
      </c>
      <c r="V858" s="7"/>
      <c r="W858" s="7" t="str">
        <f>VLOOKUP($Q858,Mapping!$E$11:$I$96,3,0)</f>
        <v>Public lighting Capex</v>
      </c>
      <c r="X858" s="7" t="str">
        <f>VLOOKUP($S858,Mapping!$E$140:$K$2771,5,0)</f>
        <v>Labour</v>
      </c>
      <c r="Y858" s="7" t="str">
        <f>VLOOKUP($S858,Mapping!$E$140:$K$2771,7,0)</f>
        <v>ENDirect</v>
      </c>
      <c r="Z858" s="7" t="str">
        <f>IFERROR(HLOOKUP(X858,'Calc|Weightings'!$K$5:$M$5,1,0),"Excl")</f>
        <v>Labour</v>
      </c>
      <c r="AA858" s="7" t="str">
        <f>VLOOKUP(Q858,Mapping!$E$11:$I$96,5,0)</f>
        <v>Public Lighting</v>
      </c>
      <c r="AC858" s="111">
        <v>140</v>
      </c>
      <c r="AD858" s="111" t="s">
        <v>2148</v>
      </c>
      <c r="AE858" s="111">
        <v>612210</v>
      </c>
      <c r="AF858" s="111" t="s">
        <v>1184</v>
      </c>
      <c r="AG858" s="112">
        <v>4.743E-2</v>
      </c>
      <c r="AI858" s="7" t="str">
        <f>VLOOKUP($AC858,Mapping!$E$11:$I$96,3,0)</f>
        <v>Public lighting Capex</v>
      </c>
      <c r="AJ858" s="7" t="str">
        <f>VLOOKUP($AE858,Mapping!$E$140:$K$2771,5,0)</f>
        <v>Labour</v>
      </c>
      <c r="AK858" s="7" t="str">
        <f>VLOOKUP($AE858,Mapping!$E$140:$K$2771,7,0)</f>
        <v>ENDirect</v>
      </c>
      <c r="AL858" s="7" t="str">
        <f>IFERROR(HLOOKUP(AJ858,'Calc|Weightings'!$K$5:$M$5,1,0),"Excl")</f>
        <v>Labour</v>
      </c>
      <c r="AM858" s="7" t="str">
        <f>VLOOKUP(AC858,Mapping!$E$11:$I$96,5,0)</f>
        <v>Public Lighting</v>
      </c>
      <c r="AO858" s="134">
        <v>141</v>
      </c>
      <c r="AP858" s="135" t="s">
        <v>2149</v>
      </c>
      <c r="AQ858" s="135">
        <v>613441</v>
      </c>
      <c r="AR858" s="135" t="s">
        <v>2104</v>
      </c>
      <c r="AS858" s="136">
        <v>0.12130000000000001</v>
      </c>
      <c r="AU858" s="7" t="str">
        <f>VLOOKUP($AO858,Mapping!$E$11:$I$96,3,0)</f>
        <v>Replacement</v>
      </c>
      <c r="AV858" s="7" t="str">
        <f>VLOOKUP($AQ858,Mapping!$E$140:$K$2771,5,0)</f>
        <v>Labour</v>
      </c>
      <c r="AW858" s="7" t="str">
        <f>VLOOKUP($AQ858,Mapping!$E$140:$K$2771,7,0)</f>
        <v>ENDirect</v>
      </c>
      <c r="AX858" s="7" t="str">
        <f>IFERROR(HLOOKUP(AV858,'Calc|Weightings'!$K$5:$M$5,1,0),"Excl")</f>
        <v>Labour</v>
      </c>
      <c r="AY858" s="7" t="str">
        <f>VLOOKUP(AO858,Mapping!$E$11:$I$96,5,0)</f>
        <v>SCS</v>
      </c>
    </row>
    <row r="859" spans="1:51" x14ac:dyDescent="0.2">
      <c r="A859" s="7"/>
      <c r="B859" s="7"/>
      <c r="C859" s="7"/>
      <c r="D859" s="7"/>
      <c r="E859" s="36">
        <v>139</v>
      </c>
      <c r="F859" s="36" t="s">
        <v>2146</v>
      </c>
      <c r="G859" s="36">
        <v>523300</v>
      </c>
      <c r="H859" s="36" t="s">
        <v>2075</v>
      </c>
      <c r="I859" s="37">
        <v>0.20599999999999999</v>
      </c>
      <c r="J859" s="7"/>
      <c r="K859" s="7" t="str">
        <f>VLOOKUP($E859,Mapping!$E$11:$I$96,3,0)</f>
        <v>Replacement</v>
      </c>
      <c r="L859" s="7" t="str">
        <f>VLOOKUP($G859,Mapping!$E$140:$K$2771,5,0)</f>
        <v>Materials</v>
      </c>
      <c r="M859" s="7" t="str">
        <f>VLOOKUP($G859,Mapping!$E$140:$K$2771,7,0)</f>
        <v>ENDirect</v>
      </c>
      <c r="N859" s="7" t="str">
        <f>IFERROR(HLOOKUP(L859,'Calc|Weightings'!$K$5:$M$5,1,0),"Excl")</f>
        <v>Materials</v>
      </c>
      <c r="O859" s="7" t="str">
        <f>VLOOKUP(E859,Mapping!$E$11:$I$96,5,0)</f>
        <v>SCS</v>
      </c>
      <c r="Q859" s="33">
        <v>140</v>
      </c>
      <c r="R859" s="33" t="s">
        <v>2148</v>
      </c>
      <c r="S859" s="33">
        <v>613390</v>
      </c>
      <c r="T859" s="33" t="s">
        <v>2141</v>
      </c>
      <c r="U859" s="34">
        <v>-26.654820000000001</v>
      </c>
      <c r="V859" s="7"/>
      <c r="W859" s="7" t="str">
        <f>VLOOKUP($Q859,Mapping!$E$11:$I$96,3,0)</f>
        <v>Public lighting Capex</v>
      </c>
      <c r="X859" s="7" t="str">
        <f>VLOOKUP($S859,Mapping!$E$140:$K$2771,5,0)</f>
        <v>Contracts</v>
      </c>
      <c r="Y859" s="7" t="str">
        <f>VLOOKUP($S859,Mapping!$E$140:$K$2771,7,0)</f>
        <v>ENDirect</v>
      </c>
      <c r="Z859" s="7" t="str">
        <f>IFERROR(HLOOKUP(X859,'Calc|Weightings'!$K$5:$M$5,1,0),"Excl")</f>
        <v>Contracts</v>
      </c>
      <c r="AA859" s="7" t="str">
        <f>VLOOKUP(Q859,Mapping!$E$11:$I$96,5,0)</f>
        <v>Public Lighting</v>
      </c>
      <c r="AC859" s="111">
        <v>140</v>
      </c>
      <c r="AD859" s="111" t="s">
        <v>2148</v>
      </c>
      <c r="AE859" s="111">
        <v>613240</v>
      </c>
      <c r="AF859" s="111" t="s">
        <v>2082</v>
      </c>
      <c r="AG859" s="112">
        <v>9.2883099999999992</v>
      </c>
      <c r="AI859" s="7" t="str">
        <f>VLOOKUP($AC859,Mapping!$E$11:$I$96,3,0)</f>
        <v>Public lighting Capex</v>
      </c>
      <c r="AJ859" s="7" t="str">
        <f>VLOOKUP($AE859,Mapping!$E$140:$K$2771,5,0)</f>
        <v>Labour</v>
      </c>
      <c r="AK859" s="7" t="str">
        <f>VLOOKUP($AE859,Mapping!$E$140:$K$2771,7,0)</f>
        <v>ENDirect</v>
      </c>
      <c r="AL859" s="7" t="str">
        <f>IFERROR(HLOOKUP(AJ859,'Calc|Weightings'!$K$5:$M$5,1,0),"Excl")</f>
        <v>Labour</v>
      </c>
      <c r="AM859" s="7" t="str">
        <f>VLOOKUP(AC859,Mapping!$E$11:$I$96,5,0)</f>
        <v>Public Lighting</v>
      </c>
      <c r="AO859" s="134">
        <v>141</v>
      </c>
      <c r="AP859" s="135" t="s">
        <v>2149</v>
      </c>
      <c r="AQ859" s="135">
        <v>613450</v>
      </c>
      <c r="AR859" s="135" t="s">
        <v>2175</v>
      </c>
      <c r="AS859" s="136">
        <v>4.0735999999999999</v>
      </c>
      <c r="AU859" s="7" t="str">
        <f>VLOOKUP($AO859,Mapping!$E$11:$I$96,3,0)</f>
        <v>Replacement</v>
      </c>
      <c r="AV859" s="7" t="str">
        <f>VLOOKUP($AQ859,Mapping!$E$140:$K$2771,5,0)</f>
        <v>Labour</v>
      </c>
      <c r="AW859" s="7" t="str">
        <f>VLOOKUP($AQ859,Mapping!$E$140:$K$2771,7,0)</f>
        <v>ENDirect</v>
      </c>
      <c r="AX859" s="7" t="str">
        <f>IFERROR(HLOOKUP(AV859,'Calc|Weightings'!$K$5:$M$5,1,0),"Excl")</f>
        <v>Labour</v>
      </c>
      <c r="AY859" s="7" t="str">
        <f>VLOOKUP(AO859,Mapping!$E$11:$I$96,5,0)</f>
        <v>SCS</v>
      </c>
    </row>
    <row r="860" spans="1:51" x14ac:dyDescent="0.2">
      <c r="A860" s="7"/>
      <c r="B860" s="7"/>
      <c r="C860" s="7"/>
      <c r="D860" s="7"/>
      <c r="E860" s="36">
        <v>139</v>
      </c>
      <c r="F860" s="36" t="s">
        <v>2146</v>
      </c>
      <c r="G860" s="36">
        <v>531035</v>
      </c>
      <c r="H860" s="36" t="s">
        <v>244</v>
      </c>
      <c r="I860" s="37">
        <v>1.7801100000000001</v>
      </c>
      <c r="J860" s="7"/>
      <c r="K860" s="7" t="str">
        <f>VLOOKUP($E860,Mapping!$E$11:$I$96,3,0)</f>
        <v>Replacement</v>
      </c>
      <c r="L860" s="7" t="str">
        <f>VLOOKUP($G860,Mapping!$E$140:$K$2771,5,0)</f>
        <v>Labour</v>
      </c>
      <c r="M860" s="7" t="str">
        <f>VLOOKUP($G860,Mapping!$E$140:$K$2771,7,0)</f>
        <v>ENDirect</v>
      </c>
      <c r="N860" s="7" t="str">
        <f>IFERROR(HLOOKUP(L860,'Calc|Weightings'!$K$5:$M$5,1,0),"Excl")</f>
        <v>Labour</v>
      </c>
      <c r="O860" s="7" t="str">
        <f>VLOOKUP(E860,Mapping!$E$11:$I$96,5,0)</f>
        <v>SCS</v>
      </c>
      <c r="Q860" s="33">
        <v>140</v>
      </c>
      <c r="R860" s="33" t="s">
        <v>2148</v>
      </c>
      <c r="S860" s="33">
        <v>613400</v>
      </c>
      <c r="T860" s="33" t="s">
        <v>2099</v>
      </c>
      <c r="U860" s="34">
        <v>4.5885600000000002</v>
      </c>
      <c r="V860" s="7"/>
      <c r="W860" s="7" t="str">
        <f>VLOOKUP($Q860,Mapping!$E$11:$I$96,3,0)</f>
        <v>Public lighting Capex</v>
      </c>
      <c r="X860" s="7" t="str">
        <f>VLOOKUP($S860,Mapping!$E$140:$K$2771,5,0)</f>
        <v>Labour</v>
      </c>
      <c r="Y860" s="7" t="str">
        <f>VLOOKUP($S860,Mapping!$E$140:$K$2771,7,0)</f>
        <v>ENDirect</v>
      </c>
      <c r="Z860" s="7" t="str">
        <f>IFERROR(HLOOKUP(X860,'Calc|Weightings'!$K$5:$M$5,1,0),"Excl")</f>
        <v>Labour</v>
      </c>
      <c r="AA860" s="7" t="str">
        <f>VLOOKUP(Q860,Mapping!$E$11:$I$96,5,0)</f>
        <v>Public Lighting</v>
      </c>
      <c r="AC860" s="111">
        <v>140</v>
      </c>
      <c r="AD860" s="111" t="s">
        <v>2148</v>
      </c>
      <c r="AE860" s="111">
        <v>613241</v>
      </c>
      <c r="AF860" s="111" t="s">
        <v>2083</v>
      </c>
      <c r="AG860" s="112">
        <v>7.2893499999999998</v>
      </c>
      <c r="AI860" s="7" t="str">
        <f>VLOOKUP($AC860,Mapping!$E$11:$I$96,3,0)</f>
        <v>Public lighting Capex</v>
      </c>
      <c r="AJ860" s="7" t="str">
        <f>VLOOKUP($AE860,Mapping!$E$140:$K$2771,5,0)</f>
        <v>Labour</v>
      </c>
      <c r="AK860" s="7" t="str">
        <f>VLOOKUP($AE860,Mapping!$E$140:$K$2771,7,0)</f>
        <v>ENDirect</v>
      </c>
      <c r="AL860" s="7" t="str">
        <f>IFERROR(HLOOKUP(AJ860,'Calc|Weightings'!$K$5:$M$5,1,0),"Excl")</f>
        <v>Labour</v>
      </c>
      <c r="AM860" s="7" t="str">
        <f>VLOOKUP(AC860,Mapping!$E$11:$I$96,5,0)</f>
        <v>Public Lighting</v>
      </c>
      <c r="AO860" s="134">
        <v>141</v>
      </c>
      <c r="AP860" s="135" t="s">
        <v>2149</v>
      </c>
      <c r="AQ860" s="135">
        <v>613566</v>
      </c>
      <c r="AR860" s="135" t="s">
        <v>1482</v>
      </c>
      <c r="AS860" s="136">
        <v>147.72483</v>
      </c>
      <c r="AU860" s="7" t="str">
        <f>VLOOKUP($AO860,Mapping!$E$11:$I$96,3,0)</f>
        <v>Replacement</v>
      </c>
      <c r="AV860" s="7" t="str">
        <f>VLOOKUP($AQ860,Mapping!$E$140:$K$2771,5,0)</f>
        <v>Labour</v>
      </c>
      <c r="AW860" s="7" t="str">
        <f>VLOOKUP($AQ860,Mapping!$E$140:$K$2771,7,0)</f>
        <v>ENDirect</v>
      </c>
      <c r="AX860" s="7" t="str">
        <f>IFERROR(HLOOKUP(AV860,'Calc|Weightings'!$K$5:$M$5,1,0),"Excl")</f>
        <v>Labour</v>
      </c>
      <c r="AY860" s="7" t="str">
        <f>VLOOKUP(AO860,Mapping!$E$11:$I$96,5,0)</f>
        <v>SCS</v>
      </c>
    </row>
    <row r="861" spans="1:51" x14ac:dyDescent="0.2">
      <c r="A861" s="7"/>
      <c r="B861" s="7"/>
      <c r="C861" s="7"/>
      <c r="D861" s="7"/>
      <c r="E861" s="36">
        <v>139</v>
      </c>
      <c r="F861" s="36" t="s">
        <v>2146</v>
      </c>
      <c r="G861" s="36">
        <v>531464</v>
      </c>
      <c r="H861" s="36" t="s">
        <v>256</v>
      </c>
      <c r="I861" s="37">
        <v>30.031140000000001</v>
      </c>
      <c r="J861" s="7"/>
      <c r="K861" s="7" t="str">
        <f>VLOOKUP($E861,Mapping!$E$11:$I$96,3,0)</f>
        <v>Replacement</v>
      </c>
      <c r="L861" s="7" t="str">
        <f>VLOOKUP($G861,Mapping!$E$140:$K$2771,5,0)</f>
        <v>Contracts</v>
      </c>
      <c r="M861" s="7" t="str">
        <f>VLOOKUP($G861,Mapping!$E$140:$K$2771,7,0)</f>
        <v>ENDirect</v>
      </c>
      <c r="N861" s="7" t="str">
        <f>IFERROR(HLOOKUP(L861,'Calc|Weightings'!$K$5:$M$5,1,0),"Excl")</f>
        <v>Contracts</v>
      </c>
      <c r="O861" s="7" t="str">
        <f>VLOOKUP(E861,Mapping!$E$11:$I$96,5,0)</f>
        <v>SCS</v>
      </c>
      <c r="Q861" s="33">
        <v>140</v>
      </c>
      <c r="R861" s="33" t="s">
        <v>2148</v>
      </c>
      <c r="S861" s="33">
        <v>613410</v>
      </c>
      <c r="T861" s="33" t="s">
        <v>2100</v>
      </c>
      <c r="U861" s="34">
        <v>1.71458</v>
      </c>
      <c r="V861" s="7"/>
      <c r="W861" s="7" t="str">
        <f>VLOOKUP($Q861,Mapping!$E$11:$I$96,3,0)</f>
        <v>Public lighting Capex</v>
      </c>
      <c r="X861" s="7" t="str">
        <f>VLOOKUP($S861,Mapping!$E$140:$K$2771,5,0)</f>
        <v>Labour</v>
      </c>
      <c r="Y861" s="7" t="str">
        <f>VLOOKUP($S861,Mapping!$E$140:$K$2771,7,0)</f>
        <v>ENDirect</v>
      </c>
      <c r="Z861" s="7" t="str">
        <f>IFERROR(HLOOKUP(X861,'Calc|Weightings'!$K$5:$M$5,1,0),"Excl")</f>
        <v>Labour</v>
      </c>
      <c r="AA861" s="7" t="str">
        <f>VLOOKUP(Q861,Mapping!$E$11:$I$96,5,0)</f>
        <v>Public Lighting</v>
      </c>
      <c r="AC861" s="111">
        <v>140</v>
      </c>
      <c r="AD861" s="111" t="s">
        <v>2148</v>
      </c>
      <c r="AE861" s="111">
        <v>613250</v>
      </c>
      <c r="AF861" s="111" t="s">
        <v>2086</v>
      </c>
      <c r="AG861" s="112">
        <v>15.8971</v>
      </c>
      <c r="AI861" s="7" t="str">
        <f>VLOOKUP($AC861,Mapping!$E$11:$I$96,3,0)</f>
        <v>Public lighting Capex</v>
      </c>
      <c r="AJ861" s="7" t="str">
        <f>VLOOKUP($AE861,Mapping!$E$140:$K$2771,5,0)</f>
        <v>Labour</v>
      </c>
      <c r="AK861" s="7" t="str">
        <f>VLOOKUP($AE861,Mapping!$E$140:$K$2771,7,0)</f>
        <v>ENDirect</v>
      </c>
      <c r="AL861" s="7" t="str">
        <f>IFERROR(HLOOKUP(AJ861,'Calc|Weightings'!$K$5:$M$5,1,0),"Excl")</f>
        <v>Labour</v>
      </c>
      <c r="AM861" s="7" t="str">
        <f>VLOOKUP(AC861,Mapping!$E$11:$I$96,5,0)</f>
        <v>Public Lighting</v>
      </c>
      <c r="AO861" s="134">
        <v>141</v>
      </c>
      <c r="AP861" s="135" t="s">
        <v>2149</v>
      </c>
      <c r="AQ861" s="135">
        <v>613567</v>
      </c>
      <c r="AR861" s="135" t="s">
        <v>1483</v>
      </c>
      <c r="AS861" s="136">
        <v>39.303690000000003</v>
      </c>
      <c r="AU861" s="7" t="str">
        <f>VLOOKUP($AO861,Mapping!$E$11:$I$96,3,0)</f>
        <v>Replacement</v>
      </c>
      <c r="AV861" s="7" t="str">
        <f>VLOOKUP($AQ861,Mapping!$E$140:$K$2771,5,0)</f>
        <v>Labour</v>
      </c>
      <c r="AW861" s="7" t="str">
        <f>VLOOKUP($AQ861,Mapping!$E$140:$K$2771,7,0)</f>
        <v>ENDirect</v>
      </c>
      <c r="AX861" s="7" t="str">
        <f>IFERROR(HLOOKUP(AV861,'Calc|Weightings'!$K$5:$M$5,1,0),"Excl")</f>
        <v>Labour</v>
      </c>
      <c r="AY861" s="7" t="str">
        <f>VLOOKUP(AO861,Mapping!$E$11:$I$96,5,0)</f>
        <v>SCS</v>
      </c>
    </row>
    <row r="862" spans="1:51" x14ac:dyDescent="0.2">
      <c r="A862" s="7"/>
      <c r="B862" s="7"/>
      <c r="C862" s="7"/>
      <c r="D862" s="7"/>
      <c r="E862" s="36">
        <v>139</v>
      </c>
      <c r="F862" s="36" t="s">
        <v>2146</v>
      </c>
      <c r="G862" s="36">
        <v>531466</v>
      </c>
      <c r="H862" s="36" t="s">
        <v>258</v>
      </c>
      <c r="I862" s="37">
        <v>2.7947600000000001</v>
      </c>
      <c r="J862" s="7"/>
      <c r="K862" s="7" t="str">
        <f>VLOOKUP($E862,Mapping!$E$11:$I$96,3,0)</f>
        <v>Replacement</v>
      </c>
      <c r="L862" s="7" t="str">
        <f>VLOOKUP($G862,Mapping!$E$140:$K$2771,5,0)</f>
        <v>Contracts</v>
      </c>
      <c r="M862" s="7" t="str">
        <f>VLOOKUP($G862,Mapping!$E$140:$K$2771,7,0)</f>
        <v>ENDirect</v>
      </c>
      <c r="N862" s="7" t="str">
        <f>IFERROR(HLOOKUP(L862,'Calc|Weightings'!$K$5:$M$5,1,0),"Excl")</f>
        <v>Contracts</v>
      </c>
      <c r="O862" s="7" t="str">
        <f>VLOOKUP(E862,Mapping!$E$11:$I$96,5,0)</f>
        <v>SCS</v>
      </c>
      <c r="Q862" s="33">
        <v>140</v>
      </c>
      <c r="R862" s="33" t="s">
        <v>2148</v>
      </c>
      <c r="S862" s="33">
        <v>613440</v>
      </c>
      <c r="T862" s="33" t="s">
        <v>2103</v>
      </c>
      <c r="U862" s="34">
        <v>0.21021000000000001</v>
      </c>
      <c r="V862" s="7"/>
      <c r="W862" s="7" t="str">
        <f>VLOOKUP($Q862,Mapping!$E$11:$I$96,3,0)</f>
        <v>Public lighting Capex</v>
      </c>
      <c r="X862" s="7" t="str">
        <f>VLOOKUP($S862,Mapping!$E$140:$K$2771,5,0)</f>
        <v>Labour</v>
      </c>
      <c r="Y862" s="7" t="str">
        <f>VLOOKUP($S862,Mapping!$E$140:$K$2771,7,0)</f>
        <v>ENDirect</v>
      </c>
      <c r="Z862" s="7" t="str">
        <f>IFERROR(HLOOKUP(X862,'Calc|Weightings'!$K$5:$M$5,1,0),"Excl")</f>
        <v>Labour</v>
      </c>
      <c r="AA862" s="7" t="str">
        <f>VLOOKUP(Q862,Mapping!$E$11:$I$96,5,0)</f>
        <v>Public Lighting</v>
      </c>
      <c r="AC862" s="111">
        <v>140</v>
      </c>
      <c r="AD862" s="111" t="s">
        <v>2148</v>
      </c>
      <c r="AE862" s="111">
        <v>613251</v>
      </c>
      <c r="AF862" s="111" t="s">
        <v>2087</v>
      </c>
      <c r="AG862" s="112">
        <v>9.4088799999999999</v>
      </c>
      <c r="AI862" s="7" t="str">
        <f>VLOOKUP($AC862,Mapping!$E$11:$I$96,3,0)</f>
        <v>Public lighting Capex</v>
      </c>
      <c r="AJ862" s="7" t="str">
        <f>VLOOKUP($AE862,Mapping!$E$140:$K$2771,5,0)</f>
        <v>Labour</v>
      </c>
      <c r="AK862" s="7" t="str">
        <f>VLOOKUP($AE862,Mapping!$E$140:$K$2771,7,0)</f>
        <v>ENDirect</v>
      </c>
      <c r="AL862" s="7" t="str">
        <f>IFERROR(HLOOKUP(AJ862,'Calc|Weightings'!$K$5:$M$5,1,0),"Excl")</f>
        <v>Labour</v>
      </c>
      <c r="AM862" s="7" t="str">
        <f>VLOOKUP(AC862,Mapping!$E$11:$I$96,5,0)</f>
        <v>Public Lighting</v>
      </c>
      <c r="AO862" s="134">
        <v>141</v>
      </c>
      <c r="AP862" s="135" t="s">
        <v>2149</v>
      </c>
      <c r="AQ862" s="135">
        <v>613570</v>
      </c>
      <c r="AR862" s="135" t="s">
        <v>1484</v>
      </c>
      <c r="AS862" s="136">
        <v>39.649349999999998</v>
      </c>
      <c r="AU862" s="7" t="str">
        <f>VLOOKUP($AO862,Mapping!$E$11:$I$96,3,0)</f>
        <v>Replacement</v>
      </c>
      <c r="AV862" s="7" t="str">
        <f>VLOOKUP($AQ862,Mapping!$E$140:$K$2771,5,0)</f>
        <v>Labour</v>
      </c>
      <c r="AW862" s="7" t="str">
        <f>VLOOKUP($AQ862,Mapping!$E$140:$K$2771,7,0)</f>
        <v>ENDirect</v>
      </c>
      <c r="AX862" s="7" t="str">
        <f>IFERROR(HLOOKUP(AV862,'Calc|Weightings'!$K$5:$M$5,1,0),"Excl")</f>
        <v>Labour</v>
      </c>
      <c r="AY862" s="7" t="str">
        <f>VLOOKUP(AO862,Mapping!$E$11:$I$96,5,0)</f>
        <v>SCS</v>
      </c>
    </row>
    <row r="863" spans="1:51" x14ac:dyDescent="0.2">
      <c r="A863" s="7"/>
      <c r="B863" s="7"/>
      <c r="C863" s="7"/>
      <c r="D863" s="7"/>
      <c r="E863" s="36">
        <v>139</v>
      </c>
      <c r="F863" s="36" t="s">
        <v>2146</v>
      </c>
      <c r="G863" s="36">
        <v>531467</v>
      </c>
      <c r="H863" s="36" t="s">
        <v>259</v>
      </c>
      <c r="I863" s="37">
        <v>30.02073</v>
      </c>
      <c r="J863" s="7"/>
      <c r="K863" s="7" t="str">
        <f>VLOOKUP($E863,Mapping!$E$11:$I$96,3,0)</f>
        <v>Replacement</v>
      </c>
      <c r="L863" s="7" t="str">
        <f>VLOOKUP($G863,Mapping!$E$140:$K$2771,5,0)</f>
        <v>Contracts</v>
      </c>
      <c r="M863" s="7" t="str">
        <f>VLOOKUP($G863,Mapping!$E$140:$K$2771,7,0)</f>
        <v>ENDirect</v>
      </c>
      <c r="N863" s="7" t="str">
        <f>IFERROR(HLOOKUP(L863,'Calc|Weightings'!$K$5:$M$5,1,0),"Excl")</f>
        <v>Contracts</v>
      </c>
      <c r="O863" s="7" t="str">
        <f>VLOOKUP(E863,Mapping!$E$11:$I$96,5,0)</f>
        <v>SCS</v>
      </c>
      <c r="Q863" s="33">
        <v>140</v>
      </c>
      <c r="R863" s="33" t="s">
        <v>2148</v>
      </c>
      <c r="S863" s="33">
        <v>613566</v>
      </c>
      <c r="T863" s="33" t="s">
        <v>1482</v>
      </c>
      <c r="U863" s="34">
        <v>5.4802299999999997</v>
      </c>
      <c r="V863" s="7"/>
      <c r="W863" s="7" t="str">
        <f>VLOOKUP($Q863,Mapping!$E$11:$I$96,3,0)</f>
        <v>Public lighting Capex</v>
      </c>
      <c r="X863" s="7" t="str">
        <f>VLOOKUP($S863,Mapping!$E$140:$K$2771,5,0)</f>
        <v>Labour</v>
      </c>
      <c r="Y863" s="7" t="str">
        <f>VLOOKUP($S863,Mapping!$E$140:$K$2771,7,0)</f>
        <v>ENDirect</v>
      </c>
      <c r="Z863" s="7" t="str">
        <f>IFERROR(HLOOKUP(X863,'Calc|Weightings'!$K$5:$M$5,1,0),"Excl")</f>
        <v>Labour</v>
      </c>
      <c r="AA863" s="7" t="str">
        <f>VLOOKUP(Q863,Mapping!$E$11:$I$96,5,0)</f>
        <v>Public Lighting</v>
      </c>
      <c r="AC863" s="111">
        <v>140</v>
      </c>
      <c r="AD863" s="111" t="s">
        <v>2148</v>
      </c>
      <c r="AE863" s="111">
        <v>613260</v>
      </c>
      <c r="AF863" s="111" t="s">
        <v>2090</v>
      </c>
      <c r="AG863" s="112">
        <v>0.41424</v>
      </c>
      <c r="AI863" s="7" t="str">
        <f>VLOOKUP($AC863,Mapping!$E$11:$I$96,3,0)</f>
        <v>Public lighting Capex</v>
      </c>
      <c r="AJ863" s="7" t="str">
        <f>VLOOKUP($AE863,Mapping!$E$140:$K$2771,5,0)</f>
        <v>Labour</v>
      </c>
      <c r="AK863" s="7" t="str">
        <f>VLOOKUP($AE863,Mapping!$E$140:$K$2771,7,0)</f>
        <v>ENDirect</v>
      </c>
      <c r="AL863" s="7" t="str">
        <f>IFERROR(HLOOKUP(AJ863,'Calc|Weightings'!$K$5:$M$5,1,0),"Excl")</f>
        <v>Labour</v>
      </c>
      <c r="AM863" s="7" t="str">
        <f>VLOOKUP(AC863,Mapping!$E$11:$I$96,5,0)</f>
        <v>Public Lighting</v>
      </c>
      <c r="AO863" s="134">
        <v>141</v>
      </c>
      <c r="AP863" s="135" t="s">
        <v>2149</v>
      </c>
      <c r="AQ863" s="135">
        <v>613571</v>
      </c>
      <c r="AR863" s="135" t="s">
        <v>1485</v>
      </c>
      <c r="AS863" s="136">
        <v>22.665030000000002</v>
      </c>
      <c r="AU863" s="7" t="str">
        <f>VLOOKUP($AO863,Mapping!$E$11:$I$96,3,0)</f>
        <v>Replacement</v>
      </c>
      <c r="AV863" s="7" t="str">
        <f>VLOOKUP($AQ863,Mapping!$E$140:$K$2771,5,0)</f>
        <v>Labour</v>
      </c>
      <c r="AW863" s="7" t="str">
        <f>VLOOKUP($AQ863,Mapping!$E$140:$K$2771,7,0)</f>
        <v>ENDirect</v>
      </c>
      <c r="AX863" s="7" t="str">
        <f>IFERROR(HLOOKUP(AV863,'Calc|Weightings'!$K$5:$M$5,1,0),"Excl")</f>
        <v>Labour</v>
      </c>
      <c r="AY863" s="7" t="str">
        <f>VLOOKUP(AO863,Mapping!$E$11:$I$96,5,0)</f>
        <v>SCS</v>
      </c>
    </row>
    <row r="864" spans="1:51" x14ac:dyDescent="0.2">
      <c r="A864" s="7"/>
      <c r="B864" s="7"/>
      <c r="C864" s="7"/>
      <c r="D864" s="7"/>
      <c r="E864" s="36">
        <v>139</v>
      </c>
      <c r="F864" s="36" t="s">
        <v>2146</v>
      </c>
      <c r="G864" s="36">
        <v>531468</v>
      </c>
      <c r="H864" s="36" t="s">
        <v>260</v>
      </c>
      <c r="I864" s="37">
        <v>6.0606</v>
      </c>
      <c r="J864" s="7"/>
      <c r="K864" s="7" t="str">
        <f>VLOOKUP($E864,Mapping!$E$11:$I$96,3,0)</f>
        <v>Replacement</v>
      </c>
      <c r="L864" s="7" t="str">
        <f>VLOOKUP($G864,Mapping!$E$140:$K$2771,5,0)</f>
        <v>Contracts</v>
      </c>
      <c r="M864" s="7" t="str">
        <f>VLOOKUP($G864,Mapping!$E$140:$K$2771,7,0)</f>
        <v>ENDirect</v>
      </c>
      <c r="N864" s="7" t="str">
        <f>IFERROR(HLOOKUP(L864,'Calc|Weightings'!$K$5:$M$5,1,0),"Excl")</f>
        <v>Contracts</v>
      </c>
      <c r="O864" s="7" t="str">
        <f>VLOOKUP(E864,Mapping!$E$11:$I$96,5,0)</f>
        <v>SCS</v>
      </c>
      <c r="Q864" s="33">
        <v>140</v>
      </c>
      <c r="R864" s="33" t="s">
        <v>2148</v>
      </c>
      <c r="S864" s="33">
        <v>613570</v>
      </c>
      <c r="T864" s="33" t="s">
        <v>1484</v>
      </c>
      <c r="U864" s="34">
        <v>0.25491999999999998</v>
      </c>
      <c r="V864" s="7"/>
      <c r="W864" s="7" t="str">
        <f>VLOOKUP($Q864,Mapping!$E$11:$I$96,3,0)</f>
        <v>Public lighting Capex</v>
      </c>
      <c r="X864" s="7" t="str">
        <f>VLOOKUP($S864,Mapping!$E$140:$K$2771,5,0)</f>
        <v>Labour</v>
      </c>
      <c r="Y864" s="7" t="str">
        <f>VLOOKUP($S864,Mapping!$E$140:$K$2771,7,0)</f>
        <v>ENDirect</v>
      </c>
      <c r="Z864" s="7" t="str">
        <f>IFERROR(HLOOKUP(X864,'Calc|Weightings'!$K$5:$M$5,1,0),"Excl")</f>
        <v>Labour</v>
      </c>
      <c r="AA864" s="7" t="str">
        <f>VLOOKUP(Q864,Mapping!$E$11:$I$96,5,0)</f>
        <v>Public Lighting</v>
      </c>
      <c r="AC864" s="111">
        <v>140</v>
      </c>
      <c r="AD864" s="111" t="s">
        <v>2148</v>
      </c>
      <c r="AE864" s="111">
        <v>613280</v>
      </c>
      <c r="AF864" s="111" t="s">
        <v>1342</v>
      </c>
      <c r="AG864" s="112">
        <v>1.42933</v>
      </c>
      <c r="AI864" s="7" t="str">
        <f>VLOOKUP($AC864,Mapping!$E$11:$I$96,3,0)</f>
        <v>Public lighting Capex</v>
      </c>
      <c r="AJ864" s="7" t="str">
        <f>VLOOKUP($AE864,Mapping!$E$140:$K$2771,5,0)</f>
        <v>Labour</v>
      </c>
      <c r="AK864" s="7" t="str">
        <f>VLOOKUP($AE864,Mapping!$E$140:$K$2771,7,0)</f>
        <v>ENDirect</v>
      </c>
      <c r="AL864" s="7" t="str">
        <f>IFERROR(HLOOKUP(AJ864,'Calc|Weightings'!$K$5:$M$5,1,0),"Excl")</f>
        <v>Labour</v>
      </c>
      <c r="AM864" s="7" t="str">
        <f>VLOOKUP(AC864,Mapping!$E$11:$I$96,5,0)</f>
        <v>Public Lighting</v>
      </c>
      <c r="AO864" s="134">
        <v>141</v>
      </c>
      <c r="AP864" s="135" t="s">
        <v>2149</v>
      </c>
      <c r="AQ864" s="135">
        <v>613574</v>
      </c>
      <c r="AR864" s="135" t="s">
        <v>1488</v>
      </c>
      <c r="AS864" s="136">
        <v>310.04340000000002</v>
      </c>
      <c r="AU864" s="7" t="str">
        <f>VLOOKUP($AO864,Mapping!$E$11:$I$96,3,0)</f>
        <v>Replacement</v>
      </c>
      <c r="AV864" s="7" t="str">
        <f>VLOOKUP($AQ864,Mapping!$E$140:$K$2771,5,0)</f>
        <v>Labour</v>
      </c>
      <c r="AW864" s="7" t="str">
        <f>VLOOKUP($AQ864,Mapping!$E$140:$K$2771,7,0)</f>
        <v>ENDirect</v>
      </c>
      <c r="AX864" s="7" t="str">
        <f>IFERROR(HLOOKUP(AV864,'Calc|Weightings'!$K$5:$M$5,1,0),"Excl")</f>
        <v>Labour</v>
      </c>
      <c r="AY864" s="7" t="str">
        <f>VLOOKUP(AO864,Mapping!$E$11:$I$96,5,0)</f>
        <v>SCS</v>
      </c>
    </row>
    <row r="865" spans="1:51" x14ac:dyDescent="0.2">
      <c r="A865" s="7"/>
      <c r="B865" s="7"/>
      <c r="C865" s="7"/>
      <c r="D865" s="7"/>
      <c r="E865" s="36">
        <v>139</v>
      </c>
      <c r="F865" s="36" t="s">
        <v>2146</v>
      </c>
      <c r="G865" s="36">
        <v>531480</v>
      </c>
      <c r="H865" s="36" t="s">
        <v>2076</v>
      </c>
      <c r="I865" s="37">
        <v>0.38400000000000001</v>
      </c>
      <c r="J865" s="7"/>
      <c r="K865" s="7" t="str">
        <f>VLOOKUP($E865,Mapping!$E$11:$I$96,3,0)</f>
        <v>Replacement</v>
      </c>
      <c r="L865" s="7" t="str">
        <f>VLOOKUP($G865,Mapping!$E$140:$K$2771,5,0)</f>
        <v>Labour</v>
      </c>
      <c r="M865" s="7" t="str">
        <f>VLOOKUP($G865,Mapping!$E$140:$K$2771,7,0)</f>
        <v>ENDirect</v>
      </c>
      <c r="N865" s="7" t="str">
        <f>IFERROR(HLOOKUP(L865,'Calc|Weightings'!$K$5:$M$5,1,0),"Excl")</f>
        <v>Labour</v>
      </c>
      <c r="O865" s="7" t="str">
        <f>VLOOKUP(E865,Mapping!$E$11:$I$96,5,0)</f>
        <v>SCS</v>
      </c>
      <c r="Q865" s="33">
        <v>140</v>
      </c>
      <c r="R865" s="33" t="s">
        <v>2148</v>
      </c>
      <c r="S865" s="33">
        <v>613574</v>
      </c>
      <c r="T865" s="33" t="s">
        <v>1488</v>
      </c>
      <c r="U865" s="34">
        <v>12.247960000000001</v>
      </c>
      <c r="V865" s="7"/>
      <c r="W865" s="7" t="str">
        <f>VLOOKUP($Q865,Mapping!$E$11:$I$96,3,0)</f>
        <v>Public lighting Capex</v>
      </c>
      <c r="X865" s="7" t="str">
        <f>VLOOKUP($S865,Mapping!$E$140:$K$2771,5,0)</f>
        <v>Labour</v>
      </c>
      <c r="Y865" s="7" t="str">
        <f>VLOOKUP($S865,Mapping!$E$140:$K$2771,7,0)</f>
        <v>ENDirect</v>
      </c>
      <c r="Z865" s="7" t="str">
        <f>IFERROR(HLOOKUP(X865,'Calc|Weightings'!$K$5:$M$5,1,0),"Excl")</f>
        <v>Labour</v>
      </c>
      <c r="AA865" s="7" t="str">
        <f>VLOOKUP(Q865,Mapping!$E$11:$I$96,5,0)</f>
        <v>Public Lighting</v>
      </c>
      <c r="AC865" s="111">
        <v>140</v>
      </c>
      <c r="AD865" s="111" t="s">
        <v>2148</v>
      </c>
      <c r="AE865" s="111">
        <v>613290</v>
      </c>
      <c r="AF865" s="111" t="s">
        <v>2093</v>
      </c>
      <c r="AG865" s="112">
        <v>2.04128</v>
      </c>
      <c r="AI865" s="7" t="str">
        <f>VLOOKUP($AC865,Mapping!$E$11:$I$96,3,0)</f>
        <v>Public lighting Capex</v>
      </c>
      <c r="AJ865" s="7" t="str">
        <f>VLOOKUP($AE865,Mapping!$E$140:$K$2771,5,0)</f>
        <v>Labour</v>
      </c>
      <c r="AK865" s="7" t="str">
        <f>VLOOKUP($AE865,Mapping!$E$140:$K$2771,7,0)</f>
        <v>ENDirect</v>
      </c>
      <c r="AL865" s="7" t="str">
        <f>IFERROR(HLOOKUP(AJ865,'Calc|Weightings'!$K$5:$M$5,1,0),"Excl")</f>
        <v>Labour</v>
      </c>
      <c r="AM865" s="7" t="str">
        <f>VLOOKUP(AC865,Mapping!$E$11:$I$96,5,0)</f>
        <v>Public Lighting</v>
      </c>
      <c r="AO865" s="134">
        <v>141</v>
      </c>
      <c r="AP865" s="135" t="s">
        <v>2149</v>
      </c>
      <c r="AQ865" s="135">
        <v>613575</v>
      </c>
      <c r="AR865" s="135" t="s">
        <v>1489</v>
      </c>
      <c r="AS865" s="136">
        <v>70.326779999999999</v>
      </c>
      <c r="AU865" s="7" t="str">
        <f>VLOOKUP($AO865,Mapping!$E$11:$I$96,3,0)</f>
        <v>Replacement</v>
      </c>
      <c r="AV865" s="7" t="str">
        <f>VLOOKUP($AQ865,Mapping!$E$140:$K$2771,5,0)</f>
        <v>Labour</v>
      </c>
      <c r="AW865" s="7" t="str">
        <f>VLOOKUP($AQ865,Mapping!$E$140:$K$2771,7,0)</f>
        <v>ENDirect</v>
      </c>
      <c r="AX865" s="7" t="str">
        <f>IFERROR(HLOOKUP(AV865,'Calc|Weightings'!$K$5:$M$5,1,0),"Excl")</f>
        <v>Labour</v>
      </c>
      <c r="AY865" s="7" t="str">
        <f>VLOOKUP(AO865,Mapping!$E$11:$I$96,5,0)</f>
        <v>SCS</v>
      </c>
    </row>
    <row r="866" spans="1:51" x14ac:dyDescent="0.2">
      <c r="A866" s="7"/>
      <c r="B866" s="7"/>
      <c r="C866" s="7"/>
      <c r="D866" s="7"/>
      <c r="E866" s="36">
        <v>139</v>
      </c>
      <c r="F866" s="36" t="s">
        <v>2146</v>
      </c>
      <c r="G866" s="36">
        <v>531495</v>
      </c>
      <c r="H866" s="36" t="s">
        <v>2353</v>
      </c>
      <c r="I866" s="37">
        <v>5.5829999999999998E-2</v>
      </c>
      <c r="J866" s="7"/>
      <c r="K866" s="7" t="str">
        <f>VLOOKUP($E866,Mapping!$E$11:$I$96,3,0)</f>
        <v>Replacement</v>
      </c>
      <c r="L866" s="7" t="str">
        <f>VLOOKUP($G866,Mapping!$E$140:$K$2771,5,0)</f>
        <v>Contracts</v>
      </c>
      <c r="M866" s="7" t="str">
        <f>VLOOKUP($G866,Mapping!$E$140:$K$2771,7,0)</f>
        <v>ENDirect</v>
      </c>
      <c r="N866" s="7" t="str">
        <f>IFERROR(HLOOKUP(L866,'Calc|Weightings'!$K$5:$M$5,1,0),"Excl")</f>
        <v>Contracts</v>
      </c>
      <c r="O866" s="7" t="str">
        <f>VLOOKUP(E866,Mapping!$E$11:$I$96,5,0)</f>
        <v>SCS</v>
      </c>
      <c r="Q866" s="33">
        <v>140</v>
      </c>
      <c r="R866" s="33" t="s">
        <v>2148</v>
      </c>
      <c r="S866" s="33">
        <v>613575</v>
      </c>
      <c r="T866" s="33" t="s">
        <v>1489</v>
      </c>
      <c r="U866" s="34">
        <v>0.81110000000000004</v>
      </c>
      <c r="V866" s="7"/>
      <c r="W866" s="7" t="str">
        <f>VLOOKUP($Q866,Mapping!$E$11:$I$96,3,0)</f>
        <v>Public lighting Capex</v>
      </c>
      <c r="X866" s="7" t="str">
        <f>VLOOKUP($S866,Mapping!$E$140:$K$2771,5,0)</f>
        <v>Labour</v>
      </c>
      <c r="Y866" s="7" t="str">
        <f>VLOOKUP($S866,Mapping!$E$140:$K$2771,7,0)</f>
        <v>ENDirect</v>
      </c>
      <c r="Z866" s="7" t="str">
        <f>IFERROR(HLOOKUP(X866,'Calc|Weightings'!$K$5:$M$5,1,0),"Excl")</f>
        <v>Labour</v>
      </c>
      <c r="AA866" s="7" t="str">
        <f>VLOOKUP(Q866,Mapping!$E$11:$I$96,5,0)</f>
        <v>Public Lighting</v>
      </c>
      <c r="AC866" s="111">
        <v>140</v>
      </c>
      <c r="AD866" s="111" t="s">
        <v>2148</v>
      </c>
      <c r="AE866" s="111">
        <v>613291</v>
      </c>
      <c r="AF866" s="111" t="s">
        <v>2094</v>
      </c>
      <c r="AG866" s="112">
        <v>6.8300000000000001E-3</v>
      </c>
      <c r="AI866" s="7" t="str">
        <f>VLOOKUP($AC866,Mapping!$E$11:$I$96,3,0)</f>
        <v>Public lighting Capex</v>
      </c>
      <c r="AJ866" s="7" t="str">
        <f>VLOOKUP($AE866,Mapping!$E$140:$K$2771,5,0)</f>
        <v>Labour</v>
      </c>
      <c r="AK866" s="7" t="str">
        <f>VLOOKUP($AE866,Mapping!$E$140:$K$2771,7,0)</f>
        <v>ENDirect</v>
      </c>
      <c r="AL866" s="7" t="str">
        <f>IFERROR(HLOOKUP(AJ866,'Calc|Weightings'!$K$5:$M$5,1,0),"Excl")</f>
        <v>Labour</v>
      </c>
      <c r="AM866" s="7" t="str">
        <f>VLOOKUP(AC866,Mapping!$E$11:$I$96,5,0)</f>
        <v>Public Lighting</v>
      </c>
      <c r="AO866" s="134">
        <v>141</v>
      </c>
      <c r="AP866" s="135" t="s">
        <v>2149</v>
      </c>
      <c r="AQ866" s="135">
        <v>613576</v>
      </c>
      <c r="AR866" s="135" t="s">
        <v>1490</v>
      </c>
      <c r="AS866" s="136">
        <v>4.0057299999999998</v>
      </c>
      <c r="AU866" s="7" t="str">
        <f>VLOOKUP($AO866,Mapping!$E$11:$I$96,3,0)</f>
        <v>Replacement</v>
      </c>
      <c r="AV866" s="7" t="str">
        <f>VLOOKUP($AQ866,Mapping!$E$140:$K$2771,5,0)</f>
        <v>Labour</v>
      </c>
      <c r="AW866" s="7" t="str">
        <f>VLOOKUP($AQ866,Mapping!$E$140:$K$2771,7,0)</f>
        <v>ENDirect</v>
      </c>
      <c r="AX866" s="7" t="str">
        <f>IFERROR(HLOOKUP(AV866,'Calc|Weightings'!$K$5:$M$5,1,0),"Excl")</f>
        <v>Labour</v>
      </c>
      <c r="AY866" s="7" t="str">
        <f>VLOOKUP(AO866,Mapping!$E$11:$I$96,5,0)</f>
        <v>SCS</v>
      </c>
    </row>
    <row r="867" spans="1:51" x14ac:dyDescent="0.2">
      <c r="A867" s="7"/>
      <c r="B867" s="7"/>
      <c r="C867" s="7"/>
      <c r="D867" s="7"/>
      <c r="E867" s="36">
        <v>139</v>
      </c>
      <c r="F867" s="36" t="s">
        <v>2146</v>
      </c>
      <c r="G867" s="36">
        <v>611102</v>
      </c>
      <c r="H867" s="36" t="s">
        <v>2147</v>
      </c>
      <c r="I867" s="37">
        <v>96.728999999999999</v>
      </c>
      <c r="J867" s="7"/>
      <c r="K867" s="7" t="str">
        <f>VLOOKUP($E867,Mapping!$E$11:$I$96,3,0)</f>
        <v>Replacement</v>
      </c>
      <c r="L867" s="7" t="str">
        <f>VLOOKUP($G867,Mapping!$E$140:$K$2771,5,0)</f>
        <v>Labour</v>
      </c>
      <c r="M867" s="7" t="str">
        <f>VLOOKUP($G867,Mapping!$E$140:$K$2771,7,0)</f>
        <v>ENDirect</v>
      </c>
      <c r="N867" s="7" t="str">
        <f>IFERROR(HLOOKUP(L867,'Calc|Weightings'!$K$5:$M$5,1,0),"Excl")</f>
        <v>Labour</v>
      </c>
      <c r="O867" s="7" t="str">
        <f>VLOOKUP(E867,Mapping!$E$11:$I$96,5,0)</f>
        <v>SCS</v>
      </c>
      <c r="Q867" s="33">
        <v>140</v>
      </c>
      <c r="R867" s="33" t="s">
        <v>2148</v>
      </c>
      <c r="S867" s="33">
        <v>613576</v>
      </c>
      <c r="T867" s="33" t="s">
        <v>1490</v>
      </c>
      <c r="U867" s="34">
        <v>2.5638000000000001</v>
      </c>
      <c r="V867" s="7"/>
      <c r="W867" s="7" t="str">
        <f>VLOOKUP($Q867,Mapping!$E$11:$I$96,3,0)</f>
        <v>Public lighting Capex</v>
      </c>
      <c r="X867" s="7" t="str">
        <f>VLOOKUP($S867,Mapping!$E$140:$K$2771,5,0)</f>
        <v>Labour</v>
      </c>
      <c r="Y867" s="7" t="str">
        <f>VLOOKUP($S867,Mapping!$E$140:$K$2771,7,0)</f>
        <v>ENDirect</v>
      </c>
      <c r="Z867" s="7" t="str">
        <f>IFERROR(HLOOKUP(X867,'Calc|Weightings'!$K$5:$M$5,1,0),"Excl")</f>
        <v>Labour</v>
      </c>
      <c r="AA867" s="7" t="str">
        <f>VLOOKUP(Q867,Mapping!$E$11:$I$96,5,0)</f>
        <v>Public Lighting</v>
      </c>
      <c r="AC867" s="111">
        <v>140</v>
      </c>
      <c r="AD867" s="111" t="s">
        <v>2148</v>
      </c>
      <c r="AE867" s="111">
        <v>613360</v>
      </c>
      <c r="AF867" s="111" t="s">
        <v>2097</v>
      </c>
      <c r="AG867" s="112">
        <v>2.1153599999999999</v>
      </c>
      <c r="AI867" s="7" t="str">
        <f>VLOOKUP($AC867,Mapping!$E$11:$I$96,3,0)</f>
        <v>Public lighting Capex</v>
      </c>
      <c r="AJ867" s="7" t="str">
        <f>VLOOKUP($AE867,Mapping!$E$140:$K$2771,5,0)</f>
        <v>Labour</v>
      </c>
      <c r="AK867" s="7" t="str">
        <f>VLOOKUP($AE867,Mapping!$E$140:$K$2771,7,0)</f>
        <v>ENDirect</v>
      </c>
      <c r="AL867" s="7" t="str">
        <f>IFERROR(HLOOKUP(AJ867,'Calc|Weightings'!$K$5:$M$5,1,0),"Excl")</f>
        <v>Labour</v>
      </c>
      <c r="AM867" s="7" t="str">
        <f>VLOOKUP(AC867,Mapping!$E$11:$I$96,5,0)</f>
        <v>Public Lighting</v>
      </c>
      <c r="AO867" s="134">
        <v>141</v>
      </c>
      <c r="AP867" s="135" t="s">
        <v>2149</v>
      </c>
      <c r="AQ867" s="135">
        <v>613577</v>
      </c>
      <c r="AR867" s="135" t="s">
        <v>1491</v>
      </c>
      <c r="AS867" s="136">
        <v>3.5015399999999999</v>
      </c>
      <c r="AU867" s="7" t="str">
        <f>VLOOKUP($AO867,Mapping!$E$11:$I$96,3,0)</f>
        <v>Replacement</v>
      </c>
      <c r="AV867" s="7" t="str">
        <f>VLOOKUP($AQ867,Mapping!$E$140:$K$2771,5,0)</f>
        <v>Labour</v>
      </c>
      <c r="AW867" s="7" t="str">
        <f>VLOOKUP($AQ867,Mapping!$E$140:$K$2771,7,0)</f>
        <v>ENDirect</v>
      </c>
      <c r="AX867" s="7" t="str">
        <f>IFERROR(HLOOKUP(AV867,'Calc|Weightings'!$K$5:$M$5,1,0),"Excl")</f>
        <v>Labour</v>
      </c>
      <c r="AY867" s="7" t="str">
        <f>VLOOKUP(AO867,Mapping!$E$11:$I$96,5,0)</f>
        <v>SCS</v>
      </c>
    </row>
    <row r="868" spans="1:51" x14ac:dyDescent="0.2">
      <c r="A868" s="7"/>
      <c r="B868" s="7"/>
      <c r="C868" s="7"/>
      <c r="D868" s="7"/>
      <c r="E868" s="36">
        <v>139</v>
      </c>
      <c r="F868" s="36" t="s">
        <v>2146</v>
      </c>
      <c r="G868" s="36">
        <v>611860</v>
      </c>
      <c r="H868" s="36" t="s">
        <v>2125</v>
      </c>
      <c r="I868" s="37">
        <v>0.38046000000000002</v>
      </c>
      <c r="J868" s="7"/>
      <c r="K868" s="7" t="str">
        <f>VLOOKUP($E868,Mapping!$E$11:$I$96,3,0)</f>
        <v>Replacement</v>
      </c>
      <c r="L868" s="7" t="str">
        <f>VLOOKUP($G868,Mapping!$E$140:$K$2771,5,0)</f>
        <v>Labour</v>
      </c>
      <c r="M868" s="7" t="str">
        <f>VLOOKUP($G868,Mapping!$E$140:$K$2771,7,0)</f>
        <v>ENDirect</v>
      </c>
      <c r="N868" s="7" t="str">
        <f>IFERROR(HLOOKUP(L868,'Calc|Weightings'!$K$5:$M$5,1,0),"Excl")</f>
        <v>Labour</v>
      </c>
      <c r="O868" s="7" t="str">
        <f>VLOOKUP(E868,Mapping!$E$11:$I$96,5,0)</f>
        <v>SCS</v>
      </c>
      <c r="Q868" s="33">
        <v>140</v>
      </c>
      <c r="R868" s="33" t="s">
        <v>2148</v>
      </c>
      <c r="S868" s="33">
        <v>613577</v>
      </c>
      <c r="T868" s="33" t="s">
        <v>1491</v>
      </c>
      <c r="U868" s="34">
        <v>0.60760000000000003</v>
      </c>
      <c r="V868" s="7"/>
      <c r="W868" s="7" t="str">
        <f>VLOOKUP($Q868,Mapping!$E$11:$I$96,3,0)</f>
        <v>Public lighting Capex</v>
      </c>
      <c r="X868" s="7" t="str">
        <f>VLOOKUP($S868,Mapping!$E$140:$K$2771,5,0)</f>
        <v>Labour</v>
      </c>
      <c r="Y868" s="7" t="str">
        <f>VLOOKUP($S868,Mapping!$E$140:$K$2771,7,0)</f>
        <v>ENDirect</v>
      </c>
      <c r="Z868" s="7" t="str">
        <f>IFERROR(HLOOKUP(X868,'Calc|Weightings'!$K$5:$M$5,1,0),"Excl")</f>
        <v>Labour</v>
      </c>
      <c r="AA868" s="7" t="str">
        <f>VLOOKUP(Q868,Mapping!$E$11:$I$96,5,0)</f>
        <v>Public Lighting</v>
      </c>
      <c r="AC868" s="111">
        <v>140</v>
      </c>
      <c r="AD868" s="111" t="s">
        <v>2148</v>
      </c>
      <c r="AE868" s="111">
        <v>613390</v>
      </c>
      <c r="AF868" s="111" t="s">
        <v>2141</v>
      </c>
      <c r="AG868" s="112">
        <v>-3.7649699999999999</v>
      </c>
      <c r="AI868" s="7" t="str">
        <f>VLOOKUP($AC868,Mapping!$E$11:$I$96,3,0)</f>
        <v>Public lighting Capex</v>
      </c>
      <c r="AJ868" s="7" t="str">
        <f>VLOOKUP($AE868,Mapping!$E$140:$K$2771,5,0)</f>
        <v>Contracts</v>
      </c>
      <c r="AK868" s="7" t="str">
        <f>VLOOKUP($AE868,Mapping!$E$140:$K$2771,7,0)</f>
        <v>ENDirect</v>
      </c>
      <c r="AL868" s="7" t="str">
        <f>IFERROR(HLOOKUP(AJ868,'Calc|Weightings'!$K$5:$M$5,1,0),"Excl")</f>
        <v>Contracts</v>
      </c>
      <c r="AM868" s="7" t="str">
        <f>VLOOKUP(AC868,Mapping!$E$11:$I$96,5,0)</f>
        <v>Public Lighting</v>
      </c>
      <c r="AO868" s="134">
        <v>141</v>
      </c>
      <c r="AP868" s="135" t="s">
        <v>2149</v>
      </c>
      <c r="AQ868" s="135">
        <v>613602</v>
      </c>
      <c r="AR868" s="135" t="s">
        <v>1494</v>
      </c>
      <c r="AS868" s="136">
        <v>0.57084000000000001</v>
      </c>
      <c r="AU868" s="7" t="str">
        <f>VLOOKUP($AO868,Mapping!$E$11:$I$96,3,0)</f>
        <v>Replacement</v>
      </c>
      <c r="AV868" s="7" t="str">
        <f>VLOOKUP($AQ868,Mapping!$E$140:$K$2771,5,0)</f>
        <v>Labour</v>
      </c>
      <c r="AW868" s="7" t="str">
        <f>VLOOKUP($AQ868,Mapping!$E$140:$K$2771,7,0)</f>
        <v>ENDirect</v>
      </c>
      <c r="AX868" s="7" t="str">
        <f>IFERROR(HLOOKUP(AV868,'Calc|Weightings'!$K$5:$M$5,1,0),"Excl")</f>
        <v>Labour</v>
      </c>
      <c r="AY868" s="7" t="str">
        <f>VLOOKUP(AO868,Mapping!$E$11:$I$96,5,0)</f>
        <v>SCS</v>
      </c>
    </row>
    <row r="869" spans="1:51" x14ac:dyDescent="0.2">
      <c r="A869" s="7"/>
      <c r="B869" s="7"/>
      <c r="C869" s="7"/>
      <c r="D869" s="7"/>
      <c r="E869" s="36">
        <v>139</v>
      </c>
      <c r="F869" s="36" t="s">
        <v>2146</v>
      </c>
      <c r="G869" s="36">
        <v>611900</v>
      </c>
      <c r="H869" s="36" t="s">
        <v>2079</v>
      </c>
      <c r="I869" s="37">
        <v>1.4376500000000001</v>
      </c>
      <c r="J869" s="7"/>
      <c r="K869" s="7" t="str">
        <f>VLOOKUP($E869,Mapping!$E$11:$I$96,3,0)</f>
        <v>Replacement</v>
      </c>
      <c r="L869" s="7" t="str">
        <f>VLOOKUP($G869,Mapping!$E$140:$K$2771,5,0)</f>
        <v>Contracts</v>
      </c>
      <c r="M869" s="7" t="str">
        <f>VLOOKUP($G869,Mapping!$E$140:$K$2771,7,0)</f>
        <v>ENDirect</v>
      </c>
      <c r="N869" s="7" t="str">
        <f>IFERROR(HLOOKUP(L869,'Calc|Weightings'!$K$5:$M$5,1,0),"Excl")</f>
        <v>Contracts</v>
      </c>
      <c r="O869" s="7" t="str">
        <f>VLOOKUP(E869,Mapping!$E$11:$I$96,5,0)</f>
        <v>SCS</v>
      </c>
      <c r="Q869" s="33">
        <v>140</v>
      </c>
      <c r="R869" s="33" t="s">
        <v>2148</v>
      </c>
      <c r="S869" s="33">
        <v>613680</v>
      </c>
      <c r="T869" s="33" t="s">
        <v>2107</v>
      </c>
      <c r="U869" s="34">
        <v>0.17594000000000001</v>
      </c>
      <c r="V869" s="7"/>
      <c r="W869" s="7" t="str">
        <f>VLOOKUP($Q869,Mapping!$E$11:$I$96,3,0)</f>
        <v>Public lighting Capex</v>
      </c>
      <c r="X869" s="7" t="str">
        <f>VLOOKUP($S869,Mapping!$E$140:$K$2771,5,0)</f>
        <v>Labour</v>
      </c>
      <c r="Y869" s="7" t="str">
        <f>VLOOKUP($S869,Mapping!$E$140:$K$2771,7,0)</f>
        <v>ENDirect</v>
      </c>
      <c r="Z869" s="7" t="str">
        <f>IFERROR(HLOOKUP(X869,'Calc|Weightings'!$K$5:$M$5,1,0),"Excl")</f>
        <v>Labour</v>
      </c>
      <c r="AA869" s="7" t="str">
        <f>VLOOKUP(Q869,Mapping!$E$11:$I$96,5,0)</f>
        <v>Public Lighting</v>
      </c>
      <c r="AC869" s="111">
        <v>140</v>
      </c>
      <c r="AD869" s="111" t="s">
        <v>2148</v>
      </c>
      <c r="AE869" s="111">
        <v>613400</v>
      </c>
      <c r="AF869" s="111" t="s">
        <v>2099</v>
      </c>
      <c r="AG869" s="112">
        <v>1.9903599999999999</v>
      </c>
      <c r="AI869" s="7" t="str">
        <f>VLOOKUP($AC869,Mapping!$E$11:$I$96,3,0)</f>
        <v>Public lighting Capex</v>
      </c>
      <c r="AJ869" s="7" t="str">
        <f>VLOOKUP($AE869,Mapping!$E$140:$K$2771,5,0)</f>
        <v>Labour</v>
      </c>
      <c r="AK869" s="7" t="str">
        <f>VLOOKUP($AE869,Mapping!$E$140:$K$2771,7,0)</f>
        <v>ENDirect</v>
      </c>
      <c r="AL869" s="7" t="str">
        <f>IFERROR(HLOOKUP(AJ869,'Calc|Weightings'!$K$5:$M$5,1,0),"Excl")</f>
        <v>Labour</v>
      </c>
      <c r="AM869" s="7" t="str">
        <f>VLOOKUP(AC869,Mapping!$E$11:$I$96,5,0)</f>
        <v>Public Lighting</v>
      </c>
      <c r="AO869" s="134">
        <v>141</v>
      </c>
      <c r="AP869" s="135" t="s">
        <v>2149</v>
      </c>
      <c r="AQ869" s="135">
        <v>613630</v>
      </c>
      <c r="AR869" s="135" t="s">
        <v>1498</v>
      </c>
      <c r="AS869" s="136">
        <v>0.57389999999999997</v>
      </c>
      <c r="AU869" s="7" t="str">
        <f>VLOOKUP($AO869,Mapping!$E$11:$I$96,3,0)</f>
        <v>Replacement</v>
      </c>
      <c r="AV869" s="7" t="str">
        <f>VLOOKUP($AQ869,Mapping!$E$140:$K$2771,5,0)</f>
        <v>Labour</v>
      </c>
      <c r="AW869" s="7" t="str">
        <f>VLOOKUP($AQ869,Mapping!$E$140:$K$2771,7,0)</f>
        <v>ENDirect</v>
      </c>
      <c r="AX869" s="7" t="str">
        <f>IFERROR(HLOOKUP(AV869,'Calc|Weightings'!$K$5:$M$5,1,0),"Excl")</f>
        <v>Labour</v>
      </c>
      <c r="AY869" s="7" t="str">
        <f>VLOOKUP(AO869,Mapping!$E$11:$I$96,5,0)</f>
        <v>SCS</v>
      </c>
    </row>
    <row r="870" spans="1:51" x14ac:dyDescent="0.2">
      <c r="A870" s="7"/>
      <c r="B870" s="7"/>
      <c r="C870" s="7"/>
      <c r="D870" s="7"/>
      <c r="E870" s="36">
        <v>139</v>
      </c>
      <c r="F870" s="36" t="s">
        <v>2146</v>
      </c>
      <c r="G870" s="36">
        <v>611901</v>
      </c>
      <c r="H870" s="36" t="s">
        <v>2080</v>
      </c>
      <c r="I870" s="37">
        <v>2.80261</v>
      </c>
      <c r="J870" s="7"/>
      <c r="K870" s="7" t="str">
        <f>VLOOKUP($E870,Mapping!$E$11:$I$96,3,0)</f>
        <v>Replacement</v>
      </c>
      <c r="L870" s="7" t="str">
        <f>VLOOKUP($G870,Mapping!$E$140:$K$2771,5,0)</f>
        <v>Contracts</v>
      </c>
      <c r="M870" s="7" t="str">
        <f>VLOOKUP($G870,Mapping!$E$140:$K$2771,7,0)</f>
        <v>ENDirect</v>
      </c>
      <c r="N870" s="7" t="str">
        <f>IFERROR(HLOOKUP(L870,'Calc|Weightings'!$K$5:$M$5,1,0),"Excl")</f>
        <v>Contracts</v>
      </c>
      <c r="O870" s="7" t="str">
        <f>VLOOKUP(E870,Mapping!$E$11:$I$96,5,0)</f>
        <v>SCS</v>
      </c>
      <c r="Q870" s="33">
        <v>140</v>
      </c>
      <c r="R870" s="33" t="s">
        <v>2148</v>
      </c>
      <c r="S870" s="33">
        <v>613800</v>
      </c>
      <c r="T870" s="33" t="s">
        <v>2142</v>
      </c>
      <c r="U870" s="34">
        <v>-5.88523</v>
      </c>
      <c r="V870" s="7"/>
      <c r="W870" s="7" t="str">
        <f>VLOOKUP($Q870,Mapping!$E$11:$I$96,3,0)</f>
        <v>Public lighting Capex</v>
      </c>
      <c r="X870" s="7" t="str">
        <f>VLOOKUP($S870,Mapping!$E$140:$K$2771,5,0)</f>
        <v>Materials</v>
      </c>
      <c r="Y870" s="7" t="str">
        <f>VLOOKUP($S870,Mapping!$E$140:$K$2771,7,0)</f>
        <v>ENDirect</v>
      </c>
      <c r="Z870" s="7" t="str">
        <f>IFERROR(HLOOKUP(X870,'Calc|Weightings'!$K$5:$M$5,1,0),"Excl")</f>
        <v>Materials</v>
      </c>
      <c r="AA870" s="7" t="str">
        <f>VLOOKUP(Q870,Mapping!$E$11:$I$96,5,0)</f>
        <v>Public Lighting</v>
      </c>
      <c r="AC870" s="111">
        <v>140</v>
      </c>
      <c r="AD870" s="111" t="s">
        <v>2148</v>
      </c>
      <c r="AE870" s="111">
        <v>613410</v>
      </c>
      <c r="AF870" s="111" t="s">
        <v>2100</v>
      </c>
      <c r="AG870" s="112">
        <v>11.68252</v>
      </c>
      <c r="AI870" s="7" t="str">
        <f>VLOOKUP($AC870,Mapping!$E$11:$I$96,3,0)</f>
        <v>Public lighting Capex</v>
      </c>
      <c r="AJ870" s="7" t="str">
        <f>VLOOKUP($AE870,Mapping!$E$140:$K$2771,5,0)</f>
        <v>Labour</v>
      </c>
      <c r="AK870" s="7" t="str">
        <f>VLOOKUP($AE870,Mapping!$E$140:$K$2771,7,0)</f>
        <v>ENDirect</v>
      </c>
      <c r="AL870" s="7" t="str">
        <f>IFERROR(HLOOKUP(AJ870,'Calc|Weightings'!$K$5:$M$5,1,0),"Excl")</f>
        <v>Labour</v>
      </c>
      <c r="AM870" s="7" t="str">
        <f>VLOOKUP(AC870,Mapping!$E$11:$I$96,5,0)</f>
        <v>Public Lighting</v>
      </c>
      <c r="AO870" s="134">
        <v>141</v>
      </c>
      <c r="AP870" s="135" t="s">
        <v>2149</v>
      </c>
      <c r="AQ870" s="135">
        <v>613680</v>
      </c>
      <c r="AR870" s="135" t="s">
        <v>2107</v>
      </c>
      <c r="AS870" s="136">
        <v>0.79354000000000002</v>
      </c>
      <c r="AU870" s="7" t="str">
        <f>VLOOKUP($AO870,Mapping!$E$11:$I$96,3,0)</f>
        <v>Replacement</v>
      </c>
      <c r="AV870" s="7" t="str">
        <f>VLOOKUP($AQ870,Mapping!$E$140:$K$2771,5,0)</f>
        <v>Labour</v>
      </c>
      <c r="AW870" s="7" t="str">
        <f>VLOOKUP($AQ870,Mapping!$E$140:$K$2771,7,0)</f>
        <v>ENDirect</v>
      </c>
      <c r="AX870" s="7" t="str">
        <f>IFERROR(HLOOKUP(AV870,'Calc|Weightings'!$K$5:$M$5,1,0),"Excl")</f>
        <v>Labour</v>
      </c>
      <c r="AY870" s="7" t="str">
        <f>VLOOKUP(AO870,Mapping!$E$11:$I$96,5,0)</f>
        <v>SCS</v>
      </c>
    </row>
    <row r="871" spans="1:51" x14ac:dyDescent="0.2">
      <c r="A871" s="7"/>
      <c r="B871" s="7"/>
      <c r="C871" s="7"/>
      <c r="D871" s="7"/>
      <c r="E871" s="36">
        <v>139</v>
      </c>
      <c r="F871" s="36" t="s">
        <v>2146</v>
      </c>
      <c r="G871" s="36">
        <v>613240</v>
      </c>
      <c r="H871" s="36" t="s">
        <v>2082</v>
      </c>
      <c r="I871" s="37">
        <v>0.73026000000000002</v>
      </c>
      <c r="J871" s="7"/>
      <c r="K871" s="7" t="str">
        <f>VLOOKUP($E871,Mapping!$E$11:$I$96,3,0)</f>
        <v>Replacement</v>
      </c>
      <c r="L871" s="7" t="str">
        <f>VLOOKUP($G871,Mapping!$E$140:$K$2771,5,0)</f>
        <v>Labour</v>
      </c>
      <c r="M871" s="7" t="str">
        <f>VLOOKUP($G871,Mapping!$E$140:$K$2771,7,0)</f>
        <v>ENDirect</v>
      </c>
      <c r="N871" s="7" t="str">
        <f>IFERROR(HLOOKUP(L871,'Calc|Weightings'!$K$5:$M$5,1,0),"Excl")</f>
        <v>Labour</v>
      </c>
      <c r="O871" s="7" t="str">
        <f>VLOOKUP(E871,Mapping!$E$11:$I$96,5,0)</f>
        <v>SCS</v>
      </c>
      <c r="Q871" s="33">
        <v>140</v>
      </c>
      <c r="R871" s="33" t="s">
        <v>2148</v>
      </c>
      <c r="S871" s="33">
        <v>634001</v>
      </c>
      <c r="T871" s="33" t="s">
        <v>2110</v>
      </c>
      <c r="U871" s="34">
        <v>63.213180000000001</v>
      </c>
      <c r="V871" s="7"/>
      <c r="W871" s="7" t="str">
        <f>VLOOKUP($Q871,Mapping!$E$11:$I$96,3,0)</f>
        <v>Public lighting Capex</v>
      </c>
      <c r="X871" s="7" t="str">
        <f>VLOOKUP($S871,Mapping!$E$140:$K$2771,5,0)</f>
        <v>Local OH</v>
      </c>
      <c r="Y871" s="7" t="str">
        <f>VLOOKUP($S871,Mapping!$E$140:$K$2771,7,0)</f>
        <v>OH</v>
      </c>
      <c r="Z871" s="7" t="str">
        <f>IFERROR(HLOOKUP(X871,'Calc|Weightings'!$K$5:$M$5,1,0),"Excl")</f>
        <v>Excl</v>
      </c>
      <c r="AA871" s="7" t="str">
        <f>VLOOKUP(Q871,Mapping!$E$11:$I$96,5,0)</f>
        <v>Public Lighting</v>
      </c>
      <c r="AC871" s="111">
        <v>140</v>
      </c>
      <c r="AD871" s="111" t="s">
        <v>2148</v>
      </c>
      <c r="AE871" s="111">
        <v>613440</v>
      </c>
      <c r="AF871" s="111" t="s">
        <v>2103</v>
      </c>
      <c r="AG871" s="112">
        <v>3.3070000000000002E-2</v>
      </c>
      <c r="AI871" s="7" t="str">
        <f>VLOOKUP($AC871,Mapping!$E$11:$I$96,3,0)</f>
        <v>Public lighting Capex</v>
      </c>
      <c r="AJ871" s="7" t="str">
        <f>VLOOKUP($AE871,Mapping!$E$140:$K$2771,5,0)</f>
        <v>Labour</v>
      </c>
      <c r="AK871" s="7" t="str">
        <f>VLOOKUP($AE871,Mapping!$E$140:$K$2771,7,0)</f>
        <v>ENDirect</v>
      </c>
      <c r="AL871" s="7" t="str">
        <f>IFERROR(HLOOKUP(AJ871,'Calc|Weightings'!$K$5:$M$5,1,0),"Excl")</f>
        <v>Labour</v>
      </c>
      <c r="AM871" s="7" t="str">
        <f>VLOOKUP(AC871,Mapping!$E$11:$I$96,5,0)</f>
        <v>Public Lighting</v>
      </c>
      <c r="AO871" s="134">
        <v>141</v>
      </c>
      <c r="AP871" s="135" t="s">
        <v>2149</v>
      </c>
      <c r="AQ871" s="135">
        <v>634001</v>
      </c>
      <c r="AR871" s="135" t="s">
        <v>2110</v>
      </c>
      <c r="AS871" s="136">
        <v>347.40886</v>
      </c>
      <c r="AU871" s="7" t="str">
        <f>VLOOKUP($AO871,Mapping!$E$11:$I$96,3,0)</f>
        <v>Replacement</v>
      </c>
      <c r="AV871" s="7" t="str">
        <f>VLOOKUP($AQ871,Mapping!$E$140:$K$2771,5,0)</f>
        <v>Local OH</v>
      </c>
      <c r="AW871" s="7" t="str">
        <f>VLOOKUP($AQ871,Mapping!$E$140:$K$2771,7,0)</f>
        <v>OH</v>
      </c>
      <c r="AX871" s="7" t="str">
        <f>IFERROR(HLOOKUP(AV871,'Calc|Weightings'!$K$5:$M$5,1,0),"Excl")</f>
        <v>Excl</v>
      </c>
      <c r="AY871" s="7" t="str">
        <f>VLOOKUP(AO871,Mapping!$E$11:$I$96,5,0)</f>
        <v>SCS</v>
      </c>
    </row>
    <row r="872" spans="1:51" x14ac:dyDescent="0.2">
      <c r="A872" s="7"/>
      <c r="B872" s="7"/>
      <c r="C872" s="7"/>
      <c r="D872" s="7"/>
      <c r="E872" s="36">
        <v>139</v>
      </c>
      <c r="F872" s="36" t="s">
        <v>2146</v>
      </c>
      <c r="G872" s="36">
        <v>613248</v>
      </c>
      <c r="H872" s="36" t="s">
        <v>2383</v>
      </c>
      <c r="I872" s="37">
        <v>61.098520000000001</v>
      </c>
      <c r="J872" s="7"/>
      <c r="K872" s="7" t="str">
        <f>VLOOKUP($E872,Mapping!$E$11:$I$96,3,0)</f>
        <v>Replacement</v>
      </c>
      <c r="L872" s="7" t="str">
        <f>VLOOKUP($G872,Mapping!$E$140:$K$2771,5,0)</f>
        <v>Labour</v>
      </c>
      <c r="M872" s="7" t="str">
        <f>VLOOKUP($G872,Mapping!$E$140:$K$2771,7,0)</f>
        <v>ENDirect</v>
      </c>
      <c r="N872" s="7" t="str">
        <f>IFERROR(HLOOKUP(L872,'Calc|Weightings'!$K$5:$M$5,1,0),"Excl")</f>
        <v>Labour</v>
      </c>
      <c r="O872" s="7" t="str">
        <f>VLOOKUP(E872,Mapping!$E$11:$I$96,5,0)</f>
        <v>SCS</v>
      </c>
      <c r="Q872" s="33">
        <v>140</v>
      </c>
      <c r="R872" s="33" t="s">
        <v>2148</v>
      </c>
      <c r="S872" s="33">
        <v>635001</v>
      </c>
      <c r="T872" s="33" t="s">
        <v>1929</v>
      </c>
      <c r="U872" s="34">
        <v>28.542490000000001</v>
      </c>
      <c r="V872" s="7"/>
      <c r="W872" s="7" t="str">
        <f>VLOOKUP($Q872,Mapping!$E$11:$I$96,3,0)</f>
        <v>Public lighting Capex</v>
      </c>
      <c r="X872" s="7" t="str">
        <f>VLOOKUP($S872,Mapping!$E$140:$K$2771,5,0)</f>
        <v>PNS MG</v>
      </c>
      <c r="Y872" s="7" t="str">
        <f>VLOOKUP($S872,Mapping!$E$140:$K$2771,7,0)</f>
        <v>ENDirect</v>
      </c>
      <c r="Z872" s="7" t="str">
        <f>IFERROR(HLOOKUP(X872,'Calc|Weightings'!$K$5:$M$5,1,0),"Excl")</f>
        <v>Excl</v>
      </c>
      <c r="AA872" s="7" t="str">
        <f>VLOOKUP(Q872,Mapping!$E$11:$I$96,5,0)</f>
        <v>Public Lighting</v>
      </c>
      <c r="AC872" s="111">
        <v>140</v>
      </c>
      <c r="AD872" s="111" t="s">
        <v>2148</v>
      </c>
      <c r="AE872" s="111">
        <v>613441</v>
      </c>
      <c r="AF872" s="111" t="s">
        <v>2104</v>
      </c>
      <c r="AG872" s="112">
        <v>1.848E-2</v>
      </c>
      <c r="AI872" s="7" t="str">
        <f>VLOOKUP($AC872,Mapping!$E$11:$I$96,3,0)</f>
        <v>Public lighting Capex</v>
      </c>
      <c r="AJ872" s="7" t="str">
        <f>VLOOKUP($AE872,Mapping!$E$140:$K$2771,5,0)</f>
        <v>Labour</v>
      </c>
      <c r="AK872" s="7" t="str">
        <f>VLOOKUP($AE872,Mapping!$E$140:$K$2771,7,0)</f>
        <v>ENDirect</v>
      </c>
      <c r="AL872" s="7" t="str">
        <f>IFERROR(HLOOKUP(AJ872,'Calc|Weightings'!$K$5:$M$5,1,0),"Excl")</f>
        <v>Labour</v>
      </c>
      <c r="AM872" s="7" t="str">
        <f>VLOOKUP(AC872,Mapping!$E$11:$I$96,5,0)</f>
        <v>Public Lighting</v>
      </c>
      <c r="AO872" s="134">
        <v>141</v>
      </c>
      <c r="AP872" s="135" t="s">
        <v>2149</v>
      </c>
      <c r="AQ872" s="135">
        <v>635001</v>
      </c>
      <c r="AR872" s="135" t="s">
        <v>1929</v>
      </c>
      <c r="AS872" s="136">
        <v>258.38254000000001</v>
      </c>
      <c r="AU872" s="7" t="str">
        <f>VLOOKUP($AO872,Mapping!$E$11:$I$96,3,0)</f>
        <v>Replacement</v>
      </c>
      <c r="AV872" s="7" t="str">
        <f>VLOOKUP($AQ872,Mapping!$E$140:$K$2771,5,0)</f>
        <v>PNS MG</v>
      </c>
      <c r="AW872" s="7" t="str">
        <f>VLOOKUP($AQ872,Mapping!$E$140:$K$2771,7,0)</f>
        <v>ENDirect</v>
      </c>
      <c r="AX872" s="7" t="str">
        <f>IFERROR(HLOOKUP(AV872,'Calc|Weightings'!$K$5:$M$5,1,0),"Excl")</f>
        <v>Excl</v>
      </c>
      <c r="AY872" s="7" t="str">
        <f>VLOOKUP(AO872,Mapping!$E$11:$I$96,5,0)</f>
        <v>SCS</v>
      </c>
    </row>
    <row r="873" spans="1:51" x14ac:dyDescent="0.2">
      <c r="A873" s="7"/>
      <c r="B873" s="7"/>
      <c r="C873" s="7"/>
      <c r="D873" s="7"/>
      <c r="E873" s="36">
        <v>139</v>
      </c>
      <c r="F873" s="36" t="s">
        <v>2146</v>
      </c>
      <c r="G873" s="36">
        <v>613249</v>
      </c>
      <c r="H873" s="36" t="s">
        <v>2384</v>
      </c>
      <c r="I873" s="37">
        <v>22.626000000000001</v>
      </c>
      <c r="J873" s="7"/>
      <c r="K873" s="7" t="str">
        <f>VLOOKUP($E873,Mapping!$E$11:$I$96,3,0)</f>
        <v>Replacement</v>
      </c>
      <c r="L873" s="7" t="str">
        <f>VLOOKUP($G873,Mapping!$E$140:$K$2771,5,0)</f>
        <v>Labour</v>
      </c>
      <c r="M873" s="7" t="str">
        <f>VLOOKUP($G873,Mapping!$E$140:$K$2771,7,0)</f>
        <v>ENDirect</v>
      </c>
      <c r="N873" s="7" t="str">
        <f>IFERROR(HLOOKUP(L873,'Calc|Weightings'!$K$5:$M$5,1,0),"Excl")</f>
        <v>Labour</v>
      </c>
      <c r="O873" s="7" t="str">
        <f>VLOOKUP(E873,Mapping!$E$11:$I$96,5,0)</f>
        <v>SCS</v>
      </c>
      <c r="Q873" s="33">
        <v>140</v>
      </c>
      <c r="R873" s="33" t="s">
        <v>2148</v>
      </c>
      <c r="S873" s="33">
        <v>636001</v>
      </c>
      <c r="T873" s="33" t="s">
        <v>2111</v>
      </c>
      <c r="U873" s="34">
        <v>18.942530000000001</v>
      </c>
      <c r="V873" s="7"/>
      <c r="W873" s="7" t="str">
        <f>VLOOKUP($Q873,Mapping!$E$11:$I$96,3,0)</f>
        <v>Public lighting Capex</v>
      </c>
      <c r="X873" s="7" t="str">
        <f>VLOOKUP($S873,Mapping!$E$140:$K$2771,5,0)</f>
        <v>System Control OH</v>
      </c>
      <c r="Y873" s="7" t="str">
        <f>VLOOKUP($S873,Mapping!$E$140:$K$2771,7,0)</f>
        <v>OH</v>
      </c>
      <c r="Z873" s="7" t="str">
        <f>IFERROR(HLOOKUP(X873,'Calc|Weightings'!$K$5:$M$5,1,0),"Excl")</f>
        <v>Excl</v>
      </c>
      <c r="AA873" s="7" t="str">
        <f>VLOOKUP(Q873,Mapping!$E$11:$I$96,5,0)</f>
        <v>Public Lighting</v>
      </c>
      <c r="AC873" s="111">
        <v>140</v>
      </c>
      <c r="AD873" s="111" t="s">
        <v>2148</v>
      </c>
      <c r="AE873" s="111">
        <v>613449</v>
      </c>
      <c r="AF873" s="111" t="s">
        <v>2106</v>
      </c>
      <c r="AG873" s="112">
        <v>2.239E-2</v>
      </c>
      <c r="AI873" s="7" t="str">
        <f>VLOOKUP($AC873,Mapping!$E$11:$I$96,3,0)</f>
        <v>Public lighting Capex</v>
      </c>
      <c r="AJ873" s="7" t="str">
        <f>VLOOKUP($AE873,Mapping!$E$140:$K$2771,5,0)</f>
        <v>Labour</v>
      </c>
      <c r="AK873" s="7" t="str">
        <f>VLOOKUP($AE873,Mapping!$E$140:$K$2771,7,0)</f>
        <v>ENDirect</v>
      </c>
      <c r="AL873" s="7" t="str">
        <f>IFERROR(HLOOKUP(AJ873,'Calc|Weightings'!$K$5:$M$5,1,0),"Excl")</f>
        <v>Labour</v>
      </c>
      <c r="AM873" s="7" t="str">
        <f>VLOOKUP(AC873,Mapping!$E$11:$I$96,5,0)</f>
        <v>Public Lighting</v>
      </c>
      <c r="AO873" s="134">
        <v>141</v>
      </c>
      <c r="AP873" s="135" t="s">
        <v>2149</v>
      </c>
      <c r="AQ873" s="135">
        <v>636001</v>
      </c>
      <c r="AR873" s="135" t="s">
        <v>2111</v>
      </c>
      <c r="AS873" s="136">
        <v>233.8937</v>
      </c>
      <c r="AU873" s="7" t="str">
        <f>VLOOKUP($AO873,Mapping!$E$11:$I$96,3,0)</f>
        <v>Replacement</v>
      </c>
      <c r="AV873" s="7" t="str">
        <f>VLOOKUP($AQ873,Mapping!$E$140:$K$2771,5,0)</f>
        <v>System Control OH</v>
      </c>
      <c r="AW873" s="7" t="str">
        <f>VLOOKUP($AQ873,Mapping!$E$140:$K$2771,7,0)</f>
        <v>OH</v>
      </c>
      <c r="AX873" s="7" t="str">
        <f>IFERROR(HLOOKUP(AV873,'Calc|Weightings'!$K$5:$M$5,1,0),"Excl")</f>
        <v>Excl</v>
      </c>
      <c r="AY873" s="7" t="str">
        <f>VLOOKUP(AO873,Mapping!$E$11:$I$96,5,0)</f>
        <v>SCS</v>
      </c>
    </row>
    <row r="874" spans="1:51" x14ac:dyDescent="0.2">
      <c r="A874" s="7"/>
      <c r="B874" s="7"/>
      <c r="C874" s="7"/>
      <c r="D874" s="7"/>
      <c r="E874" s="36">
        <v>139</v>
      </c>
      <c r="F874" s="36" t="s">
        <v>2146</v>
      </c>
      <c r="G874" s="36">
        <v>613250</v>
      </c>
      <c r="H874" s="36" t="s">
        <v>2086</v>
      </c>
      <c r="I874" s="37">
        <v>1.9971000000000001</v>
      </c>
      <c r="J874" s="7"/>
      <c r="K874" s="7" t="str">
        <f>VLOOKUP($E874,Mapping!$E$11:$I$96,3,0)</f>
        <v>Replacement</v>
      </c>
      <c r="L874" s="7" t="str">
        <f>VLOOKUP($G874,Mapping!$E$140:$K$2771,5,0)</f>
        <v>Labour</v>
      </c>
      <c r="M874" s="7" t="str">
        <f>VLOOKUP($G874,Mapping!$E$140:$K$2771,7,0)</f>
        <v>ENDirect</v>
      </c>
      <c r="N874" s="7" t="str">
        <f>IFERROR(HLOOKUP(L874,'Calc|Weightings'!$K$5:$M$5,1,0),"Excl")</f>
        <v>Labour</v>
      </c>
      <c r="O874" s="7" t="str">
        <f>VLOOKUP(E874,Mapping!$E$11:$I$96,5,0)</f>
        <v>SCS</v>
      </c>
      <c r="Q874" s="33">
        <v>140</v>
      </c>
      <c r="R874" s="33" t="s">
        <v>2148</v>
      </c>
      <c r="S874" s="33">
        <v>639000</v>
      </c>
      <c r="T874" s="33" t="s">
        <v>2112</v>
      </c>
      <c r="U874" s="34">
        <v>52.236809999999998</v>
      </c>
      <c r="V874" s="7"/>
      <c r="W874" s="7" t="str">
        <f>VLOOKUP($Q874,Mapping!$E$11:$I$96,3,0)</f>
        <v>Public lighting Capex</v>
      </c>
      <c r="X874" s="7" t="str">
        <f>VLOOKUP($S874,Mapping!$E$140:$K$2771,5,0)</f>
        <v>PNS Corporate OH</v>
      </c>
      <c r="Y874" s="7" t="str">
        <f>VLOOKUP($S874,Mapping!$E$140:$K$2771,7,0)</f>
        <v>OH</v>
      </c>
      <c r="Z874" s="7" t="str">
        <f>IFERROR(HLOOKUP(X874,'Calc|Weightings'!$K$5:$M$5,1,0),"Excl")</f>
        <v>Excl</v>
      </c>
      <c r="AA874" s="7" t="str">
        <f>VLOOKUP(Q874,Mapping!$E$11:$I$96,5,0)</f>
        <v>Public Lighting</v>
      </c>
      <c r="AC874" s="111">
        <v>140</v>
      </c>
      <c r="AD874" s="111" t="s">
        <v>2148</v>
      </c>
      <c r="AE874" s="111">
        <v>613566</v>
      </c>
      <c r="AF874" s="111" t="s">
        <v>1482</v>
      </c>
      <c r="AG874" s="112">
        <v>11.09268</v>
      </c>
      <c r="AI874" s="7" t="str">
        <f>VLOOKUP($AC874,Mapping!$E$11:$I$96,3,0)</f>
        <v>Public lighting Capex</v>
      </c>
      <c r="AJ874" s="7" t="str">
        <f>VLOOKUP($AE874,Mapping!$E$140:$K$2771,5,0)</f>
        <v>Labour</v>
      </c>
      <c r="AK874" s="7" t="str">
        <f>VLOOKUP($AE874,Mapping!$E$140:$K$2771,7,0)</f>
        <v>ENDirect</v>
      </c>
      <c r="AL874" s="7" t="str">
        <f>IFERROR(HLOOKUP(AJ874,'Calc|Weightings'!$K$5:$M$5,1,0),"Excl")</f>
        <v>Labour</v>
      </c>
      <c r="AM874" s="7" t="str">
        <f>VLOOKUP(AC874,Mapping!$E$11:$I$96,5,0)</f>
        <v>Public Lighting</v>
      </c>
      <c r="AO874" s="134">
        <v>141</v>
      </c>
      <c r="AP874" s="135" t="s">
        <v>2149</v>
      </c>
      <c r="AQ874" s="135">
        <v>639000</v>
      </c>
      <c r="AR874" s="135" t="s">
        <v>2112</v>
      </c>
      <c r="AS874" s="136">
        <v>236.92271</v>
      </c>
      <c r="AU874" s="7" t="str">
        <f>VLOOKUP($AO874,Mapping!$E$11:$I$96,3,0)</f>
        <v>Replacement</v>
      </c>
      <c r="AV874" s="7" t="str">
        <f>VLOOKUP($AQ874,Mapping!$E$140:$K$2771,5,0)</f>
        <v>PNS Corporate OH</v>
      </c>
      <c r="AW874" s="7" t="str">
        <f>VLOOKUP($AQ874,Mapping!$E$140:$K$2771,7,0)</f>
        <v>OH</v>
      </c>
      <c r="AX874" s="7" t="str">
        <f>IFERROR(HLOOKUP(AV874,'Calc|Weightings'!$K$5:$M$5,1,0),"Excl")</f>
        <v>Excl</v>
      </c>
      <c r="AY874" s="7" t="str">
        <f>VLOOKUP(AO874,Mapping!$E$11:$I$96,5,0)</f>
        <v>SCS</v>
      </c>
    </row>
    <row r="875" spans="1:51" x14ac:dyDescent="0.2">
      <c r="A875" s="7"/>
      <c r="B875" s="7"/>
      <c r="C875" s="7"/>
      <c r="D875" s="7"/>
      <c r="E875" s="36">
        <v>139</v>
      </c>
      <c r="F875" s="36" t="s">
        <v>2146</v>
      </c>
      <c r="G875" s="36">
        <v>613258</v>
      </c>
      <c r="H875" s="36" t="s">
        <v>2356</v>
      </c>
      <c r="I875" s="37">
        <v>22.340890000000002</v>
      </c>
      <c r="J875" s="7"/>
      <c r="K875" s="7" t="str">
        <f>VLOOKUP($E875,Mapping!$E$11:$I$96,3,0)</f>
        <v>Replacement</v>
      </c>
      <c r="L875" s="7" t="str">
        <f>VLOOKUP($G875,Mapping!$E$140:$K$2771,5,0)</f>
        <v>Labour</v>
      </c>
      <c r="M875" s="7" t="str">
        <f>VLOOKUP($G875,Mapping!$E$140:$K$2771,7,0)</f>
        <v>ENDirect</v>
      </c>
      <c r="N875" s="7" t="str">
        <f>IFERROR(HLOOKUP(L875,'Calc|Weightings'!$K$5:$M$5,1,0),"Excl")</f>
        <v>Labour</v>
      </c>
      <c r="O875" s="7" t="str">
        <f>VLOOKUP(E875,Mapping!$E$11:$I$96,5,0)</f>
        <v>SCS</v>
      </c>
      <c r="Q875" s="33">
        <v>140</v>
      </c>
      <c r="R875" s="33" t="s">
        <v>2148</v>
      </c>
      <c r="S875" s="33">
        <v>639050</v>
      </c>
      <c r="T875" s="33" t="s">
        <v>2113</v>
      </c>
      <c r="U875" s="34">
        <v>5.0575299999999999</v>
      </c>
      <c r="V875" s="7"/>
      <c r="W875" s="7" t="str">
        <f>VLOOKUP($Q875,Mapping!$E$11:$I$96,3,0)</f>
        <v>Public lighting Capex</v>
      </c>
      <c r="X875" s="7" t="str">
        <f>VLOOKUP($S875,Mapping!$E$140:$K$2771,5,0)</f>
        <v>PNS Fleet &amp; Property OH</v>
      </c>
      <c r="Y875" s="7" t="str">
        <f>VLOOKUP($S875,Mapping!$E$140:$K$2771,7,0)</f>
        <v>OH</v>
      </c>
      <c r="Z875" s="7" t="str">
        <f>IFERROR(HLOOKUP(X875,'Calc|Weightings'!$K$5:$M$5,1,0),"Excl")</f>
        <v>Excl</v>
      </c>
      <c r="AA875" s="7" t="str">
        <f>VLOOKUP(Q875,Mapping!$E$11:$I$96,5,0)</f>
        <v>Public Lighting</v>
      </c>
      <c r="AC875" s="111">
        <v>140</v>
      </c>
      <c r="AD875" s="111" t="s">
        <v>2148</v>
      </c>
      <c r="AE875" s="111">
        <v>613567</v>
      </c>
      <c r="AF875" s="111" t="s">
        <v>1483</v>
      </c>
      <c r="AG875" s="112">
        <v>4.8761999999999999</v>
      </c>
      <c r="AI875" s="7" t="str">
        <f>VLOOKUP($AC875,Mapping!$E$11:$I$96,3,0)</f>
        <v>Public lighting Capex</v>
      </c>
      <c r="AJ875" s="7" t="str">
        <f>VLOOKUP($AE875,Mapping!$E$140:$K$2771,5,0)</f>
        <v>Labour</v>
      </c>
      <c r="AK875" s="7" t="str">
        <f>VLOOKUP($AE875,Mapping!$E$140:$K$2771,7,0)</f>
        <v>ENDirect</v>
      </c>
      <c r="AL875" s="7" t="str">
        <f>IFERROR(HLOOKUP(AJ875,'Calc|Weightings'!$K$5:$M$5,1,0),"Excl")</f>
        <v>Labour</v>
      </c>
      <c r="AM875" s="7" t="str">
        <f>VLOOKUP(AC875,Mapping!$E$11:$I$96,5,0)</f>
        <v>Public Lighting</v>
      </c>
      <c r="AO875" s="134">
        <v>141</v>
      </c>
      <c r="AP875" s="135" t="s">
        <v>2149</v>
      </c>
      <c r="AQ875" s="135">
        <v>639050</v>
      </c>
      <c r="AR875" s="135" t="s">
        <v>2113</v>
      </c>
      <c r="AS875" s="136">
        <v>59.656590000000001</v>
      </c>
      <c r="AU875" s="7" t="str">
        <f>VLOOKUP($AO875,Mapping!$E$11:$I$96,3,0)</f>
        <v>Replacement</v>
      </c>
      <c r="AV875" s="7" t="str">
        <f>VLOOKUP($AQ875,Mapping!$E$140:$K$2771,5,0)</f>
        <v>PNS Fleet &amp; Property OH</v>
      </c>
      <c r="AW875" s="7" t="str">
        <f>VLOOKUP($AQ875,Mapping!$E$140:$K$2771,7,0)</f>
        <v>OH</v>
      </c>
      <c r="AX875" s="7" t="str">
        <f>IFERROR(HLOOKUP(AV875,'Calc|Weightings'!$K$5:$M$5,1,0),"Excl")</f>
        <v>Excl</v>
      </c>
      <c r="AY875" s="7" t="str">
        <f>VLOOKUP(AO875,Mapping!$E$11:$I$96,5,0)</f>
        <v>SCS</v>
      </c>
    </row>
    <row r="876" spans="1:51" x14ac:dyDescent="0.2">
      <c r="A876" s="7"/>
      <c r="B876" s="7"/>
      <c r="C876" s="7"/>
      <c r="D876" s="7"/>
      <c r="E876" s="36">
        <v>139</v>
      </c>
      <c r="F876" s="36" t="s">
        <v>2146</v>
      </c>
      <c r="G876" s="36">
        <v>613259</v>
      </c>
      <c r="H876" s="36" t="s">
        <v>2359</v>
      </c>
      <c r="I876" s="37">
        <v>26.454910000000002</v>
      </c>
      <c r="J876" s="7"/>
      <c r="K876" s="7" t="str">
        <f>VLOOKUP($E876,Mapping!$E$11:$I$96,3,0)</f>
        <v>Replacement</v>
      </c>
      <c r="L876" s="7" t="str">
        <f>VLOOKUP($G876,Mapping!$E$140:$K$2771,5,0)</f>
        <v>Labour</v>
      </c>
      <c r="M876" s="7" t="str">
        <f>VLOOKUP($G876,Mapping!$E$140:$K$2771,7,0)</f>
        <v>ENDirect</v>
      </c>
      <c r="N876" s="7" t="str">
        <f>IFERROR(HLOOKUP(L876,'Calc|Weightings'!$K$5:$M$5,1,0),"Excl")</f>
        <v>Labour</v>
      </c>
      <c r="O876" s="7" t="str">
        <f>VLOOKUP(E876,Mapping!$E$11:$I$96,5,0)</f>
        <v>SCS</v>
      </c>
      <c r="Q876" s="33">
        <v>141</v>
      </c>
      <c r="R876" s="33" t="s">
        <v>2149</v>
      </c>
      <c r="S876" s="33">
        <v>520100</v>
      </c>
      <c r="T876" s="33" t="s">
        <v>2072</v>
      </c>
      <c r="U876" s="34">
        <v>363.89013</v>
      </c>
      <c r="V876" s="7"/>
      <c r="W876" s="7" t="str">
        <f>VLOOKUP($Q876,Mapping!$E$11:$I$96,3,0)</f>
        <v>Replacement</v>
      </c>
      <c r="X876" s="7" t="str">
        <f>VLOOKUP($S876,Mapping!$E$140:$K$2771,5,0)</f>
        <v>Materials</v>
      </c>
      <c r="Y876" s="7" t="str">
        <f>VLOOKUP($S876,Mapping!$E$140:$K$2771,7,0)</f>
        <v>ENDirect</v>
      </c>
      <c r="Z876" s="7" t="str">
        <f>IFERROR(HLOOKUP(X876,'Calc|Weightings'!$K$5:$M$5,1,0),"Excl")</f>
        <v>Materials</v>
      </c>
      <c r="AA876" s="7" t="str">
        <f>VLOOKUP(Q876,Mapping!$E$11:$I$96,5,0)</f>
        <v>SCS</v>
      </c>
      <c r="AC876" s="111">
        <v>140</v>
      </c>
      <c r="AD876" s="111" t="s">
        <v>2148</v>
      </c>
      <c r="AE876" s="111">
        <v>613570</v>
      </c>
      <c r="AF876" s="111" t="s">
        <v>1484</v>
      </c>
      <c r="AG876" s="112">
        <v>3.58263</v>
      </c>
      <c r="AI876" s="7" t="str">
        <f>VLOOKUP($AC876,Mapping!$E$11:$I$96,3,0)</f>
        <v>Public lighting Capex</v>
      </c>
      <c r="AJ876" s="7" t="str">
        <f>VLOOKUP($AE876,Mapping!$E$140:$K$2771,5,0)</f>
        <v>Labour</v>
      </c>
      <c r="AK876" s="7" t="str">
        <f>VLOOKUP($AE876,Mapping!$E$140:$K$2771,7,0)</f>
        <v>ENDirect</v>
      </c>
      <c r="AL876" s="7" t="str">
        <f>IFERROR(HLOOKUP(AJ876,'Calc|Weightings'!$K$5:$M$5,1,0),"Excl")</f>
        <v>Labour</v>
      </c>
      <c r="AM876" s="7" t="str">
        <f>VLOOKUP(AC876,Mapping!$E$11:$I$96,5,0)</f>
        <v>Public Lighting</v>
      </c>
      <c r="AO876" s="134">
        <v>141</v>
      </c>
      <c r="AP876" s="135" t="s">
        <v>2149</v>
      </c>
      <c r="AQ876" s="135">
        <v>613575</v>
      </c>
      <c r="AR876" s="135" t="s">
        <v>1489</v>
      </c>
      <c r="AS876" s="136">
        <v>-361.57481000000001</v>
      </c>
      <c r="AU876" s="7" t="str">
        <f>VLOOKUP($AO876,Mapping!$E$11:$I$96,3,0)</f>
        <v>Replacement</v>
      </c>
      <c r="AV876" s="7" t="str">
        <f>VLOOKUP($AQ876,Mapping!$E$140:$K$2771,5,0)</f>
        <v>Labour</v>
      </c>
      <c r="AW876" s="7" t="str">
        <f>VLOOKUP($AQ876,Mapping!$E$140:$K$2771,7,0)</f>
        <v>ENDirect</v>
      </c>
      <c r="AX876" s="7" t="str">
        <f>IFERROR(HLOOKUP(AV876,'Calc|Weightings'!$K$5:$M$5,1,0),"Excl")</f>
        <v>Labour</v>
      </c>
      <c r="AY876" s="7" t="str">
        <f>VLOOKUP(AO876,Mapping!$E$11:$I$96,5,0)</f>
        <v>SCS</v>
      </c>
    </row>
    <row r="877" spans="1:51" x14ac:dyDescent="0.2">
      <c r="A877" s="7"/>
      <c r="B877" s="7"/>
      <c r="C877" s="7"/>
      <c r="D877" s="7"/>
      <c r="E877" s="36">
        <v>139</v>
      </c>
      <c r="F877" s="36" t="s">
        <v>2146</v>
      </c>
      <c r="G877" s="36">
        <v>613268</v>
      </c>
      <c r="H877" s="36" t="s">
        <v>1335</v>
      </c>
      <c r="I877" s="37">
        <v>6.1057499999999996</v>
      </c>
      <c r="J877" s="7"/>
      <c r="K877" s="7" t="str">
        <f>VLOOKUP($E877,Mapping!$E$11:$I$96,3,0)</f>
        <v>Replacement</v>
      </c>
      <c r="L877" s="7" t="str">
        <f>VLOOKUP($G877,Mapping!$E$140:$K$2771,5,0)</f>
        <v>Labour</v>
      </c>
      <c r="M877" s="7" t="str">
        <f>VLOOKUP($G877,Mapping!$E$140:$K$2771,7,0)</f>
        <v>ENDirect</v>
      </c>
      <c r="N877" s="7" t="str">
        <f>IFERROR(HLOOKUP(L877,'Calc|Weightings'!$K$5:$M$5,1,0),"Excl")</f>
        <v>Labour</v>
      </c>
      <c r="O877" s="7" t="str">
        <f>VLOOKUP(E877,Mapping!$E$11:$I$96,5,0)</f>
        <v>SCS</v>
      </c>
      <c r="Q877" s="33">
        <v>141</v>
      </c>
      <c r="R877" s="33" t="s">
        <v>2149</v>
      </c>
      <c r="S877" s="33">
        <v>520200</v>
      </c>
      <c r="T877" s="33" t="s">
        <v>2073</v>
      </c>
      <c r="U877" s="34">
        <v>0.18398999999999999</v>
      </c>
      <c r="V877" s="7"/>
      <c r="W877" s="7" t="str">
        <f>VLOOKUP($Q877,Mapping!$E$11:$I$96,3,0)</f>
        <v>Replacement</v>
      </c>
      <c r="X877" s="7" t="str">
        <f>VLOOKUP($S877,Mapping!$E$140:$K$2771,5,0)</f>
        <v>Materials</v>
      </c>
      <c r="Y877" s="7" t="str">
        <f>VLOOKUP($S877,Mapping!$E$140:$K$2771,7,0)</f>
        <v>ENDirect</v>
      </c>
      <c r="Z877" s="7" t="str">
        <f>IFERROR(HLOOKUP(X877,'Calc|Weightings'!$K$5:$M$5,1,0),"Excl")</f>
        <v>Materials</v>
      </c>
      <c r="AA877" s="7" t="str">
        <f>VLOOKUP(Q877,Mapping!$E$11:$I$96,5,0)</f>
        <v>SCS</v>
      </c>
      <c r="AC877" s="111">
        <v>140</v>
      </c>
      <c r="AD877" s="111" t="s">
        <v>2148</v>
      </c>
      <c r="AE877" s="111">
        <v>613571</v>
      </c>
      <c r="AF877" s="111" t="s">
        <v>1485</v>
      </c>
      <c r="AG877" s="112">
        <v>0.50641999999999998</v>
      </c>
      <c r="AI877" s="7" t="str">
        <f>VLOOKUP($AC877,Mapping!$E$11:$I$96,3,0)</f>
        <v>Public lighting Capex</v>
      </c>
      <c r="AJ877" s="7" t="str">
        <f>VLOOKUP($AE877,Mapping!$E$140:$K$2771,5,0)</f>
        <v>Labour</v>
      </c>
      <c r="AK877" s="7" t="str">
        <f>VLOOKUP($AE877,Mapping!$E$140:$K$2771,7,0)</f>
        <v>ENDirect</v>
      </c>
      <c r="AL877" s="7" t="str">
        <f>IFERROR(HLOOKUP(AJ877,'Calc|Weightings'!$K$5:$M$5,1,0),"Excl")</f>
        <v>Labour</v>
      </c>
      <c r="AM877" s="7" t="str">
        <f>VLOOKUP(AC877,Mapping!$E$11:$I$96,5,0)</f>
        <v>Public Lighting</v>
      </c>
      <c r="AO877" s="134">
        <v>141</v>
      </c>
      <c r="AP877" s="135" t="s">
        <v>2149</v>
      </c>
      <c r="AQ877" s="135">
        <v>613390</v>
      </c>
      <c r="AR877" s="135" t="s">
        <v>2141</v>
      </c>
      <c r="AS877" s="136">
        <v>0</v>
      </c>
      <c r="AU877" s="7" t="str">
        <f>VLOOKUP($AO877,Mapping!$E$11:$I$96,3,0)</f>
        <v>Replacement</v>
      </c>
      <c r="AV877" s="7" t="str">
        <f>VLOOKUP($AQ877,Mapping!$E$140:$K$2771,5,0)</f>
        <v>Contracts</v>
      </c>
      <c r="AW877" s="7" t="str">
        <f>VLOOKUP($AQ877,Mapping!$E$140:$K$2771,7,0)</f>
        <v>ENDirect</v>
      </c>
      <c r="AX877" s="7" t="str">
        <f>IFERROR(HLOOKUP(AV877,'Calc|Weightings'!$K$5:$M$5,1,0),"Excl")</f>
        <v>Contracts</v>
      </c>
      <c r="AY877" s="7" t="str">
        <f>VLOOKUP(AO877,Mapping!$E$11:$I$96,5,0)</f>
        <v>SCS</v>
      </c>
    </row>
    <row r="878" spans="1:51" x14ac:dyDescent="0.2">
      <c r="A878" s="7"/>
      <c r="B878" s="7"/>
      <c r="C878" s="7"/>
      <c r="D878" s="7"/>
      <c r="E878" s="36">
        <v>139</v>
      </c>
      <c r="F878" s="36" t="s">
        <v>2146</v>
      </c>
      <c r="G878" s="36">
        <v>613278</v>
      </c>
      <c r="H878" s="36" t="s">
        <v>2357</v>
      </c>
      <c r="I878" s="37">
        <v>8.1194299999999995</v>
      </c>
      <c r="J878" s="7"/>
      <c r="K878" s="7" t="str">
        <f>VLOOKUP($E878,Mapping!$E$11:$I$96,3,0)</f>
        <v>Replacement</v>
      </c>
      <c r="L878" s="7" t="str">
        <f>VLOOKUP($G878,Mapping!$E$140:$K$2771,5,0)</f>
        <v>Labour</v>
      </c>
      <c r="M878" s="7" t="str">
        <f>VLOOKUP($G878,Mapping!$E$140:$K$2771,7,0)</f>
        <v>ENDirect</v>
      </c>
      <c r="N878" s="7" t="str">
        <f>IFERROR(HLOOKUP(L878,'Calc|Weightings'!$K$5:$M$5,1,0),"Excl")</f>
        <v>Labour</v>
      </c>
      <c r="O878" s="7" t="str">
        <f>VLOOKUP(E878,Mapping!$E$11:$I$96,5,0)</f>
        <v>SCS</v>
      </c>
      <c r="Q878" s="33">
        <v>141</v>
      </c>
      <c r="R878" s="33" t="s">
        <v>2149</v>
      </c>
      <c r="S878" s="33">
        <v>523100</v>
      </c>
      <c r="T878" s="33" t="s">
        <v>2074</v>
      </c>
      <c r="U878" s="34">
        <v>6.0604500000000003</v>
      </c>
      <c r="V878" s="7"/>
      <c r="W878" s="7" t="str">
        <f>VLOOKUP($Q878,Mapping!$E$11:$I$96,3,0)</f>
        <v>Replacement</v>
      </c>
      <c r="X878" s="7" t="str">
        <f>VLOOKUP($S878,Mapping!$E$140:$K$2771,5,0)</f>
        <v>Materials</v>
      </c>
      <c r="Y878" s="7" t="str">
        <f>VLOOKUP($S878,Mapping!$E$140:$K$2771,7,0)</f>
        <v>ENDirect</v>
      </c>
      <c r="Z878" s="7" t="str">
        <f>IFERROR(HLOOKUP(X878,'Calc|Weightings'!$K$5:$M$5,1,0),"Excl")</f>
        <v>Materials</v>
      </c>
      <c r="AA878" s="7" t="str">
        <f>VLOOKUP(Q878,Mapping!$E$11:$I$96,5,0)</f>
        <v>SCS</v>
      </c>
      <c r="AC878" s="111">
        <v>140</v>
      </c>
      <c r="AD878" s="111" t="s">
        <v>2148</v>
      </c>
      <c r="AE878" s="111">
        <v>613574</v>
      </c>
      <c r="AF878" s="111" t="s">
        <v>1488</v>
      </c>
      <c r="AG878" s="112">
        <v>17.53923</v>
      </c>
      <c r="AI878" s="7" t="str">
        <f>VLOOKUP($AC878,Mapping!$E$11:$I$96,3,0)</f>
        <v>Public lighting Capex</v>
      </c>
      <c r="AJ878" s="7" t="str">
        <f>VLOOKUP($AE878,Mapping!$E$140:$K$2771,5,0)</f>
        <v>Labour</v>
      </c>
      <c r="AK878" s="7" t="str">
        <f>VLOOKUP($AE878,Mapping!$E$140:$K$2771,7,0)</f>
        <v>ENDirect</v>
      </c>
      <c r="AL878" s="7" t="str">
        <f>IFERROR(HLOOKUP(AJ878,'Calc|Weightings'!$K$5:$M$5,1,0),"Excl")</f>
        <v>Labour</v>
      </c>
      <c r="AM878" s="7" t="str">
        <f>VLOOKUP(AC878,Mapping!$E$11:$I$96,5,0)</f>
        <v>Public Lighting</v>
      </c>
      <c r="AO878" s="134">
        <v>141</v>
      </c>
      <c r="AP878" s="135" t="s">
        <v>2149</v>
      </c>
      <c r="AQ878" s="135">
        <v>635001</v>
      </c>
      <c r="AR878" s="135" t="s">
        <v>1929</v>
      </c>
      <c r="AS878" s="136">
        <v>-19.045199999999998</v>
      </c>
      <c r="AU878" s="7" t="str">
        <f>VLOOKUP($AO878,Mapping!$E$11:$I$96,3,0)</f>
        <v>Replacement</v>
      </c>
      <c r="AV878" s="7" t="str">
        <f>VLOOKUP($AQ878,Mapping!$E$140:$K$2771,5,0)</f>
        <v>PNS MG</v>
      </c>
      <c r="AW878" s="7" t="str">
        <f>VLOOKUP($AQ878,Mapping!$E$140:$K$2771,7,0)</f>
        <v>ENDirect</v>
      </c>
      <c r="AX878" s="7" t="str">
        <f>IFERROR(HLOOKUP(AV878,'Calc|Weightings'!$K$5:$M$5,1,0),"Excl")</f>
        <v>Excl</v>
      </c>
      <c r="AY878" s="7" t="str">
        <f>VLOOKUP(AO878,Mapping!$E$11:$I$96,5,0)</f>
        <v>SCS</v>
      </c>
    </row>
    <row r="879" spans="1:51" x14ac:dyDescent="0.2">
      <c r="A879" s="7"/>
      <c r="B879" s="7"/>
      <c r="C879" s="7"/>
      <c r="D879" s="7"/>
      <c r="E879" s="36">
        <v>139</v>
      </c>
      <c r="F879" s="36" t="s">
        <v>2146</v>
      </c>
      <c r="G879" s="36">
        <v>613279</v>
      </c>
      <c r="H879" s="36" t="s">
        <v>2360</v>
      </c>
      <c r="I879" s="37">
        <v>14.26507</v>
      </c>
      <c r="J879" s="7"/>
      <c r="K879" s="7" t="str">
        <f>VLOOKUP($E879,Mapping!$E$11:$I$96,3,0)</f>
        <v>Replacement</v>
      </c>
      <c r="L879" s="7" t="str">
        <f>VLOOKUP($G879,Mapping!$E$140:$K$2771,5,0)</f>
        <v>Labour</v>
      </c>
      <c r="M879" s="7" t="str">
        <f>VLOOKUP($G879,Mapping!$E$140:$K$2771,7,0)</f>
        <v>ENDirect</v>
      </c>
      <c r="N879" s="7" t="str">
        <f>IFERROR(HLOOKUP(L879,'Calc|Weightings'!$K$5:$M$5,1,0),"Excl")</f>
        <v>Labour</v>
      </c>
      <c r="O879" s="7" t="str">
        <f>VLOOKUP(E879,Mapping!$E$11:$I$96,5,0)</f>
        <v>SCS</v>
      </c>
      <c r="Q879" s="33">
        <v>141</v>
      </c>
      <c r="R879" s="33" t="s">
        <v>2149</v>
      </c>
      <c r="S879" s="33">
        <v>523300</v>
      </c>
      <c r="T879" s="33" t="s">
        <v>2075</v>
      </c>
      <c r="U879" s="34">
        <v>0.45041999999999999</v>
      </c>
      <c r="V879" s="7"/>
      <c r="W879" s="7" t="str">
        <f>VLOOKUP($Q879,Mapping!$E$11:$I$96,3,0)</f>
        <v>Replacement</v>
      </c>
      <c r="X879" s="7" t="str">
        <f>VLOOKUP($S879,Mapping!$E$140:$K$2771,5,0)</f>
        <v>Materials</v>
      </c>
      <c r="Y879" s="7" t="str">
        <f>VLOOKUP($S879,Mapping!$E$140:$K$2771,7,0)</f>
        <v>ENDirect</v>
      </c>
      <c r="Z879" s="7" t="str">
        <f>IFERROR(HLOOKUP(X879,'Calc|Weightings'!$K$5:$M$5,1,0),"Excl")</f>
        <v>Materials</v>
      </c>
      <c r="AA879" s="7" t="str">
        <f>VLOOKUP(Q879,Mapping!$E$11:$I$96,5,0)</f>
        <v>SCS</v>
      </c>
      <c r="AC879" s="111">
        <v>140</v>
      </c>
      <c r="AD879" s="111" t="s">
        <v>2148</v>
      </c>
      <c r="AE879" s="111">
        <v>613575</v>
      </c>
      <c r="AF879" s="111" t="s">
        <v>1489</v>
      </c>
      <c r="AG879" s="112">
        <v>2.0921799999999999</v>
      </c>
      <c r="AI879" s="7" t="str">
        <f>VLOOKUP($AC879,Mapping!$E$11:$I$96,3,0)</f>
        <v>Public lighting Capex</v>
      </c>
      <c r="AJ879" s="7" t="str">
        <f>VLOOKUP($AE879,Mapping!$E$140:$K$2771,5,0)</f>
        <v>Labour</v>
      </c>
      <c r="AK879" s="7" t="str">
        <f>VLOOKUP($AE879,Mapping!$E$140:$K$2771,7,0)</f>
        <v>ENDirect</v>
      </c>
      <c r="AL879" s="7" t="str">
        <f>IFERROR(HLOOKUP(AJ879,'Calc|Weightings'!$K$5:$M$5,1,0),"Excl")</f>
        <v>Labour</v>
      </c>
      <c r="AM879" s="7" t="str">
        <f>VLOOKUP(AC879,Mapping!$E$11:$I$96,5,0)</f>
        <v>Public Lighting</v>
      </c>
      <c r="AO879" s="134">
        <v>141</v>
      </c>
      <c r="AP879" s="135" t="s">
        <v>2149</v>
      </c>
      <c r="AQ879" s="135">
        <v>636001</v>
      </c>
      <c r="AR879" s="135" t="s">
        <v>2111</v>
      </c>
      <c r="AS879" s="136">
        <v>-54.842859999999995</v>
      </c>
      <c r="AU879" s="7" t="str">
        <f>VLOOKUP($AO879,Mapping!$E$11:$I$96,3,0)</f>
        <v>Replacement</v>
      </c>
      <c r="AV879" s="7" t="str">
        <f>VLOOKUP($AQ879,Mapping!$E$140:$K$2771,5,0)</f>
        <v>System Control OH</v>
      </c>
      <c r="AW879" s="7" t="str">
        <f>VLOOKUP($AQ879,Mapping!$E$140:$K$2771,7,0)</f>
        <v>OH</v>
      </c>
      <c r="AX879" s="7" t="str">
        <f>IFERROR(HLOOKUP(AV879,'Calc|Weightings'!$K$5:$M$5,1,0),"Excl")</f>
        <v>Excl</v>
      </c>
      <c r="AY879" s="7" t="str">
        <f>VLOOKUP(AO879,Mapping!$E$11:$I$96,5,0)</f>
        <v>SCS</v>
      </c>
    </row>
    <row r="880" spans="1:51" x14ac:dyDescent="0.2">
      <c r="A880" s="7"/>
      <c r="B880" s="7"/>
      <c r="C880" s="7"/>
      <c r="D880" s="7"/>
      <c r="E880" s="36">
        <v>139</v>
      </c>
      <c r="F880" s="36" t="s">
        <v>2146</v>
      </c>
      <c r="G880" s="36">
        <v>613318</v>
      </c>
      <c r="H880" s="36" t="s">
        <v>1360</v>
      </c>
      <c r="I880" s="37">
        <v>7.4852400000000001</v>
      </c>
      <c r="J880" s="7"/>
      <c r="K880" s="7" t="str">
        <f>VLOOKUP($E880,Mapping!$E$11:$I$96,3,0)</f>
        <v>Replacement</v>
      </c>
      <c r="L880" s="7" t="str">
        <f>VLOOKUP($G880,Mapping!$E$140:$K$2771,5,0)</f>
        <v>Labour</v>
      </c>
      <c r="M880" s="7" t="str">
        <f>VLOOKUP($G880,Mapping!$E$140:$K$2771,7,0)</f>
        <v>ENDirect</v>
      </c>
      <c r="N880" s="7" t="str">
        <f>IFERROR(HLOOKUP(L880,'Calc|Weightings'!$K$5:$M$5,1,0),"Excl")</f>
        <v>Labour</v>
      </c>
      <c r="O880" s="7" t="str">
        <f>VLOOKUP(E880,Mapping!$E$11:$I$96,5,0)</f>
        <v>SCS</v>
      </c>
      <c r="Q880" s="33">
        <v>141</v>
      </c>
      <c r="R880" s="33" t="s">
        <v>2149</v>
      </c>
      <c r="S880" s="33">
        <v>531000</v>
      </c>
      <c r="T880" s="33" t="s">
        <v>242</v>
      </c>
      <c r="U880" s="34">
        <v>1.7566900000000001</v>
      </c>
      <c r="V880" s="7"/>
      <c r="W880" s="7" t="str">
        <f>VLOOKUP($Q880,Mapping!$E$11:$I$96,3,0)</f>
        <v>Replacement</v>
      </c>
      <c r="X880" s="7" t="str">
        <f>VLOOKUP($S880,Mapping!$E$140:$K$2771,5,0)</f>
        <v>Contracts</v>
      </c>
      <c r="Y880" s="7" t="str">
        <f>VLOOKUP($S880,Mapping!$E$140:$K$2771,7,0)</f>
        <v>ENDirect</v>
      </c>
      <c r="Z880" s="7" t="str">
        <f>IFERROR(HLOOKUP(X880,'Calc|Weightings'!$K$5:$M$5,1,0),"Excl")</f>
        <v>Contracts</v>
      </c>
      <c r="AA880" s="7" t="str">
        <f>VLOOKUP(Q880,Mapping!$E$11:$I$96,5,0)</f>
        <v>SCS</v>
      </c>
      <c r="AC880" s="111">
        <v>140</v>
      </c>
      <c r="AD880" s="111" t="s">
        <v>2148</v>
      </c>
      <c r="AE880" s="111">
        <v>613576</v>
      </c>
      <c r="AF880" s="111" t="s">
        <v>1490</v>
      </c>
      <c r="AG880" s="112">
        <v>0.41424</v>
      </c>
      <c r="AI880" s="7" t="str">
        <f>VLOOKUP($AC880,Mapping!$E$11:$I$96,3,0)</f>
        <v>Public lighting Capex</v>
      </c>
      <c r="AJ880" s="7" t="str">
        <f>VLOOKUP($AE880,Mapping!$E$140:$K$2771,5,0)</f>
        <v>Labour</v>
      </c>
      <c r="AK880" s="7" t="str">
        <f>VLOOKUP($AE880,Mapping!$E$140:$K$2771,7,0)</f>
        <v>ENDirect</v>
      </c>
      <c r="AL880" s="7" t="str">
        <f>IFERROR(HLOOKUP(AJ880,'Calc|Weightings'!$K$5:$M$5,1,0),"Excl")</f>
        <v>Labour</v>
      </c>
      <c r="AM880" s="7" t="str">
        <f>VLOOKUP(AC880,Mapping!$E$11:$I$96,5,0)</f>
        <v>Public Lighting</v>
      </c>
      <c r="AO880" s="134">
        <v>143</v>
      </c>
      <c r="AP880" s="135" t="s">
        <v>2153</v>
      </c>
      <c r="AQ880" s="135">
        <v>503281</v>
      </c>
      <c r="AR880" s="135" t="s">
        <v>2198</v>
      </c>
      <c r="AS880" s="136">
        <v>1.8180000000000002E-2</v>
      </c>
      <c r="AU880" s="7" t="str">
        <f>VLOOKUP($AO880,Mapping!$E$11:$I$96,3,0)</f>
        <v>Replacement</v>
      </c>
      <c r="AV880" s="7" t="str">
        <f>VLOOKUP($AQ880,Mapping!$E$140:$K$2771,5,0)</f>
        <v>Contracts</v>
      </c>
      <c r="AW880" s="7" t="str">
        <f>VLOOKUP($AQ880,Mapping!$E$140:$K$2771,7,0)</f>
        <v>ENDirect</v>
      </c>
      <c r="AX880" s="7" t="str">
        <f>IFERROR(HLOOKUP(AV880,'Calc|Weightings'!$K$5:$M$5,1,0),"Excl")</f>
        <v>Contracts</v>
      </c>
      <c r="AY880" s="7" t="str">
        <f>VLOOKUP(AO880,Mapping!$E$11:$I$96,5,0)</f>
        <v>SCS</v>
      </c>
    </row>
    <row r="881" spans="1:51" x14ac:dyDescent="0.2">
      <c r="A881" s="7"/>
      <c r="B881" s="7"/>
      <c r="C881" s="7"/>
      <c r="D881" s="7"/>
      <c r="E881" s="36">
        <v>139</v>
      </c>
      <c r="F881" s="36" t="s">
        <v>2146</v>
      </c>
      <c r="G881" s="36">
        <v>613319</v>
      </c>
      <c r="H881" s="36" t="s">
        <v>2358</v>
      </c>
      <c r="I881" s="37">
        <v>1.8649899999999999</v>
      </c>
      <c r="J881" s="7"/>
      <c r="K881" s="7" t="str">
        <f>VLOOKUP($E881,Mapping!$E$11:$I$96,3,0)</f>
        <v>Replacement</v>
      </c>
      <c r="L881" s="7" t="str">
        <f>VLOOKUP($G881,Mapping!$E$140:$K$2771,5,0)</f>
        <v>Labour</v>
      </c>
      <c r="M881" s="7" t="str">
        <f>VLOOKUP($G881,Mapping!$E$140:$K$2771,7,0)</f>
        <v>ENDirect</v>
      </c>
      <c r="N881" s="7" t="str">
        <f>IFERROR(HLOOKUP(L881,'Calc|Weightings'!$K$5:$M$5,1,0),"Excl")</f>
        <v>Labour</v>
      </c>
      <c r="O881" s="7" t="str">
        <f>VLOOKUP(E881,Mapping!$E$11:$I$96,5,0)</f>
        <v>SCS</v>
      </c>
      <c r="Q881" s="33">
        <v>141</v>
      </c>
      <c r="R881" s="33" t="s">
        <v>2149</v>
      </c>
      <c r="S881" s="33">
        <v>531020</v>
      </c>
      <c r="T881" s="33" t="s">
        <v>219</v>
      </c>
      <c r="U881" s="34">
        <v>1.26152</v>
      </c>
      <c r="V881" s="7"/>
      <c r="W881" s="7" t="str">
        <f>VLOOKUP($Q881,Mapping!$E$11:$I$96,3,0)</f>
        <v>Replacement</v>
      </c>
      <c r="X881" s="7" t="str">
        <f>VLOOKUP($S881,Mapping!$E$140:$K$2771,5,0)</f>
        <v>Labour</v>
      </c>
      <c r="Y881" s="7" t="str">
        <f>VLOOKUP($S881,Mapping!$E$140:$K$2771,7,0)</f>
        <v>ENDirect</v>
      </c>
      <c r="Z881" s="7" t="str">
        <f>IFERROR(HLOOKUP(X881,'Calc|Weightings'!$K$5:$M$5,1,0),"Excl")</f>
        <v>Labour</v>
      </c>
      <c r="AA881" s="7" t="str">
        <f>VLOOKUP(Q881,Mapping!$E$11:$I$96,5,0)</f>
        <v>SCS</v>
      </c>
      <c r="AC881" s="111">
        <v>140</v>
      </c>
      <c r="AD881" s="111" t="s">
        <v>2148</v>
      </c>
      <c r="AE881" s="111">
        <v>613800</v>
      </c>
      <c r="AF881" s="111" t="s">
        <v>2142</v>
      </c>
      <c r="AG881" s="112">
        <v>-1.02261</v>
      </c>
      <c r="AI881" s="7" t="str">
        <f>VLOOKUP($AC881,Mapping!$E$11:$I$96,3,0)</f>
        <v>Public lighting Capex</v>
      </c>
      <c r="AJ881" s="7" t="str">
        <f>VLOOKUP($AE881,Mapping!$E$140:$K$2771,5,0)</f>
        <v>Materials</v>
      </c>
      <c r="AK881" s="7" t="str">
        <f>VLOOKUP($AE881,Mapping!$E$140:$K$2771,7,0)</f>
        <v>ENDirect</v>
      </c>
      <c r="AL881" s="7" t="str">
        <f>IFERROR(HLOOKUP(AJ881,'Calc|Weightings'!$K$5:$M$5,1,0),"Excl")</f>
        <v>Materials</v>
      </c>
      <c r="AM881" s="7" t="str">
        <f>VLOOKUP(AC881,Mapping!$E$11:$I$96,5,0)</f>
        <v>Public Lighting</v>
      </c>
      <c r="AO881" s="134">
        <v>143</v>
      </c>
      <c r="AP881" s="135" t="s">
        <v>2153</v>
      </c>
      <c r="AQ881" s="135">
        <v>520100</v>
      </c>
      <c r="AR881" s="135" t="s">
        <v>2072</v>
      </c>
      <c r="AS881" s="136">
        <v>208.11150000000001</v>
      </c>
      <c r="AU881" s="7" t="str">
        <f>VLOOKUP($AO881,Mapping!$E$11:$I$96,3,0)</f>
        <v>Replacement</v>
      </c>
      <c r="AV881" s="7" t="str">
        <f>VLOOKUP($AQ881,Mapping!$E$140:$K$2771,5,0)</f>
        <v>Materials</v>
      </c>
      <c r="AW881" s="7" t="str">
        <f>VLOOKUP($AQ881,Mapping!$E$140:$K$2771,7,0)</f>
        <v>ENDirect</v>
      </c>
      <c r="AX881" s="7" t="str">
        <f>IFERROR(HLOOKUP(AV881,'Calc|Weightings'!$K$5:$M$5,1,0),"Excl")</f>
        <v>Materials</v>
      </c>
      <c r="AY881" s="7" t="str">
        <f>VLOOKUP(AO881,Mapping!$E$11:$I$96,5,0)</f>
        <v>SCS</v>
      </c>
    </row>
    <row r="882" spans="1:51" x14ac:dyDescent="0.2">
      <c r="A882" s="7"/>
      <c r="B882" s="7"/>
      <c r="C882" s="7"/>
      <c r="D882" s="7"/>
      <c r="E882" s="36">
        <v>139</v>
      </c>
      <c r="F882" s="36" t="s">
        <v>2146</v>
      </c>
      <c r="G882" s="36">
        <v>613350</v>
      </c>
      <c r="H882" s="36" t="s">
        <v>2096</v>
      </c>
      <c r="I882" s="37">
        <v>0.68049000000000004</v>
      </c>
      <c r="J882" s="7"/>
      <c r="K882" s="7" t="str">
        <f>VLOOKUP($E882,Mapping!$E$11:$I$96,3,0)</f>
        <v>Replacement</v>
      </c>
      <c r="L882" s="7" t="str">
        <f>VLOOKUP($G882,Mapping!$E$140:$K$2771,5,0)</f>
        <v>Labour</v>
      </c>
      <c r="M882" s="7" t="str">
        <f>VLOOKUP($G882,Mapping!$E$140:$K$2771,7,0)</f>
        <v>ENDirect</v>
      </c>
      <c r="N882" s="7" t="str">
        <f>IFERROR(HLOOKUP(L882,'Calc|Weightings'!$K$5:$M$5,1,0),"Excl")</f>
        <v>Labour</v>
      </c>
      <c r="O882" s="7" t="str">
        <f>VLOOKUP(E882,Mapping!$E$11:$I$96,5,0)</f>
        <v>SCS</v>
      </c>
      <c r="Q882" s="33">
        <v>141</v>
      </c>
      <c r="R882" s="33" t="s">
        <v>2149</v>
      </c>
      <c r="S882" s="33">
        <v>531035</v>
      </c>
      <c r="T882" s="33" t="s">
        <v>244</v>
      </c>
      <c r="U882" s="34">
        <v>2.5680000000000001</v>
      </c>
      <c r="V882" s="7"/>
      <c r="W882" s="7" t="str">
        <f>VLOOKUP($Q882,Mapping!$E$11:$I$96,3,0)</f>
        <v>Replacement</v>
      </c>
      <c r="X882" s="7" t="str">
        <f>VLOOKUP($S882,Mapping!$E$140:$K$2771,5,0)</f>
        <v>Labour</v>
      </c>
      <c r="Y882" s="7" t="str">
        <f>VLOOKUP($S882,Mapping!$E$140:$K$2771,7,0)</f>
        <v>ENDirect</v>
      </c>
      <c r="Z882" s="7" t="str">
        <f>IFERROR(HLOOKUP(X882,'Calc|Weightings'!$K$5:$M$5,1,0),"Excl")</f>
        <v>Labour</v>
      </c>
      <c r="AA882" s="7" t="str">
        <f>VLOOKUP(Q882,Mapping!$E$11:$I$96,5,0)</f>
        <v>SCS</v>
      </c>
      <c r="AC882" s="111">
        <v>140</v>
      </c>
      <c r="AD882" s="111" t="s">
        <v>2148</v>
      </c>
      <c r="AE882" s="111">
        <v>634001</v>
      </c>
      <c r="AF882" s="111" t="s">
        <v>2110</v>
      </c>
      <c r="AG882" s="112">
        <v>73.695589999999996</v>
      </c>
      <c r="AI882" s="7" t="str">
        <f>VLOOKUP($AC882,Mapping!$E$11:$I$96,3,0)</f>
        <v>Public lighting Capex</v>
      </c>
      <c r="AJ882" s="7" t="str">
        <f>VLOOKUP($AE882,Mapping!$E$140:$K$2771,5,0)</f>
        <v>Local OH</v>
      </c>
      <c r="AK882" s="7" t="str">
        <f>VLOOKUP($AE882,Mapping!$E$140:$K$2771,7,0)</f>
        <v>OH</v>
      </c>
      <c r="AL882" s="7" t="str">
        <f>IFERROR(HLOOKUP(AJ882,'Calc|Weightings'!$K$5:$M$5,1,0),"Excl")</f>
        <v>Excl</v>
      </c>
      <c r="AM882" s="7" t="str">
        <f>VLOOKUP(AC882,Mapping!$E$11:$I$96,5,0)</f>
        <v>Public Lighting</v>
      </c>
      <c r="AO882" s="134">
        <v>143</v>
      </c>
      <c r="AP882" s="135" t="s">
        <v>2153</v>
      </c>
      <c r="AQ882" s="135">
        <v>520200</v>
      </c>
      <c r="AR882" s="135" t="s">
        <v>2073</v>
      </c>
      <c r="AS882" s="136">
        <v>10.1625</v>
      </c>
      <c r="AU882" s="7" t="str">
        <f>VLOOKUP($AO882,Mapping!$E$11:$I$96,3,0)</f>
        <v>Replacement</v>
      </c>
      <c r="AV882" s="7" t="str">
        <f>VLOOKUP($AQ882,Mapping!$E$140:$K$2771,5,0)</f>
        <v>Materials</v>
      </c>
      <c r="AW882" s="7" t="str">
        <f>VLOOKUP($AQ882,Mapping!$E$140:$K$2771,7,0)</f>
        <v>ENDirect</v>
      </c>
      <c r="AX882" s="7" t="str">
        <f>IFERROR(HLOOKUP(AV882,'Calc|Weightings'!$K$5:$M$5,1,0),"Excl")</f>
        <v>Materials</v>
      </c>
      <c r="AY882" s="7" t="str">
        <f>VLOOKUP(AO882,Mapping!$E$11:$I$96,5,0)</f>
        <v>SCS</v>
      </c>
    </row>
    <row r="883" spans="1:51" x14ac:dyDescent="0.2">
      <c r="A883" s="7"/>
      <c r="B883" s="7"/>
      <c r="C883" s="7"/>
      <c r="D883" s="7"/>
      <c r="E883" s="36">
        <v>139</v>
      </c>
      <c r="F883" s="36" t="s">
        <v>2146</v>
      </c>
      <c r="G883" s="36">
        <v>613360</v>
      </c>
      <c r="H883" s="36" t="s">
        <v>2097</v>
      </c>
      <c r="I883" s="37">
        <v>0.52022999999999997</v>
      </c>
      <c r="J883" s="7"/>
      <c r="K883" s="7" t="str">
        <f>VLOOKUP($E883,Mapping!$E$11:$I$96,3,0)</f>
        <v>Replacement</v>
      </c>
      <c r="L883" s="7" t="str">
        <f>VLOOKUP($G883,Mapping!$E$140:$K$2771,5,0)</f>
        <v>Labour</v>
      </c>
      <c r="M883" s="7" t="str">
        <f>VLOOKUP($G883,Mapping!$E$140:$K$2771,7,0)</f>
        <v>ENDirect</v>
      </c>
      <c r="N883" s="7" t="str">
        <f>IFERROR(HLOOKUP(L883,'Calc|Weightings'!$K$5:$M$5,1,0),"Excl")</f>
        <v>Labour</v>
      </c>
      <c r="O883" s="7" t="str">
        <f>VLOOKUP(E883,Mapping!$E$11:$I$96,5,0)</f>
        <v>SCS</v>
      </c>
      <c r="Q883" s="33">
        <v>141</v>
      </c>
      <c r="R883" s="33" t="s">
        <v>2149</v>
      </c>
      <c r="S883" s="33">
        <v>531200</v>
      </c>
      <c r="T883" s="33" t="s">
        <v>250</v>
      </c>
      <c r="U883" s="34">
        <v>1.3919999999999999</v>
      </c>
      <c r="V883" s="7"/>
      <c r="W883" s="7" t="str">
        <f>VLOOKUP($Q883,Mapping!$E$11:$I$96,3,0)</f>
        <v>Replacement</v>
      </c>
      <c r="X883" s="7" t="str">
        <f>VLOOKUP($S883,Mapping!$E$140:$K$2771,5,0)</f>
        <v>Contracts</v>
      </c>
      <c r="Y883" s="7" t="str">
        <f>VLOOKUP($S883,Mapping!$E$140:$K$2771,7,0)</f>
        <v>ENDirect</v>
      </c>
      <c r="Z883" s="7" t="str">
        <f>IFERROR(HLOOKUP(X883,'Calc|Weightings'!$K$5:$M$5,1,0),"Excl")</f>
        <v>Contracts</v>
      </c>
      <c r="AA883" s="7" t="str">
        <f>VLOOKUP(Q883,Mapping!$E$11:$I$96,5,0)</f>
        <v>SCS</v>
      </c>
      <c r="AC883" s="111">
        <v>140</v>
      </c>
      <c r="AD883" s="111" t="s">
        <v>2148</v>
      </c>
      <c r="AE883" s="111">
        <v>635001</v>
      </c>
      <c r="AF883" s="111" t="s">
        <v>1929</v>
      </c>
      <c r="AG883" s="112">
        <v>39.917700000000004</v>
      </c>
      <c r="AI883" s="7" t="str">
        <f>VLOOKUP($AC883,Mapping!$E$11:$I$96,3,0)</f>
        <v>Public lighting Capex</v>
      </c>
      <c r="AJ883" s="7" t="str">
        <f>VLOOKUP($AE883,Mapping!$E$140:$K$2771,5,0)</f>
        <v>PNS MG</v>
      </c>
      <c r="AK883" s="7" t="str">
        <f>VLOOKUP($AE883,Mapping!$E$140:$K$2771,7,0)</f>
        <v>ENDirect</v>
      </c>
      <c r="AL883" s="7" t="str">
        <f>IFERROR(HLOOKUP(AJ883,'Calc|Weightings'!$K$5:$M$5,1,0),"Excl")</f>
        <v>Excl</v>
      </c>
      <c r="AM883" s="7" t="str">
        <f>VLOOKUP(AC883,Mapping!$E$11:$I$96,5,0)</f>
        <v>Public Lighting</v>
      </c>
      <c r="AO883" s="134">
        <v>143</v>
      </c>
      <c r="AP883" s="135" t="s">
        <v>2153</v>
      </c>
      <c r="AQ883" s="135">
        <v>523100</v>
      </c>
      <c r="AR883" s="135" t="s">
        <v>2074</v>
      </c>
      <c r="AS883" s="136">
        <v>0.62455000000000005</v>
      </c>
      <c r="AU883" s="7" t="str">
        <f>VLOOKUP($AO883,Mapping!$E$11:$I$96,3,0)</f>
        <v>Replacement</v>
      </c>
      <c r="AV883" s="7" t="str">
        <f>VLOOKUP($AQ883,Mapping!$E$140:$K$2771,5,0)</f>
        <v>Materials</v>
      </c>
      <c r="AW883" s="7" t="str">
        <f>VLOOKUP($AQ883,Mapping!$E$140:$K$2771,7,0)</f>
        <v>ENDirect</v>
      </c>
      <c r="AX883" s="7" t="str">
        <f>IFERROR(HLOOKUP(AV883,'Calc|Weightings'!$K$5:$M$5,1,0),"Excl")</f>
        <v>Materials</v>
      </c>
      <c r="AY883" s="7" t="str">
        <f>VLOOKUP(AO883,Mapping!$E$11:$I$96,5,0)</f>
        <v>SCS</v>
      </c>
    </row>
    <row r="884" spans="1:51" x14ac:dyDescent="0.2">
      <c r="A884" s="7"/>
      <c r="B884" s="7"/>
      <c r="C884" s="7"/>
      <c r="D884" s="7"/>
      <c r="E884" s="36">
        <v>139</v>
      </c>
      <c r="F884" s="36" t="s">
        <v>2146</v>
      </c>
      <c r="G884" s="36">
        <v>613400</v>
      </c>
      <c r="H884" s="36" t="s">
        <v>2099</v>
      </c>
      <c r="I884" s="37">
        <v>2.7993399999999999</v>
      </c>
      <c r="J884" s="7"/>
      <c r="K884" s="7" t="str">
        <f>VLOOKUP($E884,Mapping!$E$11:$I$96,3,0)</f>
        <v>Replacement</v>
      </c>
      <c r="L884" s="7" t="str">
        <f>VLOOKUP($G884,Mapping!$E$140:$K$2771,5,0)</f>
        <v>Labour</v>
      </c>
      <c r="M884" s="7" t="str">
        <f>VLOOKUP($G884,Mapping!$E$140:$K$2771,7,0)</f>
        <v>ENDirect</v>
      </c>
      <c r="N884" s="7" t="str">
        <f>IFERROR(HLOOKUP(L884,'Calc|Weightings'!$K$5:$M$5,1,0),"Excl")</f>
        <v>Labour</v>
      </c>
      <c r="O884" s="7" t="str">
        <f>VLOOKUP(E884,Mapping!$E$11:$I$96,5,0)</f>
        <v>SCS</v>
      </c>
      <c r="Q884" s="33">
        <v>141</v>
      </c>
      <c r="R884" s="33" t="s">
        <v>2149</v>
      </c>
      <c r="S884" s="33">
        <v>531464</v>
      </c>
      <c r="T884" s="33" t="s">
        <v>256</v>
      </c>
      <c r="U884" s="34">
        <v>843.14954999999998</v>
      </c>
      <c r="V884" s="7"/>
      <c r="W884" s="7" t="str">
        <f>VLOOKUP($Q884,Mapping!$E$11:$I$96,3,0)</f>
        <v>Replacement</v>
      </c>
      <c r="X884" s="7" t="str">
        <f>VLOOKUP($S884,Mapping!$E$140:$K$2771,5,0)</f>
        <v>Contracts</v>
      </c>
      <c r="Y884" s="7" t="str">
        <f>VLOOKUP($S884,Mapping!$E$140:$K$2771,7,0)</f>
        <v>ENDirect</v>
      </c>
      <c r="Z884" s="7" t="str">
        <f>IFERROR(HLOOKUP(X884,'Calc|Weightings'!$K$5:$M$5,1,0),"Excl")</f>
        <v>Contracts</v>
      </c>
      <c r="AA884" s="7" t="str">
        <f>VLOOKUP(Q884,Mapping!$E$11:$I$96,5,0)</f>
        <v>SCS</v>
      </c>
      <c r="AC884" s="111">
        <v>140</v>
      </c>
      <c r="AD884" s="111" t="s">
        <v>2148</v>
      </c>
      <c r="AE884" s="111">
        <v>636001</v>
      </c>
      <c r="AF884" s="111" t="s">
        <v>2111</v>
      </c>
      <c r="AG884" s="112">
        <v>37.227670000000003</v>
      </c>
      <c r="AI884" s="7" t="str">
        <f>VLOOKUP($AC884,Mapping!$E$11:$I$96,3,0)</f>
        <v>Public lighting Capex</v>
      </c>
      <c r="AJ884" s="7" t="str">
        <f>VLOOKUP($AE884,Mapping!$E$140:$K$2771,5,0)</f>
        <v>System Control OH</v>
      </c>
      <c r="AK884" s="7" t="str">
        <f>VLOOKUP($AE884,Mapping!$E$140:$K$2771,7,0)</f>
        <v>OH</v>
      </c>
      <c r="AL884" s="7" t="str">
        <f>IFERROR(HLOOKUP(AJ884,'Calc|Weightings'!$K$5:$M$5,1,0),"Excl")</f>
        <v>Excl</v>
      </c>
      <c r="AM884" s="7" t="str">
        <f>VLOOKUP(AC884,Mapping!$E$11:$I$96,5,0)</f>
        <v>Public Lighting</v>
      </c>
      <c r="AO884" s="134">
        <v>143</v>
      </c>
      <c r="AP884" s="135" t="s">
        <v>2153</v>
      </c>
      <c r="AQ884" s="135">
        <v>531020</v>
      </c>
      <c r="AR884" s="135" t="s">
        <v>219</v>
      </c>
      <c r="AS884" s="136">
        <v>10.8</v>
      </c>
      <c r="AU884" s="7" t="str">
        <f>VLOOKUP($AO884,Mapping!$E$11:$I$96,3,0)</f>
        <v>Replacement</v>
      </c>
      <c r="AV884" s="7" t="str">
        <f>VLOOKUP($AQ884,Mapping!$E$140:$K$2771,5,0)</f>
        <v>Labour</v>
      </c>
      <c r="AW884" s="7" t="str">
        <f>VLOOKUP($AQ884,Mapping!$E$140:$K$2771,7,0)</f>
        <v>ENDirect</v>
      </c>
      <c r="AX884" s="7" t="str">
        <f>IFERROR(HLOOKUP(AV884,'Calc|Weightings'!$K$5:$M$5,1,0),"Excl")</f>
        <v>Labour</v>
      </c>
      <c r="AY884" s="7" t="str">
        <f>VLOOKUP(AO884,Mapping!$E$11:$I$96,5,0)</f>
        <v>SCS</v>
      </c>
    </row>
    <row r="885" spans="1:51" x14ac:dyDescent="0.2">
      <c r="A885" s="7"/>
      <c r="B885" s="7"/>
      <c r="C885" s="7"/>
      <c r="D885" s="7"/>
      <c r="E885" s="36">
        <v>139</v>
      </c>
      <c r="F885" s="36" t="s">
        <v>2146</v>
      </c>
      <c r="G885" s="36">
        <v>613401</v>
      </c>
      <c r="H885" s="36" t="s">
        <v>2117</v>
      </c>
      <c r="I885" s="37">
        <v>0.12171</v>
      </c>
      <c r="J885" s="7"/>
      <c r="K885" s="7" t="str">
        <f>VLOOKUP($E885,Mapping!$E$11:$I$96,3,0)</f>
        <v>Replacement</v>
      </c>
      <c r="L885" s="7" t="str">
        <f>VLOOKUP($G885,Mapping!$E$140:$K$2771,5,0)</f>
        <v>Labour</v>
      </c>
      <c r="M885" s="7" t="str">
        <f>VLOOKUP($G885,Mapping!$E$140:$K$2771,7,0)</f>
        <v>ENDirect</v>
      </c>
      <c r="N885" s="7" t="str">
        <f>IFERROR(HLOOKUP(L885,'Calc|Weightings'!$K$5:$M$5,1,0),"Excl")</f>
        <v>Labour</v>
      </c>
      <c r="O885" s="7" t="str">
        <f>VLOOKUP(E885,Mapping!$E$11:$I$96,5,0)</f>
        <v>SCS</v>
      </c>
      <c r="Q885" s="33">
        <v>141</v>
      </c>
      <c r="R885" s="33" t="s">
        <v>2149</v>
      </c>
      <c r="S885" s="33">
        <v>531465</v>
      </c>
      <c r="T885" s="33" t="s">
        <v>257</v>
      </c>
      <c r="U885" s="34">
        <v>1.6646399999999999</v>
      </c>
      <c r="V885" s="7"/>
      <c r="W885" s="7" t="str">
        <f>VLOOKUP($Q885,Mapping!$E$11:$I$96,3,0)</f>
        <v>Replacement</v>
      </c>
      <c r="X885" s="7" t="str">
        <f>VLOOKUP($S885,Mapping!$E$140:$K$2771,5,0)</f>
        <v>Contracts</v>
      </c>
      <c r="Y885" s="7" t="str">
        <f>VLOOKUP($S885,Mapping!$E$140:$K$2771,7,0)</f>
        <v>ENDirect</v>
      </c>
      <c r="Z885" s="7" t="str">
        <f>IFERROR(HLOOKUP(X885,'Calc|Weightings'!$K$5:$M$5,1,0),"Excl")</f>
        <v>Contracts</v>
      </c>
      <c r="AA885" s="7" t="str">
        <f>VLOOKUP(Q885,Mapping!$E$11:$I$96,5,0)</f>
        <v>SCS</v>
      </c>
      <c r="AC885" s="111">
        <v>140</v>
      </c>
      <c r="AD885" s="111" t="s">
        <v>2148</v>
      </c>
      <c r="AE885" s="111">
        <v>639000</v>
      </c>
      <c r="AF885" s="111" t="s">
        <v>2112</v>
      </c>
      <c r="AG885" s="112">
        <v>52.864440000000002</v>
      </c>
      <c r="AI885" s="7" t="str">
        <f>VLOOKUP($AC885,Mapping!$E$11:$I$96,3,0)</f>
        <v>Public lighting Capex</v>
      </c>
      <c r="AJ885" s="7" t="str">
        <f>VLOOKUP($AE885,Mapping!$E$140:$K$2771,5,0)</f>
        <v>PNS Corporate OH</v>
      </c>
      <c r="AK885" s="7" t="str">
        <f>VLOOKUP($AE885,Mapping!$E$140:$K$2771,7,0)</f>
        <v>OH</v>
      </c>
      <c r="AL885" s="7" t="str">
        <f>IFERROR(HLOOKUP(AJ885,'Calc|Weightings'!$K$5:$M$5,1,0),"Excl")</f>
        <v>Excl</v>
      </c>
      <c r="AM885" s="7" t="str">
        <f>VLOOKUP(AC885,Mapping!$E$11:$I$96,5,0)</f>
        <v>Public Lighting</v>
      </c>
      <c r="AO885" s="134">
        <v>143</v>
      </c>
      <c r="AP885" s="135" t="s">
        <v>2153</v>
      </c>
      <c r="AQ885" s="135">
        <v>531201</v>
      </c>
      <c r="AR885" s="135" t="s">
        <v>251</v>
      </c>
      <c r="AS885" s="136">
        <v>3.3</v>
      </c>
      <c r="AU885" s="7" t="str">
        <f>VLOOKUP($AO885,Mapping!$E$11:$I$96,3,0)</f>
        <v>Replacement</v>
      </c>
      <c r="AV885" s="7" t="str">
        <f>VLOOKUP($AQ885,Mapping!$E$140:$K$2771,5,0)</f>
        <v>Contracts</v>
      </c>
      <c r="AW885" s="7" t="str">
        <f>VLOOKUP($AQ885,Mapping!$E$140:$K$2771,7,0)</f>
        <v>ENDirect</v>
      </c>
      <c r="AX885" s="7" t="str">
        <f>IFERROR(HLOOKUP(AV885,'Calc|Weightings'!$K$5:$M$5,1,0),"Excl")</f>
        <v>Contracts</v>
      </c>
      <c r="AY885" s="7" t="str">
        <f>VLOOKUP(AO885,Mapping!$E$11:$I$96,5,0)</f>
        <v>SCS</v>
      </c>
    </row>
    <row r="886" spans="1:51" x14ac:dyDescent="0.2">
      <c r="A886" s="7"/>
      <c r="B886" s="7"/>
      <c r="C886" s="7"/>
      <c r="D886" s="7"/>
      <c r="E886" s="36">
        <v>139</v>
      </c>
      <c r="F886" s="36" t="s">
        <v>2146</v>
      </c>
      <c r="G886" s="36">
        <v>613408</v>
      </c>
      <c r="H886" s="36" t="s">
        <v>1418</v>
      </c>
      <c r="I886" s="37">
        <v>25.559100000000001</v>
      </c>
      <c r="J886" s="7"/>
      <c r="K886" s="7" t="str">
        <f>VLOOKUP($E886,Mapping!$E$11:$I$96,3,0)</f>
        <v>Replacement</v>
      </c>
      <c r="L886" s="7" t="str">
        <f>VLOOKUP($G886,Mapping!$E$140:$K$2771,5,0)</f>
        <v>Labour</v>
      </c>
      <c r="M886" s="7" t="str">
        <f>VLOOKUP($G886,Mapping!$E$140:$K$2771,7,0)</f>
        <v>ENDirect</v>
      </c>
      <c r="N886" s="7" t="str">
        <f>IFERROR(HLOOKUP(L886,'Calc|Weightings'!$K$5:$M$5,1,0),"Excl")</f>
        <v>Labour</v>
      </c>
      <c r="O886" s="7" t="str">
        <f>VLOOKUP(E886,Mapping!$E$11:$I$96,5,0)</f>
        <v>SCS</v>
      </c>
      <c r="Q886" s="33">
        <v>141</v>
      </c>
      <c r="R886" s="33" t="s">
        <v>2149</v>
      </c>
      <c r="S886" s="33">
        <v>531466</v>
      </c>
      <c r="T886" s="33" t="s">
        <v>258</v>
      </c>
      <c r="U886" s="34">
        <v>356.92687999999998</v>
      </c>
      <c r="V886" s="7"/>
      <c r="W886" s="7" t="str">
        <f>VLOOKUP($Q886,Mapping!$E$11:$I$96,3,0)</f>
        <v>Replacement</v>
      </c>
      <c r="X886" s="7" t="str">
        <f>VLOOKUP($S886,Mapping!$E$140:$K$2771,5,0)</f>
        <v>Contracts</v>
      </c>
      <c r="Y886" s="7" t="str">
        <f>VLOOKUP($S886,Mapping!$E$140:$K$2771,7,0)</f>
        <v>ENDirect</v>
      </c>
      <c r="Z886" s="7" t="str">
        <f>IFERROR(HLOOKUP(X886,'Calc|Weightings'!$K$5:$M$5,1,0),"Excl")</f>
        <v>Contracts</v>
      </c>
      <c r="AA886" s="7" t="str">
        <f>VLOOKUP(Q886,Mapping!$E$11:$I$96,5,0)</f>
        <v>SCS</v>
      </c>
      <c r="AC886" s="111">
        <v>140</v>
      </c>
      <c r="AD886" s="111" t="s">
        <v>2148</v>
      </c>
      <c r="AE886" s="111">
        <v>639050</v>
      </c>
      <c r="AF886" s="111" t="s">
        <v>2113</v>
      </c>
      <c r="AG886" s="112">
        <v>6.56609</v>
      </c>
      <c r="AI886" s="7" t="str">
        <f>VLOOKUP($AC886,Mapping!$E$11:$I$96,3,0)</f>
        <v>Public lighting Capex</v>
      </c>
      <c r="AJ886" s="7" t="str">
        <f>VLOOKUP($AE886,Mapping!$E$140:$K$2771,5,0)</f>
        <v>PNS Fleet &amp; Property OH</v>
      </c>
      <c r="AK886" s="7" t="str">
        <f>VLOOKUP($AE886,Mapping!$E$140:$K$2771,7,0)</f>
        <v>OH</v>
      </c>
      <c r="AL886" s="7" t="str">
        <f>IFERROR(HLOOKUP(AJ886,'Calc|Weightings'!$K$5:$M$5,1,0),"Excl")</f>
        <v>Excl</v>
      </c>
      <c r="AM886" s="7" t="str">
        <f>VLOOKUP(AC886,Mapping!$E$11:$I$96,5,0)</f>
        <v>Public Lighting</v>
      </c>
      <c r="AO886" s="134">
        <v>143</v>
      </c>
      <c r="AP886" s="135" t="s">
        <v>2153</v>
      </c>
      <c r="AQ886" s="135">
        <v>531464</v>
      </c>
      <c r="AR886" s="135" t="s">
        <v>256</v>
      </c>
      <c r="AS886" s="136">
        <v>81.031040000000004</v>
      </c>
      <c r="AU886" s="7" t="str">
        <f>VLOOKUP($AO886,Mapping!$E$11:$I$96,3,0)</f>
        <v>Replacement</v>
      </c>
      <c r="AV886" s="7" t="str">
        <f>VLOOKUP($AQ886,Mapping!$E$140:$K$2771,5,0)</f>
        <v>Contracts</v>
      </c>
      <c r="AW886" s="7" t="str">
        <f>VLOOKUP($AQ886,Mapping!$E$140:$K$2771,7,0)</f>
        <v>ENDirect</v>
      </c>
      <c r="AX886" s="7" t="str">
        <f>IFERROR(HLOOKUP(AV886,'Calc|Weightings'!$K$5:$M$5,1,0),"Excl")</f>
        <v>Contracts</v>
      </c>
      <c r="AY886" s="7" t="str">
        <f>VLOOKUP(AO886,Mapping!$E$11:$I$96,5,0)</f>
        <v>SCS</v>
      </c>
    </row>
    <row r="887" spans="1:51" x14ac:dyDescent="0.2">
      <c r="A887" s="7"/>
      <c r="B887" s="7"/>
      <c r="C887" s="7"/>
      <c r="D887" s="7"/>
      <c r="E887" s="36">
        <v>139</v>
      </c>
      <c r="F887" s="36" t="s">
        <v>2146</v>
      </c>
      <c r="G887" s="36">
        <v>613409</v>
      </c>
      <c r="H887" s="36" t="s">
        <v>1419</v>
      </c>
      <c r="I887" s="37">
        <v>3.8947400000000001</v>
      </c>
      <c r="J887" s="7"/>
      <c r="K887" s="7" t="str">
        <f>VLOOKUP($E887,Mapping!$E$11:$I$96,3,0)</f>
        <v>Replacement</v>
      </c>
      <c r="L887" s="7" t="str">
        <f>VLOOKUP($G887,Mapping!$E$140:$K$2771,5,0)</f>
        <v>Labour</v>
      </c>
      <c r="M887" s="7" t="str">
        <f>VLOOKUP($G887,Mapping!$E$140:$K$2771,7,0)</f>
        <v>ENDirect</v>
      </c>
      <c r="N887" s="7" t="str">
        <f>IFERROR(HLOOKUP(L887,'Calc|Weightings'!$K$5:$M$5,1,0),"Excl")</f>
        <v>Labour</v>
      </c>
      <c r="O887" s="7" t="str">
        <f>VLOOKUP(E887,Mapping!$E$11:$I$96,5,0)</f>
        <v>SCS</v>
      </c>
      <c r="Q887" s="33">
        <v>141</v>
      </c>
      <c r="R887" s="33" t="s">
        <v>2149</v>
      </c>
      <c r="S887" s="33">
        <v>531467</v>
      </c>
      <c r="T887" s="33" t="s">
        <v>259</v>
      </c>
      <c r="U887" s="34">
        <v>290.32013000000001</v>
      </c>
      <c r="V887" s="7"/>
      <c r="W887" s="7" t="str">
        <f>VLOOKUP($Q887,Mapping!$E$11:$I$96,3,0)</f>
        <v>Replacement</v>
      </c>
      <c r="X887" s="7" t="str">
        <f>VLOOKUP($S887,Mapping!$E$140:$K$2771,5,0)</f>
        <v>Contracts</v>
      </c>
      <c r="Y887" s="7" t="str">
        <f>VLOOKUP($S887,Mapping!$E$140:$K$2771,7,0)</f>
        <v>ENDirect</v>
      </c>
      <c r="Z887" s="7" t="str">
        <f>IFERROR(HLOOKUP(X887,'Calc|Weightings'!$K$5:$M$5,1,0),"Excl")</f>
        <v>Contracts</v>
      </c>
      <c r="AA887" s="7" t="str">
        <f>VLOOKUP(Q887,Mapping!$E$11:$I$96,5,0)</f>
        <v>SCS</v>
      </c>
      <c r="AC887" s="111">
        <v>141</v>
      </c>
      <c r="AD887" s="111" t="s">
        <v>2149</v>
      </c>
      <c r="AE887" s="111">
        <v>520100</v>
      </c>
      <c r="AF887" s="111" t="s">
        <v>2072</v>
      </c>
      <c r="AG887" s="112">
        <v>296.98214000000002</v>
      </c>
      <c r="AI887" s="7" t="str">
        <f>VLOOKUP($AC887,Mapping!$E$11:$I$96,3,0)</f>
        <v>Replacement</v>
      </c>
      <c r="AJ887" s="7" t="str">
        <f>VLOOKUP($AE887,Mapping!$E$140:$K$2771,5,0)</f>
        <v>Materials</v>
      </c>
      <c r="AK887" s="7" t="str">
        <f>VLOOKUP($AE887,Mapping!$E$140:$K$2771,7,0)</f>
        <v>ENDirect</v>
      </c>
      <c r="AL887" s="7" t="str">
        <f>IFERROR(HLOOKUP(AJ887,'Calc|Weightings'!$K$5:$M$5,1,0),"Excl")</f>
        <v>Materials</v>
      </c>
      <c r="AM887" s="7" t="str">
        <f>VLOOKUP(AC887,Mapping!$E$11:$I$96,5,0)</f>
        <v>SCS</v>
      </c>
      <c r="AO887" s="134">
        <v>143</v>
      </c>
      <c r="AP887" s="135" t="s">
        <v>2153</v>
      </c>
      <c r="AQ887" s="135">
        <v>531466</v>
      </c>
      <c r="AR887" s="135" t="s">
        <v>258</v>
      </c>
      <c r="AS887" s="136">
        <v>55.173870000000001</v>
      </c>
      <c r="AU887" s="7" t="str">
        <f>VLOOKUP($AO887,Mapping!$E$11:$I$96,3,0)</f>
        <v>Replacement</v>
      </c>
      <c r="AV887" s="7" t="str">
        <f>VLOOKUP($AQ887,Mapping!$E$140:$K$2771,5,0)</f>
        <v>Contracts</v>
      </c>
      <c r="AW887" s="7" t="str">
        <f>VLOOKUP($AQ887,Mapping!$E$140:$K$2771,7,0)</f>
        <v>ENDirect</v>
      </c>
      <c r="AX887" s="7" t="str">
        <f>IFERROR(HLOOKUP(AV887,'Calc|Weightings'!$K$5:$M$5,1,0),"Excl")</f>
        <v>Contracts</v>
      </c>
      <c r="AY887" s="7" t="str">
        <f>VLOOKUP(AO887,Mapping!$E$11:$I$96,5,0)</f>
        <v>SCS</v>
      </c>
    </row>
    <row r="888" spans="1:51" x14ac:dyDescent="0.2">
      <c r="A888" s="7"/>
      <c r="B888" s="7"/>
      <c r="C888" s="7"/>
      <c r="D888" s="7"/>
      <c r="E888" s="36">
        <v>139</v>
      </c>
      <c r="F888" s="36" t="s">
        <v>2146</v>
      </c>
      <c r="G888" s="36">
        <v>613418</v>
      </c>
      <c r="H888" s="36" t="s">
        <v>1424</v>
      </c>
      <c r="I888" s="37">
        <v>11.383470000000001</v>
      </c>
      <c r="J888" s="7"/>
      <c r="K888" s="7" t="str">
        <f>VLOOKUP($E888,Mapping!$E$11:$I$96,3,0)</f>
        <v>Replacement</v>
      </c>
      <c r="L888" s="7" t="str">
        <f>VLOOKUP($G888,Mapping!$E$140:$K$2771,5,0)</f>
        <v>Labour</v>
      </c>
      <c r="M888" s="7" t="str">
        <f>VLOOKUP($G888,Mapping!$E$140:$K$2771,7,0)</f>
        <v>ENDirect</v>
      </c>
      <c r="N888" s="7" t="str">
        <f>IFERROR(HLOOKUP(L888,'Calc|Weightings'!$K$5:$M$5,1,0),"Excl")</f>
        <v>Labour</v>
      </c>
      <c r="O888" s="7" t="str">
        <f>VLOOKUP(E888,Mapping!$E$11:$I$96,5,0)</f>
        <v>SCS</v>
      </c>
      <c r="Q888" s="33">
        <v>141</v>
      </c>
      <c r="R888" s="33" t="s">
        <v>2149</v>
      </c>
      <c r="S888" s="33">
        <v>531468</v>
      </c>
      <c r="T888" s="33" t="s">
        <v>260</v>
      </c>
      <c r="U888" s="34">
        <v>266.28370000000001</v>
      </c>
      <c r="V888" s="7"/>
      <c r="W888" s="7" t="str">
        <f>VLOOKUP($Q888,Mapping!$E$11:$I$96,3,0)</f>
        <v>Replacement</v>
      </c>
      <c r="X888" s="7" t="str">
        <f>VLOOKUP($S888,Mapping!$E$140:$K$2771,5,0)</f>
        <v>Contracts</v>
      </c>
      <c r="Y888" s="7" t="str">
        <f>VLOOKUP($S888,Mapping!$E$140:$K$2771,7,0)</f>
        <v>ENDirect</v>
      </c>
      <c r="Z888" s="7" t="str">
        <f>IFERROR(HLOOKUP(X888,'Calc|Weightings'!$K$5:$M$5,1,0),"Excl")</f>
        <v>Contracts</v>
      </c>
      <c r="AA888" s="7" t="str">
        <f>VLOOKUP(Q888,Mapping!$E$11:$I$96,5,0)</f>
        <v>SCS</v>
      </c>
      <c r="AC888" s="111">
        <v>141</v>
      </c>
      <c r="AD888" s="111" t="s">
        <v>2149</v>
      </c>
      <c r="AE888" s="111">
        <v>520200</v>
      </c>
      <c r="AF888" s="111" t="s">
        <v>2073</v>
      </c>
      <c r="AG888" s="112">
        <v>4.5427600000000004</v>
      </c>
      <c r="AI888" s="7" t="str">
        <f>VLOOKUP($AC888,Mapping!$E$11:$I$96,3,0)</f>
        <v>Replacement</v>
      </c>
      <c r="AJ888" s="7" t="str">
        <f>VLOOKUP($AE888,Mapping!$E$140:$K$2771,5,0)</f>
        <v>Materials</v>
      </c>
      <c r="AK888" s="7" t="str">
        <f>VLOOKUP($AE888,Mapping!$E$140:$K$2771,7,0)</f>
        <v>ENDirect</v>
      </c>
      <c r="AL888" s="7" t="str">
        <f>IFERROR(HLOOKUP(AJ888,'Calc|Weightings'!$K$5:$M$5,1,0),"Excl")</f>
        <v>Materials</v>
      </c>
      <c r="AM888" s="7" t="str">
        <f>VLOOKUP(AC888,Mapping!$E$11:$I$96,5,0)</f>
        <v>SCS</v>
      </c>
      <c r="AO888" s="134">
        <v>143</v>
      </c>
      <c r="AP888" s="135" t="s">
        <v>2153</v>
      </c>
      <c r="AQ888" s="135">
        <v>531467</v>
      </c>
      <c r="AR888" s="135" t="s">
        <v>259</v>
      </c>
      <c r="AS888" s="136">
        <v>20.11298</v>
      </c>
      <c r="AU888" s="7" t="str">
        <f>VLOOKUP($AO888,Mapping!$E$11:$I$96,3,0)</f>
        <v>Replacement</v>
      </c>
      <c r="AV888" s="7" t="str">
        <f>VLOOKUP($AQ888,Mapping!$E$140:$K$2771,5,0)</f>
        <v>Contracts</v>
      </c>
      <c r="AW888" s="7" t="str">
        <f>VLOOKUP($AQ888,Mapping!$E$140:$K$2771,7,0)</f>
        <v>ENDirect</v>
      </c>
      <c r="AX888" s="7" t="str">
        <f>IFERROR(HLOOKUP(AV888,'Calc|Weightings'!$K$5:$M$5,1,0),"Excl")</f>
        <v>Contracts</v>
      </c>
      <c r="AY888" s="7" t="str">
        <f>VLOOKUP(AO888,Mapping!$E$11:$I$96,5,0)</f>
        <v>SCS</v>
      </c>
    </row>
    <row r="889" spans="1:51" x14ac:dyDescent="0.2">
      <c r="A889" s="7"/>
      <c r="B889" s="7"/>
      <c r="C889" s="7"/>
      <c r="D889" s="7"/>
      <c r="E889" s="36">
        <v>139</v>
      </c>
      <c r="F889" s="36" t="s">
        <v>2146</v>
      </c>
      <c r="G889" s="36">
        <v>613419</v>
      </c>
      <c r="H889" s="36" t="s">
        <v>1425</v>
      </c>
      <c r="I889" s="37">
        <v>1.3313999999999999</v>
      </c>
      <c r="J889" s="7"/>
      <c r="K889" s="7" t="str">
        <f>VLOOKUP($E889,Mapping!$E$11:$I$96,3,0)</f>
        <v>Replacement</v>
      </c>
      <c r="L889" s="7" t="str">
        <f>VLOOKUP($G889,Mapping!$E$140:$K$2771,5,0)</f>
        <v>Labour</v>
      </c>
      <c r="M889" s="7" t="str">
        <f>VLOOKUP($G889,Mapping!$E$140:$K$2771,7,0)</f>
        <v>ENDirect</v>
      </c>
      <c r="N889" s="7" t="str">
        <f>IFERROR(HLOOKUP(L889,'Calc|Weightings'!$K$5:$M$5,1,0),"Excl")</f>
        <v>Labour</v>
      </c>
      <c r="O889" s="7" t="str">
        <f>VLOOKUP(E889,Mapping!$E$11:$I$96,5,0)</f>
        <v>SCS</v>
      </c>
      <c r="Q889" s="33">
        <v>141</v>
      </c>
      <c r="R889" s="33" t="s">
        <v>2149</v>
      </c>
      <c r="S889" s="33">
        <v>531469</v>
      </c>
      <c r="T889" s="33" t="s">
        <v>261</v>
      </c>
      <c r="U889" s="34">
        <v>15.7644</v>
      </c>
      <c r="V889" s="7"/>
      <c r="W889" s="7" t="str">
        <f>VLOOKUP($Q889,Mapping!$E$11:$I$96,3,0)</f>
        <v>Replacement</v>
      </c>
      <c r="X889" s="7" t="str">
        <f>VLOOKUP($S889,Mapping!$E$140:$K$2771,5,0)</f>
        <v>Labour</v>
      </c>
      <c r="Y889" s="7" t="str">
        <f>VLOOKUP($S889,Mapping!$E$140:$K$2771,7,0)</f>
        <v>ENDirect</v>
      </c>
      <c r="Z889" s="7" t="str">
        <f>IFERROR(HLOOKUP(X889,'Calc|Weightings'!$K$5:$M$5,1,0),"Excl")</f>
        <v>Labour</v>
      </c>
      <c r="AA889" s="7" t="str">
        <f>VLOOKUP(Q889,Mapping!$E$11:$I$96,5,0)</f>
        <v>SCS</v>
      </c>
      <c r="AC889" s="111">
        <v>141</v>
      </c>
      <c r="AD889" s="111" t="s">
        <v>2149</v>
      </c>
      <c r="AE889" s="111">
        <v>522100</v>
      </c>
      <c r="AF889" s="111" t="s">
        <v>2115</v>
      </c>
      <c r="AG889" s="112">
        <v>34.271999999999998</v>
      </c>
      <c r="AI889" s="7" t="str">
        <f>VLOOKUP($AC889,Mapping!$E$11:$I$96,3,0)</f>
        <v>Replacement</v>
      </c>
      <c r="AJ889" s="7" t="str">
        <f>VLOOKUP($AE889,Mapping!$E$140:$K$2771,5,0)</f>
        <v>Materials</v>
      </c>
      <c r="AK889" s="7" t="str">
        <f>VLOOKUP($AE889,Mapping!$E$140:$K$2771,7,0)</f>
        <v>ENDirect</v>
      </c>
      <c r="AL889" s="7" t="str">
        <f>IFERROR(HLOOKUP(AJ889,'Calc|Weightings'!$K$5:$M$5,1,0),"Excl")</f>
        <v>Materials</v>
      </c>
      <c r="AM889" s="7" t="str">
        <f>VLOOKUP(AC889,Mapping!$E$11:$I$96,5,0)</f>
        <v>SCS</v>
      </c>
      <c r="AO889" s="134">
        <v>143</v>
      </c>
      <c r="AP889" s="135" t="s">
        <v>2153</v>
      </c>
      <c r="AQ889" s="135">
        <v>531468</v>
      </c>
      <c r="AR889" s="135" t="s">
        <v>260</v>
      </c>
      <c r="AS889" s="136">
        <v>4.6444299999999998</v>
      </c>
      <c r="AU889" s="7" t="str">
        <f>VLOOKUP($AO889,Mapping!$E$11:$I$96,3,0)</f>
        <v>Replacement</v>
      </c>
      <c r="AV889" s="7" t="str">
        <f>VLOOKUP($AQ889,Mapping!$E$140:$K$2771,5,0)</f>
        <v>Contracts</v>
      </c>
      <c r="AW889" s="7" t="str">
        <f>VLOOKUP($AQ889,Mapping!$E$140:$K$2771,7,0)</f>
        <v>ENDirect</v>
      </c>
      <c r="AX889" s="7" t="str">
        <f>IFERROR(HLOOKUP(AV889,'Calc|Weightings'!$K$5:$M$5,1,0),"Excl")</f>
        <v>Contracts</v>
      </c>
      <c r="AY889" s="7" t="str">
        <f>VLOOKUP(AO889,Mapping!$E$11:$I$96,5,0)</f>
        <v>SCS</v>
      </c>
    </row>
    <row r="890" spans="1:51" x14ac:dyDescent="0.2">
      <c r="A890" s="7"/>
      <c r="B890" s="7"/>
      <c r="C890" s="7"/>
      <c r="D890" s="7"/>
      <c r="E890" s="36">
        <v>139</v>
      </c>
      <c r="F890" s="36" t="s">
        <v>2146</v>
      </c>
      <c r="G890" s="36">
        <v>613428</v>
      </c>
      <c r="H890" s="36" t="s">
        <v>1430</v>
      </c>
      <c r="I890" s="37">
        <v>15.039110000000001</v>
      </c>
      <c r="J890" s="7"/>
      <c r="K890" s="7" t="str">
        <f>VLOOKUP($E890,Mapping!$E$11:$I$96,3,0)</f>
        <v>Replacement</v>
      </c>
      <c r="L890" s="7" t="str">
        <f>VLOOKUP($G890,Mapping!$E$140:$K$2771,5,0)</f>
        <v>Labour</v>
      </c>
      <c r="M890" s="7" t="str">
        <f>VLOOKUP($G890,Mapping!$E$140:$K$2771,7,0)</f>
        <v>ENDirect</v>
      </c>
      <c r="N890" s="7" t="str">
        <f>IFERROR(HLOOKUP(L890,'Calc|Weightings'!$K$5:$M$5,1,0),"Excl")</f>
        <v>Labour</v>
      </c>
      <c r="O890" s="7" t="str">
        <f>VLOOKUP(E890,Mapping!$E$11:$I$96,5,0)</f>
        <v>SCS</v>
      </c>
      <c r="Q890" s="33">
        <v>141</v>
      </c>
      <c r="R890" s="33" t="s">
        <v>2149</v>
      </c>
      <c r="S890" s="33">
        <v>591200</v>
      </c>
      <c r="T890" s="33" t="s">
        <v>398</v>
      </c>
      <c r="U890" s="34">
        <v>0.2</v>
      </c>
      <c r="V890" s="7"/>
      <c r="W890" s="7" t="str">
        <f>VLOOKUP($Q890,Mapping!$E$11:$I$96,3,0)</f>
        <v>Replacement</v>
      </c>
      <c r="X890" s="7" t="str">
        <f>VLOOKUP($S890,Mapping!$E$140:$K$2771,5,0)</f>
        <v>Contracts</v>
      </c>
      <c r="Y890" s="7" t="str">
        <f>VLOOKUP($S890,Mapping!$E$140:$K$2771,7,0)</f>
        <v>ENDirect</v>
      </c>
      <c r="Z890" s="7" t="str">
        <f>IFERROR(HLOOKUP(X890,'Calc|Weightings'!$K$5:$M$5,1,0),"Excl")</f>
        <v>Contracts</v>
      </c>
      <c r="AA890" s="7" t="str">
        <f>VLOOKUP(Q890,Mapping!$E$11:$I$96,5,0)</f>
        <v>SCS</v>
      </c>
      <c r="AC890" s="111">
        <v>141</v>
      </c>
      <c r="AD890" s="111" t="s">
        <v>2149</v>
      </c>
      <c r="AE890" s="111">
        <v>523100</v>
      </c>
      <c r="AF890" s="111" t="s">
        <v>2074</v>
      </c>
      <c r="AG890" s="112">
        <v>6.0008400000000002</v>
      </c>
      <c r="AI890" s="7" t="str">
        <f>VLOOKUP($AC890,Mapping!$E$11:$I$96,3,0)</f>
        <v>Replacement</v>
      </c>
      <c r="AJ890" s="7" t="str">
        <f>VLOOKUP($AE890,Mapping!$E$140:$K$2771,5,0)</f>
        <v>Materials</v>
      </c>
      <c r="AK890" s="7" t="str">
        <f>VLOOKUP($AE890,Mapping!$E$140:$K$2771,7,0)</f>
        <v>ENDirect</v>
      </c>
      <c r="AL890" s="7" t="str">
        <f>IFERROR(HLOOKUP(AJ890,'Calc|Weightings'!$K$5:$M$5,1,0),"Excl")</f>
        <v>Materials</v>
      </c>
      <c r="AM890" s="7" t="str">
        <f>VLOOKUP(AC890,Mapping!$E$11:$I$96,5,0)</f>
        <v>SCS</v>
      </c>
      <c r="AO890" s="134">
        <v>143</v>
      </c>
      <c r="AP890" s="135" t="s">
        <v>2153</v>
      </c>
      <c r="AQ890" s="135">
        <v>532140</v>
      </c>
      <c r="AR890" s="135" t="s">
        <v>288</v>
      </c>
      <c r="AS890" s="136">
        <v>8.9176800000000007</v>
      </c>
      <c r="AU890" s="7" t="str">
        <f>VLOOKUP($AO890,Mapping!$E$11:$I$96,3,0)</f>
        <v>Replacement</v>
      </c>
      <c r="AV890" s="7" t="str">
        <f>VLOOKUP($AQ890,Mapping!$E$140:$K$2771,5,0)</f>
        <v>Contracts</v>
      </c>
      <c r="AW890" s="7" t="str">
        <f>VLOOKUP($AQ890,Mapping!$E$140:$K$2771,7,0)</f>
        <v>ENDirect</v>
      </c>
      <c r="AX890" s="7" t="str">
        <f>IFERROR(HLOOKUP(AV890,'Calc|Weightings'!$K$5:$M$5,1,0),"Excl")</f>
        <v>Contracts</v>
      </c>
      <c r="AY890" s="7" t="str">
        <f>VLOOKUP(AO890,Mapping!$E$11:$I$96,5,0)</f>
        <v>SCS</v>
      </c>
    </row>
    <row r="891" spans="1:51" x14ac:dyDescent="0.2">
      <c r="A891" s="7"/>
      <c r="B891" s="7"/>
      <c r="C891" s="7"/>
      <c r="D891" s="7"/>
      <c r="E891" s="36">
        <v>139</v>
      </c>
      <c r="F891" s="36" t="s">
        <v>2146</v>
      </c>
      <c r="G891" s="36">
        <v>613429</v>
      </c>
      <c r="H891" s="36" t="s">
        <v>1431</v>
      </c>
      <c r="I891" s="37">
        <v>0.56898000000000004</v>
      </c>
      <c r="J891" s="7"/>
      <c r="K891" s="7" t="str">
        <f>VLOOKUP($E891,Mapping!$E$11:$I$96,3,0)</f>
        <v>Replacement</v>
      </c>
      <c r="L891" s="7" t="str">
        <f>VLOOKUP($G891,Mapping!$E$140:$K$2771,5,0)</f>
        <v>Labour</v>
      </c>
      <c r="M891" s="7" t="str">
        <f>VLOOKUP($G891,Mapping!$E$140:$K$2771,7,0)</f>
        <v>ENDirect</v>
      </c>
      <c r="N891" s="7" t="str">
        <f>IFERROR(HLOOKUP(L891,'Calc|Weightings'!$K$5:$M$5,1,0),"Excl")</f>
        <v>Labour</v>
      </c>
      <c r="O891" s="7" t="str">
        <f>VLOOKUP(E891,Mapping!$E$11:$I$96,5,0)</f>
        <v>SCS</v>
      </c>
      <c r="Q891" s="33">
        <v>141</v>
      </c>
      <c r="R891" s="33" t="s">
        <v>2149</v>
      </c>
      <c r="S891" s="33">
        <v>591997</v>
      </c>
      <c r="T891" s="33" t="s">
        <v>399</v>
      </c>
      <c r="U891" s="34">
        <v>-7.5674599999999996</v>
      </c>
      <c r="V891" s="7"/>
      <c r="W891" s="7" t="str">
        <f>VLOOKUP($Q891,Mapping!$E$11:$I$96,3,0)</f>
        <v>Replacement</v>
      </c>
      <c r="X891" s="7" t="str">
        <f>VLOOKUP($S891,Mapping!$E$140:$K$2771,5,0)</f>
        <v>Contracts</v>
      </c>
      <c r="Y891" s="7" t="str">
        <f>VLOOKUP($S891,Mapping!$E$140:$K$2771,7,0)</f>
        <v>ENDirect</v>
      </c>
      <c r="Z891" s="7" t="str">
        <f>IFERROR(HLOOKUP(X891,'Calc|Weightings'!$K$5:$M$5,1,0),"Excl")</f>
        <v>Contracts</v>
      </c>
      <c r="AA891" s="7" t="str">
        <f>VLOOKUP(Q891,Mapping!$E$11:$I$96,5,0)</f>
        <v>SCS</v>
      </c>
      <c r="AC891" s="111">
        <v>141</v>
      </c>
      <c r="AD891" s="111" t="s">
        <v>2149</v>
      </c>
      <c r="AE891" s="111">
        <v>523300</v>
      </c>
      <c r="AF891" s="111" t="s">
        <v>2075</v>
      </c>
      <c r="AG891" s="112">
        <v>1.41615</v>
      </c>
      <c r="AI891" s="7" t="str">
        <f>VLOOKUP($AC891,Mapping!$E$11:$I$96,3,0)</f>
        <v>Replacement</v>
      </c>
      <c r="AJ891" s="7" t="str">
        <f>VLOOKUP($AE891,Mapping!$E$140:$K$2771,5,0)</f>
        <v>Materials</v>
      </c>
      <c r="AK891" s="7" t="str">
        <f>VLOOKUP($AE891,Mapping!$E$140:$K$2771,7,0)</f>
        <v>ENDirect</v>
      </c>
      <c r="AL891" s="7" t="str">
        <f>IFERROR(HLOOKUP(AJ891,'Calc|Weightings'!$K$5:$M$5,1,0),"Excl")</f>
        <v>Materials</v>
      </c>
      <c r="AM891" s="7" t="str">
        <f>VLOOKUP(AC891,Mapping!$E$11:$I$96,5,0)</f>
        <v>SCS</v>
      </c>
      <c r="AO891" s="134">
        <v>143</v>
      </c>
      <c r="AP891" s="135" t="s">
        <v>2153</v>
      </c>
      <c r="AQ891" s="135">
        <v>532340</v>
      </c>
      <c r="AR891" s="135" t="s">
        <v>299</v>
      </c>
      <c r="AS891" s="136">
        <v>0.8</v>
      </c>
      <c r="AU891" s="7" t="str">
        <f>VLOOKUP($AO891,Mapping!$E$11:$I$96,3,0)</f>
        <v>Replacement</v>
      </c>
      <c r="AV891" s="7" t="str">
        <f>VLOOKUP($AQ891,Mapping!$E$140:$K$2771,5,0)</f>
        <v>Contracts</v>
      </c>
      <c r="AW891" s="7" t="str">
        <f>VLOOKUP($AQ891,Mapping!$E$140:$K$2771,7,0)</f>
        <v>ENDirect</v>
      </c>
      <c r="AX891" s="7" t="str">
        <f>IFERROR(HLOOKUP(AV891,'Calc|Weightings'!$K$5:$M$5,1,0),"Excl")</f>
        <v>Contracts</v>
      </c>
      <c r="AY891" s="7" t="str">
        <f>VLOOKUP(AO891,Mapping!$E$11:$I$96,5,0)</f>
        <v>SCS</v>
      </c>
    </row>
    <row r="892" spans="1:51" x14ac:dyDescent="0.2">
      <c r="A892" s="7"/>
      <c r="B892" s="7"/>
      <c r="C892" s="7"/>
      <c r="D892" s="7"/>
      <c r="E892" s="36">
        <v>139</v>
      </c>
      <c r="F892" s="36" t="s">
        <v>2146</v>
      </c>
      <c r="G892" s="36">
        <v>613438</v>
      </c>
      <c r="H892" s="36" t="s">
        <v>1436</v>
      </c>
      <c r="I892" s="37">
        <v>0.86894000000000005</v>
      </c>
      <c r="J892" s="7"/>
      <c r="K892" s="7" t="str">
        <f>VLOOKUP($E892,Mapping!$E$11:$I$96,3,0)</f>
        <v>Replacement</v>
      </c>
      <c r="L892" s="7" t="str">
        <f>VLOOKUP($G892,Mapping!$E$140:$K$2771,5,0)</f>
        <v>Labour</v>
      </c>
      <c r="M892" s="7" t="str">
        <f>VLOOKUP($G892,Mapping!$E$140:$K$2771,7,0)</f>
        <v>ENDirect</v>
      </c>
      <c r="N892" s="7" t="str">
        <f>IFERROR(HLOOKUP(L892,'Calc|Weightings'!$K$5:$M$5,1,0),"Excl")</f>
        <v>Labour</v>
      </c>
      <c r="O892" s="7" t="str">
        <f>VLOOKUP(E892,Mapping!$E$11:$I$96,5,0)</f>
        <v>SCS</v>
      </c>
      <c r="Q892" s="33">
        <v>141</v>
      </c>
      <c r="R892" s="33" t="s">
        <v>2149</v>
      </c>
      <c r="S892" s="33">
        <v>591999</v>
      </c>
      <c r="T892" s="33" t="s">
        <v>2078</v>
      </c>
      <c r="U892" s="34">
        <v>-58.807310000000001</v>
      </c>
      <c r="V892" s="7"/>
      <c r="W892" s="7" t="str">
        <f>VLOOKUP($Q892,Mapping!$E$11:$I$96,3,0)</f>
        <v>Replacement</v>
      </c>
      <c r="X892" s="7" t="str">
        <f>VLOOKUP($S892,Mapping!$E$140:$K$2771,5,0)</f>
        <v>Contracts</v>
      </c>
      <c r="Y892" s="7" t="str">
        <f>VLOOKUP($S892,Mapping!$E$140:$K$2771,7,0)</f>
        <v>ENDirect</v>
      </c>
      <c r="Z892" s="7" t="str">
        <f>IFERROR(HLOOKUP(X892,'Calc|Weightings'!$K$5:$M$5,1,0),"Excl")</f>
        <v>Contracts</v>
      </c>
      <c r="AA892" s="7" t="str">
        <f>VLOOKUP(Q892,Mapping!$E$11:$I$96,5,0)</f>
        <v>SCS</v>
      </c>
      <c r="AC892" s="111">
        <v>141</v>
      </c>
      <c r="AD892" s="111" t="s">
        <v>2149</v>
      </c>
      <c r="AE892" s="111">
        <v>531000</v>
      </c>
      <c r="AF892" s="111" t="s">
        <v>242</v>
      </c>
      <c r="AG892" s="112">
        <v>1.1228199999999999</v>
      </c>
      <c r="AI892" s="7" t="str">
        <f>VLOOKUP($AC892,Mapping!$E$11:$I$96,3,0)</f>
        <v>Replacement</v>
      </c>
      <c r="AJ892" s="7" t="str">
        <f>VLOOKUP($AE892,Mapping!$E$140:$K$2771,5,0)</f>
        <v>Contracts</v>
      </c>
      <c r="AK892" s="7" t="str">
        <f>VLOOKUP($AE892,Mapping!$E$140:$K$2771,7,0)</f>
        <v>ENDirect</v>
      </c>
      <c r="AL892" s="7" t="str">
        <f>IFERROR(HLOOKUP(AJ892,'Calc|Weightings'!$K$5:$M$5,1,0),"Excl")</f>
        <v>Contracts</v>
      </c>
      <c r="AM892" s="7" t="str">
        <f>VLOOKUP(AC892,Mapping!$E$11:$I$96,5,0)</f>
        <v>SCS</v>
      </c>
      <c r="AO892" s="134">
        <v>143</v>
      </c>
      <c r="AP892" s="135" t="s">
        <v>2153</v>
      </c>
      <c r="AQ892" s="135">
        <v>591997</v>
      </c>
      <c r="AR892" s="135" t="s">
        <v>2194</v>
      </c>
      <c r="AS892" s="136">
        <v>-1.1833</v>
      </c>
      <c r="AU892" s="7" t="str">
        <f>VLOOKUP($AO892,Mapping!$E$11:$I$96,3,0)</f>
        <v>Replacement</v>
      </c>
      <c r="AV892" s="7" t="str">
        <f>VLOOKUP($AQ892,Mapping!$E$140:$K$2771,5,0)</f>
        <v>Contracts</v>
      </c>
      <c r="AW892" s="7" t="str">
        <f>VLOOKUP($AQ892,Mapping!$E$140:$K$2771,7,0)</f>
        <v>ENDirect</v>
      </c>
      <c r="AX892" s="7" t="str">
        <f>IFERROR(HLOOKUP(AV892,'Calc|Weightings'!$K$5:$M$5,1,0),"Excl")</f>
        <v>Contracts</v>
      </c>
      <c r="AY892" s="7" t="str">
        <f>VLOOKUP(AO892,Mapping!$E$11:$I$96,5,0)</f>
        <v>SCS</v>
      </c>
    </row>
    <row r="893" spans="1:51" x14ac:dyDescent="0.2">
      <c r="A893" s="7"/>
      <c r="B893" s="7"/>
      <c r="C893" s="7"/>
      <c r="D893" s="7"/>
      <c r="E893" s="36">
        <v>139</v>
      </c>
      <c r="F893" s="36" t="s">
        <v>2146</v>
      </c>
      <c r="G893" s="36">
        <v>613439</v>
      </c>
      <c r="H893" s="36" t="s">
        <v>1437</v>
      </c>
      <c r="I893" s="37">
        <v>0.69996000000000003</v>
      </c>
      <c r="J893" s="7"/>
      <c r="K893" s="7" t="str">
        <f>VLOOKUP($E893,Mapping!$E$11:$I$96,3,0)</f>
        <v>Replacement</v>
      </c>
      <c r="L893" s="7" t="str">
        <f>VLOOKUP($G893,Mapping!$E$140:$K$2771,5,0)</f>
        <v>Labour</v>
      </c>
      <c r="M893" s="7" t="str">
        <f>VLOOKUP($G893,Mapping!$E$140:$K$2771,7,0)</f>
        <v>ENDirect</v>
      </c>
      <c r="N893" s="7" t="str">
        <f>IFERROR(HLOOKUP(L893,'Calc|Weightings'!$K$5:$M$5,1,0),"Excl")</f>
        <v>Labour</v>
      </c>
      <c r="O893" s="7" t="str">
        <f>VLOOKUP(E893,Mapping!$E$11:$I$96,5,0)</f>
        <v>SCS</v>
      </c>
      <c r="Q893" s="33">
        <v>141</v>
      </c>
      <c r="R893" s="33" t="s">
        <v>2149</v>
      </c>
      <c r="S893" s="33">
        <v>611860</v>
      </c>
      <c r="T893" s="33" t="s">
        <v>2125</v>
      </c>
      <c r="U893" s="34">
        <v>0.25852999999999998</v>
      </c>
      <c r="V893" s="7"/>
      <c r="W893" s="7" t="str">
        <f>VLOOKUP($Q893,Mapping!$E$11:$I$96,3,0)</f>
        <v>Replacement</v>
      </c>
      <c r="X893" s="7" t="str">
        <f>VLOOKUP($S893,Mapping!$E$140:$K$2771,5,0)</f>
        <v>Labour</v>
      </c>
      <c r="Y893" s="7" t="str">
        <f>VLOOKUP($S893,Mapping!$E$140:$K$2771,7,0)</f>
        <v>ENDirect</v>
      </c>
      <c r="Z893" s="7" t="str">
        <f>IFERROR(HLOOKUP(X893,'Calc|Weightings'!$K$5:$M$5,1,0),"Excl")</f>
        <v>Labour</v>
      </c>
      <c r="AA893" s="7" t="str">
        <f>VLOOKUP(Q893,Mapping!$E$11:$I$96,5,0)</f>
        <v>SCS</v>
      </c>
      <c r="AC893" s="111">
        <v>141</v>
      </c>
      <c r="AD893" s="111" t="s">
        <v>2149</v>
      </c>
      <c r="AE893" s="111">
        <v>531020</v>
      </c>
      <c r="AF893" s="111" t="s">
        <v>219</v>
      </c>
      <c r="AG893" s="112">
        <v>-1.26152</v>
      </c>
      <c r="AI893" s="7" t="str">
        <f>VLOOKUP($AC893,Mapping!$E$11:$I$96,3,0)</f>
        <v>Replacement</v>
      </c>
      <c r="AJ893" s="7" t="str">
        <f>VLOOKUP($AE893,Mapping!$E$140:$K$2771,5,0)</f>
        <v>Labour</v>
      </c>
      <c r="AK893" s="7" t="str">
        <f>VLOOKUP($AE893,Mapping!$E$140:$K$2771,7,0)</f>
        <v>ENDirect</v>
      </c>
      <c r="AL893" s="7" t="str">
        <f>IFERROR(HLOOKUP(AJ893,'Calc|Weightings'!$K$5:$M$5,1,0),"Excl")</f>
        <v>Labour</v>
      </c>
      <c r="AM893" s="7" t="str">
        <f>VLOOKUP(AC893,Mapping!$E$11:$I$96,5,0)</f>
        <v>SCS</v>
      </c>
      <c r="AO893" s="134">
        <v>143</v>
      </c>
      <c r="AP893" s="135" t="s">
        <v>2153</v>
      </c>
      <c r="AQ893" s="135">
        <v>591999</v>
      </c>
      <c r="AR893" s="135" t="s">
        <v>2195</v>
      </c>
      <c r="AS893" s="136">
        <v>-8.2031799999999997</v>
      </c>
      <c r="AU893" s="7" t="str">
        <f>VLOOKUP($AO893,Mapping!$E$11:$I$96,3,0)</f>
        <v>Replacement</v>
      </c>
      <c r="AV893" s="7" t="str">
        <f>VLOOKUP($AQ893,Mapping!$E$140:$K$2771,5,0)</f>
        <v>Contracts</v>
      </c>
      <c r="AW893" s="7" t="str">
        <f>VLOOKUP($AQ893,Mapping!$E$140:$K$2771,7,0)</f>
        <v>ENDirect</v>
      </c>
      <c r="AX893" s="7" t="str">
        <f>IFERROR(HLOOKUP(AV893,'Calc|Weightings'!$K$5:$M$5,1,0),"Excl")</f>
        <v>Contracts</v>
      </c>
      <c r="AY893" s="7" t="str">
        <f>VLOOKUP(AO893,Mapping!$E$11:$I$96,5,0)</f>
        <v>SCS</v>
      </c>
    </row>
    <row r="894" spans="1:51" x14ac:dyDescent="0.2">
      <c r="A894" s="7"/>
      <c r="B894" s="7"/>
      <c r="C894" s="7"/>
      <c r="D894" s="7"/>
      <c r="E894" s="36">
        <v>139</v>
      </c>
      <c r="F894" s="36" t="s">
        <v>2146</v>
      </c>
      <c r="G894" s="36">
        <v>613566</v>
      </c>
      <c r="H894" s="36" t="s">
        <v>1482</v>
      </c>
      <c r="I894" s="37">
        <v>2.7993299999999999</v>
      </c>
      <c r="J894" s="7"/>
      <c r="K894" s="7" t="str">
        <f>VLOOKUP($E894,Mapping!$E$11:$I$96,3,0)</f>
        <v>Replacement</v>
      </c>
      <c r="L894" s="7" t="str">
        <f>VLOOKUP($G894,Mapping!$E$140:$K$2771,5,0)</f>
        <v>Labour</v>
      </c>
      <c r="M894" s="7" t="str">
        <f>VLOOKUP($G894,Mapping!$E$140:$K$2771,7,0)</f>
        <v>ENDirect</v>
      </c>
      <c r="N894" s="7" t="str">
        <f>IFERROR(HLOOKUP(L894,'Calc|Weightings'!$K$5:$M$5,1,0),"Excl")</f>
        <v>Labour</v>
      </c>
      <c r="O894" s="7" t="str">
        <f>VLOOKUP(E894,Mapping!$E$11:$I$96,5,0)</f>
        <v>SCS</v>
      </c>
      <c r="Q894" s="33">
        <v>141</v>
      </c>
      <c r="R894" s="33" t="s">
        <v>2149</v>
      </c>
      <c r="S894" s="33">
        <v>611900</v>
      </c>
      <c r="T894" s="33" t="s">
        <v>2079</v>
      </c>
      <c r="U894" s="34">
        <v>7.34877</v>
      </c>
      <c r="V894" s="7"/>
      <c r="W894" s="7" t="str">
        <f>VLOOKUP($Q894,Mapping!$E$11:$I$96,3,0)</f>
        <v>Replacement</v>
      </c>
      <c r="X894" s="7" t="str">
        <f>VLOOKUP($S894,Mapping!$E$140:$K$2771,5,0)</f>
        <v>Contracts</v>
      </c>
      <c r="Y894" s="7" t="str">
        <f>VLOOKUP($S894,Mapping!$E$140:$K$2771,7,0)</f>
        <v>ENDirect</v>
      </c>
      <c r="Z894" s="7" t="str">
        <f>IFERROR(HLOOKUP(X894,'Calc|Weightings'!$K$5:$M$5,1,0),"Excl")</f>
        <v>Contracts</v>
      </c>
      <c r="AA894" s="7" t="str">
        <f>VLOOKUP(Q894,Mapping!$E$11:$I$96,5,0)</f>
        <v>SCS</v>
      </c>
      <c r="AC894" s="111">
        <v>141</v>
      </c>
      <c r="AD894" s="111" t="s">
        <v>2149</v>
      </c>
      <c r="AE894" s="111">
        <v>531201</v>
      </c>
      <c r="AF894" s="111" t="s">
        <v>251</v>
      </c>
      <c r="AG894" s="112">
        <v>26.779779999999999</v>
      </c>
      <c r="AI894" s="7" t="str">
        <f>VLOOKUP($AC894,Mapping!$E$11:$I$96,3,0)</f>
        <v>Replacement</v>
      </c>
      <c r="AJ894" s="7" t="str">
        <f>VLOOKUP($AE894,Mapping!$E$140:$K$2771,5,0)</f>
        <v>Contracts</v>
      </c>
      <c r="AK894" s="7" t="str">
        <f>VLOOKUP($AE894,Mapping!$E$140:$K$2771,7,0)</f>
        <v>ENDirect</v>
      </c>
      <c r="AL894" s="7" t="str">
        <f>IFERROR(HLOOKUP(AJ894,'Calc|Weightings'!$K$5:$M$5,1,0),"Excl")</f>
        <v>Contracts</v>
      </c>
      <c r="AM894" s="7" t="str">
        <f>VLOOKUP(AC894,Mapping!$E$11:$I$96,5,0)</f>
        <v>SCS</v>
      </c>
      <c r="AO894" s="134">
        <v>143</v>
      </c>
      <c r="AP894" s="135" t="s">
        <v>2153</v>
      </c>
      <c r="AQ894" s="135">
        <v>611900</v>
      </c>
      <c r="AR894" s="135" t="s">
        <v>2079</v>
      </c>
      <c r="AS894" s="136">
        <v>5.7503799999999998</v>
      </c>
      <c r="AU894" s="7" t="str">
        <f>VLOOKUP($AO894,Mapping!$E$11:$I$96,3,0)</f>
        <v>Replacement</v>
      </c>
      <c r="AV894" s="7" t="str">
        <f>VLOOKUP($AQ894,Mapping!$E$140:$K$2771,5,0)</f>
        <v>Contracts</v>
      </c>
      <c r="AW894" s="7" t="str">
        <f>VLOOKUP($AQ894,Mapping!$E$140:$K$2771,7,0)</f>
        <v>ENDirect</v>
      </c>
      <c r="AX894" s="7" t="str">
        <f>IFERROR(HLOOKUP(AV894,'Calc|Weightings'!$K$5:$M$5,1,0),"Excl")</f>
        <v>Contracts</v>
      </c>
      <c r="AY894" s="7" t="str">
        <f>VLOOKUP(AO894,Mapping!$E$11:$I$96,5,0)</f>
        <v>SCS</v>
      </c>
    </row>
    <row r="895" spans="1:51" x14ac:dyDescent="0.2">
      <c r="A895" s="7"/>
      <c r="B895" s="7"/>
      <c r="C895" s="7"/>
      <c r="D895" s="7"/>
      <c r="E895" s="36">
        <v>139</v>
      </c>
      <c r="F895" s="36" t="s">
        <v>2146</v>
      </c>
      <c r="G895" s="36">
        <v>613570</v>
      </c>
      <c r="H895" s="36" t="s">
        <v>1484</v>
      </c>
      <c r="I895" s="37">
        <v>1.46052</v>
      </c>
      <c r="J895" s="7"/>
      <c r="K895" s="7" t="str">
        <f>VLOOKUP($E895,Mapping!$E$11:$I$96,3,0)</f>
        <v>Replacement</v>
      </c>
      <c r="L895" s="7" t="str">
        <f>VLOOKUP($G895,Mapping!$E$140:$K$2771,5,0)</f>
        <v>Labour</v>
      </c>
      <c r="M895" s="7" t="str">
        <f>VLOOKUP($G895,Mapping!$E$140:$K$2771,7,0)</f>
        <v>ENDirect</v>
      </c>
      <c r="N895" s="7" t="str">
        <f>IFERROR(HLOOKUP(L895,'Calc|Weightings'!$K$5:$M$5,1,0),"Excl")</f>
        <v>Labour</v>
      </c>
      <c r="O895" s="7" t="str">
        <f>VLOOKUP(E895,Mapping!$E$11:$I$96,5,0)</f>
        <v>SCS</v>
      </c>
      <c r="Q895" s="33">
        <v>141</v>
      </c>
      <c r="R895" s="33" t="s">
        <v>2149</v>
      </c>
      <c r="S895" s="33">
        <v>611901</v>
      </c>
      <c r="T895" s="33" t="s">
        <v>2080</v>
      </c>
      <c r="U895" s="34">
        <v>16.706510000000002</v>
      </c>
      <c r="V895" s="7"/>
      <c r="W895" s="7" t="str">
        <f>VLOOKUP($Q895,Mapping!$E$11:$I$96,3,0)</f>
        <v>Replacement</v>
      </c>
      <c r="X895" s="7" t="str">
        <f>VLOOKUP($S895,Mapping!$E$140:$K$2771,5,0)</f>
        <v>Contracts</v>
      </c>
      <c r="Y895" s="7" t="str">
        <f>VLOOKUP($S895,Mapping!$E$140:$K$2771,7,0)</f>
        <v>ENDirect</v>
      </c>
      <c r="Z895" s="7" t="str">
        <f>IFERROR(HLOOKUP(X895,'Calc|Weightings'!$K$5:$M$5,1,0),"Excl")</f>
        <v>Contracts</v>
      </c>
      <c r="AA895" s="7" t="str">
        <f>VLOOKUP(Q895,Mapping!$E$11:$I$96,5,0)</f>
        <v>SCS</v>
      </c>
      <c r="AC895" s="111">
        <v>141</v>
      </c>
      <c r="AD895" s="111" t="s">
        <v>2149</v>
      </c>
      <c r="AE895" s="111">
        <v>531464</v>
      </c>
      <c r="AF895" s="111" t="s">
        <v>256</v>
      </c>
      <c r="AG895" s="112">
        <v>1699.9262200000001</v>
      </c>
      <c r="AI895" s="7" t="str">
        <f>VLOOKUP($AC895,Mapping!$E$11:$I$96,3,0)</f>
        <v>Replacement</v>
      </c>
      <c r="AJ895" s="7" t="str">
        <f>VLOOKUP($AE895,Mapping!$E$140:$K$2771,5,0)</f>
        <v>Contracts</v>
      </c>
      <c r="AK895" s="7" t="str">
        <f>VLOOKUP($AE895,Mapping!$E$140:$K$2771,7,0)</f>
        <v>ENDirect</v>
      </c>
      <c r="AL895" s="7" t="str">
        <f>IFERROR(HLOOKUP(AJ895,'Calc|Weightings'!$K$5:$M$5,1,0),"Excl")</f>
        <v>Contracts</v>
      </c>
      <c r="AM895" s="7" t="str">
        <f>VLOOKUP(AC895,Mapping!$E$11:$I$96,5,0)</f>
        <v>SCS</v>
      </c>
      <c r="AO895" s="134">
        <v>143</v>
      </c>
      <c r="AP895" s="135" t="s">
        <v>2153</v>
      </c>
      <c r="AQ895" s="135">
        <v>611901</v>
      </c>
      <c r="AR895" s="135" t="s">
        <v>2080</v>
      </c>
      <c r="AS895" s="136">
        <v>2.02854</v>
      </c>
      <c r="AU895" s="7" t="str">
        <f>VLOOKUP($AO895,Mapping!$E$11:$I$96,3,0)</f>
        <v>Replacement</v>
      </c>
      <c r="AV895" s="7" t="str">
        <f>VLOOKUP($AQ895,Mapping!$E$140:$K$2771,5,0)</f>
        <v>Contracts</v>
      </c>
      <c r="AW895" s="7" t="str">
        <f>VLOOKUP($AQ895,Mapping!$E$140:$K$2771,7,0)</f>
        <v>ENDirect</v>
      </c>
      <c r="AX895" s="7" t="str">
        <f>IFERROR(HLOOKUP(AV895,'Calc|Weightings'!$K$5:$M$5,1,0),"Excl")</f>
        <v>Contracts</v>
      </c>
      <c r="AY895" s="7" t="str">
        <f>VLOOKUP(AO895,Mapping!$E$11:$I$96,5,0)</f>
        <v>SCS</v>
      </c>
    </row>
    <row r="896" spans="1:51" x14ac:dyDescent="0.2">
      <c r="A896" s="7"/>
      <c r="B896" s="7"/>
      <c r="C896" s="7"/>
      <c r="D896" s="7"/>
      <c r="E896" s="36">
        <v>139</v>
      </c>
      <c r="F896" s="36" t="s">
        <v>2146</v>
      </c>
      <c r="G896" s="36">
        <v>613571</v>
      </c>
      <c r="H896" s="36" t="s">
        <v>1485</v>
      </c>
      <c r="I896" s="37">
        <v>0.15822</v>
      </c>
      <c r="J896" s="7"/>
      <c r="K896" s="7" t="str">
        <f>VLOOKUP($E896,Mapping!$E$11:$I$96,3,0)</f>
        <v>Replacement</v>
      </c>
      <c r="L896" s="7" t="str">
        <f>VLOOKUP($G896,Mapping!$E$140:$K$2771,5,0)</f>
        <v>Labour</v>
      </c>
      <c r="M896" s="7" t="str">
        <f>VLOOKUP($G896,Mapping!$E$140:$K$2771,7,0)</f>
        <v>ENDirect</v>
      </c>
      <c r="N896" s="7" t="str">
        <f>IFERROR(HLOOKUP(L896,'Calc|Weightings'!$K$5:$M$5,1,0),"Excl")</f>
        <v>Labour</v>
      </c>
      <c r="O896" s="7" t="str">
        <f>VLOOKUP(E896,Mapping!$E$11:$I$96,5,0)</f>
        <v>SCS</v>
      </c>
      <c r="Q896" s="33">
        <v>141</v>
      </c>
      <c r="R896" s="33" t="s">
        <v>2149</v>
      </c>
      <c r="S896" s="33">
        <v>611902</v>
      </c>
      <c r="T896" s="33" t="s">
        <v>2081</v>
      </c>
      <c r="U896" s="34">
        <v>0.98070000000000002</v>
      </c>
      <c r="V896" s="7"/>
      <c r="W896" s="7" t="str">
        <f>VLOOKUP($Q896,Mapping!$E$11:$I$96,3,0)</f>
        <v>Replacement</v>
      </c>
      <c r="X896" s="7" t="str">
        <f>VLOOKUP($S896,Mapping!$E$140:$K$2771,5,0)</f>
        <v>Contracts</v>
      </c>
      <c r="Y896" s="7" t="str">
        <f>VLOOKUP($S896,Mapping!$E$140:$K$2771,7,0)</f>
        <v>ENDirect</v>
      </c>
      <c r="Z896" s="7" t="str">
        <f>IFERROR(HLOOKUP(X896,'Calc|Weightings'!$K$5:$M$5,1,0),"Excl")</f>
        <v>Contracts</v>
      </c>
      <c r="AA896" s="7" t="str">
        <f>VLOOKUP(Q896,Mapping!$E$11:$I$96,5,0)</f>
        <v>SCS</v>
      </c>
      <c r="AC896" s="111">
        <v>141</v>
      </c>
      <c r="AD896" s="111" t="s">
        <v>2149</v>
      </c>
      <c r="AE896" s="111">
        <v>531466</v>
      </c>
      <c r="AF896" s="111" t="s">
        <v>258</v>
      </c>
      <c r="AG896" s="112">
        <v>81.51746</v>
      </c>
      <c r="AI896" s="7" t="str">
        <f>VLOOKUP($AC896,Mapping!$E$11:$I$96,3,0)</f>
        <v>Replacement</v>
      </c>
      <c r="AJ896" s="7" t="str">
        <f>VLOOKUP($AE896,Mapping!$E$140:$K$2771,5,0)</f>
        <v>Contracts</v>
      </c>
      <c r="AK896" s="7" t="str">
        <f>VLOOKUP($AE896,Mapping!$E$140:$K$2771,7,0)</f>
        <v>ENDirect</v>
      </c>
      <c r="AL896" s="7" t="str">
        <f>IFERROR(HLOOKUP(AJ896,'Calc|Weightings'!$K$5:$M$5,1,0),"Excl")</f>
        <v>Contracts</v>
      </c>
      <c r="AM896" s="7" t="str">
        <f>VLOOKUP(AC896,Mapping!$E$11:$I$96,5,0)</f>
        <v>SCS</v>
      </c>
      <c r="AO896" s="134">
        <v>143</v>
      </c>
      <c r="AP896" s="135" t="s">
        <v>2153</v>
      </c>
      <c r="AQ896" s="135">
        <v>611902</v>
      </c>
      <c r="AR896" s="135" t="s">
        <v>2081</v>
      </c>
      <c r="AS896" s="136">
        <v>5.2644200000000003</v>
      </c>
      <c r="AU896" s="7" t="str">
        <f>VLOOKUP($AO896,Mapping!$E$11:$I$96,3,0)</f>
        <v>Replacement</v>
      </c>
      <c r="AV896" s="7" t="str">
        <f>VLOOKUP($AQ896,Mapping!$E$140:$K$2771,5,0)</f>
        <v>Contracts</v>
      </c>
      <c r="AW896" s="7" t="str">
        <f>VLOOKUP($AQ896,Mapping!$E$140:$K$2771,7,0)</f>
        <v>ENDirect</v>
      </c>
      <c r="AX896" s="7" t="str">
        <f>IFERROR(HLOOKUP(AV896,'Calc|Weightings'!$K$5:$M$5,1,0),"Excl")</f>
        <v>Contracts</v>
      </c>
      <c r="AY896" s="7" t="str">
        <f>VLOOKUP(AO896,Mapping!$E$11:$I$96,5,0)</f>
        <v>SCS</v>
      </c>
    </row>
    <row r="897" spans="1:51" x14ac:dyDescent="0.2">
      <c r="A897" s="7"/>
      <c r="B897" s="7"/>
      <c r="C897" s="7"/>
      <c r="D897" s="7"/>
      <c r="E897" s="36">
        <v>139</v>
      </c>
      <c r="F897" s="36" t="s">
        <v>2146</v>
      </c>
      <c r="G897" s="36">
        <v>613574</v>
      </c>
      <c r="H897" s="36" t="s">
        <v>1488</v>
      </c>
      <c r="I897" s="37">
        <v>1.6437200000000001</v>
      </c>
      <c r="J897" s="7"/>
      <c r="K897" s="7" t="str">
        <f>VLOOKUP($E897,Mapping!$E$11:$I$96,3,0)</f>
        <v>Replacement</v>
      </c>
      <c r="L897" s="7" t="str">
        <f>VLOOKUP($G897,Mapping!$E$140:$K$2771,5,0)</f>
        <v>Labour</v>
      </c>
      <c r="M897" s="7" t="str">
        <f>VLOOKUP($G897,Mapping!$E$140:$K$2771,7,0)</f>
        <v>ENDirect</v>
      </c>
      <c r="N897" s="7" t="str">
        <f>IFERROR(HLOOKUP(L897,'Calc|Weightings'!$K$5:$M$5,1,0),"Excl")</f>
        <v>Labour</v>
      </c>
      <c r="O897" s="7" t="str">
        <f>VLOOKUP(E897,Mapping!$E$11:$I$96,5,0)</f>
        <v>SCS</v>
      </c>
      <c r="Q897" s="33">
        <v>141</v>
      </c>
      <c r="R897" s="33" t="s">
        <v>2149</v>
      </c>
      <c r="S897" s="33">
        <v>613240</v>
      </c>
      <c r="T897" s="33" t="s">
        <v>2082</v>
      </c>
      <c r="U897" s="34">
        <v>15.794689999999999</v>
      </c>
      <c r="V897" s="7"/>
      <c r="W897" s="7" t="str">
        <f>VLOOKUP($Q897,Mapping!$E$11:$I$96,3,0)</f>
        <v>Replacement</v>
      </c>
      <c r="X897" s="7" t="str">
        <f>VLOOKUP($S897,Mapping!$E$140:$K$2771,5,0)</f>
        <v>Labour</v>
      </c>
      <c r="Y897" s="7" t="str">
        <f>VLOOKUP($S897,Mapping!$E$140:$K$2771,7,0)</f>
        <v>ENDirect</v>
      </c>
      <c r="Z897" s="7" t="str">
        <f>IFERROR(HLOOKUP(X897,'Calc|Weightings'!$K$5:$M$5,1,0),"Excl")</f>
        <v>Labour</v>
      </c>
      <c r="AA897" s="7" t="str">
        <f>VLOOKUP(Q897,Mapping!$E$11:$I$96,5,0)</f>
        <v>SCS</v>
      </c>
      <c r="AC897" s="111">
        <v>141</v>
      </c>
      <c r="AD897" s="111" t="s">
        <v>2149</v>
      </c>
      <c r="AE897" s="111">
        <v>531467</v>
      </c>
      <c r="AF897" s="111" t="s">
        <v>259</v>
      </c>
      <c r="AG897" s="112">
        <v>576.61400000000003</v>
      </c>
      <c r="AI897" s="7" t="str">
        <f>VLOOKUP($AC897,Mapping!$E$11:$I$96,3,0)</f>
        <v>Replacement</v>
      </c>
      <c r="AJ897" s="7" t="str">
        <f>VLOOKUP($AE897,Mapping!$E$140:$K$2771,5,0)</f>
        <v>Contracts</v>
      </c>
      <c r="AK897" s="7" t="str">
        <f>VLOOKUP($AE897,Mapping!$E$140:$K$2771,7,0)</f>
        <v>ENDirect</v>
      </c>
      <c r="AL897" s="7" t="str">
        <f>IFERROR(HLOOKUP(AJ897,'Calc|Weightings'!$K$5:$M$5,1,0),"Excl")</f>
        <v>Contracts</v>
      </c>
      <c r="AM897" s="7" t="str">
        <f>VLOOKUP(AC897,Mapping!$E$11:$I$96,5,0)</f>
        <v>SCS</v>
      </c>
      <c r="AO897" s="134">
        <v>143</v>
      </c>
      <c r="AP897" s="135" t="s">
        <v>2153</v>
      </c>
      <c r="AQ897" s="135">
        <v>613240</v>
      </c>
      <c r="AR897" s="135" t="s">
        <v>2082</v>
      </c>
      <c r="AS897" s="136">
        <v>4.7804799999999998</v>
      </c>
      <c r="AU897" s="7" t="str">
        <f>VLOOKUP($AO897,Mapping!$E$11:$I$96,3,0)</f>
        <v>Replacement</v>
      </c>
      <c r="AV897" s="7" t="str">
        <f>VLOOKUP($AQ897,Mapping!$E$140:$K$2771,5,0)</f>
        <v>Labour</v>
      </c>
      <c r="AW897" s="7" t="str">
        <f>VLOOKUP($AQ897,Mapping!$E$140:$K$2771,7,0)</f>
        <v>ENDirect</v>
      </c>
      <c r="AX897" s="7" t="str">
        <f>IFERROR(HLOOKUP(AV897,'Calc|Weightings'!$K$5:$M$5,1,0),"Excl")</f>
        <v>Labour</v>
      </c>
      <c r="AY897" s="7" t="str">
        <f>VLOOKUP(AO897,Mapping!$E$11:$I$96,5,0)</f>
        <v>SCS</v>
      </c>
    </row>
    <row r="898" spans="1:51" x14ac:dyDescent="0.2">
      <c r="A898" s="7"/>
      <c r="B898" s="7"/>
      <c r="C898" s="7"/>
      <c r="D898" s="7"/>
      <c r="E898" s="36">
        <v>139</v>
      </c>
      <c r="F898" s="36" t="s">
        <v>2146</v>
      </c>
      <c r="G898" s="36">
        <v>613576</v>
      </c>
      <c r="H898" s="36" t="s">
        <v>1490</v>
      </c>
      <c r="I898" s="37">
        <v>0.2326</v>
      </c>
      <c r="J898" s="7"/>
      <c r="K898" s="7" t="str">
        <f>VLOOKUP($E898,Mapping!$E$11:$I$96,3,0)</f>
        <v>Replacement</v>
      </c>
      <c r="L898" s="7" t="str">
        <f>VLOOKUP($G898,Mapping!$E$140:$K$2771,5,0)</f>
        <v>Labour</v>
      </c>
      <c r="M898" s="7" t="str">
        <f>VLOOKUP($G898,Mapping!$E$140:$K$2771,7,0)</f>
        <v>ENDirect</v>
      </c>
      <c r="N898" s="7" t="str">
        <f>IFERROR(HLOOKUP(L898,'Calc|Weightings'!$K$5:$M$5,1,0),"Excl")</f>
        <v>Labour</v>
      </c>
      <c r="O898" s="7" t="str">
        <f>VLOOKUP(E898,Mapping!$E$11:$I$96,5,0)</f>
        <v>SCS</v>
      </c>
      <c r="Q898" s="33">
        <v>141</v>
      </c>
      <c r="R898" s="33" t="s">
        <v>2149</v>
      </c>
      <c r="S898" s="33">
        <v>613241</v>
      </c>
      <c r="T898" s="33" t="s">
        <v>2083</v>
      </c>
      <c r="U898" s="34">
        <v>79.982190000000003</v>
      </c>
      <c r="V898" s="7"/>
      <c r="W898" s="7" t="str">
        <f>VLOOKUP($Q898,Mapping!$E$11:$I$96,3,0)</f>
        <v>Replacement</v>
      </c>
      <c r="X898" s="7" t="str">
        <f>VLOOKUP($S898,Mapping!$E$140:$K$2771,5,0)</f>
        <v>Labour</v>
      </c>
      <c r="Y898" s="7" t="str">
        <f>VLOOKUP($S898,Mapping!$E$140:$K$2771,7,0)</f>
        <v>ENDirect</v>
      </c>
      <c r="Z898" s="7" t="str">
        <f>IFERROR(HLOOKUP(X898,'Calc|Weightings'!$K$5:$M$5,1,0),"Excl")</f>
        <v>Labour</v>
      </c>
      <c r="AA898" s="7" t="str">
        <f>VLOOKUP(Q898,Mapping!$E$11:$I$96,5,0)</f>
        <v>SCS</v>
      </c>
      <c r="AC898" s="111">
        <v>141</v>
      </c>
      <c r="AD898" s="111" t="s">
        <v>2149</v>
      </c>
      <c r="AE898" s="111">
        <v>531468</v>
      </c>
      <c r="AF898" s="111" t="s">
        <v>260</v>
      </c>
      <c r="AG898" s="112">
        <v>366.58022</v>
      </c>
      <c r="AI898" s="7" t="str">
        <f>VLOOKUP($AC898,Mapping!$E$11:$I$96,3,0)</f>
        <v>Replacement</v>
      </c>
      <c r="AJ898" s="7" t="str">
        <f>VLOOKUP($AE898,Mapping!$E$140:$K$2771,5,0)</f>
        <v>Contracts</v>
      </c>
      <c r="AK898" s="7" t="str">
        <f>VLOOKUP($AE898,Mapping!$E$140:$K$2771,7,0)</f>
        <v>ENDirect</v>
      </c>
      <c r="AL898" s="7" t="str">
        <f>IFERROR(HLOOKUP(AJ898,'Calc|Weightings'!$K$5:$M$5,1,0),"Excl")</f>
        <v>Contracts</v>
      </c>
      <c r="AM898" s="7" t="str">
        <f>VLOOKUP(AC898,Mapping!$E$11:$I$96,5,0)</f>
        <v>SCS</v>
      </c>
      <c r="AO898" s="134">
        <v>143</v>
      </c>
      <c r="AP898" s="135" t="s">
        <v>2153</v>
      </c>
      <c r="AQ898" s="135">
        <v>613241</v>
      </c>
      <c r="AR898" s="135" t="s">
        <v>2083</v>
      </c>
      <c r="AS898" s="136">
        <v>6.1704400000000001</v>
      </c>
      <c r="AU898" s="7" t="str">
        <f>VLOOKUP($AO898,Mapping!$E$11:$I$96,3,0)</f>
        <v>Replacement</v>
      </c>
      <c r="AV898" s="7" t="str">
        <f>VLOOKUP($AQ898,Mapping!$E$140:$K$2771,5,0)</f>
        <v>Labour</v>
      </c>
      <c r="AW898" s="7" t="str">
        <f>VLOOKUP($AQ898,Mapping!$E$140:$K$2771,7,0)</f>
        <v>ENDirect</v>
      </c>
      <c r="AX898" s="7" t="str">
        <f>IFERROR(HLOOKUP(AV898,'Calc|Weightings'!$K$5:$M$5,1,0),"Excl")</f>
        <v>Labour</v>
      </c>
      <c r="AY898" s="7" t="str">
        <f>VLOOKUP(AO898,Mapping!$E$11:$I$96,5,0)</f>
        <v>SCS</v>
      </c>
    </row>
    <row r="899" spans="1:51" x14ac:dyDescent="0.2">
      <c r="A899" s="7"/>
      <c r="B899" s="7"/>
      <c r="C899" s="7"/>
      <c r="D899" s="7"/>
      <c r="E899" s="36">
        <v>139</v>
      </c>
      <c r="F899" s="36" t="s">
        <v>2146</v>
      </c>
      <c r="G899" s="36">
        <v>613680</v>
      </c>
      <c r="H899" s="36" t="s">
        <v>2107</v>
      </c>
      <c r="I899" s="37">
        <v>0.19406999999999999</v>
      </c>
      <c r="J899" s="7"/>
      <c r="K899" s="7" t="str">
        <f>VLOOKUP($E899,Mapping!$E$11:$I$96,3,0)</f>
        <v>Replacement</v>
      </c>
      <c r="L899" s="7" t="str">
        <f>VLOOKUP($G899,Mapping!$E$140:$K$2771,5,0)</f>
        <v>Labour</v>
      </c>
      <c r="M899" s="7" t="str">
        <f>VLOOKUP($G899,Mapping!$E$140:$K$2771,7,0)</f>
        <v>ENDirect</v>
      </c>
      <c r="N899" s="7" t="str">
        <f>IFERROR(HLOOKUP(L899,'Calc|Weightings'!$K$5:$M$5,1,0),"Excl")</f>
        <v>Labour</v>
      </c>
      <c r="O899" s="7" t="str">
        <f>VLOOKUP(E899,Mapping!$E$11:$I$96,5,0)</f>
        <v>SCS</v>
      </c>
      <c r="Q899" s="33">
        <v>141</v>
      </c>
      <c r="R899" s="33" t="s">
        <v>2149</v>
      </c>
      <c r="S899" s="33">
        <v>613250</v>
      </c>
      <c r="T899" s="33" t="s">
        <v>2086</v>
      </c>
      <c r="U899" s="34">
        <v>190.55153999999999</v>
      </c>
      <c r="V899" s="7"/>
      <c r="W899" s="7" t="str">
        <f>VLOOKUP($Q899,Mapping!$E$11:$I$96,3,0)</f>
        <v>Replacement</v>
      </c>
      <c r="X899" s="7" t="str">
        <f>VLOOKUP($S899,Mapping!$E$140:$K$2771,5,0)</f>
        <v>Labour</v>
      </c>
      <c r="Y899" s="7" t="str">
        <f>VLOOKUP($S899,Mapping!$E$140:$K$2771,7,0)</f>
        <v>ENDirect</v>
      </c>
      <c r="Z899" s="7" t="str">
        <f>IFERROR(HLOOKUP(X899,'Calc|Weightings'!$K$5:$M$5,1,0),"Excl")</f>
        <v>Labour</v>
      </c>
      <c r="AA899" s="7" t="str">
        <f>VLOOKUP(Q899,Mapping!$E$11:$I$96,5,0)</f>
        <v>SCS</v>
      </c>
      <c r="AC899" s="111">
        <v>141</v>
      </c>
      <c r="AD899" s="111" t="s">
        <v>2149</v>
      </c>
      <c r="AE899" s="111">
        <v>531469</v>
      </c>
      <c r="AF899" s="111" t="s">
        <v>261</v>
      </c>
      <c r="AG899" s="112">
        <v>3.0649999999999999</v>
      </c>
      <c r="AI899" s="7" t="str">
        <f>VLOOKUP($AC899,Mapping!$E$11:$I$96,3,0)</f>
        <v>Replacement</v>
      </c>
      <c r="AJ899" s="7" t="str">
        <f>VLOOKUP($AE899,Mapping!$E$140:$K$2771,5,0)</f>
        <v>Labour</v>
      </c>
      <c r="AK899" s="7" t="str">
        <f>VLOOKUP($AE899,Mapping!$E$140:$K$2771,7,0)</f>
        <v>ENDirect</v>
      </c>
      <c r="AL899" s="7" t="str">
        <f>IFERROR(HLOOKUP(AJ899,'Calc|Weightings'!$K$5:$M$5,1,0),"Excl")</f>
        <v>Labour</v>
      </c>
      <c r="AM899" s="7" t="str">
        <f>VLOOKUP(AC899,Mapping!$E$11:$I$96,5,0)</f>
        <v>SCS</v>
      </c>
      <c r="AO899" s="134">
        <v>143</v>
      </c>
      <c r="AP899" s="135" t="s">
        <v>2153</v>
      </c>
      <c r="AQ899" s="135">
        <v>613250</v>
      </c>
      <c r="AR899" s="135" t="s">
        <v>2086</v>
      </c>
      <c r="AS899" s="136">
        <v>11.4855</v>
      </c>
      <c r="AU899" s="7" t="str">
        <f>VLOOKUP($AO899,Mapping!$E$11:$I$96,3,0)</f>
        <v>Replacement</v>
      </c>
      <c r="AV899" s="7" t="str">
        <f>VLOOKUP($AQ899,Mapping!$E$140:$K$2771,5,0)</f>
        <v>Labour</v>
      </c>
      <c r="AW899" s="7" t="str">
        <f>VLOOKUP($AQ899,Mapping!$E$140:$K$2771,7,0)</f>
        <v>ENDirect</v>
      </c>
      <c r="AX899" s="7" t="str">
        <f>IFERROR(HLOOKUP(AV899,'Calc|Weightings'!$K$5:$M$5,1,0),"Excl")</f>
        <v>Labour</v>
      </c>
      <c r="AY899" s="7" t="str">
        <f>VLOOKUP(AO899,Mapping!$E$11:$I$96,5,0)</f>
        <v>SCS</v>
      </c>
    </row>
    <row r="900" spans="1:51" x14ac:dyDescent="0.2">
      <c r="A900" s="7"/>
      <c r="B900" s="7"/>
      <c r="C900" s="7"/>
      <c r="D900" s="7"/>
      <c r="E900" s="36">
        <v>139</v>
      </c>
      <c r="F900" s="36" t="s">
        <v>2146</v>
      </c>
      <c r="G900" s="36">
        <v>633000</v>
      </c>
      <c r="H900" s="36" t="s">
        <v>2202</v>
      </c>
      <c r="I900" s="37">
        <v>51.147849999999998</v>
      </c>
      <c r="J900" s="7"/>
      <c r="K900" s="7" t="str">
        <f>VLOOKUP($E900,Mapping!$E$11:$I$96,3,0)</f>
        <v>Replacement</v>
      </c>
      <c r="L900" s="7" t="str">
        <f>VLOOKUP($G900,Mapping!$E$140:$K$2771,5,0)</f>
        <v>Contracts</v>
      </c>
      <c r="M900" s="7" t="str">
        <f>VLOOKUP($G900,Mapping!$E$140:$K$2771,7,0)</f>
        <v>OH</v>
      </c>
      <c r="N900" s="7" t="str">
        <f>IFERROR(HLOOKUP(L900,'Calc|Weightings'!$K$5:$M$5,1,0),"Excl")</f>
        <v>Contracts</v>
      </c>
      <c r="O900" s="7" t="str">
        <f>VLOOKUP(E900,Mapping!$E$11:$I$96,5,0)</f>
        <v>SCS</v>
      </c>
      <c r="Q900" s="33">
        <v>141</v>
      </c>
      <c r="R900" s="33" t="s">
        <v>2149</v>
      </c>
      <c r="S900" s="33">
        <v>613251</v>
      </c>
      <c r="T900" s="33" t="s">
        <v>2087</v>
      </c>
      <c r="U900" s="34">
        <v>214.59394</v>
      </c>
      <c r="V900" s="7"/>
      <c r="W900" s="7" t="str">
        <f>VLOOKUP($Q900,Mapping!$E$11:$I$96,3,0)</f>
        <v>Replacement</v>
      </c>
      <c r="X900" s="7" t="str">
        <f>VLOOKUP($S900,Mapping!$E$140:$K$2771,5,0)</f>
        <v>Labour</v>
      </c>
      <c r="Y900" s="7" t="str">
        <f>VLOOKUP($S900,Mapping!$E$140:$K$2771,7,0)</f>
        <v>ENDirect</v>
      </c>
      <c r="Z900" s="7" t="str">
        <f>IFERROR(HLOOKUP(X900,'Calc|Weightings'!$K$5:$M$5,1,0),"Excl")</f>
        <v>Labour</v>
      </c>
      <c r="AA900" s="7" t="str">
        <f>VLOOKUP(Q900,Mapping!$E$11:$I$96,5,0)</f>
        <v>SCS</v>
      </c>
      <c r="AC900" s="111">
        <v>141</v>
      </c>
      <c r="AD900" s="111" t="s">
        <v>2149</v>
      </c>
      <c r="AE900" s="111">
        <v>532050</v>
      </c>
      <c r="AF900" s="111" t="s">
        <v>279</v>
      </c>
      <c r="AG900" s="112">
        <v>0.49892999999999998</v>
      </c>
      <c r="AI900" s="7" t="str">
        <f>VLOOKUP($AC900,Mapping!$E$11:$I$96,3,0)</f>
        <v>Replacement</v>
      </c>
      <c r="AJ900" s="7" t="str">
        <f>VLOOKUP($AE900,Mapping!$E$140:$K$2771,5,0)</f>
        <v>Contracts</v>
      </c>
      <c r="AK900" s="7" t="str">
        <f>VLOOKUP($AE900,Mapping!$E$140:$K$2771,7,0)</f>
        <v>ENDirect</v>
      </c>
      <c r="AL900" s="7" t="str">
        <f>IFERROR(HLOOKUP(AJ900,'Calc|Weightings'!$K$5:$M$5,1,0),"Excl")</f>
        <v>Contracts</v>
      </c>
      <c r="AM900" s="7" t="str">
        <f>VLOOKUP(AC900,Mapping!$E$11:$I$96,5,0)</f>
        <v>SCS</v>
      </c>
      <c r="AO900" s="134">
        <v>143</v>
      </c>
      <c r="AP900" s="135" t="s">
        <v>2153</v>
      </c>
      <c r="AQ900" s="135">
        <v>613251</v>
      </c>
      <c r="AR900" s="135" t="s">
        <v>2087</v>
      </c>
      <c r="AS900" s="136">
        <v>5.2032100000000003</v>
      </c>
      <c r="AU900" s="7" t="str">
        <f>VLOOKUP($AO900,Mapping!$E$11:$I$96,3,0)</f>
        <v>Replacement</v>
      </c>
      <c r="AV900" s="7" t="str">
        <f>VLOOKUP($AQ900,Mapping!$E$140:$K$2771,5,0)</f>
        <v>Labour</v>
      </c>
      <c r="AW900" s="7" t="str">
        <f>VLOOKUP($AQ900,Mapping!$E$140:$K$2771,7,0)</f>
        <v>ENDirect</v>
      </c>
      <c r="AX900" s="7" t="str">
        <f>IFERROR(HLOOKUP(AV900,'Calc|Weightings'!$K$5:$M$5,1,0),"Excl")</f>
        <v>Labour</v>
      </c>
      <c r="AY900" s="7" t="str">
        <f>VLOOKUP(AO900,Mapping!$E$11:$I$96,5,0)</f>
        <v>SCS</v>
      </c>
    </row>
    <row r="901" spans="1:51" x14ac:dyDescent="0.2">
      <c r="A901" s="7"/>
      <c r="B901" s="7"/>
      <c r="C901" s="7"/>
      <c r="D901" s="7"/>
      <c r="E901" s="36">
        <v>139</v>
      </c>
      <c r="F901" s="36" t="s">
        <v>2146</v>
      </c>
      <c r="G901" s="36">
        <v>634001</v>
      </c>
      <c r="H901" s="36" t="s">
        <v>2110</v>
      </c>
      <c r="I901" s="37">
        <v>30.911110000000001</v>
      </c>
      <c r="J901" s="7"/>
      <c r="K901" s="7" t="str">
        <f>VLOOKUP($E901,Mapping!$E$11:$I$96,3,0)</f>
        <v>Replacement</v>
      </c>
      <c r="L901" s="7" t="str">
        <f>VLOOKUP($G901,Mapping!$E$140:$K$2771,5,0)</f>
        <v>Local OH</v>
      </c>
      <c r="M901" s="7" t="str">
        <f>VLOOKUP($G901,Mapping!$E$140:$K$2771,7,0)</f>
        <v>OH</v>
      </c>
      <c r="N901" s="7" t="str">
        <f>IFERROR(HLOOKUP(L901,'Calc|Weightings'!$K$5:$M$5,1,0),"Excl")</f>
        <v>Excl</v>
      </c>
      <c r="O901" s="7" t="str">
        <f>VLOOKUP(E901,Mapping!$E$11:$I$96,5,0)</f>
        <v>SCS</v>
      </c>
      <c r="Q901" s="33">
        <v>141</v>
      </c>
      <c r="R901" s="33" t="s">
        <v>2149</v>
      </c>
      <c r="S901" s="33">
        <v>613254</v>
      </c>
      <c r="T901" s="33" t="s">
        <v>2088</v>
      </c>
      <c r="U901" s="34">
        <v>0.13189000000000001</v>
      </c>
      <c r="V901" s="7"/>
      <c r="W901" s="7" t="str">
        <f>VLOOKUP($Q901,Mapping!$E$11:$I$96,3,0)</f>
        <v>Replacement</v>
      </c>
      <c r="X901" s="7" t="str">
        <f>VLOOKUP($S901,Mapping!$E$140:$K$2771,5,0)</f>
        <v>Labour</v>
      </c>
      <c r="Y901" s="7" t="str">
        <f>VLOOKUP($S901,Mapping!$E$140:$K$2771,7,0)</f>
        <v>ENDirect</v>
      </c>
      <c r="Z901" s="7" t="str">
        <f>IFERROR(HLOOKUP(X901,'Calc|Weightings'!$K$5:$M$5,1,0),"Excl")</f>
        <v>Labour</v>
      </c>
      <c r="AA901" s="7" t="str">
        <f>VLOOKUP(Q901,Mapping!$E$11:$I$96,5,0)</f>
        <v>SCS</v>
      </c>
      <c r="AC901" s="111">
        <v>141</v>
      </c>
      <c r="AD901" s="111" t="s">
        <v>2149</v>
      </c>
      <c r="AE901" s="111">
        <v>532200</v>
      </c>
      <c r="AF901" s="111" t="s">
        <v>291</v>
      </c>
      <c r="AG901" s="112">
        <v>2.1288</v>
      </c>
      <c r="AI901" s="7" t="str">
        <f>VLOOKUP($AC901,Mapping!$E$11:$I$96,3,0)</f>
        <v>Replacement</v>
      </c>
      <c r="AJ901" s="7" t="str">
        <f>VLOOKUP($AE901,Mapping!$E$140:$K$2771,5,0)</f>
        <v>Contracts</v>
      </c>
      <c r="AK901" s="7" t="str">
        <f>VLOOKUP($AE901,Mapping!$E$140:$K$2771,7,0)</f>
        <v>ENDirect</v>
      </c>
      <c r="AL901" s="7" t="str">
        <f>IFERROR(HLOOKUP(AJ901,'Calc|Weightings'!$K$5:$M$5,1,0),"Excl")</f>
        <v>Contracts</v>
      </c>
      <c r="AM901" s="7" t="str">
        <f>VLOOKUP(AC901,Mapping!$E$11:$I$96,5,0)</f>
        <v>SCS</v>
      </c>
      <c r="AO901" s="134">
        <v>143</v>
      </c>
      <c r="AP901" s="135" t="s">
        <v>2153</v>
      </c>
      <c r="AQ901" s="135">
        <v>613260</v>
      </c>
      <c r="AR901" s="135" t="s">
        <v>2090</v>
      </c>
      <c r="AS901" s="136">
        <v>13.096080000000001</v>
      </c>
      <c r="AU901" s="7" t="str">
        <f>VLOOKUP($AO901,Mapping!$E$11:$I$96,3,0)</f>
        <v>Replacement</v>
      </c>
      <c r="AV901" s="7" t="str">
        <f>VLOOKUP($AQ901,Mapping!$E$140:$K$2771,5,0)</f>
        <v>Labour</v>
      </c>
      <c r="AW901" s="7" t="str">
        <f>VLOOKUP($AQ901,Mapping!$E$140:$K$2771,7,0)</f>
        <v>ENDirect</v>
      </c>
      <c r="AX901" s="7" t="str">
        <f>IFERROR(HLOOKUP(AV901,'Calc|Weightings'!$K$5:$M$5,1,0),"Excl")</f>
        <v>Labour</v>
      </c>
      <c r="AY901" s="7" t="str">
        <f>VLOOKUP(AO901,Mapping!$E$11:$I$96,5,0)</f>
        <v>SCS</v>
      </c>
    </row>
    <row r="902" spans="1:51" x14ac:dyDescent="0.2">
      <c r="A902" s="7"/>
      <c r="B902" s="7"/>
      <c r="C902" s="7"/>
      <c r="D902" s="7"/>
      <c r="E902" s="36">
        <v>139</v>
      </c>
      <c r="F902" s="36" t="s">
        <v>2146</v>
      </c>
      <c r="G902" s="36">
        <v>635001</v>
      </c>
      <c r="H902" s="36" t="s">
        <v>1929</v>
      </c>
      <c r="I902" s="37">
        <v>22.679079999999999</v>
      </c>
      <c r="J902" s="7"/>
      <c r="K902" s="7" t="str">
        <f>VLOOKUP($E902,Mapping!$E$11:$I$96,3,0)</f>
        <v>Replacement</v>
      </c>
      <c r="L902" s="7" t="str">
        <f>VLOOKUP($G902,Mapping!$E$140:$K$2771,5,0)</f>
        <v>PNS MG</v>
      </c>
      <c r="M902" s="7" t="str">
        <f>VLOOKUP($G902,Mapping!$E$140:$K$2771,7,0)</f>
        <v>ENDirect</v>
      </c>
      <c r="N902" s="7" t="str">
        <f>IFERROR(HLOOKUP(L902,'Calc|Weightings'!$K$5:$M$5,1,0),"Excl")</f>
        <v>Excl</v>
      </c>
      <c r="O902" s="7" t="str">
        <f>VLOOKUP(E902,Mapping!$E$11:$I$96,5,0)</f>
        <v>SCS</v>
      </c>
      <c r="Q902" s="33">
        <v>141</v>
      </c>
      <c r="R902" s="33" t="s">
        <v>2149</v>
      </c>
      <c r="S902" s="33">
        <v>613260</v>
      </c>
      <c r="T902" s="33" t="s">
        <v>2090</v>
      </c>
      <c r="U902" s="34">
        <v>2.4356100000000001</v>
      </c>
      <c r="V902" s="7"/>
      <c r="W902" s="7" t="str">
        <f>VLOOKUP($Q902,Mapping!$E$11:$I$96,3,0)</f>
        <v>Replacement</v>
      </c>
      <c r="X902" s="7" t="str">
        <f>VLOOKUP($S902,Mapping!$E$140:$K$2771,5,0)</f>
        <v>Labour</v>
      </c>
      <c r="Y902" s="7" t="str">
        <f>VLOOKUP($S902,Mapping!$E$140:$K$2771,7,0)</f>
        <v>ENDirect</v>
      </c>
      <c r="Z902" s="7" t="str">
        <f>IFERROR(HLOOKUP(X902,'Calc|Weightings'!$K$5:$M$5,1,0),"Excl")</f>
        <v>Labour</v>
      </c>
      <c r="AA902" s="7" t="str">
        <f>VLOOKUP(Q902,Mapping!$E$11:$I$96,5,0)</f>
        <v>SCS</v>
      </c>
      <c r="AC902" s="111">
        <v>141</v>
      </c>
      <c r="AD902" s="111" t="s">
        <v>2149</v>
      </c>
      <c r="AE902" s="111">
        <v>532340</v>
      </c>
      <c r="AF902" s="111" t="s">
        <v>299</v>
      </c>
      <c r="AG902" s="112">
        <v>1.16595</v>
      </c>
      <c r="AI902" s="7" t="str">
        <f>VLOOKUP($AC902,Mapping!$E$11:$I$96,3,0)</f>
        <v>Replacement</v>
      </c>
      <c r="AJ902" s="7" t="str">
        <f>VLOOKUP($AE902,Mapping!$E$140:$K$2771,5,0)</f>
        <v>Contracts</v>
      </c>
      <c r="AK902" s="7" t="str">
        <f>VLOOKUP($AE902,Mapping!$E$140:$K$2771,7,0)</f>
        <v>ENDirect</v>
      </c>
      <c r="AL902" s="7" t="str">
        <f>IFERROR(HLOOKUP(AJ902,'Calc|Weightings'!$K$5:$M$5,1,0),"Excl")</f>
        <v>Contracts</v>
      </c>
      <c r="AM902" s="7" t="str">
        <f>VLOOKUP(AC902,Mapping!$E$11:$I$96,5,0)</f>
        <v>SCS</v>
      </c>
      <c r="AO902" s="134">
        <v>143</v>
      </c>
      <c r="AP902" s="135" t="s">
        <v>2153</v>
      </c>
      <c r="AQ902" s="135">
        <v>613261</v>
      </c>
      <c r="AR902" s="135" t="s">
        <v>2091</v>
      </c>
      <c r="AS902" s="136">
        <v>9.6709200000000006</v>
      </c>
      <c r="AU902" s="7" t="str">
        <f>VLOOKUP($AO902,Mapping!$E$11:$I$96,3,0)</f>
        <v>Replacement</v>
      </c>
      <c r="AV902" s="7" t="str">
        <f>VLOOKUP($AQ902,Mapping!$E$140:$K$2771,5,0)</f>
        <v>Labour</v>
      </c>
      <c r="AW902" s="7" t="str">
        <f>VLOOKUP($AQ902,Mapping!$E$140:$K$2771,7,0)</f>
        <v>ENDirect</v>
      </c>
      <c r="AX902" s="7" t="str">
        <f>IFERROR(HLOOKUP(AV902,'Calc|Weightings'!$K$5:$M$5,1,0),"Excl")</f>
        <v>Labour</v>
      </c>
      <c r="AY902" s="7" t="str">
        <f>VLOOKUP(AO902,Mapping!$E$11:$I$96,5,0)</f>
        <v>SCS</v>
      </c>
    </row>
    <row r="903" spans="1:51" x14ac:dyDescent="0.2">
      <c r="A903" s="7"/>
      <c r="B903" s="7"/>
      <c r="C903" s="7"/>
      <c r="D903" s="7"/>
      <c r="E903" s="36">
        <v>139</v>
      </c>
      <c r="F903" s="36" t="s">
        <v>2146</v>
      </c>
      <c r="G903" s="36">
        <v>636001</v>
      </c>
      <c r="H903" s="36" t="s">
        <v>2111</v>
      </c>
      <c r="I903" s="37">
        <v>9.5109499999999993</v>
      </c>
      <c r="J903" s="7"/>
      <c r="K903" s="7" t="str">
        <f>VLOOKUP($E903,Mapping!$E$11:$I$96,3,0)</f>
        <v>Replacement</v>
      </c>
      <c r="L903" s="7" t="str">
        <f>VLOOKUP($G903,Mapping!$E$140:$K$2771,5,0)</f>
        <v>System Control OH</v>
      </c>
      <c r="M903" s="7" t="str">
        <f>VLOOKUP($G903,Mapping!$E$140:$K$2771,7,0)</f>
        <v>OH</v>
      </c>
      <c r="N903" s="7" t="str">
        <f>IFERROR(HLOOKUP(L903,'Calc|Weightings'!$K$5:$M$5,1,0),"Excl")</f>
        <v>Excl</v>
      </c>
      <c r="O903" s="7" t="str">
        <f>VLOOKUP(E903,Mapping!$E$11:$I$96,5,0)</f>
        <v>SCS</v>
      </c>
      <c r="Q903" s="33">
        <v>141</v>
      </c>
      <c r="R903" s="33" t="s">
        <v>2149</v>
      </c>
      <c r="S903" s="33">
        <v>613261</v>
      </c>
      <c r="T903" s="33" t="s">
        <v>2091</v>
      </c>
      <c r="U903" s="34">
        <v>0.60760000000000003</v>
      </c>
      <c r="V903" s="7"/>
      <c r="W903" s="7" t="str">
        <f>VLOOKUP($Q903,Mapping!$E$11:$I$96,3,0)</f>
        <v>Replacement</v>
      </c>
      <c r="X903" s="7" t="str">
        <f>VLOOKUP($S903,Mapping!$E$140:$K$2771,5,0)</f>
        <v>Labour</v>
      </c>
      <c r="Y903" s="7" t="str">
        <f>VLOOKUP($S903,Mapping!$E$140:$K$2771,7,0)</f>
        <v>ENDirect</v>
      </c>
      <c r="Z903" s="7" t="str">
        <f>IFERROR(HLOOKUP(X903,'Calc|Weightings'!$K$5:$M$5,1,0),"Excl")</f>
        <v>Labour</v>
      </c>
      <c r="AA903" s="7" t="str">
        <f>VLOOKUP(Q903,Mapping!$E$11:$I$96,5,0)</f>
        <v>SCS</v>
      </c>
      <c r="AC903" s="111">
        <v>141</v>
      </c>
      <c r="AD903" s="111" t="s">
        <v>2149</v>
      </c>
      <c r="AE903" s="111">
        <v>582301</v>
      </c>
      <c r="AF903" s="111" t="s">
        <v>382</v>
      </c>
      <c r="AG903" s="112">
        <v>7.3860000000000001</v>
      </c>
      <c r="AI903" s="7" t="str">
        <f>VLOOKUP($AC903,Mapping!$E$11:$I$96,3,0)</f>
        <v>Replacement</v>
      </c>
      <c r="AJ903" s="7" t="str">
        <f>VLOOKUP($AE903,Mapping!$E$140:$K$2771,5,0)</f>
        <v>Contracts</v>
      </c>
      <c r="AK903" s="7" t="str">
        <f>VLOOKUP($AE903,Mapping!$E$140:$K$2771,7,0)</f>
        <v>ENDirect</v>
      </c>
      <c r="AL903" s="7" t="str">
        <f>IFERROR(HLOOKUP(AJ903,'Calc|Weightings'!$K$5:$M$5,1,0),"Excl")</f>
        <v>Contracts</v>
      </c>
      <c r="AM903" s="7" t="str">
        <f>VLOOKUP(AC903,Mapping!$E$11:$I$96,5,0)</f>
        <v>SCS</v>
      </c>
      <c r="AO903" s="134">
        <v>143</v>
      </c>
      <c r="AP903" s="135" t="s">
        <v>2153</v>
      </c>
      <c r="AQ903" s="135">
        <v>613280</v>
      </c>
      <c r="AR903" s="135" t="s">
        <v>1342</v>
      </c>
      <c r="AS903" s="136">
        <v>35.25564</v>
      </c>
      <c r="AU903" s="7" t="str">
        <f>VLOOKUP($AO903,Mapping!$E$11:$I$96,3,0)</f>
        <v>Replacement</v>
      </c>
      <c r="AV903" s="7" t="str">
        <f>VLOOKUP($AQ903,Mapping!$E$140:$K$2771,5,0)</f>
        <v>Labour</v>
      </c>
      <c r="AW903" s="7" t="str">
        <f>VLOOKUP($AQ903,Mapping!$E$140:$K$2771,7,0)</f>
        <v>ENDirect</v>
      </c>
      <c r="AX903" s="7" t="str">
        <f>IFERROR(HLOOKUP(AV903,'Calc|Weightings'!$K$5:$M$5,1,0),"Excl")</f>
        <v>Labour</v>
      </c>
      <c r="AY903" s="7" t="str">
        <f>VLOOKUP(AO903,Mapping!$E$11:$I$96,5,0)</f>
        <v>SCS</v>
      </c>
    </row>
    <row r="904" spans="1:51" x14ac:dyDescent="0.2">
      <c r="A904" s="7"/>
      <c r="B904" s="7"/>
      <c r="C904" s="7"/>
      <c r="D904" s="7"/>
      <c r="E904" s="36">
        <v>139</v>
      </c>
      <c r="F904" s="36" t="s">
        <v>2146</v>
      </c>
      <c r="G904" s="36">
        <v>639000</v>
      </c>
      <c r="H904" s="36" t="s">
        <v>2112</v>
      </c>
      <c r="I904" s="37">
        <v>20.426680000000001</v>
      </c>
      <c r="J904" s="7"/>
      <c r="K904" s="7" t="str">
        <f>VLOOKUP($E904,Mapping!$E$11:$I$96,3,0)</f>
        <v>Replacement</v>
      </c>
      <c r="L904" s="7" t="str">
        <f>VLOOKUP($G904,Mapping!$E$140:$K$2771,5,0)</f>
        <v>PNS Corporate OH</v>
      </c>
      <c r="M904" s="7" t="str">
        <f>VLOOKUP($G904,Mapping!$E$140:$K$2771,7,0)</f>
        <v>OH</v>
      </c>
      <c r="N904" s="7" t="str">
        <f>IFERROR(HLOOKUP(L904,'Calc|Weightings'!$K$5:$M$5,1,0),"Excl")</f>
        <v>Excl</v>
      </c>
      <c r="O904" s="7" t="str">
        <f>VLOOKUP(E904,Mapping!$E$11:$I$96,5,0)</f>
        <v>SCS</v>
      </c>
      <c r="Q904" s="33">
        <v>141</v>
      </c>
      <c r="R904" s="33" t="s">
        <v>2149</v>
      </c>
      <c r="S904" s="33">
        <v>613280</v>
      </c>
      <c r="T904" s="33" t="s">
        <v>1342</v>
      </c>
      <c r="U904" s="34">
        <v>9.1169499999999992</v>
      </c>
      <c r="V904" s="7"/>
      <c r="W904" s="7" t="str">
        <f>VLOOKUP($Q904,Mapping!$E$11:$I$96,3,0)</f>
        <v>Replacement</v>
      </c>
      <c r="X904" s="7" t="str">
        <f>VLOOKUP($S904,Mapping!$E$140:$K$2771,5,0)</f>
        <v>Labour</v>
      </c>
      <c r="Y904" s="7" t="str">
        <f>VLOOKUP($S904,Mapping!$E$140:$K$2771,7,0)</f>
        <v>ENDirect</v>
      </c>
      <c r="Z904" s="7" t="str">
        <f>IFERROR(HLOOKUP(X904,'Calc|Weightings'!$K$5:$M$5,1,0),"Excl")</f>
        <v>Labour</v>
      </c>
      <c r="AA904" s="7" t="str">
        <f>VLOOKUP(Q904,Mapping!$E$11:$I$96,5,0)</f>
        <v>SCS</v>
      </c>
      <c r="AC904" s="111">
        <v>141</v>
      </c>
      <c r="AD904" s="111" t="s">
        <v>2149</v>
      </c>
      <c r="AE904" s="111">
        <v>591997</v>
      </c>
      <c r="AF904" s="111" t="s">
        <v>2194</v>
      </c>
      <c r="AG904" s="112">
        <v>-23.056730000000002</v>
      </c>
      <c r="AI904" s="7" t="str">
        <f>VLOOKUP($AC904,Mapping!$E$11:$I$96,3,0)</f>
        <v>Replacement</v>
      </c>
      <c r="AJ904" s="7" t="str">
        <f>VLOOKUP($AE904,Mapping!$E$140:$K$2771,5,0)</f>
        <v>Contracts</v>
      </c>
      <c r="AK904" s="7" t="str">
        <f>VLOOKUP($AE904,Mapping!$E$140:$K$2771,7,0)</f>
        <v>ENDirect</v>
      </c>
      <c r="AL904" s="7" t="str">
        <f>IFERROR(HLOOKUP(AJ904,'Calc|Weightings'!$K$5:$M$5,1,0),"Excl")</f>
        <v>Contracts</v>
      </c>
      <c r="AM904" s="7" t="str">
        <f>VLOOKUP(AC904,Mapping!$E$11:$I$96,5,0)</f>
        <v>SCS</v>
      </c>
      <c r="AO904" s="134">
        <v>143</v>
      </c>
      <c r="AP904" s="135" t="s">
        <v>2153</v>
      </c>
      <c r="AQ904" s="135">
        <v>613290</v>
      </c>
      <c r="AR904" s="135" t="s">
        <v>2093</v>
      </c>
      <c r="AS904" s="136">
        <v>93.674250000000001</v>
      </c>
      <c r="AU904" s="7" t="str">
        <f>VLOOKUP($AO904,Mapping!$E$11:$I$96,3,0)</f>
        <v>Replacement</v>
      </c>
      <c r="AV904" s="7" t="str">
        <f>VLOOKUP($AQ904,Mapping!$E$140:$K$2771,5,0)</f>
        <v>Labour</v>
      </c>
      <c r="AW904" s="7" t="str">
        <f>VLOOKUP($AQ904,Mapping!$E$140:$K$2771,7,0)</f>
        <v>ENDirect</v>
      </c>
      <c r="AX904" s="7" t="str">
        <f>IFERROR(HLOOKUP(AV904,'Calc|Weightings'!$K$5:$M$5,1,0),"Excl")</f>
        <v>Labour</v>
      </c>
      <c r="AY904" s="7" t="str">
        <f>VLOOKUP(AO904,Mapping!$E$11:$I$96,5,0)</f>
        <v>SCS</v>
      </c>
    </row>
    <row r="905" spans="1:51" x14ac:dyDescent="0.2">
      <c r="A905" s="7"/>
      <c r="B905" s="7"/>
      <c r="C905" s="7"/>
      <c r="D905" s="7"/>
      <c r="E905" s="36">
        <v>139</v>
      </c>
      <c r="F905" s="36" t="s">
        <v>2146</v>
      </c>
      <c r="G905" s="36">
        <v>639050</v>
      </c>
      <c r="H905" s="36" t="s">
        <v>2113</v>
      </c>
      <c r="I905" s="37">
        <v>3.7526000000000002</v>
      </c>
      <c r="J905" s="7"/>
      <c r="K905" s="7" t="str">
        <f>VLOOKUP($E905,Mapping!$E$11:$I$96,3,0)</f>
        <v>Replacement</v>
      </c>
      <c r="L905" s="7" t="str">
        <f>VLOOKUP($G905,Mapping!$E$140:$K$2771,5,0)</f>
        <v>PNS Fleet &amp; Property OH</v>
      </c>
      <c r="M905" s="7" t="str">
        <f>VLOOKUP($G905,Mapping!$E$140:$K$2771,7,0)</f>
        <v>OH</v>
      </c>
      <c r="N905" s="7" t="str">
        <f>IFERROR(HLOOKUP(L905,'Calc|Weightings'!$K$5:$M$5,1,0),"Excl")</f>
        <v>Excl</v>
      </c>
      <c r="O905" s="7" t="str">
        <f>VLOOKUP(E905,Mapping!$E$11:$I$96,5,0)</f>
        <v>SCS</v>
      </c>
      <c r="Q905" s="33">
        <v>141</v>
      </c>
      <c r="R905" s="33" t="s">
        <v>2149</v>
      </c>
      <c r="S905" s="33">
        <v>613290</v>
      </c>
      <c r="T905" s="33" t="s">
        <v>2093</v>
      </c>
      <c r="U905" s="34">
        <v>0.24879999999999999</v>
      </c>
      <c r="V905" s="7"/>
      <c r="W905" s="7" t="str">
        <f>VLOOKUP($Q905,Mapping!$E$11:$I$96,3,0)</f>
        <v>Replacement</v>
      </c>
      <c r="X905" s="7" t="str">
        <f>VLOOKUP($S905,Mapping!$E$140:$K$2771,5,0)</f>
        <v>Labour</v>
      </c>
      <c r="Y905" s="7" t="str">
        <f>VLOOKUP($S905,Mapping!$E$140:$K$2771,7,0)</f>
        <v>ENDirect</v>
      </c>
      <c r="Z905" s="7" t="str">
        <f>IFERROR(HLOOKUP(X905,'Calc|Weightings'!$K$5:$M$5,1,0),"Excl")</f>
        <v>Labour</v>
      </c>
      <c r="AA905" s="7" t="str">
        <f>VLOOKUP(Q905,Mapping!$E$11:$I$96,5,0)</f>
        <v>SCS</v>
      </c>
      <c r="AC905" s="111">
        <v>141</v>
      </c>
      <c r="AD905" s="111" t="s">
        <v>2149</v>
      </c>
      <c r="AE905" s="111">
        <v>591999</v>
      </c>
      <c r="AF905" s="111" t="s">
        <v>2195</v>
      </c>
      <c r="AG905" s="112">
        <v>-12.64143</v>
      </c>
      <c r="AI905" s="7" t="str">
        <f>VLOOKUP($AC905,Mapping!$E$11:$I$96,3,0)</f>
        <v>Replacement</v>
      </c>
      <c r="AJ905" s="7" t="str">
        <f>VLOOKUP($AE905,Mapping!$E$140:$K$2771,5,0)</f>
        <v>Contracts</v>
      </c>
      <c r="AK905" s="7" t="str">
        <f>VLOOKUP($AE905,Mapping!$E$140:$K$2771,7,0)</f>
        <v>ENDirect</v>
      </c>
      <c r="AL905" s="7" t="str">
        <f>IFERROR(HLOOKUP(AJ905,'Calc|Weightings'!$K$5:$M$5,1,0),"Excl")</f>
        <v>Contracts</v>
      </c>
      <c r="AM905" s="7" t="str">
        <f>VLOOKUP(AC905,Mapping!$E$11:$I$96,5,0)</f>
        <v>SCS</v>
      </c>
      <c r="AO905" s="134">
        <v>143</v>
      </c>
      <c r="AP905" s="135" t="s">
        <v>2153</v>
      </c>
      <c r="AQ905" s="135">
        <v>613291</v>
      </c>
      <c r="AR905" s="135" t="s">
        <v>2094</v>
      </c>
      <c r="AS905" s="136">
        <v>8.6480000000000001E-2</v>
      </c>
      <c r="AU905" s="7" t="str">
        <f>VLOOKUP($AO905,Mapping!$E$11:$I$96,3,0)</f>
        <v>Replacement</v>
      </c>
      <c r="AV905" s="7" t="str">
        <f>VLOOKUP($AQ905,Mapping!$E$140:$K$2771,5,0)</f>
        <v>Labour</v>
      </c>
      <c r="AW905" s="7" t="str">
        <f>VLOOKUP($AQ905,Mapping!$E$140:$K$2771,7,0)</f>
        <v>ENDirect</v>
      </c>
      <c r="AX905" s="7" t="str">
        <f>IFERROR(HLOOKUP(AV905,'Calc|Weightings'!$K$5:$M$5,1,0),"Excl")</f>
        <v>Labour</v>
      </c>
      <c r="AY905" s="7" t="str">
        <f>VLOOKUP(AO905,Mapping!$E$11:$I$96,5,0)</f>
        <v>SCS</v>
      </c>
    </row>
    <row r="906" spans="1:51" x14ac:dyDescent="0.2">
      <c r="A906" s="7"/>
      <c r="B906" s="7"/>
      <c r="C906" s="7"/>
      <c r="D906" s="7"/>
      <c r="E906" s="36">
        <v>140</v>
      </c>
      <c r="F906" s="36" t="s">
        <v>2148</v>
      </c>
      <c r="G906" s="36">
        <v>500200</v>
      </c>
      <c r="H906" s="36" t="s">
        <v>136</v>
      </c>
      <c r="I906" s="37">
        <v>2.2100000000000002E-3</v>
      </c>
      <c r="J906" s="7"/>
      <c r="K906" s="7" t="str">
        <f>VLOOKUP($E906,Mapping!$E$11:$I$96,3,0)</f>
        <v>Public lighting Capex</v>
      </c>
      <c r="L906" s="7" t="str">
        <f>VLOOKUP($G906,Mapping!$E$140:$K$2771,5,0)</f>
        <v>Labour</v>
      </c>
      <c r="M906" s="7" t="str">
        <f>VLOOKUP($G906,Mapping!$E$140:$K$2771,7,0)</f>
        <v>ENDirect</v>
      </c>
      <c r="N906" s="7" t="str">
        <f>IFERROR(HLOOKUP(L906,'Calc|Weightings'!$K$5:$M$5,1,0),"Excl")</f>
        <v>Labour</v>
      </c>
      <c r="O906" s="7" t="str">
        <f>VLOOKUP(E906,Mapping!$E$11:$I$96,5,0)</f>
        <v>Public Lighting</v>
      </c>
      <c r="Q906" s="33">
        <v>141</v>
      </c>
      <c r="R906" s="33" t="s">
        <v>2149</v>
      </c>
      <c r="S906" s="33">
        <v>613300</v>
      </c>
      <c r="T906" s="33" t="s">
        <v>2197</v>
      </c>
      <c r="U906" s="34">
        <v>1.6172</v>
      </c>
      <c r="V906" s="7"/>
      <c r="W906" s="7" t="str">
        <f>VLOOKUP($Q906,Mapping!$E$11:$I$96,3,0)</f>
        <v>Replacement</v>
      </c>
      <c r="X906" s="7" t="str">
        <f>VLOOKUP($S906,Mapping!$E$140:$K$2771,5,0)</f>
        <v>Labour</v>
      </c>
      <c r="Y906" s="7" t="str">
        <f>VLOOKUP($S906,Mapping!$E$140:$K$2771,7,0)</f>
        <v>ENDirect</v>
      </c>
      <c r="Z906" s="7" t="str">
        <f>IFERROR(HLOOKUP(X906,'Calc|Weightings'!$K$5:$M$5,1,0),"Excl")</f>
        <v>Labour</v>
      </c>
      <c r="AA906" s="7" t="str">
        <f>VLOOKUP(Q906,Mapping!$E$11:$I$96,5,0)</f>
        <v>SCS</v>
      </c>
      <c r="AC906" s="111">
        <v>141</v>
      </c>
      <c r="AD906" s="111" t="s">
        <v>2149</v>
      </c>
      <c r="AE906" s="111">
        <v>611165</v>
      </c>
      <c r="AF906" s="111" t="s">
        <v>598</v>
      </c>
      <c r="AG906" s="112">
        <v>98.581999999999994</v>
      </c>
      <c r="AI906" s="7" t="str">
        <f>VLOOKUP($AC906,Mapping!$E$11:$I$96,3,0)</f>
        <v>Replacement</v>
      </c>
      <c r="AJ906" s="7" t="str">
        <f>VLOOKUP($AE906,Mapping!$E$140:$K$2771,5,0)</f>
        <v>Labour</v>
      </c>
      <c r="AK906" s="7" t="str">
        <f>VLOOKUP($AE906,Mapping!$E$140:$K$2771,7,0)</f>
        <v>ENDirect</v>
      </c>
      <c r="AL906" s="7" t="str">
        <f>IFERROR(HLOOKUP(AJ906,'Calc|Weightings'!$K$5:$M$5,1,0),"Excl")</f>
        <v>Labour</v>
      </c>
      <c r="AM906" s="7" t="str">
        <f>VLOOKUP(AC906,Mapping!$E$11:$I$96,5,0)</f>
        <v>SCS</v>
      </c>
      <c r="AO906" s="134">
        <v>143</v>
      </c>
      <c r="AP906" s="135" t="s">
        <v>2153</v>
      </c>
      <c r="AQ906" s="135">
        <v>613310</v>
      </c>
      <c r="AR906" s="135" t="s">
        <v>2095</v>
      </c>
      <c r="AS906" s="136">
        <v>13.29599</v>
      </c>
      <c r="AU906" s="7" t="str">
        <f>VLOOKUP($AO906,Mapping!$E$11:$I$96,3,0)</f>
        <v>Replacement</v>
      </c>
      <c r="AV906" s="7" t="str">
        <f>VLOOKUP($AQ906,Mapping!$E$140:$K$2771,5,0)</f>
        <v>Labour</v>
      </c>
      <c r="AW906" s="7" t="str">
        <f>VLOOKUP($AQ906,Mapping!$E$140:$K$2771,7,0)</f>
        <v>ENDirect</v>
      </c>
      <c r="AX906" s="7" t="str">
        <f>IFERROR(HLOOKUP(AV906,'Calc|Weightings'!$K$5:$M$5,1,0),"Excl")</f>
        <v>Labour</v>
      </c>
      <c r="AY906" s="7" t="str">
        <f>VLOOKUP(AO906,Mapping!$E$11:$I$96,5,0)</f>
        <v>SCS</v>
      </c>
    </row>
    <row r="907" spans="1:51" x14ac:dyDescent="0.2">
      <c r="A907" s="7"/>
      <c r="B907" s="7"/>
      <c r="C907" s="7"/>
      <c r="D907" s="7"/>
      <c r="E907" s="36">
        <v>140</v>
      </c>
      <c r="F907" s="36" t="s">
        <v>2148</v>
      </c>
      <c r="G907" s="36">
        <v>520100</v>
      </c>
      <c r="H907" s="36" t="s">
        <v>2072</v>
      </c>
      <c r="I907" s="37">
        <v>309.90676999999999</v>
      </c>
      <c r="J907" s="7"/>
      <c r="K907" s="7" t="str">
        <f>VLOOKUP($E907,Mapping!$E$11:$I$96,3,0)</f>
        <v>Public lighting Capex</v>
      </c>
      <c r="L907" s="7" t="str">
        <f>VLOOKUP($G907,Mapping!$E$140:$K$2771,5,0)</f>
        <v>Materials</v>
      </c>
      <c r="M907" s="7" t="str">
        <f>VLOOKUP($G907,Mapping!$E$140:$K$2771,7,0)</f>
        <v>ENDirect</v>
      </c>
      <c r="N907" s="7" t="str">
        <f>IFERROR(HLOOKUP(L907,'Calc|Weightings'!$K$5:$M$5,1,0),"Excl")</f>
        <v>Materials</v>
      </c>
      <c r="O907" s="7" t="str">
        <f>VLOOKUP(E907,Mapping!$E$11:$I$96,5,0)</f>
        <v>Public Lighting</v>
      </c>
      <c r="Q907" s="33">
        <v>141</v>
      </c>
      <c r="R907" s="33" t="s">
        <v>2149</v>
      </c>
      <c r="S907" s="33">
        <v>613301</v>
      </c>
      <c r="T907" s="33" t="s">
        <v>2207</v>
      </c>
      <c r="U907" s="34">
        <v>2.53884</v>
      </c>
      <c r="V907" s="7"/>
      <c r="W907" s="7" t="str">
        <f>VLOOKUP($Q907,Mapping!$E$11:$I$96,3,0)</f>
        <v>Replacement</v>
      </c>
      <c r="X907" s="7" t="str">
        <f>VLOOKUP($S907,Mapping!$E$140:$K$2771,5,0)</f>
        <v>Labour</v>
      </c>
      <c r="Y907" s="7" t="str">
        <f>VLOOKUP($S907,Mapping!$E$140:$K$2771,7,0)</f>
        <v>ENDirect</v>
      </c>
      <c r="Z907" s="7" t="str">
        <f>IFERROR(HLOOKUP(X907,'Calc|Weightings'!$K$5:$M$5,1,0),"Excl")</f>
        <v>Labour</v>
      </c>
      <c r="AA907" s="7" t="str">
        <f>VLOOKUP(Q907,Mapping!$E$11:$I$96,5,0)</f>
        <v>SCS</v>
      </c>
      <c r="AC907" s="111">
        <v>141</v>
      </c>
      <c r="AD907" s="111" t="s">
        <v>2149</v>
      </c>
      <c r="AE907" s="111">
        <v>611900</v>
      </c>
      <c r="AF907" s="111" t="s">
        <v>2079</v>
      </c>
      <c r="AG907" s="112">
        <v>7.5023600000000004</v>
      </c>
      <c r="AI907" s="7" t="str">
        <f>VLOOKUP($AC907,Mapping!$E$11:$I$96,3,0)</f>
        <v>Replacement</v>
      </c>
      <c r="AJ907" s="7" t="str">
        <f>VLOOKUP($AE907,Mapping!$E$140:$K$2771,5,0)</f>
        <v>Contracts</v>
      </c>
      <c r="AK907" s="7" t="str">
        <f>VLOOKUP($AE907,Mapping!$E$140:$K$2771,7,0)</f>
        <v>ENDirect</v>
      </c>
      <c r="AL907" s="7" t="str">
        <f>IFERROR(HLOOKUP(AJ907,'Calc|Weightings'!$K$5:$M$5,1,0),"Excl")</f>
        <v>Contracts</v>
      </c>
      <c r="AM907" s="7" t="str">
        <f>VLOOKUP(AC907,Mapping!$E$11:$I$96,5,0)</f>
        <v>SCS</v>
      </c>
      <c r="AO907" s="134">
        <v>143</v>
      </c>
      <c r="AP907" s="135" t="s">
        <v>2153</v>
      </c>
      <c r="AQ907" s="135">
        <v>613311</v>
      </c>
      <c r="AR907" s="135" t="s">
        <v>2116</v>
      </c>
      <c r="AS907" s="136">
        <v>2.37887</v>
      </c>
      <c r="AU907" s="7" t="str">
        <f>VLOOKUP($AO907,Mapping!$E$11:$I$96,3,0)</f>
        <v>Replacement</v>
      </c>
      <c r="AV907" s="7" t="str">
        <f>VLOOKUP($AQ907,Mapping!$E$140:$K$2771,5,0)</f>
        <v>Labour</v>
      </c>
      <c r="AW907" s="7" t="str">
        <f>VLOOKUP($AQ907,Mapping!$E$140:$K$2771,7,0)</f>
        <v>ENDirect</v>
      </c>
      <c r="AX907" s="7" t="str">
        <f>IFERROR(HLOOKUP(AV907,'Calc|Weightings'!$K$5:$M$5,1,0),"Excl")</f>
        <v>Labour</v>
      </c>
      <c r="AY907" s="7" t="str">
        <f>VLOOKUP(AO907,Mapping!$E$11:$I$96,5,0)</f>
        <v>SCS</v>
      </c>
    </row>
    <row r="908" spans="1:51" x14ac:dyDescent="0.2">
      <c r="A908" s="7"/>
      <c r="B908" s="7"/>
      <c r="C908" s="7"/>
      <c r="D908" s="7"/>
      <c r="E908" s="36">
        <v>140</v>
      </c>
      <c r="F908" s="36" t="s">
        <v>2148</v>
      </c>
      <c r="G908" s="36">
        <v>523100</v>
      </c>
      <c r="H908" s="36" t="s">
        <v>2074</v>
      </c>
      <c r="I908" s="37">
        <v>0.22517999999999999</v>
      </c>
      <c r="J908" s="7"/>
      <c r="K908" s="7" t="str">
        <f>VLOOKUP($E908,Mapping!$E$11:$I$96,3,0)</f>
        <v>Public lighting Capex</v>
      </c>
      <c r="L908" s="7" t="str">
        <f>VLOOKUP($G908,Mapping!$E$140:$K$2771,5,0)</f>
        <v>Materials</v>
      </c>
      <c r="M908" s="7" t="str">
        <f>VLOOKUP($G908,Mapping!$E$140:$K$2771,7,0)</f>
        <v>ENDirect</v>
      </c>
      <c r="N908" s="7" t="str">
        <f>IFERROR(HLOOKUP(L908,'Calc|Weightings'!$K$5:$M$5,1,0),"Excl")</f>
        <v>Materials</v>
      </c>
      <c r="O908" s="7" t="str">
        <f>VLOOKUP(E908,Mapping!$E$11:$I$96,5,0)</f>
        <v>Public Lighting</v>
      </c>
      <c r="Q908" s="33">
        <v>141</v>
      </c>
      <c r="R908" s="33" t="s">
        <v>2149</v>
      </c>
      <c r="S908" s="33">
        <v>613310</v>
      </c>
      <c r="T908" s="33" t="s">
        <v>2095</v>
      </c>
      <c r="U908" s="34">
        <v>3.8607900000000002</v>
      </c>
      <c r="V908" s="7"/>
      <c r="W908" s="7" t="str">
        <f>VLOOKUP($Q908,Mapping!$E$11:$I$96,3,0)</f>
        <v>Replacement</v>
      </c>
      <c r="X908" s="7" t="str">
        <f>VLOOKUP($S908,Mapping!$E$140:$K$2771,5,0)</f>
        <v>Labour</v>
      </c>
      <c r="Y908" s="7" t="str">
        <f>VLOOKUP($S908,Mapping!$E$140:$K$2771,7,0)</f>
        <v>ENDirect</v>
      </c>
      <c r="Z908" s="7" t="str">
        <f>IFERROR(HLOOKUP(X908,'Calc|Weightings'!$K$5:$M$5,1,0),"Excl")</f>
        <v>Labour</v>
      </c>
      <c r="AA908" s="7" t="str">
        <f>VLOOKUP(Q908,Mapping!$E$11:$I$96,5,0)</f>
        <v>SCS</v>
      </c>
      <c r="AC908" s="111">
        <v>141</v>
      </c>
      <c r="AD908" s="111" t="s">
        <v>2149</v>
      </c>
      <c r="AE908" s="111">
        <v>611901</v>
      </c>
      <c r="AF908" s="111" t="s">
        <v>2080</v>
      </c>
      <c r="AG908" s="112">
        <v>9.8948999999999998</v>
      </c>
      <c r="AI908" s="7" t="str">
        <f>VLOOKUP($AC908,Mapping!$E$11:$I$96,3,0)</f>
        <v>Replacement</v>
      </c>
      <c r="AJ908" s="7" t="str">
        <f>VLOOKUP($AE908,Mapping!$E$140:$K$2771,5,0)</f>
        <v>Contracts</v>
      </c>
      <c r="AK908" s="7" t="str">
        <f>VLOOKUP($AE908,Mapping!$E$140:$K$2771,7,0)</f>
        <v>ENDirect</v>
      </c>
      <c r="AL908" s="7" t="str">
        <f>IFERROR(HLOOKUP(AJ908,'Calc|Weightings'!$K$5:$M$5,1,0),"Excl")</f>
        <v>Contracts</v>
      </c>
      <c r="AM908" s="7" t="str">
        <f>VLOOKUP(AC908,Mapping!$E$11:$I$96,5,0)</f>
        <v>SCS</v>
      </c>
      <c r="AO908" s="134">
        <v>143</v>
      </c>
      <c r="AP908" s="135" t="s">
        <v>2153</v>
      </c>
      <c r="AQ908" s="135">
        <v>613350</v>
      </c>
      <c r="AR908" s="135" t="s">
        <v>2096</v>
      </c>
      <c r="AS908" s="136">
        <v>11.017720000000001</v>
      </c>
      <c r="AU908" s="7" t="str">
        <f>VLOOKUP($AO908,Mapping!$E$11:$I$96,3,0)</f>
        <v>Replacement</v>
      </c>
      <c r="AV908" s="7" t="str">
        <f>VLOOKUP($AQ908,Mapping!$E$140:$K$2771,5,0)</f>
        <v>Labour</v>
      </c>
      <c r="AW908" s="7" t="str">
        <f>VLOOKUP($AQ908,Mapping!$E$140:$K$2771,7,0)</f>
        <v>ENDirect</v>
      </c>
      <c r="AX908" s="7" t="str">
        <f>IFERROR(HLOOKUP(AV908,'Calc|Weightings'!$K$5:$M$5,1,0),"Excl")</f>
        <v>Labour</v>
      </c>
      <c r="AY908" s="7" t="str">
        <f>VLOOKUP(AO908,Mapping!$E$11:$I$96,5,0)</f>
        <v>SCS</v>
      </c>
    </row>
    <row r="909" spans="1:51" x14ac:dyDescent="0.2">
      <c r="A909" s="7"/>
      <c r="B909" s="7"/>
      <c r="C909" s="7"/>
      <c r="D909" s="7"/>
      <c r="E909" s="36">
        <v>140</v>
      </c>
      <c r="F909" s="36" t="s">
        <v>2148</v>
      </c>
      <c r="G909" s="36">
        <v>523300</v>
      </c>
      <c r="H909" s="36" t="s">
        <v>2075</v>
      </c>
      <c r="I909" s="37">
        <v>2.5749999999999999E-2</v>
      </c>
      <c r="J909" s="7"/>
      <c r="K909" s="7" t="str">
        <f>VLOOKUP($E909,Mapping!$E$11:$I$96,3,0)</f>
        <v>Public lighting Capex</v>
      </c>
      <c r="L909" s="7" t="str">
        <f>VLOOKUP($G909,Mapping!$E$140:$K$2771,5,0)</f>
        <v>Materials</v>
      </c>
      <c r="M909" s="7" t="str">
        <f>VLOOKUP($G909,Mapping!$E$140:$K$2771,7,0)</f>
        <v>ENDirect</v>
      </c>
      <c r="N909" s="7" t="str">
        <f>IFERROR(HLOOKUP(L909,'Calc|Weightings'!$K$5:$M$5,1,0),"Excl")</f>
        <v>Materials</v>
      </c>
      <c r="O909" s="7" t="str">
        <f>VLOOKUP(E909,Mapping!$E$11:$I$96,5,0)</f>
        <v>Public Lighting</v>
      </c>
      <c r="Q909" s="33">
        <v>141</v>
      </c>
      <c r="R909" s="33" t="s">
        <v>2149</v>
      </c>
      <c r="S909" s="33">
        <v>613350</v>
      </c>
      <c r="T909" s="33" t="s">
        <v>2096</v>
      </c>
      <c r="U909" s="34">
        <v>3.4718499999999999</v>
      </c>
      <c r="V909" s="7"/>
      <c r="W909" s="7" t="str">
        <f>VLOOKUP($Q909,Mapping!$E$11:$I$96,3,0)</f>
        <v>Replacement</v>
      </c>
      <c r="X909" s="7" t="str">
        <f>VLOOKUP($S909,Mapping!$E$140:$K$2771,5,0)</f>
        <v>Labour</v>
      </c>
      <c r="Y909" s="7" t="str">
        <f>VLOOKUP($S909,Mapping!$E$140:$K$2771,7,0)</f>
        <v>ENDirect</v>
      </c>
      <c r="Z909" s="7" t="str">
        <f>IFERROR(HLOOKUP(X909,'Calc|Weightings'!$K$5:$M$5,1,0),"Excl")</f>
        <v>Labour</v>
      </c>
      <c r="AA909" s="7" t="str">
        <f>VLOOKUP(Q909,Mapping!$E$11:$I$96,5,0)</f>
        <v>SCS</v>
      </c>
      <c r="AC909" s="111">
        <v>141</v>
      </c>
      <c r="AD909" s="111" t="s">
        <v>2149</v>
      </c>
      <c r="AE909" s="111">
        <v>611902</v>
      </c>
      <c r="AF909" s="111" t="s">
        <v>2081</v>
      </c>
      <c r="AG909" s="112">
        <v>1.03044</v>
      </c>
      <c r="AI909" s="7" t="str">
        <f>VLOOKUP($AC909,Mapping!$E$11:$I$96,3,0)</f>
        <v>Replacement</v>
      </c>
      <c r="AJ909" s="7" t="str">
        <f>VLOOKUP($AE909,Mapping!$E$140:$K$2771,5,0)</f>
        <v>Contracts</v>
      </c>
      <c r="AK909" s="7" t="str">
        <f>VLOOKUP($AE909,Mapping!$E$140:$K$2771,7,0)</f>
        <v>ENDirect</v>
      </c>
      <c r="AL909" s="7" t="str">
        <f>IFERROR(HLOOKUP(AJ909,'Calc|Weightings'!$K$5:$M$5,1,0),"Excl")</f>
        <v>Contracts</v>
      </c>
      <c r="AM909" s="7" t="str">
        <f>VLOOKUP(AC909,Mapping!$E$11:$I$96,5,0)</f>
        <v>SCS</v>
      </c>
      <c r="AO909" s="134">
        <v>143</v>
      </c>
      <c r="AP909" s="135" t="s">
        <v>2153</v>
      </c>
      <c r="AQ909" s="135">
        <v>613360</v>
      </c>
      <c r="AR909" s="135" t="s">
        <v>2097</v>
      </c>
      <c r="AS909" s="136">
        <v>12.351979999999999</v>
      </c>
      <c r="AU909" s="7" t="str">
        <f>VLOOKUP($AO909,Mapping!$E$11:$I$96,3,0)</f>
        <v>Replacement</v>
      </c>
      <c r="AV909" s="7" t="str">
        <f>VLOOKUP($AQ909,Mapping!$E$140:$K$2771,5,0)</f>
        <v>Labour</v>
      </c>
      <c r="AW909" s="7" t="str">
        <f>VLOOKUP($AQ909,Mapping!$E$140:$K$2771,7,0)</f>
        <v>ENDirect</v>
      </c>
      <c r="AX909" s="7" t="str">
        <f>IFERROR(HLOOKUP(AV909,'Calc|Weightings'!$K$5:$M$5,1,0),"Excl")</f>
        <v>Labour</v>
      </c>
      <c r="AY909" s="7" t="str">
        <f>VLOOKUP(AO909,Mapping!$E$11:$I$96,5,0)</f>
        <v>SCS</v>
      </c>
    </row>
    <row r="910" spans="1:51" x14ac:dyDescent="0.2">
      <c r="A910" s="7"/>
      <c r="B910" s="7"/>
      <c r="C910" s="7"/>
      <c r="D910" s="7"/>
      <c r="E910" s="36">
        <v>140</v>
      </c>
      <c r="F910" s="36" t="s">
        <v>2148</v>
      </c>
      <c r="G910" s="36">
        <v>531035</v>
      </c>
      <c r="H910" s="36" t="s">
        <v>244</v>
      </c>
      <c r="I910" s="37">
        <v>15.29815</v>
      </c>
      <c r="J910" s="7"/>
      <c r="K910" s="7" t="str">
        <f>VLOOKUP($E910,Mapping!$E$11:$I$96,3,0)</f>
        <v>Public lighting Capex</v>
      </c>
      <c r="L910" s="7" t="str">
        <f>VLOOKUP($G910,Mapping!$E$140:$K$2771,5,0)</f>
        <v>Labour</v>
      </c>
      <c r="M910" s="7" t="str">
        <f>VLOOKUP($G910,Mapping!$E$140:$K$2771,7,0)</f>
        <v>ENDirect</v>
      </c>
      <c r="N910" s="7" t="str">
        <f>IFERROR(HLOOKUP(L910,'Calc|Weightings'!$K$5:$M$5,1,0),"Excl")</f>
        <v>Labour</v>
      </c>
      <c r="O910" s="7" t="str">
        <f>VLOOKUP(E910,Mapping!$E$11:$I$96,5,0)</f>
        <v>Public Lighting</v>
      </c>
      <c r="Q910" s="33">
        <v>141</v>
      </c>
      <c r="R910" s="33" t="s">
        <v>2149</v>
      </c>
      <c r="S910" s="33">
        <v>613360</v>
      </c>
      <c r="T910" s="33" t="s">
        <v>2097</v>
      </c>
      <c r="U910" s="34">
        <v>11.730639999999999</v>
      </c>
      <c r="V910" s="7"/>
      <c r="W910" s="7" t="str">
        <f>VLOOKUP($Q910,Mapping!$E$11:$I$96,3,0)</f>
        <v>Replacement</v>
      </c>
      <c r="X910" s="7" t="str">
        <f>VLOOKUP($S910,Mapping!$E$140:$K$2771,5,0)</f>
        <v>Labour</v>
      </c>
      <c r="Y910" s="7" t="str">
        <f>VLOOKUP($S910,Mapping!$E$140:$K$2771,7,0)</f>
        <v>ENDirect</v>
      </c>
      <c r="Z910" s="7" t="str">
        <f>IFERROR(HLOOKUP(X910,'Calc|Weightings'!$K$5:$M$5,1,0),"Excl")</f>
        <v>Labour</v>
      </c>
      <c r="AA910" s="7" t="str">
        <f>VLOOKUP(Q910,Mapping!$E$11:$I$96,5,0)</f>
        <v>SCS</v>
      </c>
      <c r="AC910" s="111">
        <v>141</v>
      </c>
      <c r="AD910" s="111" t="s">
        <v>2149</v>
      </c>
      <c r="AE910" s="111">
        <v>613240</v>
      </c>
      <c r="AF910" s="111" t="s">
        <v>2082</v>
      </c>
      <c r="AG910" s="112">
        <v>253.20603</v>
      </c>
      <c r="AI910" s="7" t="str">
        <f>VLOOKUP($AC910,Mapping!$E$11:$I$96,3,0)</f>
        <v>Replacement</v>
      </c>
      <c r="AJ910" s="7" t="str">
        <f>VLOOKUP($AE910,Mapping!$E$140:$K$2771,5,0)</f>
        <v>Labour</v>
      </c>
      <c r="AK910" s="7" t="str">
        <f>VLOOKUP($AE910,Mapping!$E$140:$K$2771,7,0)</f>
        <v>ENDirect</v>
      </c>
      <c r="AL910" s="7" t="str">
        <f>IFERROR(HLOOKUP(AJ910,'Calc|Weightings'!$K$5:$M$5,1,0),"Excl")</f>
        <v>Labour</v>
      </c>
      <c r="AM910" s="7" t="str">
        <f>VLOOKUP(AC910,Mapping!$E$11:$I$96,5,0)</f>
        <v>SCS</v>
      </c>
      <c r="AO910" s="134">
        <v>143</v>
      </c>
      <c r="AP910" s="135" t="s">
        <v>2153</v>
      </c>
      <c r="AQ910" s="135">
        <v>613370</v>
      </c>
      <c r="AR910" s="135" t="s">
        <v>1402</v>
      </c>
      <c r="AS910" s="136">
        <v>1.71855</v>
      </c>
      <c r="AU910" s="7" t="str">
        <f>VLOOKUP($AO910,Mapping!$E$11:$I$96,3,0)</f>
        <v>Replacement</v>
      </c>
      <c r="AV910" s="7" t="str">
        <f>VLOOKUP($AQ910,Mapping!$E$140:$K$2771,5,0)</f>
        <v>Labour</v>
      </c>
      <c r="AW910" s="7" t="str">
        <f>VLOOKUP($AQ910,Mapping!$E$140:$K$2771,7,0)</f>
        <v>ENDirect</v>
      </c>
      <c r="AX910" s="7" t="str">
        <f>IFERROR(HLOOKUP(AV910,'Calc|Weightings'!$K$5:$M$5,1,0),"Excl")</f>
        <v>Labour</v>
      </c>
      <c r="AY910" s="7" t="str">
        <f>VLOOKUP(AO910,Mapping!$E$11:$I$96,5,0)</f>
        <v>SCS</v>
      </c>
    </row>
    <row r="911" spans="1:51" x14ac:dyDescent="0.2">
      <c r="A911" s="7"/>
      <c r="B911" s="7"/>
      <c r="C911" s="7"/>
      <c r="D911" s="7"/>
      <c r="E911" s="36">
        <v>140</v>
      </c>
      <c r="F911" s="36" t="s">
        <v>2148</v>
      </c>
      <c r="G911" s="36">
        <v>531045</v>
      </c>
      <c r="H911" s="36" t="s">
        <v>246</v>
      </c>
      <c r="I911" s="37">
        <v>0.72696000000000005</v>
      </c>
      <c r="J911" s="7"/>
      <c r="K911" s="7" t="str">
        <f>VLOOKUP($E911,Mapping!$E$11:$I$96,3,0)</f>
        <v>Public lighting Capex</v>
      </c>
      <c r="L911" s="7" t="str">
        <f>VLOOKUP($G911,Mapping!$E$140:$K$2771,5,0)</f>
        <v>Contracts</v>
      </c>
      <c r="M911" s="7" t="str">
        <f>VLOOKUP($G911,Mapping!$E$140:$K$2771,7,0)</f>
        <v>ENDirect</v>
      </c>
      <c r="N911" s="7" t="str">
        <f>IFERROR(HLOOKUP(L911,'Calc|Weightings'!$K$5:$M$5,1,0),"Excl")</f>
        <v>Contracts</v>
      </c>
      <c r="O911" s="7" t="str">
        <f>VLOOKUP(E911,Mapping!$E$11:$I$96,5,0)</f>
        <v>Public Lighting</v>
      </c>
      <c r="Q911" s="33">
        <v>141</v>
      </c>
      <c r="R911" s="33" t="s">
        <v>2149</v>
      </c>
      <c r="S911" s="33">
        <v>613361</v>
      </c>
      <c r="T911" s="33" t="s">
        <v>2098</v>
      </c>
      <c r="U911" s="34">
        <v>0.29349999999999998</v>
      </c>
      <c r="V911" s="7"/>
      <c r="W911" s="7" t="str">
        <f>VLOOKUP($Q911,Mapping!$E$11:$I$96,3,0)</f>
        <v>Replacement</v>
      </c>
      <c r="X911" s="7" t="str">
        <f>VLOOKUP($S911,Mapping!$E$140:$K$2771,5,0)</f>
        <v>Labour</v>
      </c>
      <c r="Y911" s="7" t="str">
        <f>VLOOKUP($S911,Mapping!$E$140:$K$2771,7,0)</f>
        <v>ENDirect</v>
      </c>
      <c r="Z911" s="7" t="str">
        <f>IFERROR(HLOOKUP(X911,'Calc|Weightings'!$K$5:$M$5,1,0),"Excl")</f>
        <v>Labour</v>
      </c>
      <c r="AA911" s="7" t="str">
        <f>VLOOKUP(Q911,Mapping!$E$11:$I$96,5,0)</f>
        <v>SCS</v>
      </c>
      <c r="AC911" s="111">
        <v>141</v>
      </c>
      <c r="AD911" s="111" t="s">
        <v>2149</v>
      </c>
      <c r="AE911" s="111">
        <v>613241</v>
      </c>
      <c r="AF911" s="111" t="s">
        <v>2083</v>
      </c>
      <c r="AG911" s="112">
        <v>135.30437000000001</v>
      </c>
      <c r="AI911" s="7" t="str">
        <f>VLOOKUP($AC911,Mapping!$E$11:$I$96,3,0)</f>
        <v>Replacement</v>
      </c>
      <c r="AJ911" s="7" t="str">
        <f>VLOOKUP($AE911,Mapping!$E$140:$K$2771,5,0)</f>
        <v>Labour</v>
      </c>
      <c r="AK911" s="7" t="str">
        <f>VLOOKUP($AE911,Mapping!$E$140:$K$2771,7,0)</f>
        <v>ENDirect</v>
      </c>
      <c r="AL911" s="7" t="str">
        <f>IFERROR(HLOOKUP(AJ911,'Calc|Weightings'!$K$5:$M$5,1,0),"Excl")</f>
        <v>Labour</v>
      </c>
      <c r="AM911" s="7" t="str">
        <f>VLOOKUP(AC911,Mapping!$E$11:$I$96,5,0)</f>
        <v>SCS</v>
      </c>
      <c r="AO911" s="134">
        <v>143</v>
      </c>
      <c r="AP911" s="135" t="s">
        <v>2153</v>
      </c>
      <c r="AQ911" s="135">
        <v>613420</v>
      </c>
      <c r="AR911" s="135" t="s">
        <v>2393</v>
      </c>
      <c r="AS911" s="136">
        <v>2.3825099999999999</v>
      </c>
      <c r="AU911" s="7" t="str">
        <f>VLOOKUP($AO911,Mapping!$E$11:$I$96,3,0)</f>
        <v>Replacement</v>
      </c>
      <c r="AV911" s="7" t="str">
        <f>VLOOKUP($AQ911,Mapping!$E$140:$K$2771,5,0)</f>
        <v>Labour</v>
      </c>
      <c r="AW911" s="7" t="str">
        <f>VLOOKUP($AQ911,Mapping!$E$140:$K$2771,7,0)</f>
        <v>ENDirect</v>
      </c>
      <c r="AX911" s="7" t="str">
        <f>IFERROR(HLOOKUP(AV911,'Calc|Weightings'!$K$5:$M$5,1,0),"Excl")</f>
        <v>Labour</v>
      </c>
      <c r="AY911" s="7" t="str">
        <f>VLOOKUP(AO911,Mapping!$E$11:$I$96,5,0)</f>
        <v>SCS</v>
      </c>
    </row>
    <row r="912" spans="1:51" x14ac:dyDescent="0.2">
      <c r="A912" s="7"/>
      <c r="B912" s="7"/>
      <c r="C912" s="7"/>
      <c r="D912" s="7"/>
      <c r="E912" s="36">
        <v>140</v>
      </c>
      <c r="F912" s="36" t="s">
        <v>2148</v>
      </c>
      <c r="G912" s="36">
        <v>531200</v>
      </c>
      <c r="H912" s="36" t="s">
        <v>250</v>
      </c>
      <c r="I912" s="37">
        <v>-22.452089999999998</v>
      </c>
      <c r="J912" s="7"/>
      <c r="K912" s="7" t="str">
        <f>VLOOKUP($E912,Mapping!$E$11:$I$96,3,0)</f>
        <v>Public lighting Capex</v>
      </c>
      <c r="L912" s="7" t="str">
        <f>VLOOKUP($G912,Mapping!$E$140:$K$2771,5,0)</f>
        <v>Contracts</v>
      </c>
      <c r="M912" s="7" t="str">
        <f>VLOOKUP($G912,Mapping!$E$140:$K$2771,7,0)</f>
        <v>ENDirect</v>
      </c>
      <c r="N912" s="7" t="str">
        <f>IFERROR(HLOOKUP(L912,'Calc|Weightings'!$K$5:$M$5,1,0),"Excl")</f>
        <v>Contracts</v>
      </c>
      <c r="O912" s="7" t="str">
        <f>VLOOKUP(E912,Mapping!$E$11:$I$96,5,0)</f>
        <v>Public Lighting</v>
      </c>
      <c r="Q912" s="33">
        <v>141</v>
      </c>
      <c r="R912" s="33" t="s">
        <v>2149</v>
      </c>
      <c r="S912" s="33">
        <v>613400</v>
      </c>
      <c r="T912" s="33" t="s">
        <v>2099</v>
      </c>
      <c r="U912" s="34">
        <v>36.835940000000001</v>
      </c>
      <c r="V912" s="7"/>
      <c r="W912" s="7" t="str">
        <f>VLOOKUP($Q912,Mapping!$E$11:$I$96,3,0)</f>
        <v>Replacement</v>
      </c>
      <c r="X912" s="7" t="str">
        <f>VLOOKUP($S912,Mapping!$E$140:$K$2771,5,0)</f>
        <v>Labour</v>
      </c>
      <c r="Y912" s="7" t="str">
        <f>VLOOKUP($S912,Mapping!$E$140:$K$2771,7,0)</f>
        <v>ENDirect</v>
      </c>
      <c r="Z912" s="7" t="str">
        <f>IFERROR(HLOOKUP(X912,'Calc|Weightings'!$K$5:$M$5,1,0),"Excl")</f>
        <v>Labour</v>
      </c>
      <c r="AA912" s="7" t="str">
        <f>VLOOKUP(Q912,Mapping!$E$11:$I$96,5,0)</f>
        <v>SCS</v>
      </c>
      <c r="AC912" s="111">
        <v>141</v>
      </c>
      <c r="AD912" s="111" t="s">
        <v>2149</v>
      </c>
      <c r="AE912" s="111">
        <v>613250</v>
      </c>
      <c r="AF912" s="111" t="s">
        <v>2086</v>
      </c>
      <c r="AG912" s="112">
        <v>307.05047000000002</v>
      </c>
      <c r="AI912" s="7" t="str">
        <f>VLOOKUP($AC912,Mapping!$E$11:$I$96,3,0)</f>
        <v>Replacement</v>
      </c>
      <c r="AJ912" s="7" t="str">
        <f>VLOOKUP($AE912,Mapping!$E$140:$K$2771,5,0)</f>
        <v>Labour</v>
      </c>
      <c r="AK912" s="7" t="str">
        <f>VLOOKUP($AE912,Mapping!$E$140:$K$2771,7,0)</f>
        <v>ENDirect</v>
      </c>
      <c r="AL912" s="7" t="str">
        <f>IFERROR(HLOOKUP(AJ912,'Calc|Weightings'!$K$5:$M$5,1,0),"Excl")</f>
        <v>Labour</v>
      </c>
      <c r="AM912" s="7" t="str">
        <f>VLOOKUP(AC912,Mapping!$E$11:$I$96,5,0)</f>
        <v>SCS</v>
      </c>
      <c r="AO912" s="134">
        <v>143</v>
      </c>
      <c r="AP912" s="135" t="s">
        <v>2153</v>
      </c>
      <c r="AQ912" s="135">
        <v>613434</v>
      </c>
      <c r="AR912" s="135" t="s">
        <v>2102</v>
      </c>
      <c r="AS912" s="136">
        <v>1.2502</v>
      </c>
      <c r="AU912" s="7" t="str">
        <f>VLOOKUP($AO912,Mapping!$E$11:$I$96,3,0)</f>
        <v>Replacement</v>
      </c>
      <c r="AV912" s="7" t="str">
        <f>VLOOKUP($AQ912,Mapping!$E$140:$K$2771,5,0)</f>
        <v>Labour</v>
      </c>
      <c r="AW912" s="7" t="str">
        <f>VLOOKUP($AQ912,Mapping!$E$140:$K$2771,7,0)</f>
        <v>ENDirect</v>
      </c>
      <c r="AX912" s="7" t="str">
        <f>IFERROR(HLOOKUP(AV912,'Calc|Weightings'!$K$5:$M$5,1,0),"Excl")</f>
        <v>Labour</v>
      </c>
      <c r="AY912" s="7" t="str">
        <f>VLOOKUP(AO912,Mapping!$E$11:$I$96,5,0)</f>
        <v>SCS</v>
      </c>
    </row>
    <row r="913" spans="1:51" x14ac:dyDescent="0.2">
      <c r="A913" s="7"/>
      <c r="B913" s="7"/>
      <c r="C913" s="7"/>
      <c r="D913" s="7"/>
      <c r="E913" s="36">
        <v>140</v>
      </c>
      <c r="F913" s="36" t="s">
        <v>2148</v>
      </c>
      <c r="G913" s="36">
        <v>531464</v>
      </c>
      <c r="H913" s="36" t="s">
        <v>256</v>
      </c>
      <c r="I913" s="37">
        <v>219.21654000000001</v>
      </c>
      <c r="J913" s="7"/>
      <c r="K913" s="7" t="str">
        <f>VLOOKUP($E913,Mapping!$E$11:$I$96,3,0)</f>
        <v>Public lighting Capex</v>
      </c>
      <c r="L913" s="7" t="str">
        <f>VLOOKUP($G913,Mapping!$E$140:$K$2771,5,0)</f>
        <v>Contracts</v>
      </c>
      <c r="M913" s="7" t="str">
        <f>VLOOKUP($G913,Mapping!$E$140:$K$2771,7,0)</f>
        <v>ENDirect</v>
      </c>
      <c r="N913" s="7" t="str">
        <f>IFERROR(HLOOKUP(L913,'Calc|Weightings'!$K$5:$M$5,1,0),"Excl")</f>
        <v>Contracts</v>
      </c>
      <c r="O913" s="7" t="str">
        <f>VLOOKUP(E913,Mapping!$E$11:$I$96,5,0)</f>
        <v>Public Lighting</v>
      </c>
      <c r="Q913" s="33">
        <v>141</v>
      </c>
      <c r="R913" s="33" t="s">
        <v>2149</v>
      </c>
      <c r="S913" s="33">
        <v>613401</v>
      </c>
      <c r="T913" s="33" t="s">
        <v>2117</v>
      </c>
      <c r="U913" s="34">
        <v>6.9821099999999996</v>
      </c>
      <c r="V913" s="7"/>
      <c r="W913" s="7" t="str">
        <f>VLOOKUP($Q913,Mapping!$E$11:$I$96,3,0)</f>
        <v>Replacement</v>
      </c>
      <c r="X913" s="7" t="str">
        <f>VLOOKUP($S913,Mapping!$E$140:$K$2771,5,0)</f>
        <v>Labour</v>
      </c>
      <c r="Y913" s="7" t="str">
        <f>VLOOKUP($S913,Mapping!$E$140:$K$2771,7,0)</f>
        <v>ENDirect</v>
      </c>
      <c r="Z913" s="7" t="str">
        <f>IFERROR(HLOOKUP(X913,'Calc|Weightings'!$K$5:$M$5,1,0),"Excl")</f>
        <v>Labour</v>
      </c>
      <c r="AA913" s="7" t="str">
        <f>VLOOKUP(Q913,Mapping!$E$11:$I$96,5,0)</f>
        <v>SCS</v>
      </c>
      <c r="AC913" s="111">
        <v>141</v>
      </c>
      <c r="AD913" s="111" t="s">
        <v>2149</v>
      </c>
      <c r="AE913" s="111">
        <v>613251</v>
      </c>
      <c r="AF913" s="111" t="s">
        <v>2087</v>
      </c>
      <c r="AG913" s="112">
        <v>282.42802</v>
      </c>
      <c r="AI913" s="7" t="str">
        <f>VLOOKUP($AC913,Mapping!$E$11:$I$96,3,0)</f>
        <v>Replacement</v>
      </c>
      <c r="AJ913" s="7" t="str">
        <f>VLOOKUP($AE913,Mapping!$E$140:$K$2771,5,0)</f>
        <v>Labour</v>
      </c>
      <c r="AK913" s="7" t="str">
        <f>VLOOKUP($AE913,Mapping!$E$140:$K$2771,7,0)</f>
        <v>ENDirect</v>
      </c>
      <c r="AL913" s="7" t="str">
        <f>IFERROR(HLOOKUP(AJ913,'Calc|Weightings'!$K$5:$M$5,1,0),"Excl")</f>
        <v>Labour</v>
      </c>
      <c r="AM913" s="7" t="str">
        <f>VLOOKUP(AC913,Mapping!$E$11:$I$96,5,0)</f>
        <v>SCS</v>
      </c>
      <c r="AO913" s="134">
        <v>143</v>
      </c>
      <c r="AP913" s="135" t="s">
        <v>2153</v>
      </c>
      <c r="AQ913" s="135">
        <v>613440</v>
      </c>
      <c r="AR913" s="135" t="s">
        <v>2103</v>
      </c>
      <c r="AS913" s="136">
        <v>2.4360200000000001</v>
      </c>
      <c r="AU913" s="7" t="str">
        <f>VLOOKUP($AO913,Mapping!$E$11:$I$96,3,0)</f>
        <v>Replacement</v>
      </c>
      <c r="AV913" s="7" t="str">
        <f>VLOOKUP($AQ913,Mapping!$E$140:$K$2771,5,0)</f>
        <v>Labour</v>
      </c>
      <c r="AW913" s="7" t="str">
        <f>VLOOKUP($AQ913,Mapping!$E$140:$K$2771,7,0)</f>
        <v>ENDirect</v>
      </c>
      <c r="AX913" s="7" t="str">
        <f>IFERROR(HLOOKUP(AV913,'Calc|Weightings'!$K$5:$M$5,1,0),"Excl")</f>
        <v>Labour</v>
      </c>
      <c r="AY913" s="7" t="str">
        <f>VLOOKUP(AO913,Mapping!$E$11:$I$96,5,0)</f>
        <v>SCS</v>
      </c>
    </row>
    <row r="914" spans="1:51" x14ac:dyDescent="0.2">
      <c r="A914" s="7"/>
      <c r="B914" s="7"/>
      <c r="C914" s="7"/>
      <c r="D914" s="7"/>
      <c r="E914" s="36">
        <v>140</v>
      </c>
      <c r="F914" s="36" t="s">
        <v>2148</v>
      </c>
      <c r="G914" s="36">
        <v>531466</v>
      </c>
      <c r="H914" s="36" t="s">
        <v>258</v>
      </c>
      <c r="I914" s="37">
        <v>286.96113000000003</v>
      </c>
      <c r="J914" s="7"/>
      <c r="K914" s="7" t="str">
        <f>VLOOKUP($E914,Mapping!$E$11:$I$96,3,0)</f>
        <v>Public lighting Capex</v>
      </c>
      <c r="L914" s="7" t="str">
        <f>VLOOKUP($G914,Mapping!$E$140:$K$2771,5,0)</f>
        <v>Contracts</v>
      </c>
      <c r="M914" s="7" t="str">
        <f>VLOOKUP($G914,Mapping!$E$140:$K$2771,7,0)</f>
        <v>ENDirect</v>
      </c>
      <c r="N914" s="7" t="str">
        <f>IFERROR(HLOOKUP(L914,'Calc|Weightings'!$K$5:$M$5,1,0),"Excl")</f>
        <v>Contracts</v>
      </c>
      <c r="O914" s="7" t="str">
        <f>VLOOKUP(E914,Mapping!$E$11:$I$96,5,0)</f>
        <v>Public Lighting</v>
      </c>
      <c r="Q914" s="33">
        <v>141</v>
      </c>
      <c r="R914" s="33" t="s">
        <v>2149</v>
      </c>
      <c r="S914" s="33">
        <v>613410</v>
      </c>
      <c r="T914" s="33" t="s">
        <v>2100</v>
      </c>
      <c r="U914" s="34">
        <v>77.815299999999993</v>
      </c>
      <c r="V914" s="7"/>
      <c r="W914" s="7" t="str">
        <f>VLOOKUP($Q914,Mapping!$E$11:$I$96,3,0)</f>
        <v>Replacement</v>
      </c>
      <c r="X914" s="7" t="str">
        <f>VLOOKUP($S914,Mapping!$E$140:$K$2771,5,0)</f>
        <v>Labour</v>
      </c>
      <c r="Y914" s="7" t="str">
        <f>VLOOKUP($S914,Mapping!$E$140:$K$2771,7,0)</f>
        <v>ENDirect</v>
      </c>
      <c r="Z914" s="7" t="str">
        <f>IFERROR(HLOOKUP(X914,'Calc|Weightings'!$K$5:$M$5,1,0),"Excl")</f>
        <v>Labour</v>
      </c>
      <c r="AA914" s="7" t="str">
        <f>VLOOKUP(Q914,Mapping!$E$11:$I$96,5,0)</f>
        <v>SCS</v>
      </c>
      <c r="AC914" s="111">
        <v>141</v>
      </c>
      <c r="AD914" s="111" t="s">
        <v>2149</v>
      </c>
      <c r="AE914" s="111">
        <v>613254</v>
      </c>
      <c r="AF914" s="111" t="s">
        <v>2088</v>
      </c>
      <c r="AG914" s="112">
        <v>1.0351600000000001</v>
      </c>
      <c r="AI914" s="7" t="str">
        <f>VLOOKUP($AC914,Mapping!$E$11:$I$96,3,0)</f>
        <v>Replacement</v>
      </c>
      <c r="AJ914" s="7" t="str">
        <f>VLOOKUP($AE914,Mapping!$E$140:$K$2771,5,0)</f>
        <v>Labour</v>
      </c>
      <c r="AK914" s="7" t="str">
        <f>VLOOKUP($AE914,Mapping!$E$140:$K$2771,7,0)</f>
        <v>ENDirect</v>
      </c>
      <c r="AL914" s="7" t="str">
        <f>IFERROR(HLOOKUP(AJ914,'Calc|Weightings'!$K$5:$M$5,1,0),"Excl")</f>
        <v>Labour</v>
      </c>
      <c r="AM914" s="7" t="str">
        <f>VLOOKUP(AC914,Mapping!$E$11:$I$96,5,0)</f>
        <v>SCS</v>
      </c>
      <c r="AO914" s="134">
        <v>143</v>
      </c>
      <c r="AP914" s="135" t="s">
        <v>2153</v>
      </c>
      <c r="AQ914" s="135">
        <v>613441</v>
      </c>
      <c r="AR914" s="135" t="s">
        <v>2104</v>
      </c>
      <c r="AS914" s="136">
        <v>8.0860000000000001E-2</v>
      </c>
      <c r="AU914" s="7" t="str">
        <f>VLOOKUP($AO914,Mapping!$E$11:$I$96,3,0)</f>
        <v>Replacement</v>
      </c>
      <c r="AV914" s="7" t="str">
        <f>VLOOKUP($AQ914,Mapping!$E$140:$K$2771,5,0)</f>
        <v>Labour</v>
      </c>
      <c r="AW914" s="7" t="str">
        <f>VLOOKUP($AQ914,Mapping!$E$140:$K$2771,7,0)</f>
        <v>ENDirect</v>
      </c>
      <c r="AX914" s="7" t="str">
        <f>IFERROR(HLOOKUP(AV914,'Calc|Weightings'!$K$5:$M$5,1,0),"Excl")</f>
        <v>Labour</v>
      </c>
      <c r="AY914" s="7" t="str">
        <f>VLOOKUP(AO914,Mapping!$E$11:$I$96,5,0)</f>
        <v>SCS</v>
      </c>
    </row>
    <row r="915" spans="1:51" x14ac:dyDescent="0.2">
      <c r="A915" s="7"/>
      <c r="B915" s="7"/>
      <c r="C915" s="7"/>
      <c r="D915" s="7"/>
      <c r="E915" s="36">
        <v>140</v>
      </c>
      <c r="F915" s="36" t="s">
        <v>2148</v>
      </c>
      <c r="G915" s="36">
        <v>531467</v>
      </c>
      <c r="H915" s="36" t="s">
        <v>259</v>
      </c>
      <c r="I915" s="37">
        <v>96.601979999999998</v>
      </c>
      <c r="J915" s="7"/>
      <c r="K915" s="7" t="str">
        <f>VLOOKUP($E915,Mapping!$E$11:$I$96,3,0)</f>
        <v>Public lighting Capex</v>
      </c>
      <c r="L915" s="7" t="str">
        <f>VLOOKUP($G915,Mapping!$E$140:$K$2771,5,0)</f>
        <v>Contracts</v>
      </c>
      <c r="M915" s="7" t="str">
        <f>VLOOKUP($G915,Mapping!$E$140:$K$2771,7,0)</f>
        <v>ENDirect</v>
      </c>
      <c r="N915" s="7" t="str">
        <f>IFERROR(HLOOKUP(L915,'Calc|Weightings'!$K$5:$M$5,1,0),"Excl")</f>
        <v>Contracts</v>
      </c>
      <c r="O915" s="7" t="str">
        <f>VLOOKUP(E915,Mapping!$E$11:$I$96,5,0)</f>
        <v>Public Lighting</v>
      </c>
      <c r="Q915" s="33">
        <v>141</v>
      </c>
      <c r="R915" s="33" t="s">
        <v>2149</v>
      </c>
      <c r="S915" s="33">
        <v>613411</v>
      </c>
      <c r="T915" s="33" t="s">
        <v>2101</v>
      </c>
      <c r="U915" s="34">
        <v>13.08671</v>
      </c>
      <c r="V915" s="7"/>
      <c r="W915" s="7" t="str">
        <f>VLOOKUP($Q915,Mapping!$E$11:$I$96,3,0)</f>
        <v>Replacement</v>
      </c>
      <c r="X915" s="7" t="str">
        <f>VLOOKUP($S915,Mapping!$E$140:$K$2771,5,0)</f>
        <v>Labour</v>
      </c>
      <c r="Y915" s="7" t="str">
        <f>VLOOKUP($S915,Mapping!$E$140:$K$2771,7,0)</f>
        <v>ENDirect</v>
      </c>
      <c r="Z915" s="7" t="str">
        <f>IFERROR(HLOOKUP(X915,'Calc|Weightings'!$K$5:$M$5,1,0),"Excl")</f>
        <v>Labour</v>
      </c>
      <c r="AA915" s="7" t="str">
        <f>VLOOKUP(Q915,Mapping!$E$11:$I$96,5,0)</f>
        <v>SCS</v>
      </c>
      <c r="AC915" s="111">
        <v>141</v>
      </c>
      <c r="AD915" s="111" t="s">
        <v>2149</v>
      </c>
      <c r="AE915" s="111">
        <v>613255</v>
      </c>
      <c r="AF915" s="111" t="s">
        <v>2089</v>
      </c>
      <c r="AG915" s="112">
        <v>0.16958999999999999</v>
      </c>
      <c r="AI915" s="7" t="str">
        <f>VLOOKUP($AC915,Mapping!$E$11:$I$96,3,0)</f>
        <v>Replacement</v>
      </c>
      <c r="AJ915" s="7" t="str">
        <f>VLOOKUP($AE915,Mapping!$E$140:$K$2771,5,0)</f>
        <v>Labour</v>
      </c>
      <c r="AK915" s="7" t="str">
        <f>VLOOKUP($AE915,Mapping!$E$140:$K$2771,7,0)</f>
        <v>ENDirect</v>
      </c>
      <c r="AL915" s="7" t="str">
        <f>IFERROR(HLOOKUP(AJ915,'Calc|Weightings'!$K$5:$M$5,1,0),"Excl")</f>
        <v>Labour</v>
      </c>
      <c r="AM915" s="7" t="str">
        <f>VLOOKUP(AC915,Mapping!$E$11:$I$96,5,0)</f>
        <v>SCS</v>
      </c>
      <c r="AO915" s="134">
        <v>143</v>
      </c>
      <c r="AP915" s="135" t="s">
        <v>2153</v>
      </c>
      <c r="AQ915" s="135">
        <v>613450</v>
      </c>
      <c r="AR915" s="135" t="s">
        <v>2175</v>
      </c>
      <c r="AS915" s="136">
        <v>0.50919999999999999</v>
      </c>
      <c r="AU915" s="7" t="str">
        <f>VLOOKUP($AO915,Mapping!$E$11:$I$96,3,0)</f>
        <v>Replacement</v>
      </c>
      <c r="AV915" s="7" t="str">
        <f>VLOOKUP($AQ915,Mapping!$E$140:$K$2771,5,0)</f>
        <v>Labour</v>
      </c>
      <c r="AW915" s="7" t="str">
        <f>VLOOKUP($AQ915,Mapping!$E$140:$K$2771,7,0)</f>
        <v>ENDirect</v>
      </c>
      <c r="AX915" s="7" t="str">
        <f>IFERROR(HLOOKUP(AV915,'Calc|Weightings'!$K$5:$M$5,1,0),"Excl")</f>
        <v>Labour</v>
      </c>
      <c r="AY915" s="7" t="str">
        <f>VLOOKUP(AO915,Mapping!$E$11:$I$96,5,0)</f>
        <v>SCS</v>
      </c>
    </row>
    <row r="916" spans="1:51" x14ac:dyDescent="0.2">
      <c r="A916" s="7"/>
      <c r="B916" s="7"/>
      <c r="C916" s="7"/>
      <c r="D916" s="7"/>
      <c r="E916" s="36">
        <v>140</v>
      </c>
      <c r="F916" s="36" t="s">
        <v>2148</v>
      </c>
      <c r="G916" s="36">
        <v>531468</v>
      </c>
      <c r="H916" s="36" t="s">
        <v>260</v>
      </c>
      <c r="I916" s="37">
        <v>26.48434</v>
      </c>
      <c r="J916" s="7"/>
      <c r="K916" s="7" t="str">
        <f>VLOOKUP($E916,Mapping!$E$11:$I$96,3,0)</f>
        <v>Public lighting Capex</v>
      </c>
      <c r="L916" s="7" t="str">
        <f>VLOOKUP($G916,Mapping!$E$140:$K$2771,5,0)</f>
        <v>Contracts</v>
      </c>
      <c r="M916" s="7" t="str">
        <f>VLOOKUP($G916,Mapping!$E$140:$K$2771,7,0)</f>
        <v>ENDirect</v>
      </c>
      <c r="N916" s="7" t="str">
        <f>IFERROR(HLOOKUP(L916,'Calc|Weightings'!$K$5:$M$5,1,0),"Excl")</f>
        <v>Contracts</v>
      </c>
      <c r="O916" s="7" t="str">
        <f>VLOOKUP(E916,Mapping!$E$11:$I$96,5,0)</f>
        <v>Public Lighting</v>
      </c>
      <c r="Q916" s="33">
        <v>141</v>
      </c>
      <c r="R916" s="33" t="s">
        <v>2149</v>
      </c>
      <c r="S916" s="33">
        <v>613434</v>
      </c>
      <c r="T916" s="33" t="s">
        <v>2102</v>
      </c>
      <c r="U916" s="34">
        <v>3.3490799999999998</v>
      </c>
      <c r="V916" s="7"/>
      <c r="W916" s="7" t="str">
        <f>VLOOKUP($Q916,Mapping!$E$11:$I$96,3,0)</f>
        <v>Replacement</v>
      </c>
      <c r="X916" s="7" t="str">
        <f>VLOOKUP($S916,Mapping!$E$140:$K$2771,5,0)</f>
        <v>Labour</v>
      </c>
      <c r="Y916" s="7" t="str">
        <f>VLOOKUP($S916,Mapping!$E$140:$K$2771,7,0)</f>
        <v>ENDirect</v>
      </c>
      <c r="Z916" s="7" t="str">
        <f>IFERROR(HLOOKUP(X916,'Calc|Weightings'!$K$5:$M$5,1,0),"Excl")</f>
        <v>Labour</v>
      </c>
      <c r="AA916" s="7" t="str">
        <f>VLOOKUP(Q916,Mapping!$E$11:$I$96,5,0)</f>
        <v>SCS</v>
      </c>
      <c r="AC916" s="111">
        <v>141</v>
      </c>
      <c r="AD916" s="111" t="s">
        <v>2149</v>
      </c>
      <c r="AE916" s="111">
        <v>613260</v>
      </c>
      <c r="AF916" s="111" t="s">
        <v>2090</v>
      </c>
      <c r="AG916" s="112">
        <v>5.9374399999999996</v>
      </c>
      <c r="AI916" s="7" t="str">
        <f>VLOOKUP($AC916,Mapping!$E$11:$I$96,3,0)</f>
        <v>Replacement</v>
      </c>
      <c r="AJ916" s="7" t="str">
        <f>VLOOKUP($AE916,Mapping!$E$140:$K$2771,5,0)</f>
        <v>Labour</v>
      </c>
      <c r="AK916" s="7" t="str">
        <f>VLOOKUP($AE916,Mapping!$E$140:$K$2771,7,0)</f>
        <v>ENDirect</v>
      </c>
      <c r="AL916" s="7" t="str">
        <f>IFERROR(HLOOKUP(AJ916,'Calc|Weightings'!$K$5:$M$5,1,0),"Excl")</f>
        <v>Labour</v>
      </c>
      <c r="AM916" s="7" t="str">
        <f>VLOOKUP(AC916,Mapping!$E$11:$I$96,5,0)</f>
        <v>SCS</v>
      </c>
      <c r="AO916" s="134">
        <v>143</v>
      </c>
      <c r="AP916" s="135" t="s">
        <v>2153</v>
      </c>
      <c r="AQ916" s="135">
        <v>613566</v>
      </c>
      <c r="AR916" s="135" t="s">
        <v>1482</v>
      </c>
      <c r="AS916" s="136">
        <v>3.2381000000000002</v>
      </c>
      <c r="AU916" s="7" t="str">
        <f>VLOOKUP($AO916,Mapping!$E$11:$I$96,3,0)</f>
        <v>Replacement</v>
      </c>
      <c r="AV916" s="7" t="str">
        <f>VLOOKUP($AQ916,Mapping!$E$140:$K$2771,5,0)</f>
        <v>Labour</v>
      </c>
      <c r="AW916" s="7" t="str">
        <f>VLOOKUP($AQ916,Mapping!$E$140:$K$2771,7,0)</f>
        <v>ENDirect</v>
      </c>
      <c r="AX916" s="7" t="str">
        <f>IFERROR(HLOOKUP(AV916,'Calc|Weightings'!$K$5:$M$5,1,0),"Excl")</f>
        <v>Labour</v>
      </c>
      <c r="AY916" s="7" t="str">
        <f>VLOOKUP(AO916,Mapping!$E$11:$I$96,5,0)</f>
        <v>SCS</v>
      </c>
    </row>
    <row r="917" spans="1:51" x14ac:dyDescent="0.2">
      <c r="A917" s="7"/>
      <c r="B917" s="7"/>
      <c r="C917" s="7"/>
      <c r="D917" s="7"/>
      <c r="E917" s="36">
        <v>140</v>
      </c>
      <c r="F917" s="36" t="s">
        <v>2148</v>
      </c>
      <c r="G917" s="36">
        <v>531475</v>
      </c>
      <c r="H917" s="36" t="s">
        <v>2355</v>
      </c>
      <c r="I917" s="37">
        <v>-9.8491099999999996</v>
      </c>
      <c r="J917" s="7"/>
      <c r="K917" s="7" t="str">
        <f>VLOOKUP($E917,Mapping!$E$11:$I$96,3,0)</f>
        <v>Public lighting Capex</v>
      </c>
      <c r="L917" s="7" t="str">
        <f>VLOOKUP($G917,Mapping!$E$140:$K$2771,5,0)</f>
        <v>Contracts</v>
      </c>
      <c r="M917" s="7" t="str">
        <f>VLOOKUP($G917,Mapping!$E$140:$K$2771,7,0)</f>
        <v>ENDirect</v>
      </c>
      <c r="N917" s="7" t="str">
        <f>IFERROR(HLOOKUP(L917,'Calc|Weightings'!$K$5:$M$5,1,0),"Excl")</f>
        <v>Contracts</v>
      </c>
      <c r="O917" s="7" t="str">
        <f>VLOOKUP(E917,Mapping!$E$11:$I$96,5,0)</f>
        <v>Public Lighting</v>
      </c>
      <c r="Q917" s="33">
        <v>141</v>
      </c>
      <c r="R917" s="33" t="s">
        <v>2149</v>
      </c>
      <c r="S917" s="33">
        <v>613440</v>
      </c>
      <c r="T917" s="33" t="s">
        <v>2103</v>
      </c>
      <c r="U917" s="34">
        <v>2.8548200000000001</v>
      </c>
      <c r="V917" s="7"/>
      <c r="W917" s="7" t="str">
        <f>VLOOKUP($Q917,Mapping!$E$11:$I$96,3,0)</f>
        <v>Replacement</v>
      </c>
      <c r="X917" s="7" t="str">
        <f>VLOOKUP($S917,Mapping!$E$140:$K$2771,5,0)</f>
        <v>Labour</v>
      </c>
      <c r="Y917" s="7" t="str">
        <f>VLOOKUP($S917,Mapping!$E$140:$K$2771,7,0)</f>
        <v>ENDirect</v>
      </c>
      <c r="Z917" s="7" t="str">
        <f>IFERROR(HLOOKUP(X917,'Calc|Weightings'!$K$5:$M$5,1,0),"Excl")</f>
        <v>Labour</v>
      </c>
      <c r="AA917" s="7" t="str">
        <f>VLOOKUP(Q917,Mapping!$E$11:$I$96,5,0)</f>
        <v>SCS</v>
      </c>
      <c r="AC917" s="111">
        <v>141</v>
      </c>
      <c r="AD917" s="111" t="s">
        <v>2149</v>
      </c>
      <c r="AE917" s="111">
        <v>613280</v>
      </c>
      <c r="AF917" s="111" t="s">
        <v>1342</v>
      </c>
      <c r="AG917" s="112">
        <v>1.4602599999999999</v>
      </c>
      <c r="AI917" s="7" t="str">
        <f>VLOOKUP($AC917,Mapping!$E$11:$I$96,3,0)</f>
        <v>Replacement</v>
      </c>
      <c r="AJ917" s="7" t="str">
        <f>VLOOKUP($AE917,Mapping!$E$140:$K$2771,5,0)</f>
        <v>Labour</v>
      </c>
      <c r="AK917" s="7" t="str">
        <f>VLOOKUP($AE917,Mapping!$E$140:$K$2771,7,0)</f>
        <v>ENDirect</v>
      </c>
      <c r="AL917" s="7" t="str">
        <f>IFERROR(HLOOKUP(AJ917,'Calc|Weightings'!$K$5:$M$5,1,0),"Excl")</f>
        <v>Labour</v>
      </c>
      <c r="AM917" s="7" t="str">
        <f>VLOOKUP(AC917,Mapping!$E$11:$I$96,5,0)</f>
        <v>SCS</v>
      </c>
      <c r="AO917" s="134">
        <v>143</v>
      </c>
      <c r="AP917" s="135" t="s">
        <v>2153</v>
      </c>
      <c r="AQ917" s="135">
        <v>613567</v>
      </c>
      <c r="AR917" s="135" t="s">
        <v>1483</v>
      </c>
      <c r="AS917" s="136">
        <v>3.81555</v>
      </c>
      <c r="AU917" s="7" t="str">
        <f>VLOOKUP($AO917,Mapping!$E$11:$I$96,3,0)</f>
        <v>Replacement</v>
      </c>
      <c r="AV917" s="7" t="str">
        <f>VLOOKUP($AQ917,Mapping!$E$140:$K$2771,5,0)</f>
        <v>Labour</v>
      </c>
      <c r="AW917" s="7" t="str">
        <f>VLOOKUP($AQ917,Mapping!$E$140:$K$2771,7,0)</f>
        <v>ENDirect</v>
      </c>
      <c r="AX917" s="7" t="str">
        <f>IFERROR(HLOOKUP(AV917,'Calc|Weightings'!$K$5:$M$5,1,0),"Excl")</f>
        <v>Labour</v>
      </c>
      <c r="AY917" s="7" t="str">
        <f>VLOOKUP(AO917,Mapping!$E$11:$I$96,5,0)</f>
        <v>SCS</v>
      </c>
    </row>
    <row r="918" spans="1:51" x14ac:dyDescent="0.2">
      <c r="A918" s="7"/>
      <c r="B918" s="7"/>
      <c r="C918" s="7"/>
      <c r="D918" s="7"/>
      <c r="E918" s="36">
        <v>140</v>
      </c>
      <c r="F918" s="36" t="s">
        <v>2148</v>
      </c>
      <c r="G918" s="36">
        <v>531480</v>
      </c>
      <c r="H918" s="36" t="s">
        <v>2076</v>
      </c>
      <c r="I918" s="37">
        <v>0.30252000000000001</v>
      </c>
      <c r="J918" s="7"/>
      <c r="K918" s="7" t="str">
        <f>VLOOKUP($E918,Mapping!$E$11:$I$96,3,0)</f>
        <v>Public lighting Capex</v>
      </c>
      <c r="L918" s="7" t="str">
        <f>VLOOKUP($G918,Mapping!$E$140:$K$2771,5,0)</f>
        <v>Labour</v>
      </c>
      <c r="M918" s="7" t="str">
        <f>VLOOKUP($G918,Mapping!$E$140:$K$2771,7,0)</f>
        <v>ENDirect</v>
      </c>
      <c r="N918" s="7" t="str">
        <f>IFERROR(HLOOKUP(L918,'Calc|Weightings'!$K$5:$M$5,1,0),"Excl")</f>
        <v>Labour</v>
      </c>
      <c r="O918" s="7" t="str">
        <f>VLOOKUP(E918,Mapping!$E$11:$I$96,5,0)</f>
        <v>Public Lighting</v>
      </c>
      <c r="Q918" s="33">
        <v>141</v>
      </c>
      <c r="R918" s="33" t="s">
        <v>2149</v>
      </c>
      <c r="S918" s="33">
        <v>613441</v>
      </c>
      <c r="T918" s="33" t="s">
        <v>2104</v>
      </c>
      <c r="U918" s="34">
        <v>0.23734</v>
      </c>
      <c r="V918" s="7"/>
      <c r="W918" s="7" t="str">
        <f>VLOOKUP($Q918,Mapping!$E$11:$I$96,3,0)</f>
        <v>Replacement</v>
      </c>
      <c r="X918" s="7" t="str">
        <f>VLOOKUP($S918,Mapping!$E$140:$K$2771,5,0)</f>
        <v>Labour</v>
      </c>
      <c r="Y918" s="7" t="str">
        <f>VLOOKUP($S918,Mapping!$E$140:$K$2771,7,0)</f>
        <v>ENDirect</v>
      </c>
      <c r="Z918" s="7" t="str">
        <f>IFERROR(HLOOKUP(X918,'Calc|Weightings'!$K$5:$M$5,1,0),"Excl")</f>
        <v>Labour</v>
      </c>
      <c r="AA918" s="7" t="str">
        <f>VLOOKUP(Q918,Mapping!$E$11:$I$96,5,0)</f>
        <v>SCS</v>
      </c>
      <c r="AC918" s="111">
        <v>141</v>
      </c>
      <c r="AD918" s="111" t="s">
        <v>2149</v>
      </c>
      <c r="AE918" s="111">
        <v>613290</v>
      </c>
      <c r="AF918" s="111" t="s">
        <v>2093</v>
      </c>
      <c r="AG918" s="112">
        <v>3.3122400000000001</v>
      </c>
      <c r="AI918" s="7" t="str">
        <f>VLOOKUP($AC918,Mapping!$E$11:$I$96,3,0)</f>
        <v>Replacement</v>
      </c>
      <c r="AJ918" s="7" t="str">
        <f>VLOOKUP($AE918,Mapping!$E$140:$K$2771,5,0)</f>
        <v>Labour</v>
      </c>
      <c r="AK918" s="7" t="str">
        <f>VLOOKUP($AE918,Mapping!$E$140:$K$2771,7,0)</f>
        <v>ENDirect</v>
      </c>
      <c r="AL918" s="7" t="str">
        <f>IFERROR(HLOOKUP(AJ918,'Calc|Weightings'!$K$5:$M$5,1,0),"Excl")</f>
        <v>Labour</v>
      </c>
      <c r="AM918" s="7" t="str">
        <f>VLOOKUP(AC918,Mapping!$E$11:$I$96,5,0)</f>
        <v>SCS</v>
      </c>
      <c r="AO918" s="134">
        <v>143</v>
      </c>
      <c r="AP918" s="135" t="s">
        <v>2153</v>
      </c>
      <c r="AQ918" s="135">
        <v>613570</v>
      </c>
      <c r="AR918" s="135" t="s">
        <v>1484</v>
      </c>
      <c r="AS918" s="136">
        <v>-6.3691199999999997</v>
      </c>
      <c r="AU918" s="7" t="str">
        <f>VLOOKUP($AO918,Mapping!$E$11:$I$96,3,0)</f>
        <v>Replacement</v>
      </c>
      <c r="AV918" s="7" t="str">
        <f>VLOOKUP($AQ918,Mapping!$E$140:$K$2771,5,0)</f>
        <v>Labour</v>
      </c>
      <c r="AW918" s="7" t="str">
        <f>VLOOKUP($AQ918,Mapping!$E$140:$K$2771,7,0)</f>
        <v>ENDirect</v>
      </c>
      <c r="AX918" s="7" t="str">
        <f>IFERROR(HLOOKUP(AV918,'Calc|Weightings'!$K$5:$M$5,1,0),"Excl")</f>
        <v>Labour</v>
      </c>
      <c r="AY918" s="7" t="str">
        <f>VLOOKUP(AO918,Mapping!$E$11:$I$96,5,0)</f>
        <v>SCS</v>
      </c>
    </row>
    <row r="919" spans="1:51" x14ac:dyDescent="0.2">
      <c r="A919" s="7"/>
      <c r="B919" s="7"/>
      <c r="C919" s="7"/>
      <c r="D919" s="7"/>
      <c r="E919" s="36">
        <v>140</v>
      </c>
      <c r="F919" s="36" t="s">
        <v>2148</v>
      </c>
      <c r="G919" s="36">
        <v>531485</v>
      </c>
      <c r="H919" s="36" t="s">
        <v>2350</v>
      </c>
      <c r="I919" s="37">
        <v>4.0068700000000002</v>
      </c>
      <c r="J919" s="7"/>
      <c r="K919" s="7" t="str">
        <f>VLOOKUP($E919,Mapping!$E$11:$I$96,3,0)</f>
        <v>Public lighting Capex</v>
      </c>
      <c r="L919" s="7" t="str">
        <f>VLOOKUP($G919,Mapping!$E$140:$K$2771,5,0)</f>
        <v>Contracts</v>
      </c>
      <c r="M919" s="7" t="str">
        <f>VLOOKUP($G919,Mapping!$E$140:$K$2771,7,0)</f>
        <v>ENDirect</v>
      </c>
      <c r="N919" s="7" t="str">
        <f>IFERROR(HLOOKUP(L919,'Calc|Weightings'!$K$5:$M$5,1,0),"Excl")</f>
        <v>Contracts</v>
      </c>
      <c r="O919" s="7" t="str">
        <f>VLOOKUP(E919,Mapping!$E$11:$I$96,5,0)</f>
        <v>Public Lighting</v>
      </c>
      <c r="Q919" s="33">
        <v>141</v>
      </c>
      <c r="R919" s="33" t="s">
        <v>2149</v>
      </c>
      <c r="S919" s="33">
        <v>613448</v>
      </c>
      <c r="T919" s="33" t="s">
        <v>2105</v>
      </c>
      <c r="U919" s="34">
        <v>4.9969999999999999</v>
      </c>
      <c r="V919" s="7"/>
      <c r="W919" s="7" t="str">
        <f>VLOOKUP($Q919,Mapping!$E$11:$I$96,3,0)</f>
        <v>Replacement</v>
      </c>
      <c r="X919" s="7" t="str">
        <f>VLOOKUP($S919,Mapping!$E$140:$K$2771,5,0)</f>
        <v>Labour</v>
      </c>
      <c r="Y919" s="7" t="str">
        <f>VLOOKUP($S919,Mapping!$E$140:$K$2771,7,0)</f>
        <v>ENDirect</v>
      </c>
      <c r="Z919" s="7" t="str">
        <f>IFERROR(HLOOKUP(X919,'Calc|Weightings'!$K$5:$M$5,1,0),"Excl")</f>
        <v>Labour</v>
      </c>
      <c r="AA919" s="7" t="str">
        <f>VLOOKUP(Q919,Mapping!$E$11:$I$96,5,0)</f>
        <v>SCS</v>
      </c>
      <c r="AC919" s="111">
        <v>141</v>
      </c>
      <c r="AD919" s="111" t="s">
        <v>2149</v>
      </c>
      <c r="AE919" s="111">
        <v>613310</v>
      </c>
      <c r="AF919" s="111" t="s">
        <v>2095</v>
      </c>
      <c r="AG919" s="112">
        <v>6.9475899999999999</v>
      </c>
      <c r="AI919" s="7" t="str">
        <f>VLOOKUP($AC919,Mapping!$E$11:$I$96,3,0)</f>
        <v>Replacement</v>
      </c>
      <c r="AJ919" s="7" t="str">
        <f>VLOOKUP($AE919,Mapping!$E$140:$K$2771,5,0)</f>
        <v>Labour</v>
      </c>
      <c r="AK919" s="7" t="str">
        <f>VLOOKUP($AE919,Mapping!$E$140:$K$2771,7,0)</f>
        <v>ENDirect</v>
      </c>
      <c r="AL919" s="7" t="str">
        <f>IFERROR(HLOOKUP(AJ919,'Calc|Weightings'!$K$5:$M$5,1,0),"Excl")</f>
        <v>Labour</v>
      </c>
      <c r="AM919" s="7" t="str">
        <f>VLOOKUP(AC919,Mapping!$E$11:$I$96,5,0)</f>
        <v>SCS</v>
      </c>
      <c r="AO919" s="134">
        <v>143</v>
      </c>
      <c r="AP919" s="135" t="s">
        <v>2153</v>
      </c>
      <c r="AQ919" s="135">
        <v>613571</v>
      </c>
      <c r="AR919" s="135" t="s">
        <v>1485</v>
      </c>
      <c r="AS919" s="136">
        <v>0.64951999999999999</v>
      </c>
      <c r="AU919" s="7" t="str">
        <f>VLOOKUP($AO919,Mapping!$E$11:$I$96,3,0)</f>
        <v>Replacement</v>
      </c>
      <c r="AV919" s="7" t="str">
        <f>VLOOKUP($AQ919,Mapping!$E$140:$K$2771,5,0)</f>
        <v>Labour</v>
      </c>
      <c r="AW919" s="7" t="str">
        <f>VLOOKUP($AQ919,Mapping!$E$140:$K$2771,7,0)</f>
        <v>ENDirect</v>
      </c>
      <c r="AX919" s="7" t="str">
        <f>IFERROR(HLOOKUP(AV919,'Calc|Weightings'!$K$5:$M$5,1,0),"Excl")</f>
        <v>Labour</v>
      </c>
      <c r="AY919" s="7" t="str">
        <f>VLOOKUP(AO919,Mapping!$E$11:$I$96,5,0)</f>
        <v>SCS</v>
      </c>
    </row>
    <row r="920" spans="1:51" x14ac:dyDescent="0.2">
      <c r="A920" s="7"/>
      <c r="B920" s="7"/>
      <c r="C920" s="7"/>
      <c r="D920" s="7"/>
      <c r="E920" s="36">
        <v>140</v>
      </c>
      <c r="F920" s="36" t="s">
        <v>2148</v>
      </c>
      <c r="G920" s="36">
        <v>531495</v>
      </c>
      <c r="H920" s="36" t="s">
        <v>2353</v>
      </c>
      <c r="I920" s="37">
        <v>177.06818999999999</v>
      </c>
      <c r="J920" s="7"/>
      <c r="K920" s="7" t="str">
        <f>VLOOKUP($E920,Mapping!$E$11:$I$96,3,0)</f>
        <v>Public lighting Capex</v>
      </c>
      <c r="L920" s="7" t="str">
        <f>VLOOKUP($G920,Mapping!$E$140:$K$2771,5,0)</f>
        <v>Contracts</v>
      </c>
      <c r="M920" s="7" t="str">
        <f>VLOOKUP($G920,Mapping!$E$140:$K$2771,7,0)</f>
        <v>ENDirect</v>
      </c>
      <c r="N920" s="7" t="str">
        <f>IFERROR(HLOOKUP(L920,'Calc|Weightings'!$K$5:$M$5,1,0),"Excl")</f>
        <v>Contracts</v>
      </c>
      <c r="O920" s="7" t="str">
        <f>VLOOKUP(E920,Mapping!$E$11:$I$96,5,0)</f>
        <v>Public Lighting</v>
      </c>
      <c r="Q920" s="33">
        <v>141</v>
      </c>
      <c r="R920" s="33" t="s">
        <v>2149</v>
      </c>
      <c r="S920" s="33">
        <v>613566</v>
      </c>
      <c r="T920" s="33" t="s">
        <v>1482</v>
      </c>
      <c r="U920" s="34">
        <v>160.60146</v>
      </c>
      <c r="V920" s="7"/>
      <c r="W920" s="7" t="str">
        <f>VLOOKUP($Q920,Mapping!$E$11:$I$96,3,0)</f>
        <v>Replacement</v>
      </c>
      <c r="X920" s="7" t="str">
        <f>VLOOKUP($S920,Mapping!$E$140:$K$2771,5,0)</f>
        <v>Labour</v>
      </c>
      <c r="Y920" s="7" t="str">
        <f>VLOOKUP($S920,Mapping!$E$140:$K$2771,7,0)</f>
        <v>ENDirect</v>
      </c>
      <c r="Z920" s="7" t="str">
        <f>IFERROR(HLOOKUP(X920,'Calc|Weightings'!$K$5:$M$5,1,0),"Excl")</f>
        <v>Labour</v>
      </c>
      <c r="AA920" s="7" t="str">
        <f>VLOOKUP(Q920,Mapping!$E$11:$I$96,5,0)</f>
        <v>SCS</v>
      </c>
      <c r="AC920" s="111">
        <v>141</v>
      </c>
      <c r="AD920" s="111" t="s">
        <v>2149</v>
      </c>
      <c r="AE920" s="111">
        <v>613360</v>
      </c>
      <c r="AF920" s="111" t="s">
        <v>2097</v>
      </c>
      <c r="AG920" s="112">
        <v>3.90435</v>
      </c>
      <c r="AI920" s="7" t="str">
        <f>VLOOKUP($AC920,Mapping!$E$11:$I$96,3,0)</f>
        <v>Replacement</v>
      </c>
      <c r="AJ920" s="7" t="str">
        <f>VLOOKUP($AE920,Mapping!$E$140:$K$2771,5,0)</f>
        <v>Labour</v>
      </c>
      <c r="AK920" s="7" t="str">
        <f>VLOOKUP($AE920,Mapping!$E$140:$K$2771,7,0)</f>
        <v>ENDirect</v>
      </c>
      <c r="AL920" s="7" t="str">
        <f>IFERROR(HLOOKUP(AJ920,'Calc|Weightings'!$K$5:$M$5,1,0),"Excl")</f>
        <v>Labour</v>
      </c>
      <c r="AM920" s="7" t="str">
        <f>VLOOKUP(AC920,Mapping!$E$11:$I$96,5,0)</f>
        <v>SCS</v>
      </c>
      <c r="AO920" s="134">
        <v>143</v>
      </c>
      <c r="AP920" s="135" t="s">
        <v>2153</v>
      </c>
      <c r="AQ920" s="135">
        <v>613574</v>
      </c>
      <c r="AR920" s="135" t="s">
        <v>1488</v>
      </c>
      <c r="AS920" s="136">
        <v>6.1483999999999996</v>
      </c>
      <c r="AU920" s="7" t="str">
        <f>VLOOKUP($AO920,Mapping!$E$11:$I$96,3,0)</f>
        <v>Replacement</v>
      </c>
      <c r="AV920" s="7" t="str">
        <f>VLOOKUP($AQ920,Mapping!$E$140:$K$2771,5,0)</f>
        <v>Labour</v>
      </c>
      <c r="AW920" s="7" t="str">
        <f>VLOOKUP($AQ920,Mapping!$E$140:$K$2771,7,0)</f>
        <v>ENDirect</v>
      </c>
      <c r="AX920" s="7" t="str">
        <f>IFERROR(HLOOKUP(AV920,'Calc|Weightings'!$K$5:$M$5,1,0),"Excl")</f>
        <v>Labour</v>
      </c>
      <c r="AY920" s="7" t="str">
        <f>VLOOKUP(AO920,Mapping!$E$11:$I$96,5,0)</f>
        <v>SCS</v>
      </c>
    </row>
    <row r="921" spans="1:51" x14ac:dyDescent="0.2">
      <c r="A921" s="7"/>
      <c r="B921" s="7"/>
      <c r="C921" s="7"/>
      <c r="D921" s="7"/>
      <c r="E921" s="36">
        <v>140</v>
      </c>
      <c r="F921" s="36" t="s">
        <v>2148</v>
      </c>
      <c r="G921" s="36">
        <v>591200</v>
      </c>
      <c r="H921" s="36" t="s">
        <v>398</v>
      </c>
      <c r="I921" s="37">
        <v>2.5000000000000001E-2</v>
      </c>
      <c r="J921" s="7"/>
      <c r="K921" s="7" t="str">
        <f>VLOOKUP($E921,Mapping!$E$11:$I$96,3,0)</f>
        <v>Public lighting Capex</v>
      </c>
      <c r="L921" s="7" t="str">
        <f>VLOOKUP($G921,Mapping!$E$140:$K$2771,5,0)</f>
        <v>Contracts</v>
      </c>
      <c r="M921" s="7" t="str">
        <f>VLOOKUP($G921,Mapping!$E$140:$K$2771,7,0)</f>
        <v>ENDirect</v>
      </c>
      <c r="N921" s="7" t="str">
        <f>IFERROR(HLOOKUP(L921,'Calc|Weightings'!$K$5:$M$5,1,0),"Excl")</f>
        <v>Contracts</v>
      </c>
      <c r="O921" s="7" t="str">
        <f>VLOOKUP(E921,Mapping!$E$11:$I$96,5,0)</f>
        <v>Public Lighting</v>
      </c>
      <c r="Q921" s="33">
        <v>141</v>
      </c>
      <c r="R921" s="33" t="s">
        <v>2149</v>
      </c>
      <c r="S921" s="33">
        <v>613567</v>
      </c>
      <c r="T921" s="33" t="s">
        <v>1483</v>
      </c>
      <c r="U921" s="34">
        <v>25.271730000000002</v>
      </c>
      <c r="V921" s="7"/>
      <c r="W921" s="7" t="str">
        <f>VLOOKUP($Q921,Mapping!$E$11:$I$96,3,0)</f>
        <v>Replacement</v>
      </c>
      <c r="X921" s="7" t="str">
        <f>VLOOKUP($S921,Mapping!$E$140:$K$2771,5,0)</f>
        <v>Labour</v>
      </c>
      <c r="Y921" s="7" t="str">
        <f>VLOOKUP($S921,Mapping!$E$140:$K$2771,7,0)</f>
        <v>ENDirect</v>
      </c>
      <c r="Z921" s="7" t="str">
        <f>IFERROR(HLOOKUP(X921,'Calc|Weightings'!$K$5:$M$5,1,0),"Excl")</f>
        <v>Labour</v>
      </c>
      <c r="AA921" s="7" t="str">
        <f>VLOOKUP(Q921,Mapping!$E$11:$I$96,5,0)</f>
        <v>SCS</v>
      </c>
      <c r="AC921" s="111">
        <v>141</v>
      </c>
      <c r="AD921" s="111" t="s">
        <v>2149</v>
      </c>
      <c r="AE921" s="111">
        <v>613361</v>
      </c>
      <c r="AF921" s="111" t="s">
        <v>2098</v>
      </c>
      <c r="AG921" s="112">
        <v>0.31838</v>
      </c>
      <c r="AI921" s="7" t="str">
        <f>VLOOKUP($AC921,Mapping!$E$11:$I$96,3,0)</f>
        <v>Replacement</v>
      </c>
      <c r="AJ921" s="7" t="str">
        <f>VLOOKUP($AE921,Mapping!$E$140:$K$2771,5,0)</f>
        <v>Labour</v>
      </c>
      <c r="AK921" s="7" t="str">
        <f>VLOOKUP($AE921,Mapping!$E$140:$K$2771,7,0)</f>
        <v>ENDirect</v>
      </c>
      <c r="AL921" s="7" t="str">
        <f>IFERROR(HLOOKUP(AJ921,'Calc|Weightings'!$K$5:$M$5,1,0),"Excl")</f>
        <v>Labour</v>
      </c>
      <c r="AM921" s="7" t="str">
        <f>VLOOKUP(AC921,Mapping!$E$11:$I$96,5,0)</f>
        <v>SCS</v>
      </c>
      <c r="AO921" s="134">
        <v>143</v>
      </c>
      <c r="AP921" s="135" t="s">
        <v>2153</v>
      </c>
      <c r="AQ921" s="135">
        <v>613575</v>
      </c>
      <c r="AR921" s="135" t="s">
        <v>1489</v>
      </c>
      <c r="AS921" s="136">
        <v>2.9278400000000002</v>
      </c>
      <c r="AU921" s="7" t="str">
        <f>VLOOKUP($AO921,Mapping!$E$11:$I$96,3,0)</f>
        <v>Replacement</v>
      </c>
      <c r="AV921" s="7" t="str">
        <f>VLOOKUP($AQ921,Mapping!$E$140:$K$2771,5,0)</f>
        <v>Labour</v>
      </c>
      <c r="AW921" s="7" t="str">
        <f>VLOOKUP($AQ921,Mapping!$E$140:$K$2771,7,0)</f>
        <v>ENDirect</v>
      </c>
      <c r="AX921" s="7" t="str">
        <f>IFERROR(HLOOKUP(AV921,'Calc|Weightings'!$K$5:$M$5,1,0),"Excl")</f>
        <v>Labour</v>
      </c>
      <c r="AY921" s="7" t="str">
        <f>VLOOKUP(AO921,Mapping!$E$11:$I$96,5,0)</f>
        <v>SCS</v>
      </c>
    </row>
    <row r="922" spans="1:51" x14ac:dyDescent="0.2">
      <c r="A922" s="7"/>
      <c r="B922" s="7"/>
      <c r="C922" s="7"/>
      <c r="D922" s="7"/>
      <c r="E922" s="36">
        <v>140</v>
      </c>
      <c r="F922" s="36" t="s">
        <v>2148</v>
      </c>
      <c r="G922" s="36">
        <v>591997</v>
      </c>
      <c r="H922" s="36" t="s">
        <v>2194</v>
      </c>
      <c r="I922" s="37">
        <v>-3.9937</v>
      </c>
      <c r="J922" s="7"/>
      <c r="K922" s="7" t="str">
        <f>VLOOKUP($E922,Mapping!$E$11:$I$96,3,0)</f>
        <v>Public lighting Capex</v>
      </c>
      <c r="L922" s="7" t="str">
        <f>VLOOKUP($G922,Mapping!$E$140:$K$2771,5,0)</f>
        <v>Contracts</v>
      </c>
      <c r="M922" s="7" t="str">
        <f>VLOOKUP($G922,Mapping!$E$140:$K$2771,7,0)</f>
        <v>ENDirect</v>
      </c>
      <c r="N922" s="7" t="str">
        <f>IFERROR(HLOOKUP(L922,'Calc|Weightings'!$K$5:$M$5,1,0),"Excl")</f>
        <v>Contracts</v>
      </c>
      <c r="O922" s="7" t="str">
        <f>VLOOKUP(E922,Mapping!$E$11:$I$96,5,0)</f>
        <v>Public Lighting</v>
      </c>
      <c r="Q922" s="33">
        <v>141</v>
      </c>
      <c r="R922" s="33" t="s">
        <v>2149</v>
      </c>
      <c r="S922" s="33">
        <v>613570</v>
      </c>
      <c r="T922" s="33" t="s">
        <v>1484</v>
      </c>
      <c r="U922" s="34">
        <v>52.921390000000002</v>
      </c>
      <c r="V922" s="7"/>
      <c r="W922" s="7" t="str">
        <f>VLOOKUP($Q922,Mapping!$E$11:$I$96,3,0)</f>
        <v>Replacement</v>
      </c>
      <c r="X922" s="7" t="str">
        <f>VLOOKUP($S922,Mapping!$E$140:$K$2771,5,0)</f>
        <v>Labour</v>
      </c>
      <c r="Y922" s="7" t="str">
        <f>VLOOKUP($S922,Mapping!$E$140:$K$2771,7,0)</f>
        <v>ENDirect</v>
      </c>
      <c r="Z922" s="7" t="str">
        <f>IFERROR(HLOOKUP(X922,'Calc|Weightings'!$K$5:$M$5,1,0),"Excl")</f>
        <v>Labour</v>
      </c>
      <c r="AA922" s="7" t="str">
        <f>VLOOKUP(Q922,Mapping!$E$11:$I$96,5,0)</f>
        <v>SCS</v>
      </c>
      <c r="AC922" s="111">
        <v>141</v>
      </c>
      <c r="AD922" s="111" t="s">
        <v>2149</v>
      </c>
      <c r="AE922" s="111">
        <v>613370</v>
      </c>
      <c r="AF922" s="111" t="s">
        <v>1402</v>
      </c>
      <c r="AG922" s="112">
        <v>0.15217</v>
      </c>
      <c r="AI922" s="7" t="str">
        <f>VLOOKUP($AC922,Mapping!$E$11:$I$96,3,0)</f>
        <v>Replacement</v>
      </c>
      <c r="AJ922" s="7" t="str">
        <f>VLOOKUP($AE922,Mapping!$E$140:$K$2771,5,0)</f>
        <v>Labour</v>
      </c>
      <c r="AK922" s="7" t="str">
        <f>VLOOKUP($AE922,Mapping!$E$140:$K$2771,7,0)</f>
        <v>ENDirect</v>
      </c>
      <c r="AL922" s="7" t="str">
        <f>IFERROR(HLOOKUP(AJ922,'Calc|Weightings'!$K$5:$M$5,1,0),"Excl")</f>
        <v>Labour</v>
      </c>
      <c r="AM922" s="7" t="str">
        <f>VLOOKUP(AC922,Mapping!$E$11:$I$96,5,0)</f>
        <v>SCS</v>
      </c>
      <c r="AO922" s="134">
        <v>143</v>
      </c>
      <c r="AP922" s="135" t="s">
        <v>2153</v>
      </c>
      <c r="AQ922" s="135">
        <v>613576</v>
      </c>
      <c r="AR922" s="135" t="s">
        <v>1490</v>
      </c>
      <c r="AS922" s="136">
        <v>5.3638199999999996</v>
      </c>
      <c r="AU922" s="7" t="str">
        <f>VLOOKUP($AO922,Mapping!$E$11:$I$96,3,0)</f>
        <v>Replacement</v>
      </c>
      <c r="AV922" s="7" t="str">
        <f>VLOOKUP($AQ922,Mapping!$E$140:$K$2771,5,0)</f>
        <v>Labour</v>
      </c>
      <c r="AW922" s="7" t="str">
        <f>VLOOKUP($AQ922,Mapping!$E$140:$K$2771,7,0)</f>
        <v>ENDirect</v>
      </c>
      <c r="AX922" s="7" t="str">
        <f>IFERROR(HLOOKUP(AV922,'Calc|Weightings'!$K$5:$M$5,1,0),"Excl")</f>
        <v>Labour</v>
      </c>
      <c r="AY922" s="7" t="str">
        <f>VLOOKUP(AO922,Mapping!$E$11:$I$96,5,0)</f>
        <v>SCS</v>
      </c>
    </row>
    <row r="923" spans="1:51" x14ac:dyDescent="0.2">
      <c r="A923" s="7"/>
      <c r="B923" s="7"/>
      <c r="C923" s="7"/>
      <c r="D923" s="7"/>
      <c r="E923" s="36">
        <v>140</v>
      </c>
      <c r="F923" s="36" t="s">
        <v>2148</v>
      </c>
      <c r="G923" s="36">
        <v>591999</v>
      </c>
      <c r="H923" s="36" t="s">
        <v>2195</v>
      </c>
      <c r="I923" s="37">
        <v>-23.379960000000001</v>
      </c>
      <c r="J923" s="7"/>
      <c r="K923" s="7" t="str">
        <f>VLOOKUP($E923,Mapping!$E$11:$I$96,3,0)</f>
        <v>Public lighting Capex</v>
      </c>
      <c r="L923" s="7" t="str">
        <f>VLOOKUP($G923,Mapping!$E$140:$K$2771,5,0)</f>
        <v>Contracts</v>
      </c>
      <c r="M923" s="7" t="str">
        <f>VLOOKUP($G923,Mapping!$E$140:$K$2771,7,0)</f>
        <v>ENDirect</v>
      </c>
      <c r="N923" s="7" t="str">
        <f>IFERROR(HLOOKUP(L923,'Calc|Weightings'!$K$5:$M$5,1,0),"Excl")</f>
        <v>Contracts</v>
      </c>
      <c r="O923" s="7" t="str">
        <f>VLOOKUP(E923,Mapping!$E$11:$I$96,5,0)</f>
        <v>Public Lighting</v>
      </c>
      <c r="Q923" s="33">
        <v>141</v>
      </c>
      <c r="R923" s="33" t="s">
        <v>2149</v>
      </c>
      <c r="S923" s="33">
        <v>613571</v>
      </c>
      <c r="T923" s="33" t="s">
        <v>1485</v>
      </c>
      <c r="U923" s="34">
        <v>11.812749999999999</v>
      </c>
      <c r="V923" s="7"/>
      <c r="W923" s="7" t="str">
        <f>VLOOKUP($Q923,Mapping!$E$11:$I$96,3,0)</f>
        <v>Replacement</v>
      </c>
      <c r="X923" s="7" t="str">
        <f>VLOOKUP($S923,Mapping!$E$140:$K$2771,5,0)</f>
        <v>Labour</v>
      </c>
      <c r="Y923" s="7" t="str">
        <f>VLOOKUP($S923,Mapping!$E$140:$K$2771,7,0)</f>
        <v>ENDirect</v>
      </c>
      <c r="Z923" s="7" t="str">
        <f>IFERROR(HLOOKUP(X923,'Calc|Weightings'!$K$5:$M$5,1,0),"Excl")</f>
        <v>Labour</v>
      </c>
      <c r="AA923" s="7" t="str">
        <f>VLOOKUP(Q923,Mapping!$E$11:$I$96,5,0)</f>
        <v>SCS</v>
      </c>
      <c r="AC923" s="111">
        <v>141</v>
      </c>
      <c r="AD923" s="111" t="s">
        <v>2149</v>
      </c>
      <c r="AE923" s="111">
        <v>613400</v>
      </c>
      <c r="AF923" s="111" t="s">
        <v>2099</v>
      </c>
      <c r="AG923" s="112">
        <v>25.343810000000001</v>
      </c>
      <c r="AI923" s="7" t="str">
        <f>VLOOKUP($AC923,Mapping!$E$11:$I$96,3,0)</f>
        <v>Replacement</v>
      </c>
      <c r="AJ923" s="7" t="str">
        <f>VLOOKUP($AE923,Mapping!$E$140:$K$2771,5,0)</f>
        <v>Labour</v>
      </c>
      <c r="AK923" s="7" t="str">
        <f>VLOOKUP($AE923,Mapping!$E$140:$K$2771,7,0)</f>
        <v>ENDirect</v>
      </c>
      <c r="AL923" s="7" t="str">
        <f>IFERROR(HLOOKUP(AJ923,'Calc|Weightings'!$K$5:$M$5,1,0),"Excl")</f>
        <v>Labour</v>
      </c>
      <c r="AM923" s="7" t="str">
        <f>VLOOKUP(AC923,Mapping!$E$11:$I$96,5,0)</f>
        <v>SCS</v>
      </c>
      <c r="AO923" s="134">
        <v>143</v>
      </c>
      <c r="AP923" s="135" t="s">
        <v>2153</v>
      </c>
      <c r="AQ923" s="135">
        <v>613602</v>
      </c>
      <c r="AR923" s="135" t="s">
        <v>1494</v>
      </c>
      <c r="AS923" s="136">
        <v>3.4250400000000001</v>
      </c>
      <c r="AU923" s="7" t="str">
        <f>VLOOKUP($AO923,Mapping!$E$11:$I$96,3,0)</f>
        <v>Replacement</v>
      </c>
      <c r="AV923" s="7" t="str">
        <f>VLOOKUP($AQ923,Mapping!$E$140:$K$2771,5,0)</f>
        <v>Labour</v>
      </c>
      <c r="AW923" s="7" t="str">
        <f>VLOOKUP($AQ923,Mapping!$E$140:$K$2771,7,0)</f>
        <v>ENDirect</v>
      </c>
      <c r="AX923" s="7" t="str">
        <f>IFERROR(HLOOKUP(AV923,'Calc|Weightings'!$K$5:$M$5,1,0),"Excl")</f>
        <v>Labour</v>
      </c>
      <c r="AY923" s="7" t="str">
        <f>VLOOKUP(AO923,Mapping!$E$11:$I$96,5,0)</f>
        <v>SCS</v>
      </c>
    </row>
    <row r="924" spans="1:51" x14ac:dyDescent="0.2">
      <c r="A924" s="7"/>
      <c r="B924" s="7"/>
      <c r="C924" s="7"/>
      <c r="D924" s="7"/>
      <c r="E924" s="36">
        <v>140</v>
      </c>
      <c r="F924" s="36" t="s">
        <v>2148</v>
      </c>
      <c r="G924" s="36">
        <v>611860</v>
      </c>
      <c r="H924" s="36" t="s">
        <v>2125</v>
      </c>
      <c r="I924" s="37">
        <v>-74.712379999999996</v>
      </c>
      <c r="J924" s="7"/>
      <c r="K924" s="7" t="str">
        <f>VLOOKUP($E924,Mapping!$E$11:$I$96,3,0)</f>
        <v>Public lighting Capex</v>
      </c>
      <c r="L924" s="7" t="str">
        <f>VLOOKUP($G924,Mapping!$E$140:$K$2771,5,0)</f>
        <v>Labour</v>
      </c>
      <c r="M924" s="7" t="str">
        <f>VLOOKUP($G924,Mapping!$E$140:$K$2771,7,0)</f>
        <v>ENDirect</v>
      </c>
      <c r="N924" s="7" t="str">
        <f>IFERROR(HLOOKUP(L924,'Calc|Weightings'!$K$5:$M$5,1,0),"Excl")</f>
        <v>Labour</v>
      </c>
      <c r="O924" s="7" t="str">
        <f>VLOOKUP(E924,Mapping!$E$11:$I$96,5,0)</f>
        <v>Public Lighting</v>
      </c>
      <c r="Q924" s="33">
        <v>141</v>
      </c>
      <c r="R924" s="33" t="s">
        <v>2149</v>
      </c>
      <c r="S924" s="33">
        <v>613573</v>
      </c>
      <c r="T924" s="33" t="s">
        <v>1487</v>
      </c>
      <c r="U924" s="34">
        <v>1.2330399999999999</v>
      </c>
      <c r="V924" s="7"/>
      <c r="W924" s="7" t="str">
        <f>VLOOKUP($Q924,Mapping!$E$11:$I$96,3,0)</f>
        <v>Replacement</v>
      </c>
      <c r="X924" s="7" t="str">
        <f>VLOOKUP($S924,Mapping!$E$140:$K$2771,5,0)</f>
        <v>Labour</v>
      </c>
      <c r="Y924" s="7" t="str">
        <f>VLOOKUP($S924,Mapping!$E$140:$K$2771,7,0)</f>
        <v>ENDirect</v>
      </c>
      <c r="Z924" s="7" t="str">
        <f>IFERROR(HLOOKUP(X924,'Calc|Weightings'!$K$5:$M$5,1,0),"Excl")</f>
        <v>Labour</v>
      </c>
      <c r="AA924" s="7" t="str">
        <f>VLOOKUP(Q924,Mapping!$E$11:$I$96,5,0)</f>
        <v>SCS</v>
      </c>
      <c r="AC924" s="111">
        <v>141</v>
      </c>
      <c r="AD924" s="111" t="s">
        <v>2149</v>
      </c>
      <c r="AE924" s="111">
        <v>613401</v>
      </c>
      <c r="AF924" s="111" t="s">
        <v>2117</v>
      </c>
      <c r="AG924" s="112">
        <v>7.0591600000000003</v>
      </c>
      <c r="AI924" s="7" t="str">
        <f>VLOOKUP($AC924,Mapping!$E$11:$I$96,3,0)</f>
        <v>Replacement</v>
      </c>
      <c r="AJ924" s="7" t="str">
        <f>VLOOKUP($AE924,Mapping!$E$140:$K$2771,5,0)</f>
        <v>Labour</v>
      </c>
      <c r="AK924" s="7" t="str">
        <f>VLOOKUP($AE924,Mapping!$E$140:$K$2771,7,0)</f>
        <v>ENDirect</v>
      </c>
      <c r="AL924" s="7" t="str">
        <f>IFERROR(HLOOKUP(AJ924,'Calc|Weightings'!$K$5:$M$5,1,0),"Excl")</f>
        <v>Labour</v>
      </c>
      <c r="AM924" s="7" t="str">
        <f>VLOOKUP(AC924,Mapping!$E$11:$I$96,5,0)</f>
        <v>SCS</v>
      </c>
      <c r="AO924" s="134">
        <v>143</v>
      </c>
      <c r="AP924" s="135" t="s">
        <v>2153</v>
      </c>
      <c r="AQ924" s="135">
        <v>613630</v>
      </c>
      <c r="AR924" s="135" t="s">
        <v>1498</v>
      </c>
      <c r="AS924" s="136">
        <v>18.173500000000001</v>
      </c>
      <c r="AU924" s="7" t="str">
        <f>VLOOKUP($AO924,Mapping!$E$11:$I$96,3,0)</f>
        <v>Replacement</v>
      </c>
      <c r="AV924" s="7" t="str">
        <f>VLOOKUP($AQ924,Mapping!$E$140:$K$2771,5,0)</f>
        <v>Labour</v>
      </c>
      <c r="AW924" s="7" t="str">
        <f>VLOOKUP($AQ924,Mapping!$E$140:$K$2771,7,0)</f>
        <v>ENDirect</v>
      </c>
      <c r="AX924" s="7" t="str">
        <f>IFERROR(HLOOKUP(AV924,'Calc|Weightings'!$K$5:$M$5,1,0),"Excl")</f>
        <v>Labour</v>
      </c>
      <c r="AY924" s="7" t="str">
        <f>VLOOKUP(AO924,Mapping!$E$11:$I$96,5,0)</f>
        <v>SCS</v>
      </c>
    </row>
    <row r="925" spans="1:51" x14ac:dyDescent="0.2">
      <c r="A925" s="7"/>
      <c r="B925" s="7"/>
      <c r="C925" s="7"/>
      <c r="D925" s="7"/>
      <c r="E925" s="36">
        <v>140</v>
      </c>
      <c r="F925" s="36" t="s">
        <v>2148</v>
      </c>
      <c r="G925" s="36">
        <v>611861</v>
      </c>
      <c r="H925" s="36" t="s">
        <v>2140</v>
      </c>
      <c r="I925" s="37">
        <v>-56.464260000000003</v>
      </c>
      <c r="J925" s="7"/>
      <c r="K925" s="7" t="str">
        <f>VLOOKUP($E925,Mapping!$E$11:$I$96,3,0)</f>
        <v>Public lighting Capex</v>
      </c>
      <c r="L925" s="7" t="str">
        <f>VLOOKUP($G925,Mapping!$E$140:$K$2771,5,0)</f>
        <v>Labour</v>
      </c>
      <c r="M925" s="7" t="str">
        <f>VLOOKUP($G925,Mapping!$E$140:$K$2771,7,0)</f>
        <v>ENDirect</v>
      </c>
      <c r="N925" s="7" t="str">
        <f>IFERROR(HLOOKUP(L925,'Calc|Weightings'!$K$5:$M$5,1,0),"Excl")</f>
        <v>Labour</v>
      </c>
      <c r="O925" s="7" t="str">
        <f>VLOOKUP(E925,Mapping!$E$11:$I$96,5,0)</f>
        <v>Public Lighting</v>
      </c>
      <c r="Q925" s="33">
        <v>141</v>
      </c>
      <c r="R925" s="33" t="s">
        <v>2149</v>
      </c>
      <c r="S925" s="33">
        <v>613574</v>
      </c>
      <c r="T925" s="33" t="s">
        <v>1488</v>
      </c>
      <c r="U925" s="34">
        <v>231.59314000000001</v>
      </c>
      <c r="V925" s="7"/>
      <c r="W925" s="7" t="str">
        <f>VLOOKUP($Q925,Mapping!$E$11:$I$96,3,0)</f>
        <v>Replacement</v>
      </c>
      <c r="X925" s="7" t="str">
        <f>VLOOKUP($S925,Mapping!$E$140:$K$2771,5,0)</f>
        <v>Labour</v>
      </c>
      <c r="Y925" s="7" t="str">
        <f>VLOOKUP($S925,Mapping!$E$140:$K$2771,7,0)</f>
        <v>ENDirect</v>
      </c>
      <c r="Z925" s="7" t="str">
        <f>IFERROR(HLOOKUP(X925,'Calc|Weightings'!$K$5:$M$5,1,0),"Excl")</f>
        <v>Labour</v>
      </c>
      <c r="AA925" s="7" t="str">
        <f>VLOOKUP(Q925,Mapping!$E$11:$I$96,5,0)</f>
        <v>SCS</v>
      </c>
      <c r="AC925" s="111">
        <v>141</v>
      </c>
      <c r="AD925" s="111" t="s">
        <v>2149</v>
      </c>
      <c r="AE925" s="111">
        <v>613410</v>
      </c>
      <c r="AF925" s="111" t="s">
        <v>2100</v>
      </c>
      <c r="AG925" s="112">
        <v>48.874339999999997</v>
      </c>
      <c r="AI925" s="7" t="str">
        <f>VLOOKUP($AC925,Mapping!$E$11:$I$96,3,0)</f>
        <v>Replacement</v>
      </c>
      <c r="AJ925" s="7" t="str">
        <f>VLOOKUP($AE925,Mapping!$E$140:$K$2771,5,0)</f>
        <v>Labour</v>
      </c>
      <c r="AK925" s="7" t="str">
        <f>VLOOKUP($AE925,Mapping!$E$140:$K$2771,7,0)</f>
        <v>ENDirect</v>
      </c>
      <c r="AL925" s="7" t="str">
        <f>IFERROR(HLOOKUP(AJ925,'Calc|Weightings'!$K$5:$M$5,1,0),"Excl")</f>
        <v>Labour</v>
      </c>
      <c r="AM925" s="7" t="str">
        <f>VLOOKUP(AC925,Mapping!$E$11:$I$96,5,0)</f>
        <v>SCS</v>
      </c>
      <c r="AO925" s="134">
        <v>143</v>
      </c>
      <c r="AP925" s="135" t="s">
        <v>2153</v>
      </c>
      <c r="AQ925" s="135">
        <v>613680</v>
      </c>
      <c r="AR925" s="135" t="s">
        <v>2107</v>
      </c>
      <c r="AS925" s="136">
        <v>3.4832999999999998</v>
      </c>
      <c r="AU925" s="7" t="str">
        <f>VLOOKUP($AO925,Mapping!$E$11:$I$96,3,0)</f>
        <v>Replacement</v>
      </c>
      <c r="AV925" s="7" t="str">
        <f>VLOOKUP($AQ925,Mapping!$E$140:$K$2771,5,0)</f>
        <v>Labour</v>
      </c>
      <c r="AW925" s="7" t="str">
        <f>VLOOKUP($AQ925,Mapping!$E$140:$K$2771,7,0)</f>
        <v>ENDirect</v>
      </c>
      <c r="AX925" s="7" t="str">
        <f>IFERROR(HLOOKUP(AV925,'Calc|Weightings'!$K$5:$M$5,1,0),"Excl")</f>
        <v>Labour</v>
      </c>
      <c r="AY925" s="7" t="str">
        <f>VLOOKUP(AO925,Mapping!$E$11:$I$96,5,0)</f>
        <v>SCS</v>
      </c>
    </row>
    <row r="926" spans="1:51" x14ac:dyDescent="0.2">
      <c r="A926" s="7"/>
      <c r="B926" s="7"/>
      <c r="C926" s="7"/>
      <c r="D926" s="7"/>
      <c r="E926" s="36">
        <v>140</v>
      </c>
      <c r="F926" s="36" t="s">
        <v>2148</v>
      </c>
      <c r="G926" s="36">
        <v>611900</v>
      </c>
      <c r="H926" s="36" t="s">
        <v>2079</v>
      </c>
      <c r="I926" s="37">
        <v>3.22227</v>
      </c>
      <c r="J926" s="7"/>
      <c r="K926" s="7" t="str">
        <f>VLOOKUP($E926,Mapping!$E$11:$I$96,3,0)</f>
        <v>Public lighting Capex</v>
      </c>
      <c r="L926" s="7" t="str">
        <f>VLOOKUP($G926,Mapping!$E$140:$K$2771,5,0)</f>
        <v>Contracts</v>
      </c>
      <c r="M926" s="7" t="str">
        <f>VLOOKUP($G926,Mapping!$E$140:$K$2771,7,0)</f>
        <v>ENDirect</v>
      </c>
      <c r="N926" s="7" t="str">
        <f>IFERROR(HLOOKUP(L926,'Calc|Weightings'!$K$5:$M$5,1,0),"Excl")</f>
        <v>Contracts</v>
      </c>
      <c r="O926" s="7" t="str">
        <f>VLOOKUP(E926,Mapping!$E$11:$I$96,5,0)</f>
        <v>Public Lighting</v>
      </c>
      <c r="Q926" s="33">
        <v>141</v>
      </c>
      <c r="R926" s="33" t="s">
        <v>2149</v>
      </c>
      <c r="S926" s="33">
        <v>613575</v>
      </c>
      <c r="T926" s="33" t="s">
        <v>1489</v>
      </c>
      <c r="U926" s="34">
        <v>33.60389</v>
      </c>
      <c r="V926" s="7"/>
      <c r="W926" s="7" t="str">
        <f>VLOOKUP($Q926,Mapping!$E$11:$I$96,3,0)</f>
        <v>Replacement</v>
      </c>
      <c r="X926" s="7" t="str">
        <f>VLOOKUP($S926,Mapping!$E$140:$K$2771,5,0)</f>
        <v>Labour</v>
      </c>
      <c r="Y926" s="7" t="str">
        <f>VLOOKUP($S926,Mapping!$E$140:$K$2771,7,0)</f>
        <v>ENDirect</v>
      </c>
      <c r="Z926" s="7" t="str">
        <f>IFERROR(HLOOKUP(X926,'Calc|Weightings'!$K$5:$M$5,1,0),"Excl")</f>
        <v>Labour</v>
      </c>
      <c r="AA926" s="7" t="str">
        <f>VLOOKUP(Q926,Mapping!$E$11:$I$96,5,0)</f>
        <v>SCS</v>
      </c>
      <c r="AC926" s="111">
        <v>141</v>
      </c>
      <c r="AD926" s="111" t="s">
        <v>2149</v>
      </c>
      <c r="AE926" s="111">
        <v>613411</v>
      </c>
      <c r="AF926" s="111" t="s">
        <v>2101</v>
      </c>
      <c r="AG926" s="112">
        <v>4.4093499999999999</v>
      </c>
      <c r="AI926" s="7" t="str">
        <f>VLOOKUP($AC926,Mapping!$E$11:$I$96,3,0)</f>
        <v>Replacement</v>
      </c>
      <c r="AJ926" s="7" t="str">
        <f>VLOOKUP($AE926,Mapping!$E$140:$K$2771,5,0)</f>
        <v>Labour</v>
      </c>
      <c r="AK926" s="7" t="str">
        <f>VLOOKUP($AE926,Mapping!$E$140:$K$2771,7,0)</f>
        <v>ENDirect</v>
      </c>
      <c r="AL926" s="7" t="str">
        <f>IFERROR(HLOOKUP(AJ926,'Calc|Weightings'!$K$5:$M$5,1,0),"Excl")</f>
        <v>Labour</v>
      </c>
      <c r="AM926" s="7" t="str">
        <f>VLOOKUP(AC926,Mapping!$E$11:$I$96,5,0)</f>
        <v>SCS</v>
      </c>
      <c r="AO926" s="134">
        <v>143</v>
      </c>
      <c r="AP926" s="135" t="s">
        <v>2153</v>
      </c>
      <c r="AQ926" s="135">
        <v>634001</v>
      </c>
      <c r="AR926" s="135" t="s">
        <v>2110</v>
      </c>
      <c r="AS926" s="136">
        <v>40.767969999999998</v>
      </c>
      <c r="AU926" s="7" t="str">
        <f>VLOOKUP($AO926,Mapping!$E$11:$I$96,3,0)</f>
        <v>Replacement</v>
      </c>
      <c r="AV926" s="7" t="str">
        <f>VLOOKUP($AQ926,Mapping!$E$140:$K$2771,5,0)</f>
        <v>Local OH</v>
      </c>
      <c r="AW926" s="7" t="str">
        <f>VLOOKUP($AQ926,Mapping!$E$140:$K$2771,7,0)</f>
        <v>OH</v>
      </c>
      <c r="AX926" s="7" t="str">
        <f>IFERROR(HLOOKUP(AV926,'Calc|Weightings'!$K$5:$M$5,1,0),"Excl")</f>
        <v>Excl</v>
      </c>
      <c r="AY926" s="7" t="str">
        <f>VLOOKUP(AO926,Mapping!$E$11:$I$96,5,0)</f>
        <v>SCS</v>
      </c>
    </row>
    <row r="927" spans="1:51" x14ac:dyDescent="0.2">
      <c r="A927" s="7"/>
      <c r="B927" s="7"/>
      <c r="C927" s="7"/>
      <c r="D927" s="7"/>
      <c r="E927" s="36">
        <v>140</v>
      </c>
      <c r="F927" s="36" t="s">
        <v>2148</v>
      </c>
      <c r="G927" s="36">
        <v>611901</v>
      </c>
      <c r="H927" s="36" t="s">
        <v>2080</v>
      </c>
      <c r="I927" s="37">
        <v>2.00081</v>
      </c>
      <c r="J927" s="7"/>
      <c r="K927" s="7" t="str">
        <f>VLOOKUP($E927,Mapping!$E$11:$I$96,3,0)</f>
        <v>Public lighting Capex</v>
      </c>
      <c r="L927" s="7" t="str">
        <f>VLOOKUP($G927,Mapping!$E$140:$K$2771,5,0)</f>
        <v>Contracts</v>
      </c>
      <c r="M927" s="7" t="str">
        <f>VLOOKUP($G927,Mapping!$E$140:$K$2771,7,0)</f>
        <v>ENDirect</v>
      </c>
      <c r="N927" s="7" t="str">
        <f>IFERROR(HLOOKUP(L927,'Calc|Weightings'!$K$5:$M$5,1,0),"Excl")</f>
        <v>Contracts</v>
      </c>
      <c r="O927" s="7" t="str">
        <f>VLOOKUP(E927,Mapping!$E$11:$I$96,5,0)</f>
        <v>Public Lighting</v>
      </c>
      <c r="Q927" s="33">
        <v>141</v>
      </c>
      <c r="R927" s="33" t="s">
        <v>2149</v>
      </c>
      <c r="S927" s="33">
        <v>613576</v>
      </c>
      <c r="T927" s="33" t="s">
        <v>1490</v>
      </c>
      <c r="U927" s="34">
        <v>29.675989999999999</v>
      </c>
      <c r="V927" s="7"/>
      <c r="W927" s="7" t="str">
        <f>VLOOKUP($Q927,Mapping!$E$11:$I$96,3,0)</f>
        <v>Replacement</v>
      </c>
      <c r="X927" s="7" t="str">
        <f>VLOOKUP($S927,Mapping!$E$140:$K$2771,5,0)</f>
        <v>Labour</v>
      </c>
      <c r="Y927" s="7" t="str">
        <f>VLOOKUP($S927,Mapping!$E$140:$K$2771,7,0)</f>
        <v>ENDirect</v>
      </c>
      <c r="Z927" s="7" t="str">
        <f>IFERROR(HLOOKUP(X927,'Calc|Weightings'!$K$5:$M$5,1,0),"Excl")</f>
        <v>Labour</v>
      </c>
      <c r="AA927" s="7" t="str">
        <f>VLOOKUP(Q927,Mapping!$E$11:$I$96,5,0)</f>
        <v>SCS</v>
      </c>
      <c r="AC927" s="111">
        <v>141</v>
      </c>
      <c r="AD927" s="111" t="s">
        <v>2149</v>
      </c>
      <c r="AE927" s="111">
        <v>613434</v>
      </c>
      <c r="AF927" s="111" t="s">
        <v>2102</v>
      </c>
      <c r="AG927" s="112">
        <v>4.1966799999999997</v>
      </c>
      <c r="AI927" s="7" t="str">
        <f>VLOOKUP($AC927,Mapping!$E$11:$I$96,3,0)</f>
        <v>Replacement</v>
      </c>
      <c r="AJ927" s="7" t="str">
        <f>VLOOKUP($AE927,Mapping!$E$140:$K$2771,5,0)</f>
        <v>Labour</v>
      </c>
      <c r="AK927" s="7" t="str">
        <f>VLOOKUP($AE927,Mapping!$E$140:$K$2771,7,0)</f>
        <v>ENDirect</v>
      </c>
      <c r="AL927" s="7" t="str">
        <f>IFERROR(HLOOKUP(AJ927,'Calc|Weightings'!$K$5:$M$5,1,0),"Excl")</f>
        <v>Labour</v>
      </c>
      <c r="AM927" s="7" t="str">
        <f>VLOOKUP(AC927,Mapping!$E$11:$I$96,5,0)</f>
        <v>SCS</v>
      </c>
      <c r="AO927" s="134">
        <v>143</v>
      </c>
      <c r="AP927" s="135" t="s">
        <v>2153</v>
      </c>
      <c r="AQ927" s="135">
        <v>635001</v>
      </c>
      <c r="AR927" s="135" t="s">
        <v>1929</v>
      </c>
      <c r="AS927" s="136">
        <v>25.431619999999999</v>
      </c>
      <c r="AU927" s="7" t="str">
        <f>VLOOKUP($AO927,Mapping!$E$11:$I$96,3,0)</f>
        <v>Replacement</v>
      </c>
      <c r="AV927" s="7" t="str">
        <f>VLOOKUP($AQ927,Mapping!$E$140:$K$2771,5,0)</f>
        <v>PNS MG</v>
      </c>
      <c r="AW927" s="7" t="str">
        <f>VLOOKUP($AQ927,Mapping!$E$140:$K$2771,7,0)</f>
        <v>ENDirect</v>
      </c>
      <c r="AX927" s="7" t="str">
        <f>IFERROR(HLOOKUP(AV927,'Calc|Weightings'!$K$5:$M$5,1,0),"Excl")</f>
        <v>Excl</v>
      </c>
      <c r="AY927" s="7" t="str">
        <f>VLOOKUP(AO927,Mapping!$E$11:$I$96,5,0)</f>
        <v>SCS</v>
      </c>
    </row>
    <row r="928" spans="1:51" x14ac:dyDescent="0.2">
      <c r="A928" s="7"/>
      <c r="B928" s="7"/>
      <c r="C928" s="7"/>
      <c r="D928" s="7"/>
      <c r="E928" s="36">
        <v>140</v>
      </c>
      <c r="F928" s="36" t="s">
        <v>2148</v>
      </c>
      <c r="G928" s="36">
        <v>611902</v>
      </c>
      <c r="H928" s="36" t="s">
        <v>2081</v>
      </c>
      <c r="I928" s="37">
        <v>4.6149999999999997E-2</v>
      </c>
      <c r="J928" s="7"/>
      <c r="K928" s="7" t="str">
        <f>VLOOKUP($E928,Mapping!$E$11:$I$96,3,0)</f>
        <v>Public lighting Capex</v>
      </c>
      <c r="L928" s="7" t="str">
        <f>VLOOKUP($G928,Mapping!$E$140:$K$2771,5,0)</f>
        <v>Contracts</v>
      </c>
      <c r="M928" s="7" t="str">
        <f>VLOOKUP($G928,Mapping!$E$140:$K$2771,7,0)</f>
        <v>ENDirect</v>
      </c>
      <c r="N928" s="7" t="str">
        <f>IFERROR(HLOOKUP(L928,'Calc|Weightings'!$K$5:$M$5,1,0),"Excl")</f>
        <v>Contracts</v>
      </c>
      <c r="O928" s="7" t="str">
        <f>VLOOKUP(E928,Mapping!$E$11:$I$96,5,0)</f>
        <v>Public Lighting</v>
      </c>
      <c r="Q928" s="33">
        <v>141</v>
      </c>
      <c r="R928" s="33" t="s">
        <v>2149</v>
      </c>
      <c r="S928" s="33">
        <v>613577</v>
      </c>
      <c r="T928" s="33" t="s">
        <v>1491</v>
      </c>
      <c r="U928" s="34">
        <v>10.55705</v>
      </c>
      <c r="V928" s="7"/>
      <c r="W928" s="7" t="str">
        <f>VLOOKUP($Q928,Mapping!$E$11:$I$96,3,0)</f>
        <v>Replacement</v>
      </c>
      <c r="X928" s="7" t="str">
        <f>VLOOKUP($S928,Mapping!$E$140:$K$2771,5,0)</f>
        <v>Labour</v>
      </c>
      <c r="Y928" s="7" t="str">
        <f>VLOOKUP($S928,Mapping!$E$140:$K$2771,7,0)</f>
        <v>ENDirect</v>
      </c>
      <c r="Z928" s="7" t="str">
        <f>IFERROR(HLOOKUP(X928,'Calc|Weightings'!$K$5:$M$5,1,0),"Excl")</f>
        <v>Labour</v>
      </c>
      <c r="AA928" s="7" t="str">
        <f>VLOOKUP(Q928,Mapping!$E$11:$I$96,5,0)</f>
        <v>SCS</v>
      </c>
      <c r="AC928" s="111">
        <v>141</v>
      </c>
      <c r="AD928" s="111" t="s">
        <v>2149</v>
      </c>
      <c r="AE928" s="111">
        <v>613440</v>
      </c>
      <c r="AF928" s="111" t="s">
        <v>2103</v>
      </c>
      <c r="AG928" s="112">
        <v>0.64693000000000001</v>
      </c>
      <c r="AI928" s="7" t="str">
        <f>VLOOKUP($AC928,Mapping!$E$11:$I$96,3,0)</f>
        <v>Replacement</v>
      </c>
      <c r="AJ928" s="7" t="str">
        <f>VLOOKUP($AE928,Mapping!$E$140:$K$2771,5,0)</f>
        <v>Labour</v>
      </c>
      <c r="AK928" s="7" t="str">
        <f>VLOOKUP($AE928,Mapping!$E$140:$K$2771,7,0)</f>
        <v>ENDirect</v>
      </c>
      <c r="AL928" s="7" t="str">
        <f>IFERROR(HLOOKUP(AJ928,'Calc|Weightings'!$K$5:$M$5,1,0),"Excl")</f>
        <v>Labour</v>
      </c>
      <c r="AM928" s="7" t="str">
        <f>VLOOKUP(AC928,Mapping!$E$11:$I$96,5,0)</f>
        <v>SCS</v>
      </c>
      <c r="AO928" s="134">
        <v>143</v>
      </c>
      <c r="AP928" s="135" t="s">
        <v>2153</v>
      </c>
      <c r="AQ928" s="135">
        <v>636001</v>
      </c>
      <c r="AR928" s="135" t="s">
        <v>2111</v>
      </c>
      <c r="AS928" s="136">
        <v>29.15597</v>
      </c>
      <c r="AU928" s="7" t="str">
        <f>VLOOKUP($AO928,Mapping!$E$11:$I$96,3,0)</f>
        <v>Replacement</v>
      </c>
      <c r="AV928" s="7" t="str">
        <f>VLOOKUP($AQ928,Mapping!$E$140:$K$2771,5,0)</f>
        <v>System Control OH</v>
      </c>
      <c r="AW928" s="7" t="str">
        <f>VLOOKUP($AQ928,Mapping!$E$140:$K$2771,7,0)</f>
        <v>OH</v>
      </c>
      <c r="AX928" s="7" t="str">
        <f>IFERROR(HLOOKUP(AV928,'Calc|Weightings'!$K$5:$M$5,1,0),"Excl")</f>
        <v>Excl</v>
      </c>
      <c r="AY928" s="7" t="str">
        <f>VLOOKUP(AO928,Mapping!$E$11:$I$96,5,0)</f>
        <v>SCS</v>
      </c>
    </row>
    <row r="929" spans="1:51" x14ac:dyDescent="0.2">
      <c r="A929" s="7"/>
      <c r="B929" s="7"/>
      <c r="C929" s="7"/>
      <c r="D929" s="7"/>
      <c r="E929" s="36">
        <v>140</v>
      </c>
      <c r="F929" s="36" t="s">
        <v>2148</v>
      </c>
      <c r="G929" s="36">
        <v>612210</v>
      </c>
      <c r="H929" s="36" t="s">
        <v>1184</v>
      </c>
      <c r="I929" s="37">
        <v>1.5772999999999999</v>
      </c>
      <c r="J929" s="7"/>
      <c r="K929" s="7" t="str">
        <f>VLOOKUP($E929,Mapping!$E$11:$I$96,3,0)</f>
        <v>Public lighting Capex</v>
      </c>
      <c r="L929" s="7" t="str">
        <f>VLOOKUP($G929,Mapping!$E$140:$K$2771,5,0)</f>
        <v>Labour</v>
      </c>
      <c r="M929" s="7" t="str">
        <f>VLOOKUP($G929,Mapping!$E$140:$K$2771,7,0)</f>
        <v>ENDirect</v>
      </c>
      <c r="N929" s="7" t="str">
        <f>IFERROR(HLOOKUP(L929,'Calc|Weightings'!$K$5:$M$5,1,0),"Excl")</f>
        <v>Labour</v>
      </c>
      <c r="O929" s="7" t="str">
        <f>VLOOKUP(E929,Mapping!$E$11:$I$96,5,0)</f>
        <v>Public Lighting</v>
      </c>
      <c r="Q929" s="33">
        <v>141</v>
      </c>
      <c r="R929" s="33" t="s">
        <v>2149</v>
      </c>
      <c r="S929" s="33">
        <v>613602</v>
      </c>
      <c r="T929" s="33" t="s">
        <v>1494</v>
      </c>
      <c r="U929" s="34">
        <v>9.6142500000000002</v>
      </c>
      <c r="V929" s="7"/>
      <c r="W929" s="7" t="str">
        <f>VLOOKUP($Q929,Mapping!$E$11:$I$96,3,0)</f>
        <v>Replacement</v>
      </c>
      <c r="X929" s="7" t="str">
        <f>VLOOKUP($S929,Mapping!$E$140:$K$2771,5,0)</f>
        <v>Labour</v>
      </c>
      <c r="Y929" s="7" t="str">
        <f>VLOOKUP($S929,Mapping!$E$140:$K$2771,7,0)</f>
        <v>ENDirect</v>
      </c>
      <c r="Z929" s="7" t="str">
        <f>IFERROR(HLOOKUP(X929,'Calc|Weightings'!$K$5:$M$5,1,0),"Excl")</f>
        <v>Labour</v>
      </c>
      <c r="AA929" s="7" t="str">
        <f>VLOOKUP(Q929,Mapping!$E$11:$I$96,5,0)</f>
        <v>SCS</v>
      </c>
      <c r="AC929" s="111">
        <v>141</v>
      </c>
      <c r="AD929" s="111" t="s">
        <v>2149</v>
      </c>
      <c r="AE929" s="111">
        <v>613441</v>
      </c>
      <c r="AF929" s="111" t="s">
        <v>2104</v>
      </c>
      <c r="AG929" s="112">
        <v>0.33825</v>
      </c>
      <c r="AI929" s="7" t="str">
        <f>VLOOKUP($AC929,Mapping!$E$11:$I$96,3,0)</f>
        <v>Replacement</v>
      </c>
      <c r="AJ929" s="7" t="str">
        <f>VLOOKUP($AE929,Mapping!$E$140:$K$2771,5,0)</f>
        <v>Labour</v>
      </c>
      <c r="AK929" s="7" t="str">
        <f>VLOOKUP($AE929,Mapping!$E$140:$K$2771,7,0)</f>
        <v>ENDirect</v>
      </c>
      <c r="AL929" s="7" t="str">
        <f>IFERROR(HLOOKUP(AJ929,'Calc|Weightings'!$K$5:$M$5,1,0),"Excl")</f>
        <v>Labour</v>
      </c>
      <c r="AM929" s="7" t="str">
        <f>VLOOKUP(AC929,Mapping!$E$11:$I$96,5,0)</f>
        <v>SCS</v>
      </c>
      <c r="AO929" s="134">
        <v>143</v>
      </c>
      <c r="AP929" s="135" t="s">
        <v>2153</v>
      </c>
      <c r="AQ929" s="135">
        <v>639000</v>
      </c>
      <c r="AR929" s="135" t="s">
        <v>2112</v>
      </c>
      <c r="AS929" s="136">
        <v>27.454910000000002</v>
      </c>
      <c r="AU929" s="7" t="str">
        <f>VLOOKUP($AO929,Mapping!$E$11:$I$96,3,0)</f>
        <v>Replacement</v>
      </c>
      <c r="AV929" s="7" t="str">
        <f>VLOOKUP($AQ929,Mapping!$E$140:$K$2771,5,0)</f>
        <v>PNS Corporate OH</v>
      </c>
      <c r="AW929" s="7" t="str">
        <f>VLOOKUP($AQ929,Mapping!$E$140:$K$2771,7,0)</f>
        <v>OH</v>
      </c>
      <c r="AX929" s="7" t="str">
        <f>IFERROR(HLOOKUP(AV929,'Calc|Weightings'!$K$5:$M$5,1,0),"Excl")</f>
        <v>Excl</v>
      </c>
      <c r="AY929" s="7" t="str">
        <f>VLOOKUP(AO929,Mapping!$E$11:$I$96,5,0)</f>
        <v>SCS</v>
      </c>
    </row>
    <row r="930" spans="1:51" x14ac:dyDescent="0.2">
      <c r="A930" s="7"/>
      <c r="B930" s="7"/>
      <c r="C930" s="7"/>
      <c r="D930" s="7"/>
      <c r="E930" s="36">
        <v>140</v>
      </c>
      <c r="F930" s="36" t="s">
        <v>2148</v>
      </c>
      <c r="G930" s="36">
        <v>612462</v>
      </c>
      <c r="H930" s="36" t="s">
        <v>1244</v>
      </c>
      <c r="I930" s="37">
        <v>-0.61116999999999999</v>
      </c>
      <c r="J930" s="7"/>
      <c r="K930" s="7" t="str">
        <f>VLOOKUP($E930,Mapping!$E$11:$I$96,3,0)</f>
        <v>Public lighting Capex</v>
      </c>
      <c r="L930" s="7" t="str">
        <f>VLOOKUP($G930,Mapping!$E$140:$K$2771,5,0)</f>
        <v>Labour</v>
      </c>
      <c r="M930" s="7" t="str">
        <f>VLOOKUP($G930,Mapping!$E$140:$K$2771,7,0)</f>
        <v>ENDirect</v>
      </c>
      <c r="N930" s="7" t="str">
        <f>IFERROR(HLOOKUP(L930,'Calc|Weightings'!$K$5:$M$5,1,0),"Excl")</f>
        <v>Labour</v>
      </c>
      <c r="O930" s="7" t="str">
        <f>VLOOKUP(E930,Mapping!$E$11:$I$96,5,0)</f>
        <v>Public Lighting</v>
      </c>
      <c r="Q930" s="33">
        <v>141</v>
      </c>
      <c r="R930" s="33" t="s">
        <v>2149</v>
      </c>
      <c r="S930" s="33">
        <v>613603</v>
      </c>
      <c r="T930" s="33" t="s">
        <v>1495</v>
      </c>
      <c r="U930" s="34">
        <v>1.29115</v>
      </c>
      <c r="V930" s="7"/>
      <c r="W930" s="7" t="str">
        <f>VLOOKUP($Q930,Mapping!$E$11:$I$96,3,0)</f>
        <v>Replacement</v>
      </c>
      <c r="X930" s="7" t="str">
        <f>VLOOKUP($S930,Mapping!$E$140:$K$2771,5,0)</f>
        <v>Labour</v>
      </c>
      <c r="Y930" s="7" t="str">
        <f>VLOOKUP($S930,Mapping!$E$140:$K$2771,7,0)</f>
        <v>ENDirect</v>
      </c>
      <c r="Z930" s="7" t="str">
        <f>IFERROR(HLOOKUP(X930,'Calc|Weightings'!$K$5:$M$5,1,0),"Excl")</f>
        <v>Labour</v>
      </c>
      <c r="AA930" s="7" t="str">
        <f>VLOOKUP(Q930,Mapping!$E$11:$I$96,5,0)</f>
        <v>SCS</v>
      </c>
      <c r="AC930" s="111">
        <v>141</v>
      </c>
      <c r="AD930" s="111" t="s">
        <v>2149</v>
      </c>
      <c r="AE930" s="111">
        <v>613448</v>
      </c>
      <c r="AF930" s="111" t="s">
        <v>2105</v>
      </c>
      <c r="AG930" s="112">
        <v>2.2919399999999999</v>
      </c>
      <c r="AI930" s="7" t="str">
        <f>VLOOKUP($AC930,Mapping!$E$11:$I$96,3,0)</f>
        <v>Replacement</v>
      </c>
      <c r="AJ930" s="7" t="str">
        <f>VLOOKUP($AE930,Mapping!$E$140:$K$2771,5,0)</f>
        <v>Labour</v>
      </c>
      <c r="AK930" s="7" t="str">
        <f>VLOOKUP($AE930,Mapping!$E$140:$K$2771,7,0)</f>
        <v>ENDirect</v>
      </c>
      <c r="AL930" s="7" t="str">
        <f>IFERROR(HLOOKUP(AJ930,'Calc|Weightings'!$K$5:$M$5,1,0),"Excl")</f>
        <v>Labour</v>
      </c>
      <c r="AM930" s="7" t="str">
        <f>VLOOKUP(AC930,Mapping!$E$11:$I$96,5,0)</f>
        <v>SCS</v>
      </c>
      <c r="AO930" s="134">
        <v>143</v>
      </c>
      <c r="AP930" s="135" t="s">
        <v>2153</v>
      </c>
      <c r="AQ930" s="135">
        <v>639050</v>
      </c>
      <c r="AR930" s="135" t="s">
        <v>2113</v>
      </c>
      <c r="AS930" s="136">
        <v>4.8053999999999997</v>
      </c>
      <c r="AU930" s="7" t="str">
        <f>VLOOKUP($AO930,Mapping!$E$11:$I$96,3,0)</f>
        <v>Replacement</v>
      </c>
      <c r="AV930" s="7" t="str">
        <f>VLOOKUP($AQ930,Mapping!$E$140:$K$2771,5,0)</f>
        <v>PNS Fleet &amp; Property OH</v>
      </c>
      <c r="AW930" s="7" t="str">
        <f>VLOOKUP($AQ930,Mapping!$E$140:$K$2771,7,0)</f>
        <v>OH</v>
      </c>
      <c r="AX930" s="7" t="str">
        <f>IFERROR(HLOOKUP(AV930,'Calc|Weightings'!$K$5:$M$5,1,0),"Excl")</f>
        <v>Excl</v>
      </c>
      <c r="AY930" s="7" t="str">
        <f>VLOOKUP(AO930,Mapping!$E$11:$I$96,5,0)</f>
        <v>SCS</v>
      </c>
    </row>
    <row r="931" spans="1:51" x14ac:dyDescent="0.2">
      <c r="A931" s="7"/>
      <c r="B931" s="7"/>
      <c r="C931" s="7"/>
      <c r="D931" s="7"/>
      <c r="E931" s="36">
        <v>140</v>
      </c>
      <c r="F931" s="36" t="s">
        <v>2148</v>
      </c>
      <c r="G931" s="36">
        <v>613240</v>
      </c>
      <c r="H931" s="36" t="s">
        <v>2082</v>
      </c>
      <c r="I931" s="37">
        <v>0.24342</v>
      </c>
      <c r="J931" s="7"/>
      <c r="K931" s="7" t="str">
        <f>VLOOKUP($E931,Mapping!$E$11:$I$96,3,0)</f>
        <v>Public lighting Capex</v>
      </c>
      <c r="L931" s="7" t="str">
        <f>VLOOKUP($G931,Mapping!$E$140:$K$2771,5,0)</f>
        <v>Labour</v>
      </c>
      <c r="M931" s="7" t="str">
        <f>VLOOKUP($G931,Mapping!$E$140:$K$2771,7,0)</f>
        <v>ENDirect</v>
      </c>
      <c r="N931" s="7" t="str">
        <f>IFERROR(HLOOKUP(L931,'Calc|Weightings'!$K$5:$M$5,1,0),"Excl")</f>
        <v>Labour</v>
      </c>
      <c r="O931" s="7" t="str">
        <f>VLOOKUP(E931,Mapping!$E$11:$I$96,5,0)</f>
        <v>Public Lighting</v>
      </c>
      <c r="Q931" s="33">
        <v>141</v>
      </c>
      <c r="R931" s="33" t="s">
        <v>2149</v>
      </c>
      <c r="S931" s="33">
        <v>613630</v>
      </c>
      <c r="T931" s="33" t="s">
        <v>1498</v>
      </c>
      <c r="U931" s="34">
        <v>0.26368999999999998</v>
      </c>
      <c r="V931" s="7"/>
      <c r="W931" s="7" t="str">
        <f>VLOOKUP($Q931,Mapping!$E$11:$I$96,3,0)</f>
        <v>Replacement</v>
      </c>
      <c r="X931" s="7" t="str">
        <f>VLOOKUP($S931,Mapping!$E$140:$K$2771,5,0)</f>
        <v>Labour</v>
      </c>
      <c r="Y931" s="7" t="str">
        <f>VLOOKUP($S931,Mapping!$E$140:$K$2771,7,0)</f>
        <v>ENDirect</v>
      </c>
      <c r="Z931" s="7" t="str">
        <f>IFERROR(HLOOKUP(X931,'Calc|Weightings'!$K$5:$M$5,1,0),"Excl")</f>
        <v>Labour</v>
      </c>
      <c r="AA931" s="7" t="str">
        <f>VLOOKUP(Q931,Mapping!$E$11:$I$96,5,0)</f>
        <v>SCS</v>
      </c>
      <c r="AC931" s="111">
        <v>141</v>
      </c>
      <c r="AD931" s="111" t="s">
        <v>2149</v>
      </c>
      <c r="AE931" s="111">
        <v>613449</v>
      </c>
      <c r="AF931" s="111" t="s">
        <v>2106</v>
      </c>
      <c r="AG931" s="112">
        <v>2.15829</v>
      </c>
      <c r="AI931" s="7" t="str">
        <f>VLOOKUP($AC931,Mapping!$E$11:$I$96,3,0)</f>
        <v>Replacement</v>
      </c>
      <c r="AJ931" s="7" t="str">
        <f>VLOOKUP($AE931,Mapping!$E$140:$K$2771,5,0)</f>
        <v>Labour</v>
      </c>
      <c r="AK931" s="7" t="str">
        <f>VLOOKUP($AE931,Mapping!$E$140:$K$2771,7,0)</f>
        <v>ENDirect</v>
      </c>
      <c r="AL931" s="7" t="str">
        <f>IFERROR(HLOOKUP(AJ931,'Calc|Weightings'!$K$5:$M$5,1,0),"Excl")</f>
        <v>Labour</v>
      </c>
      <c r="AM931" s="7" t="str">
        <f>VLOOKUP(AC931,Mapping!$E$11:$I$96,5,0)</f>
        <v>SCS</v>
      </c>
      <c r="AO931" s="134">
        <v>144</v>
      </c>
      <c r="AP931" s="135" t="s">
        <v>2154</v>
      </c>
      <c r="AQ931" s="135">
        <v>520100</v>
      </c>
      <c r="AR931" s="135" t="s">
        <v>2072</v>
      </c>
      <c r="AS931" s="136">
        <v>64.894040000000004</v>
      </c>
      <c r="AU931" s="7" t="str">
        <f>VLOOKUP($AO931,Mapping!$E$11:$I$96,3,0)</f>
        <v>Replacement</v>
      </c>
      <c r="AV931" s="7" t="str">
        <f>VLOOKUP($AQ931,Mapping!$E$140:$K$2771,5,0)</f>
        <v>Materials</v>
      </c>
      <c r="AW931" s="7" t="str">
        <f>VLOOKUP($AQ931,Mapping!$E$140:$K$2771,7,0)</f>
        <v>ENDirect</v>
      </c>
      <c r="AX931" s="7" t="str">
        <f>IFERROR(HLOOKUP(AV931,'Calc|Weightings'!$K$5:$M$5,1,0),"Excl")</f>
        <v>Materials</v>
      </c>
      <c r="AY931" s="7" t="str">
        <f>VLOOKUP(AO931,Mapping!$E$11:$I$96,5,0)</f>
        <v>SCS</v>
      </c>
    </row>
    <row r="932" spans="1:51" x14ac:dyDescent="0.2">
      <c r="A932" s="7"/>
      <c r="B932" s="7"/>
      <c r="C932" s="7"/>
      <c r="D932" s="7"/>
      <c r="E932" s="36">
        <v>140</v>
      </c>
      <c r="F932" s="36" t="s">
        <v>2148</v>
      </c>
      <c r="G932" s="36">
        <v>613248</v>
      </c>
      <c r="H932" s="36" t="s">
        <v>2383</v>
      </c>
      <c r="I932" s="37">
        <v>80.475309999999993</v>
      </c>
      <c r="J932" s="7"/>
      <c r="K932" s="7" t="str">
        <f>VLOOKUP($E932,Mapping!$E$11:$I$96,3,0)</f>
        <v>Public lighting Capex</v>
      </c>
      <c r="L932" s="7" t="str">
        <f>VLOOKUP($G932,Mapping!$E$140:$K$2771,5,0)</f>
        <v>Labour</v>
      </c>
      <c r="M932" s="7" t="str">
        <f>VLOOKUP($G932,Mapping!$E$140:$K$2771,7,0)</f>
        <v>ENDirect</v>
      </c>
      <c r="N932" s="7" t="str">
        <f>IFERROR(HLOOKUP(L932,'Calc|Weightings'!$K$5:$M$5,1,0),"Excl")</f>
        <v>Labour</v>
      </c>
      <c r="O932" s="7" t="str">
        <f>VLOOKUP(E932,Mapping!$E$11:$I$96,5,0)</f>
        <v>Public Lighting</v>
      </c>
      <c r="Q932" s="33">
        <v>141</v>
      </c>
      <c r="R932" s="33" t="s">
        <v>2149</v>
      </c>
      <c r="S932" s="33">
        <v>613680</v>
      </c>
      <c r="T932" s="33" t="s">
        <v>2107</v>
      </c>
      <c r="U932" s="34">
        <v>11.54364</v>
      </c>
      <c r="V932" s="7"/>
      <c r="W932" s="7" t="str">
        <f>VLOOKUP($Q932,Mapping!$E$11:$I$96,3,0)</f>
        <v>Replacement</v>
      </c>
      <c r="X932" s="7" t="str">
        <f>VLOOKUP($S932,Mapping!$E$140:$K$2771,5,0)</f>
        <v>Labour</v>
      </c>
      <c r="Y932" s="7" t="str">
        <f>VLOOKUP($S932,Mapping!$E$140:$K$2771,7,0)</f>
        <v>ENDirect</v>
      </c>
      <c r="Z932" s="7" t="str">
        <f>IFERROR(HLOOKUP(X932,'Calc|Weightings'!$K$5:$M$5,1,0),"Excl")</f>
        <v>Labour</v>
      </c>
      <c r="AA932" s="7" t="str">
        <f>VLOOKUP(Q932,Mapping!$E$11:$I$96,5,0)</f>
        <v>SCS</v>
      </c>
      <c r="AC932" s="111">
        <v>141</v>
      </c>
      <c r="AD932" s="111" t="s">
        <v>2149</v>
      </c>
      <c r="AE932" s="111">
        <v>613450</v>
      </c>
      <c r="AF932" s="111" t="s">
        <v>2175</v>
      </c>
      <c r="AG932" s="112">
        <v>0.60868</v>
      </c>
      <c r="AI932" s="7" t="str">
        <f>VLOOKUP($AC932,Mapping!$E$11:$I$96,3,0)</f>
        <v>Replacement</v>
      </c>
      <c r="AJ932" s="7" t="str">
        <f>VLOOKUP($AE932,Mapping!$E$140:$K$2771,5,0)</f>
        <v>Labour</v>
      </c>
      <c r="AK932" s="7" t="str">
        <f>VLOOKUP($AE932,Mapping!$E$140:$K$2771,7,0)</f>
        <v>ENDirect</v>
      </c>
      <c r="AL932" s="7" t="str">
        <f>IFERROR(HLOOKUP(AJ932,'Calc|Weightings'!$K$5:$M$5,1,0),"Excl")</f>
        <v>Labour</v>
      </c>
      <c r="AM932" s="7" t="str">
        <f>VLOOKUP(AC932,Mapping!$E$11:$I$96,5,0)</f>
        <v>SCS</v>
      </c>
      <c r="AO932" s="134">
        <v>144</v>
      </c>
      <c r="AP932" s="135" t="s">
        <v>2154</v>
      </c>
      <c r="AQ932" s="135">
        <v>523100</v>
      </c>
      <c r="AR932" s="135" t="s">
        <v>2074</v>
      </c>
      <c r="AS932" s="136">
        <v>13.14475</v>
      </c>
      <c r="AU932" s="7" t="str">
        <f>VLOOKUP($AO932,Mapping!$E$11:$I$96,3,0)</f>
        <v>Replacement</v>
      </c>
      <c r="AV932" s="7" t="str">
        <f>VLOOKUP($AQ932,Mapping!$E$140:$K$2771,5,0)</f>
        <v>Materials</v>
      </c>
      <c r="AW932" s="7" t="str">
        <f>VLOOKUP($AQ932,Mapping!$E$140:$K$2771,7,0)</f>
        <v>ENDirect</v>
      </c>
      <c r="AX932" s="7" t="str">
        <f>IFERROR(HLOOKUP(AV932,'Calc|Weightings'!$K$5:$M$5,1,0),"Excl")</f>
        <v>Materials</v>
      </c>
      <c r="AY932" s="7" t="str">
        <f>VLOOKUP(AO932,Mapping!$E$11:$I$96,5,0)</f>
        <v>SCS</v>
      </c>
    </row>
    <row r="933" spans="1:51" x14ac:dyDescent="0.2">
      <c r="A933" s="7"/>
      <c r="B933" s="7"/>
      <c r="C933" s="7"/>
      <c r="D933" s="7"/>
      <c r="E933" s="36">
        <v>140</v>
      </c>
      <c r="F933" s="36" t="s">
        <v>2148</v>
      </c>
      <c r="G933" s="36">
        <v>613249</v>
      </c>
      <c r="H933" s="36" t="s">
        <v>2384</v>
      </c>
      <c r="I933" s="37">
        <v>3.7626599999999999</v>
      </c>
      <c r="J933" s="7"/>
      <c r="K933" s="7" t="str">
        <f>VLOOKUP($E933,Mapping!$E$11:$I$96,3,0)</f>
        <v>Public lighting Capex</v>
      </c>
      <c r="L933" s="7" t="str">
        <f>VLOOKUP($G933,Mapping!$E$140:$K$2771,5,0)</f>
        <v>Labour</v>
      </c>
      <c r="M933" s="7" t="str">
        <f>VLOOKUP($G933,Mapping!$E$140:$K$2771,7,0)</f>
        <v>ENDirect</v>
      </c>
      <c r="N933" s="7" t="str">
        <f>IFERROR(HLOOKUP(L933,'Calc|Weightings'!$K$5:$M$5,1,0),"Excl")</f>
        <v>Labour</v>
      </c>
      <c r="O933" s="7" t="str">
        <f>VLOOKUP(E933,Mapping!$E$11:$I$96,5,0)</f>
        <v>Public Lighting</v>
      </c>
      <c r="Q933" s="33">
        <v>141</v>
      </c>
      <c r="R933" s="33" t="s">
        <v>2149</v>
      </c>
      <c r="S933" s="33">
        <v>613962</v>
      </c>
      <c r="T933" s="33" t="s">
        <v>1648</v>
      </c>
      <c r="U933" s="34">
        <v>0.44691999999999998</v>
      </c>
      <c r="V933" s="7"/>
      <c r="W933" s="7" t="str">
        <f>VLOOKUP($Q933,Mapping!$E$11:$I$96,3,0)</f>
        <v>Replacement</v>
      </c>
      <c r="X933" s="7" t="str">
        <f>VLOOKUP($S933,Mapping!$E$140:$K$2771,5,0)</f>
        <v>Contracts</v>
      </c>
      <c r="Y933" s="7" t="str">
        <f>VLOOKUP($S933,Mapping!$E$140:$K$2771,7,0)</f>
        <v>ENDirect</v>
      </c>
      <c r="Z933" s="7" t="str">
        <f>IFERROR(HLOOKUP(X933,'Calc|Weightings'!$K$5:$M$5,1,0),"Excl")</f>
        <v>Contracts</v>
      </c>
      <c r="AA933" s="7" t="str">
        <f>VLOOKUP(Q933,Mapping!$E$11:$I$96,5,0)</f>
        <v>SCS</v>
      </c>
      <c r="AC933" s="111">
        <v>141</v>
      </c>
      <c r="AD933" s="111" t="s">
        <v>2149</v>
      </c>
      <c r="AE933" s="111">
        <v>613460</v>
      </c>
      <c r="AF933" s="111" t="s">
        <v>2167</v>
      </c>
      <c r="AG933" s="112">
        <v>0.96655999999999997</v>
      </c>
      <c r="AI933" s="7" t="str">
        <f>VLOOKUP($AC933,Mapping!$E$11:$I$96,3,0)</f>
        <v>Replacement</v>
      </c>
      <c r="AJ933" s="7" t="str">
        <f>VLOOKUP($AE933,Mapping!$E$140:$K$2771,5,0)</f>
        <v>Labour</v>
      </c>
      <c r="AK933" s="7" t="str">
        <f>VLOOKUP($AE933,Mapping!$E$140:$K$2771,7,0)</f>
        <v>ENDirect</v>
      </c>
      <c r="AL933" s="7" t="str">
        <f>IFERROR(HLOOKUP(AJ933,'Calc|Weightings'!$K$5:$M$5,1,0),"Excl")</f>
        <v>Labour</v>
      </c>
      <c r="AM933" s="7" t="str">
        <f>VLOOKUP(AC933,Mapping!$E$11:$I$96,5,0)</f>
        <v>SCS</v>
      </c>
      <c r="AO933" s="134">
        <v>144</v>
      </c>
      <c r="AP933" s="135" t="s">
        <v>2154</v>
      </c>
      <c r="AQ933" s="135">
        <v>523300</v>
      </c>
      <c r="AR933" s="135" t="s">
        <v>2075</v>
      </c>
      <c r="AS933" s="136">
        <v>209.77791999999999</v>
      </c>
      <c r="AU933" s="7" t="str">
        <f>VLOOKUP($AO933,Mapping!$E$11:$I$96,3,0)</f>
        <v>Replacement</v>
      </c>
      <c r="AV933" s="7" t="str">
        <f>VLOOKUP($AQ933,Mapping!$E$140:$K$2771,5,0)</f>
        <v>Materials</v>
      </c>
      <c r="AW933" s="7" t="str">
        <f>VLOOKUP($AQ933,Mapping!$E$140:$K$2771,7,0)</f>
        <v>ENDirect</v>
      </c>
      <c r="AX933" s="7" t="str">
        <f>IFERROR(HLOOKUP(AV933,'Calc|Weightings'!$K$5:$M$5,1,0),"Excl")</f>
        <v>Materials</v>
      </c>
      <c r="AY933" s="7" t="str">
        <f>VLOOKUP(AO933,Mapping!$E$11:$I$96,5,0)</f>
        <v>SCS</v>
      </c>
    </row>
    <row r="934" spans="1:51" x14ac:dyDescent="0.2">
      <c r="A934" s="7"/>
      <c r="B934" s="7"/>
      <c r="C934" s="7"/>
      <c r="D934" s="7"/>
      <c r="E934" s="36">
        <v>140</v>
      </c>
      <c r="F934" s="36" t="s">
        <v>2148</v>
      </c>
      <c r="G934" s="36">
        <v>613254</v>
      </c>
      <c r="H934" s="36" t="s">
        <v>2088</v>
      </c>
      <c r="I934" s="37">
        <v>0.26628000000000002</v>
      </c>
      <c r="J934" s="7"/>
      <c r="K934" s="7" t="str">
        <f>VLOOKUP($E934,Mapping!$E$11:$I$96,3,0)</f>
        <v>Public lighting Capex</v>
      </c>
      <c r="L934" s="7" t="str">
        <f>VLOOKUP($G934,Mapping!$E$140:$K$2771,5,0)</f>
        <v>Labour</v>
      </c>
      <c r="M934" s="7" t="str">
        <f>VLOOKUP($G934,Mapping!$E$140:$K$2771,7,0)</f>
        <v>ENDirect</v>
      </c>
      <c r="N934" s="7" t="str">
        <f>IFERROR(HLOOKUP(L934,'Calc|Weightings'!$K$5:$M$5,1,0),"Excl")</f>
        <v>Labour</v>
      </c>
      <c r="O934" s="7" t="str">
        <f>VLOOKUP(E934,Mapping!$E$11:$I$96,5,0)</f>
        <v>Public Lighting</v>
      </c>
      <c r="Q934" s="33">
        <v>141</v>
      </c>
      <c r="R934" s="33" t="s">
        <v>2149</v>
      </c>
      <c r="S934" s="33">
        <v>634001</v>
      </c>
      <c r="T934" s="33" t="s">
        <v>2110</v>
      </c>
      <c r="U934" s="34">
        <v>264.44601999999998</v>
      </c>
      <c r="V934" s="7"/>
      <c r="W934" s="7" t="str">
        <f>VLOOKUP($Q934,Mapping!$E$11:$I$96,3,0)</f>
        <v>Replacement</v>
      </c>
      <c r="X934" s="7" t="str">
        <f>VLOOKUP($S934,Mapping!$E$140:$K$2771,5,0)</f>
        <v>Local OH</v>
      </c>
      <c r="Y934" s="7" t="str">
        <f>VLOOKUP($S934,Mapping!$E$140:$K$2771,7,0)</f>
        <v>OH</v>
      </c>
      <c r="Z934" s="7" t="str">
        <f>IFERROR(HLOOKUP(X934,'Calc|Weightings'!$K$5:$M$5,1,0),"Excl")</f>
        <v>Excl</v>
      </c>
      <c r="AA934" s="7" t="str">
        <f>VLOOKUP(Q934,Mapping!$E$11:$I$96,5,0)</f>
        <v>SCS</v>
      </c>
      <c r="AC934" s="111">
        <v>141</v>
      </c>
      <c r="AD934" s="111" t="s">
        <v>2149</v>
      </c>
      <c r="AE934" s="111">
        <v>613566</v>
      </c>
      <c r="AF934" s="111" t="s">
        <v>1482</v>
      </c>
      <c r="AG934" s="112">
        <v>194.10861</v>
      </c>
      <c r="AI934" s="7" t="str">
        <f>VLOOKUP($AC934,Mapping!$E$11:$I$96,3,0)</f>
        <v>Replacement</v>
      </c>
      <c r="AJ934" s="7" t="str">
        <f>VLOOKUP($AE934,Mapping!$E$140:$K$2771,5,0)</f>
        <v>Labour</v>
      </c>
      <c r="AK934" s="7" t="str">
        <f>VLOOKUP($AE934,Mapping!$E$140:$K$2771,7,0)</f>
        <v>ENDirect</v>
      </c>
      <c r="AL934" s="7" t="str">
        <f>IFERROR(HLOOKUP(AJ934,'Calc|Weightings'!$K$5:$M$5,1,0),"Excl")</f>
        <v>Labour</v>
      </c>
      <c r="AM934" s="7" t="str">
        <f>VLOOKUP(AC934,Mapping!$E$11:$I$96,5,0)</f>
        <v>SCS</v>
      </c>
      <c r="AO934" s="134">
        <v>144</v>
      </c>
      <c r="AP934" s="135" t="s">
        <v>2154</v>
      </c>
      <c r="AQ934" s="135">
        <v>531000</v>
      </c>
      <c r="AR934" s="135" t="s">
        <v>242</v>
      </c>
      <c r="AS934" s="136">
        <v>38.146000000000001</v>
      </c>
      <c r="AU934" s="7" t="str">
        <f>VLOOKUP($AO934,Mapping!$E$11:$I$96,3,0)</f>
        <v>Replacement</v>
      </c>
      <c r="AV934" s="7" t="str">
        <f>VLOOKUP($AQ934,Mapping!$E$140:$K$2771,5,0)</f>
        <v>Contracts</v>
      </c>
      <c r="AW934" s="7" t="str">
        <f>VLOOKUP($AQ934,Mapping!$E$140:$K$2771,7,0)</f>
        <v>ENDirect</v>
      </c>
      <c r="AX934" s="7" t="str">
        <f>IFERROR(HLOOKUP(AV934,'Calc|Weightings'!$K$5:$M$5,1,0),"Excl")</f>
        <v>Contracts</v>
      </c>
      <c r="AY934" s="7" t="str">
        <f>VLOOKUP(AO934,Mapping!$E$11:$I$96,5,0)</f>
        <v>SCS</v>
      </c>
    </row>
    <row r="935" spans="1:51" x14ac:dyDescent="0.2">
      <c r="A935" s="7"/>
      <c r="B935" s="7"/>
      <c r="C935" s="7"/>
      <c r="D935" s="7"/>
      <c r="E935" s="36">
        <v>140</v>
      </c>
      <c r="F935" s="36" t="s">
        <v>2148</v>
      </c>
      <c r="G935" s="36">
        <v>613258</v>
      </c>
      <c r="H935" s="36" t="s">
        <v>2356</v>
      </c>
      <c r="I935" s="37">
        <v>28.037279999999999</v>
      </c>
      <c r="J935" s="7"/>
      <c r="K935" s="7" t="str">
        <f>VLOOKUP($E935,Mapping!$E$11:$I$96,3,0)</f>
        <v>Public lighting Capex</v>
      </c>
      <c r="L935" s="7" t="str">
        <f>VLOOKUP($G935,Mapping!$E$140:$K$2771,5,0)</f>
        <v>Labour</v>
      </c>
      <c r="M935" s="7" t="str">
        <f>VLOOKUP($G935,Mapping!$E$140:$K$2771,7,0)</f>
        <v>ENDirect</v>
      </c>
      <c r="N935" s="7" t="str">
        <f>IFERROR(HLOOKUP(L935,'Calc|Weightings'!$K$5:$M$5,1,0),"Excl")</f>
        <v>Labour</v>
      </c>
      <c r="O935" s="7" t="str">
        <f>VLOOKUP(E935,Mapping!$E$11:$I$96,5,0)</f>
        <v>Public Lighting</v>
      </c>
      <c r="Q935" s="33">
        <v>141</v>
      </c>
      <c r="R935" s="33" t="s">
        <v>2149</v>
      </c>
      <c r="S935" s="33">
        <v>635001</v>
      </c>
      <c r="T935" s="33" t="s">
        <v>1929</v>
      </c>
      <c r="U935" s="34">
        <v>142.42205000000001</v>
      </c>
      <c r="V935" s="7"/>
      <c r="W935" s="7" t="str">
        <f>VLOOKUP($Q935,Mapping!$E$11:$I$96,3,0)</f>
        <v>Replacement</v>
      </c>
      <c r="X935" s="7" t="str">
        <f>VLOOKUP($S935,Mapping!$E$140:$K$2771,5,0)</f>
        <v>PNS MG</v>
      </c>
      <c r="Y935" s="7" t="str">
        <f>VLOOKUP($S935,Mapping!$E$140:$K$2771,7,0)</f>
        <v>ENDirect</v>
      </c>
      <c r="Z935" s="7" t="str">
        <f>IFERROR(HLOOKUP(X935,'Calc|Weightings'!$K$5:$M$5,1,0),"Excl")</f>
        <v>Excl</v>
      </c>
      <c r="AA935" s="7" t="str">
        <f>VLOOKUP(Q935,Mapping!$E$11:$I$96,5,0)</f>
        <v>SCS</v>
      </c>
      <c r="AC935" s="111">
        <v>141</v>
      </c>
      <c r="AD935" s="111" t="s">
        <v>2149</v>
      </c>
      <c r="AE935" s="111">
        <v>613567</v>
      </c>
      <c r="AF935" s="111" t="s">
        <v>1483</v>
      </c>
      <c r="AG935" s="112">
        <v>48.986530000000002</v>
      </c>
      <c r="AI935" s="7" t="str">
        <f>VLOOKUP($AC935,Mapping!$E$11:$I$96,3,0)</f>
        <v>Replacement</v>
      </c>
      <c r="AJ935" s="7" t="str">
        <f>VLOOKUP($AE935,Mapping!$E$140:$K$2771,5,0)</f>
        <v>Labour</v>
      </c>
      <c r="AK935" s="7" t="str">
        <f>VLOOKUP($AE935,Mapping!$E$140:$K$2771,7,0)</f>
        <v>ENDirect</v>
      </c>
      <c r="AL935" s="7" t="str">
        <f>IFERROR(HLOOKUP(AJ935,'Calc|Weightings'!$K$5:$M$5,1,0),"Excl")</f>
        <v>Labour</v>
      </c>
      <c r="AM935" s="7" t="str">
        <f>VLOOKUP(AC935,Mapping!$E$11:$I$96,5,0)</f>
        <v>SCS</v>
      </c>
      <c r="AO935" s="134">
        <v>144</v>
      </c>
      <c r="AP935" s="135" t="s">
        <v>2154</v>
      </c>
      <c r="AQ935" s="135">
        <v>531464</v>
      </c>
      <c r="AR935" s="135" t="s">
        <v>256</v>
      </c>
      <c r="AS935" s="136">
        <v>53.741579999999999</v>
      </c>
      <c r="AU935" s="7" t="str">
        <f>VLOOKUP($AO935,Mapping!$E$11:$I$96,3,0)</f>
        <v>Replacement</v>
      </c>
      <c r="AV935" s="7" t="str">
        <f>VLOOKUP($AQ935,Mapping!$E$140:$K$2771,5,0)</f>
        <v>Contracts</v>
      </c>
      <c r="AW935" s="7" t="str">
        <f>VLOOKUP($AQ935,Mapping!$E$140:$K$2771,7,0)</f>
        <v>ENDirect</v>
      </c>
      <c r="AX935" s="7" t="str">
        <f>IFERROR(HLOOKUP(AV935,'Calc|Weightings'!$K$5:$M$5,1,0),"Excl")</f>
        <v>Contracts</v>
      </c>
      <c r="AY935" s="7" t="str">
        <f>VLOOKUP(AO935,Mapping!$E$11:$I$96,5,0)</f>
        <v>SCS</v>
      </c>
    </row>
    <row r="936" spans="1:51" x14ac:dyDescent="0.2">
      <c r="A936" s="7"/>
      <c r="B936" s="7"/>
      <c r="C936" s="7"/>
      <c r="D936" s="7"/>
      <c r="E936" s="36">
        <v>140</v>
      </c>
      <c r="F936" s="36" t="s">
        <v>2148</v>
      </c>
      <c r="G936" s="36">
        <v>613259</v>
      </c>
      <c r="H936" s="36" t="s">
        <v>2359</v>
      </c>
      <c r="I936" s="37">
        <v>0.66969999999999996</v>
      </c>
      <c r="J936" s="7"/>
      <c r="K936" s="7" t="str">
        <f>VLOOKUP($E936,Mapping!$E$11:$I$96,3,0)</f>
        <v>Public lighting Capex</v>
      </c>
      <c r="L936" s="7" t="str">
        <f>VLOOKUP($G936,Mapping!$E$140:$K$2771,5,0)</f>
        <v>Labour</v>
      </c>
      <c r="M936" s="7" t="str">
        <f>VLOOKUP($G936,Mapping!$E$140:$K$2771,7,0)</f>
        <v>ENDirect</v>
      </c>
      <c r="N936" s="7" t="str">
        <f>IFERROR(HLOOKUP(L936,'Calc|Weightings'!$K$5:$M$5,1,0),"Excl")</f>
        <v>Labour</v>
      </c>
      <c r="O936" s="7" t="str">
        <f>VLOOKUP(E936,Mapping!$E$11:$I$96,5,0)</f>
        <v>Public Lighting</v>
      </c>
      <c r="Q936" s="33">
        <v>141</v>
      </c>
      <c r="R936" s="33" t="s">
        <v>2149</v>
      </c>
      <c r="S936" s="33">
        <v>636001</v>
      </c>
      <c r="T936" s="33" t="s">
        <v>2111</v>
      </c>
      <c r="U936" s="34">
        <v>76.447190000000006</v>
      </c>
      <c r="V936" s="7"/>
      <c r="W936" s="7" t="str">
        <f>VLOOKUP($Q936,Mapping!$E$11:$I$96,3,0)</f>
        <v>Replacement</v>
      </c>
      <c r="X936" s="7" t="str">
        <f>VLOOKUP($S936,Mapping!$E$140:$K$2771,5,0)</f>
        <v>System Control OH</v>
      </c>
      <c r="Y936" s="7" t="str">
        <f>VLOOKUP($S936,Mapping!$E$140:$K$2771,7,0)</f>
        <v>OH</v>
      </c>
      <c r="Z936" s="7" t="str">
        <f>IFERROR(HLOOKUP(X936,'Calc|Weightings'!$K$5:$M$5,1,0),"Excl")</f>
        <v>Excl</v>
      </c>
      <c r="AA936" s="7" t="str">
        <f>VLOOKUP(Q936,Mapping!$E$11:$I$96,5,0)</f>
        <v>SCS</v>
      </c>
      <c r="AC936" s="111">
        <v>141</v>
      </c>
      <c r="AD936" s="111" t="s">
        <v>2149</v>
      </c>
      <c r="AE936" s="111">
        <v>613570</v>
      </c>
      <c r="AF936" s="111" t="s">
        <v>1484</v>
      </c>
      <c r="AG936" s="112">
        <v>46.375169999999997</v>
      </c>
      <c r="AI936" s="7" t="str">
        <f>VLOOKUP($AC936,Mapping!$E$11:$I$96,3,0)</f>
        <v>Replacement</v>
      </c>
      <c r="AJ936" s="7" t="str">
        <f>VLOOKUP($AE936,Mapping!$E$140:$K$2771,5,0)</f>
        <v>Labour</v>
      </c>
      <c r="AK936" s="7" t="str">
        <f>VLOOKUP($AE936,Mapping!$E$140:$K$2771,7,0)</f>
        <v>ENDirect</v>
      </c>
      <c r="AL936" s="7" t="str">
        <f>IFERROR(HLOOKUP(AJ936,'Calc|Weightings'!$K$5:$M$5,1,0),"Excl")</f>
        <v>Labour</v>
      </c>
      <c r="AM936" s="7" t="str">
        <f>VLOOKUP(AC936,Mapping!$E$11:$I$96,5,0)</f>
        <v>SCS</v>
      </c>
      <c r="AO936" s="134">
        <v>144</v>
      </c>
      <c r="AP936" s="135" t="s">
        <v>2154</v>
      </c>
      <c r="AQ936" s="135">
        <v>531466</v>
      </c>
      <c r="AR936" s="135" t="s">
        <v>258</v>
      </c>
      <c r="AS936" s="136">
        <v>0.88578000000000001</v>
      </c>
      <c r="AU936" s="7" t="str">
        <f>VLOOKUP($AO936,Mapping!$E$11:$I$96,3,0)</f>
        <v>Replacement</v>
      </c>
      <c r="AV936" s="7" t="str">
        <f>VLOOKUP($AQ936,Mapping!$E$140:$K$2771,5,0)</f>
        <v>Contracts</v>
      </c>
      <c r="AW936" s="7" t="str">
        <f>VLOOKUP($AQ936,Mapping!$E$140:$K$2771,7,0)</f>
        <v>ENDirect</v>
      </c>
      <c r="AX936" s="7" t="str">
        <f>IFERROR(HLOOKUP(AV936,'Calc|Weightings'!$K$5:$M$5,1,0),"Excl")</f>
        <v>Contracts</v>
      </c>
      <c r="AY936" s="7" t="str">
        <f>VLOOKUP(AO936,Mapping!$E$11:$I$96,5,0)</f>
        <v>SCS</v>
      </c>
    </row>
    <row r="937" spans="1:51" x14ac:dyDescent="0.2">
      <c r="A937" s="7"/>
      <c r="B937" s="7"/>
      <c r="C937" s="7"/>
      <c r="D937" s="7"/>
      <c r="E937" s="36">
        <v>140</v>
      </c>
      <c r="F937" s="36" t="s">
        <v>2148</v>
      </c>
      <c r="G937" s="36">
        <v>613268</v>
      </c>
      <c r="H937" s="36" t="s">
        <v>1335</v>
      </c>
      <c r="I937" s="37">
        <v>2.00502</v>
      </c>
      <c r="J937" s="7"/>
      <c r="K937" s="7" t="str">
        <f>VLOOKUP($E937,Mapping!$E$11:$I$96,3,0)</f>
        <v>Public lighting Capex</v>
      </c>
      <c r="L937" s="7" t="str">
        <f>VLOOKUP($G937,Mapping!$E$140:$K$2771,5,0)</f>
        <v>Labour</v>
      </c>
      <c r="M937" s="7" t="str">
        <f>VLOOKUP($G937,Mapping!$E$140:$K$2771,7,0)</f>
        <v>ENDirect</v>
      </c>
      <c r="N937" s="7" t="str">
        <f>IFERROR(HLOOKUP(L937,'Calc|Weightings'!$K$5:$M$5,1,0),"Excl")</f>
        <v>Labour</v>
      </c>
      <c r="O937" s="7" t="str">
        <f>VLOOKUP(E937,Mapping!$E$11:$I$96,5,0)</f>
        <v>Public Lighting</v>
      </c>
      <c r="Q937" s="33">
        <v>141</v>
      </c>
      <c r="R937" s="33" t="s">
        <v>2149</v>
      </c>
      <c r="S937" s="33">
        <v>639000</v>
      </c>
      <c r="T937" s="33" t="s">
        <v>2112</v>
      </c>
      <c r="U937" s="34">
        <v>216.63244</v>
      </c>
      <c r="V937" s="7"/>
      <c r="W937" s="7" t="str">
        <f>VLOOKUP($Q937,Mapping!$E$11:$I$96,3,0)</f>
        <v>Replacement</v>
      </c>
      <c r="X937" s="7" t="str">
        <f>VLOOKUP($S937,Mapping!$E$140:$K$2771,5,0)</f>
        <v>PNS Corporate OH</v>
      </c>
      <c r="Y937" s="7" t="str">
        <f>VLOOKUP($S937,Mapping!$E$140:$K$2771,7,0)</f>
        <v>OH</v>
      </c>
      <c r="Z937" s="7" t="str">
        <f>IFERROR(HLOOKUP(X937,'Calc|Weightings'!$K$5:$M$5,1,0),"Excl")</f>
        <v>Excl</v>
      </c>
      <c r="AA937" s="7" t="str">
        <f>VLOOKUP(Q937,Mapping!$E$11:$I$96,5,0)</f>
        <v>SCS</v>
      </c>
      <c r="AC937" s="111">
        <v>141</v>
      </c>
      <c r="AD937" s="111" t="s">
        <v>2149</v>
      </c>
      <c r="AE937" s="111">
        <v>613571</v>
      </c>
      <c r="AF937" s="111" t="s">
        <v>1485</v>
      </c>
      <c r="AG937" s="112">
        <v>19.690449999999998</v>
      </c>
      <c r="AI937" s="7" t="str">
        <f>VLOOKUP($AC937,Mapping!$E$11:$I$96,3,0)</f>
        <v>Replacement</v>
      </c>
      <c r="AJ937" s="7" t="str">
        <f>VLOOKUP($AE937,Mapping!$E$140:$K$2771,5,0)</f>
        <v>Labour</v>
      </c>
      <c r="AK937" s="7" t="str">
        <f>VLOOKUP($AE937,Mapping!$E$140:$K$2771,7,0)</f>
        <v>ENDirect</v>
      </c>
      <c r="AL937" s="7" t="str">
        <f>IFERROR(HLOOKUP(AJ937,'Calc|Weightings'!$K$5:$M$5,1,0),"Excl")</f>
        <v>Labour</v>
      </c>
      <c r="AM937" s="7" t="str">
        <f>VLOOKUP(AC937,Mapping!$E$11:$I$96,5,0)</f>
        <v>SCS</v>
      </c>
      <c r="AO937" s="134">
        <v>144</v>
      </c>
      <c r="AP937" s="135" t="s">
        <v>2154</v>
      </c>
      <c r="AQ937" s="135">
        <v>531467</v>
      </c>
      <c r="AR937" s="135" t="s">
        <v>259</v>
      </c>
      <c r="AS937" s="136">
        <v>7.3356300000000001</v>
      </c>
      <c r="AU937" s="7" t="str">
        <f>VLOOKUP($AO937,Mapping!$E$11:$I$96,3,0)</f>
        <v>Replacement</v>
      </c>
      <c r="AV937" s="7" t="str">
        <f>VLOOKUP($AQ937,Mapping!$E$140:$K$2771,5,0)</f>
        <v>Contracts</v>
      </c>
      <c r="AW937" s="7" t="str">
        <f>VLOOKUP($AQ937,Mapping!$E$140:$K$2771,7,0)</f>
        <v>ENDirect</v>
      </c>
      <c r="AX937" s="7" t="str">
        <f>IFERROR(HLOOKUP(AV937,'Calc|Weightings'!$K$5:$M$5,1,0),"Excl")</f>
        <v>Contracts</v>
      </c>
      <c r="AY937" s="7" t="str">
        <f>VLOOKUP(AO937,Mapping!$E$11:$I$96,5,0)</f>
        <v>SCS</v>
      </c>
    </row>
    <row r="938" spans="1:51" x14ac:dyDescent="0.2">
      <c r="A938" s="7"/>
      <c r="B938" s="7"/>
      <c r="C938" s="7"/>
      <c r="D938" s="7"/>
      <c r="E938" s="36">
        <v>140</v>
      </c>
      <c r="F938" s="36" t="s">
        <v>2148</v>
      </c>
      <c r="G938" s="36">
        <v>613269</v>
      </c>
      <c r="H938" s="36" t="s">
        <v>1336</v>
      </c>
      <c r="I938" s="37">
        <v>0.20352999999999999</v>
      </c>
      <c r="J938" s="7"/>
      <c r="K938" s="7" t="str">
        <f>VLOOKUP($E938,Mapping!$E$11:$I$96,3,0)</f>
        <v>Public lighting Capex</v>
      </c>
      <c r="L938" s="7" t="str">
        <f>VLOOKUP($G938,Mapping!$E$140:$K$2771,5,0)</f>
        <v>Labour</v>
      </c>
      <c r="M938" s="7" t="str">
        <f>VLOOKUP($G938,Mapping!$E$140:$K$2771,7,0)</f>
        <v>ENDirect</v>
      </c>
      <c r="N938" s="7" t="str">
        <f>IFERROR(HLOOKUP(L938,'Calc|Weightings'!$K$5:$M$5,1,0),"Excl")</f>
        <v>Labour</v>
      </c>
      <c r="O938" s="7" t="str">
        <f>VLOOKUP(E938,Mapping!$E$11:$I$96,5,0)</f>
        <v>Public Lighting</v>
      </c>
      <c r="Q938" s="33">
        <v>141</v>
      </c>
      <c r="R938" s="33" t="s">
        <v>2149</v>
      </c>
      <c r="S938" s="33">
        <v>639050</v>
      </c>
      <c r="T938" s="33" t="s">
        <v>2113</v>
      </c>
      <c r="U938" s="34">
        <v>35.04562</v>
      </c>
      <c r="V938" s="7"/>
      <c r="W938" s="7" t="str">
        <f>VLOOKUP($Q938,Mapping!$E$11:$I$96,3,0)</f>
        <v>Replacement</v>
      </c>
      <c r="X938" s="7" t="str">
        <f>VLOOKUP($S938,Mapping!$E$140:$K$2771,5,0)</f>
        <v>PNS Fleet &amp; Property OH</v>
      </c>
      <c r="Y938" s="7" t="str">
        <f>VLOOKUP($S938,Mapping!$E$140:$K$2771,7,0)</f>
        <v>OH</v>
      </c>
      <c r="Z938" s="7" t="str">
        <f>IFERROR(HLOOKUP(X938,'Calc|Weightings'!$K$5:$M$5,1,0),"Excl")</f>
        <v>Excl</v>
      </c>
      <c r="AA938" s="7" t="str">
        <f>VLOOKUP(Q938,Mapping!$E$11:$I$96,5,0)</f>
        <v>SCS</v>
      </c>
      <c r="AC938" s="111">
        <v>141</v>
      </c>
      <c r="AD938" s="111" t="s">
        <v>2149</v>
      </c>
      <c r="AE938" s="111">
        <v>613574</v>
      </c>
      <c r="AF938" s="111" t="s">
        <v>1488</v>
      </c>
      <c r="AG938" s="112">
        <v>316.44006000000002</v>
      </c>
      <c r="AI938" s="7" t="str">
        <f>VLOOKUP($AC938,Mapping!$E$11:$I$96,3,0)</f>
        <v>Replacement</v>
      </c>
      <c r="AJ938" s="7" t="str">
        <f>VLOOKUP($AE938,Mapping!$E$140:$K$2771,5,0)</f>
        <v>Labour</v>
      </c>
      <c r="AK938" s="7" t="str">
        <f>VLOOKUP($AE938,Mapping!$E$140:$K$2771,7,0)</f>
        <v>ENDirect</v>
      </c>
      <c r="AL938" s="7" t="str">
        <f>IFERROR(HLOOKUP(AJ938,'Calc|Weightings'!$K$5:$M$5,1,0),"Excl")</f>
        <v>Labour</v>
      </c>
      <c r="AM938" s="7" t="str">
        <f>VLOOKUP(AC938,Mapping!$E$11:$I$96,5,0)</f>
        <v>SCS</v>
      </c>
      <c r="AO938" s="134">
        <v>144</v>
      </c>
      <c r="AP938" s="135" t="s">
        <v>2154</v>
      </c>
      <c r="AQ938" s="135">
        <v>531468</v>
      </c>
      <c r="AR938" s="135" t="s">
        <v>260</v>
      </c>
      <c r="AS938" s="136">
        <v>7.6560600000000001</v>
      </c>
      <c r="AU938" s="7" t="str">
        <f>VLOOKUP($AO938,Mapping!$E$11:$I$96,3,0)</f>
        <v>Replacement</v>
      </c>
      <c r="AV938" s="7" t="str">
        <f>VLOOKUP($AQ938,Mapping!$E$140:$K$2771,5,0)</f>
        <v>Contracts</v>
      </c>
      <c r="AW938" s="7" t="str">
        <f>VLOOKUP($AQ938,Mapping!$E$140:$K$2771,7,0)</f>
        <v>ENDirect</v>
      </c>
      <c r="AX938" s="7" t="str">
        <f>IFERROR(HLOOKUP(AV938,'Calc|Weightings'!$K$5:$M$5,1,0),"Excl")</f>
        <v>Contracts</v>
      </c>
      <c r="AY938" s="7" t="str">
        <f>VLOOKUP(AO938,Mapping!$E$11:$I$96,5,0)</f>
        <v>SCS</v>
      </c>
    </row>
    <row r="939" spans="1:51" x14ac:dyDescent="0.2">
      <c r="A939" s="7"/>
      <c r="B939" s="7"/>
      <c r="C939" s="7"/>
      <c r="D939" s="7"/>
      <c r="E939" s="36">
        <v>140</v>
      </c>
      <c r="F939" s="36" t="s">
        <v>2148</v>
      </c>
      <c r="G939" s="36">
        <v>613278</v>
      </c>
      <c r="H939" s="36" t="s">
        <v>2357</v>
      </c>
      <c r="I939" s="37">
        <v>27.314440000000001</v>
      </c>
      <c r="J939" s="7"/>
      <c r="K939" s="7" t="str">
        <f>VLOOKUP($E939,Mapping!$E$11:$I$96,3,0)</f>
        <v>Public lighting Capex</v>
      </c>
      <c r="L939" s="7" t="str">
        <f>VLOOKUP($G939,Mapping!$E$140:$K$2771,5,0)</f>
        <v>Labour</v>
      </c>
      <c r="M939" s="7" t="str">
        <f>VLOOKUP($G939,Mapping!$E$140:$K$2771,7,0)</f>
        <v>ENDirect</v>
      </c>
      <c r="N939" s="7" t="str">
        <f>IFERROR(HLOOKUP(L939,'Calc|Weightings'!$K$5:$M$5,1,0),"Excl")</f>
        <v>Labour</v>
      </c>
      <c r="O939" s="7" t="str">
        <f>VLOOKUP(E939,Mapping!$E$11:$I$96,5,0)</f>
        <v>Public Lighting</v>
      </c>
      <c r="Q939" s="33">
        <v>142</v>
      </c>
      <c r="R939" s="33" t="s">
        <v>2152</v>
      </c>
      <c r="S939" s="33">
        <v>611860</v>
      </c>
      <c r="T939" s="33" t="s">
        <v>2125</v>
      </c>
      <c r="U939" s="34">
        <v>3.1509999999999998</v>
      </c>
      <c r="V939" s="7"/>
      <c r="W939" s="7" t="str">
        <f>VLOOKUP($Q939,Mapping!$E$11:$I$96,3,0)</f>
        <v>Replacement</v>
      </c>
      <c r="X939" s="7" t="str">
        <f>VLOOKUP($S939,Mapping!$E$140:$K$2771,5,0)</f>
        <v>Labour</v>
      </c>
      <c r="Y939" s="7" t="str">
        <f>VLOOKUP($S939,Mapping!$E$140:$K$2771,7,0)</f>
        <v>ENDirect</v>
      </c>
      <c r="Z939" s="7" t="str">
        <f>IFERROR(HLOOKUP(X939,'Calc|Weightings'!$K$5:$M$5,1,0),"Excl")</f>
        <v>Labour</v>
      </c>
      <c r="AA939" s="7" t="str">
        <f>VLOOKUP(Q939,Mapping!$E$11:$I$96,5,0)</f>
        <v>SCS</v>
      </c>
      <c r="AC939" s="111">
        <v>141</v>
      </c>
      <c r="AD939" s="111" t="s">
        <v>2149</v>
      </c>
      <c r="AE939" s="111">
        <v>613575</v>
      </c>
      <c r="AF939" s="111" t="s">
        <v>1489</v>
      </c>
      <c r="AG939" s="112">
        <v>67.247039999999998</v>
      </c>
      <c r="AI939" s="7" t="str">
        <f>VLOOKUP($AC939,Mapping!$E$11:$I$96,3,0)</f>
        <v>Replacement</v>
      </c>
      <c r="AJ939" s="7" t="str">
        <f>VLOOKUP($AE939,Mapping!$E$140:$K$2771,5,0)</f>
        <v>Labour</v>
      </c>
      <c r="AK939" s="7" t="str">
        <f>VLOOKUP($AE939,Mapping!$E$140:$K$2771,7,0)</f>
        <v>ENDirect</v>
      </c>
      <c r="AL939" s="7" t="str">
        <f>IFERROR(HLOOKUP(AJ939,'Calc|Weightings'!$K$5:$M$5,1,0),"Excl")</f>
        <v>Labour</v>
      </c>
      <c r="AM939" s="7" t="str">
        <f>VLOOKUP(AC939,Mapping!$E$11:$I$96,5,0)</f>
        <v>SCS</v>
      </c>
      <c r="AO939" s="134">
        <v>144</v>
      </c>
      <c r="AP939" s="135" t="s">
        <v>2154</v>
      </c>
      <c r="AQ939" s="135">
        <v>532200</v>
      </c>
      <c r="AR939" s="135" t="s">
        <v>291</v>
      </c>
      <c r="AS939" s="136">
        <v>4.9640000000000004</v>
      </c>
      <c r="AU939" s="7" t="str">
        <f>VLOOKUP($AO939,Mapping!$E$11:$I$96,3,0)</f>
        <v>Replacement</v>
      </c>
      <c r="AV939" s="7" t="str">
        <f>VLOOKUP($AQ939,Mapping!$E$140:$K$2771,5,0)</f>
        <v>Contracts</v>
      </c>
      <c r="AW939" s="7" t="str">
        <f>VLOOKUP($AQ939,Mapping!$E$140:$K$2771,7,0)</f>
        <v>ENDirect</v>
      </c>
      <c r="AX939" s="7" t="str">
        <f>IFERROR(HLOOKUP(AV939,'Calc|Weightings'!$K$5:$M$5,1,0),"Excl")</f>
        <v>Contracts</v>
      </c>
      <c r="AY939" s="7" t="str">
        <f>VLOOKUP(AO939,Mapping!$E$11:$I$96,5,0)</f>
        <v>SCS</v>
      </c>
    </row>
    <row r="940" spans="1:51" x14ac:dyDescent="0.2">
      <c r="A940" s="7"/>
      <c r="B940" s="7"/>
      <c r="C940" s="7"/>
      <c r="D940" s="7"/>
      <c r="E940" s="36">
        <v>140</v>
      </c>
      <c r="F940" s="36" t="s">
        <v>2148</v>
      </c>
      <c r="G940" s="36">
        <v>613279</v>
      </c>
      <c r="H940" s="36" t="s">
        <v>2360</v>
      </c>
      <c r="I940" s="37">
        <v>3.3457599999999998</v>
      </c>
      <c r="J940" s="7"/>
      <c r="K940" s="7" t="str">
        <f>VLOOKUP($E940,Mapping!$E$11:$I$96,3,0)</f>
        <v>Public lighting Capex</v>
      </c>
      <c r="L940" s="7" t="str">
        <f>VLOOKUP($G940,Mapping!$E$140:$K$2771,5,0)</f>
        <v>Labour</v>
      </c>
      <c r="M940" s="7" t="str">
        <f>VLOOKUP($G940,Mapping!$E$140:$K$2771,7,0)</f>
        <v>ENDirect</v>
      </c>
      <c r="N940" s="7" t="str">
        <f>IFERROR(HLOOKUP(L940,'Calc|Weightings'!$K$5:$M$5,1,0),"Excl")</f>
        <v>Labour</v>
      </c>
      <c r="O940" s="7" t="str">
        <f>VLOOKUP(E940,Mapping!$E$11:$I$96,5,0)</f>
        <v>Public Lighting</v>
      </c>
      <c r="Q940" s="33">
        <v>142</v>
      </c>
      <c r="R940" s="33" t="s">
        <v>2152</v>
      </c>
      <c r="S940" s="33">
        <v>611861</v>
      </c>
      <c r="T940" s="33" t="s">
        <v>2140</v>
      </c>
      <c r="U940" s="34">
        <v>8.0315300000000001</v>
      </c>
      <c r="V940" s="7"/>
      <c r="W940" s="7" t="str">
        <f>VLOOKUP($Q940,Mapping!$E$11:$I$96,3,0)</f>
        <v>Replacement</v>
      </c>
      <c r="X940" s="7" t="str">
        <f>VLOOKUP($S940,Mapping!$E$140:$K$2771,5,0)</f>
        <v>Labour</v>
      </c>
      <c r="Y940" s="7" t="str">
        <f>VLOOKUP($S940,Mapping!$E$140:$K$2771,7,0)</f>
        <v>ENDirect</v>
      </c>
      <c r="Z940" s="7" t="str">
        <f>IFERROR(HLOOKUP(X940,'Calc|Weightings'!$K$5:$M$5,1,0),"Excl")</f>
        <v>Labour</v>
      </c>
      <c r="AA940" s="7" t="str">
        <f>VLOOKUP(Q940,Mapping!$E$11:$I$96,5,0)</f>
        <v>SCS</v>
      </c>
      <c r="AC940" s="111">
        <v>141</v>
      </c>
      <c r="AD940" s="111" t="s">
        <v>2149</v>
      </c>
      <c r="AE940" s="111">
        <v>613576</v>
      </c>
      <c r="AF940" s="111" t="s">
        <v>1490</v>
      </c>
      <c r="AG940" s="112">
        <v>16.525829999999999</v>
      </c>
      <c r="AI940" s="7" t="str">
        <f>VLOOKUP($AC940,Mapping!$E$11:$I$96,3,0)</f>
        <v>Replacement</v>
      </c>
      <c r="AJ940" s="7" t="str">
        <f>VLOOKUP($AE940,Mapping!$E$140:$K$2771,5,0)</f>
        <v>Labour</v>
      </c>
      <c r="AK940" s="7" t="str">
        <f>VLOOKUP($AE940,Mapping!$E$140:$K$2771,7,0)</f>
        <v>ENDirect</v>
      </c>
      <c r="AL940" s="7" t="str">
        <f>IFERROR(HLOOKUP(AJ940,'Calc|Weightings'!$K$5:$M$5,1,0),"Excl")</f>
        <v>Labour</v>
      </c>
      <c r="AM940" s="7" t="str">
        <f>VLOOKUP(AC940,Mapping!$E$11:$I$96,5,0)</f>
        <v>SCS</v>
      </c>
      <c r="AO940" s="134">
        <v>144</v>
      </c>
      <c r="AP940" s="135" t="s">
        <v>2154</v>
      </c>
      <c r="AQ940" s="135">
        <v>532300</v>
      </c>
      <c r="AR940" s="135" t="s">
        <v>297</v>
      </c>
      <c r="AS940" s="136">
        <v>30.11045</v>
      </c>
      <c r="AU940" s="7" t="str">
        <f>VLOOKUP($AO940,Mapping!$E$11:$I$96,3,0)</f>
        <v>Replacement</v>
      </c>
      <c r="AV940" s="7" t="str">
        <f>VLOOKUP($AQ940,Mapping!$E$140:$K$2771,5,0)</f>
        <v>Contracts</v>
      </c>
      <c r="AW940" s="7" t="str">
        <f>VLOOKUP($AQ940,Mapping!$E$140:$K$2771,7,0)</f>
        <v>ENDirect</v>
      </c>
      <c r="AX940" s="7" t="str">
        <f>IFERROR(HLOOKUP(AV940,'Calc|Weightings'!$K$5:$M$5,1,0),"Excl")</f>
        <v>Contracts</v>
      </c>
      <c r="AY940" s="7" t="str">
        <f>VLOOKUP(AO940,Mapping!$E$11:$I$96,5,0)</f>
        <v>SCS</v>
      </c>
    </row>
    <row r="941" spans="1:51" x14ac:dyDescent="0.2">
      <c r="A941" s="7"/>
      <c r="B941" s="7"/>
      <c r="C941" s="7"/>
      <c r="D941" s="7"/>
      <c r="E941" s="36">
        <v>140</v>
      </c>
      <c r="F941" s="36" t="s">
        <v>2148</v>
      </c>
      <c r="G941" s="36">
        <v>613280</v>
      </c>
      <c r="H941" s="36" t="s">
        <v>1342</v>
      </c>
      <c r="I941" s="37">
        <v>13.61852</v>
      </c>
      <c r="J941" s="7"/>
      <c r="K941" s="7" t="str">
        <f>VLOOKUP($E941,Mapping!$E$11:$I$96,3,0)</f>
        <v>Public lighting Capex</v>
      </c>
      <c r="L941" s="7" t="str">
        <f>VLOOKUP($G941,Mapping!$E$140:$K$2771,5,0)</f>
        <v>Labour</v>
      </c>
      <c r="M941" s="7" t="str">
        <f>VLOOKUP($G941,Mapping!$E$140:$K$2771,7,0)</f>
        <v>ENDirect</v>
      </c>
      <c r="N941" s="7" t="str">
        <f>IFERROR(HLOOKUP(L941,'Calc|Weightings'!$K$5:$M$5,1,0),"Excl")</f>
        <v>Labour</v>
      </c>
      <c r="O941" s="7" t="str">
        <f>VLOOKUP(E941,Mapping!$E$11:$I$96,5,0)</f>
        <v>Public Lighting</v>
      </c>
      <c r="Q941" s="33">
        <v>142</v>
      </c>
      <c r="R941" s="33" t="s">
        <v>2152</v>
      </c>
      <c r="S941" s="33">
        <v>612210</v>
      </c>
      <c r="T941" s="33" t="s">
        <v>1184</v>
      </c>
      <c r="U941" s="34">
        <v>3.0540000000000001E-2</v>
      </c>
      <c r="V941" s="7"/>
      <c r="W941" s="7" t="str">
        <f>VLOOKUP($Q941,Mapping!$E$11:$I$96,3,0)</f>
        <v>Replacement</v>
      </c>
      <c r="X941" s="7" t="str">
        <f>VLOOKUP($S941,Mapping!$E$140:$K$2771,5,0)</f>
        <v>Labour</v>
      </c>
      <c r="Y941" s="7" t="str">
        <f>VLOOKUP($S941,Mapping!$E$140:$K$2771,7,0)</f>
        <v>ENDirect</v>
      </c>
      <c r="Z941" s="7" t="str">
        <f>IFERROR(HLOOKUP(X941,'Calc|Weightings'!$K$5:$M$5,1,0),"Excl")</f>
        <v>Labour</v>
      </c>
      <c r="AA941" s="7" t="str">
        <f>VLOOKUP(Q941,Mapping!$E$11:$I$96,5,0)</f>
        <v>SCS</v>
      </c>
      <c r="AC941" s="111">
        <v>141</v>
      </c>
      <c r="AD941" s="111" t="s">
        <v>2149</v>
      </c>
      <c r="AE941" s="111">
        <v>613577</v>
      </c>
      <c r="AF941" s="111" t="s">
        <v>1491</v>
      </c>
      <c r="AG941" s="112">
        <v>5.2493400000000001</v>
      </c>
      <c r="AI941" s="7" t="str">
        <f>VLOOKUP($AC941,Mapping!$E$11:$I$96,3,0)</f>
        <v>Replacement</v>
      </c>
      <c r="AJ941" s="7" t="str">
        <f>VLOOKUP($AE941,Mapping!$E$140:$K$2771,5,0)</f>
        <v>Labour</v>
      </c>
      <c r="AK941" s="7" t="str">
        <f>VLOOKUP($AE941,Mapping!$E$140:$K$2771,7,0)</f>
        <v>ENDirect</v>
      </c>
      <c r="AL941" s="7" t="str">
        <f>IFERROR(HLOOKUP(AJ941,'Calc|Weightings'!$K$5:$M$5,1,0),"Excl")</f>
        <v>Labour</v>
      </c>
      <c r="AM941" s="7" t="str">
        <f>VLOOKUP(AC941,Mapping!$E$11:$I$96,5,0)</f>
        <v>SCS</v>
      </c>
      <c r="AO941" s="134">
        <v>144</v>
      </c>
      <c r="AP941" s="135" t="s">
        <v>2154</v>
      </c>
      <c r="AQ941" s="135">
        <v>532500</v>
      </c>
      <c r="AR941" s="135" t="s">
        <v>308</v>
      </c>
      <c r="AS941" s="136">
        <v>61.732959999999999</v>
      </c>
      <c r="AU941" s="7" t="str">
        <f>VLOOKUP($AO941,Mapping!$E$11:$I$96,3,0)</f>
        <v>Replacement</v>
      </c>
      <c r="AV941" s="7" t="str">
        <f>VLOOKUP($AQ941,Mapping!$E$140:$K$2771,5,0)</f>
        <v>Contracts</v>
      </c>
      <c r="AW941" s="7" t="str">
        <f>VLOOKUP($AQ941,Mapping!$E$140:$K$2771,7,0)</f>
        <v>ENDirect</v>
      </c>
      <c r="AX941" s="7" t="str">
        <f>IFERROR(HLOOKUP(AV941,'Calc|Weightings'!$K$5:$M$5,1,0),"Excl")</f>
        <v>Contracts</v>
      </c>
      <c r="AY941" s="7" t="str">
        <f>VLOOKUP(AO941,Mapping!$E$11:$I$96,5,0)</f>
        <v>SCS</v>
      </c>
    </row>
    <row r="942" spans="1:51" x14ac:dyDescent="0.2">
      <c r="A942" s="7"/>
      <c r="B942" s="7"/>
      <c r="C942" s="7"/>
      <c r="D942" s="7"/>
      <c r="E942" s="36">
        <v>140</v>
      </c>
      <c r="F942" s="36" t="s">
        <v>2148</v>
      </c>
      <c r="G942" s="36">
        <v>613290</v>
      </c>
      <c r="H942" s="36" t="s">
        <v>2093</v>
      </c>
      <c r="I942" s="37">
        <v>8.2517700000000005</v>
      </c>
      <c r="J942" s="7"/>
      <c r="K942" s="7" t="str">
        <f>VLOOKUP($E942,Mapping!$E$11:$I$96,3,0)</f>
        <v>Public lighting Capex</v>
      </c>
      <c r="L942" s="7" t="str">
        <f>VLOOKUP($G942,Mapping!$E$140:$K$2771,5,0)</f>
        <v>Labour</v>
      </c>
      <c r="M942" s="7" t="str">
        <f>VLOOKUP($G942,Mapping!$E$140:$K$2771,7,0)</f>
        <v>ENDirect</v>
      </c>
      <c r="N942" s="7" t="str">
        <f>IFERROR(HLOOKUP(L942,'Calc|Weightings'!$K$5:$M$5,1,0),"Excl")</f>
        <v>Labour</v>
      </c>
      <c r="O942" s="7" t="str">
        <f>VLOOKUP(E942,Mapping!$E$11:$I$96,5,0)</f>
        <v>Public Lighting</v>
      </c>
      <c r="Q942" s="33">
        <v>142</v>
      </c>
      <c r="R942" s="33" t="s">
        <v>2152</v>
      </c>
      <c r="S942" s="33">
        <v>613390</v>
      </c>
      <c r="T942" s="33" t="s">
        <v>2141</v>
      </c>
      <c r="U942" s="34">
        <v>2.0539000000000001</v>
      </c>
      <c r="V942" s="7"/>
      <c r="W942" s="7" t="str">
        <f>VLOOKUP($Q942,Mapping!$E$11:$I$96,3,0)</f>
        <v>Replacement</v>
      </c>
      <c r="X942" s="7" t="str">
        <f>VLOOKUP($S942,Mapping!$E$140:$K$2771,5,0)</f>
        <v>Contracts</v>
      </c>
      <c r="Y942" s="7" t="str">
        <f>VLOOKUP($S942,Mapping!$E$140:$K$2771,7,0)</f>
        <v>ENDirect</v>
      </c>
      <c r="Z942" s="7" t="str">
        <f>IFERROR(HLOOKUP(X942,'Calc|Weightings'!$K$5:$M$5,1,0),"Excl")</f>
        <v>Contracts</v>
      </c>
      <c r="AA942" s="7" t="str">
        <f>VLOOKUP(Q942,Mapping!$E$11:$I$96,5,0)</f>
        <v>SCS</v>
      </c>
      <c r="AC942" s="111">
        <v>141</v>
      </c>
      <c r="AD942" s="111" t="s">
        <v>2149</v>
      </c>
      <c r="AE942" s="111">
        <v>613602</v>
      </c>
      <c r="AF942" s="111" t="s">
        <v>1494</v>
      </c>
      <c r="AG942" s="112">
        <v>4.07355</v>
      </c>
      <c r="AI942" s="7" t="str">
        <f>VLOOKUP($AC942,Mapping!$E$11:$I$96,3,0)</f>
        <v>Replacement</v>
      </c>
      <c r="AJ942" s="7" t="str">
        <f>VLOOKUP($AE942,Mapping!$E$140:$K$2771,5,0)</f>
        <v>Labour</v>
      </c>
      <c r="AK942" s="7" t="str">
        <f>VLOOKUP($AE942,Mapping!$E$140:$K$2771,7,0)</f>
        <v>ENDirect</v>
      </c>
      <c r="AL942" s="7" t="str">
        <f>IFERROR(HLOOKUP(AJ942,'Calc|Weightings'!$K$5:$M$5,1,0),"Excl")</f>
        <v>Labour</v>
      </c>
      <c r="AM942" s="7" t="str">
        <f>VLOOKUP(AC942,Mapping!$E$11:$I$96,5,0)</f>
        <v>SCS</v>
      </c>
      <c r="AO942" s="134">
        <v>144</v>
      </c>
      <c r="AP942" s="135" t="s">
        <v>2154</v>
      </c>
      <c r="AQ942" s="135">
        <v>611900</v>
      </c>
      <c r="AR942" s="135" t="s">
        <v>2079</v>
      </c>
      <c r="AS942" s="136">
        <v>1.4074</v>
      </c>
      <c r="AU942" s="7" t="str">
        <f>VLOOKUP($AO942,Mapping!$E$11:$I$96,3,0)</f>
        <v>Replacement</v>
      </c>
      <c r="AV942" s="7" t="str">
        <f>VLOOKUP($AQ942,Mapping!$E$140:$K$2771,5,0)</f>
        <v>Contracts</v>
      </c>
      <c r="AW942" s="7" t="str">
        <f>VLOOKUP($AQ942,Mapping!$E$140:$K$2771,7,0)</f>
        <v>ENDirect</v>
      </c>
      <c r="AX942" s="7" t="str">
        <f>IFERROR(HLOOKUP(AV942,'Calc|Weightings'!$K$5:$M$5,1,0),"Excl")</f>
        <v>Contracts</v>
      </c>
      <c r="AY942" s="7" t="str">
        <f>VLOOKUP(AO942,Mapping!$E$11:$I$96,5,0)</f>
        <v>SCS</v>
      </c>
    </row>
    <row r="943" spans="1:51" x14ac:dyDescent="0.2">
      <c r="A943" s="7"/>
      <c r="B943" s="7"/>
      <c r="C943" s="7"/>
      <c r="D943" s="7"/>
      <c r="E943" s="36">
        <v>140</v>
      </c>
      <c r="F943" s="36" t="s">
        <v>2148</v>
      </c>
      <c r="G943" s="36">
        <v>613310</v>
      </c>
      <c r="H943" s="36" t="s">
        <v>2095</v>
      </c>
      <c r="I943" s="37">
        <v>0.37931999999999999</v>
      </c>
      <c r="J943" s="7"/>
      <c r="K943" s="7" t="str">
        <f>VLOOKUP($E943,Mapping!$E$11:$I$96,3,0)</f>
        <v>Public lighting Capex</v>
      </c>
      <c r="L943" s="7" t="str">
        <f>VLOOKUP($G943,Mapping!$E$140:$K$2771,5,0)</f>
        <v>Labour</v>
      </c>
      <c r="M943" s="7" t="str">
        <f>VLOOKUP($G943,Mapping!$E$140:$K$2771,7,0)</f>
        <v>ENDirect</v>
      </c>
      <c r="N943" s="7" t="str">
        <f>IFERROR(HLOOKUP(L943,'Calc|Weightings'!$K$5:$M$5,1,0),"Excl")</f>
        <v>Labour</v>
      </c>
      <c r="O943" s="7" t="str">
        <f>VLOOKUP(E943,Mapping!$E$11:$I$96,5,0)</f>
        <v>Public Lighting</v>
      </c>
      <c r="Q943" s="33">
        <v>142</v>
      </c>
      <c r="R943" s="33" t="s">
        <v>2152</v>
      </c>
      <c r="S943" s="33">
        <v>613800</v>
      </c>
      <c r="T943" s="33" t="s">
        <v>2142</v>
      </c>
      <c r="U943" s="34">
        <v>1.1176600000000001</v>
      </c>
      <c r="V943" s="7"/>
      <c r="W943" s="7" t="str">
        <f>VLOOKUP($Q943,Mapping!$E$11:$I$96,3,0)</f>
        <v>Replacement</v>
      </c>
      <c r="X943" s="7" t="str">
        <f>VLOOKUP($S943,Mapping!$E$140:$K$2771,5,0)</f>
        <v>Materials</v>
      </c>
      <c r="Y943" s="7" t="str">
        <f>VLOOKUP($S943,Mapping!$E$140:$K$2771,7,0)</f>
        <v>ENDirect</v>
      </c>
      <c r="Z943" s="7" t="str">
        <f>IFERROR(HLOOKUP(X943,'Calc|Weightings'!$K$5:$M$5,1,0),"Excl")</f>
        <v>Materials</v>
      </c>
      <c r="AA943" s="7" t="str">
        <f>VLOOKUP(Q943,Mapping!$E$11:$I$96,5,0)</f>
        <v>SCS</v>
      </c>
      <c r="AC943" s="111">
        <v>141</v>
      </c>
      <c r="AD943" s="111" t="s">
        <v>2149</v>
      </c>
      <c r="AE943" s="111">
        <v>613630</v>
      </c>
      <c r="AF943" s="111" t="s">
        <v>1498</v>
      </c>
      <c r="AG943" s="112">
        <v>0.49557000000000001</v>
      </c>
      <c r="AI943" s="7" t="str">
        <f>VLOOKUP($AC943,Mapping!$E$11:$I$96,3,0)</f>
        <v>Replacement</v>
      </c>
      <c r="AJ943" s="7" t="str">
        <f>VLOOKUP($AE943,Mapping!$E$140:$K$2771,5,0)</f>
        <v>Labour</v>
      </c>
      <c r="AK943" s="7" t="str">
        <f>VLOOKUP($AE943,Mapping!$E$140:$K$2771,7,0)</f>
        <v>ENDirect</v>
      </c>
      <c r="AL943" s="7" t="str">
        <f>IFERROR(HLOOKUP(AJ943,'Calc|Weightings'!$K$5:$M$5,1,0),"Excl")</f>
        <v>Labour</v>
      </c>
      <c r="AM943" s="7" t="str">
        <f>VLOOKUP(AC943,Mapping!$E$11:$I$96,5,0)</f>
        <v>SCS</v>
      </c>
      <c r="AO943" s="134">
        <v>144</v>
      </c>
      <c r="AP943" s="135" t="s">
        <v>2154</v>
      </c>
      <c r="AQ943" s="135">
        <v>611901</v>
      </c>
      <c r="AR943" s="135" t="s">
        <v>2080</v>
      </c>
      <c r="AS943" s="136">
        <v>1.2843100000000001</v>
      </c>
      <c r="AU943" s="7" t="str">
        <f>VLOOKUP($AO943,Mapping!$E$11:$I$96,3,0)</f>
        <v>Replacement</v>
      </c>
      <c r="AV943" s="7" t="str">
        <f>VLOOKUP($AQ943,Mapping!$E$140:$K$2771,5,0)</f>
        <v>Contracts</v>
      </c>
      <c r="AW943" s="7" t="str">
        <f>VLOOKUP($AQ943,Mapping!$E$140:$K$2771,7,0)</f>
        <v>ENDirect</v>
      </c>
      <c r="AX943" s="7" t="str">
        <f>IFERROR(HLOOKUP(AV943,'Calc|Weightings'!$K$5:$M$5,1,0),"Excl")</f>
        <v>Contracts</v>
      </c>
      <c r="AY943" s="7" t="str">
        <f>VLOOKUP(AO943,Mapping!$E$11:$I$96,5,0)</f>
        <v>SCS</v>
      </c>
    </row>
    <row r="944" spans="1:51" x14ac:dyDescent="0.2">
      <c r="A944" s="7"/>
      <c r="B944" s="7"/>
      <c r="C944" s="7"/>
      <c r="D944" s="7"/>
      <c r="E944" s="36">
        <v>140</v>
      </c>
      <c r="F944" s="36" t="s">
        <v>2148</v>
      </c>
      <c r="G944" s="36">
        <v>613318</v>
      </c>
      <c r="H944" s="36" t="s">
        <v>1360</v>
      </c>
      <c r="I944" s="37">
        <v>3.2612700000000001</v>
      </c>
      <c r="J944" s="7"/>
      <c r="K944" s="7" t="str">
        <f>VLOOKUP($E944,Mapping!$E$11:$I$96,3,0)</f>
        <v>Public lighting Capex</v>
      </c>
      <c r="L944" s="7" t="str">
        <f>VLOOKUP($G944,Mapping!$E$140:$K$2771,5,0)</f>
        <v>Labour</v>
      </c>
      <c r="M944" s="7" t="str">
        <f>VLOOKUP($G944,Mapping!$E$140:$K$2771,7,0)</f>
        <v>ENDirect</v>
      </c>
      <c r="N944" s="7" t="str">
        <f>IFERROR(HLOOKUP(L944,'Calc|Weightings'!$K$5:$M$5,1,0),"Excl")</f>
        <v>Labour</v>
      </c>
      <c r="O944" s="7" t="str">
        <f>VLOOKUP(E944,Mapping!$E$11:$I$96,5,0)</f>
        <v>Public Lighting</v>
      </c>
      <c r="Q944" s="33">
        <v>142</v>
      </c>
      <c r="R944" s="33" t="s">
        <v>2152</v>
      </c>
      <c r="S944" s="33">
        <v>634001</v>
      </c>
      <c r="T944" s="33" t="s">
        <v>2110</v>
      </c>
      <c r="U944" s="34">
        <v>0.87522</v>
      </c>
      <c r="V944" s="7"/>
      <c r="W944" s="7" t="str">
        <f>VLOOKUP($Q944,Mapping!$E$11:$I$96,3,0)</f>
        <v>Replacement</v>
      </c>
      <c r="X944" s="7" t="str">
        <f>VLOOKUP($S944,Mapping!$E$140:$K$2771,5,0)</f>
        <v>Local OH</v>
      </c>
      <c r="Y944" s="7" t="str">
        <f>VLOOKUP($S944,Mapping!$E$140:$K$2771,7,0)</f>
        <v>OH</v>
      </c>
      <c r="Z944" s="7" t="str">
        <f>IFERROR(HLOOKUP(X944,'Calc|Weightings'!$K$5:$M$5,1,0),"Excl")</f>
        <v>Excl</v>
      </c>
      <c r="AA944" s="7" t="str">
        <f>VLOOKUP(Q944,Mapping!$E$11:$I$96,5,0)</f>
        <v>SCS</v>
      </c>
      <c r="AC944" s="111">
        <v>141</v>
      </c>
      <c r="AD944" s="111" t="s">
        <v>2149</v>
      </c>
      <c r="AE944" s="111">
        <v>613680</v>
      </c>
      <c r="AF944" s="111" t="s">
        <v>2107</v>
      </c>
      <c r="AG944" s="112">
        <v>5.1540299999999997</v>
      </c>
      <c r="AI944" s="7" t="str">
        <f>VLOOKUP($AC944,Mapping!$E$11:$I$96,3,0)</f>
        <v>Replacement</v>
      </c>
      <c r="AJ944" s="7" t="str">
        <f>VLOOKUP($AE944,Mapping!$E$140:$K$2771,5,0)</f>
        <v>Labour</v>
      </c>
      <c r="AK944" s="7" t="str">
        <f>VLOOKUP($AE944,Mapping!$E$140:$K$2771,7,0)</f>
        <v>ENDirect</v>
      </c>
      <c r="AL944" s="7" t="str">
        <f>IFERROR(HLOOKUP(AJ944,'Calc|Weightings'!$K$5:$M$5,1,0),"Excl")</f>
        <v>Labour</v>
      </c>
      <c r="AM944" s="7" t="str">
        <f>VLOOKUP(AC944,Mapping!$E$11:$I$96,5,0)</f>
        <v>SCS</v>
      </c>
      <c r="AO944" s="134">
        <v>144</v>
      </c>
      <c r="AP944" s="135" t="s">
        <v>2154</v>
      </c>
      <c r="AQ944" s="135">
        <v>611902</v>
      </c>
      <c r="AR944" s="135" t="s">
        <v>2081</v>
      </c>
      <c r="AS944" s="136">
        <v>3.8400000000000001E-3</v>
      </c>
      <c r="AU944" s="7" t="str">
        <f>VLOOKUP($AO944,Mapping!$E$11:$I$96,3,0)</f>
        <v>Replacement</v>
      </c>
      <c r="AV944" s="7" t="str">
        <f>VLOOKUP($AQ944,Mapping!$E$140:$K$2771,5,0)</f>
        <v>Contracts</v>
      </c>
      <c r="AW944" s="7" t="str">
        <f>VLOOKUP($AQ944,Mapping!$E$140:$K$2771,7,0)</f>
        <v>ENDirect</v>
      </c>
      <c r="AX944" s="7" t="str">
        <f>IFERROR(HLOOKUP(AV944,'Calc|Weightings'!$K$5:$M$5,1,0),"Excl")</f>
        <v>Contracts</v>
      </c>
      <c r="AY944" s="7" t="str">
        <f>VLOOKUP(AO944,Mapping!$E$11:$I$96,5,0)</f>
        <v>SCS</v>
      </c>
    </row>
    <row r="945" spans="1:51" x14ac:dyDescent="0.2">
      <c r="A945" s="7"/>
      <c r="B945" s="7"/>
      <c r="C945" s="7"/>
      <c r="D945" s="7"/>
      <c r="E945" s="36">
        <v>140</v>
      </c>
      <c r="F945" s="36" t="s">
        <v>2148</v>
      </c>
      <c r="G945" s="36">
        <v>613319</v>
      </c>
      <c r="H945" s="36" t="s">
        <v>2358</v>
      </c>
      <c r="I945" s="37">
        <v>0.93691999999999998</v>
      </c>
      <c r="J945" s="7"/>
      <c r="K945" s="7" t="str">
        <f>VLOOKUP($E945,Mapping!$E$11:$I$96,3,0)</f>
        <v>Public lighting Capex</v>
      </c>
      <c r="L945" s="7" t="str">
        <f>VLOOKUP($G945,Mapping!$E$140:$K$2771,5,0)</f>
        <v>Labour</v>
      </c>
      <c r="M945" s="7" t="str">
        <f>VLOOKUP($G945,Mapping!$E$140:$K$2771,7,0)</f>
        <v>ENDirect</v>
      </c>
      <c r="N945" s="7" t="str">
        <f>IFERROR(HLOOKUP(L945,'Calc|Weightings'!$K$5:$M$5,1,0),"Excl")</f>
        <v>Labour</v>
      </c>
      <c r="O945" s="7" t="str">
        <f>VLOOKUP(E945,Mapping!$E$11:$I$96,5,0)</f>
        <v>Public Lighting</v>
      </c>
      <c r="Q945" s="33">
        <v>142</v>
      </c>
      <c r="R945" s="33" t="s">
        <v>2152</v>
      </c>
      <c r="S945" s="33">
        <v>635001</v>
      </c>
      <c r="T945" s="33" t="s">
        <v>1929</v>
      </c>
      <c r="U945" s="34">
        <v>0.74017999999999995</v>
      </c>
      <c r="V945" s="7"/>
      <c r="W945" s="7" t="str">
        <f>VLOOKUP($Q945,Mapping!$E$11:$I$96,3,0)</f>
        <v>Replacement</v>
      </c>
      <c r="X945" s="7" t="str">
        <f>VLOOKUP($S945,Mapping!$E$140:$K$2771,5,0)</f>
        <v>PNS MG</v>
      </c>
      <c r="Y945" s="7" t="str">
        <f>VLOOKUP($S945,Mapping!$E$140:$K$2771,7,0)</f>
        <v>ENDirect</v>
      </c>
      <c r="Z945" s="7" t="str">
        <f>IFERROR(HLOOKUP(X945,'Calc|Weightings'!$K$5:$M$5,1,0),"Excl")</f>
        <v>Excl</v>
      </c>
      <c r="AA945" s="7" t="str">
        <f>VLOOKUP(Q945,Mapping!$E$11:$I$96,5,0)</f>
        <v>SCS</v>
      </c>
      <c r="AC945" s="111">
        <v>141</v>
      </c>
      <c r="AD945" s="111" t="s">
        <v>2149</v>
      </c>
      <c r="AE945" s="111">
        <v>634001</v>
      </c>
      <c r="AF945" s="111" t="s">
        <v>2110</v>
      </c>
      <c r="AG945" s="112">
        <v>378.51393000000002</v>
      </c>
      <c r="AI945" s="7" t="str">
        <f>VLOOKUP($AC945,Mapping!$E$11:$I$96,3,0)</f>
        <v>Replacement</v>
      </c>
      <c r="AJ945" s="7" t="str">
        <f>VLOOKUP($AE945,Mapping!$E$140:$K$2771,5,0)</f>
        <v>Local OH</v>
      </c>
      <c r="AK945" s="7" t="str">
        <f>VLOOKUP($AE945,Mapping!$E$140:$K$2771,7,0)</f>
        <v>OH</v>
      </c>
      <c r="AL945" s="7" t="str">
        <f>IFERROR(HLOOKUP(AJ945,'Calc|Weightings'!$K$5:$M$5,1,0),"Excl")</f>
        <v>Excl</v>
      </c>
      <c r="AM945" s="7" t="str">
        <f>VLOOKUP(AC945,Mapping!$E$11:$I$96,5,0)</f>
        <v>SCS</v>
      </c>
      <c r="AO945" s="134">
        <v>144</v>
      </c>
      <c r="AP945" s="135" t="s">
        <v>2154</v>
      </c>
      <c r="AQ945" s="135">
        <v>613240</v>
      </c>
      <c r="AR945" s="135" t="s">
        <v>2082</v>
      </c>
      <c r="AS945" s="136">
        <v>17.212209999999999</v>
      </c>
      <c r="AU945" s="7" t="str">
        <f>VLOOKUP($AO945,Mapping!$E$11:$I$96,3,0)</f>
        <v>Replacement</v>
      </c>
      <c r="AV945" s="7" t="str">
        <f>VLOOKUP($AQ945,Mapping!$E$140:$K$2771,5,0)</f>
        <v>Labour</v>
      </c>
      <c r="AW945" s="7" t="str">
        <f>VLOOKUP($AQ945,Mapping!$E$140:$K$2771,7,0)</f>
        <v>ENDirect</v>
      </c>
      <c r="AX945" s="7" t="str">
        <f>IFERROR(HLOOKUP(AV945,'Calc|Weightings'!$K$5:$M$5,1,0),"Excl")</f>
        <v>Labour</v>
      </c>
      <c r="AY945" s="7" t="str">
        <f>VLOOKUP(AO945,Mapping!$E$11:$I$96,5,0)</f>
        <v>SCS</v>
      </c>
    </row>
    <row r="946" spans="1:51" x14ac:dyDescent="0.2">
      <c r="A946" s="7"/>
      <c r="B946" s="7"/>
      <c r="C946" s="7"/>
      <c r="D946" s="7"/>
      <c r="E946" s="36">
        <v>140</v>
      </c>
      <c r="F946" s="36" t="s">
        <v>2148</v>
      </c>
      <c r="G946" s="36">
        <v>613350</v>
      </c>
      <c r="H946" s="36" t="s">
        <v>2096</v>
      </c>
      <c r="I946" s="37">
        <v>11.54829</v>
      </c>
      <c r="J946" s="7"/>
      <c r="K946" s="7" t="str">
        <f>VLOOKUP($E946,Mapping!$E$11:$I$96,3,0)</f>
        <v>Public lighting Capex</v>
      </c>
      <c r="L946" s="7" t="str">
        <f>VLOOKUP($G946,Mapping!$E$140:$K$2771,5,0)</f>
        <v>Labour</v>
      </c>
      <c r="M946" s="7" t="str">
        <f>VLOOKUP($G946,Mapping!$E$140:$K$2771,7,0)</f>
        <v>ENDirect</v>
      </c>
      <c r="N946" s="7" t="str">
        <f>IFERROR(HLOOKUP(L946,'Calc|Weightings'!$K$5:$M$5,1,0),"Excl")</f>
        <v>Labour</v>
      </c>
      <c r="O946" s="7" t="str">
        <f>VLOOKUP(E946,Mapping!$E$11:$I$96,5,0)</f>
        <v>Public Lighting</v>
      </c>
      <c r="Q946" s="33">
        <v>142</v>
      </c>
      <c r="R946" s="33" t="s">
        <v>2152</v>
      </c>
      <c r="S946" s="33">
        <v>636001</v>
      </c>
      <c r="T946" s="33" t="s">
        <v>2111</v>
      </c>
      <c r="U946" s="34">
        <v>0.27421000000000001</v>
      </c>
      <c r="V946" s="7"/>
      <c r="W946" s="7" t="str">
        <f>VLOOKUP($Q946,Mapping!$E$11:$I$96,3,0)</f>
        <v>Replacement</v>
      </c>
      <c r="X946" s="7" t="str">
        <f>VLOOKUP($S946,Mapping!$E$140:$K$2771,5,0)</f>
        <v>System Control OH</v>
      </c>
      <c r="Y946" s="7" t="str">
        <f>VLOOKUP($S946,Mapping!$E$140:$K$2771,7,0)</f>
        <v>OH</v>
      </c>
      <c r="Z946" s="7" t="str">
        <f>IFERROR(HLOOKUP(X946,'Calc|Weightings'!$K$5:$M$5,1,0),"Excl")</f>
        <v>Excl</v>
      </c>
      <c r="AA946" s="7" t="str">
        <f>VLOOKUP(Q946,Mapping!$E$11:$I$96,5,0)</f>
        <v>SCS</v>
      </c>
      <c r="AC946" s="111">
        <v>141</v>
      </c>
      <c r="AD946" s="111" t="s">
        <v>2149</v>
      </c>
      <c r="AE946" s="111">
        <v>635001</v>
      </c>
      <c r="AF946" s="111" t="s">
        <v>1929</v>
      </c>
      <c r="AG946" s="112">
        <v>238.684</v>
      </c>
      <c r="AI946" s="7" t="str">
        <f>VLOOKUP($AC946,Mapping!$E$11:$I$96,3,0)</f>
        <v>Replacement</v>
      </c>
      <c r="AJ946" s="7" t="str">
        <f>VLOOKUP($AE946,Mapping!$E$140:$K$2771,5,0)</f>
        <v>PNS MG</v>
      </c>
      <c r="AK946" s="7" t="str">
        <f>VLOOKUP($AE946,Mapping!$E$140:$K$2771,7,0)</f>
        <v>ENDirect</v>
      </c>
      <c r="AL946" s="7" t="str">
        <f>IFERROR(HLOOKUP(AJ946,'Calc|Weightings'!$K$5:$M$5,1,0),"Excl")</f>
        <v>Excl</v>
      </c>
      <c r="AM946" s="7" t="str">
        <f>VLOOKUP(AC946,Mapping!$E$11:$I$96,5,0)</f>
        <v>SCS</v>
      </c>
      <c r="AO946" s="134">
        <v>144</v>
      </c>
      <c r="AP946" s="135" t="s">
        <v>2154</v>
      </c>
      <c r="AQ946" s="135">
        <v>613241</v>
      </c>
      <c r="AR946" s="135" t="s">
        <v>2083</v>
      </c>
      <c r="AS946" s="136">
        <v>1.6237999999999999</v>
      </c>
      <c r="AU946" s="7" t="str">
        <f>VLOOKUP($AO946,Mapping!$E$11:$I$96,3,0)</f>
        <v>Replacement</v>
      </c>
      <c r="AV946" s="7" t="str">
        <f>VLOOKUP($AQ946,Mapping!$E$140:$K$2771,5,0)</f>
        <v>Labour</v>
      </c>
      <c r="AW946" s="7" t="str">
        <f>VLOOKUP($AQ946,Mapping!$E$140:$K$2771,7,0)</f>
        <v>ENDirect</v>
      </c>
      <c r="AX946" s="7" t="str">
        <f>IFERROR(HLOOKUP(AV946,'Calc|Weightings'!$K$5:$M$5,1,0),"Excl")</f>
        <v>Labour</v>
      </c>
      <c r="AY946" s="7" t="str">
        <f>VLOOKUP(AO946,Mapping!$E$11:$I$96,5,0)</f>
        <v>SCS</v>
      </c>
    </row>
    <row r="947" spans="1:51" x14ac:dyDescent="0.2">
      <c r="A947" s="7"/>
      <c r="B947" s="7"/>
      <c r="C947" s="7"/>
      <c r="D947" s="7"/>
      <c r="E947" s="36">
        <v>140</v>
      </c>
      <c r="F947" s="36" t="s">
        <v>2148</v>
      </c>
      <c r="G947" s="36">
        <v>613351</v>
      </c>
      <c r="H947" s="36" t="s">
        <v>2151</v>
      </c>
      <c r="I947" s="37">
        <v>3.2779999999999997E-2</v>
      </c>
      <c r="J947" s="7"/>
      <c r="K947" s="7" t="str">
        <f>VLOOKUP($E947,Mapping!$E$11:$I$96,3,0)</f>
        <v>Public lighting Capex</v>
      </c>
      <c r="L947" s="7" t="str">
        <f>VLOOKUP($G947,Mapping!$E$140:$K$2771,5,0)</f>
        <v>Labour</v>
      </c>
      <c r="M947" s="7" t="str">
        <f>VLOOKUP($G947,Mapping!$E$140:$K$2771,7,0)</f>
        <v>ENDirect</v>
      </c>
      <c r="N947" s="7" t="str">
        <f>IFERROR(HLOOKUP(L947,'Calc|Weightings'!$K$5:$M$5,1,0),"Excl")</f>
        <v>Labour</v>
      </c>
      <c r="O947" s="7" t="str">
        <f>VLOOKUP(E947,Mapping!$E$11:$I$96,5,0)</f>
        <v>Public Lighting</v>
      </c>
      <c r="Q947" s="33">
        <v>142</v>
      </c>
      <c r="R947" s="33" t="s">
        <v>2152</v>
      </c>
      <c r="S947" s="33">
        <v>639000</v>
      </c>
      <c r="T947" s="33" t="s">
        <v>2112</v>
      </c>
      <c r="U947" s="34">
        <v>0.72918000000000005</v>
      </c>
      <c r="V947" s="7"/>
      <c r="W947" s="7" t="str">
        <f>VLOOKUP($Q947,Mapping!$E$11:$I$96,3,0)</f>
        <v>Replacement</v>
      </c>
      <c r="X947" s="7" t="str">
        <f>VLOOKUP($S947,Mapping!$E$140:$K$2771,5,0)</f>
        <v>PNS Corporate OH</v>
      </c>
      <c r="Y947" s="7" t="str">
        <f>VLOOKUP($S947,Mapping!$E$140:$K$2771,7,0)</f>
        <v>OH</v>
      </c>
      <c r="Z947" s="7" t="str">
        <f>IFERROR(HLOOKUP(X947,'Calc|Weightings'!$K$5:$M$5,1,0),"Excl")</f>
        <v>Excl</v>
      </c>
      <c r="AA947" s="7" t="str">
        <f>VLOOKUP(Q947,Mapping!$E$11:$I$96,5,0)</f>
        <v>SCS</v>
      </c>
      <c r="AC947" s="111">
        <v>141</v>
      </c>
      <c r="AD947" s="111" t="s">
        <v>2149</v>
      </c>
      <c r="AE947" s="111">
        <v>636001</v>
      </c>
      <c r="AF947" s="111" t="s">
        <v>2111</v>
      </c>
      <c r="AG947" s="112">
        <v>200.81827999999999</v>
      </c>
      <c r="AI947" s="7" t="str">
        <f>VLOOKUP($AC947,Mapping!$E$11:$I$96,3,0)</f>
        <v>Replacement</v>
      </c>
      <c r="AJ947" s="7" t="str">
        <f>VLOOKUP($AE947,Mapping!$E$140:$K$2771,5,0)</f>
        <v>System Control OH</v>
      </c>
      <c r="AK947" s="7" t="str">
        <f>VLOOKUP($AE947,Mapping!$E$140:$K$2771,7,0)</f>
        <v>OH</v>
      </c>
      <c r="AL947" s="7" t="str">
        <f>IFERROR(HLOOKUP(AJ947,'Calc|Weightings'!$K$5:$M$5,1,0),"Excl")</f>
        <v>Excl</v>
      </c>
      <c r="AM947" s="7" t="str">
        <f>VLOOKUP(AC947,Mapping!$E$11:$I$96,5,0)</f>
        <v>SCS</v>
      </c>
      <c r="AO947" s="134">
        <v>144</v>
      </c>
      <c r="AP947" s="135" t="s">
        <v>2154</v>
      </c>
      <c r="AQ947" s="135">
        <v>613250</v>
      </c>
      <c r="AR947" s="135" t="s">
        <v>2086</v>
      </c>
      <c r="AS947" s="136">
        <v>16.768830000000001</v>
      </c>
      <c r="AU947" s="7" t="str">
        <f>VLOOKUP($AO947,Mapping!$E$11:$I$96,3,0)</f>
        <v>Replacement</v>
      </c>
      <c r="AV947" s="7" t="str">
        <f>VLOOKUP($AQ947,Mapping!$E$140:$K$2771,5,0)</f>
        <v>Labour</v>
      </c>
      <c r="AW947" s="7" t="str">
        <f>VLOOKUP($AQ947,Mapping!$E$140:$K$2771,7,0)</f>
        <v>ENDirect</v>
      </c>
      <c r="AX947" s="7" t="str">
        <f>IFERROR(HLOOKUP(AV947,'Calc|Weightings'!$K$5:$M$5,1,0),"Excl")</f>
        <v>Labour</v>
      </c>
      <c r="AY947" s="7" t="str">
        <f>VLOOKUP(AO947,Mapping!$E$11:$I$96,5,0)</f>
        <v>SCS</v>
      </c>
    </row>
    <row r="948" spans="1:51" x14ac:dyDescent="0.2">
      <c r="A948" s="7"/>
      <c r="B948" s="7"/>
      <c r="C948" s="7"/>
      <c r="D948" s="7"/>
      <c r="E948" s="36">
        <v>140</v>
      </c>
      <c r="F948" s="36" t="s">
        <v>2148</v>
      </c>
      <c r="G948" s="36">
        <v>613360</v>
      </c>
      <c r="H948" s="36" t="s">
        <v>2097</v>
      </c>
      <c r="I948" s="37">
        <v>8.1648800000000001</v>
      </c>
      <c r="J948" s="7"/>
      <c r="K948" s="7" t="str">
        <f>VLOOKUP($E948,Mapping!$E$11:$I$96,3,0)</f>
        <v>Public lighting Capex</v>
      </c>
      <c r="L948" s="7" t="str">
        <f>VLOOKUP($G948,Mapping!$E$140:$K$2771,5,0)</f>
        <v>Labour</v>
      </c>
      <c r="M948" s="7" t="str">
        <f>VLOOKUP($G948,Mapping!$E$140:$K$2771,7,0)</f>
        <v>ENDirect</v>
      </c>
      <c r="N948" s="7" t="str">
        <f>IFERROR(HLOOKUP(L948,'Calc|Weightings'!$K$5:$M$5,1,0),"Excl")</f>
        <v>Labour</v>
      </c>
      <c r="O948" s="7" t="str">
        <f>VLOOKUP(E948,Mapping!$E$11:$I$96,5,0)</f>
        <v>Public Lighting</v>
      </c>
      <c r="Q948" s="33">
        <v>142</v>
      </c>
      <c r="R948" s="33" t="s">
        <v>2152</v>
      </c>
      <c r="S948" s="33">
        <v>639050</v>
      </c>
      <c r="T948" s="33" t="s">
        <v>2113</v>
      </c>
      <c r="U948" s="34">
        <v>8.8230000000000003E-2</v>
      </c>
      <c r="V948" s="7"/>
      <c r="W948" s="7" t="str">
        <f>VLOOKUP($Q948,Mapping!$E$11:$I$96,3,0)</f>
        <v>Replacement</v>
      </c>
      <c r="X948" s="7" t="str">
        <f>VLOOKUP($S948,Mapping!$E$140:$K$2771,5,0)</f>
        <v>PNS Fleet &amp; Property OH</v>
      </c>
      <c r="Y948" s="7" t="str">
        <f>VLOOKUP($S948,Mapping!$E$140:$K$2771,7,0)</f>
        <v>OH</v>
      </c>
      <c r="Z948" s="7" t="str">
        <f>IFERROR(HLOOKUP(X948,'Calc|Weightings'!$K$5:$M$5,1,0),"Excl")</f>
        <v>Excl</v>
      </c>
      <c r="AA948" s="7" t="str">
        <f>VLOOKUP(Q948,Mapping!$E$11:$I$96,5,0)</f>
        <v>SCS</v>
      </c>
      <c r="AC948" s="111">
        <v>141</v>
      </c>
      <c r="AD948" s="111" t="s">
        <v>2149</v>
      </c>
      <c r="AE948" s="111">
        <v>639000</v>
      </c>
      <c r="AF948" s="111" t="s">
        <v>2112</v>
      </c>
      <c r="AG948" s="112">
        <v>265.70218999999997</v>
      </c>
      <c r="AI948" s="7" t="str">
        <f>VLOOKUP($AC948,Mapping!$E$11:$I$96,3,0)</f>
        <v>Replacement</v>
      </c>
      <c r="AJ948" s="7" t="str">
        <f>VLOOKUP($AE948,Mapping!$E$140:$K$2771,5,0)</f>
        <v>PNS Corporate OH</v>
      </c>
      <c r="AK948" s="7" t="str">
        <f>VLOOKUP($AE948,Mapping!$E$140:$K$2771,7,0)</f>
        <v>OH</v>
      </c>
      <c r="AL948" s="7" t="str">
        <f>IFERROR(HLOOKUP(AJ948,'Calc|Weightings'!$K$5:$M$5,1,0),"Excl")</f>
        <v>Excl</v>
      </c>
      <c r="AM948" s="7" t="str">
        <f>VLOOKUP(AC948,Mapping!$E$11:$I$96,5,0)</f>
        <v>SCS</v>
      </c>
      <c r="AO948" s="134">
        <v>144</v>
      </c>
      <c r="AP948" s="135" t="s">
        <v>2154</v>
      </c>
      <c r="AQ948" s="135">
        <v>613251</v>
      </c>
      <c r="AR948" s="135" t="s">
        <v>2087</v>
      </c>
      <c r="AS948" s="136">
        <v>5.1150200000000003</v>
      </c>
      <c r="AU948" s="7" t="str">
        <f>VLOOKUP($AO948,Mapping!$E$11:$I$96,3,0)</f>
        <v>Replacement</v>
      </c>
      <c r="AV948" s="7" t="str">
        <f>VLOOKUP($AQ948,Mapping!$E$140:$K$2771,5,0)</f>
        <v>Labour</v>
      </c>
      <c r="AW948" s="7" t="str">
        <f>VLOOKUP($AQ948,Mapping!$E$140:$K$2771,7,0)</f>
        <v>ENDirect</v>
      </c>
      <c r="AX948" s="7" t="str">
        <f>IFERROR(HLOOKUP(AV948,'Calc|Weightings'!$K$5:$M$5,1,0),"Excl")</f>
        <v>Labour</v>
      </c>
      <c r="AY948" s="7" t="str">
        <f>VLOOKUP(AO948,Mapping!$E$11:$I$96,5,0)</f>
        <v>SCS</v>
      </c>
    </row>
    <row r="949" spans="1:51" x14ac:dyDescent="0.2">
      <c r="A949" s="7"/>
      <c r="B949" s="7"/>
      <c r="C949" s="7"/>
      <c r="D949" s="7"/>
      <c r="E949" s="36">
        <v>140</v>
      </c>
      <c r="F949" s="36" t="s">
        <v>2148</v>
      </c>
      <c r="G949" s="36">
        <v>613370</v>
      </c>
      <c r="H949" s="36" t="s">
        <v>1402</v>
      </c>
      <c r="I949" s="37">
        <v>0.62809000000000004</v>
      </c>
      <c r="J949" s="7"/>
      <c r="K949" s="7" t="str">
        <f>VLOOKUP($E949,Mapping!$E$11:$I$96,3,0)</f>
        <v>Public lighting Capex</v>
      </c>
      <c r="L949" s="7" t="str">
        <f>VLOOKUP($G949,Mapping!$E$140:$K$2771,5,0)</f>
        <v>Labour</v>
      </c>
      <c r="M949" s="7" t="str">
        <f>VLOOKUP($G949,Mapping!$E$140:$K$2771,7,0)</f>
        <v>ENDirect</v>
      </c>
      <c r="N949" s="7" t="str">
        <f>IFERROR(HLOOKUP(L949,'Calc|Weightings'!$K$5:$M$5,1,0),"Excl")</f>
        <v>Labour</v>
      </c>
      <c r="O949" s="7" t="str">
        <f>VLOOKUP(E949,Mapping!$E$11:$I$96,5,0)</f>
        <v>Public Lighting</v>
      </c>
      <c r="Q949" s="33">
        <v>143</v>
      </c>
      <c r="R949" s="33" t="s">
        <v>2153</v>
      </c>
      <c r="S949" s="33">
        <v>503281</v>
      </c>
      <c r="T949" s="33" t="s">
        <v>174</v>
      </c>
      <c r="U949" s="34">
        <v>0.29400999999999999</v>
      </c>
      <c r="V949" s="7"/>
      <c r="W949" s="7" t="str">
        <f>VLOOKUP($Q949,Mapping!$E$11:$I$96,3,0)</f>
        <v>Replacement</v>
      </c>
      <c r="X949" s="7" t="str">
        <f>VLOOKUP($S949,Mapping!$E$140:$K$2771,5,0)</f>
        <v>Contracts</v>
      </c>
      <c r="Y949" s="7" t="str">
        <f>VLOOKUP($S949,Mapping!$E$140:$K$2771,7,0)</f>
        <v>ENDirect</v>
      </c>
      <c r="Z949" s="7" t="str">
        <f>IFERROR(HLOOKUP(X949,'Calc|Weightings'!$K$5:$M$5,1,0),"Excl")</f>
        <v>Contracts</v>
      </c>
      <c r="AA949" s="7" t="str">
        <f>VLOOKUP(Q949,Mapping!$E$11:$I$96,5,0)</f>
        <v>SCS</v>
      </c>
      <c r="AC949" s="111">
        <v>141</v>
      </c>
      <c r="AD949" s="111" t="s">
        <v>2149</v>
      </c>
      <c r="AE949" s="111">
        <v>639050</v>
      </c>
      <c r="AF949" s="111" t="s">
        <v>2113</v>
      </c>
      <c r="AG949" s="112">
        <v>39.403269999999999</v>
      </c>
      <c r="AI949" s="7" t="str">
        <f>VLOOKUP($AC949,Mapping!$E$11:$I$96,3,0)</f>
        <v>Replacement</v>
      </c>
      <c r="AJ949" s="7" t="str">
        <f>VLOOKUP($AE949,Mapping!$E$140:$K$2771,5,0)</f>
        <v>PNS Fleet &amp; Property OH</v>
      </c>
      <c r="AK949" s="7" t="str">
        <f>VLOOKUP($AE949,Mapping!$E$140:$K$2771,7,0)</f>
        <v>OH</v>
      </c>
      <c r="AL949" s="7" t="str">
        <f>IFERROR(HLOOKUP(AJ949,'Calc|Weightings'!$K$5:$M$5,1,0),"Excl")</f>
        <v>Excl</v>
      </c>
      <c r="AM949" s="7" t="str">
        <f>VLOOKUP(AC949,Mapping!$E$11:$I$96,5,0)</f>
        <v>SCS</v>
      </c>
      <c r="AO949" s="134">
        <v>144</v>
      </c>
      <c r="AP949" s="135" t="s">
        <v>2154</v>
      </c>
      <c r="AQ949" s="135">
        <v>613260</v>
      </c>
      <c r="AR949" s="135" t="s">
        <v>2090</v>
      </c>
      <c r="AS949" s="136">
        <v>17.763300000000001</v>
      </c>
      <c r="AU949" s="7" t="str">
        <f>VLOOKUP($AO949,Mapping!$E$11:$I$96,3,0)</f>
        <v>Replacement</v>
      </c>
      <c r="AV949" s="7" t="str">
        <f>VLOOKUP($AQ949,Mapping!$E$140:$K$2771,5,0)</f>
        <v>Labour</v>
      </c>
      <c r="AW949" s="7" t="str">
        <f>VLOOKUP($AQ949,Mapping!$E$140:$K$2771,7,0)</f>
        <v>ENDirect</v>
      </c>
      <c r="AX949" s="7" t="str">
        <f>IFERROR(HLOOKUP(AV949,'Calc|Weightings'!$K$5:$M$5,1,0),"Excl")</f>
        <v>Labour</v>
      </c>
      <c r="AY949" s="7" t="str">
        <f>VLOOKUP(AO949,Mapping!$E$11:$I$96,5,0)</f>
        <v>SCS</v>
      </c>
    </row>
    <row r="950" spans="1:51" x14ac:dyDescent="0.2">
      <c r="A950" s="7"/>
      <c r="B950" s="7"/>
      <c r="C950" s="7"/>
      <c r="D950" s="7"/>
      <c r="E950" s="36">
        <v>140</v>
      </c>
      <c r="F950" s="36" t="s">
        <v>2148</v>
      </c>
      <c r="G950" s="36">
        <v>613390</v>
      </c>
      <c r="H950" s="36" t="s">
        <v>2141</v>
      </c>
      <c r="I950" s="37">
        <v>-42.156759999999998</v>
      </c>
      <c r="J950" s="7"/>
      <c r="K950" s="7" t="str">
        <f>VLOOKUP($E950,Mapping!$E$11:$I$96,3,0)</f>
        <v>Public lighting Capex</v>
      </c>
      <c r="L950" s="7" t="str">
        <f>VLOOKUP($G950,Mapping!$E$140:$K$2771,5,0)</f>
        <v>Contracts</v>
      </c>
      <c r="M950" s="7" t="str">
        <f>VLOOKUP($G950,Mapping!$E$140:$K$2771,7,0)</f>
        <v>ENDirect</v>
      </c>
      <c r="N950" s="7" t="str">
        <f>IFERROR(HLOOKUP(L950,'Calc|Weightings'!$K$5:$M$5,1,0),"Excl")</f>
        <v>Contracts</v>
      </c>
      <c r="O950" s="7" t="str">
        <f>VLOOKUP(E950,Mapping!$E$11:$I$96,5,0)</f>
        <v>Public Lighting</v>
      </c>
      <c r="Q950" s="33">
        <v>143</v>
      </c>
      <c r="R950" s="33" t="s">
        <v>2153</v>
      </c>
      <c r="S950" s="33">
        <v>520100</v>
      </c>
      <c r="T950" s="33" t="s">
        <v>2072</v>
      </c>
      <c r="U950" s="34">
        <v>495.13573000000002</v>
      </c>
      <c r="V950" s="7"/>
      <c r="W950" s="7" t="str">
        <f>VLOOKUP($Q950,Mapping!$E$11:$I$96,3,0)</f>
        <v>Replacement</v>
      </c>
      <c r="X950" s="7" t="str">
        <f>VLOOKUP($S950,Mapping!$E$140:$K$2771,5,0)</f>
        <v>Materials</v>
      </c>
      <c r="Y950" s="7" t="str">
        <f>VLOOKUP($S950,Mapping!$E$140:$K$2771,7,0)</f>
        <v>ENDirect</v>
      </c>
      <c r="Z950" s="7" t="str">
        <f>IFERROR(HLOOKUP(X950,'Calc|Weightings'!$K$5:$M$5,1,0),"Excl")</f>
        <v>Materials</v>
      </c>
      <c r="AA950" s="7" t="str">
        <f>VLOOKUP(Q950,Mapping!$E$11:$I$96,5,0)</f>
        <v>SCS</v>
      </c>
      <c r="AC950" s="111">
        <v>142</v>
      </c>
      <c r="AD950" s="111" t="s">
        <v>2152</v>
      </c>
      <c r="AE950" s="111">
        <v>591999</v>
      </c>
      <c r="AF950" s="111" t="s">
        <v>2195</v>
      </c>
      <c r="AG950" s="112">
        <v>-8.9020200000000003</v>
      </c>
      <c r="AI950" s="7" t="str">
        <f>VLOOKUP($AC950,Mapping!$E$11:$I$96,3,0)</f>
        <v>Replacement</v>
      </c>
      <c r="AJ950" s="7" t="str">
        <f>VLOOKUP($AE950,Mapping!$E$140:$K$2771,5,0)</f>
        <v>Contracts</v>
      </c>
      <c r="AK950" s="7" t="str">
        <f>VLOOKUP($AE950,Mapping!$E$140:$K$2771,7,0)</f>
        <v>ENDirect</v>
      </c>
      <c r="AL950" s="7" t="str">
        <f>IFERROR(HLOOKUP(AJ950,'Calc|Weightings'!$K$5:$M$5,1,0),"Excl")</f>
        <v>Contracts</v>
      </c>
      <c r="AM950" s="7" t="str">
        <f>VLOOKUP(AC950,Mapping!$E$11:$I$96,5,0)</f>
        <v>SCS</v>
      </c>
      <c r="AO950" s="134">
        <v>144</v>
      </c>
      <c r="AP950" s="135" t="s">
        <v>2154</v>
      </c>
      <c r="AQ950" s="135">
        <v>613261</v>
      </c>
      <c r="AR950" s="135" t="s">
        <v>2091</v>
      </c>
      <c r="AS950" s="136">
        <v>6.6696</v>
      </c>
      <c r="AU950" s="7" t="str">
        <f>VLOOKUP($AO950,Mapping!$E$11:$I$96,3,0)</f>
        <v>Replacement</v>
      </c>
      <c r="AV950" s="7" t="str">
        <f>VLOOKUP($AQ950,Mapping!$E$140:$K$2771,5,0)</f>
        <v>Labour</v>
      </c>
      <c r="AW950" s="7" t="str">
        <f>VLOOKUP($AQ950,Mapping!$E$140:$K$2771,7,0)</f>
        <v>ENDirect</v>
      </c>
      <c r="AX950" s="7" t="str">
        <f>IFERROR(HLOOKUP(AV950,'Calc|Weightings'!$K$5:$M$5,1,0),"Excl")</f>
        <v>Labour</v>
      </c>
      <c r="AY950" s="7" t="str">
        <f>VLOOKUP(AO950,Mapping!$E$11:$I$96,5,0)</f>
        <v>SCS</v>
      </c>
    </row>
    <row r="951" spans="1:51" x14ac:dyDescent="0.2">
      <c r="A951" s="7"/>
      <c r="B951" s="7"/>
      <c r="C951" s="7"/>
      <c r="D951" s="7"/>
      <c r="E951" s="36">
        <v>140</v>
      </c>
      <c r="F951" s="36" t="s">
        <v>2148</v>
      </c>
      <c r="G951" s="36">
        <v>613400</v>
      </c>
      <c r="H951" s="36" t="s">
        <v>2099</v>
      </c>
      <c r="I951" s="37">
        <v>6.0859999999999997E-2</v>
      </c>
      <c r="J951" s="7"/>
      <c r="K951" s="7" t="str">
        <f>VLOOKUP($E951,Mapping!$E$11:$I$96,3,0)</f>
        <v>Public lighting Capex</v>
      </c>
      <c r="L951" s="7" t="str">
        <f>VLOOKUP($G951,Mapping!$E$140:$K$2771,5,0)</f>
        <v>Labour</v>
      </c>
      <c r="M951" s="7" t="str">
        <f>VLOOKUP($G951,Mapping!$E$140:$K$2771,7,0)</f>
        <v>ENDirect</v>
      </c>
      <c r="N951" s="7" t="str">
        <f>IFERROR(HLOOKUP(L951,'Calc|Weightings'!$K$5:$M$5,1,0),"Excl")</f>
        <v>Labour</v>
      </c>
      <c r="O951" s="7" t="str">
        <f>VLOOKUP(E951,Mapping!$E$11:$I$96,5,0)</f>
        <v>Public Lighting</v>
      </c>
      <c r="Q951" s="33">
        <v>143</v>
      </c>
      <c r="R951" s="33" t="s">
        <v>2153</v>
      </c>
      <c r="S951" s="33">
        <v>520200</v>
      </c>
      <c r="T951" s="33" t="s">
        <v>2073</v>
      </c>
      <c r="U951" s="34">
        <v>18.693760000000001</v>
      </c>
      <c r="V951" s="7"/>
      <c r="W951" s="7" t="str">
        <f>VLOOKUP($Q951,Mapping!$E$11:$I$96,3,0)</f>
        <v>Replacement</v>
      </c>
      <c r="X951" s="7" t="str">
        <f>VLOOKUP($S951,Mapping!$E$140:$K$2771,5,0)</f>
        <v>Materials</v>
      </c>
      <c r="Y951" s="7" t="str">
        <f>VLOOKUP($S951,Mapping!$E$140:$K$2771,7,0)</f>
        <v>ENDirect</v>
      </c>
      <c r="Z951" s="7" t="str">
        <f>IFERROR(HLOOKUP(X951,'Calc|Weightings'!$K$5:$M$5,1,0),"Excl")</f>
        <v>Materials</v>
      </c>
      <c r="AA951" s="7" t="str">
        <f>VLOOKUP(Q951,Mapping!$E$11:$I$96,5,0)</f>
        <v>SCS</v>
      </c>
      <c r="AC951" s="111">
        <v>142</v>
      </c>
      <c r="AD951" s="111" t="s">
        <v>2152</v>
      </c>
      <c r="AE951" s="111">
        <v>633000</v>
      </c>
      <c r="AF951" s="111" t="s">
        <v>2202</v>
      </c>
      <c r="AG951" s="112">
        <v>-18.768080000000001</v>
      </c>
      <c r="AI951" s="7" t="str">
        <f>VLOOKUP($AC951,Mapping!$E$11:$I$96,3,0)</f>
        <v>Replacement</v>
      </c>
      <c r="AJ951" s="7" t="str">
        <f>VLOOKUP($AE951,Mapping!$E$140:$K$2771,5,0)</f>
        <v>Contracts</v>
      </c>
      <c r="AK951" s="7" t="str">
        <f>VLOOKUP($AE951,Mapping!$E$140:$K$2771,7,0)</f>
        <v>OH</v>
      </c>
      <c r="AL951" s="7" t="str">
        <f>IFERROR(HLOOKUP(AJ951,'Calc|Weightings'!$K$5:$M$5,1,0),"Excl")</f>
        <v>Contracts</v>
      </c>
      <c r="AM951" s="7" t="str">
        <f>VLOOKUP(AC951,Mapping!$E$11:$I$96,5,0)</f>
        <v>SCS</v>
      </c>
      <c r="AO951" s="134">
        <v>144</v>
      </c>
      <c r="AP951" s="135" t="s">
        <v>2154</v>
      </c>
      <c r="AQ951" s="135">
        <v>613280</v>
      </c>
      <c r="AR951" s="135" t="s">
        <v>1342</v>
      </c>
      <c r="AS951" s="136">
        <v>2.2503600000000001</v>
      </c>
      <c r="AU951" s="7" t="str">
        <f>VLOOKUP($AO951,Mapping!$E$11:$I$96,3,0)</f>
        <v>Replacement</v>
      </c>
      <c r="AV951" s="7" t="str">
        <f>VLOOKUP($AQ951,Mapping!$E$140:$K$2771,5,0)</f>
        <v>Labour</v>
      </c>
      <c r="AW951" s="7" t="str">
        <f>VLOOKUP($AQ951,Mapping!$E$140:$K$2771,7,0)</f>
        <v>ENDirect</v>
      </c>
      <c r="AX951" s="7" t="str">
        <f>IFERROR(HLOOKUP(AV951,'Calc|Weightings'!$K$5:$M$5,1,0),"Excl")</f>
        <v>Labour</v>
      </c>
      <c r="AY951" s="7" t="str">
        <f>VLOOKUP(AO951,Mapping!$E$11:$I$96,5,0)</f>
        <v>SCS</v>
      </c>
    </row>
    <row r="952" spans="1:51" x14ac:dyDescent="0.2">
      <c r="A952" s="7"/>
      <c r="B952" s="7"/>
      <c r="C952" s="7"/>
      <c r="D952" s="7"/>
      <c r="E952" s="36">
        <v>140</v>
      </c>
      <c r="F952" s="36" t="s">
        <v>2148</v>
      </c>
      <c r="G952" s="36">
        <v>613401</v>
      </c>
      <c r="H952" s="36" t="s">
        <v>2117</v>
      </c>
      <c r="I952" s="37">
        <v>0.30427999999999999</v>
      </c>
      <c r="J952" s="7"/>
      <c r="K952" s="7" t="str">
        <f>VLOOKUP($E952,Mapping!$E$11:$I$96,3,0)</f>
        <v>Public lighting Capex</v>
      </c>
      <c r="L952" s="7" t="str">
        <f>VLOOKUP($G952,Mapping!$E$140:$K$2771,5,0)</f>
        <v>Labour</v>
      </c>
      <c r="M952" s="7" t="str">
        <f>VLOOKUP($G952,Mapping!$E$140:$K$2771,7,0)</f>
        <v>ENDirect</v>
      </c>
      <c r="N952" s="7" t="str">
        <f>IFERROR(HLOOKUP(L952,'Calc|Weightings'!$K$5:$M$5,1,0),"Excl")</f>
        <v>Labour</v>
      </c>
      <c r="O952" s="7" t="str">
        <f>VLOOKUP(E952,Mapping!$E$11:$I$96,5,0)</f>
        <v>Public Lighting</v>
      </c>
      <c r="Q952" s="33">
        <v>143</v>
      </c>
      <c r="R952" s="33" t="s">
        <v>2153</v>
      </c>
      <c r="S952" s="33">
        <v>523100</v>
      </c>
      <c r="T952" s="33" t="s">
        <v>2074</v>
      </c>
      <c r="U952" s="34">
        <v>2.7374499999999999</v>
      </c>
      <c r="V952" s="7"/>
      <c r="W952" s="7" t="str">
        <f>VLOOKUP($Q952,Mapping!$E$11:$I$96,3,0)</f>
        <v>Replacement</v>
      </c>
      <c r="X952" s="7" t="str">
        <f>VLOOKUP($S952,Mapping!$E$140:$K$2771,5,0)</f>
        <v>Materials</v>
      </c>
      <c r="Y952" s="7" t="str">
        <f>VLOOKUP($S952,Mapping!$E$140:$K$2771,7,0)</f>
        <v>ENDirect</v>
      </c>
      <c r="Z952" s="7" t="str">
        <f>IFERROR(HLOOKUP(X952,'Calc|Weightings'!$K$5:$M$5,1,0),"Excl")</f>
        <v>Materials</v>
      </c>
      <c r="AA952" s="7" t="str">
        <f>VLOOKUP(Q952,Mapping!$E$11:$I$96,5,0)</f>
        <v>SCS</v>
      </c>
      <c r="AC952" s="111">
        <v>142</v>
      </c>
      <c r="AD952" s="111" t="s">
        <v>2152</v>
      </c>
      <c r="AE952" s="111">
        <v>634000</v>
      </c>
      <c r="AF952" s="111" t="s">
        <v>2110</v>
      </c>
      <c r="AG952" s="112">
        <v>5.3688099999999999</v>
      </c>
      <c r="AI952" s="7" t="str">
        <f>VLOOKUP($AC952,Mapping!$E$11:$I$96,3,0)</f>
        <v>Replacement</v>
      </c>
      <c r="AJ952" s="7" t="str">
        <f>VLOOKUP($AE952,Mapping!$E$140:$K$2771,5,0)</f>
        <v>Local OH</v>
      </c>
      <c r="AK952" s="7" t="str">
        <f>VLOOKUP($AE952,Mapping!$E$140:$K$2771,7,0)</f>
        <v>OH</v>
      </c>
      <c r="AL952" s="7" t="str">
        <f>IFERROR(HLOOKUP(AJ952,'Calc|Weightings'!$K$5:$M$5,1,0),"Excl")</f>
        <v>Excl</v>
      </c>
      <c r="AM952" s="7" t="str">
        <f>VLOOKUP(AC952,Mapping!$E$11:$I$96,5,0)</f>
        <v>SCS</v>
      </c>
      <c r="AO952" s="134">
        <v>144</v>
      </c>
      <c r="AP952" s="135" t="s">
        <v>2154</v>
      </c>
      <c r="AQ952" s="135">
        <v>613290</v>
      </c>
      <c r="AR952" s="135" t="s">
        <v>2093</v>
      </c>
      <c r="AS952" s="136">
        <v>29.075949999999999</v>
      </c>
      <c r="AU952" s="7" t="str">
        <f>VLOOKUP($AO952,Mapping!$E$11:$I$96,3,0)</f>
        <v>Replacement</v>
      </c>
      <c r="AV952" s="7" t="str">
        <f>VLOOKUP($AQ952,Mapping!$E$140:$K$2771,5,0)</f>
        <v>Labour</v>
      </c>
      <c r="AW952" s="7" t="str">
        <f>VLOOKUP($AQ952,Mapping!$E$140:$K$2771,7,0)</f>
        <v>ENDirect</v>
      </c>
      <c r="AX952" s="7" t="str">
        <f>IFERROR(HLOOKUP(AV952,'Calc|Weightings'!$K$5:$M$5,1,0),"Excl")</f>
        <v>Labour</v>
      </c>
      <c r="AY952" s="7" t="str">
        <f>VLOOKUP(AO952,Mapping!$E$11:$I$96,5,0)</f>
        <v>SCS</v>
      </c>
    </row>
    <row r="953" spans="1:51" x14ac:dyDescent="0.2">
      <c r="A953" s="7"/>
      <c r="B953" s="7"/>
      <c r="C953" s="7"/>
      <c r="D953" s="7"/>
      <c r="E953" s="36">
        <v>140</v>
      </c>
      <c r="F953" s="36" t="s">
        <v>2148</v>
      </c>
      <c r="G953" s="36">
        <v>613408</v>
      </c>
      <c r="H953" s="36" t="s">
        <v>1418</v>
      </c>
      <c r="I953" s="37">
        <v>111.88075000000001</v>
      </c>
      <c r="J953" s="7"/>
      <c r="K953" s="7" t="str">
        <f>VLOOKUP($E953,Mapping!$E$11:$I$96,3,0)</f>
        <v>Public lighting Capex</v>
      </c>
      <c r="L953" s="7" t="str">
        <f>VLOOKUP($G953,Mapping!$E$140:$K$2771,5,0)</f>
        <v>Labour</v>
      </c>
      <c r="M953" s="7" t="str">
        <f>VLOOKUP($G953,Mapping!$E$140:$K$2771,7,0)</f>
        <v>ENDirect</v>
      </c>
      <c r="N953" s="7" t="str">
        <f>IFERROR(HLOOKUP(L953,'Calc|Weightings'!$K$5:$M$5,1,0),"Excl")</f>
        <v>Labour</v>
      </c>
      <c r="O953" s="7" t="str">
        <f>VLOOKUP(E953,Mapping!$E$11:$I$96,5,0)</f>
        <v>Public Lighting</v>
      </c>
      <c r="Q953" s="33">
        <v>143</v>
      </c>
      <c r="R953" s="33" t="s">
        <v>2153</v>
      </c>
      <c r="S953" s="33">
        <v>523300</v>
      </c>
      <c r="T953" s="33" t="s">
        <v>2075</v>
      </c>
      <c r="U953" s="34">
        <v>0.12623999999999999</v>
      </c>
      <c r="V953" s="7"/>
      <c r="W953" s="7" t="str">
        <f>VLOOKUP($Q953,Mapping!$E$11:$I$96,3,0)</f>
        <v>Replacement</v>
      </c>
      <c r="X953" s="7" t="str">
        <f>VLOOKUP($S953,Mapping!$E$140:$K$2771,5,0)</f>
        <v>Materials</v>
      </c>
      <c r="Y953" s="7" t="str">
        <f>VLOOKUP($S953,Mapping!$E$140:$K$2771,7,0)</f>
        <v>ENDirect</v>
      </c>
      <c r="Z953" s="7" t="str">
        <f>IFERROR(HLOOKUP(X953,'Calc|Weightings'!$K$5:$M$5,1,0),"Excl")</f>
        <v>Materials</v>
      </c>
      <c r="AA953" s="7" t="str">
        <f>VLOOKUP(Q953,Mapping!$E$11:$I$96,5,0)</f>
        <v>SCS</v>
      </c>
      <c r="AC953" s="111">
        <v>142</v>
      </c>
      <c r="AD953" s="111" t="s">
        <v>2152</v>
      </c>
      <c r="AE953" s="111">
        <v>634001</v>
      </c>
      <c r="AF953" s="111" t="s">
        <v>2110</v>
      </c>
      <c r="AG953" s="112">
        <v>14.663449999999999</v>
      </c>
      <c r="AI953" s="7" t="str">
        <f>VLOOKUP($AC953,Mapping!$E$11:$I$96,3,0)</f>
        <v>Replacement</v>
      </c>
      <c r="AJ953" s="7" t="str">
        <f>VLOOKUP($AE953,Mapping!$E$140:$K$2771,5,0)</f>
        <v>Local OH</v>
      </c>
      <c r="AK953" s="7" t="str">
        <f>VLOOKUP($AE953,Mapping!$E$140:$K$2771,7,0)</f>
        <v>OH</v>
      </c>
      <c r="AL953" s="7" t="str">
        <f>IFERROR(HLOOKUP(AJ953,'Calc|Weightings'!$K$5:$M$5,1,0),"Excl")</f>
        <v>Excl</v>
      </c>
      <c r="AM953" s="7" t="str">
        <f>VLOOKUP(AC953,Mapping!$E$11:$I$96,5,0)</f>
        <v>SCS</v>
      </c>
      <c r="AO953" s="134">
        <v>144</v>
      </c>
      <c r="AP953" s="135" t="s">
        <v>2154</v>
      </c>
      <c r="AQ953" s="135">
        <v>613310</v>
      </c>
      <c r="AR953" s="135" t="s">
        <v>2095</v>
      </c>
      <c r="AS953" s="136">
        <v>2.0750899999999999</v>
      </c>
      <c r="AU953" s="7" t="str">
        <f>VLOOKUP($AO953,Mapping!$E$11:$I$96,3,0)</f>
        <v>Replacement</v>
      </c>
      <c r="AV953" s="7" t="str">
        <f>VLOOKUP($AQ953,Mapping!$E$140:$K$2771,5,0)</f>
        <v>Labour</v>
      </c>
      <c r="AW953" s="7" t="str">
        <f>VLOOKUP($AQ953,Mapping!$E$140:$K$2771,7,0)</f>
        <v>ENDirect</v>
      </c>
      <c r="AX953" s="7" t="str">
        <f>IFERROR(HLOOKUP(AV953,'Calc|Weightings'!$K$5:$M$5,1,0),"Excl")</f>
        <v>Labour</v>
      </c>
      <c r="AY953" s="7" t="str">
        <f>VLOOKUP(AO953,Mapping!$E$11:$I$96,5,0)</f>
        <v>SCS</v>
      </c>
    </row>
    <row r="954" spans="1:51" x14ac:dyDescent="0.2">
      <c r="A954" s="7"/>
      <c r="B954" s="7"/>
      <c r="C954" s="7"/>
      <c r="D954" s="7"/>
      <c r="E954" s="36">
        <v>140</v>
      </c>
      <c r="F954" s="36" t="s">
        <v>2148</v>
      </c>
      <c r="G954" s="36">
        <v>613409</v>
      </c>
      <c r="H954" s="36" t="s">
        <v>1419</v>
      </c>
      <c r="I954" s="37">
        <v>14.37401</v>
      </c>
      <c r="J954" s="7"/>
      <c r="K954" s="7" t="str">
        <f>VLOOKUP($E954,Mapping!$E$11:$I$96,3,0)</f>
        <v>Public lighting Capex</v>
      </c>
      <c r="L954" s="7" t="str">
        <f>VLOOKUP($G954,Mapping!$E$140:$K$2771,5,0)</f>
        <v>Labour</v>
      </c>
      <c r="M954" s="7" t="str">
        <f>VLOOKUP($G954,Mapping!$E$140:$K$2771,7,0)</f>
        <v>ENDirect</v>
      </c>
      <c r="N954" s="7" t="str">
        <f>IFERROR(HLOOKUP(L954,'Calc|Weightings'!$K$5:$M$5,1,0),"Excl")</f>
        <v>Labour</v>
      </c>
      <c r="O954" s="7" t="str">
        <f>VLOOKUP(E954,Mapping!$E$11:$I$96,5,0)</f>
        <v>Public Lighting</v>
      </c>
      <c r="Q954" s="33">
        <v>143</v>
      </c>
      <c r="R954" s="33" t="s">
        <v>2153</v>
      </c>
      <c r="S954" s="33">
        <v>531000</v>
      </c>
      <c r="T954" s="33" t="s">
        <v>242</v>
      </c>
      <c r="U954" s="34">
        <v>1.61819</v>
      </c>
      <c r="V954" s="7"/>
      <c r="W954" s="7" t="str">
        <f>VLOOKUP($Q954,Mapping!$E$11:$I$96,3,0)</f>
        <v>Replacement</v>
      </c>
      <c r="X954" s="7" t="str">
        <f>VLOOKUP($S954,Mapping!$E$140:$K$2771,5,0)</f>
        <v>Contracts</v>
      </c>
      <c r="Y954" s="7" t="str">
        <f>VLOOKUP($S954,Mapping!$E$140:$K$2771,7,0)</f>
        <v>ENDirect</v>
      </c>
      <c r="Z954" s="7" t="str">
        <f>IFERROR(HLOOKUP(X954,'Calc|Weightings'!$K$5:$M$5,1,0),"Excl")</f>
        <v>Contracts</v>
      </c>
      <c r="AA954" s="7" t="str">
        <f>VLOOKUP(Q954,Mapping!$E$11:$I$96,5,0)</f>
        <v>SCS</v>
      </c>
      <c r="AC954" s="111">
        <v>142</v>
      </c>
      <c r="AD954" s="111" t="s">
        <v>2152</v>
      </c>
      <c r="AE954" s="111">
        <v>635000</v>
      </c>
      <c r="AF954" s="111" t="s">
        <v>2128</v>
      </c>
      <c r="AG954" s="112">
        <v>19.182359999999999</v>
      </c>
      <c r="AI954" s="7" t="str">
        <f>VLOOKUP($AC954,Mapping!$E$11:$I$96,3,0)</f>
        <v>Replacement</v>
      </c>
      <c r="AJ954" s="7" t="str">
        <f>VLOOKUP($AE954,Mapping!$E$140:$K$2771,5,0)</f>
        <v>PNS MG</v>
      </c>
      <c r="AK954" s="7" t="str">
        <f>VLOOKUP($AE954,Mapping!$E$140:$K$2771,7,0)</f>
        <v>ENDirect</v>
      </c>
      <c r="AL954" s="7" t="str">
        <f>IFERROR(HLOOKUP(AJ954,'Calc|Weightings'!$K$5:$M$5,1,0),"Excl")</f>
        <v>Excl</v>
      </c>
      <c r="AM954" s="7" t="str">
        <f>VLOOKUP(AC954,Mapping!$E$11:$I$96,5,0)</f>
        <v>SCS</v>
      </c>
      <c r="AO954" s="134">
        <v>144</v>
      </c>
      <c r="AP954" s="135" t="s">
        <v>2154</v>
      </c>
      <c r="AQ954" s="135">
        <v>613360</v>
      </c>
      <c r="AR954" s="135" t="s">
        <v>2097</v>
      </c>
      <c r="AS954" s="136">
        <v>0.38202000000000003</v>
      </c>
      <c r="AU954" s="7" t="str">
        <f>VLOOKUP($AO954,Mapping!$E$11:$I$96,3,0)</f>
        <v>Replacement</v>
      </c>
      <c r="AV954" s="7" t="str">
        <f>VLOOKUP($AQ954,Mapping!$E$140:$K$2771,5,0)</f>
        <v>Labour</v>
      </c>
      <c r="AW954" s="7" t="str">
        <f>VLOOKUP($AQ954,Mapping!$E$140:$K$2771,7,0)</f>
        <v>ENDirect</v>
      </c>
      <c r="AX954" s="7" t="str">
        <f>IFERROR(HLOOKUP(AV954,'Calc|Weightings'!$K$5:$M$5,1,0),"Excl")</f>
        <v>Labour</v>
      </c>
      <c r="AY954" s="7" t="str">
        <f>VLOOKUP(AO954,Mapping!$E$11:$I$96,5,0)</f>
        <v>SCS</v>
      </c>
    </row>
    <row r="955" spans="1:51" x14ac:dyDescent="0.2">
      <c r="A955" s="7"/>
      <c r="B955" s="7"/>
      <c r="C955" s="7"/>
      <c r="D955" s="7"/>
      <c r="E955" s="36">
        <v>140</v>
      </c>
      <c r="F955" s="36" t="s">
        <v>2148</v>
      </c>
      <c r="G955" s="36">
        <v>613418</v>
      </c>
      <c r="H955" s="36" t="s">
        <v>1424</v>
      </c>
      <c r="I955" s="37">
        <v>17.70496</v>
      </c>
      <c r="J955" s="7"/>
      <c r="K955" s="7" t="str">
        <f>VLOOKUP($E955,Mapping!$E$11:$I$96,3,0)</f>
        <v>Public lighting Capex</v>
      </c>
      <c r="L955" s="7" t="str">
        <f>VLOOKUP($G955,Mapping!$E$140:$K$2771,5,0)</f>
        <v>Labour</v>
      </c>
      <c r="M955" s="7" t="str">
        <f>VLOOKUP($G955,Mapping!$E$140:$K$2771,7,0)</f>
        <v>ENDirect</v>
      </c>
      <c r="N955" s="7" t="str">
        <f>IFERROR(HLOOKUP(L955,'Calc|Weightings'!$K$5:$M$5,1,0),"Excl")</f>
        <v>Labour</v>
      </c>
      <c r="O955" s="7" t="str">
        <f>VLOOKUP(E955,Mapping!$E$11:$I$96,5,0)</f>
        <v>Public Lighting</v>
      </c>
      <c r="Q955" s="33">
        <v>143</v>
      </c>
      <c r="R955" s="33" t="s">
        <v>2153</v>
      </c>
      <c r="S955" s="33">
        <v>531020</v>
      </c>
      <c r="T955" s="33" t="s">
        <v>219</v>
      </c>
      <c r="U955" s="34">
        <v>17.64</v>
      </c>
      <c r="V955" s="7"/>
      <c r="W955" s="7" t="str">
        <f>VLOOKUP($Q955,Mapping!$E$11:$I$96,3,0)</f>
        <v>Replacement</v>
      </c>
      <c r="X955" s="7" t="str">
        <f>VLOOKUP($S955,Mapping!$E$140:$K$2771,5,0)</f>
        <v>Labour</v>
      </c>
      <c r="Y955" s="7" t="str">
        <f>VLOOKUP($S955,Mapping!$E$140:$K$2771,7,0)</f>
        <v>ENDirect</v>
      </c>
      <c r="Z955" s="7" t="str">
        <f>IFERROR(HLOOKUP(X955,'Calc|Weightings'!$K$5:$M$5,1,0),"Excl")</f>
        <v>Labour</v>
      </c>
      <c r="AA955" s="7" t="str">
        <f>VLOOKUP(Q955,Mapping!$E$11:$I$96,5,0)</f>
        <v>SCS</v>
      </c>
      <c r="AC955" s="111">
        <v>142</v>
      </c>
      <c r="AD955" s="111" t="s">
        <v>2152</v>
      </c>
      <c r="AE955" s="111">
        <v>635001</v>
      </c>
      <c r="AF955" s="111" t="s">
        <v>1929</v>
      </c>
      <c r="AG955" s="112">
        <v>-34.104880000000001</v>
      </c>
      <c r="AI955" s="7" t="str">
        <f>VLOOKUP($AC955,Mapping!$E$11:$I$96,3,0)</f>
        <v>Replacement</v>
      </c>
      <c r="AJ955" s="7" t="str">
        <f>VLOOKUP($AE955,Mapping!$E$140:$K$2771,5,0)</f>
        <v>PNS MG</v>
      </c>
      <c r="AK955" s="7" t="str">
        <f>VLOOKUP($AE955,Mapping!$E$140:$K$2771,7,0)</f>
        <v>ENDirect</v>
      </c>
      <c r="AL955" s="7" t="str">
        <f>IFERROR(HLOOKUP(AJ955,'Calc|Weightings'!$K$5:$M$5,1,0),"Excl")</f>
        <v>Excl</v>
      </c>
      <c r="AM955" s="7" t="str">
        <f>VLOOKUP(AC955,Mapping!$E$11:$I$96,5,0)</f>
        <v>SCS</v>
      </c>
      <c r="AO955" s="134">
        <v>144</v>
      </c>
      <c r="AP955" s="135" t="s">
        <v>2154</v>
      </c>
      <c r="AQ955" s="135">
        <v>613434</v>
      </c>
      <c r="AR955" s="135" t="s">
        <v>2102</v>
      </c>
      <c r="AS955" s="136">
        <v>1.2502</v>
      </c>
      <c r="AU955" s="7" t="str">
        <f>VLOOKUP($AO955,Mapping!$E$11:$I$96,3,0)</f>
        <v>Replacement</v>
      </c>
      <c r="AV955" s="7" t="str">
        <f>VLOOKUP($AQ955,Mapping!$E$140:$K$2771,5,0)</f>
        <v>Labour</v>
      </c>
      <c r="AW955" s="7" t="str">
        <f>VLOOKUP($AQ955,Mapping!$E$140:$K$2771,7,0)</f>
        <v>ENDirect</v>
      </c>
      <c r="AX955" s="7" t="str">
        <f>IFERROR(HLOOKUP(AV955,'Calc|Weightings'!$K$5:$M$5,1,0),"Excl")</f>
        <v>Labour</v>
      </c>
      <c r="AY955" s="7" t="str">
        <f>VLOOKUP(AO955,Mapping!$E$11:$I$96,5,0)</f>
        <v>SCS</v>
      </c>
    </row>
    <row r="956" spans="1:51" x14ac:dyDescent="0.2">
      <c r="A956" s="7"/>
      <c r="B956" s="7"/>
      <c r="C956" s="7"/>
      <c r="D956" s="7"/>
      <c r="E956" s="36">
        <v>140</v>
      </c>
      <c r="F956" s="36" t="s">
        <v>2148</v>
      </c>
      <c r="G956" s="36">
        <v>613419</v>
      </c>
      <c r="H956" s="36" t="s">
        <v>1425</v>
      </c>
      <c r="I956" s="37">
        <v>2.6867700000000001</v>
      </c>
      <c r="J956" s="7"/>
      <c r="K956" s="7" t="str">
        <f>VLOOKUP($E956,Mapping!$E$11:$I$96,3,0)</f>
        <v>Public lighting Capex</v>
      </c>
      <c r="L956" s="7" t="str">
        <f>VLOOKUP($G956,Mapping!$E$140:$K$2771,5,0)</f>
        <v>Labour</v>
      </c>
      <c r="M956" s="7" t="str">
        <f>VLOOKUP($G956,Mapping!$E$140:$K$2771,7,0)</f>
        <v>ENDirect</v>
      </c>
      <c r="N956" s="7" t="str">
        <f>IFERROR(HLOOKUP(L956,'Calc|Weightings'!$K$5:$M$5,1,0),"Excl")</f>
        <v>Labour</v>
      </c>
      <c r="O956" s="7" t="str">
        <f>VLOOKUP(E956,Mapping!$E$11:$I$96,5,0)</f>
        <v>Public Lighting</v>
      </c>
      <c r="Q956" s="33">
        <v>143</v>
      </c>
      <c r="R956" s="33" t="s">
        <v>2153</v>
      </c>
      <c r="S956" s="33">
        <v>531035</v>
      </c>
      <c r="T956" s="33" t="s">
        <v>244</v>
      </c>
      <c r="U956" s="34">
        <v>2.7</v>
      </c>
      <c r="V956" s="7"/>
      <c r="W956" s="7" t="str">
        <f>VLOOKUP($Q956,Mapping!$E$11:$I$96,3,0)</f>
        <v>Replacement</v>
      </c>
      <c r="X956" s="7" t="str">
        <f>VLOOKUP($S956,Mapping!$E$140:$K$2771,5,0)</f>
        <v>Labour</v>
      </c>
      <c r="Y956" s="7" t="str">
        <f>VLOOKUP($S956,Mapping!$E$140:$K$2771,7,0)</f>
        <v>ENDirect</v>
      </c>
      <c r="Z956" s="7" t="str">
        <f>IFERROR(HLOOKUP(X956,'Calc|Weightings'!$K$5:$M$5,1,0),"Excl")</f>
        <v>Labour</v>
      </c>
      <c r="AA956" s="7" t="str">
        <f>VLOOKUP(Q956,Mapping!$E$11:$I$96,5,0)</f>
        <v>SCS</v>
      </c>
      <c r="AC956" s="111">
        <v>142</v>
      </c>
      <c r="AD956" s="111" t="s">
        <v>2152</v>
      </c>
      <c r="AE956" s="111">
        <v>636000</v>
      </c>
      <c r="AF956" s="111" t="s">
        <v>2111</v>
      </c>
      <c r="AG956" s="112">
        <v>1.09135</v>
      </c>
      <c r="AI956" s="7" t="str">
        <f>VLOOKUP($AC956,Mapping!$E$11:$I$96,3,0)</f>
        <v>Replacement</v>
      </c>
      <c r="AJ956" s="7" t="str">
        <f>VLOOKUP($AE956,Mapping!$E$140:$K$2771,5,0)</f>
        <v>System Control OH</v>
      </c>
      <c r="AK956" s="7" t="str">
        <f>VLOOKUP($AE956,Mapping!$E$140:$K$2771,7,0)</f>
        <v>OH</v>
      </c>
      <c r="AL956" s="7" t="str">
        <f>IFERROR(HLOOKUP(AJ956,'Calc|Weightings'!$K$5:$M$5,1,0),"Excl")</f>
        <v>Excl</v>
      </c>
      <c r="AM956" s="7" t="str">
        <f>VLOOKUP(AC956,Mapping!$E$11:$I$96,5,0)</f>
        <v>SCS</v>
      </c>
      <c r="AO956" s="134">
        <v>144</v>
      </c>
      <c r="AP956" s="135" t="s">
        <v>2154</v>
      </c>
      <c r="AQ956" s="135">
        <v>613440</v>
      </c>
      <c r="AR956" s="135" t="s">
        <v>2103</v>
      </c>
      <c r="AS956" s="136">
        <v>0.94005000000000005</v>
      </c>
      <c r="AU956" s="7" t="str">
        <f>VLOOKUP($AO956,Mapping!$E$11:$I$96,3,0)</f>
        <v>Replacement</v>
      </c>
      <c r="AV956" s="7" t="str">
        <f>VLOOKUP($AQ956,Mapping!$E$140:$K$2771,5,0)</f>
        <v>Labour</v>
      </c>
      <c r="AW956" s="7" t="str">
        <f>VLOOKUP($AQ956,Mapping!$E$140:$K$2771,7,0)</f>
        <v>ENDirect</v>
      </c>
      <c r="AX956" s="7" t="str">
        <f>IFERROR(HLOOKUP(AV956,'Calc|Weightings'!$K$5:$M$5,1,0),"Excl")</f>
        <v>Labour</v>
      </c>
      <c r="AY956" s="7" t="str">
        <f>VLOOKUP(AO956,Mapping!$E$11:$I$96,5,0)</f>
        <v>SCS</v>
      </c>
    </row>
    <row r="957" spans="1:51" x14ac:dyDescent="0.2">
      <c r="A957" s="7"/>
      <c r="B957" s="7"/>
      <c r="C957" s="7"/>
      <c r="D957" s="7"/>
      <c r="E957" s="36">
        <v>140</v>
      </c>
      <c r="F957" s="36" t="s">
        <v>2148</v>
      </c>
      <c r="G957" s="36">
        <v>613428</v>
      </c>
      <c r="H957" s="36" t="s">
        <v>1430</v>
      </c>
      <c r="I957" s="37">
        <v>2.2620100000000001</v>
      </c>
      <c r="J957" s="7"/>
      <c r="K957" s="7" t="str">
        <f>VLOOKUP($E957,Mapping!$E$11:$I$96,3,0)</f>
        <v>Public lighting Capex</v>
      </c>
      <c r="L957" s="7" t="str">
        <f>VLOOKUP($G957,Mapping!$E$140:$K$2771,5,0)</f>
        <v>Labour</v>
      </c>
      <c r="M957" s="7" t="str">
        <f>VLOOKUP($G957,Mapping!$E$140:$K$2771,7,0)</f>
        <v>ENDirect</v>
      </c>
      <c r="N957" s="7" t="str">
        <f>IFERROR(HLOOKUP(L957,'Calc|Weightings'!$K$5:$M$5,1,0),"Excl")</f>
        <v>Labour</v>
      </c>
      <c r="O957" s="7" t="str">
        <f>VLOOKUP(E957,Mapping!$E$11:$I$96,5,0)</f>
        <v>Public Lighting</v>
      </c>
      <c r="Q957" s="33">
        <v>143</v>
      </c>
      <c r="R957" s="33" t="s">
        <v>2153</v>
      </c>
      <c r="S957" s="33">
        <v>531200</v>
      </c>
      <c r="T957" s="33" t="s">
        <v>250</v>
      </c>
      <c r="U957" s="34">
        <v>66.131500000000003</v>
      </c>
      <c r="V957" s="7"/>
      <c r="W957" s="7" t="str">
        <f>VLOOKUP($Q957,Mapping!$E$11:$I$96,3,0)</f>
        <v>Replacement</v>
      </c>
      <c r="X957" s="7" t="str">
        <f>VLOOKUP($S957,Mapping!$E$140:$K$2771,5,0)</f>
        <v>Contracts</v>
      </c>
      <c r="Y957" s="7" t="str">
        <f>VLOOKUP($S957,Mapping!$E$140:$K$2771,7,0)</f>
        <v>ENDirect</v>
      </c>
      <c r="Z957" s="7" t="str">
        <f>IFERROR(HLOOKUP(X957,'Calc|Weightings'!$K$5:$M$5,1,0),"Excl")</f>
        <v>Contracts</v>
      </c>
      <c r="AA957" s="7" t="str">
        <f>VLOOKUP(Q957,Mapping!$E$11:$I$96,5,0)</f>
        <v>SCS</v>
      </c>
      <c r="AC957" s="111">
        <v>142</v>
      </c>
      <c r="AD957" s="111" t="s">
        <v>2152</v>
      </c>
      <c r="AE957" s="111">
        <v>636001</v>
      </c>
      <c r="AF957" s="111" t="s">
        <v>2111</v>
      </c>
      <c r="AG957" s="112">
        <v>-3.8761199999999998</v>
      </c>
      <c r="AI957" s="7" t="str">
        <f>VLOOKUP($AC957,Mapping!$E$11:$I$96,3,0)</f>
        <v>Replacement</v>
      </c>
      <c r="AJ957" s="7" t="str">
        <f>VLOOKUP($AE957,Mapping!$E$140:$K$2771,5,0)</f>
        <v>System Control OH</v>
      </c>
      <c r="AK957" s="7" t="str">
        <f>VLOOKUP($AE957,Mapping!$E$140:$K$2771,7,0)</f>
        <v>OH</v>
      </c>
      <c r="AL957" s="7" t="str">
        <f>IFERROR(HLOOKUP(AJ957,'Calc|Weightings'!$K$5:$M$5,1,0),"Excl")</f>
        <v>Excl</v>
      </c>
      <c r="AM957" s="7" t="str">
        <f>VLOOKUP(AC957,Mapping!$E$11:$I$96,5,0)</f>
        <v>SCS</v>
      </c>
      <c r="AO957" s="134">
        <v>144</v>
      </c>
      <c r="AP957" s="135" t="s">
        <v>2154</v>
      </c>
      <c r="AQ957" s="135">
        <v>613441</v>
      </c>
      <c r="AR957" s="135" t="s">
        <v>2104</v>
      </c>
      <c r="AS957" s="136">
        <v>8.0860000000000001E-2</v>
      </c>
      <c r="AU957" s="7" t="str">
        <f>VLOOKUP($AO957,Mapping!$E$11:$I$96,3,0)</f>
        <v>Replacement</v>
      </c>
      <c r="AV957" s="7" t="str">
        <f>VLOOKUP($AQ957,Mapping!$E$140:$K$2771,5,0)</f>
        <v>Labour</v>
      </c>
      <c r="AW957" s="7" t="str">
        <f>VLOOKUP($AQ957,Mapping!$E$140:$K$2771,7,0)</f>
        <v>ENDirect</v>
      </c>
      <c r="AX957" s="7" t="str">
        <f>IFERROR(HLOOKUP(AV957,'Calc|Weightings'!$K$5:$M$5,1,0),"Excl")</f>
        <v>Labour</v>
      </c>
      <c r="AY957" s="7" t="str">
        <f>VLOOKUP(AO957,Mapping!$E$11:$I$96,5,0)</f>
        <v>SCS</v>
      </c>
    </row>
    <row r="958" spans="1:51" x14ac:dyDescent="0.2">
      <c r="A958" s="7"/>
      <c r="B958" s="7"/>
      <c r="C958" s="7"/>
      <c r="D958" s="7"/>
      <c r="E958" s="36">
        <v>140</v>
      </c>
      <c r="F958" s="36" t="s">
        <v>2148</v>
      </c>
      <c r="G958" s="36">
        <v>613438</v>
      </c>
      <c r="H958" s="36" t="s">
        <v>1436</v>
      </c>
      <c r="I958" s="37">
        <v>5.7270200000000004</v>
      </c>
      <c r="J958" s="7"/>
      <c r="K958" s="7" t="str">
        <f>VLOOKUP($E958,Mapping!$E$11:$I$96,3,0)</f>
        <v>Public lighting Capex</v>
      </c>
      <c r="L958" s="7" t="str">
        <f>VLOOKUP($G958,Mapping!$E$140:$K$2771,5,0)</f>
        <v>Labour</v>
      </c>
      <c r="M958" s="7" t="str">
        <f>VLOOKUP($G958,Mapping!$E$140:$K$2771,7,0)</f>
        <v>ENDirect</v>
      </c>
      <c r="N958" s="7" t="str">
        <f>IFERROR(HLOOKUP(L958,'Calc|Weightings'!$K$5:$M$5,1,0),"Excl")</f>
        <v>Labour</v>
      </c>
      <c r="O958" s="7" t="str">
        <f>VLOOKUP(E958,Mapping!$E$11:$I$96,5,0)</f>
        <v>Public Lighting</v>
      </c>
      <c r="Q958" s="33">
        <v>143</v>
      </c>
      <c r="R958" s="33" t="s">
        <v>2153</v>
      </c>
      <c r="S958" s="33">
        <v>531464</v>
      </c>
      <c r="T958" s="33" t="s">
        <v>256</v>
      </c>
      <c r="U958" s="34">
        <v>126.23215999999999</v>
      </c>
      <c r="V958" s="7"/>
      <c r="W958" s="7" t="str">
        <f>VLOOKUP($Q958,Mapping!$E$11:$I$96,3,0)</f>
        <v>Replacement</v>
      </c>
      <c r="X958" s="7" t="str">
        <f>VLOOKUP($S958,Mapping!$E$140:$K$2771,5,0)</f>
        <v>Contracts</v>
      </c>
      <c r="Y958" s="7" t="str">
        <f>VLOOKUP($S958,Mapping!$E$140:$K$2771,7,0)</f>
        <v>ENDirect</v>
      </c>
      <c r="Z958" s="7" t="str">
        <f>IFERROR(HLOOKUP(X958,'Calc|Weightings'!$K$5:$M$5,1,0),"Excl")</f>
        <v>Contracts</v>
      </c>
      <c r="AA958" s="7" t="str">
        <f>VLOOKUP(Q958,Mapping!$E$11:$I$96,5,0)</f>
        <v>SCS</v>
      </c>
      <c r="AC958" s="111">
        <v>142</v>
      </c>
      <c r="AD958" s="111" t="s">
        <v>2152</v>
      </c>
      <c r="AE958" s="111">
        <v>639000</v>
      </c>
      <c r="AF958" s="111" t="s">
        <v>2112</v>
      </c>
      <c r="AG958" s="112">
        <v>-2.0669300000000002</v>
      </c>
      <c r="AI958" s="7" t="str">
        <f>VLOOKUP($AC958,Mapping!$E$11:$I$96,3,0)</f>
        <v>Replacement</v>
      </c>
      <c r="AJ958" s="7" t="str">
        <f>VLOOKUP($AE958,Mapping!$E$140:$K$2771,5,0)</f>
        <v>PNS Corporate OH</v>
      </c>
      <c r="AK958" s="7" t="str">
        <f>VLOOKUP($AE958,Mapping!$E$140:$K$2771,7,0)</f>
        <v>OH</v>
      </c>
      <c r="AL958" s="7" t="str">
        <f>IFERROR(HLOOKUP(AJ958,'Calc|Weightings'!$K$5:$M$5,1,0),"Excl")</f>
        <v>Excl</v>
      </c>
      <c r="AM958" s="7" t="str">
        <f>VLOOKUP(AC958,Mapping!$E$11:$I$96,5,0)</f>
        <v>SCS</v>
      </c>
      <c r="AO958" s="134">
        <v>144</v>
      </c>
      <c r="AP958" s="135" t="s">
        <v>2154</v>
      </c>
      <c r="AQ958" s="135">
        <v>613450</v>
      </c>
      <c r="AR958" s="135" t="s">
        <v>2175</v>
      </c>
      <c r="AS958" s="136">
        <v>0.50919999999999999</v>
      </c>
      <c r="AU958" s="7" t="str">
        <f>VLOOKUP($AO958,Mapping!$E$11:$I$96,3,0)</f>
        <v>Replacement</v>
      </c>
      <c r="AV958" s="7" t="str">
        <f>VLOOKUP($AQ958,Mapping!$E$140:$K$2771,5,0)</f>
        <v>Labour</v>
      </c>
      <c r="AW958" s="7" t="str">
        <f>VLOOKUP($AQ958,Mapping!$E$140:$K$2771,7,0)</f>
        <v>ENDirect</v>
      </c>
      <c r="AX958" s="7" t="str">
        <f>IFERROR(HLOOKUP(AV958,'Calc|Weightings'!$K$5:$M$5,1,0),"Excl")</f>
        <v>Labour</v>
      </c>
      <c r="AY958" s="7" t="str">
        <f>VLOOKUP(AO958,Mapping!$E$11:$I$96,5,0)</f>
        <v>SCS</v>
      </c>
    </row>
    <row r="959" spans="1:51" x14ac:dyDescent="0.2">
      <c r="A959" s="7"/>
      <c r="B959" s="7"/>
      <c r="C959" s="7"/>
      <c r="D959" s="7"/>
      <c r="E959" s="36">
        <v>140</v>
      </c>
      <c r="F959" s="36" t="s">
        <v>2148</v>
      </c>
      <c r="G959" s="36">
        <v>613439</v>
      </c>
      <c r="H959" s="36" t="s">
        <v>1437</v>
      </c>
      <c r="I959" s="37">
        <v>1.6133900000000001</v>
      </c>
      <c r="J959" s="7"/>
      <c r="K959" s="7" t="str">
        <f>VLOOKUP($E959,Mapping!$E$11:$I$96,3,0)</f>
        <v>Public lighting Capex</v>
      </c>
      <c r="L959" s="7" t="str">
        <f>VLOOKUP($G959,Mapping!$E$140:$K$2771,5,0)</f>
        <v>Labour</v>
      </c>
      <c r="M959" s="7" t="str">
        <f>VLOOKUP($G959,Mapping!$E$140:$K$2771,7,0)</f>
        <v>ENDirect</v>
      </c>
      <c r="N959" s="7" t="str">
        <f>IFERROR(HLOOKUP(L959,'Calc|Weightings'!$K$5:$M$5,1,0),"Excl")</f>
        <v>Labour</v>
      </c>
      <c r="O959" s="7" t="str">
        <f>VLOOKUP(E959,Mapping!$E$11:$I$96,5,0)</f>
        <v>Public Lighting</v>
      </c>
      <c r="Q959" s="33">
        <v>143</v>
      </c>
      <c r="R959" s="33" t="s">
        <v>2153</v>
      </c>
      <c r="S959" s="33">
        <v>531466</v>
      </c>
      <c r="T959" s="33" t="s">
        <v>258</v>
      </c>
      <c r="U959" s="34">
        <v>219.38061999999999</v>
      </c>
      <c r="V959" s="7"/>
      <c r="W959" s="7" t="str">
        <f>VLOOKUP($Q959,Mapping!$E$11:$I$96,3,0)</f>
        <v>Replacement</v>
      </c>
      <c r="X959" s="7" t="str">
        <f>VLOOKUP($S959,Mapping!$E$140:$K$2771,5,0)</f>
        <v>Contracts</v>
      </c>
      <c r="Y959" s="7" t="str">
        <f>VLOOKUP($S959,Mapping!$E$140:$K$2771,7,0)</f>
        <v>ENDirect</v>
      </c>
      <c r="Z959" s="7" t="str">
        <f>IFERROR(HLOOKUP(X959,'Calc|Weightings'!$K$5:$M$5,1,0),"Excl")</f>
        <v>Contracts</v>
      </c>
      <c r="AA959" s="7" t="str">
        <f>VLOOKUP(Q959,Mapping!$E$11:$I$96,5,0)</f>
        <v>SCS</v>
      </c>
      <c r="AC959" s="111">
        <v>142</v>
      </c>
      <c r="AD959" s="111" t="s">
        <v>2152</v>
      </c>
      <c r="AE959" s="111">
        <v>639050</v>
      </c>
      <c r="AF959" s="111" t="s">
        <v>2113</v>
      </c>
      <c r="AG959" s="112">
        <v>0.54657</v>
      </c>
      <c r="AI959" s="7" t="str">
        <f>VLOOKUP($AC959,Mapping!$E$11:$I$96,3,0)</f>
        <v>Replacement</v>
      </c>
      <c r="AJ959" s="7" t="str">
        <f>VLOOKUP($AE959,Mapping!$E$140:$K$2771,5,0)</f>
        <v>PNS Fleet &amp; Property OH</v>
      </c>
      <c r="AK959" s="7" t="str">
        <f>VLOOKUP($AE959,Mapping!$E$140:$K$2771,7,0)</f>
        <v>OH</v>
      </c>
      <c r="AL959" s="7" t="str">
        <f>IFERROR(HLOOKUP(AJ959,'Calc|Weightings'!$K$5:$M$5,1,0),"Excl")</f>
        <v>Excl</v>
      </c>
      <c r="AM959" s="7" t="str">
        <f>VLOOKUP(AC959,Mapping!$E$11:$I$96,5,0)</f>
        <v>SCS</v>
      </c>
      <c r="AO959" s="134">
        <v>144</v>
      </c>
      <c r="AP959" s="135" t="s">
        <v>2154</v>
      </c>
      <c r="AQ959" s="135">
        <v>613460</v>
      </c>
      <c r="AR959" s="135" t="s">
        <v>2167</v>
      </c>
      <c r="AS959" s="136">
        <v>1.11456</v>
      </c>
      <c r="AU959" s="7" t="str">
        <f>VLOOKUP($AO959,Mapping!$E$11:$I$96,3,0)</f>
        <v>Replacement</v>
      </c>
      <c r="AV959" s="7" t="str">
        <f>VLOOKUP($AQ959,Mapping!$E$140:$K$2771,5,0)</f>
        <v>Labour</v>
      </c>
      <c r="AW959" s="7" t="str">
        <f>VLOOKUP($AQ959,Mapping!$E$140:$K$2771,7,0)</f>
        <v>ENDirect</v>
      </c>
      <c r="AX959" s="7" t="str">
        <f>IFERROR(HLOOKUP(AV959,'Calc|Weightings'!$K$5:$M$5,1,0),"Excl")</f>
        <v>Labour</v>
      </c>
      <c r="AY959" s="7" t="str">
        <f>VLOOKUP(AO959,Mapping!$E$11:$I$96,5,0)</f>
        <v>SCS</v>
      </c>
    </row>
    <row r="960" spans="1:51" x14ac:dyDescent="0.2">
      <c r="A960" s="7"/>
      <c r="B960" s="7"/>
      <c r="C960" s="7"/>
      <c r="D960" s="7"/>
      <c r="E960" s="36">
        <v>140</v>
      </c>
      <c r="F960" s="36" t="s">
        <v>2148</v>
      </c>
      <c r="G960" s="36">
        <v>613630</v>
      </c>
      <c r="H960" s="36" t="s">
        <v>1498</v>
      </c>
      <c r="I960" s="37">
        <v>0.65464999999999995</v>
      </c>
      <c r="J960" s="7"/>
      <c r="K960" s="7" t="str">
        <f>VLOOKUP($E960,Mapping!$E$11:$I$96,3,0)</f>
        <v>Public lighting Capex</v>
      </c>
      <c r="L960" s="7" t="str">
        <f>VLOOKUP($G960,Mapping!$E$140:$K$2771,5,0)</f>
        <v>Labour</v>
      </c>
      <c r="M960" s="7" t="str">
        <f>VLOOKUP($G960,Mapping!$E$140:$K$2771,7,0)</f>
        <v>ENDirect</v>
      </c>
      <c r="N960" s="7" t="str">
        <f>IFERROR(HLOOKUP(L960,'Calc|Weightings'!$K$5:$M$5,1,0),"Excl")</f>
        <v>Labour</v>
      </c>
      <c r="O960" s="7" t="str">
        <f>VLOOKUP(E960,Mapping!$E$11:$I$96,5,0)</f>
        <v>Public Lighting</v>
      </c>
      <c r="Q960" s="33">
        <v>143</v>
      </c>
      <c r="R960" s="33" t="s">
        <v>2153</v>
      </c>
      <c r="S960" s="33">
        <v>531467</v>
      </c>
      <c r="T960" s="33" t="s">
        <v>259</v>
      </c>
      <c r="U960" s="34">
        <v>61.775730000000003</v>
      </c>
      <c r="V960" s="7"/>
      <c r="W960" s="7" t="str">
        <f>VLOOKUP($Q960,Mapping!$E$11:$I$96,3,0)</f>
        <v>Replacement</v>
      </c>
      <c r="X960" s="7" t="str">
        <f>VLOOKUP($S960,Mapping!$E$140:$K$2771,5,0)</f>
        <v>Contracts</v>
      </c>
      <c r="Y960" s="7" t="str">
        <f>VLOOKUP($S960,Mapping!$E$140:$K$2771,7,0)</f>
        <v>ENDirect</v>
      </c>
      <c r="Z960" s="7" t="str">
        <f>IFERROR(HLOOKUP(X960,'Calc|Weightings'!$K$5:$M$5,1,0),"Excl")</f>
        <v>Contracts</v>
      </c>
      <c r="AA960" s="7" t="str">
        <f>VLOOKUP(Q960,Mapping!$E$11:$I$96,5,0)</f>
        <v>SCS</v>
      </c>
      <c r="AC960" s="111">
        <v>143</v>
      </c>
      <c r="AD960" s="111" t="s">
        <v>2153</v>
      </c>
      <c r="AE960" s="111">
        <v>520100</v>
      </c>
      <c r="AF960" s="111" t="s">
        <v>2072</v>
      </c>
      <c r="AG960" s="112">
        <v>167.09961000000001</v>
      </c>
      <c r="AI960" s="7" t="str">
        <f>VLOOKUP($AC960,Mapping!$E$11:$I$96,3,0)</f>
        <v>Replacement</v>
      </c>
      <c r="AJ960" s="7" t="str">
        <f>VLOOKUP($AE960,Mapping!$E$140:$K$2771,5,0)</f>
        <v>Materials</v>
      </c>
      <c r="AK960" s="7" t="str">
        <f>VLOOKUP($AE960,Mapping!$E$140:$K$2771,7,0)</f>
        <v>ENDirect</v>
      </c>
      <c r="AL960" s="7" t="str">
        <f>IFERROR(HLOOKUP(AJ960,'Calc|Weightings'!$K$5:$M$5,1,0),"Excl")</f>
        <v>Materials</v>
      </c>
      <c r="AM960" s="7" t="str">
        <f>VLOOKUP(AC960,Mapping!$E$11:$I$96,5,0)</f>
        <v>SCS</v>
      </c>
      <c r="AO960" s="134">
        <v>144</v>
      </c>
      <c r="AP960" s="135" t="s">
        <v>2154</v>
      </c>
      <c r="AQ960" s="135">
        <v>613566</v>
      </c>
      <c r="AR960" s="135" t="s">
        <v>1482</v>
      </c>
      <c r="AS960" s="136">
        <v>4.7879800000000001</v>
      </c>
      <c r="AU960" s="7" t="str">
        <f>VLOOKUP($AO960,Mapping!$E$11:$I$96,3,0)</f>
        <v>Replacement</v>
      </c>
      <c r="AV960" s="7" t="str">
        <f>VLOOKUP($AQ960,Mapping!$E$140:$K$2771,5,0)</f>
        <v>Labour</v>
      </c>
      <c r="AW960" s="7" t="str">
        <f>VLOOKUP($AQ960,Mapping!$E$140:$K$2771,7,0)</f>
        <v>ENDirect</v>
      </c>
      <c r="AX960" s="7" t="str">
        <f>IFERROR(HLOOKUP(AV960,'Calc|Weightings'!$K$5:$M$5,1,0),"Excl")</f>
        <v>Labour</v>
      </c>
      <c r="AY960" s="7" t="str">
        <f>VLOOKUP(AO960,Mapping!$E$11:$I$96,5,0)</f>
        <v>SCS</v>
      </c>
    </row>
    <row r="961" spans="1:51" x14ac:dyDescent="0.2">
      <c r="A961" s="7"/>
      <c r="B961" s="7"/>
      <c r="C961" s="7"/>
      <c r="D961" s="7"/>
      <c r="E961" s="36">
        <v>140</v>
      </c>
      <c r="F961" s="36" t="s">
        <v>2148</v>
      </c>
      <c r="G961" s="36">
        <v>613680</v>
      </c>
      <c r="H961" s="36" t="s">
        <v>2107</v>
      </c>
      <c r="I961" s="37">
        <v>4.2241</v>
      </c>
      <c r="J961" s="7"/>
      <c r="K961" s="7" t="str">
        <f>VLOOKUP($E961,Mapping!$E$11:$I$96,3,0)</f>
        <v>Public lighting Capex</v>
      </c>
      <c r="L961" s="7" t="str">
        <f>VLOOKUP($G961,Mapping!$E$140:$K$2771,5,0)</f>
        <v>Labour</v>
      </c>
      <c r="M961" s="7" t="str">
        <f>VLOOKUP($G961,Mapping!$E$140:$K$2771,7,0)</f>
        <v>ENDirect</v>
      </c>
      <c r="N961" s="7" t="str">
        <f>IFERROR(HLOOKUP(L961,'Calc|Weightings'!$K$5:$M$5,1,0),"Excl")</f>
        <v>Labour</v>
      </c>
      <c r="O961" s="7" t="str">
        <f>VLOOKUP(E961,Mapping!$E$11:$I$96,5,0)</f>
        <v>Public Lighting</v>
      </c>
      <c r="Q961" s="33">
        <v>143</v>
      </c>
      <c r="R961" s="33" t="s">
        <v>2153</v>
      </c>
      <c r="S961" s="33">
        <v>531468</v>
      </c>
      <c r="T961" s="33" t="s">
        <v>260</v>
      </c>
      <c r="U961" s="34">
        <v>6.79</v>
      </c>
      <c r="V961" s="7"/>
      <c r="W961" s="7" t="str">
        <f>VLOOKUP($Q961,Mapping!$E$11:$I$96,3,0)</f>
        <v>Replacement</v>
      </c>
      <c r="X961" s="7" t="str">
        <f>VLOOKUP($S961,Mapping!$E$140:$K$2771,5,0)</f>
        <v>Contracts</v>
      </c>
      <c r="Y961" s="7" t="str">
        <f>VLOOKUP($S961,Mapping!$E$140:$K$2771,7,0)</f>
        <v>ENDirect</v>
      </c>
      <c r="Z961" s="7" t="str">
        <f>IFERROR(HLOOKUP(X961,'Calc|Weightings'!$K$5:$M$5,1,0),"Excl")</f>
        <v>Contracts</v>
      </c>
      <c r="AA961" s="7" t="str">
        <f>VLOOKUP(Q961,Mapping!$E$11:$I$96,5,0)</f>
        <v>SCS</v>
      </c>
      <c r="AC961" s="111">
        <v>143</v>
      </c>
      <c r="AD961" s="111" t="s">
        <v>2153</v>
      </c>
      <c r="AE961" s="111">
        <v>523100</v>
      </c>
      <c r="AF961" s="111" t="s">
        <v>2074</v>
      </c>
      <c r="AG961" s="112">
        <v>1.11216</v>
      </c>
      <c r="AI961" s="7" t="str">
        <f>VLOOKUP($AC961,Mapping!$E$11:$I$96,3,0)</f>
        <v>Replacement</v>
      </c>
      <c r="AJ961" s="7" t="str">
        <f>VLOOKUP($AE961,Mapping!$E$140:$K$2771,5,0)</f>
        <v>Materials</v>
      </c>
      <c r="AK961" s="7" t="str">
        <f>VLOOKUP($AE961,Mapping!$E$140:$K$2771,7,0)</f>
        <v>ENDirect</v>
      </c>
      <c r="AL961" s="7" t="str">
        <f>IFERROR(HLOOKUP(AJ961,'Calc|Weightings'!$K$5:$M$5,1,0),"Excl")</f>
        <v>Materials</v>
      </c>
      <c r="AM961" s="7" t="str">
        <f>VLOOKUP(AC961,Mapping!$E$11:$I$96,5,0)</f>
        <v>SCS</v>
      </c>
      <c r="AO961" s="134">
        <v>144</v>
      </c>
      <c r="AP961" s="135" t="s">
        <v>2154</v>
      </c>
      <c r="AQ961" s="135">
        <v>613567</v>
      </c>
      <c r="AR961" s="135" t="s">
        <v>1483</v>
      </c>
      <c r="AS961" s="136">
        <v>0.12509999999999999</v>
      </c>
      <c r="AU961" s="7" t="str">
        <f>VLOOKUP($AO961,Mapping!$E$11:$I$96,3,0)</f>
        <v>Replacement</v>
      </c>
      <c r="AV961" s="7" t="str">
        <f>VLOOKUP($AQ961,Mapping!$E$140:$K$2771,5,0)</f>
        <v>Labour</v>
      </c>
      <c r="AW961" s="7" t="str">
        <f>VLOOKUP($AQ961,Mapping!$E$140:$K$2771,7,0)</f>
        <v>ENDirect</v>
      </c>
      <c r="AX961" s="7" t="str">
        <f>IFERROR(HLOOKUP(AV961,'Calc|Weightings'!$K$5:$M$5,1,0),"Excl")</f>
        <v>Labour</v>
      </c>
      <c r="AY961" s="7" t="str">
        <f>VLOOKUP(AO961,Mapping!$E$11:$I$96,5,0)</f>
        <v>SCS</v>
      </c>
    </row>
    <row r="962" spans="1:51" x14ac:dyDescent="0.2">
      <c r="A962" s="7"/>
      <c r="B962" s="7"/>
      <c r="C962" s="7"/>
      <c r="D962" s="7"/>
      <c r="E962" s="36">
        <v>140</v>
      </c>
      <c r="F962" s="36" t="s">
        <v>2148</v>
      </c>
      <c r="G962" s="36">
        <v>613681</v>
      </c>
      <c r="H962" s="36" t="s">
        <v>2108</v>
      </c>
      <c r="I962" s="37">
        <v>0.16819000000000001</v>
      </c>
      <c r="J962" s="7"/>
      <c r="K962" s="7" t="str">
        <f>VLOOKUP($E962,Mapping!$E$11:$I$96,3,0)</f>
        <v>Public lighting Capex</v>
      </c>
      <c r="L962" s="7" t="str">
        <f>VLOOKUP($G962,Mapping!$E$140:$K$2771,5,0)</f>
        <v>Labour</v>
      </c>
      <c r="M962" s="7" t="str">
        <f>VLOOKUP($G962,Mapping!$E$140:$K$2771,7,0)</f>
        <v>ENDirect</v>
      </c>
      <c r="N962" s="7" t="str">
        <f>IFERROR(HLOOKUP(L962,'Calc|Weightings'!$K$5:$M$5,1,0),"Excl")</f>
        <v>Labour</v>
      </c>
      <c r="O962" s="7" t="str">
        <f>VLOOKUP(E962,Mapping!$E$11:$I$96,5,0)</f>
        <v>Public Lighting</v>
      </c>
      <c r="Q962" s="33">
        <v>143</v>
      </c>
      <c r="R962" s="33" t="s">
        <v>2153</v>
      </c>
      <c r="S962" s="33">
        <v>531469</v>
      </c>
      <c r="T962" s="33" t="s">
        <v>261</v>
      </c>
      <c r="U962" s="34">
        <v>7.5423799999999996</v>
      </c>
      <c r="V962" s="7"/>
      <c r="W962" s="7" t="str">
        <f>VLOOKUP($Q962,Mapping!$E$11:$I$96,3,0)</f>
        <v>Replacement</v>
      </c>
      <c r="X962" s="7" t="str">
        <f>VLOOKUP($S962,Mapping!$E$140:$K$2771,5,0)</f>
        <v>Labour</v>
      </c>
      <c r="Y962" s="7" t="str">
        <f>VLOOKUP($S962,Mapping!$E$140:$K$2771,7,0)</f>
        <v>ENDirect</v>
      </c>
      <c r="Z962" s="7" t="str">
        <f>IFERROR(HLOOKUP(X962,'Calc|Weightings'!$K$5:$M$5,1,0),"Excl")</f>
        <v>Labour</v>
      </c>
      <c r="AA962" s="7" t="str">
        <f>VLOOKUP(Q962,Mapping!$E$11:$I$96,5,0)</f>
        <v>SCS</v>
      </c>
      <c r="AC962" s="111">
        <v>143</v>
      </c>
      <c r="AD962" s="111" t="s">
        <v>2153</v>
      </c>
      <c r="AE962" s="111">
        <v>531020</v>
      </c>
      <c r="AF962" s="111" t="s">
        <v>219</v>
      </c>
      <c r="AG962" s="112">
        <v>-1</v>
      </c>
      <c r="AI962" s="7" t="str">
        <f>VLOOKUP($AC962,Mapping!$E$11:$I$96,3,0)</f>
        <v>Replacement</v>
      </c>
      <c r="AJ962" s="7" t="str">
        <f>VLOOKUP($AE962,Mapping!$E$140:$K$2771,5,0)</f>
        <v>Labour</v>
      </c>
      <c r="AK962" s="7" t="str">
        <f>VLOOKUP($AE962,Mapping!$E$140:$K$2771,7,0)</f>
        <v>ENDirect</v>
      </c>
      <c r="AL962" s="7" t="str">
        <f>IFERROR(HLOOKUP(AJ962,'Calc|Weightings'!$K$5:$M$5,1,0),"Excl")</f>
        <v>Labour</v>
      </c>
      <c r="AM962" s="7" t="str">
        <f>VLOOKUP(AC962,Mapping!$E$11:$I$96,5,0)</f>
        <v>SCS</v>
      </c>
      <c r="AO962" s="134">
        <v>144</v>
      </c>
      <c r="AP962" s="135" t="s">
        <v>2154</v>
      </c>
      <c r="AQ962" s="135">
        <v>613574</v>
      </c>
      <c r="AR962" s="135" t="s">
        <v>1488</v>
      </c>
      <c r="AS962" s="136">
        <v>0.61484000000000005</v>
      </c>
      <c r="AU962" s="7" t="str">
        <f>VLOOKUP($AO962,Mapping!$E$11:$I$96,3,0)</f>
        <v>Replacement</v>
      </c>
      <c r="AV962" s="7" t="str">
        <f>VLOOKUP($AQ962,Mapping!$E$140:$K$2771,5,0)</f>
        <v>Labour</v>
      </c>
      <c r="AW962" s="7" t="str">
        <f>VLOOKUP($AQ962,Mapping!$E$140:$K$2771,7,0)</f>
        <v>ENDirect</v>
      </c>
      <c r="AX962" s="7" t="str">
        <f>IFERROR(HLOOKUP(AV962,'Calc|Weightings'!$K$5:$M$5,1,0),"Excl")</f>
        <v>Labour</v>
      </c>
      <c r="AY962" s="7" t="str">
        <f>VLOOKUP(AO962,Mapping!$E$11:$I$96,5,0)</f>
        <v>SCS</v>
      </c>
    </row>
    <row r="963" spans="1:51" x14ac:dyDescent="0.2">
      <c r="A963" s="7"/>
      <c r="B963" s="7"/>
      <c r="C963" s="7"/>
      <c r="D963" s="7"/>
      <c r="E963" s="36">
        <v>140</v>
      </c>
      <c r="F963" s="36" t="s">
        <v>2148</v>
      </c>
      <c r="G963" s="36">
        <v>613800</v>
      </c>
      <c r="H963" s="36" t="s">
        <v>2142</v>
      </c>
      <c r="I963" s="37">
        <v>-25.566859999999998</v>
      </c>
      <c r="J963" s="7"/>
      <c r="K963" s="7" t="str">
        <f>VLOOKUP($E963,Mapping!$E$11:$I$96,3,0)</f>
        <v>Public lighting Capex</v>
      </c>
      <c r="L963" s="7" t="str">
        <f>VLOOKUP($G963,Mapping!$E$140:$K$2771,5,0)</f>
        <v>Materials</v>
      </c>
      <c r="M963" s="7" t="str">
        <f>VLOOKUP($G963,Mapping!$E$140:$K$2771,7,0)</f>
        <v>ENDirect</v>
      </c>
      <c r="N963" s="7" t="str">
        <f>IFERROR(HLOOKUP(L963,'Calc|Weightings'!$K$5:$M$5,1,0),"Excl")</f>
        <v>Materials</v>
      </c>
      <c r="O963" s="7" t="str">
        <f>VLOOKUP(E963,Mapping!$E$11:$I$96,5,0)</f>
        <v>Public Lighting</v>
      </c>
      <c r="Q963" s="33">
        <v>143</v>
      </c>
      <c r="R963" s="33" t="s">
        <v>2153</v>
      </c>
      <c r="S963" s="33">
        <v>591997</v>
      </c>
      <c r="T963" s="33" t="s">
        <v>399</v>
      </c>
      <c r="U963" s="34">
        <v>-2.4812099999999999</v>
      </c>
      <c r="V963" s="7"/>
      <c r="W963" s="7" t="str">
        <f>VLOOKUP($Q963,Mapping!$E$11:$I$96,3,0)</f>
        <v>Replacement</v>
      </c>
      <c r="X963" s="7" t="str">
        <f>VLOOKUP($S963,Mapping!$E$140:$K$2771,5,0)</f>
        <v>Contracts</v>
      </c>
      <c r="Y963" s="7" t="str">
        <f>VLOOKUP($S963,Mapping!$E$140:$K$2771,7,0)</f>
        <v>ENDirect</v>
      </c>
      <c r="Z963" s="7" t="str">
        <f>IFERROR(HLOOKUP(X963,'Calc|Weightings'!$K$5:$M$5,1,0),"Excl")</f>
        <v>Contracts</v>
      </c>
      <c r="AA963" s="7" t="str">
        <f>VLOOKUP(Q963,Mapping!$E$11:$I$96,5,0)</f>
        <v>SCS</v>
      </c>
      <c r="AC963" s="111">
        <v>143</v>
      </c>
      <c r="AD963" s="111" t="s">
        <v>2153</v>
      </c>
      <c r="AE963" s="111">
        <v>531200</v>
      </c>
      <c r="AF963" s="111" t="s">
        <v>250</v>
      </c>
      <c r="AG963" s="112">
        <v>10.419</v>
      </c>
      <c r="AI963" s="7" t="str">
        <f>VLOOKUP($AC963,Mapping!$E$11:$I$96,3,0)</f>
        <v>Replacement</v>
      </c>
      <c r="AJ963" s="7" t="str">
        <f>VLOOKUP($AE963,Mapping!$E$140:$K$2771,5,0)</f>
        <v>Contracts</v>
      </c>
      <c r="AK963" s="7" t="str">
        <f>VLOOKUP($AE963,Mapping!$E$140:$K$2771,7,0)</f>
        <v>ENDirect</v>
      </c>
      <c r="AL963" s="7" t="str">
        <f>IFERROR(HLOOKUP(AJ963,'Calc|Weightings'!$K$5:$M$5,1,0),"Excl")</f>
        <v>Contracts</v>
      </c>
      <c r="AM963" s="7" t="str">
        <f>VLOOKUP(AC963,Mapping!$E$11:$I$96,5,0)</f>
        <v>SCS</v>
      </c>
      <c r="AO963" s="134">
        <v>144</v>
      </c>
      <c r="AP963" s="135" t="s">
        <v>2154</v>
      </c>
      <c r="AQ963" s="135">
        <v>613576</v>
      </c>
      <c r="AR963" s="135" t="s">
        <v>1490</v>
      </c>
      <c r="AS963" s="136">
        <v>20.61936</v>
      </c>
      <c r="AU963" s="7" t="str">
        <f>VLOOKUP($AO963,Mapping!$E$11:$I$96,3,0)</f>
        <v>Replacement</v>
      </c>
      <c r="AV963" s="7" t="str">
        <f>VLOOKUP($AQ963,Mapping!$E$140:$K$2771,5,0)</f>
        <v>Labour</v>
      </c>
      <c r="AW963" s="7" t="str">
        <f>VLOOKUP($AQ963,Mapping!$E$140:$K$2771,7,0)</f>
        <v>ENDirect</v>
      </c>
      <c r="AX963" s="7" t="str">
        <f>IFERROR(HLOOKUP(AV963,'Calc|Weightings'!$K$5:$M$5,1,0),"Excl")</f>
        <v>Labour</v>
      </c>
      <c r="AY963" s="7" t="str">
        <f>VLOOKUP(AO963,Mapping!$E$11:$I$96,5,0)</f>
        <v>SCS</v>
      </c>
    </row>
    <row r="964" spans="1:51" x14ac:dyDescent="0.2">
      <c r="A964" s="7"/>
      <c r="B964" s="7"/>
      <c r="C964" s="7"/>
      <c r="D964" s="7"/>
      <c r="E964" s="36">
        <v>140</v>
      </c>
      <c r="F964" s="36" t="s">
        <v>2148</v>
      </c>
      <c r="G964" s="36">
        <v>633000</v>
      </c>
      <c r="H964" s="36" t="s">
        <v>2202</v>
      </c>
      <c r="I964" s="37">
        <v>201.53516999999999</v>
      </c>
      <c r="J964" s="7"/>
      <c r="K964" s="7" t="str">
        <f>VLOOKUP($E964,Mapping!$E$11:$I$96,3,0)</f>
        <v>Public lighting Capex</v>
      </c>
      <c r="L964" s="7" t="str">
        <f>VLOOKUP($G964,Mapping!$E$140:$K$2771,5,0)</f>
        <v>Contracts</v>
      </c>
      <c r="M964" s="7" t="str">
        <f>VLOOKUP($G964,Mapping!$E$140:$K$2771,7,0)</f>
        <v>OH</v>
      </c>
      <c r="N964" s="7" t="str">
        <f>IFERROR(HLOOKUP(L964,'Calc|Weightings'!$K$5:$M$5,1,0),"Excl")</f>
        <v>Contracts</v>
      </c>
      <c r="O964" s="7" t="str">
        <f>VLOOKUP(E964,Mapping!$E$11:$I$96,5,0)</f>
        <v>Public Lighting</v>
      </c>
      <c r="Q964" s="33">
        <v>143</v>
      </c>
      <c r="R964" s="33" t="s">
        <v>2153</v>
      </c>
      <c r="S964" s="33">
        <v>591999</v>
      </c>
      <c r="T964" s="33" t="s">
        <v>2078</v>
      </c>
      <c r="U964" s="34">
        <v>-13.757630000000001</v>
      </c>
      <c r="V964" s="7"/>
      <c r="W964" s="7" t="str">
        <f>VLOOKUP($Q964,Mapping!$E$11:$I$96,3,0)</f>
        <v>Replacement</v>
      </c>
      <c r="X964" s="7" t="str">
        <f>VLOOKUP($S964,Mapping!$E$140:$K$2771,5,0)</f>
        <v>Contracts</v>
      </c>
      <c r="Y964" s="7" t="str">
        <f>VLOOKUP($S964,Mapping!$E$140:$K$2771,7,0)</f>
        <v>ENDirect</v>
      </c>
      <c r="Z964" s="7" t="str">
        <f>IFERROR(HLOOKUP(X964,'Calc|Weightings'!$K$5:$M$5,1,0),"Excl")</f>
        <v>Contracts</v>
      </c>
      <c r="AA964" s="7" t="str">
        <f>VLOOKUP(Q964,Mapping!$E$11:$I$96,5,0)</f>
        <v>SCS</v>
      </c>
      <c r="AC964" s="111">
        <v>143</v>
      </c>
      <c r="AD964" s="111" t="s">
        <v>2153</v>
      </c>
      <c r="AE964" s="111">
        <v>531464</v>
      </c>
      <c r="AF964" s="111" t="s">
        <v>256</v>
      </c>
      <c r="AG964" s="112">
        <v>27.847650000000002</v>
      </c>
      <c r="AI964" s="7" t="str">
        <f>VLOOKUP($AC964,Mapping!$E$11:$I$96,3,0)</f>
        <v>Replacement</v>
      </c>
      <c r="AJ964" s="7" t="str">
        <f>VLOOKUP($AE964,Mapping!$E$140:$K$2771,5,0)</f>
        <v>Contracts</v>
      </c>
      <c r="AK964" s="7" t="str">
        <f>VLOOKUP($AE964,Mapping!$E$140:$K$2771,7,0)</f>
        <v>ENDirect</v>
      </c>
      <c r="AL964" s="7" t="str">
        <f>IFERROR(HLOOKUP(AJ964,'Calc|Weightings'!$K$5:$M$5,1,0),"Excl")</f>
        <v>Contracts</v>
      </c>
      <c r="AM964" s="7" t="str">
        <f>VLOOKUP(AC964,Mapping!$E$11:$I$96,5,0)</f>
        <v>SCS</v>
      </c>
      <c r="AO964" s="134">
        <v>144</v>
      </c>
      <c r="AP964" s="135" t="s">
        <v>2154</v>
      </c>
      <c r="AQ964" s="135">
        <v>613577</v>
      </c>
      <c r="AR964" s="135" t="s">
        <v>1491</v>
      </c>
      <c r="AS964" s="136">
        <v>1.58403</v>
      </c>
      <c r="AU964" s="7" t="str">
        <f>VLOOKUP($AO964,Mapping!$E$11:$I$96,3,0)</f>
        <v>Replacement</v>
      </c>
      <c r="AV964" s="7" t="str">
        <f>VLOOKUP($AQ964,Mapping!$E$140:$K$2771,5,0)</f>
        <v>Labour</v>
      </c>
      <c r="AW964" s="7" t="str">
        <f>VLOOKUP($AQ964,Mapping!$E$140:$K$2771,7,0)</f>
        <v>ENDirect</v>
      </c>
      <c r="AX964" s="7" t="str">
        <f>IFERROR(HLOOKUP(AV964,'Calc|Weightings'!$K$5:$M$5,1,0),"Excl")</f>
        <v>Labour</v>
      </c>
      <c r="AY964" s="7" t="str">
        <f>VLOOKUP(AO964,Mapping!$E$11:$I$96,5,0)</f>
        <v>SCS</v>
      </c>
    </row>
    <row r="965" spans="1:51" x14ac:dyDescent="0.2">
      <c r="A965" s="7"/>
      <c r="B965" s="7"/>
      <c r="C965" s="7"/>
      <c r="D965" s="7"/>
      <c r="E965" s="36">
        <v>140</v>
      </c>
      <c r="F965" s="36" t="s">
        <v>2148</v>
      </c>
      <c r="G965" s="36">
        <v>634001</v>
      </c>
      <c r="H965" s="36" t="s">
        <v>2110</v>
      </c>
      <c r="I965" s="37">
        <v>85.468869999999995</v>
      </c>
      <c r="J965" s="7"/>
      <c r="K965" s="7" t="str">
        <f>VLOOKUP($E965,Mapping!$E$11:$I$96,3,0)</f>
        <v>Public lighting Capex</v>
      </c>
      <c r="L965" s="7" t="str">
        <f>VLOOKUP($G965,Mapping!$E$140:$K$2771,5,0)</f>
        <v>Local OH</v>
      </c>
      <c r="M965" s="7" t="str">
        <f>VLOOKUP($G965,Mapping!$E$140:$K$2771,7,0)</f>
        <v>OH</v>
      </c>
      <c r="N965" s="7" t="str">
        <f>IFERROR(HLOOKUP(L965,'Calc|Weightings'!$K$5:$M$5,1,0),"Excl")</f>
        <v>Excl</v>
      </c>
      <c r="O965" s="7" t="str">
        <f>VLOOKUP(E965,Mapping!$E$11:$I$96,5,0)</f>
        <v>Public Lighting</v>
      </c>
      <c r="Q965" s="33">
        <v>143</v>
      </c>
      <c r="R965" s="33" t="s">
        <v>2153</v>
      </c>
      <c r="S965" s="33">
        <v>611900</v>
      </c>
      <c r="T965" s="33" t="s">
        <v>2079</v>
      </c>
      <c r="U965" s="34">
        <v>22.769079999999999</v>
      </c>
      <c r="V965" s="7"/>
      <c r="W965" s="7" t="str">
        <f>VLOOKUP($Q965,Mapping!$E$11:$I$96,3,0)</f>
        <v>Replacement</v>
      </c>
      <c r="X965" s="7" t="str">
        <f>VLOOKUP($S965,Mapping!$E$140:$K$2771,5,0)</f>
        <v>Contracts</v>
      </c>
      <c r="Y965" s="7" t="str">
        <f>VLOOKUP($S965,Mapping!$E$140:$K$2771,7,0)</f>
        <v>ENDirect</v>
      </c>
      <c r="Z965" s="7" t="str">
        <f>IFERROR(HLOOKUP(X965,'Calc|Weightings'!$K$5:$M$5,1,0),"Excl")</f>
        <v>Contracts</v>
      </c>
      <c r="AA965" s="7" t="str">
        <f>VLOOKUP(Q965,Mapping!$E$11:$I$96,5,0)</f>
        <v>SCS</v>
      </c>
      <c r="AC965" s="111">
        <v>143</v>
      </c>
      <c r="AD965" s="111" t="s">
        <v>2153</v>
      </c>
      <c r="AE965" s="111">
        <v>531466</v>
      </c>
      <c r="AF965" s="111" t="s">
        <v>258</v>
      </c>
      <c r="AG965" s="112">
        <v>56.920160000000003</v>
      </c>
      <c r="AI965" s="7" t="str">
        <f>VLOOKUP($AC965,Mapping!$E$11:$I$96,3,0)</f>
        <v>Replacement</v>
      </c>
      <c r="AJ965" s="7" t="str">
        <f>VLOOKUP($AE965,Mapping!$E$140:$K$2771,5,0)</f>
        <v>Contracts</v>
      </c>
      <c r="AK965" s="7" t="str">
        <f>VLOOKUP($AE965,Mapping!$E$140:$K$2771,7,0)</f>
        <v>ENDirect</v>
      </c>
      <c r="AL965" s="7" t="str">
        <f>IFERROR(HLOOKUP(AJ965,'Calc|Weightings'!$K$5:$M$5,1,0),"Excl")</f>
        <v>Contracts</v>
      </c>
      <c r="AM965" s="7" t="str">
        <f>VLOOKUP(AC965,Mapping!$E$11:$I$96,5,0)</f>
        <v>SCS</v>
      </c>
      <c r="AO965" s="134">
        <v>144</v>
      </c>
      <c r="AP965" s="135" t="s">
        <v>2154</v>
      </c>
      <c r="AQ965" s="135">
        <v>613602</v>
      </c>
      <c r="AR965" s="135" t="s">
        <v>1494</v>
      </c>
      <c r="AS965" s="136">
        <v>1.14168</v>
      </c>
      <c r="AU965" s="7" t="str">
        <f>VLOOKUP($AO965,Mapping!$E$11:$I$96,3,0)</f>
        <v>Replacement</v>
      </c>
      <c r="AV965" s="7" t="str">
        <f>VLOOKUP($AQ965,Mapping!$E$140:$K$2771,5,0)</f>
        <v>Labour</v>
      </c>
      <c r="AW965" s="7" t="str">
        <f>VLOOKUP($AQ965,Mapping!$E$140:$K$2771,7,0)</f>
        <v>ENDirect</v>
      </c>
      <c r="AX965" s="7" t="str">
        <f>IFERROR(HLOOKUP(AV965,'Calc|Weightings'!$K$5:$M$5,1,0),"Excl")</f>
        <v>Labour</v>
      </c>
      <c r="AY965" s="7" t="str">
        <f>VLOOKUP(AO965,Mapping!$E$11:$I$96,5,0)</f>
        <v>SCS</v>
      </c>
    </row>
    <row r="966" spans="1:51" x14ac:dyDescent="0.2">
      <c r="A966" s="7"/>
      <c r="B966" s="7"/>
      <c r="C966" s="7"/>
      <c r="D966" s="7"/>
      <c r="E966" s="36">
        <v>140</v>
      </c>
      <c r="F966" s="36" t="s">
        <v>2148</v>
      </c>
      <c r="G966" s="36">
        <v>635001</v>
      </c>
      <c r="H966" s="36" t="s">
        <v>1929</v>
      </c>
      <c r="I966" s="37">
        <v>56.435499999999998</v>
      </c>
      <c r="J966" s="7"/>
      <c r="K966" s="7" t="str">
        <f>VLOOKUP($E966,Mapping!$E$11:$I$96,3,0)</f>
        <v>Public lighting Capex</v>
      </c>
      <c r="L966" s="7" t="str">
        <f>VLOOKUP($G966,Mapping!$E$140:$K$2771,5,0)</f>
        <v>PNS MG</v>
      </c>
      <c r="M966" s="7" t="str">
        <f>VLOOKUP($G966,Mapping!$E$140:$K$2771,7,0)</f>
        <v>ENDirect</v>
      </c>
      <c r="N966" s="7" t="str">
        <f>IFERROR(HLOOKUP(L966,'Calc|Weightings'!$K$5:$M$5,1,0),"Excl")</f>
        <v>Excl</v>
      </c>
      <c r="O966" s="7" t="str">
        <f>VLOOKUP(E966,Mapping!$E$11:$I$96,5,0)</f>
        <v>Public Lighting</v>
      </c>
      <c r="Q966" s="33">
        <v>143</v>
      </c>
      <c r="R966" s="33" t="s">
        <v>2153</v>
      </c>
      <c r="S966" s="33">
        <v>611901</v>
      </c>
      <c r="T966" s="33" t="s">
        <v>2080</v>
      </c>
      <c r="U966" s="34">
        <v>3.6512799999999999</v>
      </c>
      <c r="V966" s="7"/>
      <c r="W966" s="7" t="str">
        <f>VLOOKUP($Q966,Mapping!$E$11:$I$96,3,0)</f>
        <v>Replacement</v>
      </c>
      <c r="X966" s="7" t="str">
        <f>VLOOKUP($S966,Mapping!$E$140:$K$2771,5,0)</f>
        <v>Contracts</v>
      </c>
      <c r="Y966" s="7" t="str">
        <f>VLOOKUP($S966,Mapping!$E$140:$K$2771,7,0)</f>
        <v>ENDirect</v>
      </c>
      <c r="Z966" s="7" t="str">
        <f>IFERROR(HLOOKUP(X966,'Calc|Weightings'!$K$5:$M$5,1,0),"Excl")</f>
        <v>Contracts</v>
      </c>
      <c r="AA966" s="7" t="str">
        <f>VLOOKUP(Q966,Mapping!$E$11:$I$96,5,0)</f>
        <v>SCS</v>
      </c>
      <c r="AC966" s="111">
        <v>143</v>
      </c>
      <c r="AD966" s="111" t="s">
        <v>2153</v>
      </c>
      <c r="AE966" s="111">
        <v>531467</v>
      </c>
      <c r="AF966" s="111" t="s">
        <v>259</v>
      </c>
      <c r="AG966" s="112">
        <v>24.856819999999999</v>
      </c>
      <c r="AI966" s="7" t="str">
        <f>VLOOKUP($AC966,Mapping!$E$11:$I$96,3,0)</f>
        <v>Replacement</v>
      </c>
      <c r="AJ966" s="7" t="str">
        <f>VLOOKUP($AE966,Mapping!$E$140:$K$2771,5,0)</f>
        <v>Contracts</v>
      </c>
      <c r="AK966" s="7" t="str">
        <f>VLOOKUP($AE966,Mapping!$E$140:$K$2771,7,0)</f>
        <v>ENDirect</v>
      </c>
      <c r="AL966" s="7" t="str">
        <f>IFERROR(HLOOKUP(AJ966,'Calc|Weightings'!$K$5:$M$5,1,0),"Excl")</f>
        <v>Contracts</v>
      </c>
      <c r="AM966" s="7" t="str">
        <f>VLOOKUP(AC966,Mapping!$E$11:$I$96,5,0)</f>
        <v>SCS</v>
      </c>
      <c r="AO966" s="134">
        <v>144</v>
      </c>
      <c r="AP966" s="135" t="s">
        <v>2154</v>
      </c>
      <c r="AQ966" s="135">
        <v>613603</v>
      </c>
      <c r="AR966" s="135" t="s">
        <v>1495</v>
      </c>
      <c r="AS966" s="136">
        <v>1.35575</v>
      </c>
      <c r="AU966" s="7" t="str">
        <f>VLOOKUP($AO966,Mapping!$E$11:$I$96,3,0)</f>
        <v>Replacement</v>
      </c>
      <c r="AV966" s="7" t="str">
        <f>VLOOKUP($AQ966,Mapping!$E$140:$K$2771,5,0)</f>
        <v>Labour</v>
      </c>
      <c r="AW966" s="7" t="str">
        <f>VLOOKUP($AQ966,Mapping!$E$140:$K$2771,7,0)</f>
        <v>ENDirect</v>
      </c>
      <c r="AX966" s="7" t="str">
        <f>IFERROR(HLOOKUP(AV966,'Calc|Weightings'!$K$5:$M$5,1,0),"Excl")</f>
        <v>Labour</v>
      </c>
      <c r="AY966" s="7" t="str">
        <f>VLOOKUP(AO966,Mapping!$E$11:$I$96,5,0)</f>
        <v>SCS</v>
      </c>
    </row>
    <row r="967" spans="1:51" x14ac:dyDescent="0.2">
      <c r="A967" s="7"/>
      <c r="B967" s="7"/>
      <c r="C967" s="7"/>
      <c r="D967" s="7"/>
      <c r="E967" s="36">
        <v>140</v>
      </c>
      <c r="F967" s="36" t="s">
        <v>2148</v>
      </c>
      <c r="G967" s="36">
        <v>636001</v>
      </c>
      <c r="H967" s="36" t="s">
        <v>2111</v>
      </c>
      <c r="I967" s="37">
        <v>26.9298</v>
      </c>
      <c r="J967" s="7"/>
      <c r="K967" s="7" t="str">
        <f>VLOOKUP($E967,Mapping!$E$11:$I$96,3,0)</f>
        <v>Public lighting Capex</v>
      </c>
      <c r="L967" s="7" t="str">
        <f>VLOOKUP($G967,Mapping!$E$140:$K$2771,5,0)</f>
        <v>System Control OH</v>
      </c>
      <c r="M967" s="7" t="str">
        <f>VLOOKUP($G967,Mapping!$E$140:$K$2771,7,0)</f>
        <v>OH</v>
      </c>
      <c r="N967" s="7" t="str">
        <f>IFERROR(HLOOKUP(L967,'Calc|Weightings'!$K$5:$M$5,1,0),"Excl")</f>
        <v>Excl</v>
      </c>
      <c r="O967" s="7" t="str">
        <f>VLOOKUP(E967,Mapping!$E$11:$I$96,5,0)</f>
        <v>Public Lighting</v>
      </c>
      <c r="Q967" s="33">
        <v>143</v>
      </c>
      <c r="R967" s="33" t="s">
        <v>2153</v>
      </c>
      <c r="S967" s="33">
        <v>611902</v>
      </c>
      <c r="T967" s="33" t="s">
        <v>2081</v>
      </c>
      <c r="U967" s="34">
        <v>10.93784</v>
      </c>
      <c r="V967" s="7"/>
      <c r="W967" s="7" t="str">
        <f>VLOOKUP($Q967,Mapping!$E$11:$I$96,3,0)</f>
        <v>Replacement</v>
      </c>
      <c r="X967" s="7" t="str">
        <f>VLOOKUP($S967,Mapping!$E$140:$K$2771,5,0)</f>
        <v>Contracts</v>
      </c>
      <c r="Y967" s="7" t="str">
        <f>VLOOKUP($S967,Mapping!$E$140:$K$2771,7,0)</f>
        <v>ENDirect</v>
      </c>
      <c r="Z967" s="7" t="str">
        <f>IFERROR(HLOOKUP(X967,'Calc|Weightings'!$K$5:$M$5,1,0),"Excl")</f>
        <v>Contracts</v>
      </c>
      <c r="AA967" s="7" t="str">
        <f>VLOOKUP(Q967,Mapping!$E$11:$I$96,5,0)</f>
        <v>SCS</v>
      </c>
      <c r="AC967" s="111">
        <v>143</v>
      </c>
      <c r="AD967" s="111" t="s">
        <v>2153</v>
      </c>
      <c r="AE967" s="111">
        <v>531468</v>
      </c>
      <c r="AF967" s="111" t="s">
        <v>260</v>
      </c>
      <c r="AG967" s="112">
        <v>8.6876800000000003</v>
      </c>
      <c r="AI967" s="7" t="str">
        <f>VLOOKUP($AC967,Mapping!$E$11:$I$96,3,0)</f>
        <v>Replacement</v>
      </c>
      <c r="AJ967" s="7" t="str">
        <f>VLOOKUP($AE967,Mapping!$E$140:$K$2771,5,0)</f>
        <v>Contracts</v>
      </c>
      <c r="AK967" s="7" t="str">
        <f>VLOOKUP($AE967,Mapping!$E$140:$K$2771,7,0)</f>
        <v>ENDirect</v>
      </c>
      <c r="AL967" s="7" t="str">
        <f>IFERROR(HLOOKUP(AJ967,'Calc|Weightings'!$K$5:$M$5,1,0),"Excl")</f>
        <v>Contracts</v>
      </c>
      <c r="AM967" s="7" t="str">
        <f>VLOOKUP(AC967,Mapping!$E$11:$I$96,5,0)</f>
        <v>SCS</v>
      </c>
      <c r="AO967" s="134">
        <v>144</v>
      </c>
      <c r="AP967" s="135" t="s">
        <v>2154</v>
      </c>
      <c r="AQ967" s="135">
        <v>613630</v>
      </c>
      <c r="AR967" s="135" t="s">
        <v>1498</v>
      </c>
      <c r="AS967" s="136">
        <v>3.53905</v>
      </c>
      <c r="AU967" s="7" t="str">
        <f>VLOOKUP($AO967,Mapping!$E$11:$I$96,3,0)</f>
        <v>Replacement</v>
      </c>
      <c r="AV967" s="7" t="str">
        <f>VLOOKUP($AQ967,Mapping!$E$140:$K$2771,5,0)</f>
        <v>Labour</v>
      </c>
      <c r="AW967" s="7" t="str">
        <f>VLOOKUP($AQ967,Mapping!$E$140:$K$2771,7,0)</f>
        <v>ENDirect</v>
      </c>
      <c r="AX967" s="7" t="str">
        <f>IFERROR(HLOOKUP(AV967,'Calc|Weightings'!$K$5:$M$5,1,0),"Excl")</f>
        <v>Labour</v>
      </c>
      <c r="AY967" s="7" t="str">
        <f>VLOOKUP(AO967,Mapping!$E$11:$I$96,5,0)</f>
        <v>SCS</v>
      </c>
    </row>
    <row r="968" spans="1:51" x14ac:dyDescent="0.2">
      <c r="A968" s="7"/>
      <c r="B968" s="7"/>
      <c r="C968" s="7"/>
      <c r="D968" s="7"/>
      <c r="E968" s="36">
        <v>140</v>
      </c>
      <c r="F968" s="36" t="s">
        <v>2148</v>
      </c>
      <c r="G968" s="36">
        <v>639000</v>
      </c>
      <c r="H968" s="36" t="s">
        <v>2112</v>
      </c>
      <c r="I968" s="37">
        <v>59.465899999999998</v>
      </c>
      <c r="J968" s="7"/>
      <c r="K968" s="7" t="str">
        <f>VLOOKUP($E968,Mapping!$E$11:$I$96,3,0)</f>
        <v>Public lighting Capex</v>
      </c>
      <c r="L968" s="7" t="str">
        <f>VLOOKUP($G968,Mapping!$E$140:$K$2771,5,0)</f>
        <v>PNS Corporate OH</v>
      </c>
      <c r="M968" s="7" t="str">
        <f>VLOOKUP($G968,Mapping!$E$140:$K$2771,7,0)</f>
        <v>OH</v>
      </c>
      <c r="N968" s="7" t="str">
        <f>IFERROR(HLOOKUP(L968,'Calc|Weightings'!$K$5:$M$5,1,0),"Excl")</f>
        <v>Excl</v>
      </c>
      <c r="O968" s="7" t="str">
        <f>VLOOKUP(E968,Mapping!$E$11:$I$96,5,0)</f>
        <v>Public Lighting</v>
      </c>
      <c r="Q968" s="33">
        <v>143</v>
      </c>
      <c r="R968" s="33" t="s">
        <v>2153</v>
      </c>
      <c r="S968" s="33">
        <v>613240</v>
      </c>
      <c r="T968" s="33" t="s">
        <v>2082</v>
      </c>
      <c r="U968" s="34">
        <v>1.0196799999999999</v>
      </c>
      <c r="V968" s="7"/>
      <c r="W968" s="7" t="str">
        <f>VLOOKUP($Q968,Mapping!$E$11:$I$96,3,0)</f>
        <v>Replacement</v>
      </c>
      <c r="X968" s="7" t="str">
        <f>VLOOKUP($S968,Mapping!$E$140:$K$2771,5,0)</f>
        <v>Labour</v>
      </c>
      <c r="Y968" s="7" t="str">
        <f>VLOOKUP($S968,Mapping!$E$140:$K$2771,7,0)</f>
        <v>ENDirect</v>
      </c>
      <c r="Z968" s="7" t="str">
        <f>IFERROR(HLOOKUP(X968,'Calc|Weightings'!$K$5:$M$5,1,0),"Excl")</f>
        <v>Labour</v>
      </c>
      <c r="AA968" s="7" t="str">
        <f>VLOOKUP(Q968,Mapping!$E$11:$I$96,5,0)</f>
        <v>SCS</v>
      </c>
      <c r="AC968" s="111">
        <v>143</v>
      </c>
      <c r="AD968" s="111" t="s">
        <v>2153</v>
      </c>
      <c r="AE968" s="111">
        <v>531469</v>
      </c>
      <c r="AF968" s="111" t="s">
        <v>261</v>
      </c>
      <c r="AG968" s="112">
        <v>26.65654</v>
      </c>
      <c r="AI968" s="7" t="str">
        <f>VLOOKUP($AC968,Mapping!$E$11:$I$96,3,0)</f>
        <v>Replacement</v>
      </c>
      <c r="AJ968" s="7" t="str">
        <f>VLOOKUP($AE968,Mapping!$E$140:$K$2771,5,0)</f>
        <v>Labour</v>
      </c>
      <c r="AK968" s="7" t="str">
        <f>VLOOKUP($AE968,Mapping!$E$140:$K$2771,7,0)</f>
        <v>ENDirect</v>
      </c>
      <c r="AL968" s="7" t="str">
        <f>IFERROR(HLOOKUP(AJ968,'Calc|Weightings'!$K$5:$M$5,1,0),"Excl")</f>
        <v>Labour</v>
      </c>
      <c r="AM968" s="7" t="str">
        <f>VLOOKUP(AC968,Mapping!$E$11:$I$96,5,0)</f>
        <v>SCS</v>
      </c>
      <c r="AO968" s="134">
        <v>144</v>
      </c>
      <c r="AP968" s="135" t="s">
        <v>2154</v>
      </c>
      <c r="AQ968" s="135">
        <v>613680</v>
      </c>
      <c r="AR968" s="135" t="s">
        <v>2107</v>
      </c>
      <c r="AS968" s="136">
        <v>2.0651999999999999</v>
      </c>
      <c r="AU968" s="7" t="str">
        <f>VLOOKUP($AO968,Mapping!$E$11:$I$96,3,0)</f>
        <v>Replacement</v>
      </c>
      <c r="AV968" s="7" t="str">
        <f>VLOOKUP($AQ968,Mapping!$E$140:$K$2771,5,0)</f>
        <v>Labour</v>
      </c>
      <c r="AW968" s="7" t="str">
        <f>VLOOKUP($AQ968,Mapping!$E$140:$K$2771,7,0)</f>
        <v>ENDirect</v>
      </c>
      <c r="AX968" s="7" t="str">
        <f>IFERROR(HLOOKUP(AV968,'Calc|Weightings'!$K$5:$M$5,1,0),"Excl")</f>
        <v>Labour</v>
      </c>
      <c r="AY968" s="7" t="str">
        <f>VLOOKUP(AO968,Mapping!$E$11:$I$96,5,0)</f>
        <v>SCS</v>
      </c>
    </row>
    <row r="969" spans="1:51" x14ac:dyDescent="0.2">
      <c r="A969" s="7"/>
      <c r="B969" s="7"/>
      <c r="C969" s="7"/>
      <c r="D969" s="7"/>
      <c r="E969" s="36">
        <v>140</v>
      </c>
      <c r="F969" s="36" t="s">
        <v>2148</v>
      </c>
      <c r="G969" s="36">
        <v>639050</v>
      </c>
      <c r="H969" s="36" t="s">
        <v>2113</v>
      </c>
      <c r="I969" s="37">
        <v>11.31861</v>
      </c>
      <c r="J969" s="7"/>
      <c r="K969" s="7" t="str">
        <f>VLOOKUP($E969,Mapping!$E$11:$I$96,3,0)</f>
        <v>Public lighting Capex</v>
      </c>
      <c r="L969" s="7" t="str">
        <f>VLOOKUP($G969,Mapping!$E$140:$K$2771,5,0)</f>
        <v>PNS Fleet &amp; Property OH</v>
      </c>
      <c r="M969" s="7" t="str">
        <f>VLOOKUP($G969,Mapping!$E$140:$K$2771,7,0)</f>
        <v>OH</v>
      </c>
      <c r="N969" s="7" t="str">
        <f>IFERROR(HLOOKUP(L969,'Calc|Weightings'!$K$5:$M$5,1,0),"Excl")</f>
        <v>Excl</v>
      </c>
      <c r="O969" s="7" t="str">
        <f>VLOOKUP(E969,Mapping!$E$11:$I$96,5,0)</f>
        <v>Public Lighting</v>
      </c>
      <c r="Q969" s="33">
        <v>143</v>
      </c>
      <c r="R969" s="33" t="s">
        <v>2153</v>
      </c>
      <c r="S969" s="33">
        <v>613250</v>
      </c>
      <c r="T969" s="33" t="s">
        <v>2086</v>
      </c>
      <c r="U969" s="34">
        <v>11.14471</v>
      </c>
      <c r="V969" s="7"/>
      <c r="W969" s="7" t="str">
        <f>VLOOKUP($Q969,Mapping!$E$11:$I$96,3,0)</f>
        <v>Replacement</v>
      </c>
      <c r="X969" s="7" t="str">
        <f>VLOOKUP($S969,Mapping!$E$140:$K$2771,5,0)</f>
        <v>Labour</v>
      </c>
      <c r="Y969" s="7" t="str">
        <f>VLOOKUP($S969,Mapping!$E$140:$K$2771,7,0)</f>
        <v>ENDirect</v>
      </c>
      <c r="Z969" s="7" t="str">
        <f>IFERROR(HLOOKUP(X969,'Calc|Weightings'!$K$5:$M$5,1,0),"Excl")</f>
        <v>Labour</v>
      </c>
      <c r="AA969" s="7" t="str">
        <f>VLOOKUP(Q969,Mapping!$E$11:$I$96,5,0)</f>
        <v>SCS</v>
      </c>
      <c r="AC969" s="111">
        <v>143</v>
      </c>
      <c r="AD969" s="111" t="s">
        <v>2153</v>
      </c>
      <c r="AE969" s="111">
        <v>532140</v>
      </c>
      <c r="AF969" s="111" t="s">
        <v>288</v>
      </c>
      <c r="AG969" s="112">
        <v>27.68112</v>
      </c>
      <c r="AI969" s="7" t="str">
        <f>VLOOKUP($AC969,Mapping!$E$11:$I$96,3,0)</f>
        <v>Replacement</v>
      </c>
      <c r="AJ969" s="7" t="str">
        <f>VLOOKUP($AE969,Mapping!$E$140:$K$2771,5,0)</f>
        <v>Contracts</v>
      </c>
      <c r="AK969" s="7" t="str">
        <f>VLOOKUP($AE969,Mapping!$E$140:$K$2771,7,0)</f>
        <v>ENDirect</v>
      </c>
      <c r="AL969" s="7" t="str">
        <f>IFERROR(HLOOKUP(AJ969,'Calc|Weightings'!$K$5:$M$5,1,0),"Excl")</f>
        <v>Contracts</v>
      </c>
      <c r="AM969" s="7" t="str">
        <f>VLOOKUP(AC969,Mapping!$E$11:$I$96,5,0)</f>
        <v>SCS</v>
      </c>
      <c r="AO969" s="134">
        <v>144</v>
      </c>
      <c r="AP969" s="135" t="s">
        <v>2154</v>
      </c>
      <c r="AQ969" s="135">
        <v>634001</v>
      </c>
      <c r="AR969" s="135" t="s">
        <v>2110</v>
      </c>
      <c r="AS969" s="136">
        <v>35.411799999999999</v>
      </c>
      <c r="AU969" s="7" t="str">
        <f>VLOOKUP($AO969,Mapping!$E$11:$I$96,3,0)</f>
        <v>Replacement</v>
      </c>
      <c r="AV969" s="7" t="str">
        <f>VLOOKUP($AQ969,Mapping!$E$140:$K$2771,5,0)</f>
        <v>Local OH</v>
      </c>
      <c r="AW969" s="7" t="str">
        <f>VLOOKUP($AQ969,Mapping!$E$140:$K$2771,7,0)</f>
        <v>OH</v>
      </c>
      <c r="AX969" s="7" t="str">
        <f>IFERROR(HLOOKUP(AV969,'Calc|Weightings'!$K$5:$M$5,1,0),"Excl")</f>
        <v>Excl</v>
      </c>
      <c r="AY969" s="7" t="str">
        <f>VLOOKUP(AO969,Mapping!$E$11:$I$96,5,0)</f>
        <v>SCS</v>
      </c>
    </row>
    <row r="970" spans="1:51" x14ac:dyDescent="0.2">
      <c r="A970" s="7"/>
      <c r="B970" s="7"/>
      <c r="C970" s="7"/>
      <c r="D970" s="7"/>
      <c r="E970" s="36">
        <v>141</v>
      </c>
      <c r="F970" s="36" t="s">
        <v>2149</v>
      </c>
      <c r="G970" s="36">
        <v>520100</v>
      </c>
      <c r="H970" s="36" t="s">
        <v>2072</v>
      </c>
      <c r="I970" s="37">
        <v>247.18727000000001</v>
      </c>
      <c r="J970" s="7"/>
      <c r="K970" s="7" t="str">
        <f>VLOOKUP($E970,Mapping!$E$11:$I$96,3,0)</f>
        <v>Replacement</v>
      </c>
      <c r="L970" s="7" t="str">
        <f>VLOOKUP($G970,Mapping!$E$140:$K$2771,5,0)</f>
        <v>Materials</v>
      </c>
      <c r="M970" s="7" t="str">
        <f>VLOOKUP($G970,Mapping!$E$140:$K$2771,7,0)</f>
        <v>ENDirect</v>
      </c>
      <c r="N970" s="7" t="str">
        <f>IFERROR(HLOOKUP(L970,'Calc|Weightings'!$K$5:$M$5,1,0),"Excl")</f>
        <v>Materials</v>
      </c>
      <c r="O970" s="7" t="str">
        <f>VLOOKUP(E970,Mapping!$E$11:$I$96,5,0)</f>
        <v>SCS</v>
      </c>
      <c r="Q970" s="33">
        <v>143</v>
      </c>
      <c r="R970" s="33" t="s">
        <v>2153</v>
      </c>
      <c r="S970" s="33">
        <v>613260</v>
      </c>
      <c r="T970" s="33" t="s">
        <v>2090</v>
      </c>
      <c r="U970" s="34">
        <v>3.2047500000000002</v>
      </c>
      <c r="V970" s="7"/>
      <c r="W970" s="7" t="str">
        <f>VLOOKUP($Q970,Mapping!$E$11:$I$96,3,0)</f>
        <v>Replacement</v>
      </c>
      <c r="X970" s="7" t="str">
        <f>VLOOKUP($S970,Mapping!$E$140:$K$2771,5,0)</f>
        <v>Labour</v>
      </c>
      <c r="Y970" s="7" t="str">
        <f>VLOOKUP($S970,Mapping!$E$140:$K$2771,7,0)</f>
        <v>ENDirect</v>
      </c>
      <c r="Z970" s="7" t="str">
        <f>IFERROR(HLOOKUP(X970,'Calc|Weightings'!$K$5:$M$5,1,0),"Excl")</f>
        <v>Labour</v>
      </c>
      <c r="AA970" s="7" t="str">
        <f>VLOOKUP(Q970,Mapping!$E$11:$I$96,5,0)</f>
        <v>SCS</v>
      </c>
      <c r="AC970" s="111">
        <v>143</v>
      </c>
      <c r="AD970" s="111" t="s">
        <v>2153</v>
      </c>
      <c r="AE970" s="111">
        <v>532200</v>
      </c>
      <c r="AF970" s="111" t="s">
        <v>291</v>
      </c>
      <c r="AG970" s="112">
        <v>0.27400000000000002</v>
      </c>
      <c r="AI970" s="7" t="str">
        <f>VLOOKUP($AC970,Mapping!$E$11:$I$96,3,0)</f>
        <v>Replacement</v>
      </c>
      <c r="AJ970" s="7" t="str">
        <f>VLOOKUP($AE970,Mapping!$E$140:$K$2771,5,0)</f>
        <v>Contracts</v>
      </c>
      <c r="AK970" s="7" t="str">
        <f>VLOOKUP($AE970,Mapping!$E$140:$K$2771,7,0)</f>
        <v>ENDirect</v>
      </c>
      <c r="AL970" s="7" t="str">
        <f>IFERROR(HLOOKUP(AJ970,'Calc|Weightings'!$K$5:$M$5,1,0),"Excl")</f>
        <v>Contracts</v>
      </c>
      <c r="AM970" s="7" t="str">
        <f>VLOOKUP(AC970,Mapping!$E$11:$I$96,5,0)</f>
        <v>SCS</v>
      </c>
      <c r="AO970" s="134">
        <v>144</v>
      </c>
      <c r="AP970" s="135" t="s">
        <v>2154</v>
      </c>
      <c r="AQ970" s="135">
        <v>635001</v>
      </c>
      <c r="AR970" s="135" t="s">
        <v>1929</v>
      </c>
      <c r="AS970" s="136">
        <v>11.09928</v>
      </c>
      <c r="AU970" s="7" t="str">
        <f>VLOOKUP($AO970,Mapping!$E$11:$I$96,3,0)</f>
        <v>Replacement</v>
      </c>
      <c r="AV970" s="7" t="str">
        <f>VLOOKUP($AQ970,Mapping!$E$140:$K$2771,5,0)</f>
        <v>PNS MG</v>
      </c>
      <c r="AW970" s="7" t="str">
        <f>VLOOKUP($AQ970,Mapping!$E$140:$K$2771,7,0)</f>
        <v>ENDirect</v>
      </c>
      <c r="AX970" s="7" t="str">
        <f>IFERROR(HLOOKUP(AV970,'Calc|Weightings'!$K$5:$M$5,1,0),"Excl")</f>
        <v>Excl</v>
      </c>
      <c r="AY970" s="7" t="str">
        <f>VLOOKUP(AO970,Mapping!$E$11:$I$96,5,0)</f>
        <v>SCS</v>
      </c>
    </row>
    <row r="971" spans="1:51" x14ac:dyDescent="0.2">
      <c r="A971" s="7"/>
      <c r="B971" s="7"/>
      <c r="C971" s="7"/>
      <c r="D971" s="7"/>
      <c r="E971" s="36">
        <v>141</v>
      </c>
      <c r="F971" s="36" t="s">
        <v>2149</v>
      </c>
      <c r="G971" s="36">
        <v>523100</v>
      </c>
      <c r="H971" s="36" t="s">
        <v>2074</v>
      </c>
      <c r="I971" s="37">
        <v>1.5372300000000001</v>
      </c>
      <c r="J971" s="7"/>
      <c r="K971" s="7" t="str">
        <f>VLOOKUP($E971,Mapping!$E$11:$I$96,3,0)</f>
        <v>Replacement</v>
      </c>
      <c r="L971" s="7" t="str">
        <f>VLOOKUP($G971,Mapping!$E$140:$K$2771,5,0)</f>
        <v>Materials</v>
      </c>
      <c r="M971" s="7" t="str">
        <f>VLOOKUP($G971,Mapping!$E$140:$K$2771,7,0)</f>
        <v>ENDirect</v>
      </c>
      <c r="N971" s="7" t="str">
        <f>IFERROR(HLOOKUP(L971,'Calc|Weightings'!$K$5:$M$5,1,0),"Excl")</f>
        <v>Materials</v>
      </c>
      <c r="O971" s="7" t="str">
        <f>VLOOKUP(E971,Mapping!$E$11:$I$96,5,0)</f>
        <v>SCS</v>
      </c>
      <c r="Q971" s="33">
        <v>143</v>
      </c>
      <c r="R971" s="33" t="s">
        <v>2153</v>
      </c>
      <c r="S971" s="33">
        <v>613261</v>
      </c>
      <c r="T971" s="33" t="s">
        <v>2091</v>
      </c>
      <c r="U971" s="34">
        <v>1.0632999999999999</v>
      </c>
      <c r="V971" s="7"/>
      <c r="W971" s="7" t="str">
        <f>VLOOKUP($Q971,Mapping!$E$11:$I$96,3,0)</f>
        <v>Replacement</v>
      </c>
      <c r="X971" s="7" t="str">
        <f>VLOOKUP($S971,Mapping!$E$140:$K$2771,5,0)</f>
        <v>Labour</v>
      </c>
      <c r="Y971" s="7" t="str">
        <f>VLOOKUP($S971,Mapping!$E$140:$K$2771,7,0)</f>
        <v>ENDirect</v>
      </c>
      <c r="Z971" s="7" t="str">
        <f>IFERROR(HLOOKUP(X971,'Calc|Weightings'!$K$5:$M$5,1,0),"Excl")</f>
        <v>Labour</v>
      </c>
      <c r="AA971" s="7" t="str">
        <f>VLOOKUP(Q971,Mapping!$E$11:$I$96,5,0)</f>
        <v>SCS</v>
      </c>
      <c r="AC971" s="111">
        <v>143</v>
      </c>
      <c r="AD971" s="111" t="s">
        <v>2153</v>
      </c>
      <c r="AE971" s="111">
        <v>591997</v>
      </c>
      <c r="AF971" s="111" t="s">
        <v>2194</v>
      </c>
      <c r="AG971" s="112">
        <v>-4.3742799999999997</v>
      </c>
      <c r="AI971" s="7" t="str">
        <f>VLOOKUP($AC971,Mapping!$E$11:$I$96,3,0)</f>
        <v>Replacement</v>
      </c>
      <c r="AJ971" s="7" t="str">
        <f>VLOOKUP($AE971,Mapping!$E$140:$K$2771,5,0)</f>
        <v>Contracts</v>
      </c>
      <c r="AK971" s="7" t="str">
        <f>VLOOKUP($AE971,Mapping!$E$140:$K$2771,7,0)</f>
        <v>ENDirect</v>
      </c>
      <c r="AL971" s="7" t="str">
        <f>IFERROR(HLOOKUP(AJ971,'Calc|Weightings'!$K$5:$M$5,1,0),"Excl")</f>
        <v>Contracts</v>
      </c>
      <c r="AM971" s="7" t="str">
        <f>VLOOKUP(AC971,Mapping!$E$11:$I$96,5,0)</f>
        <v>SCS</v>
      </c>
      <c r="AO971" s="134">
        <v>144</v>
      </c>
      <c r="AP971" s="135" t="s">
        <v>2154</v>
      </c>
      <c r="AQ971" s="135">
        <v>636001</v>
      </c>
      <c r="AR971" s="135" t="s">
        <v>2111</v>
      </c>
      <c r="AS971" s="136">
        <v>23.559670000000001</v>
      </c>
      <c r="AU971" s="7" t="str">
        <f>VLOOKUP($AO971,Mapping!$E$11:$I$96,3,0)</f>
        <v>Replacement</v>
      </c>
      <c r="AV971" s="7" t="str">
        <f>VLOOKUP($AQ971,Mapping!$E$140:$K$2771,5,0)</f>
        <v>System Control OH</v>
      </c>
      <c r="AW971" s="7" t="str">
        <f>VLOOKUP($AQ971,Mapping!$E$140:$K$2771,7,0)</f>
        <v>OH</v>
      </c>
      <c r="AX971" s="7" t="str">
        <f>IFERROR(HLOOKUP(AV971,'Calc|Weightings'!$K$5:$M$5,1,0),"Excl")</f>
        <v>Excl</v>
      </c>
      <c r="AY971" s="7" t="str">
        <f>VLOOKUP(AO971,Mapping!$E$11:$I$96,5,0)</f>
        <v>SCS</v>
      </c>
    </row>
    <row r="972" spans="1:51" x14ac:dyDescent="0.2">
      <c r="A972" s="7"/>
      <c r="B972" s="7"/>
      <c r="C972" s="7"/>
      <c r="D972" s="7"/>
      <c r="E972" s="36">
        <v>141</v>
      </c>
      <c r="F972" s="36" t="s">
        <v>2149</v>
      </c>
      <c r="G972" s="36">
        <v>523300</v>
      </c>
      <c r="H972" s="36" t="s">
        <v>2075</v>
      </c>
      <c r="I972" s="37">
        <v>0.13592000000000001</v>
      </c>
      <c r="J972" s="7"/>
      <c r="K972" s="7" t="str">
        <f>VLOOKUP($E972,Mapping!$E$11:$I$96,3,0)</f>
        <v>Replacement</v>
      </c>
      <c r="L972" s="7" t="str">
        <f>VLOOKUP($G972,Mapping!$E$140:$K$2771,5,0)</f>
        <v>Materials</v>
      </c>
      <c r="M972" s="7" t="str">
        <f>VLOOKUP($G972,Mapping!$E$140:$K$2771,7,0)</f>
        <v>ENDirect</v>
      </c>
      <c r="N972" s="7" t="str">
        <f>IFERROR(HLOOKUP(L972,'Calc|Weightings'!$K$5:$M$5,1,0),"Excl")</f>
        <v>Materials</v>
      </c>
      <c r="O972" s="7" t="str">
        <f>VLOOKUP(E972,Mapping!$E$11:$I$96,5,0)</f>
        <v>SCS</v>
      </c>
      <c r="Q972" s="33">
        <v>143</v>
      </c>
      <c r="R972" s="33" t="s">
        <v>2153</v>
      </c>
      <c r="S972" s="33">
        <v>613280</v>
      </c>
      <c r="T972" s="33" t="s">
        <v>1342</v>
      </c>
      <c r="U972" s="34">
        <v>50.819189999999999</v>
      </c>
      <c r="V972" s="7"/>
      <c r="W972" s="7" t="str">
        <f>VLOOKUP($Q972,Mapping!$E$11:$I$96,3,0)</f>
        <v>Replacement</v>
      </c>
      <c r="X972" s="7" t="str">
        <f>VLOOKUP($S972,Mapping!$E$140:$K$2771,5,0)</f>
        <v>Labour</v>
      </c>
      <c r="Y972" s="7" t="str">
        <f>VLOOKUP($S972,Mapping!$E$140:$K$2771,7,0)</f>
        <v>ENDirect</v>
      </c>
      <c r="Z972" s="7" t="str">
        <f>IFERROR(HLOOKUP(X972,'Calc|Weightings'!$K$5:$M$5,1,0),"Excl")</f>
        <v>Labour</v>
      </c>
      <c r="AA972" s="7" t="str">
        <f>VLOOKUP(Q972,Mapping!$E$11:$I$96,5,0)</f>
        <v>SCS</v>
      </c>
      <c r="AC972" s="111">
        <v>143</v>
      </c>
      <c r="AD972" s="111" t="s">
        <v>2153</v>
      </c>
      <c r="AE972" s="111">
        <v>591999</v>
      </c>
      <c r="AF972" s="111" t="s">
        <v>2195</v>
      </c>
      <c r="AG972" s="112">
        <v>-31.020499999999998</v>
      </c>
      <c r="AI972" s="7" t="str">
        <f>VLOOKUP($AC972,Mapping!$E$11:$I$96,3,0)</f>
        <v>Replacement</v>
      </c>
      <c r="AJ972" s="7" t="str">
        <f>VLOOKUP($AE972,Mapping!$E$140:$K$2771,5,0)</f>
        <v>Contracts</v>
      </c>
      <c r="AK972" s="7" t="str">
        <f>VLOOKUP($AE972,Mapping!$E$140:$K$2771,7,0)</f>
        <v>ENDirect</v>
      </c>
      <c r="AL972" s="7" t="str">
        <f>IFERROR(HLOOKUP(AJ972,'Calc|Weightings'!$K$5:$M$5,1,0),"Excl")</f>
        <v>Contracts</v>
      </c>
      <c r="AM972" s="7" t="str">
        <f>VLOOKUP(AC972,Mapping!$E$11:$I$96,5,0)</f>
        <v>SCS</v>
      </c>
      <c r="AO972" s="134">
        <v>144</v>
      </c>
      <c r="AP972" s="135" t="s">
        <v>2154</v>
      </c>
      <c r="AQ972" s="135">
        <v>639000</v>
      </c>
      <c r="AR972" s="135" t="s">
        <v>2112</v>
      </c>
      <c r="AS972" s="136">
        <v>11.476229999999999</v>
      </c>
      <c r="AU972" s="7" t="str">
        <f>VLOOKUP($AO972,Mapping!$E$11:$I$96,3,0)</f>
        <v>Replacement</v>
      </c>
      <c r="AV972" s="7" t="str">
        <f>VLOOKUP($AQ972,Mapping!$E$140:$K$2771,5,0)</f>
        <v>PNS Corporate OH</v>
      </c>
      <c r="AW972" s="7" t="str">
        <f>VLOOKUP($AQ972,Mapping!$E$140:$K$2771,7,0)</f>
        <v>OH</v>
      </c>
      <c r="AX972" s="7" t="str">
        <f>IFERROR(HLOOKUP(AV972,'Calc|Weightings'!$K$5:$M$5,1,0),"Excl")</f>
        <v>Excl</v>
      </c>
      <c r="AY972" s="7" t="str">
        <f>VLOOKUP(AO972,Mapping!$E$11:$I$96,5,0)</f>
        <v>SCS</v>
      </c>
    </row>
    <row r="973" spans="1:51" x14ac:dyDescent="0.2">
      <c r="A973" s="7"/>
      <c r="B973" s="7"/>
      <c r="C973" s="7"/>
      <c r="D973" s="7"/>
      <c r="E973" s="36">
        <v>141</v>
      </c>
      <c r="F973" s="36" t="s">
        <v>2149</v>
      </c>
      <c r="G973" s="36">
        <v>531020</v>
      </c>
      <c r="H973" s="36" t="s">
        <v>219</v>
      </c>
      <c r="I973" s="37">
        <v>-1.8639600000000001</v>
      </c>
      <c r="J973" s="7"/>
      <c r="K973" s="7" t="str">
        <f>VLOOKUP($E973,Mapping!$E$11:$I$96,3,0)</f>
        <v>Replacement</v>
      </c>
      <c r="L973" s="7" t="str">
        <f>VLOOKUP($G973,Mapping!$E$140:$K$2771,5,0)</f>
        <v>Labour</v>
      </c>
      <c r="M973" s="7" t="str">
        <f>VLOOKUP($G973,Mapping!$E$140:$K$2771,7,0)</f>
        <v>ENDirect</v>
      </c>
      <c r="N973" s="7" t="str">
        <f>IFERROR(HLOOKUP(L973,'Calc|Weightings'!$K$5:$M$5,1,0),"Excl")</f>
        <v>Labour</v>
      </c>
      <c r="O973" s="7" t="str">
        <f>VLOOKUP(E973,Mapping!$E$11:$I$96,5,0)</f>
        <v>SCS</v>
      </c>
      <c r="Q973" s="33">
        <v>143</v>
      </c>
      <c r="R973" s="33" t="s">
        <v>2153</v>
      </c>
      <c r="S973" s="33">
        <v>613290</v>
      </c>
      <c r="T973" s="33" t="s">
        <v>2093</v>
      </c>
      <c r="U973" s="34">
        <v>59.699559999999998</v>
      </c>
      <c r="V973" s="7"/>
      <c r="W973" s="7" t="str">
        <f>VLOOKUP($Q973,Mapping!$E$11:$I$96,3,0)</f>
        <v>Replacement</v>
      </c>
      <c r="X973" s="7" t="str">
        <f>VLOOKUP($S973,Mapping!$E$140:$K$2771,5,0)</f>
        <v>Labour</v>
      </c>
      <c r="Y973" s="7" t="str">
        <f>VLOOKUP($S973,Mapping!$E$140:$K$2771,7,0)</f>
        <v>ENDirect</v>
      </c>
      <c r="Z973" s="7" t="str">
        <f>IFERROR(HLOOKUP(X973,'Calc|Weightings'!$K$5:$M$5,1,0),"Excl")</f>
        <v>Labour</v>
      </c>
      <c r="AA973" s="7" t="str">
        <f>VLOOKUP(Q973,Mapping!$E$11:$I$96,5,0)</f>
        <v>SCS</v>
      </c>
      <c r="AC973" s="111">
        <v>143</v>
      </c>
      <c r="AD973" s="111" t="s">
        <v>2153</v>
      </c>
      <c r="AE973" s="111">
        <v>611900</v>
      </c>
      <c r="AF973" s="111" t="s">
        <v>2079</v>
      </c>
      <c r="AG973" s="112">
        <v>4.4701899999999997</v>
      </c>
      <c r="AI973" s="7" t="str">
        <f>VLOOKUP($AC973,Mapping!$E$11:$I$96,3,0)</f>
        <v>Replacement</v>
      </c>
      <c r="AJ973" s="7" t="str">
        <f>VLOOKUP($AE973,Mapping!$E$140:$K$2771,5,0)</f>
        <v>Contracts</v>
      </c>
      <c r="AK973" s="7" t="str">
        <f>VLOOKUP($AE973,Mapping!$E$140:$K$2771,7,0)</f>
        <v>ENDirect</v>
      </c>
      <c r="AL973" s="7" t="str">
        <f>IFERROR(HLOOKUP(AJ973,'Calc|Weightings'!$K$5:$M$5,1,0),"Excl")</f>
        <v>Contracts</v>
      </c>
      <c r="AM973" s="7" t="str">
        <f>VLOOKUP(AC973,Mapping!$E$11:$I$96,5,0)</f>
        <v>SCS</v>
      </c>
      <c r="AO973" s="134">
        <v>144</v>
      </c>
      <c r="AP973" s="135" t="s">
        <v>2154</v>
      </c>
      <c r="AQ973" s="135">
        <v>639050</v>
      </c>
      <c r="AR973" s="135" t="s">
        <v>2113</v>
      </c>
      <c r="AS973" s="136">
        <v>2.5691199999999998</v>
      </c>
      <c r="AU973" s="7" t="str">
        <f>VLOOKUP($AO973,Mapping!$E$11:$I$96,3,0)</f>
        <v>Replacement</v>
      </c>
      <c r="AV973" s="7" t="str">
        <f>VLOOKUP($AQ973,Mapping!$E$140:$K$2771,5,0)</f>
        <v>PNS Fleet &amp; Property OH</v>
      </c>
      <c r="AW973" s="7" t="str">
        <f>VLOOKUP($AQ973,Mapping!$E$140:$K$2771,7,0)</f>
        <v>OH</v>
      </c>
      <c r="AX973" s="7" t="str">
        <f>IFERROR(HLOOKUP(AV973,'Calc|Weightings'!$K$5:$M$5,1,0),"Excl")</f>
        <v>Excl</v>
      </c>
      <c r="AY973" s="7" t="str">
        <f>VLOOKUP(AO973,Mapping!$E$11:$I$96,5,0)</f>
        <v>SCS</v>
      </c>
    </row>
    <row r="974" spans="1:51" x14ac:dyDescent="0.2">
      <c r="A974" s="7"/>
      <c r="B974" s="7"/>
      <c r="C974" s="7"/>
      <c r="D974" s="7"/>
      <c r="E974" s="36">
        <v>141</v>
      </c>
      <c r="F974" s="36" t="s">
        <v>2149</v>
      </c>
      <c r="G974" s="36">
        <v>531035</v>
      </c>
      <c r="H974" s="36" t="s">
        <v>244</v>
      </c>
      <c r="I974" s="37">
        <v>21.12642</v>
      </c>
      <c r="J974" s="7"/>
      <c r="K974" s="7" t="str">
        <f>VLOOKUP($E974,Mapping!$E$11:$I$96,3,0)</f>
        <v>Replacement</v>
      </c>
      <c r="L974" s="7" t="str">
        <f>VLOOKUP($G974,Mapping!$E$140:$K$2771,5,0)</f>
        <v>Labour</v>
      </c>
      <c r="M974" s="7" t="str">
        <f>VLOOKUP($G974,Mapping!$E$140:$K$2771,7,0)</f>
        <v>ENDirect</v>
      </c>
      <c r="N974" s="7" t="str">
        <f>IFERROR(HLOOKUP(L974,'Calc|Weightings'!$K$5:$M$5,1,0),"Excl")</f>
        <v>Labour</v>
      </c>
      <c r="O974" s="7" t="str">
        <f>VLOOKUP(E974,Mapping!$E$11:$I$96,5,0)</f>
        <v>SCS</v>
      </c>
      <c r="Q974" s="33">
        <v>143</v>
      </c>
      <c r="R974" s="33" t="s">
        <v>2153</v>
      </c>
      <c r="S974" s="33">
        <v>613291</v>
      </c>
      <c r="T974" s="33" t="s">
        <v>2094</v>
      </c>
      <c r="U974" s="34">
        <v>2.3606500000000001</v>
      </c>
      <c r="V974" s="7"/>
      <c r="W974" s="7" t="str">
        <f>VLOOKUP($Q974,Mapping!$E$11:$I$96,3,0)</f>
        <v>Replacement</v>
      </c>
      <c r="X974" s="7" t="str">
        <f>VLOOKUP($S974,Mapping!$E$140:$K$2771,5,0)</f>
        <v>Labour</v>
      </c>
      <c r="Y974" s="7" t="str">
        <f>VLOOKUP($S974,Mapping!$E$140:$K$2771,7,0)</f>
        <v>ENDirect</v>
      </c>
      <c r="Z974" s="7" t="str">
        <f>IFERROR(HLOOKUP(X974,'Calc|Weightings'!$K$5:$M$5,1,0),"Excl")</f>
        <v>Labour</v>
      </c>
      <c r="AA974" s="7" t="str">
        <f>VLOOKUP(Q974,Mapping!$E$11:$I$96,5,0)</f>
        <v>SCS</v>
      </c>
      <c r="AC974" s="111">
        <v>143</v>
      </c>
      <c r="AD974" s="111" t="s">
        <v>2153</v>
      </c>
      <c r="AE974" s="111">
        <v>611901</v>
      </c>
      <c r="AF974" s="111" t="s">
        <v>2080</v>
      </c>
      <c r="AG974" s="112">
        <v>5.1463599999999996</v>
      </c>
      <c r="AI974" s="7" t="str">
        <f>VLOOKUP($AC974,Mapping!$E$11:$I$96,3,0)</f>
        <v>Replacement</v>
      </c>
      <c r="AJ974" s="7" t="str">
        <f>VLOOKUP($AE974,Mapping!$E$140:$K$2771,5,0)</f>
        <v>Contracts</v>
      </c>
      <c r="AK974" s="7" t="str">
        <f>VLOOKUP($AE974,Mapping!$E$140:$K$2771,7,0)</f>
        <v>ENDirect</v>
      </c>
      <c r="AL974" s="7" t="str">
        <f>IFERROR(HLOOKUP(AJ974,'Calc|Weightings'!$K$5:$M$5,1,0),"Excl")</f>
        <v>Contracts</v>
      </c>
      <c r="AM974" s="7" t="str">
        <f>VLOOKUP(AC974,Mapping!$E$11:$I$96,5,0)</f>
        <v>SCS</v>
      </c>
      <c r="AO974" s="134">
        <v>145</v>
      </c>
      <c r="AP974" s="135" t="s">
        <v>2155</v>
      </c>
      <c r="AQ974" s="135">
        <v>520100</v>
      </c>
      <c r="AR974" s="135" t="s">
        <v>2072</v>
      </c>
      <c r="AS974" s="136">
        <v>102.37766999999999</v>
      </c>
      <c r="AU974" s="7" t="str">
        <f>VLOOKUP($AO974,Mapping!$E$11:$I$96,3,0)</f>
        <v>Replacement</v>
      </c>
      <c r="AV974" s="7" t="str">
        <f>VLOOKUP($AQ974,Mapping!$E$140:$K$2771,5,0)</f>
        <v>Materials</v>
      </c>
      <c r="AW974" s="7" t="str">
        <f>VLOOKUP($AQ974,Mapping!$E$140:$K$2771,7,0)</f>
        <v>ENDirect</v>
      </c>
      <c r="AX974" s="7" t="str">
        <f>IFERROR(HLOOKUP(AV974,'Calc|Weightings'!$K$5:$M$5,1,0),"Excl")</f>
        <v>Materials</v>
      </c>
      <c r="AY974" s="7" t="str">
        <f>VLOOKUP(AO974,Mapping!$E$11:$I$96,5,0)</f>
        <v>SCS</v>
      </c>
    </row>
    <row r="975" spans="1:51" x14ac:dyDescent="0.2">
      <c r="A975" s="7"/>
      <c r="B975" s="7"/>
      <c r="C975" s="7"/>
      <c r="D975" s="7"/>
      <c r="E975" s="36">
        <v>141</v>
      </c>
      <c r="F975" s="36" t="s">
        <v>2149</v>
      </c>
      <c r="G975" s="36">
        <v>531464</v>
      </c>
      <c r="H975" s="36" t="s">
        <v>256</v>
      </c>
      <c r="I975" s="37">
        <v>692.22793000000001</v>
      </c>
      <c r="J975" s="7"/>
      <c r="K975" s="7" t="str">
        <f>VLOOKUP($E975,Mapping!$E$11:$I$96,3,0)</f>
        <v>Replacement</v>
      </c>
      <c r="L975" s="7" t="str">
        <f>VLOOKUP($G975,Mapping!$E$140:$K$2771,5,0)</f>
        <v>Contracts</v>
      </c>
      <c r="M975" s="7" t="str">
        <f>VLOOKUP($G975,Mapping!$E$140:$K$2771,7,0)</f>
        <v>ENDirect</v>
      </c>
      <c r="N975" s="7" t="str">
        <f>IFERROR(HLOOKUP(L975,'Calc|Weightings'!$K$5:$M$5,1,0),"Excl")</f>
        <v>Contracts</v>
      </c>
      <c r="O975" s="7" t="str">
        <f>VLOOKUP(E975,Mapping!$E$11:$I$96,5,0)</f>
        <v>SCS</v>
      </c>
      <c r="Q975" s="33">
        <v>143</v>
      </c>
      <c r="R975" s="33" t="s">
        <v>2153</v>
      </c>
      <c r="S975" s="33">
        <v>613298</v>
      </c>
      <c r="T975" s="33" t="s">
        <v>2122</v>
      </c>
      <c r="U975" s="34">
        <v>16.483000000000001</v>
      </c>
      <c r="V975" s="7"/>
      <c r="W975" s="7" t="str">
        <f>VLOOKUP($Q975,Mapping!$E$11:$I$96,3,0)</f>
        <v>Replacement</v>
      </c>
      <c r="X975" s="7" t="str">
        <f>VLOOKUP($S975,Mapping!$E$140:$K$2771,5,0)</f>
        <v>Labour</v>
      </c>
      <c r="Y975" s="7" t="str">
        <f>VLOOKUP($S975,Mapping!$E$140:$K$2771,7,0)</f>
        <v>ENDirect</v>
      </c>
      <c r="Z975" s="7" t="str">
        <f>IFERROR(HLOOKUP(X975,'Calc|Weightings'!$K$5:$M$5,1,0),"Excl")</f>
        <v>Labour</v>
      </c>
      <c r="AA975" s="7" t="str">
        <f>VLOOKUP(Q975,Mapping!$E$11:$I$96,5,0)</f>
        <v>SCS</v>
      </c>
      <c r="AC975" s="111">
        <v>143</v>
      </c>
      <c r="AD975" s="111" t="s">
        <v>2153</v>
      </c>
      <c r="AE975" s="111">
        <v>611902</v>
      </c>
      <c r="AF975" s="111" t="s">
        <v>2081</v>
      </c>
      <c r="AG975" s="112">
        <v>0.41198000000000001</v>
      </c>
      <c r="AI975" s="7" t="str">
        <f>VLOOKUP($AC975,Mapping!$E$11:$I$96,3,0)</f>
        <v>Replacement</v>
      </c>
      <c r="AJ975" s="7" t="str">
        <f>VLOOKUP($AE975,Mapping!$E$140:$K$2771,5,0)</f>
        <v>Contracts</v>
      </c>
      <c r="AK975" s="7" t="str">
        <f>VLOOKUP($AE975,Mapping!$E$140:$K$2771,7,0)</f>
        <v>ENDirect</v>
      </c>
      <c r="AL975" s="7" t="str">
        <f>IFERROR(HLOOKUP(AJ975,'Calc|Weightings'!$K$5:$M$5,1,0),"Excl")</f>
        <v>Contracts</v>
      </c>
      <c r="AM975" s="7" t="str">
        <f>VLOOKUP(AC975,Mapping!$E$11:$I$96,5,0)</f>
        <v>SCS</v>
      </c>
      <c r="AO975" s="134">
        <v>145</v>
      </c>
      <c r="AP975" s="135" t="s">
        <v>2155</v>
      </c>
      <c r="AQ975" s="135">
        <v>522100</v>
      </c>
      <c r="AR975" s="135" t="s">
        <v>2115</v>
      </c>
      <c r="AS975" s="136">
        <v>0.05</v>
      </c>
      <c r="AU975" s="7" t="str">
        <f>VLOOKUP($AO975,Mapping!$E$11:$I$96,3,0)</f>
        <v>Replacement</v>
      </c>
      <c r="AV975" s="7" t="str">
        <f>VLOOKUP($AQ975,Mapping!$E$140:$K$2771,5,0)</f>
        <v>Materials</v>
      </c>
      <c r="AW975" s="7" t="str">
        <f>VLOOKUP($AQ975,Mapping!$E$140:$K$2771,7,0)</f>
        <v>ENDirect</v>
      </c>
      <c r="AX975" s="7" t="str">
        <f>IFERROR(HLOOKUP(AV975,'Calc|Weightings'!$K$5:$M$5,1,0),"Excl")</f>
        <v>Materials</v>
      </c>
      <c r="AY975" s="7" t="str">
        <f>VLOOKUP(AO975,Mapping!$E$11:$I$96,5,0)</f>
        <v>SCS</v>
      </c>
    </row>
    <row r="976" spans="1:51" x14ac:dyDescent="0.2">
      <c r="A976" s="7"/>
      <c r="B976" s="7"/>
      <c r="C976" s="7"/>
      <c r="D976" s="7"/>
      <c r="E976" s="36">
        <v>141</v>
      </c>
      <c r="F976" s="36" t="s">
        <v>2149</v>
      </c>
      <c r="G976" s="36">
        <v>531466</v>
      </c>
      <c r="H976" s="36" t="s">
        <v>258</v>
      </c>
      <c r="I976" s="37">
        <v>132.06713999999999</v>
      </c>
      <c r="J976" s="7"/>
      <c r="K976" s="7" t="str">
        <f>VLOOKUP($E976,Mapping!$E$11:$I$96,3,0)</f>
        <v>Replacement</v>
      </c>
      <c r="L976" s="7" t="str">
        <f>VLOOKUP($G976,Mapping!$E$140:$K$2771,5,0)</f>
        <v>Contracts</v>
      </c>
      <c r="M976" s="7" t="str">
        <f>VLOOKUP($G976,Mapping!$E$140:$K$2771,7,0)</f>
        <v>ENDirect</v>
      </c>
      <c r="N976" s="7" t="str">
        <f>IFERROR(HLOOKUP(L976,'Calc|Weightings'!$K$5:$M$5,1,0),"Excl")</f>
        <v>Contracts</v>
      </c>
      <c r="O976" s="7" t="str">
        <f>VLOOKUP(E976,Mapping!$E$11:$I$96,5,0)</f>
        <v>SCS</v>
      </c>
      <c r="Q976" s="33">
        <v>143</v>
      </c>
      <c r="R976" s="33" t="s">
        <v>2153</v>
      </c>
      <c r="S976" s="33">
        <v>613310</v>
      </c>
      <c r="T976" s="33" t="s">
        <v>2095</v>
      </c>
      <c r="U976" s="34">
        <v>27.424890000000001</v>
      </c>
      <c r="V976" s="7"/>
      <c r="W976" s="7" t="str">
        <f>VLOOKUP($Q976,Mapping!$E$11:$I$96,3,0)</f>
        <v>Replacement</v>
      </c>
      <c r="X976" s="7" t="str">
        <f>VLOOKUP($S976,Mapping!$E$140:$K$2771,5,0)</f>
        <v>Labour</v>
      </c>
      <c r="Y976" s="7" t="str">
        <f>VLOOKUP($S976,Mapping!$E$140:$K$2771,7,0)</f>
        <v>ENDirect</v>
      </c>
      <c r="Z976" s="7" t="str">
        <f>IFERROR(HLOOKUP(X976,'Calc|Weightings'!$K$5:$M$5,1,0),"Excl")</f>
        <v>Labour</v>
      </c>
      <c r="AA976" s="7" t="str">
        <f>VLOOKUP(Q976,Mapping!$E$11:$I$96,5,0)</f>
        <v>SCS</v>
      </c>
      <c r="AC976" s="111">
        <v>143</v>
      </c>
      <c r="AD976" s="111" t="s">
        <v>2153</v>
      </c>
      <c r="AE976" s="111">
        <v>613240</v>
      </c>
      <c r="AF976" s="111" t="s">
        <v>2082</v>
      </c>
      <c r="AG976" s="112">
        <v>15.52473</v>
      </c>
      <c r="AI976" s="7" t="str">
        <f>VLOOKUP($AC976,Mapping!$E$11:$I$96,3,0)</f>
        <v>Replacement</v>
      </c>
      <c r="AJ976" s="7" t="str">
        <f>VLOOKUP($AE976,Mapping!$E$140:$K$2771,5,0)</f>
        <v>Labour</v>
      </c>
      <c r="AK976" s="7" t="str">
        <f>VLOOKUP($AE976,Mapping!$E$140:$K$2771,7,0)</f>
        <v>ENDirect</v>
      </c>
      <c r="AL976" s="7" t="str">
        <f>IFERROR(HLOOKUP(AJ976,'Calc|Weightings'!$K$5:$M$5,1,0),"Excl")</f>
        <v>Labour</v>
      </c>
      <c r="AM976" s="7" t="str">
        <f>VLOOKUP(AC976,Mapping!$E$11:$I$96,5,0)</f>
        <v>SCS</v>
      </c>
      <c r="AO976" s="134">
        <v>145</v>
      </c>
      <c r="AP976" s="135" t="s">
        <v>2155</v>
      </c>
      <c r="AQ976" s="135">
        <v>523100</v>
      </c>
      <c r="AR976" s="135" t="s">
        <v>2074</v>
      </c>
      <c r="AS976" s="136">
        <v>0.57191000000000003</v>
      </c>
      <c r="AU976" s="7" t="str">
        <f>VLOOKUP($AO976,Mapping!$E$11:$I$96,3,0)</f>
        <v>Replacement</v>
      </c>
      <c r="AV976" s="7" t="str">
        <f>VLOOKUP($AQ976,Mapping!$E$140:$K$2771,5,0)</f>
        <v>Materials</v>
      </c>
      <c r="AW976" s="7" t="str">
        <f>VLOOKUP($AQ976,Mapping!$E$140:$K$2771,7,0)</f>
        <v>ENDirect</v>
      </c>
      <c r="AX976" s="7" t="str">
        <f>IFERROR(HLOOKUP(AV976,'Calc|Weightings'!$K$5:$M$5,1,0),"Excl")</f>
        <v>Materials</v>
      </c>
      <c r="AY976" s="7" t="str">
        <f>VLOOKUP(AO976,Mapping!$E$11:$I$96,5,0)</f>
        <v>SCS</v>
      </c>
    </row>
    <row r="977" spans="1:51" x14ac:dyDescent="0.2">
      <c r="A977" s="7"/>
      <c r="B977" s="7"/>
      <c r="C977" s="7"/>
      <c r="D977" s="7"/>
      <c r="E977" s="36">
        <v>141</v>
      </c>
      <c r="F977" s="36" t="s">
        <v>2149</v>
      </c>
      <c r="G977" s="36">
        <v>531467</v>
      </c>
      <c r="H977" s="36" t="s">
        <v>259</v>
      </c>
      <c r="I977" s="37">
        <v>129.63915</v>
      </c>
      <c r="J977" s="7"/>
      <c r="K977" s="7" t="str">
        <f>VLOOKUP($E977,Mapping!$E$11:$I$96,3,0)</f>
        <v>Replacement</v>
      </c>
      <c r="L977" s="7" t="str">
        <f>VLOOKUP($G977,Mapping!$E$140:$K$2771,5,0)</f>
        <v>Contracts</v>
      </c>
      <c r="M977" s="7" t="str">
        <f>VLOOKUP($G977,Mapping!$E$140:$K$2771,7,0)</f>
        <v>ENDirect</v>
      </c>
      <c r="N977" s="7" t="str">
        <f>IFERROR(HLOOKUP(L977,'Calc|Weightings'!$K$5:$M$5,1,0),"Excl")</f>
        <v>Contracts</v>
      </c>
      <c r="O977" s="7" t="str">
        <f>VLOOKUP(E977,Mapping!$E$11:$I$96,5,0)</f>
        <v>SCS</v>
      </c>
      <c r="Q977" s="33">
        <v>143</v>
      </c>
      <c r="R977" s="33" t="s">
        <v>2153</v>
      </c>
      <c r="S977" s="33">
        <v>613311</v>
      </c>
      <c r="T977" s="33" t="s">
        <v>2116</v>
      </c>
      <c r="U977" s="34">
        <v>1.21665</v>
      </c>
      <c r="V977" s="7"/>
      <c r="W977" s="7" t="str">
        <f>VLOOKUP($Q977,Mapping!$E$11:$I$96,3,0)</f>
        <v>Replacement</v>
      </c>
      <c r="X977" s="7" t="str">
        <f>VLOOKUP($S977,Mapping!$E$140:$K$2771,5,0)</f>
        <v>Labour</v>
      </c>
      <c r="Y977" s="7" t="str">
        <f>VLOOKUP($S977,Mapping!$E$140:$K$2771,7,0)</f>
        <v>ENDirect</v>
      </c>
      <c r="Z977" s="7" t="str">
        <f>IFERROR(HLOOKUP(X977,'Calc|Weightings'!$K$5:$M$5,1,0),"Excl")</f>
        <v>Labour</v>
      </c>
      <c r="AA977" s="7" t="str">
        <f>VLOOKUP(Q977,Mapping!$E$11:$I$96,5,0)</f>
        <v>SCS</v>
      </c>
      <c r="AC977" s="111">
        <v>143</v>
      </c>
      <c r="AD977" s="111" t="s">
        <v>2153</v>
      </c>
      <c r="AE977" s="111">
        <v>613241</v>
      </c>
      <c r="AF977" s="111" t="s">
        <v>2083</v>
      </c>
      <c r="AG977" s="112">
        <v>3.8365</v>
      </c>
      <c r="AI977" s="7" t="str">
        <f>VLOOKUP($AC977,Mapping!$E$11:$I$96,3,0)</f>
        <v>Replacement</v>
      </c>
      <c r="AJ977" s="7" t="str">
        <f>VLOOKUP($AE977,Mapping!$E$140:$K$2771,5,0)</f>
        <v>Labour</v>
      </c>
      <c r="AK977" s="7" t="str">
        <f>VLOOKUP($AE977,Mapping!$E$140:$K$2771,7,0)</f>
        <v>ENDirect</v>
      </c>
      <c r="AL977" s="7" t="str">
        <f>IFERROR(HLOOKUP(AJ977,'Calc|Weightings'!$K$5:$M$5,1,0),"Excl")</f>
        <v>Labour</v>
      </c>
      <c r="AM977" s="7" t="str">
        <f>VLOOKUP(AC977,Mapping!$E$11:$I$96,5,0)</f>
        <v>SCS</v>
      </c>
      <c r="AO977" s="134">
        <v>145</v>
      </c>
      <c r="AP977" s="135" t="s">
        <v>2155</v>
      </c>
      <c r="AQ977" s="135">
        <v>523300</v>
      </c>
      <c r="AR977" s="135" t="s">
        <v>2075</v>
      </c>
      <c r="AS977" s="136">
        <v>0.39356999999999998</v>
      </c>
      <c r="AU977" s="7" t="str">
        <f>VLOOKUP($AO977,Mapping!$E$11:$I$96,3,0)</f>
        <v>Replacement</v>
      </c>
      <c r="AV977" s="7" t="str">
        <f>VLOOKUP($AQ977,Mapping!$E$140:$K$2771,5,0)</f>
        <v>Materials</v>
      </c>
      <c r="AW977" s="7" t="str">
        <f>VLOOKUP($AQ977,Mapping!$E$140:$K$2771,7,0)</f>
        <v>ENDirect</v>
      </c>
      <c r="AX977" s="7" t="str">
        <f>IFERROR(HLOOKUP(AV977,'Calc|Weightings'!$K$5:$M$5,1,0),"Excl")</f>
        <v>Materials</v>
      </c>
      <c r="AY977" s="7" t="str">
        <f>VLOOKUP(AO977,Mapping!$E$11:$I$96,5,0)</f>
        <v>SCS</v>
      </c>
    </row>
    <row r="978" spans="1:51" x14ac:dyDescent="0.2">
      <c r="A978" s="7"/>
      <c r="B978" s="7"/>
      <c r="C978" s="7"/>
      <c r="D978" s="7"/>
      <c r="E978" s="36">
        <v>141</v>
      </c>
      <c r="F978" s="36" t="s">
        <v>2149</v>
      </c>
      <c r="G978" s="36">
        <v>531468</v>
      </c>
      <c r="H978" s="36" t="s">
        <v>260</v>
      </c>
      <c r="I978" s="37">
        <v>41.383960000000002</v>
      </c>
      <c r="J978" s="7"/>
      <c r="K978" s="7" t="str">
        <f>VLOOKUP($E978,Mapping!$E$11:$I$96,3,0)</f>
        <v>Replacement</v>
      </c>
      <c r="L978" s="7" t="str">
        <f>VLOOKUP($G978,Mapping!$E$140:$K$2771,5,0)</f>
        <v>Contracts</v>
      </c>
      <c r="M978" s="7" t="str">
        <f>VLOOKUP($G978,Mapping!$E$140:$K$2771,7,0)</f>
        <v>ENDirect</v>
      </c>
      <c r="N978" s="7" t="str">
        <f>IFERROR(HLOOKUP(L978,'Calc|Weightings'!$K$5:$M$5,1,0),"Excl")</f>
        <v>Contracts</v>
      </c>
      <c r="O978" s="7" t="str">
        <f>VLOOKUP(E978,Mapping!$E$11:$I$96,5,0)</f>
        <v>SCS</v>
      </c>
      <c r="Q978" s="33">
        <v>143</v>
      </c>
      <c r="R978" s="33" t="s">
        <v>2153</v>
      </c>
      <c r="S978" s="33">
        <v>613350</v>
      </c>
      <c r="T978" s="33" t="s">
        <v>2096</v>
      </c>
      <c r="U978" s="34">
        <v>3.5187900000000001</v>
      </c>
      <c r="V978" s="7"/>
      <c r="W978" s="7" t="str">
        <f>VLOOKUP($Q978,Mapping!$E$11:$I$96,3,0)</f>
        <v>Replacement</v>
      </c>
      <c r="X978" s="7" t="str">
        <f>VLOOKUP($S978,Mapping!$E$140:$K$2771,5,0)</f>
        <v>Labour</v>
      </c>
      <c r="Y978" s="7" t="str">
        <f>VLOOKUP($S978,Mapping!$E$140:$K$2771,7,0)</f>
        <v>ENDirect</v>
      </c>
      <c r="Z978" s="7" t="str">
        <f>IFERROR(HLOOKUP(X978,'Calc|Weightings'!$K$5:$M$5,1,0),"Excl")</f>
        <v>Labour</v>
      </c>
      <c r="AA978" s="7" t="str">
        <f>VLOOKUP(Q978,Mapping!$E$11:$I$96,5,0)</f>
        <v>SCS</v>
      </c>
      <c r="AC978" s="111">
        <v>143</v>
      </c>
      <c r="AD978" s="111" t="s">
        <v>2153</v>
      </c>
      <c r="AE978" s="111">
        <v>613250</v>
      </c>
      <c r="AF978" s="111" t="s">
        <v>2086</v>
      </c>
      <c r="AG978" s="112">
        <v>10.499470000000001</v>
      </c>
      <c r="AI978" s="7" t="str">
        <f>VLOOKUP($AC978,Mapping!$E$11:$I$96,3,0)</f>
        <v>Replacement</v>
      </c>
      <c r="AJ978" s="7" t="str">
        <f>VLOOKUP($AE978,Mapping!$E$140:$K$2771,5,0)</f>
        <v>Labour</v>
      </c>
      <c r="AK978" s="7" t="str">
        <f>VLOOKUP($AE978,Mapping!$E$140:$K$2771,7,0)</f>
        <v>ENDirect</v>
      </c>
      <c r="AL978" s="7" t="str">
        <f>IFERROR(HLOOKUP(AJ978,'Calc|Weightings'!$K$5:$M$5,1,0),"Excl")</f>
        <v>Labour</v>
      </c>
      <c r="AM978" s="7" t="str">
        <f>VLOOKUP(AC978,Mapping!$E$11:$I$96,5,0)</f>
        <v>SCS</v>
      </c>
      <c r="AO978" s="134">
        <v>145</v>
      </c>
      <c r="AP978" s="135" t="s">
        <v>2155</v>
      </c>
      <c r="AQ978" s="135">
        <v>531464</v>
      </c>
      <c r="AR978" s="135" t="s">
        <v>256</v>
      </c>
      <c r="AS978" s="136">
        <v>106.37942</v>
      </c>
      <c r="AU978" s="7" t="str">
        <f>VLOOKUP($AO978,Mapping!$E$11:$I$96,3,0)</f>
        <v>Replacement</v>
      </c>
      <c r="AV978" s="7" t="str">
        <f>VLOOKUP($AQ978,Mapping!$E$140:$K$2771,5,0)</f>
        <v>Contracts</v>
      </c>
      <c r="AW978" s="7" t="str">
        <f>VLOOKUP($AQ978,Mapping!$E$140:$K$2771,7,0)</f>
        <v>ENDirect</v>
      </c>
      <c r="AX978" s="7" t="str">
        <f>IFERROR(HLOOKUP(AV978,'Calc|Weightings'!$K$5:$M$5,1,0),"Excl")</f>
        <v>Contracts</v>
      </c>
      <c r="AY978" s="7" t="str">
        <f>VLOOKUP(AO978,Mapping!$E$11:$I$96,5,0)</f>
        <v>SCS</v>
      </c>
    </row>
    <row r="979" spans="1:51" x14ac:dyDescent="0.2">
      <c r="A979" s="7"/>
      <c r="B979" s="7"/>
      <c r="C979" s="7"/>
      <c r="D979" s="7"/>
      <c r="E979" s="36">
        <v>141</v>
      </c>
      <c r="F979" s="36" t="s">
        <v>2149</v>
      </c>
      <c r="G979" s="36">
        <v>531485</v>
      </c>
      <c r="H979" s="36" t="s">
        <v>2350</v>
      </c>
      <c r="I979" s="37">
        <v>-1.73438</v>
      </c>
      <c r="J979" s="7"/>
      <c r="K979" s="7" t="str">
        <f>VLOOKUP($E979,Mapping!$E$11:$I$96,3,0)</f>
        <v>Replacement</v>
      </c>
      <c r="L979" s="7" t="str">
        <f>VLOOKUP($G979,Mapping!$E$140:$K$2771,5,0)</f>
        <v>Contracts</v>
      </c>
      <c r="M979" s="7" t="str">
        <f>VLOOKUP($G979,Mapping!$E$140:$K$2771,7,0)</f>
        <v>ENDirect</v>
      </c>
      <c r="N979" s="7" t="str">
        <f>IFERROR(HLOOKUP(L979,'Calc|Weightings'!$K$5:$M$5,1,0),"Excl")</f>
        <v>Contracts</v>
      </c>
      <c r="O979" s="7" t="str">
        <f>VLOOKUP(E979,Mapping!$E$11:$I$96,5,0)</f>
        <v>SCS</v>
      </c>
      <c r="Q979" s="33">
        <v>143</v>
      </c>
      <c r="R979" s="33" t="s">
        <v>2153</v>
      </c>
      <c r="S979" s="33">
        <v>613360</v>
      </c>
      <c r="T979" s="33" t="s">
        <v>2097</v>
      </c>
      <c r="U979" s="34">
        <v>65.818569999999994</v>
      </c>
      <c r="V979" s="7"/>
      <c r="W979" s="7" t="str">
        <f>VLOOKUP($Q979,Mapping!$E$11:$I$96,3,0)</f>
        <v>Replacement</v>
      </c>
      <c r="X979" s="7" t="str">
        <f>VLOOKUP($S979,Mapping!$E$140:$K$2771,5,0)</f>
        <v>Labour</v>
      </c>
      <c r="Y979" s="7" t="str">
        <f>VLOOKUP($S979,Mapping!$E$140:$K$2771,7,0)</f>
        <v>ENDirect</v>
      </c>
      <c r="Z979" s="7" t="str">
        <f>IFERROR(HLOOKUP(X979,'Calc|Weightings'!$K$5:$M$5,1,0),"Excl")</f>
        <v>Labour</v>
      </c>
      <c r="AA979" s="7" t="str">
        <f>VLOOKUP(Q979,Mapping!$E$11:$I$96,5,0)</f>
        <v>SCS</v>
      </c>
      <c r="AC979" s="111">
        <v>143</v>
      </c>
      <c r="AD979" s="111" t="s">
        <v>2153</v>
      </c>
      <c r="AE979" s="111">
        <v>613251</v>
      </c>
      <c r="AF979" s="111" t="s">
        <v>2087</v>
      </c>
      <c r="AG979" s="112">
        <v>5.5964700000000001</v>
      </c>
      <c r="AI979" s="7" t="str">
        <f>VLOOKUP($AC979,Mapping!$E$11:$I$96,3,0)</f>
        <v>Replacement</v>
      </c>
      <c r="AJ979" s="7" t="str">
        <f>VLOOKUP($AE979,Mapping!$E$140:$K$2771,5,0)</f>
        <v>Labour</v>
      </c>
      <c r="AK979" s="7" t="str">
        <f>VLOOKUP($AE979,Mapping!$E$140:$K$2771,7,0)</f>
        <v>ENDirect</v>
      </c>
      <c r="AL979" s="7" t="str">
        <f>IFERROR(HLOOKUP(AJ979,'Calc|Weightings'!$K$5:$M$5,1,0),"Excl")</f>
        <v>Labour</v>
      </c>
      <c r="AM979" s="7" t="str">
        <f>VLOOKUP(AC979,Mapping!$E$11:$I$96,5,0)</f>
        <v>SCS</v>
      </c>
      <c r="AO979" s="134">
        <v>145</v>
      </c>
      <c r="AP979" s="135" t="s">
        <v>2155</v>
      </c>
      <c r="AQ979" s="135">
        <v>531466</v>
      </c>
      <c r="AR979" s="135" t="s">
        <v>258</v>
      </c>
      <c r="AS979" s="136">
        <v>1.0999999999999999E-2</v>
      </c>
      <c r="AU979" s="7" t="str">
        <f>VLOOKUP($AO979,Mapping!$E$11:$I$96,3,0)</f>
        <v>Replacement</v>
      </c>
      <c r="AV979" s="7" t="str">
        <f>VLOOKUP($AQ979,Mapping!$E$140:$K$2771,5,0)</f>
        <v>Contracts</v>
      </c>
      <c r="AW979" s="7" t="str">
        <f>VLOOKUP($AQ979,Mapping!$E$140:$K$2771,7,0)</f>
        <v>ENDirect</v>
      </c>
      <c r="AX979" s="7" t="str">
        <f>IFERROR(HLOOKUP(AV979,'Calc|Weightings'!$K$5:$M$5,1,0),"Excl")</f>
        <v>Contracts</v>
      </c>
      <c r="AY979" s="7" t="str">
        <f>VLOOKUP(AO979,Mapping!$E$11:$I$96,5,0)</f>
        <v>SCS</v>
      </c>
    </row>
    <row r="980" spans="1:51" x14ac:dyDescent="0.2">
      <c r="A980" s="7"/>
      <c r="B980" s="7"/>
      <c r="C980" s="7"/>
      <c r="D980" s="7"/>
      <c r="E980" s="36">
        <v>141</v>
      </c>
      <c r="F980" s="36" t="s">
        <v>2149</v>
      </c>
      <c r="G980" s="36">
        <v>531492</v>
      </c>
      <c r="H980" s="36" t="s">
        <v>2382</v>
      </c>
      <c r="I980" s="37">
        <v>-41.997970000000002</v>
      </c>
      <c r="J980" s="7"/>
      <c r="K980" s="7" t="str">
        <f>VLOOKUP($E980,Mapping!$E$11:$I$96,3,0)</f>
        <v>Replacement</v>
      </c>
      <c r="L980" s="7" t="str">
        <f>VLOOKUP($G980,Mapping!$E$140:$K$2771,5,0)</f>
        <v>Contracts</v>
      </c>
      <c r="M980" s="7" t="str">
        <f>VLOOKUP($G980,Mapping!$E$140:$K$2771,7,0)</f>
        <v>ENDirect</v>
      </c>
      <c r="N980" s="7" t="str">
        <f>IFERROR(HLOOKUP(L980,'Calc|Weightings'!$K$5:$M$5,1,0),"Excl")</f>
        <v>Contracts</v>
      </c>
      <c r="O980" s="7" t="str">
        <f>VLOOKUP(E980,Mapping!$E$11:$I$96,5,0)</f>
        <v>SCS</v>
      </c>
      <c r="Q980" s="33">
        <v>143</v>
      </c>
      <c r="R980" s="33" t="s">
        <v>2153</v>
      </c>
      <c r="S980" s="33">
        <v>613361</v>
      </c>
      <c r="T980" s="33" t="s">
        <v>2098</v>
      </c>
      <c r="U980" s="34">
        <v>0.22012999999999999</v>
      </c>
      <c r="V980" s="7"/>
      <c r="W980" s="7" t="str">
        <f>VLOOKUP($Q980,Mapping!$E$11:$I$96,3,0)</f>
        <v>Replacement</v>
      </c>
      <c r="X980" s="7" t="str">
        <f>VLOOKUP($S980,Mapping!$E$140:$K$2771,5,0)</f>
        <v>Labour</v>
      </c>
      <c r="Y980" s="7" t="str">
        <f>VLOOKUP($S980,Mapping!$E$140:$K$2771,7,0)</f>
        <v>ENDirect</v>
      </c>
      <c r="Z980" s="7" t="str">
        <f>IFERROR(HLOOKUP(X980,'Calc|Weightings'!$K$5:$M$5,1,0),"Excl")</f>
        <v>Labour</v>
      </c>
      <c r="AA980" s="7" t="str">
        <f>VLOOKUP(Q980,Mapping!$E$11:$I$96,5,0)</f>
        <v>SCS</v>
      </c>
      <c r="AC980" s="111">
        <v>143</v>
      </c>
      <c r="AD980" s="111" t="s">
        <v>2153</v>
      </c>
      <c r="AE980" s="111">
        <v>613254</v>
      </c>
      <c r="AF980" s="111" t="s">
        <v>2088</v>
      </c>
      <c r="AG980" s="112">
        <v>0.73939999999999995</v>
      </c>
      <c r="AI980" s="7" t="str">
        <f>VLOOKUP($AC980,Mapping!$E$11:$I$96,3,0)</f>
        <v>Replacement</v>
      </c>
      <c r="AJ980" s="7" t="str">
        <f>VLOOKUP($AE980,Mapping!$E$140:$K$2771,5,0)</f>
        <v>Labour</v>
      </c>
      <c r="AK980" s="7" t="str">
        <f>VLOOKUP($AE980,Mapping!$E$140:$K$2771,7,0)</f>
        <v>ENDirect</v>
      </c>
      <c r="AL980" s="7" t="str">
        <f>IFERROR(HLOOKUP(AJ980,'Calc|Weightings'!$K$5:$M$5,1,0),"Excl")</f>
        <v>Labour</v>
      </c>
      <c r="AM980" s="7" t="str">
        <f>VLOOKUP(AC980,Mapping!$E$11:$I$96,5,0)</f>
        <v>SCS</v>
      </c>
      <c r="AO980" s="134">
        <v>145</v>
      </c>
      <c r="AP980" s="135" t="s">
        <v>2155</v>
      </c>
      <c r="AQ980" s="135">
        <v>531467</v>
      </c>
      <c r="AR980" s="135" t="s">
        <v>259</v>
      </c>
      <c r="AS980" s="136">
        <v>46.625369999999997</v>
      </c>
      <c r="AU980" s="7" t="str">
        <f>VLOOKUP($AO980,Mapping!$E$11:$I$96,3,0)</f>
        <v>Replacement</v>
      </c>
      <c r="AV980" s="7" t="str">
        <f>VLOOKUP($AQ980,Mapping!$E$140:$K$2771,5,0)</f>
        <v>Contracts</v>
      </c>
      <c r="AW980" s="7" t="str">
        <f>VLOOKUP($AQ980,Mapping!$E$140:$K$2771,7,0)</f>
        <v>ENDirect</v>
      </c>
      <c r="AX980" s="7" t="str">
        <f>IFERROR(HLOOKUP(AV980,'Calc|Weightings'!$K$5:$M$5,1,0),"Excl")</f>
        <v>Contracts</v>
      </c>
      <c r="AY980" s="7" t="str">
        <f>VLOOKUP(AO980,Mapping!$E$11:$I$96,5,0)</f>
        <v>SCS</v>
      </c>
    </row>
    <row r="981" spans="1:51" x14ac:dyDescent="0.2">
      <c r="A981" s="7"/>
      <c r="B981" s="7"/>
      <c r="C981" s="7"/>
      <c r="D981" s="7"/>
      <c r="E981" s="36">
        <v>141</v>
      </c>
      <c r="F981" s="36" t="s">
        <v>2149</v>
      </c>
      <c r="G981" s="36">
        <v>531495</v>
      </c>
      <c r="H981" s="36" t="s">
        <v>2353</v>
      </c>
      <c r="I981" s="37">
        <v>-176.79793000000001</v>
      </c>
      <c r="J981" s="7"/>
      <c r="K981" s="7" t="str">
        <f>VLOOKUP($E981,Mapping!$E$11:$I$96,3,0)</f>
        <v>Replacement</v>
      </c>
      <c r="L981" s="7" t="str">
        <f>VLOOKUP($G981,Mapping!$E$140:$K$2771,5,0)</f>
        <v>Contracts</v>
      </c>
      <c r="M981" s="7" t="str">
        <f>VLOOKUP($G981,Mapping!$E$140:$K$2771,7,0)</f>
        <v>ENDirect</v>
      </c>
      <c r="N981" s="7" t="str">
        <f>IFERROR(HLOOKUP(L981,'Calc|Weightings'!$K$5:$M$5,1,0),"Excl")</f>
        <v>Contracts</v>
      </c>
      <c r="O981" s="7" t="str">
        <f>VLOOKUP(E981,Mapping!$E$11:$I$96,5,0)</f>
        <v>SCS</v>
      </c>
      <c r="Q981" s="33">
        <v>143</v>
      </c>
      <c r="R981" s="33" t="s">
        <v>2153</v>
      </c>
      <c r="S981" s="33">
        <v>613400</v>
      </c>
      <c r="T981" s="33" t="s">
        <v>2099</v>
      </c>
      <c r="U981" s="34">
        <v>0.50983999999999996</v>
      </c>
      <c r="V981" s="7"/>
      <c r="W981" s="7" t="str">
        <f>VLOOKUP($Q981,Mapping!$E$11:$I$96,3,0)</f>
        <v>Replacement</v>
      </c>
      <c r="X981" s="7" t="str">
        <f>VLOOKUP($S981,Mapping!$E$140:$K$2771,5,0)</f>
        <v>Labour</v>
      </c>
      <c r="Y981" s="7" t="str">
        <f>VLOOKUP($S981,Mapping!$E$140:$K$2771,7,0)</f>
        <v>ENDirect</v>
      </c>
      <c r="Z981" s="7" t="str">
        <f>IFERROR(HLOOKUP(X981,'Calc|Weightings'!$K$5:$M$5,1,0),"Excl")</f>
        <v>Labour</v>
      </c>
      <c r="AA981" s="7" t="str">
        <f>VLOOKUP(Q981,Mapping!$E$11:$I$96,5,0)</f>
        <v>SCS</v>
      </c>
      <c r="AC981" s="111">
        <v>143</v>
      </c>
      <c r="AD981" s="111" t="s">
        <v>2153</v>
      </c>
      <c r="AE981" s="111">
        <v>613260</v>
      </c>
      <c r="AF981" s="111" t="s">
        <v>2090</v>
      </c>
      <c r="AG981" s="112">
        <v>3.17584</v>
      </c>
      <c r="AI981" s="7" t="str">
        <f>VLOOKUP($AC981,Mapping!$E$11:$I$96,3,0)</f>
        <v>Replacement</v>
      </c>
      <c r="AJ981" s="7" t="str">
        <f>VLOOKUP($AE981,Mapping!$E$140:$K$2771,5,0)</f>
        <v>Labour</v>
      </c>
      <c r="AK981" s="7" t="str">
        <f>VLOOKUP($AE981,Mapping!$E$140:$K$2771,7,0)</f>
        <v>ENDirect</v>
      </c>
      <c r="AL981" s="7" t="str">
        <f>IFERROR(HLOOKUP(AJ981,'Calc|Weightings'!$K$5:$M$5,1,0),"Excl")</f>
        <v>Labour</v>
      </c>
      <c r="AM981" s="7" t="str">
        <f>VLOOKUP(AC981,Mapping!$E$11:$I$96,5,0)</f>
        <v>SCS</v>
      </c>
      <c r="AO981" s="134">
        <v>145</v>
      </c>
      <c r="AP981" s="135" t="s">
        <v>2155</v>
      </c>
      <c r="AQ981" s="135">
        <v>531468</v>
      </c>
      <c r="AR981" s="135" t="s">
        <v>260</v>
      </c>
      <c r="AS981" s="136">
        <v>48.623359999999998</v>
      </c>
      <c r="AU981" s="7" t="str">
        <f>VLOOKUP($AO981,Mapping!$E$11:$I$96,3,0)</f>
        <v>Replacement</v>
      </c>
      <c r="AV981" s="7" t="str">
        <f>VLOOKUP($AQ981,Mapping!$E$140:$K$2771,5,0)</f>
        <v>Contracts</v>
      </c>
      <c r="AW981" s="7" t="str">
        <f>VLOOKUP($AQ981,Mapping!$E$140:$K$2771,7,0)</f>
        <v>ENDirect</v>
      </c>
      <c r="AX981" s="7" t="str">
        <f>IFERROR(HLOOKUP(AV981,'Calc|Weightings'!$K$5:$M$5,1,0),"Excl")</f>
        <v>Contracts</v>
      </c>
      <c r="AY981" s="7" t="str">
        <f>VLOOKUP(AO981,Mapping!$E$11:$I$96,5,0)</f>
        <v>SCS</v>
      </c>
    </row>
    <row r="982" spans="1:51" x14ac:dyDescent="0.2">
      <c r="A982" s="7"/>
      <c r="B982" s="7"/>
      <c r="C982" s="7"/>
      <c r="D982" s="7"/>
      <c r="E982" s="36">
        <v>141</v>
      </c>
      <c r="F982" s="36" t="s">
        <v>2149</v>
      </c>
      <c r="G982" s="36">
        <v>591997</v>
      </c>
      <c r="H982" s="36" t="s">
        <v>2194</v>
      </c>
      <c r="I982" s="37">
        <v>-2.4764900000000001</v>
      </c>
      <c r="J982" s="7"/>
      <c r="K982" s="7" t="str">
        <f>VLOOKUP($E982,Mapping!$E$11:$I$96,3,0)</f>
        <v>Replacement</v>
      </c>
      <c r="L982" s="7" t="str">
        <f>VLOOKUP($G982,Mapping!$E$140:$K$2771,5,0)</f>
        <v>Contracts</v>
      </c>
      <c r="M982" s="7" t="str">
        <f>VLOOKUP($G982,Mapping!$E$140:$K$2771,7,0)</f>
        <v>ENDirect</v>
      </c>
      <c r="N982" s="7" t="str">
        <f>IFERROR(HLOOKUP(L982,'Calc|Weightings'!$K$5:$M$5,1,0),"Excl")</f>
        <v>Contracts</v>
      </c>
      <c r="O982" s="7" t="str">
        <f>VLOOKUP(E982,Mapping!$E$11:$I$96,5,0)</f>
        <v>SCS</v>
      </c>
      <c r="Q982" s="33">
        <v>143</v>
      </c>
      <c r="R982" s="33" t="s">
        <v>2153</v>
      </c>
      <c r="S982" s="33">
        <v>613410</v>
      </c>
      <c r="T982" s="33" t="s">
        <v>2100</v>
      </c>
      <c r="U982" s="34">
        <v>3.29725</v>
      </c>
      <c r="V982" s="7"/>
      <c r="W982" s="7" t="str">
        <f>VLOOKUP($Q982,Mapping!$E$11:$I$96,3,0)</f>
        <v>Replacement</v>
      </c>
      <c r="X982" s="7" t="str">
        <f>VLOOKUP($S982,Mapping!$E$140:$K$2771,5,0)</f>
        <v>Labour</v>
      </c>
      <c r="Y982" s="7" t="str">
        <f>VLOOKUP($S982,Mapping!$E$140:$K$2771,7,0)</f>
        <v>ENDirect</v>
      </c>
      <c r="Z982" s="7" t="str">
        <f>IFERROR(HLOOKUP(X982,'Calc|Weightings'!$K$5:$M$5,1,0),"Excl")</f>
        <v>Labour</v>
      </c>
      <c r="AA982" s="7" t="str">
        <f>VLOOKUP(Q982,Mapping!$E$11:$I$96,5,0)</f>
        <v>SCS</v>
      </c>
      <c r="AC982" s="111">
        <v>143</v>
      </c>
      <c r="AD982" s="111" t="s">
        <v>2153</v>
      </c>
      <c r="AE982" s="111">
        <v>613280</v>
      </c>
      <c r="AF982" s="111" t="s">
        <v>1342</v>
      </c>
      <c r="AG982" s="112">
        <v>84.756150000000005</v>
      </c>
      <c r="AI982" s="7" t="str">
        <f>VLOOKUP($AC982,Mapping!$E$11:$I$96,3,0)</f>
        <v>Replacement</v>
      </c>
      <c r="AJ982" s="7" t="str">
        <f>VLOOKUP($AE982,Mapping!$E$140:$K$2771,5,0)</f>
        <v>Labour</v>
      </c>
      <c r="AK982" s="7" t="str">
        <f>VLOOKUP($AE982,Mapping!$E$140:$K$2771,7,0)</f>
        <v>ENDirect</v>
      </c>
      <c r="AL982" s="7" t="str">
        <f>IFERROR(HLOOKUP(AJ982,'Calc|Weightings'!$K$5:$M$5,1,0),"Excl")</f>
        <v>Labour</v>
      </c>
      <c r="AM982" s="7" t="str">
        <f>VLOOKUP(AC982,Mapping!$E$11:$I$96,5,0)</f>
        <v>SCS</v>
      </c>
      <c r="AO982" s="134">
        <v>145</v>
      </c>
      <c r="AP982" s="135" t="s">
        <v>2155</v>
      </c>
      <c r="AQ982" s="135">
        <v>532200</v>
      </c>
      <c r="AR982" s="135" t="s">
        <v>291</v>
      </c>
      <c r="AS982" s="136">
        <v>0.93500000000000005</v>
      </c>
      <c r="AU982" s="7" t="str">
        <f>VLOOKUP($AO982,Mapping!$E$11:$I$96,3,0)</f>
        <v>Replacement</v>
      </c>
      <c r="AV982" s="7" t="str">
        <f>VLOOKUP($AQ982,Mapping!$E$140:$K$2771,5,0)</f>
        <v>Contracts</v>
      </c>
      <c r="AW982" s="7" t="str">
        <f>VLOOKUP($AQ982,Mapping!$E$140:$K$2771,7,0)</f>
        <v>ENDirect</v>
      </c>
      <c r="AX982" s="7" t="str">
        <f>IFERROR(HLOOKUP(AV982,'Calc|Weightings'!$K$5:$M$5,1,0),"Excl")</f>
        <v>Contracts</v>
      </c>
      <c r="AY982" s="7" t="str">
        <f>VLOOKUP(AO982,Mapping!$E$11:$I$96,5,0)</f>
        <v>SCS</v>
      </c>
    </row>
    <row r="983" spans="1:51" x14ac:dyDescent="0.2">
      <c r="A983" s="7"/>
      <c r="B983" s="7"/>
      <c r="C983" s="7"/>
      <c r="D983" s="7"/>
      <c r="E983" s="36">
        <v>141</v>
      </c>
      <c r="F983" s="36" t="s">
        <v>2149</v>
      </c>
      <c r="G983" s="36">
        <v>591999</v>
      </c>
      <c r="H983" s="36" t="s">
        <v>2195</v>
      </c>
      <c r="I983" s="37">
        <v>-17.30245</v>
      </c>
      <c r="J983" s="7"/>
      <c r="K983" s="7" t="str">
        <f>VLOOKUP($E983,Mapping!$E$11:$I$96,3,0)</f>
        <v>Replacement</v>
      </c>
      <c r="L983" s="7" t="str">
        <f>VLOOKUP($G983,Mapping!$E$140:$K$2771,5,0)</f>
        <v>Contracts</v>
      </c>
      <c r="M983" s="7" t="str">
        <f>VLOOKUP($G983,Mapping!$E$140:$K$2771,7,0)</f>
        <v>ENDirect</v>
      </c>
      <c r="N983" s="7" t="str">
        <f>IFERROR(HLOOKUP(L983,'Calc|Weightings'!$K$5:$M$5,1,0),"Excl")</f>
        <v>Contracts</v>
      </c>
      <c r="O983" s="7" t="str">
        <f>VLOOKUP(E983,Mapping!$E$11:$I$96,5,0)</f>
        <v>SCS</v>
      </c>
      <c r="Q983" s="33">
        <v>143</v>
      </c>
      <c r="R983" s="33" t="s">
        <v>2153</v>
      </c>
      <c r="S983" s="33">
        <v>613434</v>
      </c>
      <c r="T983" s="33" t="s">
        <v>2102</v>
      </c>
      <c r="U983" s="34">
        <v>2.4807999999999999</v>
      </c>
      <c r="V983" s="7"/>
      <c r="W983" s="7" t="str">
        <f>VLOOKUP($Q983,Mapping!$E$11:$I$96,3,0)</f>
        <v>Replacement</v>
      </c>
      <c r="X983" s="7" t="str">
        <f>VLOOKUP($S983,Mapping!$E$140:$K$2771,5,0)</f>
        <v>Labour</v>
      </c>
      <c r="Y983" s="7" t="str">
        <f>VLOOKUP($S983,Mapping!$E$140:$K$2771,7,0)</f>
        <v>ENDirect</v>
      </c>
      <c r="Z983" s="7" t="str">
        <f>IFERROR(HLOOKUP(X983,'Calc|Weightings'!$K$5:$M$5,1,0),"Excl")</f>
        <v>Labour</v>
      </c>
      <c r="AA983" s="7" t="str">
        <f>VLOOKUP(Q983,Mapping!$E$11:$I$96,5,0)</f>
        <v>SCS</v>
      </c>
      <c r="AC983" s="111">
        <v>143</v>
      </c>
      <c r="AD983" s="111" t="s">
        <v>2153</v>
      </c>
      <c r="AE983" s="111">
        <v>613290</v>
      </c>
      <c r="AF983" s="111" t="s">
        <v>2093</v>
      </c>
      <c r="AG983" s="112">
        <v>101.85881000000001</v>
      </c>
      <c r="AI983" s="7" t="str">
        <f>VLOOKUP($AC983,Mapping!$E$11:$I$96,3,0)</f>
        <v>Replacement</v>
      </c>
      <c r="AJ983" s="7" t="str">
        <f>VLOOKUP($AE983,Mapping!$E$140:$K$2771,5,0)</f>
        <v>Labour</v>
      </c>
      <c r="AK983" s="7" t="str">
        <f>VLOOKUP($AE983,Mapping!$E$140:$K$2771,7,0)</f>
        <v>ENDirect</v>
      </c>
      <c r="AL983" s="7" t="str">
        <f>IFERROR(HLOOKUP(AJ983,'Calc|Weightings'!$K$5:$M$5,1,0),"Excl")</f>
        <v>Labour</v>
      </c>
      <c r="AM983" s="7" t="str">
        <f>VLOOKUP(AC983,Mapping!$E$11:$I$96,5,0)</f>
        <v>SCS</v>
      </c>
      <c r="AO983" s="134">
        <v>145</v>
      </c>
      <c r="AP983" s="135" t="s">
        <v>2155</v>
      </c>
      <c r="AQ983" s="135">
        <v>532340</v>
      </c>
      <c r="AR983" s="135" t="s">
        <v>299</v>
      </c>
      <c r="AS983" s="136">
        <v>2.7839999999999998</v>
      </c>
      <c r="AU983" s="7" t="str">
        <f>VLOOKUP($AO983,Mapping!$E$11:$I$96,3,0)</f>
        <v>Replacement</v>
      </c>
      <c r="AV983" s="7" t="str">
        <f>VLOOKUP($AQ983,Mapping!$E$140:$K$2771,5,0)</f>
        <v>Contracts</v>
      </c>
      <c r="AW983" s="7" t="str">
        <f>VLOOKUP($AQ983,Mapping!$E$140:$K$2771,7,0)</f>
        <v>ENDirect</v>
      </c>
      <c r="AX983" s="7" t="str">
        <f>IFERROR(HLOOKUP(AV983,'Calc|Weightings'!$K$5:$M$5,1,0),"Excl")</f>
        <v>Contracts</v>
      </c>
      <c r="AY983" s="7" t="str">
        <f>VLOOKUP(AO983,Mapping!$E$11:$I$96,5,0)</f>
        <v>SCS</v>
      </c>
    </row>
    <row r="984" spans="1:51" x14ac:dyDescent="0.2">
      <c r="A984" s="7"/>
      <c r="B984" s="7"/>
      <c r="C984" s="7"/>
      <c r="D984" s="7"/>
      <c r="E984" s="36">
        <v>141</v>
      </c>
      <c r="F984" s="36" t="s">
        <v>2149</v>
      </c>
      <c r="G984" s="36">
        <v>611860</v>
      </c>
      <c r="H984" s="36" t="s">
        <v>2125</v>
      </c>
      <c r="I984" s="37">
        <v>0.84384000000000003</v>
      </c>
      <c r="J984" s="7"/>
      <c r="K984" s="7" t="str">
        <f>VLOOKUP($E984,Mapping!$E$11:$I$96,3,0)</f>
        <v>Replacement</v>
      </c>
      <c r="L984" s="7" t="str">
        <f>VLOOKUP($G984,Mapping!$E$140:$K$2771,5,0)</f>
        <v>Labour</v>
      </c>
      <c r="M984" s="7" t="str">
        <f>VLOOKUP($G984,Mapping!$E$140:$K$2771,7,0)</f>
        <v>ENDirect</v>
      </c>
      <c r="N984" s="7" t="str">
        <f>IFERROR(HLOOKUP(L984,'Calc|Weightings'!$K$5:$M$5,1,0),"Excl")</f>
        <v>Labour</v>
      </c>
      <c r="O984" s="7" t="str">
        <f>VLOOKUP(E984,Mapping!$E$11:$I$96,5,0)</f>
        <v>SCS</v>
      </c>
      <c r="Q984" s="33">
        <v>143</v>
      </c>
      <c r="R984" s="33" t="s">
        <v>2153</v>
      </c>
      <c r="S984" s="33">
        <v>613440</v>
      </c>
      <c r="T984" s="33" t="s">
        <v>2103</v>
      </c>
      <c r="U984" s="34">
        <v>1.43083</v>
      </c>
      <c r="V984" s="7"/>
      <c r="W984" s="7" t="str">
        <f>VLOOKUP($Q984,Mapping!$E$11:$I$96,3,0)</f>
        <v>Replacement</v>
      </c>
      <c r="X984" s="7" t="str">
        <f>VLOOKUP($S984,Mapping!$E$140:$K$2771,5,0)</f>
        <v>Labour</v>
      </c>
      <c r="Y984" s="7" t="str">
        <f>VLOOKUP($S984,Mapping!$E$140:$K$2771,7,0)</f>
        <v>ENDirect</v>
      </c>
      <c r="Z984" s="7" t="str">
        <f>IFERROR(HLOOKUP(X984,'Calc|Weightings'!$K$5:$M$5,1,0),"Excl")</f>
        <v>Labour</v>
      </c>
      <c r="AA984" s="7" t="str">
        <f>VLOOKUP(Q984,Mapping!$E$11:$I$96,5,0)</f>
        <v>SCS</v>
      </c>
      <c r="AC984" s="111">
        <v>143</v>
      </c>
      <c r="AD984" s="111" t="s">
        <v>2153</v>
      </c>
      <c r="AE984" s="111">
        <v>613291</v>
      </c>
      <c r="AF984" s="111" t="s">
        <v>2094</v>
      </c>
      <c r="AG984" s="112">
        <v>6.7519999999999998</v>
      </c>
      <c r="AI984" s="7" t="str">
        <f>VLOOKUP($AC984,Mapping!$E$11:$I$96,3,0)</f>
        <v>Replacement</v>
      </c>
      <c r="AJ984" s="7" t="str">
        <f>VLOOKUP($AE984,Mapping!$E$140:$K$2771,5,0)</f>
        <v>Labour</v>
      </c>
      <c r="AK984" s="7" t="str">
        <f>VLOOKUP($AE984,Mapping!$E$140:$K$2771,7,0)</f>
        <v>ENDirect</v>
      </c>
      <c r="AL984" s="7" t="str">
        <f>IFERROR(HLOOKUP(AJ984,'Calc|Weightings'!$K$5:$M$5,1,0),"Excl")</f>
        <v>Labour</v>
      </c>
      <c r="AM984" s="7" t="str">
        <f>VLOOKUP(AC984,Mapping!$E$11:$I$96,5,0)</f>
        <v>SCS</v>
      </c>
      <c r="AO984" s="134">
        <v>145</v>
      </c>
      <c r="AP984" s="135" t="s">
        <v>2155</v>
      </c>
      <c r="AQ984" s="135">
        <v>591997</v>
      </c>
      <c r="AR984" s="135" t="s">
        <v>2194</v>
      </c>
      <c r="AS984" s="136">
        <v>-0.32284000000000002</v>
      </c>
      <c r="AU984" s="7" t="str">
        <f>VLOOKUP($AO984,Mapping!$E$11:$I$96,3,0)</f>
        <v>Replacement</v>
      </c>
      <c r="AV984" s="7" t="str">
        <f>VLOOKUP($AQ984,Mapping!$E$140:$K$2771,5,0)</f>
        <v>Contracts</v>
      </c>
      <c r="AW984" s="7" t="str">
        <f>VLOOKUP($AQ984,Mapping!$E$140:$K$2771,7,0)</f>
        <v>ENDirect</v>
      </c>
      <c r="AX984" s="7" t="str">
        <f>IFERROR(HLOOKUP(AV984,'Calc|Weightings'!$K$5:$M$5,1,0),"Excl")</f>
        <v>Contracts</v>
      </c>
      <c r="AY984" s="7" t="str">
        <f>VLOOKUP(AO984,Mapping!$E$11:$I$96,5,0)</f>
        <v>SCS</v>
      </c>
    </row>
    <row r="985" spans="1:51" x14ac:dyDescent="0.2">
      <c r="A985" s="7"/>
      <c r="B985" s="7"/>
      <c r="C985" s="7"/>
      <c r="D985" s="7"/>
      <c r="E985" s="36">
        <v>141</v>
      </c>
      <c r="F985" s="36" t="s">
        <v>2149</v>
      </c>
      <c r="G985" s="36">
        <v>611900</v>
      </c>
      <c r="H985" s="36" t="s">
        <v>2079</v>
      </c>
      <c r="I985" s="37">
        <v>6.1445999999999996</v>
      </c>
      <c r="J985" s="7"/>
      <c r="K985" s="7" t="str">
        <f>VLOOKUP($E985,Mapping!$E$11:$I$96,3,0)</f>
        <v>Replacement</v>
      </c>
      <c r="L985" s="7" t="str">
        <f>VLOOKUP($G985,Mapping!$E$140:$K$2771,5,0)</f>
        <v>Contracts</v>
      </c>
      <c r="M985" s="7" t="str">
        <f>VLOOKUP($G985,Mapping!$E$140:$K$2771,7,0)</f>
        <v>ENDirect</v>
      </c>
      <c r="N985" s="7" t="str">
        <f>IFERROR(HLOOKUP(L985,'Calc|Weightings'!$K$5:$M$5,1,0),"Excl")</f>
        <v>Contracts</v>
      </c>
      <c r="O985" s="7" t="str">
        <f>VLOOKUP(E985,Mapping!$E$11:$I$96,5,0)</f>
        <v>SCS</v>
      </c>
      <c r="Q985" s="33">
        <v>143</v>
      </c>
      <c r="R985" s="33" t="s">
        <v>2153</v>
      </c>
      <c r="S985" s="33">
        <v>613441</v>
      </c>
      <c r="T985" s="33" t="s">
        <v>2104</v>
      </c>
      <c r="U985" s="34">
        <v>0.23734</v>
      </c>
      <c r="V985" s="7"/>
      <c r="W985" s="7" t="str">
        <f>VLOOKUP($Q985,Mapping!$E$11:$I$96,3,0)</f>
        <v>Replacement</v>
      </c>
      <c r="X985" s="7" t="str">
        <f>VLOOKUP($S985,Mapping!$E$140:$K$2771,5,0)</f>
        <v>Labour</v>
      </c>
      <c r="Y985" s="7" t="str">
        <f>VLOOKUP($S985,Mapping!$E$140:$K$2771,7,0)</f>
        <v>ENDirect</v>
      </c>
      <c r="Z985" s="7" t="str">
        <f>IFERROR(HLOOKUP(X985,'Calc|Weightings'!$K$5:$M$5,1,0),"Excl")</f>
        <v>Labour</v>
      </c>
      <c r="AA985" s="7" t="str">
        <f>VLOOKUP(Q985,Mapping!$E$11:$I$96,5,0)</f>
        <v>SCS</v>
      </c>
      <c r="AC985" s="111">
        <v>143</v>
      </c>
      <c r="AD985" s="111" t="s">
        <v>2153</v>
      </c>
      <c r="AE985" s="111">
        <v>613310</v>
      </c>
      <c r="AF985" s="111" t="s">
        <v>2095</v>
      </c>
      <c r="AG985" s="112">
        <v>11.84084</v>
      </c>
      <c r="AI985" s="7" t="str">
        <f>VLOOKUP($AC985,Mapping!$E$11:$I$96,3,0)</f>
        <v>Replacement</v>
      </c>
      <c r="AJ985" s="7" t="str">
        <f>VLOOKUP($AE985,Mapping!$E$140:$K$2771,5,0)</f>
        <v>Labour</v>
      </c>
      <c r="AK985" s="7" t="str">
        <f>VLOOKUP($AE985,Mapping!$E$140:$K$2771,7,0)</f>
        <v>ENDirect</v>
      </c>
      <c r="AL985" s="7" t="str">
        <f>IFERROR(HLOOKUP(AJ985,'Calc|Weightings'!$K$5:$M$5,1,0),"Excl")</f>
        <v>Labour</v>
      </c>
      <c r="AM985" s="7" t="str">
        <f>VLOOKUP(AC985,Mapping!$E$11:$I$96,5,0)</f>
        <v>SCS</v>
      </c>
      <c r="AO985" s="134">
        <v>145</v>
      </c>
      <c r="AP985" s="135" t="s">
        <v>2155</v>
      </c>
      <c r="AQ985" s="135">
        <v>591999</v>
      </c>
      <c r="AR985" s="135" t="s">
        <v>2195</v>
      </c>
      <c r="AS985" s="136">
        <v>-4.0593300000000001</v>
      </c>
      <c r="AU985" s="7" t="str">
        <f>VLOOKUP($AO985,Mapping!$E$11:$I$96,3,0)</f>
        <v>Replacement</v>
      </c>
      <c r="AV985" s="7" t="str">
        <f>VLOOKUP($AQ985,Mapping!$E$140:$K$2771,5,0)</f>
        <v>Contracts</v>
      </c>
      <c r="AW985" s="7" t="str">
        <f>VLOOKUP($AQ985,Mapping!$E$140:$K$2771,7,0)</f>
        <v>ENDirect</v>
      </c>
      <c r="AX985" s="7" t="str">
        <f>IFERROR(HLOOKUP(AV985,'Calc|Weightings'!$K$5:$M$5,1,0),"Excl")</f>
        <v>Contracts</v>
      </c>
      <c r="AY985" s="7" t="str">
        <f>VLOOKUP(AO985,Mapping!$E$11:$I$96,5,0)</f>
        <v>SCS</v>
      </c>
    </row>
    <row r="986" spans="1:51" x14ac:dyDescent="0.2">
      <c r="A986" s="7"/>
      <c r="B986" s="7"/>
      <c r="C986" s="7"/>
      <c r="D986" s="7"/>
      <c r="E986" s="36">
        <v>141</v>
      </c>
      <c r="F986" s="36" t="s">
        <v>2149</v>
      </c>
      <c r="G986" s="36">
        <v>611901</v>
      </c>
      <c r="H986" s="36" t="s">
        <v>2080</v>
      </c>
      <c r="I986" s="37">
        <v>23.953849999999999</v>
      </c>
      <c r="J986" s="7"/>
      <c r="K986" s="7" t="str">
        <f>VLOOKUP($E986,Mapping!$E$11:$I$96,3,0)</f>
        <v>Replacement</v>
      </c>
      <c r="L986" s="7" t="str">
        <f>VLOOKUP($G986,Mapping!$E$140:$K$2771,5,0)</f>
        <v>Contracts</v>
      </c>
      <c r="M986" s="7" t="str">
        <f>VLOOKUP($G986,Mapping!$E$140:$K$2771,7,0)</f>
        <v>ENDirect</v>
      </c>
      <c r="N986" s="7" t="str">
        <f>IFERROR(HLOOKUP(L986,'Calc|Weightings'!$K$5:$M$5,1,0),"Excl")</f>
        <v>Contracts</v>
      </c>
      <c r="O986" s="7" t="str">
        <f>VLOOKUP(E986,Mapping!$E$11:$I$96,5,0)</f>
        <v>SCS</v>
      </c>
      <c r="Q986" s="33">
        <v>143</v>
      </c>
      <c r="R986" s="33" t="s">
        <v>2153</v>
      </c>
      <c r="S986" s="33">
        <v>613448</v>
      </c>
      <c r="T986" s="33" t="s">
        <v>2105</v>
      </c>
      <c r="U986" s="34">
        <v>4.2080000000000002</v>
      </c>
      <c r="V986" s="7"/>
      <c r="W986" s="7" t="str">
        <f>VLOOKUP($Q986,Mapping!$E$11:$I$96,3,0)</f>
        <v>Replacement</v>
      </c>
      <c r="X986" s="7" t="str">
        <f>VLOOKUP($S986,Mapping!$E$140:$K$2771,5,0)</f>
        <v>Labour</v>
      </c>
      <c r="Y986" s="7" t="str">
        <f>VLOOKUP($S986,Mapping!$E$140:$K$2771,7,0)</f>
        <v>ENDirect</v>
      </c>
      <c r="Z986" s="7" t="str">
        <f>IFERROR(HLOOKUP(X986,'Calc|Weightings'!$K$5:$M$5,1,0),"Excl")</f>
        <v>Labour</v>
      </c>
      <c r="AA986" s="7" t="str">
        <f>VLOOKUP(Q986,Mapping!$E$11:$I$96,5,0)</f>
        <v>SCS</v>
      </c>
      <c r="AC986" s="111">
        <v>143</v>
      </c>
      <c r="AD986" s="111" t="s">
        <v>2153</v>
      </c>
      <c r="AE986" s="111">
        <v>613350</v>
      </c>
      <c r="AF986" s="111" t="s">
        <v>2096</v>
      </c>
      <c r="AG986" s="112">
        <v>11.33893</v>
      </c>
      <c r="AI986" s="7" t="str">
        <f>VLOOKUP($AC986,Mapping!$E$11:$I$96,3,0)</f>
        <v>Replacement</v>
      </c>
      <c r="AJ986" s="7" t="str">
        <f>VLOOKUP($AE986,Mapping!$E$140:$K$2771,5,0)</f>
        <v>Labour</v>
      </c>
      <c r="AK986" s="7" t="str">
        <f>VLOOKUP($AE986,Mapping!$E$140:$K$2771,7,0)</f>
        <v>ENDirect</v>
      </c>
      <c r="AL986" s="7" t="str">
        <f>IFERROR(HLOOKUP(AJ986,'Calc|Weightings'!$K$5:$M$5,1,0),"Excl")</f>
        <v>Labour</v>
      </c>
      <c r="AM986" s="7" t="str">
        <f>VLOOKUP(AC986,Mapping!$E$11:$I$96,5,0)</f>
        <v>SCS</v>
      </c>
      <c r="AO986" s="134">
        <v>145</v>
      </c>
      <c r="AP986" s="135" t="s">
        <v>2155</v>
      </c>
      <c r="AQ986" s="135">
        <v>611900</v>
      </c>
      <c r="AR986" s="135" t="s">
        <v>2079</v>
      </c>
      <c r="AS986" s="136">
        <v>1.8364199999999999</v>
      </c>
      <c r="AU986" s="7" t="str">
        <f>VLOOKUP($AO986,Mapping!$E$11:$I$96,3,0)</f>
        <v>Replacement</v>
      </c>
      <c r="AV986" s="7" t="str">
        <f>VLOOKUP($AQ986,Mapping!$E$140:$K$2771,5,0)</f>
        <v>Contracts</v>
      </c>
      <c r="AW986" s="7" t="str">
        <f>VLOOKUP($AQ986,Mapping!$E$140:$K$2771,7,0)</f>
        <v>ENDirect</v>
      </c>
      <c r="AX986" s="7" t="str">
        <f>IFERROR(HLOOKUP(AV986,'Calc|Weightings'!$K$5:$M$5,1,0),"Excl")</f>
        <v>Contracts</v>
      </c>
      <c r="AY986" s="7" t="str">
        <f>VLOOKUP(AO986,Mapping!$E$11:$I$96,5,0)</f>
        <v>SCS</v>
      </c>
    </row>
    <row r="987" spans="1:51" x14ac:dyDescent="0.2">
      <c r="A987" s="7"/>
      <c r="B987" s="7"/>
      <c r="C987" s="7"/>
      <c r="D987" s="7"/>
      <c r="E987" s="36">
        <v>141</v>
      </c>
      <c r="F987" s="36" t="s">
        <v>2149</v>
      </c>
      <c r="G987" s="36">
        <v>613240</v>
      </c>
      <c r="H987" s="36" t="s">
        <v>2082</v>
      </c>
      <c r="I987" s="37">
        <v>113.98885</v>
      </c>
      <c r="J987" s="7"/>
      <c r="K987" s="7" t="str">
        <f>VLOOKUP($E987,Mapping!$E$11:$I$96,3,0)</f>
        <v>Replacement</v>
      </c>
      <c r="L987" s="7" t="str">
        <f>VLOOKUP($G987,Mapping!$E$140:$K$2771,5,0)</f>
        <v>Labour</v>
      </c>
      <c r="M987" s="7" t="str">
        <f>VLOOKUP($G987,Mapping!$E$140:$K$2771,7,0)</f>
        <v>ENDirect</v>
      </c>
      <c r="N987" s="7" t="str">
        <f>IFERROR(HLOOKUP(L987,'Calc|Weightings'!$K$5:$M$5,1,0),"Excl")</f>
        <v>Labour</v>
      </c>
      <c r="O987" s="7" t="str">
        <f>VLOOKUP(E987,Mapping!$E$11:$I$96,5,0)</f>
        <v>SCS</v>
      </c>
      <c r="Q987" s="33">
        <v>143</v>
      </c>
      <c r="R987" s="33" t="s">
        <v>2153</v>
      </c>
      <c r="S987" s="33">
        <v>613566</v>
      </c>
      <c r="T987" s="33" t="s">
        <v>1482</v>
      </c>
      <c r="U987" s="34">
        <v>26.063300000000002</v>
      </c>
      <c r="V987" s="7"/>
      <c r="W987" s="7" t="str">
        <f>VLOOKUP($Q987,Mapping!$E$11:$I$96,3,0)</f>
        <v>Replacement</v>
      </c>
      <c r="X987" s="7" t="str">
        <f>VLOOKUP($S987,Mapping!$E$140:$K$2771,5,0)</f>
        <v>Labour</v>
      </c>
      <c r="Y987" s="7" t="str">
        <f>VLOOKUP($S987,Mapping!$E$140:$K$2771,7,0)</f>
        <v>ENDirect</v>
      </c>
      <c r="Z987" s="7" t="str">
        <f>IFERROR(HLOOKUP(X987,'Calc|Weightings'!$K$5:$M$5,1,0),"Excl")</f>
        <v>Labour</v>
      </c>
      <c r="AA987" s="7" t="str">
        <f>VLOOKUP(Q987,Mapping!$E$11:$I$96,5,0)</f>
        <v>SCS</v>
      </c>
      <c r="AC987" s="111">
        <v>143</v>
      </c>
      <c r="AD987" s="111" t="s">
        <v>2153</v>
      </c>
      <c r="AE987" s="111">
        <v>613360</v>
      </c>
      <c r="AF987" s="111" t="s">
        <v>2097</v>
      </c>
      <c r="AG987" s="112">
        <v>16.906400000000001</v>
      </c>
      <c r="AI987" s="7" t="str">
        <f>VLOOKUP($AC987,Mapping!$E$11:$I$96,3,0)</f>
        <v>Replacement</v>
      </c>
      <c r="AJ987" s="7" t="str">
        <f>VLOOKUP($AE987,Mapping!$E$140:$K$2771,5,0)</f>
        <v>Labour</v>
      </c>
      <c r="AK987" s="7" t="str">
        <f>VLOOKUP($AE987,Mapping!$E$140:$K$2771,7,0)</f>
        <v>ENDirect</v>
      </c>
      <c r="AL987" s="7" t="str">
        <f>IFERROR(HLOOKUP(AJ987,'Calc|Weightings'!$K$5:$M$5,1,0),"Excl")</f>
        <v>Labour</v>
      </c>
      <c r="AM987" s="7" t="str">
        <f>VLOOKUP(AC987,Mapping!$E$11:$I$96,5,0)</f>
        <v>SCS</v>
      </c>
      <c r="AO987" s="134">
        <v>145</v>
      </c>
      <c r="AP987" s="135" t="s">
        <v>2155</v>
      </c>
      <c r="AQ987" s="135">
        <v>611901</v>
      </c>
      <c r="AR987" s="135" t="s">
        <v>2080</v>
      </c>
      <c r="AS987" s="136">
        <v>3.80382</v>
      </c>
      <c r="AU987" s="7" t="str">
        <f>VLOOKUP($AO987,Mapping!$E$11:$I$96,3,0)</f>
        <v>Replacement</v>
      </c>
      <c r="AV987" s="7" t="str">
        <f>VLOOKUP($AQ987,Mapping!$E$140:$K$2771,5,0)</f>
        <v>Contracts</v>
      </c>
      <c r="AW987" s="7" t="str">
        <f>VLOOKUP($AQ987,Mapping!$E$140:$K$2771,7,0)</f>
        <v>ENDirect</v>
      </c>
      <c r="AX987" s="7" t="str">
        <f>IFERROR(HLOOKUP(AV987,'Calc|Weightings'!$K$5:$M$5,1,0),"Excl")</f>
        <v>Contracts</v>
      </c>
      <c r="AY987" s="7" t="str">
        <f>VLOOKUP(AO987,Mapping!$E$11:$I$96,5,0)</f>
        <v>SCS</v>
      </c>
    </row>
    <row r="988" spans="1:51" x14ac:dyDescent="0.2">
      <c r="A988" s="7"/>
      <c r="B988" s="7"/>
      <c r="C988" s="7"/>
      <c r="D988" s="7"/>
      <c r="E988" s="36">
        <v>141</v>
      </c>
      <c r="F988" s="36" t="s">
        <v>2149</v>
      </c>
      <c r="G988" s="36">
        <v>613241</v>
      </c>
      <c r="H988" s="36" t="s">
        <v>2083</v>
      </c>
      <c r="I988" s="37">
        <v>5.9029800000000003</v>
      </c>
      <c r="J988" s="7"/>
      <c r="K988" s="7" t="str">
        <f>VLOOKUP($E988,Mapping!$E$11:$I$96,3,0)</f>
        <v>Replacement</v>
      </c>
      <c r="L988" s="7" t="str">
        <f>VLOOKUP($G988,Mapping!$E$140:$K$2771,5,0)</f>
        <v>Labour</v>
      </c>
      <c r="M988" s="7" t="str">
        <f>VLOOKUP($G988,Mapping!$E$140:$K$2771,7,0)</f>
        <v>ENDirect</v>
      </c>
      <c r="N988" s="7" t="str">
        <f>IFERROR(HLOOKUP(L988,'Calc|Weightings'!$K$5:$M$5,1,0),"Excl")</f>
        <v>Labour</v>
      </c>
      <c r="O988" s="7" t="str">
        <f>VLOOKUP(E988,Mapping!$E$11:$I$96,5,0)</f>
        <v>SCS</v>
      </c>
      <c r="Q988" s="33">
        <v>143</v>
      </c>
      <c r="R988" s="33" t="s">
        <v>2153</v>
      </c>
      <c r="S988" s="33">
        <v>613567</v>
      </c>
      <c r="T988" s="33" t="s">
        <v>1483</v>
      </c>
      <c r="U988" s="34">
        <v>1.8824399999999999</v>
      </c>
      <c r="V988" s="7"/>
      <c r="W988" s="7" t="str">
        <f>VLOOKUP($Q988,Mapping!$E$11:$I$96,3,0)</f>
        <v>Replacement</v>
      </c>
      <c r="X988" s="7" t="str">
        <f>VLOOKUP($S988,Mapping!$E$140:$K$2771,5,0)</f>
        <v>Labour</v>
      </c>
      <c r="Y988" s="7" t="str">
        <f>VLOOKUP($S988,Mapping!$E$140:$K$2771,7,0)</f>
        <v>ENDirect</v>
      </c>
      <c r="Z988" s="7" t="str">
        <f>IFERROR(HLOOKUP(X988,'Calc|Weightings'!$K$5:$M$5,1,0),"Excl")</f>
        <v>Labour</v>
      </c>
      <c r="AA988" s="7" t="str">
        <f>VLOOKUP(Q988,Mapping!$E$11:$I$96,5,0)</f>
        <v>SCS</v>
      </c>
      <c r="AC988" s="111">
        <v>143</v>
      </c>
      <c r="AD988" s="111" t="s">
        <v>2153</v>
      </c>
      <c r="AE988" s="111">
        <v>613361</v>
      </c>
      <c r="AF988" s="111" t="s">
        <v>2098</v>
      </c>
      <c r="AG988" s="112">
        <v>0.15919</v>
      </c>
      <c r="AI988" s="7" t="str">
        <f>VLOOKUP($AC988,Mapping!$E$11:$I$96,3,0)</f>
        <v>Replacement</v>
      </c>
      <c r="AJ988" s="7" t="str">
        <f>VLOOKUP($AE988,Mapping!$E$140:$K$2771,5,0)</f>
        <v>Labour</v>
      </c>
      <c r="AK988" s="7" t="str">
        <f>VLOOKUP($AE988,Mapping!$E$140:$K$2771,7,0)</f>
        <v>ENDirect</v>
      </c>
      <c r="AL988" s="7" t="str">
        <f>IFERROR(HLOOKUP(AJ988,'Calc|Weightings'!$K$5:$M$5,1,0),"Excl")</f>
        <v>Labour</v>
      </c>
      <c r="AM988" s="7" t="str">
        <f>VLOOKUP(AC988,Mapping!$E$11:$I$96,5,0)</f>
        <v>SCS</v>
      </c>
      <c r="AO988" s="134">
        <v>145</v>
      </c>
      <c r="AP988" s="135" t="s">
        <v>2155</v>
      </c>
      <c r="AQ988" s="135">
        <v>613240</v>
      </c>
      <c r="AR988" s="135" t="s">
        <v>2082</v>
      </c>
      <c r="AS988" s="136">
        <v>56.58428</v>
      </c>
      <c r="AU988" s="7" t="str">
        <f>VLOOKUP($AO988,Mapping!$E$11:$I$96,3,0)</f>
        <v>Replacement</v>
      </c>
      <c r="AV988" s="7" t="str">
        <f>VLOOKUP($AQ988,Mapping!$E$140:$K$2771,5,0)</f>
        <v>Labour</v>
      </c>
      <c r="AW988" s="7" t="str">
        <f>VLOOKUP($AQ988,Mapping!$E$140:$K$2771,7,0)</f>
        <v>ENDirect</v>
      </c>
      <c r="AX988" s="7" t="str">
        <f>IFERROR(HLOOKUP(AV988,'Calc|Weightings'!$K$5:$M$5,1,0),"Excl")</f>
        <v>Labour</v>
      </c>
      <c r="AY988" s="7" t="str">
        <f>VLOOKUP(AO988,Mapping!$E$11:$I$96,5,0)</f>
        <v>SCS</v>
      </c>
    </row>
    <row r="989" spans="1:51" x14ac:dyDescent="0.2">
      <c r="A989" s="7"/>
      <c r="B989" s="7"/>
      <c r="C989" s="7"/>
      <c r="D989" s="7"/>
      <c r="E989" s="36">
        <v>141</v>
      </c>
      <c r="F989" s="36" t="s">
        <v>2149</v>
      </c>
      <c r="G989" s="36">
        <v>613248</v>
      </c>
      <c r="H989" s="36" t="s">
        <v>2383</v>
      </c>
      <c r="I989" s="37">
        <v>177.63603000000001</v>
      </c>
      <c r="J989" s="7"/>
      <c r="K989" s="7" t="str">
        <f>VLOOKUP($E989,Mapping!$E$11:$I$96,3,0)</f>
        <v>Replacement</v>
      </c>
      <c r="L989" s="7" t="str">
        <f>VLOOKUP($G989,Mapping!$E$140:$K$2771,5,0)</f>
        <v>Labour</v>
      </c>
      <c r="M989" s="7" t="str">
        <f>VLOOKUP($G989,Mapping!$E$140:$K$2771,7,0)</f>
        <v>ENDirect</v>
      </c>
      <c r="N989" s="7" t="str">
        <f>IFERROR(HLOOKUP(L989,'Calc|Weightings'!$K$5:$M$5,1,0),"Excl")</f>
        <v>Labour</v>
      </c>
      <c r="O989" s="7" t="str">
        <f>VLOOKUP(E989,Mapping!$E$11:$I$96,5,0)</f>
        <v>SCS</v>
      </c>
      <c r="Q989" s="33">
        <v>143</v>
      </c>
      <c r="R989" s="33" t="s">
        <v>2153</v>
      </c>
      <c r="S989" s="33">
        <v>613570</v>
      </c>
      <c r="T989" s="33" t="s">
        <v>1484</v>
      </c>
      <c r="U989" s="34">
        <v>9.5594999999999999</v>
      </c>
      <c r="V989" s="7"/>
      <c r="W989" s="7" t="str">
        <f>VLOOKUP($Q989,Mapping!$E$11:$I$96,3,0)</f>
        <v>Replacement</v>
      </c>
      <c r="X989" s="7" t="str">
        <f>VLOOKUP($S989,Mapping!$E$140:$K$2771,5,0)</f>
        <v>Labour</v>
      </c>
      <c r="Y989" s="7" t="str">
        <f>VLOOKUP($S989,Mapping!$E$140:$K$2771,7,0)</f>
        <v>ENDirect</v>
      </c>
      <c r="Z989" s="7" t="str">
        <f>IFERROR(HLOOKUP(X989,'Calc|Weightings'!$K$5:$M$5,1,0),"Excl")</f>
        <v>Labour</v>
      </c>
      <c r="AA989" s="7" t="str">
        <f>VLOOKUP(Q989,Mapping!$E$11:$I$96,5,0)</f>
        <v>SCS</v>
      </c>
      <c r="AC989" s="111">
        <v>143</v>
      </c>
      <c r="AD989" s="111" t="s">
        <v>2153</v>
      </c>
      <c r="AE989" s="111">
        <v>613370</v>
      </c>
      <c r="AF989" s="111" t="s">
        <v>1402</v>
      </c>
      <c r="AG989" s="112">
        <v>4.5498900000000004</v>
      </c>
      <c r="AI989" s="7" t="str">
        <f>VLOOKUP($AC989,Mapping!$E$11:$I$96,3,0)</f>
        <v>Replacement</v>
      </c>
      <c r="AJ989" s="7" t="str">
        <f>VLOOKUP($AE989,Mapping!$E$140:$K$2771,5,0)</f>
        <v>Labour</v>
      </c>
      <c r="AK989" s="7" t="str">
        <f>VLOOKUP($AE989,Mapping!$E$140:$K$2771,7,0)</f>
        <v>ENDirect</v>
      </c>
      <c r="AL989" s="7" t="str">
        <f>IFERROR(HLOOKUP(AJ989,'Calc|Weightings'!$K$5:$M$5,1,0),"Excl")</f>
        <v>Labour</v>
      </c>
      <c r="AM989" s="7" t="str">
        <f>VLOOKUP(AC989,Mapping!$E$11:$I$96,5,0)</f>
        <v>SCS</v>
      </c>
      <c r="AO989" s="134">
        <v>145</v>
      </c>
      <c r="AP989" s="135" t="s">
        <v>2155</v>
      </c>
      <c r="AQ989" s="135">
        <v>613241</v>
      </c>
      <c r="AR989" s="135" t="s">
        <v>2083</v>
      </c>
      <c r="AS989" s="136">
        <v>15.79471</v>
      </c>
      <c r="AU989" s="7" t="str">
        <f>VLOOKUP($AO989,Mapping!$E$11:$I$96,3,0)</f>
        <v>Replacement</v>
      </c>
      <c r="AV989" s="7" t="str">
        <f>VLOOKUP($AQ989,Mapping!$E$140:$K$2771,5,0)</f>
        <v>Labour</v>
      </c>
      <c r="AW989" s="7" t="str">
        <f>VLOOKUP($AQ989,Mapping!$E$140:$K$2771,7,0)</f>
        <v>ENDirect</v>
      </c>
      <c r="AX989" s="7" t="str">
        <f>IFERROR(HLOOKUP(AV989,'Calc|Weightings'!$K$5:$M$5,1,0),"Excl")</f>
        <v>Labour</v>
      </c>
      <c r="AY989" s="7" t="str">
        <f>VLOOKUP(AO989,Mapping!$E$11:$I$96,5,0)</f>
        <v>SCS</v>
      </c>
    </row>
    <row r="990" spans="1:51" x14ac:dyDescent="0.2">
      <c r="A990" s="7"/>
      <c r="B990" s="7"/>
      <c r="C990" s="7"/>
      <c r="D990" s="7"/>
      <c r="E990" s="36">
        <v>141</v>
      </c>
      <c r="F990" s="36" t="s">
        <v>2149</v>
      </c>
      <c r="G990" s="36">
        <v>613249</v>
      </c>
      <c r="H990" s="36" t="s">
        <v>2384</v>
      </c>
      <c r="I990" s="37">
        <v>44.692189999999997</v>
      </c>
      <c r="J990" s="7"/>
      <c r="K990" s="7" t="str">
        <f>VLOOKUP($E990,Mapping!$E$11:$I$96,3,0)</f>
        <v>Replacement</v>
      </c>
      <c r="L990" s="7" t="str">
        <f>VLOOKUP($G990,Mapping!$E$140:$K$2771,5,0)</f>
        <v>Labour</v>
      </c>
      <c r="M990" s="7" t="str">
        <f>VLOOKUP($G990,Mapping!$E$140:$K$2771,7,0)</f>
        <v>ENDirect</v>
      </c>
      <c r="N990" s="7" t="str">
        <f>IFERROR(HLOOKUP(L990,'Calc|Weightings'!$K$5:$M$5,1,0),"Excl")</f>
        <v>Labour</v>
      </c>
      <c r="O990" s="7" t="str">
        <f>VLOOKUP(E990,Mapping!$E$11:$I$96,5,0)</f>
        <v>SCS</v>
      </c>
      <c r="Q990" s="33">
        <v>143</v>
      </c>
      <c r="R990" s="33" t="s">
        <v>2153</v>
      </c>
      <c r="S990" s="33">
        <v>613571</v>
      </c>
      <c r="T990" s="33" t="s">
        <v>1485</v>
      </c>
      <c r="U990" s="34">
        <v>2.0499399999999999</v>
      </c>
      <c r="V990" s="7"/>
      <c r="W990" s="7" t="str">
        <f>VLOOKUP($Q990,Mapping!$E$11:$I$96,3,0)</f>
        <v>Replacement</v>
      </c>
      <c r="X990" s="7" t="str">
        <f>VLOOKUP($S990,Mapping!$E$140:$K$2771,5,0)</f>
        <v>Labour</v>
      </c>
      <c r="Y990" s="7" t="str">
        <f>VLOOKUP($S990,Mapping!$E$140:$K$2771,7,0)</f>
        <v>ENDirect</v>
      </c>
      <c r="Z990" s="7" t="str">
        <f>IFERROR(HLOOKUP(X990,'Calc|Weightings'!$K$5:$M$5,1,0),"Excl")</f>
        <v>Labour</v>
      </c>
      <c r="AA990" s="7" t="str">
        <f>VLOOKUP(Q990,Mapping!$E$11:$I$96,5,0)</f>
        <v>SCS</v>
      </c>
      <c r="AC990" s="111">
        <v>143</v>
      </c>
      <c r="AD990" s="111" t="s">
        <v>2153</v>
      </c>
      <c r="AE990" s="111">
        <v>613400</v>
      </c>
      <c r="AF990" s="111" t="s">
        <v>2099</v>
      </c>
      <c r="AG990" s="112">
        <v>3.1845599999999998</v>
      </c>
      <c r="AI990" s="7" t="str">
        <f>VLOOKUP($AC990,Mapping!$E$11:$I$96,3,0)</f>
        <v>Replacement</v>
      </c>
      <c r="AJ990" s="7" t="str">
        <f>VLOOKUP($AE990,Mapping!$E$140:$K$2771,5,0)</f>
        <v>Labour</v>
      </c>
      <c r="AK990" s="7" t="str">
        <f>VLOOKUP($AE990,Mapping!$E$140:$K$2771,7,0)</f>
        <v>ENDirect</v>
      </c>
      <c r="AL990" s="7" t="str">
        <f>IFERROR(HLOOKUP(AJ990,'Calc|Weightings'!$K$5:$M$5,1,0),"Excl")</f>
        <v>Labour</v>
      </c>
      <c r="AM990" s="7" t="str">
        <f>VLOOKUP(AC990,Mapping!$E$11:$I$96,5,0)</f>
        <v>SCS</v>
      </c>
      <c r="AO990" s="134">
        <v>145</v>
      </c>
      <c r="AP990" s="135" t="s">
        <v>2155</v>
      </c>
      <c r="AQ990" s="135">
        <v>613250</v>
      </c>
      <c r="AR990" s="135" t="s">
        <v>2086</v>
      </c>
      <c r="AS990" s="136">
        <v>71.707819999999998</v>
      </c>
      <c r="AU990" s="7" t="str">
        <f>VLOOKUP($AO990,Mapping!$E$11:$I$96,3,0)</f>
        <v>Replacement</v>
      </c>
      <c r="AV990" s="7" t="str">
        <f>VLOOKUP($AQ990,Mapping!$E$140:$K$2771,5,0)</f>
        <v>Labour</v>
      </c>
      <c r="AW990" s="7" t="str">
        <f>VLOOKUP($AQ990,Mapping!$E$140:$K$2771,7,0)</f>
        <v>ENDirect</v>
      </c>
      <c r="AX990" s="7" t="str">
        <f>IFERROR(HLOOKUP(AV990,'Calc|Weightings'!$K$5:$M$5,1,0),"Excl")</f>
        <v>Labour</v>
      </c>
      <c r="AY990" s="7" t="str">
        <f>VLOOKUP(AO990,Mapping!$E$11:$I$96,5,0)</f>
        <v>SCS</v>
      </c>
    </row>
    <row r="991" spans="1:51" x14ac:dyDescent="0.2">
      <c r="A991" s="7"/>
      <c r="B991" s="7"/>
      <c r="C991" s="7"/>
      <c r="D991" s="7"/>
      <c r="E991" s="36">
        <v>141</v>
      </c>
      <c r="F991" s="36" t="s">
        <v>2149</v>
      </c>
      <c r="G991" s="36">
        <v>613250</v>
      </c>
      <c r="H991" s="36" t="s">
        <v>2086</v>
      </c>
      <c r="I991" s="37">
        <v>10.704459999999999</v>
      </c>
      <c r="J991" s="7"/>
      <c r="K991" s="7" t="str">
        <f>VLOOKUP($E991,Mapping!$E$11:$I$96,3,0)</f>
        <v>Replacement</v>
      </c>
      <c r="L991" s="7" t="str">
        <f>VLOOKUP($G991,Mapping!$E$140:$K$2771,5,0)</f>
        <v>Labour</v>
      </c>
      <c r="M991" s="7" t="str">
        <f>VLOOKUP($G991,Mapping!$E$140:$K$2771,7,0)</f>
        <v>ENDirect</v>
      </c>
      <c r="N991" s="7" t="str">
        <f>IFERROR(HLOOKUP(L991,'Calc|Weightings'!$K$5:$M$5,1,0),"Excl")</f>
        <v>Labour</v>
      </c>
      <c r="O991" s="7" t="str">
        <f>VLOOKUP(E991,Mapping!$E$11:$I$96,5,0)</f>
        <v>SCS</v>
      </c>
      <c r="Q991" s="33">
        <v>143</v>
      </c>
      <c r="R991" s="33" t="s">
        <v>2153</v>
      </c>
      <c r="S991" s="33">
        <v>613574</v>
      </c>
      <c r="T991" s="33" t="s">
        <v>1488</v>
      </c>
      <c r="U991" s="34">
        <v>36.677320000000002</v>
      </c>
      <c r="V991" s="7"/>
      <c r="W991" s="7" t="str">
        <f>VLOOKUP($Q991,Mapping!$E$11:$I$96,3,0)</f>
        <v>Replacement</v>
      </c>
      <c r="X991" s="7" t="str">
        <f>VLOOKUP($S991,Mapping!$E$140:$K$2771,5,0)</f>
        <v>Labour</v>
      </c>
      <c r="Y991" s="7" t="str">
        <f>VLOOKUP($S991,Mapping!$E$140:$K$2771,7,0)</f>
        <v>ENDirect</v>
      </c>
      <c r="Z991" s="7" t="str">
        <f>IFERROR(HLOOKUP(X991,'Calc|Weightings'!$K$5:$M$5,1,0),"Excl")</f>
        <v>Labour</v>
      </c>
      <c r="AA991" s="7" t="str">
        <f>VLOOKUP(Q991,Mapping!$E$11:$I$96,5,0)</f>
        <v>SCS</v>
      </c>
      <c r="AC991" s="111">
        <v>143</v>
      </c>
      <c r="AD991" s="111" t="s">
        <v>2153</v>
      </c>
      <c r="AE991" s="111">
        <v>613410</v>
      </c>
      <c r="AF991" s="111" t="s">
        <v>2100</v>
      </c>
      <c r="AG991" s="112">
        <v>2.4399700000000002</v>
      </c>
      <c r="AI991" s="7" t="str">
        <f>VLOOKUP($AC991,Mapping!$E$11:$I$96,3,0)</f>
        <v>Replacement</v>
      </c>
      <c r="AJ991" s="7" t="str">
        <f>VLOOKUP($AE991,Mapping!$E$140:$K$2771,5,0)</f>
        <v>Labour</v>
      </c>
      <c r="AK991" s="7" t="str">
        <f>VLOOKUP($AE991,Mapping!$E$140:$K$2771,7,0)</f>
        <v>ENDirect</v>
      </c>
      <c r="AL991" s="7" t="str">
        <f>IFERROR(HLOOKUP(AJ991,'Calc|Weightings'!$K$5:$M$5,1,0),"Excl")</f>
        <v>Labour</v>
      </c>
      <c r="AM991" s="7" t="str">
        <f>VLOOKUP(AC991,Mapping!$E$11:$I$96,5,0)</f>
        <v>SCS</v>
      </c>
      <c r="AO991" s="134">
        <v>145</v>
      </c>
      <c r="AP991" s="135" t="s">
        <v>2155</v>
      </c>
      <c r="AQ991" s="135">
        <v>613251</v>
      </c>
      <c r="AR991" s="135" t="s">
        <v>2087</v>
      </c>
      <c r="AS991" s="136">
        <v>17.66273</v>
      </c>
      <c r="AU991" s="7" t="str">
        <f>VLOOKUP($AO991,Mapping!$E$11:$I$96,3,0)</f>
        <v>Replacement</v>
      </c>
      <c r="AV991" s="7" t="str">
        <f>VLOOKUP($AQ991,Mapping!$E$140:$K$2771,5,0)</f>
        <v>Labour</v>
      </c>
      <c r="AW991" s="7" t="str">
        <f>VLOOKUP($AQ991,Mapping!$E$140:$K$2771,7,0)</f>
        <v>ENDirect</v>
      </c>
      <c r="AX991" s="7" t="str">
        <f>IFERROR(HLOOKUP(AV991,'Calc|Weightings'!$K$5:$M$5,1,0),"Excl")</f>
        <v>Labour</v>
      </c>
      <c r="AY991" s="7" t="str">
        <f>VLOOKUP(AO991,Mapping!$E$11:$I$96,5,0)</f>
        <v>SCS</v>
      </c>
    </row>
    <row r="992" spans="1:51" x14ac:dyDescent="0.2">
      <c r="A992" s="7"/>
      <c r="B992" s="7"/>
      <c r="C992" s="7"/>
      <c r="D992" s="7"/>
      <c r="E992" s="36">
        <v>141</v>
      </c>
      <c r="F992" s="36" t="s">
        <v>2149</v>
      </c>
      <c r="G992" s="36">
        <v>613251</v>
      </c>
      <c r="H992" s="36" t="s">
        <v>2087</v>
      </c>
      <c r="I992" s="37">
        <v>13.859859999999999</v>
      </c>
      <c r="J992" s="7"/>
      <c r="K992" s="7" t="str">
        <f>VLOOKUP($E992,Mapping!$E$11:$I$96,3,0)</f>
        <v>Replacement</v>
      </c>
      <c r="L992" s="7" t="str">
        <f>VLOOKUP($G992,Mapping!$E$140:$K$2771,5,0)</f>
        <v>Labour</v>
      </c>
      <c r="M992" s="7" t="str">
        <f>VLOOKUP($G992,Mapping!$E$140:$K$2771,7,0)</f>
        <v>ENDirect</v>
      </c>
      <c r="N992" s="7" t="str">
        <f>IFERROR(HLOOKUP(L992,'Calc|Weightings'!$K$5:$M$5,1,0),"Excl")</f>
        <v>Labour</v>
      </c>
      <c r="O992" s="7" t="str">
        <f>VLOOKUP(E992,Mapping!$E$11:$I$96,5,0)</f>
        <v>SCS</v>
      </c>
      <c r="Q992" s="33">
        <v>143</v>
      </c>
      <c r="R992" s="33" t="s">
        <v>2153</v>
      </c>
      <c r="S992" s="33">
        <v>613575</v>
      </c>
      <c r="T992" s="33" t="s">
        <v>1489</v>
      </c>
      <c r="U992" s="34">
        <v>2.53064</v>
      </c>
      <c r="V992" s="7"/>
      <c r="W992" s="7" t="str">
        <f>VLOOKUP($Q992,Mapping!$E$11:$I$96,3,0)</f>
        <v>Replacement</v>
      </c>
      <c r="X992" s="7" t="str">
        <f>VLOOKUP($S992,Mapping!$E$140:$K$2771,5,0)</f>
        <v>Labour</v>
      </c>
      <c r="Y992" s="7" t="str">
        <f>VLOOKUP($S992,Mapping!$E$140:$K$2771,7,0)</f>
        <v>ENDirect</v>
      </c>
      <c r="Z992" s="7" t="str">
        <f>IFERROR(HLOOKUP(X992,'Calc|Weightings'!$K$5:$M$5,1,0),"Excl")</f>
        <v>Labour</v>
      </c>
      <c r="AA992" s="7" t="str">
        <f>VLOOKUP(Q992,Mapping!$E$11:$I$96,5,0)</f>
        <v>SCS</v>
      </c>
      <c r="AC992" s="111">
        <v>143</v>
      </c>
      <c r="AD992" s="111" t="s">
        <v>2153</v>
      </c>
      <c r="AE992" s="111">
        <v>613420</v>
      </c>
      <c r="AF992" s="111" t="s">
        <v>2393</v>
      </c>
      <c r="AG992" s="112">
        <v>1.18408</v>
      </c>
      <c r="AI992" s="7" t="str">
        <f>VLOOKUP($AC992,Mapping!$E$11:$I$96,3,0)</f>
        <v>Replacement</v>
      </c>
      <c r="AJ992" s="7" t="str">
        <f>VLOOKUP($AE992,Mapping!$E$140:$K$2771,5,0)</f>
        <v>Labour</v>
      </c>
      <c r="AK992" s="7" t="str">
        <f>VLOOKUP($AE992,Mapping!$E$140:$K$2771,7,0)</f>
        <v>ENDirect</v>
      </c>
      <c r="AL992" s="7" t="str">
        <f>IFERROR(HLOOKUP(AJ992,'Calc|Weightings'!$K$5:$M$5,1,0),"Excl")</f>
        <v>Labour</v>
      </c>
      <c r="AM992" s="7" t="str">
        <f>VLOOKUP(AC992,Mapping!$E$11:$I$96,5,0)</f>
        <v>SCS</v>
      </c>
      <c r="AO992" s="134">
        <v>145</v>
      </c>
      <c r="AP992" s="135" t="s">
        <v>2155</v>
      </c>
      <c r="AQ992" s="135">
        <v>613260</v>
      </c>
      <c r="AR992" s="135" t="s">
        <v>2090</v>
      </c>
      <c r="AS992" s="136">
        <v>5.2244999999999999</v>
      </c>
      <c r="AU992" s="7" t="str">
        <f>VLOOKUP($AO992,Mapping!$E$11:$I$96,3,0)</f>
        <v>Replacement</v>
      </c>
      <c r="AV992" s="7" t="str">
        <f>VLOOKUP($AQ992,Mapping!$E$140:$K$2771,5,0)</f>
        <v>Labour</v>
      </c>
      <c r="AW992" s="7" t="str">
        <f>VLOOKUP($AQ992,Mapping!$E$140:$K$2771,7,0)</f>
        <v>ENDirect</v>
      </c>
      <c r="AX992" s="7" t="str">
        <f>IFERROR(HLOOKUP(AV992,'Calc|Weightings'!$K$5:$M$5,1,0),"Excl")</f>
        <v>Labour</v>
      </c>
      <c r="AY992" s="7" t="str">
        <f>VLOOKUP(AO992,Mapping!$E$11:$I$96,5,0)</f>
        <v>SCS</v>
      </c>
    </row>
    <row r="993" spans="1:51" x14ac:dyDescent="0.2">
      <c r="A993" s="7"/>
      <c r="B993" s="7"/>
      <c r="C993" s="7"/>
      <c r="D993" s="7"/>
      <c r="E993" s="36">
        <v>141</v>
      </c>
      <c r="F993" s="36" t="s">
        <v>2149</v>
      </c>
      <c r="G993" s="36">
        <v>613258</v>
      </c>
      <c r="H993" s="36" t="s">
        <v>2356</v>
      </c>
      <c r="I993" s="37">
        <v>66.375429999999994</v>
      </c>
      <c r="J993" s="7"/>
      <c r="K993" s="7" t="str">
        <f>VLOOKUP($E993,Mapping!$E$11:$I$96,3,0)</f>
        <v>Replacement</v>
      </c>
      <c r="L993" s="7" t="str">
        <f>VLOOKUP($G993,Mapping!$E$140:$K$2771,5,0)</f>
        <v>Labour</v>
      </c>
      <c r="M993" s="7" t="str">
        <f>VLOOKUP($G993,Mapping!$E$140:$K$2771,7,0)</f>
        <v>ENDirect</v>
      </c>
      <c r="N993" s="7" t="str">
        <f>IFERROR(HLOOKUP(L993,'Calc|Weightings'!$K$5:$M$5,1,0),"Excl")</f>
        <v>Labour</v>
      </c>
      <c r="O993" s="7" t="str">
        <f>VLOOKUP(E993,Mapping!$E$11:$I$96,5,0)</f>
        <v>SCS</v>
      </c>
      <c r="Q993" s="33">
        <v>143</v>
      </c>
      <c r="R993" s="33" t="s">
        <v>2153</v>
      </c>
      <c r="S993" s="33">
        <v>613576</v>
      </c>
      <c r="T993" s="33" t="s">
        <v>1490</v>
      </c>
      <c r="U993" s="34">
        <v>90.181690000000003</v>
      </c>
      <c r="V993" s="7"/>
      <c r="W993" s="7" t="str">
        <f>VLOOKUP($Q993,Mapping!$E$11:$I$96,3,0)</f>
        <v>Replacement</v>
      </c>
      <c r="X993" s="7" t="str">
        <f>VLOOKUP($S993,Mapping!$E$140:$K$2771,5,0)</f>
        <v>Labour</v>
      </c>
      <c r="Y993" s="7" t="str">
        <f>VLOOKUP($S993,Mapping!$E$140:$K$2771,7,0)</f>
        <v>ENDirect</v>
      </c>
      <c r="Z993" s="7" t="str">
        <f>IFERROR(HLOOKUP(X993,'Calc|Weightings'!$K$5:$M$5,1,0),"Excl")</f>
        <v>Labour</v>
      </c>
      <c r="AA993" s="7" t="str">
        <f>VLOOKUP(Q993,Mapping!$E$11:$I$96,5,0)</f>
        <v>SCS</v>
      </c>
      <c r="AC993" s="111">
        <v>143</v>
      </c>
      <c r="AD993" s="111" t="s">
        <v>2153</v>
      </c>
      <c r="AE993" s="111">
        <v>613434</v>
      </c>
      <c r="AF993" s="111" t="s">
        <v>2102</v>
      </c>
      <c r="AG993" s="112">
        <v>2.20879</v>
      </c>
      <c r="AI993" s="7" t="str">
        <f>VLOOKUP($AC993,Mapping!$E$11:$I$96,3,0)</f>
        <v>Replacement</v>
      </c>
      <c r="AJ993" s="7" t="str">
        <f>VLOOKUP($AE993,Mapping!$E$140:$K$2771,5,0)</f>
        <v>Labour</v>
      </c>
      <c r="AK993" s="7" t="str">
        <f>VLOOKUP($AE993,Mapping!$E$140:$K$2771,7,0)</f>
        <v>ENDirect</v>
      </c>
      <c r="AL993" s="7" t="str">
        <f>IFERROR(HLOOKUP(AJ993,'Calc|Weightings'!$K$5:$M$5,1,0),"Excl")</f>
        <v>Labour</v>
      </c>
      <c r="AM993" s="7" t="str">
        <f>VLOOKUP(AC993,Mapping!$E$11:$I$96,5,0)</f>
        <v>SCS</v>
      </c>
      <c r="AO993" s="134">
        <v>145</v>
      </c>
      <c r="AP993" s="135" t="s">
        <v>2155</v>
      </c>
      <c r="AQ993" s="135">
        <v>613261</v>
      </c>
      <c r="AR993" s="135" t="s">
        <v>2091</v>
      </c>
      <c r="AS993" s="136">
        <v>1.00044</v>
      </c>
      <c r="AU993" s="7" t="str">
        <f>VLOOKUP($AO993,Mapping!$E$11:$I$96,3,0)</f>
        <v>Replacement</v>
      </c>
      <c r="AV993" s="7" t="str">
        <f>VLOOKUP($AQ993,Mapping!$E$140:$K$2771,5,0)</f>
        <v>Labour</v>
      </c>
      <c r="AW993" s="7" t="str">
        <f>VLOOKUP($AQ993,Mapping!$E$140:$K$2771,7,0)</f>
        <v>ENDirect</v>
      </c>
      <c r="AX993" s="7" t="str">
        <f>IFERROR(HLOOKUP(AV993,'Calc|Weightings'!$K$5:$M$5,1,0),"Excl")</f>
        <v>Labour</v>
      </c>
      <c r="AY993" s="7" t="str">
        <f>VLOOKUP(AO993,Mapping!$E$11:$I$96,5,0)</f>
        <v>SCS</v>
      </c>
    </row>
    <row r="994" spans="1:51" x14ac:dyDescent="0.2">
      <c r="A994" s="7"/>
      <c r="B994" s="7"/>
      <c r="C994" s="7"/>
      <c r="D994" s="7"/>
      <c r="E994" s="36">
        <v>141</v>
      </c>
      <c r="F994" s="36" t="s">
        <v>2149</v>
      </c>
      <c r="G994" s="36">
        <v>613259</v>
      </c>
      <c r="H994" s="36" t="s">
        <v>2359</v>
      </c>
      <c r="I994" s="37">
        <v>48.968890000000002</v>
      </c>
      <c r="J994" s="7"/>
      <c r="K994" s="7" t="str">
        <f>VLOOKUP($E994,Mapping!$E$11:$I$96,3,0)</f>
        <v>Replacement</v>
      </c>
      <c r="L994" s="7" t="str">
        <f>VLOOKUP($G994,Mapping!$E$140:$K$2771,5,0)</f>
        <v>Labour</v>
      </c>
      <c r="M994" s="7" t="str">
        <f>VLOOKUP($G994,Mapping!$E$140:$K$2771,7,0)</f>
        <v>ENDirect</v>
      </c>
      <c r="N994" s="7" t="str">
        <f>IFERROR(HLOOKUP(L994,'Calc|Weightings'!$K$5:$M$5,1,0),"Excl")</f>
        <v>Labour</v>
      </c>
      <c r="O994" s="7" t="str">
        <f>VLOOKUP(E994,Mapping!$E$11:$I$96,5,0)</f>
        <v>SCS</v>
      </c>
      <c r="Q994" s="33">
        <v>143</v>
      </c>
      <c r="R994" s="33" t="s">
        <v>2153</v>
      </c>
      <c r="S994" s="33">
        <v>613577</v>
      </c>
      <c r="T994" s="33" t="s">
        <v>1491</v>
      </c>
      <c r="U994" s="34">
        <v>10.70895</v>
      </c>
      <c r="V994" s="7"/>
      <c r="W994" s="7" t="str">
        <f>VLOOKUP($Q994,Mapping!$E$11:$I$96,3,0)</f>
        <v>Replacement</v>
      </c>
      <c r="X994" s="7" t="str">
        <f>VLOOKUP($S994,Mapping!$E$140:$K$2771,5,0)</f>
        <v>Labour</v>
      </c>
      <c r="Y994" s="7" t="str">
        <f>VLOOKUP($S994,Mapping!$E$140:$K$2771,7,0)</f>
        <v>ENDirect</v>
      </c>
      <c r="Z994" s="7" t="str">
        <f>IFERROR(HLOOKUP(X994,'Calc|Weightings'!$K$5:$M$5,1,0),"Excl")</f>
        <v>Labour</v>
      </c>
      <c r="AA994" s="7" t="str">
        <f>VLOOKUP(Q994,Mapping!$E$11:$I$96,5,0)</f>
        <v>SCS</v>
      </c>
      <c r="AC994" s="111">
        <v>143</v>
      </c>
      <c r="AD994" s="111" t="s">
        <v>2153</v>
      </c>
      <c r="AE994" s="111">
        <v>613440</v>
      </c>
      <c r="AF994" s="111" t="s">
        <v>2103</v>
      </c>
      <c r="AG994" s="112">
        <v>0.39811999999999997</v>
      </c>
      <c r="AI994" s="7" t="str">
        <f>VLOOKUP($AC994,Mapping!$E$11:$I$96,3,0)</f>
        <v>Replacement</v>
      </c>
      <c r="AJ994" s="7" t="str">
        <f>VLOOKUP($AE994,Mapping!$E$140:$K$2771,5,0)</f>
        <v>Labour</v>
      </c>
      <c r="AK994" s="7" t="str">
        <f>VLOOKUP($AE994,Mapping!$E$140:$K$2771,7,0)</f>
        <v>ENDirect</v>
      </c>
      <c r="AL994" s="7" t="str">
        <f>IFERROR(HLOOKUP(AJ994,'Calc|Weightings'!$K$5:$M$5,1,0),"Excl")</f>
        <v>Labour</v>
      </c>
      <c r="AM994" s="7" t="str">
        <f>VLOOKUP(AC994,Mapping!$E$11:$I$96,5,0)</f>
        <v>SCS</v>
      </c>
      <c r="AO994" s="134">
        <v>145</v>
      </c>
      <c r="AP994" s="135" t="s">
        <v>2155</v>
      </c>
      <c r="AQ994" s="135">
        <v>613401</v>
      </c>
      <c r="AR994" s="135" t="s">
        <v>2117</v>
      </c>
      <c r="AS994" s="136">
        <v>1.29904</v>
      </c>
      <c r="AU994" s="7" t="str">
        <f>VLOOKUP($AO994,Mapping!$E$11:$I$96,3,0)</f>
        <v>Replacement</v>
      </c>
      <c r="AV994" s="7" t="str">
        <f>VLOOKUP($AQ994,Mapping!$E$140:$K$2771,5,0)</f>
        <v>Labour</v>
      </c>
      <c r="AW994" s="7" t="str">
        <f>VLOOKUP($AQ994,Mapping!$E$140:$K$2771,7,0)</f>
        <v>ENDirect</v>
      </c>
      <c r="AX994" s="7" t="str">
        <f>IFERROR(HLOOKUP(AV994,'Calc|Weightings'!$K$5:$M$5,1,0),"Excl")</f>
        <v>Labour</v>
      </c>
      <c r="AY994" s="7" t="str">
        <f>VLOOKUP(AO994,Mapping!$E$11:$I$96,5,0)</f>
        <v>SCS</v>
      </c>
    </row>
    <row r="995" spans="1:51" x14ac:dyDescent="0.2">
      <c r="A995" s="7"/>
      <c r="B995" s="7"/>
      <c r="C995" s="7"/>
      <c r="D995" s="7"/>
      <c r="E995" s="36">
        <v>141</v>
      </c>
      <c r="F995" s="36" t="s">
        <v>2149</v>
      </c>
      <c r="G995" s="36">
        <v>613268</v>
      </c>
      <c r="H995" s="36" t="s">
        <v>1335</v>
      </c>
      <c r="I995" s="37">
        <v>14.40742</v>
      </c>
      <c r="J995" s="7"/>
      <c r="K995" s="7" t="str">
        <f>VLOOKUP($E995,Mapping!$E$11:$I$96,3,0)</f>
        <v>Replacement</v>
      </c>
      <c r="L995" s="7" t="str">
        <f>VLOOKUP($G995,Mapping!$E$140:$K$2771,5,0)</f>
        <v>Labour</v>
      </c>
      <c r="M995" s="7" t="str">
        <f>VLOOKUP($G995,Mapping!$E$140:$K$2771,7,0)</f>
        <v>ENDirect</v>
      </c>
      <c r="N995" s="7" t="str">
        <f>IFERROR(HLOOKUP(L995,'Calc|Weightings'!$K$5:$M$5,1,0),"Excl")</f>
        <v>Labour</v>
      </c>
      <c r="O995" s="7" t="str">
        <f>VLOOKUP(E995,Mapping!$E$11:$I$96,5,0)</f>
        <v>SCS</v>
      </c>
      <c r="Q995" s="33">
        <v>143</v>
      </c>
      <c r="R995" s="33" t="s">
        <v>2153</v>
      </c>
      <c r="S995" s="33">
        <v>613602</v>
      </c>
      <c r="T995" s="33" t="s">
        <v>1494</v>
      </c>
      <c r="U995" s="34">
        <v>29.547799999999999</v>
      </c>
      <c r="V995" s="7"/>
      <c r="W995" s="7" t="str">
        <f>VLOOKUP($Q995,Mapping!$E$11:$I$96,3,0)</f>
        <v>Replacement</v>
      </c>
      <c r="X995" s="7" t="str">
        <f>VLOOKUP($S995,Mapping!$E$140:$K$2771,5,0)</f>
        <v>Labour</v>
      </c>
      <c r="Y995" s="7" t="str">
        <f>VLOOKUP($S995,Mapping!$E$140:$K$2771,7,0)</f>
        <v>ENDirect</v>
      </c>
      <c r="Z995" s="7" t="str">
        <f>IFERROR(HLOOKUP(X995,'Calc|Weightings'!$K$5:$M$5,1,0),"Excl")</f>
        <v>Labour</v>
      </c>
      <c r="AA995" s="7" t="str">
        <f>VLOOKUP(Q995,Mapping!$E$11:$I$96,5,0)</f>
        <v>SCS</v>
      </c>
      <c r="AC995" s="111">
        <v>143</v>
      </c>
      <c r="AD995" s="111" t="s">
        <v>2153</v>
      </c>
      <c r="AE995" s="111">
        <v>613441</v>
      </c>
      <c r="AF995" s="111" t="s">
        <v>2104</v>
      </c>
      <c r="AG995" s="112">
        <v>0.14219000000000001</v>
      </c>
      <c r="AI995" s="7" t="str">
        <f>VLOOKUP($AC995,Mapping!$E$11:$I$96,3,0)</f>
        <v>Replacement</v>
      </c>
      <c r="AJ995" s="7" t="str">
        <f>VLOOKUP($AE995,Mapping!$E$140:$K$2771,5,0)</f>
        <v>Labour</v>
      </c>
      <c r="AK995" s="7" t="str">
        <f>VLOOKUP($AE995,Mapping!$E$140:$K$2771,7,0)</f>
        <v>ENDirect</v>
      </c>
      <c r="AL995" s="7" t="str">
        <f>IFERROR(HLOOKUP(AJ995,'Calc|Weightings'!$K$5:$M$5,1,0),"Excl")</f>
        <v>Labour</v>
      </c>
      <c r="AM995" s="7" t="str">
        <f>VLOOKUP(AC995,Mapping!$E$11:$I$96,5,0)</f>
        <v>SCS</v>
      </c>
      <c r="AO995" s="134">
        <v>145</v>
      </c>
      <c r="AP995" s="135" t="s">
        <v>2155</v>
      </c>
      <c r="AQ995" s="135">
        <v>613410</v>
      </c>
      <c r="AR995" s="135" t="s">
        <v>2100</v>
      </c>
      <c r="AS995" s="136">
        <v>2.1439599999999999</v>
      </c>
      <c r="AU995" s="7" t="str">
        <f>VLOOKUP($AO995,Mapping!$E$11:$I$96,3,0)</f>
        <v>Replacement</v>
      </c>
      <c r="AV995" s="7" t="str">
        <f>VLOOKUP($AQ995,Mapping!$E$140:$K$2771,5,0)</f>
        <v>Labour</v>
      </c>
      <c r="AW995" s="7" t="str">
        <f>VLOOKUP($AQ995,Mapping!$E$140:$K$2771,7,0)</f>
        <v>ENDirect</v>
      </c>
      <c r="AX995" s="7" t="str">
        <f>IFERROR(HLOOKUP(AV995,'Calc|Weightings'!$K$5:$M$5,1,0),"Excl")</f>
        <v>Labour</v>
      </c>
      <c r="AY995" s="7" t="str">
        <f>VLOOKUP(AO995,Mapping!$E$11:$I$96,5,0)</f>
        <v>SCS</v>
      </c>
    </row>
    <row r="996" spans="1:51" x14ac:dyDescent="0.2">
      <c r="A996" s="7"/>
      <c r="B996" s="7"/>
      <c r="C996" s="7"/>
      <c r="D996" s="7"/>
      <c r="E996" s="36">
        <v>141</v>
      </c>
      <c r="F996" s="36" t="s">
        <v>2149</v>
      </c>
      <c r="G996" s="36">
        <v>613269</v>
      </c>
      <c r="H996" s="36" t="s">
        <v>1336</v>
      </c>
      <c r="I996" s="37">
        <v>1.84917</v>
      </c>
      <c r="J996" s="7"/>
      <c r="K996" s="7" t="str">
        <f>VLOOKUP($E996,Mapping!$E$11:$I$96,3,0)</f>
        <v>Replacement</v>
      </c>
      <c r="L996" s="7" t="str">
        <f>VLOOKUP($G996,Mapping!$E$140:$K$2771,5,0)</f>
        <v>Labour</v>
      </c>
      <c r="M996" s="7" t="str">
        <f>VLOOKUP($G996,Mapping!$E$140:$K$2771,7,0)</f>
        <v>ENDirect</v>
      </c>
      <c r="N996" s="7" t="str">
        <f>IFERROR(HLOOKUP(L996,'Calc|Weightings'!$K$5:$M$5,1,0),"Excl")</f>
        <v>Labour</v>
      </c>
      <c r="O996" s="7" t="str">
        <f>VLOOKUP(E996,Mapping!$E$11:$I$96,5,0)</f>
        <v>SCS</v>
      </c>
      <c r="Q996" s="33">
        <v>143</v>
      </c>
      <c r="R996" s="33" t="s">
        <v>2153</v>
      </c>
      <c r="S996" s="33">
        <v>613603</v>
      </c>
      <c r="T996" s="33" t="s">
        <v>1495</v>
      </c>
      <c r="U996" s="34">
        <v>3.8734500000000001</v>
      </c>
      <c r="V996" s="7"/>
      <c r="W996" s="7" t="str">
        <f>VLOOKUP($Q996,Mapping!$E$11:$I$96,3,0)</f>
        <v>Replacement</v>
      </c>
      <c r="X996" s="7" t="str">
        <f>VLOOKUP($S996,Mapping!$E$140:$K$2771,5,0)</f>
        <v>Labour</v>
      </c>
      <c r="Y996" s="7" t="str">
        <f>VLOOKUP($S996,Mapping!$E$140:$K$2771,7,0)</f>
        <v>ENDirect</v>
      </c>
      <c r="Z996" s="7" t="str">
        <f>IFERROR(HLOOKUP(X996,'Calc|Weightings'!$K$5:$M$5,1,0),"Excl")</f>
        <v>Labour</v>
      </c>
      <c r="AA996" s="7" t="str">
        <f>VLOOKUP(Q996,Mapping!$E$11:$I$96,5,0)</f>
        <v>SCS</v>
      </c>
      <c r="AC996" s="111">
        <v>143</v>
      </c>
      <c r="AD996" s="111" t="s">
        <v>2153</v>
      </c>
      <c r="AE996" s="111">
        <v>613448</v>
      </c>
      <c r="AF996" s="111" t="s">
        <v>2105</v>
      </c>
      <c r="AG996" s="112">
        <v>0.99526000000000003</v>
      </c>
      <c r="AI996" s="7" t="str">
        <f>VLOOKUP($AC996,Mapping!$E$11:$I$96,3,0)</f>
        <v>Replacement</v>
      </c>
      <c r="AJ996" s="7" t="str">
        <f>VLOOKUP($AE996,Mapping!$E$140:$K$2771,5,0)</f>
        <v>Labour</v>
      </c>
      <c r="AK996" s="7" t="str">
        <f>VLOOKUP($AE996,Mapping!$E$140:$K$2771,7,0)</f>
        <v>ENDirect</v>
      </c>
      <c r="AL996" s="7" t="str">
        <f>IFERROR(HLOOKUP(AJ996,'Calc|Weightings'!$K$5:$M$5,1,0),"Excl")</f>
        <v>Labour</v>
      </c>
      <c r="AM996" s="7" t="str">
        <f>VLOOKUP(AC996,Mapping!$E$11:$I$96,5,0)</f>
        <v>SCS</v>
      </c>
      <c r="AO996" s="134">
        <v>145</v>
      </c>
      <c r="AP996" s="135" t="s">
        <v>2155</v>
      </c>
      <c r="AQ996" s="135">
        <v>613411</v>
      </c>
      <c r="AR996" s="135" t="s">
        <v>2101</v>
      </c>
      <c r="AS996" s="136">
        <v>2.8220800000000001</v>
      </c>
      <c r="AU996" s="7" t="str">
        <f>VLOOKUP($AO996,Mapping!$E$11:$I$96,3,0)</f>
        <v>Replacement</v>
      </c>
      <c r="AV996" s="7" t="str">
        <f>VLOOKUP($AQ996,Mapping!$E$140:$K$2771,5,0)</f>
        <v>Labour</v>
      </c>
      <c r="AW996" s="7" t="str">
        <f>VLOOKUP($AQ996,Mapping!$E$140:$K$2771,7,0)</f>
        <v>ENDirect</v>
      </c>
      <c r="AX996" s="7" t="str">
        <f>IFERROR(HLOOKUP(AV996,'Calc|Weightings'!$K$5:$M$5,1,0),"Excl")</f>
        <v>Labour</v>
      </c>
      <c r="AY996" s="7" t="str">
        <f>VLOOKUP(AO996,Mapping!$E$11:$I$96,5,0)</f>
        <v>SCS</v>
      </c>
    </row>
    <row r="997" spans="1:51" x14ac:dyDescent="0.2">
      <c r="A997" s="7"/>
      <c r="B997" s="7"/>
      <c r="C997" s="7"/>
      <c r="D997" s="7"/>
      <c r="E997" s="36">
        <v>141</v>
      </c>
      <c r="F997" s="36" t="s">
        <v>2149</v>
      </c>
      <c r="G997" s="36">
        <v>613271</v>
      </c>
      <c r="H997" s="36" t="s">
        <v>2150</v>
      </c>
      <c r="I997" s="37">
        <v>2.1698499999999998</v>
      </c>
      <c r="J997" s="7"/>
      <c r="K997" s="7" t="str">
        <f>VLOOKUP($E997,Mapping!$E$11:$I$96,3,0)</f>
        <v>Replacement</v>
      </c>
      <c r="L997" s="7" t="str">
        <f>VLOOKUP($G997,Mapping!$E$140:$K$2771,5,0)</f>
        <v>Labour</v>
      </c>
      <c r="M997" s="7" t="str">
        <f>VLOOKUP($G997,Mapping!$E$140:$K$2771,7,0)</f>
        <v>ENDirect</v>
      </c>
      <c r="N997" s="7" t="str">
        <f>IFERROR(HLOOKUP(L997,'Calc|Weightings'!$K$5:$M$5,1,0),"Excl")</f>
        <v>Labour</v>
      </c>
      <c r="O997" s="7" t="str">
        <f>VLOOKUP(E997,Mapping!$E$11:$I$96,5,0)</f>
        <v>SCS</v>
      </c>
      <c r="Q997" s="33">
        <v>143</v>
      </c>
      <c r="R997" s="33" t="s">
        <v>2153</v>
      </c>
      <c r="S997" s="33">
        <v>613630</v>
      </c>
      <c r="T997" s="33" t="s">
        <v>1498</v>
      </c>
      <c r="U997" s="34">
        <v>18.510919999999999</v>
      </c>
      <c r="V997" s="7"/>
      <c r="W997" s="7" t="str">
        <f>VLOOKUP($Q997,Mapping!$E$11:$I$96,3,0)</f>
        <v>Replacement</v>
      </c>
      <c r="X997" s="7" t="str">
        <f>VLOOKUP($S997,Mapping!$E$140:$K$2771,5,0)</f>
        <v>Labour</v>
      </c>
      <c r="Y997" s="7" t="str">
        <f>VLOOKUP($S997,Mapping!$E$140:$K$2771,7,0)</f>
        <v>ENDirect</v>
      </c>
      <c r="Z997" s="7" t="str">
        <f>IFERROR(HLOOKUP(X997,'Calc|Weightings'!$K$5:$M$5,1,0),"Excl")</f>
        <v>Labour</v>
      </c>
      <c r="AA997" s="7" t="str">
        <f>VLOOKUP(Q997,Mapping!$E$11:$I$96,5,0)</f>
        <v>SCS</v>
      </c>
      <c r="AC997" s="111">
        <v>143</v>
      </c>
      <c r="AD997" s="111" t="s">
        <v>2153</v>
      </c>
      <c r="AE997" s="111">
        <v>613449</v>
      </c>
      <c r="AF997" s="111" t="s">
        <v>2106</v>
      </c>
      <c r="AG997" s="112">
        <v>0.28436</v>
      </c>
      <c r="AI997" s="7" t="str">
        <f>VLOOKUP($AC997,Mapping!$E$11:$I$96,3,0)</f>
        <v>Replacement</v>
      </c>
      <c r="AJ997" s="7" t="str">
        <f>VLOOKUP($AE997,Mapping!$E$140:$K$2771,5,0)</f>
        <v>Labour</v>
      </c>
      <c r="AK997" s="7" t="str">
        <f>VLOOKUP($AE997,Mapping!$E$140:$K$2771,7,0)</f>
        <v>ENDirect</v>
      </c>
      <c r="AL997" s="7" t="str">
        <f>IFERROR(HLOOKUP(AJ997,'Calc|Weightings'!$K$5:$M$5,1,0),"Excl")</f>
        <v>Labour</v>
      </c>
      <c r="AM997" s="7" t="str">
        <f>VLOOKUP(AC997,Mapping!$E$11:$I$96,5,0)</f>
        <v>SCS</v>
      </c>
      <c r="AO997" s="134">
        <v>145</v>
      </c>
      <c r="AP997" s="135" t="s">
        <v>2155</v>
      </c>
      <c r="AQ997" s="135">
        <v>613440</v>
      </c>
      <c r="AR997" s="135" t="s">
        <v>2103</v>
      </c>
      <c r="AS997" s="136">
        <v>0.29313</v>
      </c>
      <c r="AU997" s="7" t="str">
        <f>VLOOKUP($AO997,Mapping!$E$11:$I$96,3,0)</f>
        <v>Replacement</v>
      </c>
      <c r="AV997" s="7" t="str">
        <f>VLOOKUP($AQ997,Mapping!$E$140:$K$2771,5,0)</f>
        <v>Labour</v>
      </c>
      <c r="AW997" s="7" t="str">
        <f>VLOOKUP($AQ997,Mapping!$E$140:$K$2771,7,0)</f>
        <v>ENDirect</v>
      </c>
      <c r="AX997" s="7" t="str">
        <f>IFERROR(HLOOKUP(AV997,'Calc|Weightings'!$K$5:$M$5,1,0),"Excl")</f>
        <v>Labour</v>
      </c>
      <c r="AY997" s="7" t="str">
        <f>VLOOKUP(AO997,Mapping!$E$11:$I$96,5,0)</f>
        <v>SCS</v>
      </c>
    </row>
    <row r="998" spans="1:51" x14ac:dyDescent="0.2">
      <c r="A998" s="7"/>
      <c r="B998" s="7"/>
      <c r="C998" s="7"/>
      <c r="D998" s="7"/>
      <c r="E998" s="36">
        <v>141</v>
      </c>
      <c r="F998" s="36" t="s">
        <v>2149</v>
      </c>
      <c r="G998" s="36">
        <v>613278</v>
      </c>
      <c r="H998" s="36" t="s">
        <v>2357</v>
      </c>
      <c r="I998" s="37">
        <v>21.36253</v>
      </c>
      <c r="J998" s="7"/>
      <c r="K998" s="7" t="str">
        <f>VLOOKUP($E998,Mapping!$E$11:$I$96,3,0)</f>
        <v>Replacement</v>
      </c>
      <c r="L998" s="7" t="str">
        <f>VLOOKUP($G998,Mapping!$E$140:$K$2771,5,0)</f>
        <v>Labour</v>
      </c>
      <c r="M998" s="7" t="str">
        <f>VLOOKUP($G998,Mapping!$E$140:$K$2771,7,0)</f>
        <v>ENDirect</v>
      </c>
      <c r="N998" s="7" t="str">
        <f>IFERROR(HLOOKUP(L998,'Calc|Weightings'!$K$5:$M$5,1,0),"Excl")</f>
        <v>Labour</v>
      </c>
      <c r="O998" s="7" t="str">
        <f>VLOOKUP(E998,Mapping!$E$11:$I$96,5,0)</f>
        <v>SCS</v>
      </c>
      <c r="Q998" s="33">
        <v>143</v>
      </c>
      <c r="R998" s="33" t="s">
        <v>2153</v>
      </c>
      <c r="S998" s="33">
        <v>613680</v>
      </c>
      <c r="T998" s="33" t="s">
        <v>2107</v>
      </c>
      <c r="U998" s="34">
        <v>30.602599999999999</v>
      </c>
      <c r="V998" s="7"/>
      <c r="W998" s="7" t="str">
        <f>VLOOKUP($Q998,Mapping!$E$11:$I$96,3,0)</f>
        <v>Replacement</v>
      </c>
      <c r="X998" s="7" t="str">
        <f>VLOOKUP($S998,Mapping!$E$140:$K$2771,5,0)</f>
        <v>Labour</v>
      </c>
      <c r="Y998" s="7" t="str">
        <f>VLOOKUP($S998,Mapping!$E$140:$K$2771,7,0)</f>
        <v>ENDirect</v>
      </c>
      <c r="Z998" s="7" t="str">
        <f>IFERROR(HLOOKUP(X998,'Calc|Weightings'!$K$5:$M$5,1,0),"Excl")</f>
        <v>Labour</v>
      </c>
      <c r="AA998" s="7" t="str">
        <f>VLOOKUP(Q998,Mapping!$E$11:$I$96,5,0)</f>
        <v>SCS</v>
      </c>
      <c r="AC998" s="111">
        <v>143</v>
      </c>
      <c r="AD998" s="111" t="s">
        <v>2153</v>
      </c>
      <c r="AE998" s="111">
        <v>613566</v>
      </c>
      <c r="AF998" s="111" t="s">
        <v>1482</v>
      </c>
      <c r="AG998" s="112">
        <v>4.9890499999999998</v>
      </c>
      <c r="AI998" s="7" t="str">
        <f>VLOOKUP($AC998,Mapping!$E$11:$I$96,3,0)</f>
        <v>Replacement</v>
      </c>
      <c r="AJ998" s="7" t="str">
        <f>VLOOKUP($AE998,Mapping!$E$140:$K$2771,5,0)</f>
        <v>Labour</v>
      </c>
      <c r="AK998" s="7" t="str">
        <f>VLOOKUP($AE998,Mapping!$E$140:$K$2771,7,0)</f>
        <v>ENDirect</v>
      </c>
      <c r="AL998" s="7" t="str">
        <f>IFERROR(HLOOKUP(AJ998,'Calc|Weightings'!$K$5:$M$5,1,0),"Excl")</f>
        <v>Labour</v>
      </c>
      <c r="AM998" s="7" t="str">
        <f>VLOOKUP(AC998,Mapping!$E$11:$I$96,5,0)</f>
        <v>SCS</v>
      </c>
      <c r="AO998" s="134">
        <v>145</v>
      </c>
      <c r="AP998" s="135" t="s">
        <v>2155</v>
      </c>
      <c r="AQ998" s="135">
        <v>613460</v>
      </c>
      <c r="AR998" s="135" t="s">
        <v>2167</v>
      </c>
      <c r="AS998" s="136">
        <v>1.11456</v>
      </c>
      <c r="AU998" s="7" t="str">
        <f>VLOOKUP($AO998,Mapping!$E$11:$I$96,3,0)</f>
        <v>Replacement</v>
      </c>
      <c r="AV998" s="7" t="str">
        <f>VLOOKUP($AQ998,Mapping!$E$140:$K$2771,5,0)</f>
        <v>Labour</v>
      </c>
      <c r="AW998" s="7" t="str">
        <f>VLOOKUP($AQ998,Mapping!$E$140:$K$2771,7,0)</f>
        <v>ENDirect</v>
      </c>
      <c r="AX998" s="7" t="str">
        <f>IFERROR(HLOOKUP(AV998,'Calc|Weightings'!$K$5:$M$5,1,0),"Excl")</f>
        <v>Labour</v>
      </c>
      <c r="AY998" s="7" t="str">
        <f>VLOOKUP(AO998,Mapping!$E$11:$I$96,5,0)</f>
        <v>SCS</v>
      </c>
    </row>
    <row r="999" spans="1:51" x14ac:dyDescent="0.2">
      <c r="A999" s="7"/>
      <c r="B999" s="7"/>
      <c r="C999" s="7"/>
      <c r="D999" s="7"/>
      <c r="E999" s="36">
        <v>141</v>
      </c>
      <c r="F999" s="36" t="s">
        <v>2149</v>
      </c>
      <c r="G999" s="36">
        <v>613279</v>
      </c>
      <c r="H999" s="36" t="s">
        <v>2360</v>
      </c>
      <c r="I999" s="37">
        <v>29.181139999999999</v>
      </c>
      <c r="J999" s="7"/>
      <c r="K999" s="7" t="str">
        <f>VLOOKUP($E999,Mapping!$E$11:$I$96,3,0)</f>
        <v>Replacement</v>
      </c>
      <c r="L999" s="7" t="str">
        <f>VLOOKUP($G999,Mapping!$E$140:$K$2771,5,0)</f>
        <v>Labour</v>
      </c>
      <c r="M999" s="7" t="str">
        <f>VLOOKUP($G999,Mapping!$E$140:$K$2771,7,0)</f>
        <v>ENDirect</v>
      </c>
      <c r="N999" s="7" t="str">
        <f>IFERROR(HLOOKUP(L999,'Calc|Weightings'!$K$5:$M$5,1,0),"Excl")</f>
        <v>Labour</v>
      </c>
      <c r="O999" s="7" t="str">
        <f>VLOOKUP(E999,Mapping!$E$11:$I$96,5,0)</f>
        <v>SCS</v>
      </c>
      <c r="Q999" s="33">
        <v>143</v>
      </c>
      <c r="R999" s="33" t="s">
        <v>2153</v>
      </c>
      <c r="S999" s="33">
        <v>613681</v>
      </c>
      <c r="T999" s="33" t="s">
        <v>2108</v>
      </c>
      <c r="U999" s="34">
        <v>0.41322999999999999</v>
      </c>
      <c r="V999" s="7"/>
      <c r="W999" s="7" t="str">
        <f>VLOOKUP($Q999,Mapping!$E$11:$I$96,3,0)</f>
        <v>Replacement</v>
      </c>
      <c r="X999" s="7" t="str">
        <f>VLOOKUP($S999,Mapping!$E$140:$K$2771,5,0)</f>
        <v>Labour</v>
      </c>
      <c r="Y999" s="7" t="str">
        <f>VLOOKUP($S999,Mapping!$E$140:$K$2771,7,0)</f>
        <v>ENDirect</v>
      </c>
      <c r="Z999" s="7" t="str">
        <f>IFERROR(HLOOKUP(X999,'Calc|Weightings'!$K$5:$M$5,1,0),"Excl")</f>
        <v>Labour</v>
      </c>
      <c r="AA999" s="7" t="str">
        <f>VLOOKUP(Q999,Mapping!$E$11:$I$96,5,0)</f>
        <v>SCS</v>
      </c>
      <c r="AC999" s="111">
        <v>143</v>
      </c>
      <c r="AD999" s="111" t="s">
        <v>2153</v>
      </c>
      <c r="AE999" s="111">
        <v>613567</v>
      </c>
      <c r="AF999" s="111" t="s">
        <v>1483</v>
      </c>
      <c r="AG999" s="112">
        <v>4.9896000000000003</v>
      </c>
      <c r="AI999" s="7" t="str">
        <f>VLOOKUP($AC999,Mapping!$E$11:$I$96,3,0)</f>
        <v>Replacement</v>
      </c>
      <c r="AJ999" s="7" t="str">
        <f>VLOOKUP($AE999,Mapping!$E$140:$K$2771,5,0)</f>
        <v>Labour</v>
      </c>
      <c r="AK999" s="7" t="str">
        <f>VLOOKUP($AE999,Mapping!$E$140:$K$2771,7,0)</f>
        <v>ENDirect</v>
      </c>
      <c r="AL999" s="7" t="str">
        <f>IFERROR(HLOOKUP(AJ999,'Calc|Weightings'!$K$5:$M$5,1,0),"Excl")</f>
        <v>Labour</v>
      </c>
      <c r="AM999" s="7" t="str">
        <f>VLOOKUP(AC999,Mapping!$E$11:$I$96,5,0)</f>
        <v>SCS</v>
      </c>
      <c r="AO999" s="134">
        <v>145</v>
      </c>
      <c r="AP999" s="135" t="s">
        <v>2155</v>
      </c>
      <c r="AQ999" s="135">
        <v>613566</v>
      </c>
      <c r="AR999" s="135" t="s">
        <v>1482</v>
      </c>
      <c r="AS999" s="136">
        <v>27.151350000000001</v>
      </c>
      <c r="AU999" s="7" t="str">
        <f>VLOOKUP($AO999,Mapping!$E$11:$I$96,3,0)</f>
        <v>Replacement</v>
      </c>
      <c r="AV999" s="7" t="str">
        <f>VLOOKUP($AQ999,Mapping!$E$140:$K$2771,5,0)</f>
        <v>Labour</v>
      </c>
      <c r="AW999" s="7" t="str">
        <f>VLOOKUP($AQ999,Mapping!$E$140:$K$2771,7,0)</f>
        <v>ENDirect</v>
      </c>
      <c r="AX999" s="7" t="str">
        <f>IFERROR(HLOOKUP(AV999,'Calc|Weightings'!$K$5:$M$5,1,0),"Excl")</f>
        <v>Labour</v>
      </c>
      <c r="AY999" s="7" t="str">
        <f>VLOOKUP(AO999,Mapping!$E$11:$I$96,5,0)</f>
        <v>SCS</v>
      </c>
    </row>
    <row r="1000" spans="1:51" x14ac:dyDescent="0.2">
      <c r="A1000" s="7"/>
      <c r="B1000" s="7"/>
      <c r="C1000" s="7"/>
      <c r="D1000" s="7"/>
      <c r="E1000" s="36">
        <v>141</v>
      </c>
      <c r="F1000" s="36" t="s">
        <v>2149</v>
      </c>
      <c r="G1000" s="36">
        <v>613280</v>
      </c>
      <c r="H1000" s="36" t="s">
        <v>1342</v>
      </c>
      <c r="I1000" s="37">
        <v>6.8825599999999998</v>
      </c>
      <c r="J1000" s="7"/>
      <c r="K1000" s="7" t="str">
        <f>VLOOKUP($E1000,Mapping!$E$11:$I$96,3,0)</f>
        <v>Replacement</v>
      </c>
      <c r="L1000" s="7" t="str">
        <f>VLOOKUP($G1000,Mapping!$E$140:$K$2771,5,0)</f>
        <v>Labour</v>
      </c>
      <c r="M1000" s="7" t="str">
        <f>VLOOKUP($G1000,Mapping!$E$140:$K$2771,7,0)</f>
        <v>ENDirect</v>
      </c>
      <c r="N1000" s="7" t="str">
        <f>IFERROR(HLOOKUP(L1000,'Calc|Weightings'!$K$5:$M$5,1,0),"Excl")</f>
        <v>Labour</v>
      </c>
      <c r="O1000" s="7" t="str">
        <f>VLOOKUP(E1000,Mapping!$E$11:$I$96,5,0)</f>
        <v>SCS</v>
      </c>
      <c r="Q1000" s="33">
        <v>143</v>
      </c>
      <c r="R1000" s="33" t="s">
        <v>2153</v>
      </c>
      <c r="S1000" s="33">
        <v>613962</v>
      </c>
      <c r="T1000" s="33" t="s">
        <v>1648</v>
      </c>
      <c r="U1000" s="34">
        <v>0.67037999999999998</v>
      </c>
      <c r="V1000" s="7"/>
      <c r="W1000" s="7" t="str">
        <f>VLOOKUP($Q1000,Mapping!$E$11:$I$96,3,0)</f>
        <v>Replacement</v>
      </c>
      <c r="X1000" s="7" t="str">
        <f>VLOOKUP($S1000,Mapping!$E$140:$K$2771,5,0)</f>
        <v>Contracts</v>
      </c>
      <c r="Y1000" s="7" t="str">
        <f>VLOOKUP($S1000,Mapping!$E$140:$K$2771,7,0)</f>
        <v>ENDirect</v>
      </c>
      <c r="Z1000" s="7" t="str">
        <f>IFERROR(HLOOKUP(X1000,'Calc|Weightings'!$K$5:$M$5,1,0),"Excl")</f>
        <v>Contracts</v>
      </c>
      <c r="AA1000" s="7" t="str">
        <f>VLOOKUP(Q1000,Mapping!$E$11:$I$96,5,0)</f>
        <v>SCS</v>
      </c>
      <c r="AC1000" s="111">
        <v>143</v>
      </c>
      <c r="AD1000" s="111" t="s">
        <v>2153</v>
      </c>
      <c r="AE1000" s="111">
        <v>613570</v>
      </c>
      <c r="AF1000" s="111" t="s">
        <v>1484</v>
      </c>
      <c r="AG1000" s="112">
        <v>13.799759999999999</v>
      </c>
      <c r="AI1000" s="7" t="str">
        <f>VLOOKUP($AC1000,Mapping!$E$11:$I$96,3,0)</f>
        <v>Replacement</v>
      </c>
      <c r="AJ1000" s="7" t="str">
        <f>VLOOKUP($AE1000,Mapping!$E$140:$K$2771,5,0)</f>
        <v>Labour</v>
      </c>
      <c r="AK1000" s="7" t="str">
        <f>VLOOKUP($AE1000,Mapping!$E$140:$K$2771,7,0)</f>
        <v>ENDirect</v>
      </c>
      <c r="AL1000" s="7" t="str">
        <f>IFERROR(HLOOKUP(AJ1000,'Calc|Weightings'!$K$5:$M$5,1,0),"Excl")</f>
        <v>Labour</v>
      </c>
      <c r="AM1000" s="7" t="str">
        <f>VLOOKUP(AC1000,Mapping!$E$11:$I$96,5,0)</f>
        <v>SCS</v>
      </c>
      <c r="AO1000" s="134">
        <v>145</v>
      </c>
      <c r="AP1000" s="135" t="s">
        <v>2155</v>
      </c>
      <c r="AQ1000" s="135">
        <v>613567</v>
      </c>
      <c r="AR1000" s="135" t="s">
        <v>1483</v>
      </c>
      <c r="AS1000" s="136">
        <v>5.3167600000000004</v>
      </c>
      <c r="AU1000" s="7" t="str">
        <f>VLOOKUP($AO1000,Mapping!$E$11:$I$96,3,0)</f>
        <v>Replacement</v>
      </c>
      <c r="AV1000" s="7" t="str">
        <f>VLOOKUP($AQ1000,Mapping!$E$140:$K$2771,5,0)</f>
        <v>Labour</v>
      </c>
      <c r="AW1000" s="7" t="str">
        <f>VLOOKUP($AQ1000,Mapping!$E$140:$K$2771,7,0)</f>
        <v>ENDirect</v>
      </c>
      <c r="AX1000" s="7" t="str">
        <f>IFERROR(HLOOKUP(AV1000,'Calc|Weightings'!$K$5:$M$5,1,0),"Excl")</f>
        <v>Labour</v>
      </c>
      <c r="AY1000" s="7" t="str">
        <f>VLOOKUP(AO1000,Mapping!$E$11:$I$96,5,0)</f>
        <v>SCS</v>
      </c>
    </row>
    <row r="1001" spans="1:51" x14ac:dyDescent="0.2">
      <c r="A1001" s="7"/>
      <c r="B1001" s="7"/>
      <c r="C1001" s="7"/>
      <c r="D1001" s="7"/>
      <c r="E1001" s="36">
        <v>141</v>
      </c>
      <c r="F1001" s="36" t="s">
        <v>2149</v>
      </c>
      <c r="G1001" s="36">
        <v>613281</v>
      </c>
      <c r="H1001" s="36" t="s">
        <v>1343</v>
      </c>
      <c r="I1001" s="37">
        <v>1.2452000000000001</v>
      </c>
      <c r="J1001" s="7"/>
      <c r="K1001" s="7" t="str">
        <f>VLOOKUP($E1001,Mapping!$E$11:$I$96,3,0)</f>
        <v>Replacement</v>
      </c>
      <c r="L1001" s="7" t="str">
        <f>VLOOKUP($G1001,Mapping!$E$140:$K$2771,5,0)</f>
        <v>Labour</v>
      </c>
      <c r="M1001" s="7" t="str">
        <f>VLOOKUP($G1001,Mapping!$E$140:$K$2771,7,0)</f>
        <v>ENDirect</v>
      </c>
      <c r="N1001" s="7" t="str">
        <f>IFERROR(HLOOKUP(L1001,'Calc|Weightings'!$K$5:$M$5,1,0),"Excl")</f>
        <v>Labour</v>
      </c>
      <c r="O1001" s="7" t="str">
        <f>VLOOKUP(E1001,Mapping!$E$11:$I$96,5,0)</f>
        <v>SCS</v>
      </c>
      <c r="Q1001" s="33">
        <v>143</v>
      </c>
      <c r="R1001" s="33" t="s">
        <v>2153</v>
      </c>
      <c r="S1001" s="33">
        <v>613963</v>
      </c>
      <c r="T1001" s="33" t="s">
        <v>1649</v>
      </c>
      <c r="U1001" s="34">
        <v>1.56742</v>
      </c>
      <c r="V1001" s="7"/>
      <c r="W1001" s="7" t="str">
        <f>VLOOKUP($Q1001,Mapping!$E$11:$I$96,3,0)</f>
        <v>Replacement</v>
      </c>
      <c r="X1001" s="7" t="str">
        <f>VLOOKUP($S1001,Mapping!$E$140:$K$2771,5,0)</f>
        <v>Contracts</v>
      </c>
      <c r="Y1001" s="7" t="str">
        <f>VLOOKUP($S1001,Mapping!$E$140:$K$2771,7,0)</f>
        <v>ENDirect</v>
      </c>
      <c r="Z1001" s="7" t="str">
        <f>IFERROR(HLOOKUP(X1001,'Calc|Weightings'!$K$5:$M$5,1,0),"Excl")</f>
        <v>Contracts</v>
      </c>
      <c r="AA1001" s="7" t="str">
        <f>VLOOKUP(Q1001,Mapping!$E$11:$I$96,5,0)</f>
        <v>SCS</v>
      </c>
      <c r="AC1001" s="111">
        <v>143</v>
      </c>
      <c r="AD1001" s="111" t="s">
        <v>2153</v>
      </c>
      <c r="AE1001" s="111">
        <v>613571</v>
      </c>
      <c r="AF1001" s="111" t="s">
        <v>1485</v>
      </c>
      <c r="AG1001" s="112">
        <v>0.49875000000000003</v>
      </c>
      <c r="AI1001" s="7" t="str">
        <f>VLOOKUP($AC1001,Mapping!$E$11:$I$96,3,0)</f>
        <v>Replacement</v>
      </c>
      <c r="AJ1001" s="7" t="str">
        <f>VLOOKUP($AE1001,Mapping!$E$140:$K$2771,5,0)</f>
        <v>Labour</v>
      </c>
      <c r="AK1001" s="7" t="str">
        <f>VLOOKUP($AE1001,Mapping!$E$140:$K$2771,7,0)</f>
        <v>ENDirect</v>
      </c>
      <c r="AL1001" s="7" t="str">
        <f>IFERROR(HLOOKUP(AJ1001,'Calc|Weightings'!$K$5:$M$5,1,0),"Excl")</f>
        <v>Labour</v>
      </c>
      <c r="AM1001" s="7" t="str">
        <f>VLOOKUP(AC1001,Mapping!$E$11:$I$96,5,0)</f>
        <v>SCS</v>
      </c>
      <c r="AO1001" s="134">
        <v>145</v>
      </c>
      <c r="AP1001" s="135" t="s">
        <v>2155</v>
      </c>
      <c r="AQ1001" s="135">
        <v>613570</v>
      </c>
      <c r="AR1001" s="135" t="s">
        <v>1484</v>
      </c>
      <c r="AS1001" s="136">
        <v>5.6444900000000002</v>
      </c>
      <c r="AU1001" s="7" t="str">
        <f>VLOOKUP($AO1001,Mapping!$E$11:$I$96,3,0)</f>
        <v>Replacement</v>
      </c>
      <c r="AV1001" s="7" t="str">
        <f>VLOOKUP($AQ1001,Mapping!$E$140:$K$2771,5,0)</f>
        <v>Labour</v>
      </c>
      <c r="AW1001" s="7" t="str">
        <f>VLOOKUP($AQ1001,Mapping!$E$140:$K$2771,7,0)</f>
        <v>ENDirect</v>
      </c>
      <c r="AX1001" s="7" t="str">
        <f>IFERROR(HLOOKUP(AV1001,'Calc|Weightings'!$K$5:$M$5,1,0),"Excl")</f>
        <v>Labour</v>
      </c>
      <c r="AY1001" s="7" t="str">
        <f>VLOOKUP(AO1001,Mapping!$E$11:$I$96,5,0)</f>
        <v>SCS</v>
      </c>
    </row>
    <row r="1002" spans="1:51" x14ac:dyDescent="0.2">
      <c r="A1002" s="7"/>
      <c r="B1002" s="7"/>
      <c r="C1002" s="7"/>
      <c r="D1002" s="7"/>
      <c r="E1002" s="36">
        <v>141</v>
      </c>
      <c r="F1002" s="36" t="s">
        <v>2149</v>
      </c>
      <c r="G1002" s="36">
        <v>613298</v>
      </c>
      <c r="H1002" s="36" t="s">
        <v>2122</v>
      </c>
      <c r="I1002" s="37">
        <v>1.1674</v>
      </c>
      <c r="J1002" s="7"/>
      <c r="K1002" s="7" t="str">
        <f>VLOOKUP($E1002,Mapping!$E$11:$I$96,3,0)</f>
        <v>Replacement</v>
      </c>
      <c r="L1002" s="7" t="str">
        <f>VLOOKUP($G1002,Mapping!$E$140:$K$2771,5,0)</f>
        <v>Labour</v>
      </c>
      <c r="M1002" s="7" t="str">
        <f>VLOOKUP($G1002,Mapping!$E$140:$K$2771,7,0)</f>
        <v>ENDirect</v>
      </c>
      <c r="N1002" s="7" t="str">
        <f>IFERROR(HLOOKUP(L1002,'Calc|Weightings'!$K$5:$M$5,1,0),"Excl")</f>
        <v>Labour</v>
      </c>
      <c r="O1002" s="7" t="str">
        <f>VLOOKUP(E1002,Mapping!$E$11:$I$96,5,0)</f>
        <v>SCS</v>
      </c>
      <c r="Q1002" s="33">
        <v>143</v>
      </c>
      <c r="R1002" s="33" t="s">
        <v>2153</v>
      </c>
      <c r="S1002" s="33">
        <v>613965</v>
      </c>
      <c r="T1002" s="33" t="s">
        <v>1651</v>
      </c>
      <c r="U1002" s="34">
        <v>0.84350999999999998</v>
      </c>
      <c r="V1002" s="7"/>
      <c r="W1002" s="7" t="str">
        <f>VLOOKUP($Q1002,Mapping!$E$11:$I$96,3,0)</f>
        <v>Replacement</v>
      </c>
      <c r="X1002" s="7" t="str">
        <f>VLOOKUP($S1002,Mapping!$E$140:$K$2771,5,0)</f>
        <v>Contracts</v>
      </c>
      <c r="Y1002" s="7" t="str">
        <f>VLOOKUP($S1002,Mapping!$E$140:$K$2771,7,0)</f>
        <v>ENDirect</v>
      </c>
      <c r="Z1002" s="7" t="str">
        <f>IFERROR(HLOOKUP(X1002,'Calc|Weightings'!$K$5:$M$5,1,0),"Excl")</f>
        <v>Contracts</v>
      </c>
      <c r="AA1002" s="7" t="str">
        <f>VLOOKUP(Q1002,Mapping!$E$11:$I$96,5,0)</f>
        <v>SCS</v>
      </c>
      <c r="AC1002" s="111">
        <v>143</v>
      </c>
      <c r="AD1002" s="111" t="s">
        <v>2153</v>
      </c>
      <c r="AE1002" s="111">
        <v>613574</v>
      </c>
      <c r="AF1002" s="111" t="s">
        <v>1488</v>
      </c>
      <c r="AG1002" s="112">
        <v>6.9564700000000004</v>
      </c>
      <c r="AI1002" s="7" t="str">
        <f>VLOOKUP($AC1002,Mapping!$E$11:$I$96,3,0)</f>
        <v>Replacement</v>
      </c>
      <c r="AJ1002" s="7" t="str">
        <f>VLOOKUP($AE1002,Mapping!$E$140:$K$2771,5,0)</f>
        <v>Labour</v>
      </c>
      <c r="AK1002" s="7" t="str">
        <f>VLOOKUP($AE1002,Mapping!$E$140:$K$2771,7,0)</f>
        <v>ENDirect</v>
      </c>
      <c r="AL1002" s="7" t="str">
        <f>IFERROR(HLOOKUP(AJ1002,'Calc|Weightings'!$K$5:$M$5,1,0),"Excl")</f>
        <v>Labour</v>
      </c>
      <c r="AM1002" s="7" t="str">
        <f>VLOOKUP(AC1002,Mapping!$E$11:$I$96,5,0)</f>
        <v>SCS</v>
      </c>
      <c r="AO1002" s="134">
        <v>145</v>
      </c>
      <c r="AP1002" s="135" t="s">
        <v>2155</v>
      </c>
      <c r="AQ1002" s="135">
        <v>613571</v>
      </c>
      <c r="AR1002" s="135" t="s">
        <v>1485</v>
      </c>
      <c r="AS1002" s="136">
        <v>0.81189999999999996</v>
      </c>
      <c r="AU1002" s="7" t="str">
        <f>VLOOKUP($AO1002,Mapping!$E$11:$I$96,3,0)</f>
        <v>Replacement</v>
      </c>
      <c r="AV1002" s="7" t="str">
        <f>VLOOKUP($AQ1002,Mapping!$E$140:$K$2771,5,0)</f>
        <v>Labour</v>
      </c>
      <c r="AW1002" s="7" t="str">
        <f>VLOOKUP($AQ1002,Mapping!$E$140:$K$2771,7,0)</f>
        <v>ENDirect</v>
      </c>
      <c r="AX1002" s="7" t="str">
        <f>IFERROR(HLOOKUP(AV1002,'Calc|Weightings'!$K$5:$M$5,1,0),"Excl")</f>
        <v>Labour</v>
      </c>
      <c r="AY1002" s="7" t="str">
        <f>VLOOKUP(AO1002,Mapping!$E$11:$I$96,5,0)</f>
        <v>SCS</v>
      </c>
    </row>
    <row r="1003" spans="1:51" x14ac:dyDescent="0.2">
      <c r="A1003" s="7"/>
      <c r="B1003" s="7"/>
      <c r="C1003" s="7"/>
      <c r="D1003" s="7"/>
      <c r="E1003" s="36">
        <v>141</v>
      </c>
      <c r="F1003" s="36" t="s">
        <v>2149</v>
      </c>
      <c r="G1003" s="36">
        <v>613310</v>
      </c>
      <c r="H1003" s="36" t="s">
        <v>2095</v>
      </c>
      <c r="I1003" s="37">
        <v>1.77016</v>
      </c>
      <c r="J1003" s="7"/>
      <c r="K1003" s="7" t="str">
        <f>VLOOKUP($E1003,Mapping!$E$11:$I$96,3,0)</f>
        <v>Replacement</v>
      </c>
      <c r="L1003" s="7" t="str">
        <f>VLOOKUP($G1003,Mapping!$E$140:$K$2771,5,0)</f>
        <v>Labour</v>
      </c>
      <c r="M1003" s="7" t="str">
        <f>VLOOKUP($G1003,Mapping!$E$140:$K$2771,7,0)</f>
        <v>ENDirect</v>
      </c>
      <c r="N1003" s="7" t="str">
        <f>IFERROR(HLOOKUP(L1003,'Calc|Weightings'!$K$5:$M$5,1,0),"Excl")</f>
        <v>Labour</v>
      </c>
      <c r="O1003" s="7" t="str">
        <f>VLOOKUP(E1003,Mapping!$E$11:$I$96,5,0)</f>
        <v>SCS</v>
      </c>
      <c r="Q1003" s="33">
        <v>143</v>
      </c>
      <c r="R1003" s="33" t="s">
        <v>2153</v>
      </c>
      <c r="S1003" s="33">
        <v>634001</v>
      </c>
      <c r="T1003" s="33" t="s">
        <v>2110</v>
      </c>
      <c r="U1003" s="34">
        <v>118.79691</v>
      </c>
      <c r="V1003" s="7"/>
      <c r="W1003" s="7" t="str">
        <f>VLOOKUP($Q1003,Mapping!$E$11:$I$96,3,0)</f>
        <v>Replacement</v>
      </c>
      <c r="X1003" s="7" t="str">
        <f>VLOOKUP($S1003,Mapping!$E$140:$K$2771,5,0)</f>
        <v>Local OH</v>
      </c>
      <c r="Y1003" s="7" t="str">
        <f>VLOOKUP($S1003,Mapping!$E$140:$K$2771,7,0)</f>
        <v>OH</v>
      </c>
      <c r="Z1003" s="7" t="str">
        <f>IFERROR(HLOOKUP(X1003,'Calc|Weightings'!$K$5:$M$5,1,0),"Excl")</f>
        <v>Excl</v>
      </c>
      <c r="AA1003" s="7" t="str">
        <f>VLOOKUP(Q1003,Mapping!$E$11:$I$96,5,0)</f>
        <v>SCS</v>
      </c>
      <c r="AC1003" s="111">
        <v>143</v>
      </c>
      <c r="AD1003" s="111" t="s">
        <v>2153</v>
      </c>
      <c r="AE1003" s="111">
        <v>613575</v>
      </c>
      <c r="AF1003" s="111" t="s">
        <v>1489</v>
      </c>
      <c r="AG1003" s="112">
        <v>5.3798899999999996</v>
      </c>
      <c r="AI1003" s="7" t="str">
        <f>VLOOKUP($AC1003,Mapping!$E$11:$I$96,3,0)</f>
        <v>Replacement</v>
      </c>
      <c r="AJ1003" s="7" t="str">
        <f>VLOOKUP($AE1003,Mapping!$E$140:$K$2771,5,0)</f>
        <v>Labour</v>
      </c>
      <c r="AK1003" s="7" t="str">
        <f>VLOOKUP($AE1003,Mapping!$E$140:$K$2771,7,0)</f>
        <v>ENDirect</v>
      </c>
      <c r="AL1003" s="7" t="str">
        <f>IFERROR(HLOOKUP(AJ1003,'Calc|Weightings'!$K$5:$M$5,1,0),"Excl")</f>
        <v>Labour</v>
      </c>
      <c r="AM1003" s="7" t="str">
        <f>VLOOKUP(AC1003,Mapping!$E$11:$I$96,5,0)</f>
        <v>SCS</v>
      </c>
      <c r="AO1003" s="134">
        <v>145</v>
      </c>
      <c r="AP1003" s="135" t="s">
        <v>2155</v>
      </c>
      <c r="AQ1003" s="135">
        <v>613574</v>
      </c>
      <c r="AR1003" s="135" t="s">
        <v>1488</v>
      </c>
      <c r="AS1003" s="136">
        <v>58.870930000000001</v>
      </c>
      <c r="AU1003" s="7" t="str">
        <f>VLOOKUP($AO1003,Mapping!$E$11:$I$96,3,0)</f>
        <v>Replacement</v>
      </c>
      <c r="AV1003" s="7" t="str">
        <f>VLOOKUP($AQ1003,Mapping!$E$140:$K$2771,5,0)</f>
        <v>Labour</v>
      </c>
      <c r="AW1003" s="7" t="str">
        <f>VLOOKUP($AQ1003,Mapping!$E$140:$K$2771,7,0)</f>
        <v>ENDirect</v>
      </c>
      <c r="AX1003" s="7" t="str">
        <f>IFERROR(HLOOKUP(AV1003,'Calc|Weightings'!$K$5:$M$5,1,0),"Excl")</f>
        <v>Labour</v>
      </c>
      <c r="AY1003" s="7" t="str">
        <f>VLOOKUP(AO1003,Mapping!$E$11:$I$96,5,0)</f>
        <v>SCS</v>
      </c>
    </row>
    <row r="1004" spans="1:51" x14ac:dyDescent="0.2">
      <c r="A1004" s="7"/>
      <c r="B1004" s="7"/>
      <c r="C1004" s="7"/>
      <c r="D1004" s="7"/>
      <c r="E1004" s="36">
        <v>141</v>
      </c>
      <c r="F1004" s="36" t="s">
        <v>2149</v>
      </c>
      <c r="G1004" s="36">
        <v>613318</v>
      </c>
      <c r="H1004" s="36" t="s">
        <v>1360</v>
      </c>
      <c r="I1004" s="37">
        <v>72.899199999999993</v>
      </c>
      <c r="J1004" s="7"/>
      <c r="K1004" s="7" t="str">
        <f>VLOOKUP($E1004,Mapping!$E$11:$I$96,3,0)</f>
        <v>Replacement</v>
      </c>
      <c r="L1004" s="7" t="str">
        <f>VLOOKUP($G1004,Mapping!$E$140:$K$2771,5,0)</f>
        <v>Labour</v>
      </c>
      <c r="M1004" s="7" t="str">
        <f>VLOOKUP($G1004,Mapping!$E$140:$K$2771,7,0)</f>
        <v>ENDirect</v>
      </c>
      <c r="N1004" s="7" t="str">
        <f>IFERROR(HLOOKUP(L1004,'Calc|Weightings'!$K$5:$M$5,1,0),"Excl")</f>
        <v>Labour</v>
      </c>
      <c r="O1004" s="7" t="str">
        <f>VLOOKUP(E1004,Mapping!$E$11:$I$96,5,0)</f>
        <v>SCS</v>
      </c>
      <c r="Q1004" s="33">
        <v>143</v>
      </c>
      <c r="R1004" s="33" t="s">
        <v>2153</v>
      </c>
      <c r="S1004" s="33">
        <v>635001</v>
      </c>
      <c r="T1004" s="33" t="s">
        <v>1929</v>
      </c>
      <c r="U1004" s="34">
        <v>44.7791</v>
      </c>
      <c r="V1004" s="7"/>
      <c r="W1004" s="7" t="str">
        <f>VLOOKUP($Q1004,Mapping!$E$11:$I$96,3,0)</f>
        <v>Replacement</v>
      </c>
      <c r="X1004" s="7" t="str">
        <f>VLOOKUP($S1004,Mapping!$E$140:$K$2771,5,0)</f>
        <v>PNS MG</v>
      </c>
      <c r="Y1004" s="7" t="str">
        <f>VLOOKUP($S1004,Mapping!$E$140:$K$2771,7,0)</f>
        <v>ENDirect</v>
      </c>
      <c r="Z1004" s="7" t="str">
        <f>IFERROR(HLOOKUP(X1004,'Calc|Weightings'!$K$5:$M$5,1,0),"Excl")</f>
        <v>Excl</v>
      </c>
      <c r="AA1004" s="7" t="str">
        <f>VLOOKUP(Q1004,Mapping!$E$11:$I$96,5,0)</f>
        <v>SCS</v>
      </c>
      <c r="AC1004" s="111">
        <v>143</v>
      </c>
      <c r="AD1004" s="111" t="s">
        <v>2153</v>
      </c>
      <c r="AE1004" s="111">
        <v>613576</v>
      </c>
      <c r="AF1004" s="111" t="s">
        <v>1490</v>
      </c>
      <c r="AG1004" s="112">
        <v>40.491959999999999</v>
      </c>
      <c r="AI1004" s="7" t="str">
        <f>VLOOKUP($AC1004,Mapping!$E$11:$I$96,3,0)</f>
        <v>Replacement</v>
      </c>
      <c r="AJ1004" s="7" t="str">
        <f>VLOOKUP($AE1004,Mapping!$E$140:$K$2771,5,0)</f>
        <v>Labour</v>
      </c>
      <c r="AK1004" s="7" t="str">
        <f>VLOOKUP($AE1004,Mapping!$E$140:$K$2771,7,0)</f>
        <v>ENDirect</v>
      </c>
      <c r="AL1004" s="7" t="str">
        <f>IFERROR(HLOOKUP(AJ1004,'Calc|Weightings'!$K$5:$M$5,1,0),"Excl")</f>
        <v>Labour</v>
      </c>
      <c r="AM1004" s="7" t="str">
        <f>VLOOKUP(AC1004,Mapping!$E$11:$I$96,5,0)</f>
        <v>SCS</v>
      </c>
      <c r="AO1004" s="134">
        <v>145</v>
      </c>
      <c r="AP1004" s="135" t="s">
        <v>2155</v>
      </c>
      <c r="AQ1004" s="135">
        <v>613575</v>
      </c>
      <c r="AR1004" s="135" t="s">
        <v>1489</v>
      </c>
      <c r="AS1004" s="136">
        <v>9.1494999999999997</v>
      </c>
      <c r="AU1004" s="7" t="str">
        <f>VLOOKUP($AO1004,Mapping!$E$11:$I$96,3,0)</f>
        <v>Replacement</v>
      </c>
      <c r="AV1004" s="7" t="str">
        <f>VLOOKUP($AQ1004,Mapping!$E$140:$K$2771,5,0)</f>
        <v>Labour</v>
      </c>
      <c r="AW1004" s="7" t="str">
        <f>VLOOKUP($AQ1004,Mapping!$E$140:$K$2771,7,0)</f>
        <v>ENDirect</v>
      </c>
      <c r="AX1004" s="7" t="str">
        <f>IFERROR(HLOOKUP(AV1004,'Calc|Weightings'!$K$5:$M$5,1,0),"Excl")</f>
        <v>Labour</v>
      </c>
      <c r="AY1004" s="7" t="str">
        <f>VLOOKUP(AO1004,Mapping!$E$11:$I$96,5,0)</f>
        <v>SCS</v>
      </c>
    </row>
    <row r="1005" spans="1:51" x14ac:dyDescent="0.2">
      <c r="A1005" s="7"/>
      <c r="B1005" s="7"/>
      <c r="C1005" s="7"/>
      <c r="D1005" s="7"/>
      <c r="E1005" s="36">
        <v>141</v>
      </c>
      <c r="F1005" s="36" t="s">
        <v>2149</v>
      </c>
      <c r="G1005" s="36">
        <v>613319</v>
      </c>
      <c r="H1005" s="36" t="s">
        <v>2358</v>
      </c>
      <c r="I1005" s="37">
        <v>8.7098600000000008</v>
      </c>
      <c r="J1005" s="7"/>
      <c r="K1005" s="7" t="str">
        <f>VLOOKUP($E1005,Mapping!$E$11:$I$96,3,0)</f>
        <v>Replacement</v>
      </c>
      <c r="L1005" s="7" t="str">
        <f>VLOOKUP($G1005,Mapping!$E$140:$K$2771,5,0)</f>
        <v>Labour</v>
      </c>
      <c r="M1005" s="7" t="str">
        <f>VLOOKUP($G1005,Mapping!$E$140:$K$2771,7,0)</f>
        <v>ENDirect</v>
      </c>
      <c r="N1005" s="7" t="str">
        <f>IFERROR(HLOOKUP(L1005,'Calc|Weightings'!$K$5:$M$5,1,0),"Excl")</f>
        <v>Labour</v>
      </c>
      <c r="O1005" s="7" t="str">
        <f>VLOOKUP(E1005,Mapping!$E$11:$I$96,5,0)</f>
        <v>SCS</v>
      </c>
      <c r="Q1005" s="33">
        <v>143</v>
      </c>
      <c r="R1005" s="33" t="s">
        <v>2153</v>
      </c>
      <c r="S1005" s="33">
        <v>636001</v>
      </c>
      <c r="T1005" s="33" t="s">
        <v>2111</v>
      </c>
      <c r="U1005" s="34">
        <v>34.60089</v>
      </c>
      <c r="V1005" s="7"/>
      <c r="W1005" s="7" t="str">
        <f>VLOOKUP($Q1005,Mapping!$E$11:$I$96,3,0)</f>
        <v>Replacement</v>
      </c>
      <c r="X1005" s="7" t="str">
        <f>VLOOKUP($S1005,Mapping!$E$140:$K$2771,5,0)</f>
        <v>System Control OH</v>
      </c>
      <c r="Y1005" s="7" t="str">
        <f>VLOOKUP($S1005,Mapping!$E$140:$K$2771,7,0)</f>
        <v>OH</v>
      </c>
      <c r="Z1005" s="7" t="str">
        <f>IFERROR(HLOOKUP(X1005,'Calc|Weightings'!$K$5:$M$5,1,0),"Excl")</f>
        <v>Excl</v>
      </c>
      <c r="AA1005" s="7" t="str">
        <f>VLOOKUP(Q1005,Mapping!$E$11:$I$96,5,0)</f>
        <v>SCS</v>
      </c>
      <c r="AC1005" s="111">
        <v>143</v>
      </c>
      <c r="AD1005" s="111" t="s">
        <v>2153</v>
      </c>
      <c r="AE1005" s="111">
        <v>613577</v>
      </c>
      <c r="AF1005" s="111" t="s">
        <v>1491</v>
      </c>
      <c r="AG1005" s="112">
        <v>21.719200000000001</v>
      </c>
      <c r="AI1005" s="7" t="str">
        <f>VLOOKUP($AC1005,Mapping!$E$11:$I$96,3,0)</f>
        <v>Replacement</v>
      </c>
      <c r="AJ1005" s="7" t="str">
        <f>VLOOKUP($AE1005,Mapping!$E$140:$K$2771,5,0)</f>
        <v>Labour</v>
      </c>
      <c r="AK1005" s="7" t="str">
        <f>VLOOKUP($AE1005,Mapping!$E$140:$K$2771,7,0)</f>
        <v>ENDirect</v>
      </c>
      <c r="AL1005" s="7" t="str">
        <f>IFERROR(HLOOKUP(AJ1005,'Calc|Weightings'!$K$5:$M$5,1,0),"Excl")</f>
        <v>Labour</v>
      </c>
      <c r="AM1005" s="7" t="str">
        <f>VLOOKUP(AC1005,Mapping!$E$11:$I$96,5,0)</f>
        <v>SCS</v>
      </c>
      <c r="AO1005" s="134">
        <v>145</v>
      </c>
      <c r="AP1005" s="135" t="s">
        <v>2155</v>
      </c>
      <c r="AQ1005" s="135">
        <v>613576</v>
      </c>
      <c r="AR1005" s="135" t="s">
        <v>1490</v>
      </c>
      <c r="AS1005" s="136">
        <v>1.0448999999999999</v>
      </c>
      <c r="AU1005" s="7" t="str">
        <f>VLOOKUP($AO1005,Mapping!$E$11:$I$96,3,0)</f>
        <v>Replacement</v>
      </c>
      <c r="AV1005" s="7" t="str">
        <f>VLOOKUP($AQ1005,Mapping!$E$140:$K$2771,5,0)</f>
        <v>Labour</v>
      </c>
      <c r="AW1005" s="7" t="str">
        <f>VLOOKUP($AQ1005,Mapping!$E$140:$K$2771,7,0)</f>
        <v>ENDirect</v>
      </c>
      <c r="AX1005" s="7" t="str">
        <f>IFERROR(HLOOKUP(AV1005,'Calc|Weightings'!$K$5:$M$5,1,0),"Excl")</f>
        <v>Labour</v>
      </c>
      <c r="AY1005" s="7" t="str">
        <f>VLOOKUP(AO1005,Mapping!$E$11:$I$96,5,0)</f>
        <v>SCS</v>
      </c>
    </row>
    <row r="1006" spans="1:51" x14ac:dyDescent="0.2">
      <c r="A1006" s="7"/>
      <c r="B1006" s="7"/>
      <c r="C1006" s="7"/>
      <c r="D1006" s="7"/>
      <c r="E1006" s="36">
        <v>141</v>
      </c>
      <c r="F1006" s="36" t="s">
        <v>2149</v>
      </c>
      <c r="G1006" s="36">
        <v>613350</v>
      </c>
      <c r="H1006" s="36" t="s">
        <v>2096</v>
      </c>
      <c r="I1006" s="37">
        <v>6.6800800000000002</v>
      </c>
      <c r="J1006" s="7"/>
      <c r="K1006" s="7" t="str">
        <f>VLOOKUP($E1006,Mapping!$E$11:$I$96,3,0)</f>
        <v>Replacement</v>
      </c>
      <c r="L1006" s="7" t="str">
        <f>VLOOKUP($G1006,Mapping!$E$140:$K$2771,5,0)</f>
        <v>Labour</v>
      </c>
      <c r="M1006" s="7" t="str">
        <f>VLOOKUP($G1006,Mapping!$E$140:$K$2771,7,0)</f>
        <v>ENDirect</v>
      </c>
      <c r="N1006" s="7" t="str">
        <f>IFERROR(HLOOKUP(L1006,'Calc|Weightings'!$K$5:$M$5,1,0),"Excl")</f>
        <v>Labour</v>
      </c>
      <c r="O1006" s="7" t="str">
        <f>VLOOKUP(E1006,Mapping!$E$11:$I$96,5,0)</f>
        <v>SCS</v>
      </c>
      <c r="Q1006" s="33">
        <v>143</v>
      </c>
      <c r="R1006" s="33" t="s">
        <v>2153</v>
      </c>
      <c r="S1006" s="33">
        <v>639000</v>
      </c>
      <c r="T1006" s="33" t="s">
        <v>2112</v>
      </c>
      <c r="U1006" s="34">
        <v>92.139080000000007</v>
      </c>
      <c r="V1006" s="7"/>
      <c r="W1006" s="7" t="str">
        <f>VLOOKUP($Q1006,Mapping!$E$11:$I$96,3,0)</f>
        <v>Replacement</v>
      </c>
      <c r="X1006" s="7" t="str">
        <f>VLOOKUP($S1006,Mapping!$E$140:$K$2771,5,0)</f>
        <v>PNS Corporate OH</v>
      </c>
      <c r="Y1006" s="7" t="str">
        <f>VLOOKUP($S1006,Mapping!$E$140:$K$2771,7,0)</f>
        <v>OH</v>
      </c>
      <c r="Z1006" s="7" t="str">
        <f>IFERROR(HLOOKUP(X1006,'Calc|Weightings'!$K$5:$M$5,1,0),"Excl")</f>
        <v>Excl</v>
      </c>
      <c r="AA1006" s="7" t="str">
        <f>VLOOKUP(Q1006,Mapping!$E$11:$I$96,5,0)</f>
        <v>SCS</v>
      </c>
      <c r="AC1006" s="111">
        <v>143</v>
      </c>
      <c r="AD1006" s="111" t="s">
        <v>2153</v>
      </c>
      <c r="AE1006" s="111">
        <v>613602</v>
      </c>
      <c r="AF1006" s="111" t="s">
        <v>1494</v>
      </c>
      <c r="AG1006" s="112">
        <v>14.429360000000001</v>
      </c>
      <c r="AI1006" s="7" t="str">
        <f>VLOOKUP($AC1006,Mapping!$E$11:$I$96,3,0)</f>
        <v>Replacement</v>
      </c>
      <c r="AJ1006" s="7" t="str">
        <f>VLOOKUP($AE1006,Mapping!$E$140:$K$2771,5,0)</f>
        <v>Labour</v>
      </c>
      <c r="AK1006" s="7" t="str">
        <f>VLOOKUP($AE1006,Mapping!$E$140:$K$2771,7,0)</f>
        <v>ENDirect</v>
      </c>
      <c r="AL1006" s="7" t="str">
        <f>IFERROR(HLOOKUP(AJ1006,'Calc|Weightings'!$K$5:$M$5,1,0),"Excl")</f>
        <v>Labour</v>
      </c>
      <c r="AM1006" s="7" t="str">
        <f>VLOOKUP(AC1006,Mapping!$E$11:$I$96,5,0)</f>
        <v>SCS</v>
      </c>
      <c r="AO1006" s="134">
        <v>145</v>
      </c>
      <c r="AP1006" s="135" t="s">
        <v>2155</v>
      </c>
      <c r="AQ1006" s="135">
        <v>613577</v>
      </c>
      <c r="AR1006" s="135" t="s">
        <v>1491</v>
      </c>
      <c r="AS1006" s="136">
        <v>0.66696</v>
      </c>
      <c r="AU1006" s="7" t="str">
        <f>VLOOKUP($AO1006,Mapping!$E$11:$I$96,3,0)</f>
        <v>Replacement</v>
      </c>
      <c r="AV1006" s="7" t="str">
        <f>VLOOKUP($AQ1006,Mapping!$E$140:$K$2771,5,0)</f>
        <v>Labour</v>
      </c>
      <c r="AW1006" s="7" t="str">
        <f>VLOOKUP($AQ1006,Mapping!$E$140:$K$2771,7,0)</f>
        <v>ENDirect</v>
      </c>
      <c r="AX1006" s="7" t="str">
        <f>IFERROR(HLOOKUP(AV1006,'Calc|Weightings'!$K$5:$M$5,1,0),"Excl")</f>
        <v>Labour</v>
      </c>
      <c r="AY1006" s="7" t="str">
        <f>VLOOKUP(AO1006,Mapping!$E$11:$I$96,5,0)</f>
        <v>SCS</v>
      </c>
    </row>
    <row r="1007" spans="1:51" x14ac:dyDescent="0.2">
      <c r="A1007" s="7"/>
      <c r="B1007" s="7"/>
      <c r="C1007" s="7"/>
      <c r="D1007" s="7"/>
      <c r="E1007" s="36">
        <v>141</v>
      </c>
      <c r="F1007" s="36" t="s">
        <v>2149</v>
      </c>
      <c r="G1007" s="36">
        <v>613360</v>
      </c>
      <c r="H1007" s="36" t="s">
        <v>2097</v>
      </c>
      <c r="I1007" s="37">
        <v>4.2748699999999999</v>
      </c>
      <c r="J1007" s="7"/>
      <c r="K1007" s="7" t="str">
        <f>VLOOKUP($E1007,Mapping!$E$11:$I$96,3,0)</f>
        <v>Replacement</v>
      </c>
      <c r="L1007" s="7" t="str">
        <f>VLOOKUP($G1007,Mapping!$E$140:$K$2771,5,0)</f>
        <v>Labour</v>
      </c>
      <c r="M1007" s="7" t="str">
        <f>VLOOKUP($G1007,Mapping!$E$140:$K$2771,7,0)</f>
        <v>ENDirect</v>
      </c>
      <c r="N1007" s="7" t="str">
        <f>IFERROR(HLOOKUP(L1007,'Calc|Weightings'!$K$5:$M$5,1,0),"Excl")</f>
        <v>Labour</v>
      </c>
      <c r="O1007" s="7" t="str">
        <f>VLOOKUP(E1007,Mapping!$E$11:$I$96,5,0)</f>
        <v>SCS</v>
      </c>
      <c r="Q1007" s="33">
        <v>143</v>
      </c>
      <c r="R1007" s="33" t="s">
        <v>2153</v>
      </c>
      <c r="S1007" s="33">
        <v>639050</v>
      </c>
      <c r="T1007" s="33" t="s">
        <v>2113</v>
      </c>
      <c r="U1007" s="34">
        <v>10.789809999999999</v>
      </c>
      <c r="V1007" s="7"/>
      <c r="W1007" s="7" t="str">
        <f>VLOOKUP($Q1007,Mapping!$E$11:$I$96,3,0)</f>
        <v>Replacement</v>
      </c>
      <c r="X1007" s="7" t="str">
        <f>VLOOKUP($S1007,Mapping!$E$140:$K$2771,5,0)</f>
        <v>PNS Fleet &amp; Property OH</v>
      </c>
      <c r="Y1007" s="7" t="str">
        <f>VLOOKUP($S1007,Mapping!$E$140:$K$2771,7,0)</f>
        <v>OH</v>
      </c>
      <c r="Z1007" s="7" t="str">
        <f>IFERROR(HLOOKUP(X1007,'Calc|Weightings'!$K$5:$M$5,1,0),"Excl")</f>
        <v>Excl</v>
      </c>
      <c r="AA1007" s="7" t="str">
        <f>VLOOKUP(Q1007,Mapping!$E$11:$I$96,5,0)</f>
        <v>SCS</v>
      </c>
      <c r="AC1007" s="111">
        <v>143</v>
      </c>
      <c r="AD1007" s="111" t="s">
        <v>2153</v>
      </c>
      <c r="AE1007" s="111">
        <v>613603</v>
      </c>
      <c r="AF1007" s="111" t="s">
        <v>1495</v>
      </c>
      <c r="AG1007" s="112">
        <v>7.58575</v>
      </c>
      <c r="AI1007" s="7" t="str">
        <f>VLOOKUP($AC1007,Mapping!$E$11:$I$96,3,0)</f>
        <v>Replacement</v>
      </c>
      <c r="AJ1007" s="7" t="str">
        <f>VLOOKUP($AE1007,Mapping!$E$140:$K$2771,5,0)</f>
        <v>Labour</v>
      </c>
      <c r="AK1007" s="7" t="str">
        <f>VLOOKUP($AE1007,Mapping!$E$140:$K$2771,7,0)</f>
        <v>ENDirect</v>
      </c>
      <c r="AL1007" s="7" t="str">
        <f>IFERROR(HLOOKUP(AJ1007,'Calc|Weightings'!$K$5:$M$5,1,0),"Excl")</f>
        <v>Labour</v>
      </c>
      <c r="AM1007" s="7" t="str">
        <f>VLOOKUP(AC1007,Mapping!$E$11:$I$96,5,0)</f>
        <v>SCS</v>
      </c>
      <c r="AO1007" s="134">
        <v>145</v>
      </c>
      <c r="AP1007" s="135" t="s">
        <v>2155</v>
      </c>
      <c r="AQ1007" s="135">
        <v>634001</v>
      </c>
      <c r="AR1007" s="135" t="s">
        <v>2110</v>
      </c>
      <c r="AS1007" s="136">
        <v>36.359720000000003</v>
      </c>
      <c r="AU1007" s="7" t="str">
        <f>VLOOKUP($AO1007,Mapping!$E$11:$I$96,3,0)</f>
        <v>Replacement</v>
      </c>
      <c r="AV1007" s="7" t="str">
        <f>VLOOKUP($AQ1007,Mapping!$E$140:$K$2771,5,0)</f>
        <v>Local OH</v>
      </c>
      <c r="AW1007" s="7" t="str">
        <f>VLOOKUP($AQ1007,Mapping!$E$140:$K$2771,7,0)</f>
        <v>OH</v>
      </c>
      <c r="AX1007" s="7" t="str">
        <f>IFERROR(HLOOKUP(AV1007,'Calc|Weightings'!$K$5:$M$5,1,0),"Excl")</f>
        <v>Excl</v>
      </c>
      <c r="AY1007" s="7" t="str">
        <f>VLOOKUP(AO1007,Mapping!$E$11:$I$96,5,0)</f>
        <v>SCS</v>
      </c>
    </row>
    <row r="1008" spans="1:51" x14ac:dyDescent="0.2">
      <c r="A1008" s="7"/>
      <c r="B1008" s="7"/>
      <c r="C1008" s="7"/>
      <c r="D1008" s="7"/>
      <c r="E1008" s="36">
        <v>141</v>
      </c>
      <c r="F1008" s="36" t="s">
        <v>2149</v>
      </c>
      <c r="G1008" s="36">
        <v>613408</v>
      </c>
      <c r="H1008" s="36" t="s">
        <v>1418</v>
      </c>
      <c r="I1008" s="37">
        <v>46.779139999999998</v>
      </c>
      <c r="J1008" s="7"/>
      <c r="K1008" s="7" t="str">
        <f>VLOOKUP($E1008,Mapping!$E$11:$I$96,3,0)</f>
        <v>Replacement</v>
      </c>
      <c r="L1008" s="7" t="str">
        <f>VLOOKUP($G1008,Mapping!$E$140:$K$2771,5,0)</f>
        <v>Labour</v>
      </c>
      <c r="M1008" s="7" t="str">
        <f>VLOOKUP($G1008,Mapping!$E$140:$K$2771,7,0)</f>
        <v>ENDirect</v>
      </c>
      <c r="N1008" s="7" t="str">
        <f>IFERROR(HLOOKUP(L1008,'Calc|Weightings'!$K$5:$M$5,1,0),"Excl")</f>
        <v>Labour</v>
      </c>
      <c r="O1008" s="7" t="str">
        <f>VLOOKUP(E1008,Mapping!$E$11:$I$96,5,0)</f>
        <v>SCS</v>
      </c>
      <c r="Q1008" s="33">
        <v>144</v>
      </c>
      <c r="R1008" s="33" t="s">
        <v>2154</v>
      </c>
      <c r="S1008" s="33">
        <v>520100</v>
      </c>
      <c r="T1008" s="33" t="s">
        <v>2072</v>
      </c>
      <c r="U1008" s="34">
        <v>5.7407399999999997</v>
      </c>
      <c r="V1008" s="7"/>
      <c r="W1008" s="7" t="str">
        <f>VLOOKUP($Q1008,Mapping!$E$11:$I$96,3,0)</f>
        <v>Replacement</v>
      </c>
      <c r="X1008" s="7" t="str">
        <f>VLOOKUP($S1008,Mapping!$E$140:$K$2771,5,0)</f>
        <v>Materials</v>
      </c>
      <c r="Y1008" s="7" t="str">
        <f>VLOOKUP($S1008,Mapping!$E$140:$K$2771,7,0)</f>
        <v>ENDirect</v>
      </c>
      <c r="Z1008" s="7" t="str">
        <f>IFERROR(HLOOKUP(X1008,'Calc|Weightings'!$K$5:$M$5,1,0),"Excl")</f>
        <v>Materials</v>
      </c>
      <c r="AA1008" s="7" t="str">
        <f>VLOOKUP(Q1008,Mapping!$E$11:$I$96,5,0)</f>
        <v>SCS</v>
      </c>
      <c r="AC1008" s="111">
        <v>143</v>
      </c>
      <c r="AD1008" s="111" t="s">
        <v>2153</v>
      </c>
      <c r="AE1008" s="111">
        <v>613630</v>
      </c>
      <c r="AF1008" s="111" t="s">
        <v>1498</v>
      </c>
      <c r="AG1008" s="112">
        <v>4.6418499999999998</v>
      </c>
      <c r="AI1008" s="7" t="str">
        <f>VLOOKUP($AC1008,Mapping!$E$11:$I$96,3,0)</f>
        <v>Replacement</v>
      </c>
      <c r="AJ1008" s="7" t="str">
        <f>VLOOKUP($AE1008,Mapping!$E$140:$K$2771,5,0)</f>
        <v>Labour</v>
      </c>
      <c r="AK1008" s="7" t="str">
        <f>VLOOKUP($AE1008,Mapping!$E$140:$K$2771,7,0)</f>
        <v>ENDirect</v>
      </c>
      <c r="AL1008" s="7" t="str">
        <f>IFERROR(HLOOKUP(AJ1008,'Calc|Weightings'!$K$5:$M$5,1,0),"Excl")</f>
        <v>Labour</v>
      </c>
      <c r="AM1008" s="7" t="str">
        <f>VLOOKUP(AC1008,Mapping!$E$11:$I$96,5,0)</f>
        <v>SCS</v>
      </c>
      <c r="AO1008" s="134">
        <v>145</v>
      </c>
      <c r="AP1008" s="135" t="s">
        <v>2155</v>
      </c>
      <c r="AQ1008" s="135">
        <v>635001</v>
      </c>
      <c r="AR1008" s="135" t="s">
        <v>1929</v>
      </c>
      <c r="AS1008" s="136">
        <v>23.235250000000001</v>
      </c>
      <c r="AU1008" s="7" t="str">
        <f>VLOOKUP($AO1008,Mapping!$E$11:$I$96,3,0)</f>
        <v>Replacement</v>
      </c>
      <c r="AV1008" s="7" t="str">
        <f>VLOOKUP($AQ1008,Mapping!$E$140:$K$2771,5,0)</f>
        <v>PNS MG</v>
      </c>
      <c r="AW1008" s="7" t="str">
        <f>VLOOKUP($AQ1008,Mapping!$E$140:$K$2771,7,0)</f>
        <v>ENDirect</v>
      </c>
      <c r="AX1008" s="7" t="str">
        <f>IFERROR(HLOOKUP(AV1008,'Calc|Weightings'!$K$5:$M$5,1,0),"Excl")</f>
        <v>Excl</v>
      </c>
      <c r="AY1008" s="7" t="str">
        <f>VLOOKUP(AO1008,Mapping!$E$11:$I$96,5,0)</f>
        <v>SCS</v>
      </c>
    </row>
    <row r="1009" spans="1:51" x14ac:dyDescent="0.2">
      <c r="A1009" s="7"/>
      <c r="B1009" s="7"/>
      <c r="C1009" s="7"/>
      <c r="D1009" s="7"/>
      <c r="E1009" s="36">
        <v>141</v>
      </c>
      <c r="F1009" s="36" t="s">
        <v>2149</v>
      </c>
      <c r="G1009" s="36">
        <v>613409</v>
      </c>
      <c r="H1009" s="36" t="s">
        <v>1419</v>
      </c>
      <c r="I1009" s="37">
        <v>9.1259499999999996</v>
      </c>
      <c r="J1009" s="7"/>
      <c r="K1009" s="7" t="str">
        <f>VLOOKUP($E1009,Mapping!$E$11:$I$96,3,0)</f>
        <v>Replacement</v>
      </c>
      <c r="L1009" s="7" t="str">
        <f>VLOOKUP($G1009,Mapping!$E$140:$K$2771,5,0)</f>
        <v>Labour</v>
      </c>
      <c r="M1009" s="7" t="str">
        <f>VLOOKUP($G1009,Mapping!$E$140:$K$2771,7,0)</f>
        <v>ENDirect</v>
      </c>
      <c r="N1009" s="7" t="str">
        <f>IFERROR(HLOOKUP(L1009,'Calc|Weightings'!$K$5:$M$5,1,0),"Excl")</f>
        <v>Labour</v>
      </c>
      <c r="O1009" s="7" t="str">
        <f>VLOOKUP(E1009,Mapping!$E$11:$I$96,5,0)</f>
        <v>SCS</v>
      </c>
      <c r="Q1009" s="33">
        <v>144</v>
      </c>
      <c r="R1009" s="33" t="s">
        <v>2154</v>
      </c>
      <c r="S1009" s="33">
        <v>523100</v>
      </c>
      <c r="T1009" s="33" t="s">
        <v>2074</v>
      </c>
      <c r="U1009" s="34">
        <v>0.11981</v>
      </c>
      <c r="V1009" s="7"/>
      <c r="W1009" s="7" t="str">
        <f>VLOOKUP($Q1009,Mapping!$E$11:$I$96,3,0)</f>
        <v>Replacement</v>
      </c>
      <c r="X1009" s="7" t="str">
        <f>VLOOKUP($S1009,Mapping!$E$140:$K$2771,5,0)</f>
        <v>Materials</v>
      </c>
      <c r="Y1009" s="7" t="str">
        <f>VLOOKUP($S1009,Mapping!$E$140:$K$2771,7,0)</f>
        <v>ENDirect</v>
      </c>
      <c r="Z1009" s="7" t="str">
        <f>IFERROR(HLOOKUP(X1009,'Calc|Weightings'!$K$5:$M$5,1,0),"Excl")</f>
        <v>Materials</v>
      </c>
      <c r="AA1009" s="7" t="str">
        <f>VLOOKUP(Q1009,Mapping!$E$11:$I$96,5,0)</f>
        <v>SCS</v>
      </c>
      <c r="AC1009" s="111">
        <v>143</v>
      </c>
      <c r="AD1009" s="111" t="s">
        <v>2153</v>
      </c>
      <c r="AE1009" s="111">
        <v>613680</v>
      </c>
      <c r="AF1009" s="111" t="s">
        <v>2107</v>
      </c>
      <c r="AG1009" s="112">
        <v>5.92197</v>
      </c>
      <c r="AI1009" s="7" t="str">
        <f>VLOOKUP($AC1009,Mapping!$E$11:$I$96,3,0)</f>
        <v>Replacement</v>
      </c>
      <c r="AJ1009" s="7" t="str">
        <f>VLOOKUP($AE1009,Mapping!$E$140:$K$2771,5,0)</f>
        <v>Labour</v>
      </c>
      <c r="AK1009" s="7" t="str">
        <f>VLOOKUP($AE1009,Mapping!$E$140:$K$2771,7,0)</f>
        <v>ENDirect</v>
      </c>
      <c r="AL1009" s="7" t="str">
        <f>IFERROR(HLOOKUP(AJ1009,'Calc|Weightings'!$K$5:$M$5,1,0),"Excl")</f>
        <v>Labour</v>
      </c>
      <c r="AM1009" s="7" t="str">
        <f>VLOOKUP(AC1009,Mapping!$E$11:$I$96,5,0)</f>
        <v>SCS</v>
      </c>
      <c r="AO1009" s="134">
        <v>145</v>
      </c>
      <c r="AP1009" s="135" t="s">
        <v>2155</v>
      </c>
      <c r="AQ1009" s="135">
        <v>636001</v>
      </c>
      <c r="AR1009" s="135" t="s">
        <v>2111</v>
      </c>
      <c r="AS1009" s="136">
        <v>23.682020000000001</v>
      </c>
      <c r="AU1009" s="7" t="str">
        <f>VLOOKUP($AO1009,Mapping!$E$11:$I$96,3,0)</f>
        <v>Replacement</v>
      </c>
      <c r="AV1009" s="7" t="str">
        <f>VLOOKUP($AQ1009,Mapping!$E$140:$K$2771,5,0)</f>
        <v>System Control OH</v>
      </c>
      <c r="AW1009" s="7" t="str">
        <f>VLOOKUP($AQ1009,Mapping!$E$140:$K$2771,7,0)</f>
        <v>OH</v>
      </c>
      <c r="AX1009" s="7" t="str">
        <f>IFERROR(HLOOKUP(AV1009,'Calc|Weightings'!$K$5:$M$5,1,0),"Excl")</f>
        <v>Excl</v>
      </c>
      <c r="AY1009" s="7" t="str">
        <f>VLOOKUP(AO1009,Mapping!$E$11:$I$96,5,0)</f>
        <v>SCS</v>
      </c>
    </row>
    <row r="1010" spans="1:51" x14ac:dyDescent="0.2">
      <c r="A1010" s="7"/>
      <c r="B1010" s="7"/>
      <c r="C1010" s="7"/>
      <c r="D1010" s="7"/>
      <c r="E1010" s="36">
        <v>141</v>
      </c>
      <c r="F1010" s="36" t="s">
        <v>2149</v>
      </c>
      <c r="G1010" s="36">
        <v>613410</v>
      </c>
      <c r="H1010" s="36" t="s">
        <v>2100</v>
      </c>
      <c r="I1010" s="37">
        <v>0.39942</v>
      </c>
      <c r="J1010" s="7"/>
      <c r="K1010" s="7" t="str">
        <f>VLOOKUP($E1010,Mapping!$E$11:$I$96,3,0)</f>
        <v>Replacement</v>
      </c>
      <c r="L1010" s="7" t="str">
        <f>VLOOKUP($G1010,Mapping!$E$140:$K$2771,5,0)</f>
        <v>Labour</v>
      </c>
      <c r="M1010" s="7" t="str">
        <f>VLOOKUP($G1010,Mapping!$E$140:$K$2771,7,0)</f>
        <v>ENDirect</v>
      </c>
      <c r="N1010" s="7" t="str">
        <f>IFERROR(HLOOKUP(L1010,'Calc|Weightings'!$K$5:$M$5,1,0),"Excl")</f>
        <v>Labour</v>
      </c>
      <c r="O1010" s="7" t="str">
        <f>VLOOKUP(E1010,Mapping!$E$11:$I$96,5,0)</f>
        <v>SCS</v>
      </c>
      <c r="Q1010" s="33">
        <v>144</v>
      </c>
      <c r="R1010" s="33" t="s">
        <v>2154</v>
      </c>
      <c r="S1010" s="33">
        <v>531000</v>
      </c>
      <c r="T1010" s="33" t="s">
        <v>242</v>
      </c>
      <c r="U1010" s="34">
        <v>0.29891000000000001</v>
      </c>
      <c r="V1010" s="7"/>
      <c r="W1010" s="7" t="str">
        <f>VLOOKUP($Q1010,Mapping!$E$11:$I$96,3,0)</f>
        <v>Replacement</v>
      </c>
      <c r="X1010" s="7" t="str">
        <f>VLOOKUP($S1010,Mapping!$E$140:$K$2771,5,0)</f>
        <v>Contracts</v>
      </c>
      <c r="Y1010" s="7" t="str">
        <f>VLOOKUP($S1010,Mapping!$E$140:$K$2771,7,0)</f>
        <v>ENDirect</v>
      </c>
      <c r="Z1010" s="7" t="str">
        <f>IFERROR(HLOOKUP(X1010,'Calc|Weightings'!$K$5:$M$5,1,0),"Excl")</f>
        <v>Contracts</v>
      </c>
      <c r="AA1010" s="7" t="str">
        <f>VLOOKUP(Q1010,Mapping!$E$11:$I$96,5,0)</f>
        <v>SCS</v>
      </c>
      <c r="AC1010" s="111">
        <v>143</v>
      </c>
      <c r="AD1010" s="111" t="s">
        <v>2153</v>
      </c>
      <c r="AE1010" s="111">
        <v>613964</v>
      </c>
      <c r="AF1010" s="111" t="s">
        <v>1650</v>
      </c>
      <c r="AG1010" s="112">
        <v>1.0911999999999999</v>
      </c>
      <c r="AI1010" s="7" t="str">
        <f>VLOOKUP($AC1010,Mapping!$E$11:$I$96,3,0)</f>
        <v>Replacement</v>
      </c>
      <c r="AJ1010" s="7" t="str">
        <f>VLOOKUP($AE1010,Mapping!$E$140:$K$2771,5,0)</f>
        <v>Contracts</v>
      </c>
      <c r="AK1010" s="7" t="str">
        <f>VLOOKUP($AE1010,Mapping!$E$140:$K$2771,7,0)</f>
        <v>ENDirect</v>
      </c>
      <c r="AL1010" s="7" t="str">
        <f>IFERROR(HLOOKUP(AJ1010,'Calc|Weightings'!$K$5:$M$5,1,0),"Excl")</f>
        <v>Contracts</v>
      </c>
      <c r="AM1010" s="7" t="str">
        <f>VLOOKUP(AC1010,Mapping!$E$11:$I$96,5,0)</f>
        <v>SCS</v>
      </c>
      <c r="AO1010" s="134">
        <v>145</v>
      </c>
      <c r="AP1010" s="135" t="s">
        <v>2155</v>
      </c>
      <c r="AQ1010" s="135">
        <v>639000</v>
      </c>
      <c r="AR1010" s="135" t="s">
        <v>2112</v>
      </c>
      <c r="AS1010" s="136">
        <v>24.70879</v>
      </c>
      <c r="AU1010" s="7" t="str">
        <f>VLOOKUP($AO1010,Mapping!$E$11:$I$96,3,0)</f>
        <v>Replacement</v>
      </c>
      <c r="AV1010" s="7" t="str">
        <f>VLOOKUP($AQ1010,Mapping!$E$140:$K$2771,5,0)</f>
        <v>PNS Corporate OH</v>
      </c>
      <c r="AW1010" s="7" t="str">
        <f>VLOOKUP($AQ1010,Mapping!$E$140:$K$2771,7,0)</f>
        <v>OH</v>
      </c>
      <c r="AX1010" s="7" t="str">
        <f>IFERROR(HLOOKUP(AV1010,'Calc|Weightings'!$K$5:$M$5,1,0),"Excl")</f>
        <v>Excl</v>
      </c>
      <c r="AY1010" s="7" t="str">
        <f>VLOOKUP(AO1010,Mapping!$E$11:$I$96,5,0)</f>
        <v>SCS</v>
      </c>
    </row>
    <row r="1011" spans="1:51" x14ac:dyDescent="0.2">
      <c r="A1011" s="7"/>
      <c r="B1011" s="7"/>
      <c r="C1011" s="7"/>
      <c r="D1011" s="7"/>
      <c r="E1011" s="36">
        <v>141</v>
      </c>
      <c r="F1011" s="36" t="s">
        <v>2149</v>
      </c>
      <c r="G1011" s="36">
        <v>613411</v>
      </c>
      <c r="H1011" s="36" t="s">
        <v>2101</v>
      </c>
      <c r="I1011" s="37">
        <v>0.63907999999999998</v>
      </c>
      <c r="J1011" s="7"/>
      <c r="K1011" s="7" t="str">
        <f>VLOOKUP($E1011,Mapping!$E$11:$I$96,3,0)</f>
        <v>Replacement</v>
      </c>
      <c r="L1011" s="7" t="str">
        <f>VLOOKUP($G1011,Mapping!$E$140:$K$2771,5,0)</f>
        <v>Labour</v>
      </c>
      <c r="M1011" s="7" t="str">
        <f>VLOOKUP($G1011,Mapping!$E$140:$K$2771,7,0)</f>
        <v>ENDirect</v>
      </c>
      <c r="N1011" s="7" t="str">
        <f>IFERROR(HLOOKUP(L1011,'Calc|Weightings'!$K$5:$M$5,1,0),"Excl")</f>
        <v>Labour</v>
      </c>
      <c r="O1011" s="7" t="str">
        <f>VLOOKUP(E1011,Mapping!$E$11:$I$96,5,0)</f>
        <v>SCS</v>
      </c>
      <c r="Q1011" s="33">
        <v>144</v>
      </c>
      <c r="R1011" s="33" t="s">
        <v>2154</v>
      </c>
      <c r="S1011" s="33">
        <v>531020</v>
      </c>
      <c r="T1011" s="33" t="s">
        <v>219</v>
      </c>
      <c r="U1011" s="34">
        <v>8.2560000000000002</v>
      </c>
      <c r="V1011" s="7"/>
      <c r="W1011" s="7" t="str">
        <f>VLOOKUP($Q1011,Mapping!$E$11:$I$96,3,0)</f>
        <v>Replacement</v>
      </c>
      <c r="X1011" s="7" t="str">
        <f>VLOOKUP($S1011,Mapping!$E$140:$K$2771,5,0)</f>
        <v>Labour</v>
      </c>
      <c r="Y1011" s="7" t="str">
        <f>VLOOKUP($S1011,Mapping!$E$140:$K$2771,7,0)</f>
        <v>ENDirect</v>
      </c>
      <c r="Z1011" s="7" t="str">
        <f>IFERROR(HLOOKUP(X1011,'Calc|Weightings'!$K$5:$M$5,1,0),"Excl")</f>
        <v>Labour</v>
      </c>
      <c r="AA1011" s="7" t="str">
        <f>VLOOKUP(Q1011,Mapping!$E$11:$I$96,5,0)</f>
        <v>SCS</v>
      </c>
      <c r="AC1011" s="111">
        <v>143</v>
      </c>
      <c r="AD1011" s="111" t="s">
        <v>2153</v>
      </c>
      <c r="AE1011" s="111">
        <v>634001</v>
      </c>
      <c r="AF1011" s="111" t="s">
        <v>2110</v>
      </c>
      <c r="AG1011" s="112">
        <v>57.761049999999997</v>
      </c>
      <c r="AI1011" s="7" t="str">
        <f>VLOOKUP($AC1011,Mapping!$E$11:$I$96,3,0)</f>
        <v>Replacement</v>
      </c>
      <c r="AJ1011" s="7" t="str">
        <f>VLOOKUP($AE1011,Mapping!$E$140:$K$2771,5,0)</f>
        <v>Local OH</v>
      </c>
      <c r="AK1011" s="7" t="str">
        <f>VLOOKUP($AE1011,Mapping!$E$140:$K$2771,7,0)</f>
        <v>OH</v>
      </c>
      <c r="AL1011" s="7" t="str">
        <f>IFERROR(HLOOKUP(AJ1011,'Calc|Weightings'!$K$5:$M$5,1,0),"Excl")</f>
        <v>Excl</v>
      </c>
      <c r="AM1011" s="7" t="str">
        <f>VLOOKUP(AC1011,Mapping!$E$11:$I$96,5,0)</f>
        <v>SCS</v>
      </c>
      <c r="AO1011" s="134">
        <v>145</v>
      </c>
      <c r="AP1011" s="135" t="s">
        <v>2155</v>
      </c>
      <c r="AQ1011" s="135">
        <v>639050</v>
      </c>
      <c r="AR1011" s="135" t="s">
        <v>2113</v>
      </c>
      <c r="AS1011" s="136">
        <v>5.9347000000000003</v>
      </c>
      <c r="AU1011" s="7" t="str">
        <f>VLOOKUP($AO1011,Mapping!$E$11:$I$96,3,0)</f>
        <v>Replacement</v>
      </c>
      <c r="AV1011" s="7" t="str">
        <f>VLOOKUP($AQ1011,Mapping!$E$140:$K$2771,5,0)</f>
        <v>PNS Fleet &amp; Property OH</v>
      </c>
      <c r="AW1011" s="7" t="str">
        <f>VLOOKUP($AQ1011,Mapping!$E$140:$K$2771,7,0)</f>
        <v>OH</v>
      </c>
      <c r="AX1011" s="7" t="str">
        <f>IFERROR(HLOOKUP(AV1011,'Calc|Weightings'!$K$5:$M$5,1,0),"Excl")</f>
        <v>Excl</v>
      </c>
      <c r="AY1011" s="7" t="str">
        <f>VLOOKUP(AO1011,Mapping!$E$11:$I$96,5,0)</f>
        <v>SCS</v>
      </c>
    </row>
    <row r="1012" spans="1:51" x14ac:dyDescent="0.2">
      <c r="A1012" s="7"/>
      <c r="B1012" s="7"/>
      <c r="C1012" s="7"/>
      <c r="D1012" s="7"/>
      <c r="E1012" s="36">
        <v>141</v>
      </c>
      <c r="F1012" s="36" t="s">
        <v>2149</v>
      </c>
      <c r="G1012" s="36">
        <v>613418</v>
      </c>
      <c r="H1012" s="36" t="s">
        <v>1424</v>
      </c>
      <c r="I1012" s="37">
        <v>18.57816</v>
      </c>
      <c r="J1012" s="7"/>
      <c r="K1012" s="7" t="str">
        <f>VLOOKUP($E1012,Mapping!$E$11:$I$96,3,0)</f>
        <v>Replacement</v>
      </c>
      <c r="L1012" s="7" t="str">
        <f>VLOOKUP($G1012,Mapping!$E$140:$K$2771,5,0)</f>
        <v>Labour</v>
      </c>
      <c r="M1012" s="7" t="str">
        <f>VLOOKUP($G1012,Mapping!$E$140:$K$2771,7,0)</f>
        <v>ENDirect</v>
      </c>
      <c r="N1012" s="7" t="str">
        <f>IFERROR(HLOOKUP(L1012,'Calc|Weightings'!$K$5:$M$5,1,0),"Excl")</f>
        <v>Labour</v>
      </c>
      <c r="O1012" s="7" t="str">
        <f>VLOOKUP(E1012,Mapping!$E$11:$I$96,5,0)</f>
        <v>SCS</v>
      </c>
      <c r="Q1012" s="33">
        <v>144</v>
      </c>
      <c r="R1012" s="33" t="s">
        <v>2154</v>
      </c>
      <c r="S1012" s="33">
        <v>531464</v>
      </c>
      <c r="T1012" s="33" t="s">
        <v>256</v>
      </c>
      <c r="U1012" s="34">
        <v>1.1180000000000001</v>
      </c>
      <c r="V1012" s="7"/>
      <c r="W1012" s="7" t="str">
        <f>VLOOKUP($Q1012,Mapping!$E$11:$I$96,3,0)</f>
        <v>Replacement</v>
      </c>
      <c r="X1012" s="7" t="str">
        <f>VLOOKUP($S1012,Mapping!$E$140:$K$2771,5,0)</f>
        <v>Contracts</v>
      </c>
      <c r="Y1012" s="7" t="str">
        <f>VLOOKUP($S1012,Mapping!$E$140:$K$2771,7,0)</f>
        <v>ENDirect</v>
      </c>
      <c r="Z1012" s="7" t="str">
        <f>IFERROR(HLOOKUP(X1012,'Calc|Weightings'!$K$5:$M$5,1,0),"Excl")</f>
        <v>Contracts</v>
      </c>
      <c r="AA1012" s="7" t="str">
        <f>VLOOKUP(Q1012,Mapping!$E$11:$I$96,5,0)</f>
        <v>SCS</v>
      </c>
      <c r="AC1012" s="111">
        <v>143</v>
      </c>
      <c r="AD1012" s="111" t="s">
        <v>2153</v>
      </c>
      <c r="AE1012" s="111">
        <v>635001</v>
      </c>
      <c r="AF1012" s="111" t="s">
        <v>1929</v>
      </c>
      <c r="AG1012" s="112">
        <v>30.227319999999999</v>
      </c>
      <c r="AI1012" s="7" t="str">
        <f>VLOOKUP($AC1012,Mapping!$E$11:$I$96,3,0)</f>
        <v>Replacement</v>
      </c>
      <c r="AJ1012" s="7" t="str">
        <f>VLOOKUP($AE1012,Mapping!$E$140:$K$2771,5,0)</f>
        <v>PNS MG</v>
      </c>
      <c r="AK1012" s="7" t="str">
        <f>VLOOKUP($AE1012,Mapping!$E$140:$K$2771,7,0)</f>
        <v>ENDirect</v>
      </c>
      <c r="AL1012" s="7" t="str">
        <f>IFERROR(HLOOKUP(AJ1012,'Calc|Weightings'!$K$5:$M$5,1,0),"Excl")</f>
        <v>Excl</v>
      </c>
      <c r="AM1012" s="7" t="str">
        <f>VLOOKUP(AC1012,Mapping!$E$11:$I$96,5,0)</f>
        <v>SCS</v>
      </c>
      <c r="AO1012" s="134">
        <v>146</v>
      </c>
      <c r="AP1012" s="135" t="s">
        <v>2156</v>
      </c>
      <c r="AQ1012" s="135">
        <v>520100</v>
      </c>
      <c r="AR1012" s="135" t="s">
        <v>2072</v>
      </c>
      <c r="AS1012" s="136">
        <v>50.609830000000002</v>
      </c>
      <c r="AU1012" s="7" t="str">
        <f>VLOOKUP($AO1012,Mapping!$E$11:$I$96,3,0)</f>
        <v>Quoted Opex</v>
      </c>
      <c r="AV1012" s="7" t="str">
        <f>VLOOKUP($AQ1012,Mapping!$E$140:$K$2771,5,0)</f>
        <v>Materials</v>
      </c>
      <c r="AW1012" s="7" t="str">
        <f>VLOOKUP($AQ1012,Mapping!$E$140:$K$2771,7,0)</f>
        <v>ENDirect</v>
      </c>
      <c r="AX1012" s="7" t="str">
        <f>IFERROR(HLOOKUP(AV1012,'Calc|Weightings'!$K$5:$M$5,1,0),"Excl")</f>
        <v>Materials</v>
      </c>
      <c r="AY1012" s="7" t="str">
        <f>VLOOKUP(AO1012,Mapping!$E$11:$I$96,5,0)</f>
        <v>Ancillary Network Services</v>
      </c>
    </row>
    <row r="1013" spans="1:51" x14ac:dyDescent="0.2">
      <c r="A1013" s="7"/>
      <c r="B1013" s="7"/>
      <c r="C1013" s="7"/>
      <c r="D1013" s="7"/>
      <c r="E1013" s="36">
        <v>141</v>
      </c>
      <c r="F1013" s="36" t="s">
        <v>2149</v>
      </c>
      <c r="G1013" s="36">
        <v>613419</v>
      </c>
      <c r="H1013" s="36" t="s">
        <v>1425</v>
      </c>
      <c r="I1013" s="37">
        <v>8.77956</v>
      </c>
      <c r="J1013" s="7"/>
      <c r="K1013" s="7" t="str">
        <f>VLOOKUP($E1013,Mapping!$E$11:$I$96,3,0)</f>
        <v>Replacement</v>
      </c>
      <c r="L1013" s="7" t="str">
        <f>VLOOKUP($G1013,Mapping!$E$140:$K$2771,5,0)</f>
        <v>Labour</v>
      </c>
      <c r="M1013" s="7" t="str">
        <f>VLOOKUP($G1013,Mapping!$E$140:$K$2771,7,0)</f>
        <v>ENDirect</v>
      </c>
      <c r="N1013" s="7" t="str">
        <f>IFERROR(HLOOKUP(L1013,'Calc|Weightings'!$K$5:$M$5,1,0),"Excl")</f>
        <v>Labour</v>
      </c>
      <c r="O1013" s="7" t="str">
        <f>VLOOKUP(E1013,Mapping!$E$11:$I$96,5,0)</f>
        <v>SCS</v>
      </c>
      <c r="Q1013" s="33">
        <v>144</v>
      </c>
      <c r="R1013" s="33" t="s">
        <v>2154</v>
      </c>
      <c r="S1013" s="33">
        <v>531465</v>
      </c>
      <c r="T1013" s="33" t="s">
        <v>257</v>
      </c>
      <c r="U1013" s="34">
        <v>3.3203200000000002</v>
      </c>
      <c r="V1013" s="7"/>
      <c r="W1013" s="7" t="str">
        <f>VLOOKUP($Q1013,Mapping!$E$11:$I$96,3,0)</f>
        <v>Replacement</v>
      </c>
      <c r="X1013" s="7" t="str">
        <f>VLOOKUP($S1013,Mapping!$E$140:$K$2771,5,0)</f>
        <v>Contracts</v>
      </c>
      <c r="Y1013" s="7" t="str">
        <f>VLOOKUP($S1013,Mapping!$E$140:$K$2771,7,0)</f>
        <v>ENDirect</v>
      </c>
      <c r="Z1013" s="7" t="str">
        <f>IFERROR(HLOOKUP(X1013,'Calc|Weightings'!$K$5:$M$5,1,0),"Excl")</f>
        <v>Contracts</v>
      </c>
      <c r="AA1013" s="7" t="str">
        <f>VLOOKUP(Q1013,Mapping!$E$11:$I$96,5,0)</f>
        <v>SCS</v>
      </c>
      <c r="AC1013" s="111">
        <v>143</v>
      </c>
      <c r="AD1013" s="111" t="s">
        <v>2153</v>
      </c>
      <c r="AE1013" s="111">
        <v>636001</v>
      </c>
      <c r="AF1013" s="111" t="s">
        <v>2111</v>
      </c>
      <c r="AG1013" s="112">
        <v>28.327359999999999</v>
      </c>
      <c r="AI1013" s="7" t="str">
        <f>VLOOKUP($AC1013,Mapping!$E$11:$I$96,3,0)</f>
        <v>Replacement</v>
      </c>
      <c r="AJ1013" s="7" t="str">
        <f>VLOOKUP($AE1013,Mapping!$E$140:$K$2771,5,0)</f>
        <v>System Control OH</v>
      </c>
      <c r="AK1013" s="7" t="str">
        <f>VLOOKUP($AE1013,Mapping!$E$140:$K$2771,7,0)</f>
        <v>OH</v>
      </c>
      <c r="AL1013" s="7" t="str">
        <f>IFERROR(HLOOKUP(AJ1013,'Calc|Weightings'!$K$5:$M$5,1,0),"Excl")</f>
        <v>Excl</v>
      </c>
      <c r="AM1013" s="7" t="str">
        <f>VLOOKUP(AC1013,Mapping!$E$11:$I$96,5,0)</f>
        <v>SCS</v>
      </c>
      <c r="AO1013" s="134">
        <v>146</v>
      </c>
      <c r="AP1013" s="135" t="s">
        <v>2156</v>
      </c>
      <c r="AQ1013" s="135">
        <v>523100</v>
      </c>
      <c r="AR1013" s="135" t="s">
        <v>2074</v>
      </c>
      <c r="AS1013" s="136">
        <v>1.3042</v>
      </c>
      <c r="AU1013" s="7" t="str">
        <f>VLOOKUP($AO1013,Mapping!$E$11:$I$96,3,0)</f>
        <v>Quoted Opex</v>
      </c>
      <c r="AV1013" s="7" t="str">
        <f>VLOOKUP($AQ1013,Mapping!$E$140:$K$2771,5,0)</f>
        <v>Materials</v>
      </c>
      <c r="AW1013" s="7" t="str">
        <f>VLOOKUP($AQ1013,Mapping!$E$140:$K$2771,7,0)</f>
        <v>ENDirect</v>
      </c>
      <c r="AX1013" s="7" t="str">
        <f>IFERROR(HLOOKUP(AV1013,'Calc|Weightings'!$K$5:$M$5,1,0),"Excl")</f>
        <v>Materials</v>
      </c>
      <c r="AY1013" s="7" t="str">
        <f>VLOOKUP(AO1013,Mapping!$E$11:$I$96,5,0)</f>
        <v>Ancillary Network Services</v>
      </c>
    </row>
    <row r="1014" spans="1:51" x14ac:dyDescent="0.2">
      <c r="A1014" s="7"/>
      <c r="B1014" s="7"/>
      <c r="C1014" s="7"/>
      <c r="D1014" s="7"/>
      <c r="E1014" s="36">
        <v>141</v>
      </c>
      <c r="F1014" s="36" t="s">
        <v>2149</v>
      </c>
      <c r="G1014" s="36">
        <v>613428</v>
      </c>
      <c r="H1014" s="36" t="s">
        <v>1430</v>
      </c>
      <c r="I1014" s="37">
        <v>130.29902999999999</v>
      </c>
      <c r="J1014" s="7"/>
      <c r="K1014" s="7" t="str">
        <f>VLOOKUP($E1014,Mapping!$E$11:$I$96,3,0)</f>
        <v>Replacement</v>
      </c>
      <c r="L1014" s="7" t="str">
        <f>VLOOKUP($G1014,Mapping!$E$140:$K$2771,5,0)</f>
        <v>Labour</v>
      </c>
      <c r="M1014" s="7" t="str">
        <f>VLOOKUP($G1014,Mapping!$E$140:$K$2771,7,0)</f>
        <v>ENDirect</v>
      </c>
      <c r="N1014" s="7" t="str">
        <f>IFERROR(HLOOKUP(L1014,'Calc|Weightings'!$K$5:$M$5,1,0),"Excl")</f>
        <v>Labour</v>
      </c>
      <c r="O1014" s="7" t="str">
        <f>VLOOKUP(E1014,Mapping!$E$11:$I$96,5,0)</f>
        <v>SCS</v>
      </c>
      <c r="Q1014" s="33">
        <v>144</v>
      </c>
      <c r="R1014" s="33" t="s">
        <v>2154</v>
      </c>
      <c r="S1014" s="33">
        <v>531466</v>
      </c>
      <c r="T1014" s="33" t="s">
        <v>258</v>
      </c>
      <c r="U1014" s="34">
        <v>10.19059</v>
      </c>
      <c r="V1014" s="7"/>
      <c r="W1014" s="7" t="str">
        <f>VLOOKUP($Q1014,Mapping!$E$11:$I$96,3,0)</f>
        <v>Replacement</v>
      </c>
      <c r="X1014" s="7" t="str">
        <f>VLOOKUP($S1014,Mapping!$E$140:$K$2771,5,0)</f>
        <v>Contracts</v>
      </c>
      <c r="Y1014" s="7" t="str">
        <f>VLOOKUP($S1014,Mapping!$E$140:$K$2771,7,0)</f>
        <v>ENDirect</v>
      </c>
      <c r="Z1014" s="7" t="str">
        <f>IFERROR(HLOOKUP(X1014,'Calc|Weightings'!$K$5:$M$5,1,0),"Excl")</f>
        <v>Contracts</v>
      </c>
      <c r="AA1014" s="7" t="str">
        <f>VLOOKUP(Q1014,Mapping!$E$11:$I$96,5,0)</f>
        <v>SCS</v>
      </c>
      <c r="AC1014" s="111">
        <v>143</v>
      </c>
      <c r="AD1014" s="111" t="s">
        <v>2153</v>
      </c>
      <c r="AE1014" s="111">
        <v>639000</v>
      </c>
      <c r="AF1014" s="111" t="s">
        <v>2112</v>
      </c>
      <c r="AG1014" s="112">
        <v>39.969410000000003</v>
      </c>
      <c r="AI1014" s="7" t="str">
        <f>VLOOKUP($AC1014,Mapping!$E$11:$I$96,3,0)</f>
        <v>Replacement</v>
      </c>
      <c r="AJ1014" s="7" t="str">
        <f>VLOOKUP($AE1014,Mapping!$E$140:$K$2771,5,0)</f>
        <v>PNS Corporate OH</v>
      </c>
      <c r="AK1014" s="7" t="str">
        <f>VLOOKUP($AE1014,Mapping!$E$140:$K$2771,7,0)</f>
        <v>OH</v>
      </c>
      <c r="AL1014" s="7" t="str">
        <f>IFERROR(HLOOKUP(AJ1014,'Calc|Weightings'!$K$5:$M$5,1,0),"Excl")</f>
        <v>Excl</v>
      </c>
      <c r="AM1014" s="7" t="str">
        <f>VLOOKUP(AC1014,Mapping!$E$11:$I$96,5,0)</f>
        <v>SCS</v>
      </c>
      <c r="AO1014" s="134">
        <v>146</v>
      </c>
      <c r="AP1014" s="135" t="s">
        <v>2156</v>
      </c>
      <c r="AQ1014" s="135">
        <v>523300</v>
      </c>
      <c r="AR1014" s="135" t="s">
        <v>2075</v>
      </c>
      <c r="AS1014" s="136">
        <v>0.15493000000000001</v>
      </c>
      <c r="AU1014" s="7" t="str">
        <f>VLOOKUP($AO1014,Mapping!$E$11:$I$96,3,0)</f>
        <v>Quoted Opex</v>
      </c>
      <c r="AV1014" s="7" t="str">
        <f>VLOOKUP($AQ1014,Mapping!$E$140:$K$2771,5,0)</f>
        <v>Materials</v>
      </c>
      <c r="AW1014" s="7" t="str">
        <f>VLOOKUP($AQ1014,Mapping!$E$140:$K$2771,7,0)</f>
        <v>ENDirect</v>
      </c>
      <c r="AX1014" s="7" t="str">
        <f>IFERROR(HLOOKUP(AV1014,'Calc|Weightings'!$K$5:$M$5,1,0),"Excl")</f>
        <v>Materials</v>
      </c>
      <c r="AY1014" s="7" t="str">
        <f>VLOOKUP(AO1014,Mapping!$E$11:$I$96,5,0)</f>
        <v>Ancillary Network Services</v>
      </c>
    </row>
    <row r="1015" spans="1:51" x14ac:dyDescent="0.2">
      <c r="A1015" s="7"/>
      <c r="B1015" s="7"/>
      <c r="C1015" s="7"/>
      <c r="D1015" s="7"/>
      <c r="E1015" s="36">
        <v>141</v>
      </c>
      <c r="F1015" s="36" t="s">
        <v>2149</v>
      </c>
      <c r="G1015" s="36">
        <v>613429</v>
      </c>
      <c r="H1015" s="36" t="s">
        <v>1431</v>
      </c>
      <c r="I1015" s="37">
        <v>9.6615699999999993</v>
      </c>
      <c r="J1015" s="7"/>
      <c r="K1015" s="7" t="str">
        <f>VLOOKUP($E1015,Mapping!$E$11:$I$96,3,0)</f>
        <v>Replacement</v>
      </c>
      <c r="L1015" s="7" t="str">
        <f>VLOOKUP($G1015,Mapping!$E$140:$K$2771,5,0)</f>
        <v>Labour</v>
      </c>
      <c r="M1015" s="7" t="str">
        <f>VLOOKUP($G1015,Mapping!$E$140:$K$2771,7,0)</f>
        <v>ENDirect</v>
      </c>
      <c r="N1015" s="7" t="str">
        <f>IFERROR(HLOOKUP(L1015,'Calc|Weightings'!$K$5:$M$5,1,0),"Excl")</f>
        <v>Labour</v>
      </c>
      <c r="O1015" s="7" t="str">
        <f>VLOOKUP(E1015,Mapping!$E$11:$I$96,5,0)</f>
        <v>SCS</v>
      </c>
      <c r="Q1015" s="33">
        <v>144</v>
      </c>
      <c r="R1015" s="33" t="s">
        <v>2154</v>
      </c>
      <c r="S1015" s="33">
        <v>531467</v>
      </c>
      <c r="T1015" s="33" t="s">
        <v>259</v>
      </c>
      <c r="U1015" s="34">
        <v>0.77908999999999995</v>
      </c>
      <c r="V1015" s="7"/>
      <c r="W1015" s="7" t="str">
        <f>VLOOKUP($Q1015,Mapping!$E$11:$I$96,3,0)</f>
        <v>Replacement</v>
      </c>
      <c r="X1015" s="7" t="str">
        <f>VLOOKUP($S1015,Mapping!$E$140:$K$2771,5,0)</f>
        <v>Contracts</v>
      </c>
      <c r="Y1015" s="7" t="str">
        <f>VLOOKUP($S1015,Mapping!$E$140:$K$2771,7,0)</f>
        <v>ENDirect</v>
      </c>
      <c r="Z1015" s="7" t="str">
        <f>IFERROR(HLOOKUP(X1015,'Calc|Weightings'!$K$5:$M$5,1,0),"Excl")</f>
        <v>Contracts</v>
      </c>
      <c r="AA1015" s="7" t="str">
        <f>VLOOKUP(Q1015,Mapping!$E$11:$I$96,5,0)</f>
        <v>SCS</v>
      </c>
      <c r="AC1015" s="111">
        <v>143</v>
      </c>
      <c r="AD1015" s="111" t="s">
        <v>2153</v>
      </c>
      <c r="AE1015" s="111">
        <v>639050</v>
      </c>
      <c r="AF1015" s="111" t="s">
        <v>2113</v>
      </c>
      <c r="AG1015" s="112">
        <v>6.3845900000000002</v>
      </c>
      <c r="AI1015" s="7" t="str">
        <f>VLOOKUP($AC1015,Mapping!$E$11:$I$96,3,0)</f>
        <v>Replacement</v>
      </c>
      <c r="AJ1015" s="7" t="str">
        <f>VLOOKUP($AE1015,Mapping!$E$140:$K$2771,5,0)</f>
        <v>PNS Fleet &amp; Property OH</v>
      </c>
      <c r="AK1015" s="7" t="str">
        <f>VLOOKUP($AE1015,Mapping!$E$140:$K$2771,7,0)</f>
        <v>OH</v>
      </c>
      <c r="AL1015" s="7" t="str">
        <f>IFERROR(HLOOKUP(AJ1015,'Calc|Weightings'!$K$5:$M$5,1,0),"Excl")</f>
        <v>Excl</v>
      </c>
      <c r="AM1015" s="7" t="str">
        <f>VLOOKUP(AC1015,Mapping!$E$11:$I$96,5,0)</f>
        <v>SCS</v>
      </c>
      <c r="AO1015" s="134">
        <v>146</v>
      </c>
      <c r="AP1015" s="135" t="s">
        <v>2156</v>
      </c>
      <c r="AQ1015" s="135">
        <v>531464</v>
      </c>
      <c r="AR1015" s="135" t="s">
        <v>256</v>
      </c>
      <c r="AS1015" s="136">
        <v>302.80766999999997</v>
      </c>
      <c r="AU1015" s="7" t="str">
        <f>VLOOKUP($AO1015,Mapping!$E$11:$I$96,3,0)</f>
        <v>Quoted Opex</v>
      </c>
      <c r="AV1015" s="7" t="str">
        <f>VLOOKUP($AQ1015,Mapping!$E$140:$K$2771,5,0)</f>
        <v>Contracts</v>
      </c>
      <c r="AW1015" s="7" t="str">
        <f>VLOOKUP($AQ1015,Mapping!$E$140:$K$2771,7,0)</f>
        <v>ENDirect</v>
      </c>
      <c r="AX1015" s="7" t="str">
        <f>IFERROR(HLOOKUP(AV1015,'Calc|Weightings'!$K$5:$M$5,1,0),"Excl")</f>
        <v>Contracts</v>
      </c>
      <c r="AY1015" s="7" t="str">
        <f>VLOOKUP(AO1015,Mapping!$E$11:$I$96,5,0)</f>
        <v>Ancillary Network Services</v>
      </c>
    </row>
    <row r="1016" spans="1:51" x14ac:dyDescent="0.2">
      <c r="A1016" s="7"/>
      <c r="B1016" s="7"/>
      <c r="C1016" s="7"/>
      <c r="D1016" s="7"/>
      <c r="E1016" s="36">
        <v>141</v>
      </c>
      <c r="F1016" s="36" t="s">
        <v>2149</v>
      </c>
      <c r="G1016" s="36">
        <v>613438</v>
      </c>
      <c r="H1016" s="36" t="s">
        <v>1436</v>
      </c>
      <c r="I1016" s="37">
        <v>6.2995599999999996</v>
      </c>
      <c r="J1016" s="7"/>
      <c r="K1016" s="7" t="str">
        <f>VLOOKUP($E1016,Mapping!$E$11:$I$96,3,0)</f>
        <v>Replacement</v>
      </c>
      <c r="L1016" s="7" t="str">
        <f>VLOOKUP($G1016,Mapping!$E$140:$K$2771,5,0)</f>
        <v>Labour</v>
      </c>
      <c r="M1016" s="7" t="str">
        <f>VLOOKUP($G1016,Mapping!$E$140:$K$2771,7,0)</f>
        <v>ENDirect</v>
      </c>
      <c r="N1016" s="7" t="str">
        <f>IFERROR(HLOOKUP(L1016,'Calc|Weightings'!$K$5:$M$5,1,0),"Excl")</f>
        <v>Labour</v>
      </c>
      <c r="O1016" s="7" t="str">
        <f>VLOOKUP(E1016,Mapping!$E$11:$I$96,5,0)</f>
        <v>SCS</v>
      </c>
      <c r="Q1016" s="33">
        <v>144</v>
      </c>
      <c r="R1016" s="33" t="s">
        <v>2154</v>
      </c>
      <c r="S1016" s="33">
        <v>532140</v>
      </c>
      <c r="T1016" s="33" t="s">
        <v>288</v>
      </c>
      <c r="U1016" s="34">
        <v>129.44999999999999</v>
      </c>
      <c r="V1016" s="7"/>
      <c r="W1016" s="7" t="str">
        <f>VLOOKUP($Q1016,Mapping!$E$11:$I$96,3,0)</f>
        <v>Replacement</v>
      </c>
      <c r="X1016" s="7" t="str">
        <f>VLOOKUP($S1016,Mapping!$E$140:$K$2771,5,0)</f>
        <v>Contracts</v>
      </c>
      <c r="Y1016" s="7" t="str">
        <f>VLOOKUP($S1016,Mapping!$E$140:$K$2771,7,0)</f>
        <v>ENDirect</v>
      </c>
      <c r="Z1016" s="7" t="str">
        <f>IFERROR(HLOOKUP(X1016,'Calc|Weightings'!$K$5:$M$5,1,0),"Excl")</f>
        <v>Contracts</v>
      </c>
      <c r="AA1016" s="7" t="str">
        <f>VLOOKUP(Q1016,Mapping!$E$11:$I$96,5,0)</f>
        <v>SCS</v>
      </c>
      <c r="AC1016" s="111">
        <v>144</v>
      </c>
      <c r="AD1016" s="111" t="s">
        <v>2154</v>
      </c>
      <c r="AE1016" s="111">
        <v>520100</v>
      </c>
      <c r="AF1016" s="111" t="s">
        <v>2072</v>
      </c>
      <c r="AG1016" s="112">
        <v>58.847540000000002</v>
      </c>
      <c r="AI1016" s="7" t="str">
        <f>VLOOKUP($AC1016,Mapping!$E$11:$I$96,3,0)</f>
        <v>Replacement</v>
      </c>
      <c r="AJ1016" s="7" t="str">
        <f>VLOOKUP($AE1016,Mapping!$E$140:$K$2771,5,0)</f>
        <v>Materials</v>
      </c>
      <c r="AK1016" s="7" t="str">
        <f>VLOOKUP($AE1016,Mapping!$E$140:$K$2771,7,0)</f>
        <v>ENDirect</v>
      </c>
      <c r="AL1016" s="7" t="str">
        <f>IFERROR(HLOOKUP(AJ1016,'Calc|Weightings'!$K$5:$M$5,1,0),"Excl")</f>
        <v>Materials</v>
      </c>
      <c r="AM1016" s="7" t="str">
        <f>VLOOKUP(AC1016,Mapping!$E$11:$I$96,5,0)</f>
        <v>SCS</v>
      </c>
      <c r="AO1016" s="134">
        <v>146</v>
      </c>
      <c r="AP1016" s="135" t="s">
        <v>2156</v>
      </c>
      <c r="AQ1016" s="135">
        <v>531467</v>
      </c>
      <c r="AR1016" s="135" t="s">
        <v>259</v>
      </c>
      <c r="AS1016" s="136">
        <v>69.740600000000001</v>
      </c>
      <c r="AU1016" s="7" t="str">
        <f>VLOOKUP($AO1016,Mapping!$E$11:$I$96,3,0)</f>
        <v>Quoted Opex</v>
      </c>
      <c r="AV1016" s="7" t="str">
        <f>VLOOKUP($AQ1016,Mapping!$E$140:$K$2771,5,0)</f>
        <v>Contracts</v>
      </c>
      <c r="AW1016" s="7" t="str">
        <f>VLOOKUP($AQ1016,Mapping!$E$140:$K$2771,7,0)</f>
        <v>ENDirect</v>
      </c>
      <c r="AX1016" s="7" t="str">
        <f>IFERROR(HLOOKUP(AV1016,'Calc|Weightings'!$K$5:$M$5,1,0),"Excl")</f>
        <v>Contracts</v>
      </c>
      <c r="AY1016" s="7" t="str">
        <f>VLOOKUP(AO1016,Mapping!$E$11:$I$96,5,0)</f>
        <v>Ancillary Network Services</v>
      </c>
    </row>
    <row r="1017" spans="1:51" x14ac:dyDescent="0.2">
      <c r="A1017" s="7"/>
      <c r="B1017" s="7"/>
      <c r="C1017" s="7"/>
      <c r="D1017" s="7"/>
      <c r="E1017" s="36">
        <v>141</v>
      </c>
      <c r="F1017" s="36" t="s">
        <v>2149</v>
      </c>
      <c r="G1017" s="36">
        <v>613566</v>
      </c>
      <c r="H1017" s="36" t="s">
        <v>1482</v>
      </c>
      <c r="I1017" s="37">
        <v>7.5460200000000004</v>
      </c>
      <c r="J1017" s="7"/>
      <c r="K1017" s="7" t="str">
        <f>VLOOKUP($E1017,Mapping!$E$11:$I$96,3,0)</f>
        <v>Replacement</v>
      </c>
      <c r="L1017" s="7" t="str">
        <f>VLOOKUP($G1017,Mapping!$E$140:$K$2771,5,0)</f>
        <v>Labour</v>
      </c>
      <c r="M1017" s="7" t="str">
        <f>VLOOKUP($G1017,Mapping!$E$140:$K$2771,7,0)</f>
        <v>ENDirect</v>
      </c>
      <c r="N1017" s="7" t="str">
        <f>IFERROR(HLOOKUP(L1017,'Calc|Weightings'!$K$5:$M$5,1,0),"Excl")</f>
        <v>Labour</v>
      </c>
      <c r="O1017" s="7" t="str">
        <f>VLOOKUP(E1017,Mapping!$E$11:$I$96,5,0)</f>
        <v>SCS</v>
      </c>
      <c r="Q1017" s="33">
        <v>144</v>
      </c>
      <c r="R1017" s="33" t="s">
        <v>2154</v>
      </c>
      <c r="S1017" s="33">
        <v>611901</v>
      </c>
      <c r="T1017" s="33" t="s">
        <v>2080</v>
      </c>
      <c r="U1017" s="34">
        <v>0.41693000000000002</v>
      </c>
      <c r="V1017" s="7"/>
      <c r="W1017" s="7" t="str">
        <f>VLOOKUP($Q1017,Mapping!$E$11:$I$96,3,0)</f>
        <v>Replacement</v>
      </c>
      <c r="X1017" s="7" t="str">
        <f>VLOOKUP($S1017,Mapping!$E$140:$K$2771,5,0)</f>
        <v>Contracts</v>
      </c>
      <c r="Y1017" s="7" t="str">
        <f>VLOOKUP($S1017,Mapping!$E$140:$K$2771,7,0)</f>
        <v>ENDirect</v>
      </c>
      <c r="Z1017" s="7" t="str">
        <f>IFERROR(HLOOKUP(X1017,'Calc|Weightings'!$K$5:$M$5,1,0),"Excl")</f>
        <v>Contracts</v>
      </c>
      <c r="AA1017" s="7" t="str">
        <f>VLOOKUP(Q1017,Mapping!$E$11:$I$96,5,0)</f>
        <v>SCS</v>
      </c>
      <c r="AC1017" s="111">
        <v>144</v>
      </c>
      <c r="AD1017" s="111" t="s">
        <v>2154</v>
      </c>
      <c r="AE1017" s="111">
        <v>523300</v>
      </c>
      <c r="AF1017" s="111" t="s">
        <v>2075</v>
      </c>
      <c r="AG1017" s="112">
        <v>22.53</v>
      </c>
      <c r="AI1017" s="7" t="str">
        <f>VLOOKUP($AC1017,Mapping!$E$11:$I$96,3,0)</f>
        <v>Replacement</v>
      </c>
      <c r="AJ1017" s="7" t="str">
        <f>VLOOKUP($AE1017,Mapping!$E$140:$K$2771,5,0)</f>
        <v>Materials</v>
      </c>
      <c r="AK1017" s="7" t="str">
        <f>VLOOKUP($AE1017,Mapping!$E$140:$K$2771,7,0)</f>
        <v>ENDirect</v>
      </c>
      <c r="AL1017" s="7" t="str">
        <f>IFERROR(HLOOKUP(AJ1017,'Calc|Weightings'!$K$5:$M$5,1,0),"Excl")</f>
        <v>Materials</v>
      </c>
      <c r="AM1017" s="7" t="str">
        <f>VLOOKUP(AC1017,Mapping!$E$11:$I$96,5,0)</f>
        <v>SCS</v>
      </c>
      <c r="AO1017" s="134">
        <v>146</v>
      </c>
      <c r="AP1017" s="135" t="s">
        <v>2156</v>
      </c>
      <c r="AQ1017" s="135">
        <v>531468</v>
      </c>
      <c r="AR1017" s="135" t="s">
        <v>260</v>
      </c>
      <c r="AS1017" s="136">
        <v>77.279650000000004</v>
      </c>
      <c r="AU1017" s="7" t="str">
        <f>VLOOKUP($AO1017,Mapping!$E$11:$I$96,3,0)</f>
        <v>Quoted Opex</v>
      </c>
      <c r="AV1017" s="7" t="str">
        <f>VLOOKUP($AQ1017,Mapping!$E$140:$K$2771,5,0)</f>
        <v>Contracts</v>
      </c>
      <c r="AW1017" s="7" t="str">
        <f>VLOOKUP($AQ1017,Mapping!$E$140:$K$2771,7,0)</f>
        <v>ENDirect</v>
      </c>
      <c r="AX1017" s="7" t="str">
        <f>IFERROR(HLOOKUP(AV1017,'Calc|Weightings'!$K$5:$M$5,1,0),"Excl")</f>
        <v>Contracts</v>
      </c>
      <c r="AY1017" s="7" t="str">
        <f>VLOOKUP(AO1017,Mapping!$E$11:$I$96,5,0)</f>
        <v>Ancillary Network Services</v>
      </c>
    </row>
    <row r="1018" spans="1:51" x14ac:dyDescent="0.2">
      <c r="A1018" s="7"/>
      <c r="B1018" s="7"/>
      <c r="C1018" s="7"/>
      <c r="D1018" s="7"/>
      <c r="E1018" s="36">
        <v>141</v>
      </c>
      <c r="F1018" s="36" t="s">
        <v>2149</v>
      </c>
      <c r="G1018" s="36">
        <v>613570</v>
      </c>
      <c r="H1018" s="36" t="s">
        <v>1484</v>
      </c>
      <c r="I1018" s="37">
        <v>5.0266200000000003</v>
      </c>
      <c r="J1018" s="7"/>
      <c r="K1018" s="7" t="str">
        <f>VLOOKUP($E1018,Mapping!$E$11:$I$96,3,0)</f>
        <v>Replacement</v>
      </c>
      <c r="L1018" s="7" t="str">
        <f>VLOOKUP($G1018,Mapping!$E$140:$K$2771,5,0)</f>
        <v>Labour</v>
      </c>
      <c r="M1018" s="7" t="str">
        <f>VLOOKUP($G1018,Mapping!$E$140:$K$2771,7,0)</f>
        <v>ENDirect</v>
      </c>
      <c r="N1018" s="7" t="str">
        <f>IFERROR(HLOOKUP(L1018,'Calc|Weightings'!$K$5:$M$5,1,0),"Excl")</f>
        <v>Labour</v>
      </c>
      <c r="O1018" s="7" t="str">
        <f>VLOOKUP(E1018,Mapping!$E$11:$I$96,5,0)</f>
        <v>SCS</v>
      </c>
      <c r="Q1018" s="33">
        <v>144</v>
      </c>
      <c r="R1018" s="33" t="s">
        <v>2154</v>
      </c>
      <c r="S1018" s="33">
        <v>613260</v>
      </c>
      <c r="T1018" s="33" t="s">
        <v>2090</v>
      </c>
      <c r="U1018" s="34">
        <v>4.52806</v>
      </c>
      <c r="V1018" s="7"/>
      <c r="W1018" s="7" t="str">
        <f>VLOOKUP($Q1018,Mapping!$E$11:$I$96,3,0)</f>
        <v>Replacement</v>
      </c>
      <c r="X1018" s="7" t="str">
        <f>VLOOKUP($S1018,Mapping!$E$140:$K$2771,5,0)</f>
        <v>Labour</v>
      </c>
      <c r="Y1018" s="7" t="str">
        <f>VLOOKUP($S1018,Mapping!$E$140:$K$2771,7,0)</f>
        <v>ENDirect</v>
      </c>
      <c r="Z1018" s="7" t="str">
        <f>IFERROR(HLOOKUP(X1018,'Calc|Weightings'!$K$5:$M$5,1,0),"Excl")</f>
        <v>Labour</v>
      </c>
      <c r="AA1018" s="7" t="str">
        <f>VLOOKUP(Q1018,Mapping!$E$11:$I$96,5,0)</f>
        <v>SCS</v>
      </c>
      <c r="AC1018" s="111">
        <v>144</v>
      </c>
      <c r="AD1018" s="111" t="s">
        <v>2154</v>
      </c>
      <c r="AE1018" s="111">
        <v>531000</v>
      </c>
      <c r="AF1018" s="111" t="s">
        <v>242</v>
      </c>
      <c r="AG1018" s="112">
        <v>46.441769999999998</v>
      </c>
      <c r="AI1018" s="7" t="str">
        <f>VLOOKUP($AC1018,Mapping!$E$11:$I$96,3,0)</f>
        <v>Replacement</v>
      </c>
      <c r="AJ1018" s="7" t="str">
        <f>VLOOKUP($AE1018,Mapping!$E$140:$K$2771,5,0)</f>
        <v>Contracts</v>
      </c>
      <c r="AK1018" s="7" t="str">
        <f>VLOOKUP($AE1018,Mapping!$E$140:$K$2771,7,0)</f>
        <v>ENDirect</v>
      </c>
      <c r="AL1018" s="7" t="str">
        <f>IFERROR(HLOOKUP(AJ1018,'Calc|Weightings'!$K$5:$M$5,1,0),"Excl")</f>
        <v>Contracts</v>
      </c>
      <c r="AM1018" s="7" t="str">
        <f>VLOOKUP(AC1018,Mapping!$E$11:$I$96,5,0)</f>
        <v>SCS</v>
      </c>
      <c r="AO1018" s="134">
        <v>146</v>
      </c>
      <c r="AP1018" s="135" t="s">
        <v>2156</v>
      </c>
      <c r="AQ1018" s="135">
        <v>532200</v>
      </c>
      <c r="AR1018" s="135" t="s">
        <v>291</v>
      </c>
      <c r="AS1018" s="136">
        <v>1.68</v>
      </c>
      <c r="AU1018" s="7" t="str">
        <f>VLOOKUP($AO1018,Mapping!$E$11:$I$96,3,0)</f>
        <v>Quoted Opex</v>
      </c>
      <c r="AV1018" s="7" t="str">
        <f>VLOOKUP($AQ1018,Mapping!$E$140:$K$2771,5,0)</f>
        <v>Contracts</v>
      </c>
      <c r="AW1018" s="7" t="str">
        <f>VLOOKUP($AQ1018,Mapping!$E$140:$K$2771,7,0)</f>
        <v>ENDirect</v>
      </c>
      <c r="AX1018" s="7" t="str">
        <f>IFERROR(HLOOKUP(AV1018,'Calc|Weightings'!$K$5:$M$5,1,0),"Excl")</f>
        <v>Contracts</v>
      </c>
      <c r="AY1018" s="7" t="str">
        <f>VLOOKUP(AO1018,Mapping!$E$11:$I$96,5,0)</f>
        <v>Ancillary Network Services</v>
      </c>
    </row>
    <row r="1019" spans="1:51" x14ac:dyDescent="0.2">
      <c r="A1019" s="7"/>
      <c r="B1019" s="7"/>
      <c r="C1019" s="7"/>
      <c r="D1019" s="7"/>
      <c r="E1019" s="36">
        <v>141</v>
      </c>
      <c r="F1019" s="36" t="s">
        <v>2149</v>
      </c>
      <c r="G1019" s="36">
        <v>613571</v>
      </c>
      <c r="H1019" s="36" t="s">
        <v>1485</v>
      </c>
      <c r="I1019" s="37">
        <v>0.48683999999999999</v>
      </c>
      <c r="J1019" s="7"/>
      <c r="K1019" s="7" t="str">
        <f>VLOOKUP($E1019,Mapping!$E$11:$I$96,3,0)</f>
        <v>Replacement</v>
      </c>
      <c r="L1019" s="7" t="str">
        <f>VLOOKUP($G1019,Mapping!$E$140:$K$2771,5,0)</f>
        <v>Labour</v>
      </c>
      <c r="M1019" s="7" t="str">
        <f>VLOOKUP($G1019,Mapping!$E$140:$K$2771,7,0)</f>
        <v>ENDirect</v>
      </c>
      <c r="N1019" s="7" t="str">
        <f>IFERROR(HLOOKUP(L1019,'Calc|Weightings'!$K$5:$M$5,1,0),"Excl")</f>
        <v>Labour</v>
      </c>
      <c r="O1019" s="7" t="str">
        <f>VLOOKUP(E1019,Mapping!$E$11:$I$96,5,0)</f>
        <v>SCS</v>
      </c>
      <c r="Q1019" s="33">
        <v>144</v>
      </c>
      <c r="R1019" s="33" t="s">
        <v>2154</v>
      </c>
      <c r="S1019" s="33">
        <v>613261</v>
      </c>
      <c r="T1019" s="33" t="s">
        <v>2091</v>
      </c>
      <c r="U1019" s="34">
        <v>0.22785</v>
      </c>
      <c r="V1019" s="7"/>
      <c r="W1019" s="7" t="str">
        <f>VLOOKUP($Q1019,Mapping!$E$11:$I$96,3,0)</f>
        <v>Replacement</v>
      </c>
      <c r="X1019" s="7" t="str">
        <f>VLOOKUP($S1019,Mapping!$E$140:$K$2771,5,0)</f>
        <v>Labour</v>
      </c>
      <c r="Y1019" s="7" t="str">
        <f>VLOOKUP($S1019,Mapping!$E$140:$K$2771,7,0)</f>
        <v>ENDirect</v>
      </c>
      <c r="Z1019" s="7" t="str">
        <f>IFERROR(HLOOKUP(X1019,'Calc|Weightings'!$K$5:$M$5,1,0),"Excl")</f>
        <v>Labour</v>
      </c>
      <c r="AA1019" s="7" t="str">
        <f>VLOOKUP(Q1019,Mapping!$E$11:$I$96,5,0)</f>
        <v>SCS</v>
      </c>
      <c r="AC1019" s="111">
        <v>144</v>
      </c>
      <c r="AD1019" s="111" t="s">
        <v>2154</v>
      </c>
      <c r="AE1019" s="111">
        <v>531467</v>
      </c>
      <c r="AF1019" s="111" t="s">
        <v>259</v>
      </c>
      <c r="AG1019" s="112">
        <v>0.71714999999999995</v>
      </c>
      <c r="AI1019" s="7" t="str">
        <f>VLOOKUP($AC1019,Mapping!$E$11:$I$96,3,0)</f>
        <v>Replacement</v>
      </c>
      <c r="AJ1019" s="7" t="str">
        <f>VLOOKUP($AE1019,Mapping!$E$140:$K$2771,5,0)</f>
        <v>Contracts</v>
      </c>
      <c r="AK1019" s="7" t="str">
        <f>VLOOKUP($AE1019,Mapping!$E$140:$K$2771,7,0)</f>
        <v>ENDirect</v>
      </c>
      <c r="AL1019" s="7" t="str">
        <f>IFERROR(HLOOKUP(AJ1019,'Calc|Weightings'!$K$5:$M$5,1,0),"Excl")</f>
        <v>Contracts</v>
      </c>
      <c r="AM1019" s="7" t="str">
        <f>VLOOKUP(AC1019,Mapping!$E$11:$I$96,5,0)</f>
        <v>SCS</v>
      </c>
      <c r="AO1019" s="134">
        <v>146</v>
      </c>
      <c r="AP1019" s="135" t="s">
        <v>2156</v>
      </c>
      <c r="AQ1019" s="135">
        <v>611860</v>
      </c>
      <c r="AR1019" s="135" t="s">
        <v>2125</v>
      </c>
      <c r="AS1019" s="136">
        <v>-13.48706</v>
      </c>
      <c r="AU1019" s="7" t="str">
        <f>VLOOKUP($AO1019,Mapping!$E$11:$I$96,3,0)</f>
        <v>Quoted Opex</v>
      </c>
      <c r="AV1019" s="7" t="str">
        <f>VLOOKUP($AQ1019,Mapping!$E$140:$K$2771,5,0)</f>
        <v>Labour</v>
      </c>
      <c r="AW1019" s="7" t="str">
        <f>VLOOKUP($AQ1019,Mapping!$E$140:$K$2771,7,0)</f>
        <v>ENDirect</v>
      </c>
      <c r="AX1019" s="7" t="str">
        <f>IFERROR(HLOOKUP(AV1019,'Calc|Weightings'!$K$5:$M$5,1,0),"Excl")</f>
        <v>Labour</v>
      </c>
      <c r="AY1019" s="7" t="str">
        <f>VLOOKUP(AO1019,Mapping!$E$11:$I$96,5,0)</f>
        <v>Ancillary Network Services</v>
      </c>
    </row>
    <row r="1020" spans="1:51" x14ac:dyDescent="0.2">
      <c r="A1020" s="7"/>
      <c r="B1020" s="7"/>
      <c r="C1020" s="7"/>
      <c r="D1020" s="7"/>
      <c r="E1020" s="36">
        <v>141</v>
      </c>
      <c r="F1020" s="36" t="s">
        <v>2149</v>
      </c>
      <c r="G1020" s="36">
        <v>613574</v>
      </c>
      <c r="H1020" s="36" t="s">
        <v>1488</v>
      </c>
      <c r="I1020" s="37">
        <v>8.0668699999999998</v>
      </c>
      <c r="J1020" s="7"/>
      <c r="K1020" s="7" t="str">
        <f>VLOOKUP($E1020,Mapping!$E$11:$I$96,3,0)</f>
        <v>Replacement</v>
      </c>
      <c r="L1020" s="7" t="str">
        <f>VLOOKUP($G1020,Mapping!$E$140:$K$2771,5,0)</f>
        <v>Labour</v>
      </c>
      <c r="M1020" s="7" t="str">
        <f>VLOOKUP($G1020,Mapping!$E$140:$K$2771,7,0)</f>
        <v>ENDirect</v>
      </c>
      <c r="N1020" s="7" t="str">
        <f>IFERROR(HLOOKUP(L1020,'Calc|Weightings'!$K$5:$M$5,1,0),"Excl")</f>
        <v>Labour</v>
      </c>
      <c r="O1020" s="7" t="str">
        <f>VLOOKUP(E1020,Mapping!$E$11:$I$96,5,0)</f>
        <v>SCS</v>
      </c>
      <c r="Q1020" s="33">
        <v>144</v>
      </c>
      <c r="R1020" s="33" t="s">
        <v>2154</v>
      </c>
      <c r="S1020" s="33">
        <v>613280</v>
      </c>
      <c r="T1020" s="33" t="s">
        <v>1342</v>
      </c>
      <c r="U1020" s="34">
        <v>3.7212000000000001</v>
      </c>
      <c r="V1020" s="7"/>
      <c r="W1020" s="7" t="str">
        <f>VLOOKUP($Q1020,Mapping!$E$11:$I$96,3,0)</f>
        <v>Replacement</v>
      </c>
      <c r="X1020" s="7" t="str">
        <f>VLOOKUP($S1020,Mapping!$E$140:$K$2771,5,0)</f>
        <v>Labour</v>
      </c>
      <c r="Y1020" s="7" t="str">
        <f>VLOOKUP($S1020,Mapping!$E$140:$K$2771,7,0)</f>
        <v>ENDirect</v>
      </c>
      <c r="Z1020" s="7" t="str">
        <f>IFERROR(HLOOKUP(X1020,'Calc|Weightings'!$K$5:$M$5,1,0),"Excl")</f>
        <v>Labour</v>
      </c>
      <c r="AA1020" s="7" t="str">
        <f>VLOOKUP(Q1020,Mapping!$E$11:$I$96,5,0)</f>
        <v>SCS</v>
      </c>
      <c r="AC1020" s="111">
        <v>144</v>
      </c>
      <c r="AD1020" s="111" t="s">
        <v>2154</v>
      </c>
      <c r="AE1020" s="111">
        <v>532140</v>
      </c>
      <c r="AF1020" s="111" t="s">
        <v>288</v>
      </c>
      <c r="AG1020" s="112">
        <v>11.3604</v>
      </c>
      <c r="AI1020" s="7" t="str">
        <f>VLOOKUP($AC1020,Mapping!$E$11:$I$96,3,0)</f>
        <v>Replacement</v>
      </c>
      <c r="AJ1020" s="7" t="str">
        <f>VLOOKUP($AE1020,Mapping!$E$140:$K$2771,5,0)</f>
        <v>Contracts</v>
      </c>
      <c r="AK1020" s="7" t="str">
        <f>VLOOKUP($AE1020,Mapping!$E$140:$K$2771,7,0)</f>
        <v>ENDirect</v>
      </c>
      <c r="AL1020" s="7" t="str">
        <f>IFERROR(HLOOKUP(AJ1020,'Calc|Weightings'!$K$5:$M$5,1,0),"Excl")</f>
        <v>Contracts</v>
      </c>
      <c r="AM1020" s="7" t="str">
        <f>VLOOKUP(AC1020,Mapping!$E$11:$I$96,5,0)</f>
        <v>SCS</v>
      </c>
      <c r="AO1020" s="134">
        <v>146</v>
      </c>
      <c r="AP1020" s="135" t="s">
        <v>2156</v>
      </c>
      <c r="AQ1020" s="135">
        <v>611861</v>
      </c>
      <c r="AR1020" s="135" t="s">
        <v>2140</v>
      </c>
      <c r="AS1020" s="136">
        <v>-1.2299599999999999</v>
      </c>
      <c r="AU1020" s="7" t="str">
        <f>VLOOKUP($AO1020,Mapping!$E$11:$I$96,3,0)</f>
        <v>Quoted Opex</v>
      </c>
      <c r="AV1020" s="7" t="str">
        <f>VLOOKUP($AQ1020,Mapping!$E$140:$K$2771,5,0)</f>
        <v>Labour</v>
      </c>
      <c r="AW1020" s="7" t="str">
        <f>VLOOKUP($AQ1020,Mapping!$E$140:$K$2771,7,0)</f>
        <v>ENDirect</v>
      </c>
      <c r="AX1020" s="7" t="str">
        <f>IFERROR(HLOOKUP(AV1020,'Calc|Weightings'!$K$5:$M$5,1,0),"Excl")</f>
        <v>Labour</v>
      </c>
      <c r="AY1020" s="7" t="str">
        <f>VLOOKUP(AO1020,Mapping!$E$11:$I$96,5,0)</f>
        <v>Ancillary Network Services</v>
      </c>
    </row>
    <row r="1021" spans="1:51" x14ac:dyDescent="0.2">
      <c r="A1021" s="7"/>
      <c r="B1021" s="7"/>
      <c r="C1021" s="7"/>
      <c r="D1021" s="7"/>
      <c r="E1021" s="36">
        <v>141</v>
      </c>
      <c r="F1021" s="36" t="s">
        <v>2149</v>
      </c>
      <c r="G1021" s="36">
        <v>613575</v>
      </c>
      <c r="H1021" s="36" t="s">
        <v>1489</v>
      </c>
      <c r="I1021" s="37">
        <v>0.50575999999999999</v>
      </c>
      <c r="J1021" s="7"/>
      <c r="K1021" s="7" t="str">
        <f>VLOOKUP($E1021,Mapping!$E$11:$I$96,3,0)</f>
        <v>Replacement</v>
      </c>
      <c r="L1021" s="7" t="str">
        <f>VLOOKUP($G1021,Mapping!$E$140:$K$2771,5,0)</f>
        <v>Labour</v>
      </c>
      <c r="M1021" s="7" t="str">
        <f>VLOOKUP($G1021,Mapping!$E$140:$K$2771,7,0)</f>
        <v>ENDirect</v>
      </c>
      <c r="N1021" s="7" t="str">
        <f>IFERROR(HLOOKUP(L1021,'Calc|Weightings'!$K$5:$M$5,1,0),"Excl")</f>
        <v>Labour</v>
      </c>
      <c r="O1021" s="7" t="str">
        <f>VLOOKUP(E1021,Mapping!$E$11:$I$96,5,0)</f>
        <v>SCS</v>
      </c>
      <c r="Q1021" s="33">
        <v>144</v>
      </c>
      <c r="R1021" s="33" t="s">
        <v>2154</v>
      </c>
      <c r="S1021" s="33">
        <v>613290</v>
      </c>
      <c r="T1021" s="33" t="s">
        <v>2093</v>
      </c>
      <c r="U1021" s="34">
        <v>16.794</v>
      </c>
      <c r="V1021" s="7"/>
      <c r="W1021" s="7" t="str">
        <f>VLOOKUP($Q1021,Mapping!$E$11:$I$96,3,0)</f>
        <v>Replacement</v>
      </c>
      <c r="X1021" s="7" t="str">
        <f>VLOOKUP($S1021,Mapping!$E$140:$K$2771,5,0)</f>
        <v>Labour</v>
      </c>
      <c r="Y1021" s="7" t="str">
        <f>VLOOKUP($S1021,Mapping!$E$140:$K$2771,7,0)</f>
        <v>ENDirect</v>
      </c>
      <c r="Z1021" s="7" t="str">
        <f>IFERROR(HLOOKUP(X1021,'Calc|Weightings'!$K$5:$M$5,1,0),"Excl")</f>
        <v>Labour</v>
      </c>
      <c r="AA1021" s="7" t="str">
        <f>VLOOKUP(Q1021,Mapping!$E$11:$I$96,5,0)</f>
        <v>SCS</v>
      </c>
      <c r="AC1021" s="111">
        <v>144</v>
      </c>
      <c r="AD1021" s="111" t="s">
        <v>2154</v>
      </c>
      <c r="AE1021" s="111">
        <v>532200</v>
      </c>
      <c r="AF1021" s="111" t="s">
        <v>291</v>
      </c>
      <c r="AG1021" s="112">
        <v>1.7150000000000001</v>
      </c>
      <c r="AI1021" s="7" t="str">
        <f>VLOOKUP($AC1021,Mapping!$E$11:$I$96,3,0)</f>
        <v>Replacement</v>
      </c>
      <c r="AJ1021" s="7" t="str">
        <f>VLOOKUP($AE1021,Mapping!$E$140:$K$2771,5,0)</f>
        <v>Contracts</v>
      </c>
      <c r="AK1021" s="7" t="str">
        <f>VLOOKUP($AE1021,Mapping!$E$140:$K$2771,7,0)</f>
        <v>ENDirect</v>
      </c>
      <c r="AL1021" s="7" t="str">
        <f>IFERROR(HLOOKUP(AJ1021,'Calc|Weightings'!$K$5:$M$5,1,0),"Excl")</f>
        <v>Contracts</v>
      </c>
      <c r="AM1021" s="7" t="str">
        <f>VLOOKUP(AC1021,Mapping!$E$11:$I$96,5,0)</f>
        <v>SCS</v>
      </c>
      <c r="AO1021" s="134">
        <v>146</v>
      </c>
      <c r="AP1021" s="135" t="s">
        <v>2156</v>
      </c>
      <c r="AQ1021" s="135">
        <v>611900</v>
      </c>
      <c r="AR1021" s="135" t="s">
        <v>2079</v>
      </c>
      <c r="AS1021" s="136">
        <v>0.79542000000000002</v>
      </c>
      <c r="AU1021" s="7" t="str">
        <f>VLOOKUP($AO1021,Mapping!$E$11:$I$96,3,0)</f>
        <v>Quoted Opex</v>
      </c>
      <c r="AV1021" s="7" t="str">
        <f>VLOOKUP($AQ1021,Mapping!$E$140:$K$2771,5,0)</f>
        <v>Contracts</v>
      </c>
      <c r="AW1021" s="7" t="str">
        <f>VLOOKUP($AQ1021,Mapping!$E$140:$K$2771,7,0)</f>
        <v>ENDirect</v>
      </c>
      <c r="AX1021" s="7" t="str">
        <f>IFERROR(HLOOKUP(AV1021,'Calc|Weightings'!$K$5:$M$5,1,0),"Excl")</f>
        <v>Contracts</v>
      </c>
      <c r="AY1021" s="7" t="str">
        <f>VLOOKUP(AO1021,Mapping!$E$11:$I$96,5,0)</f>
        <v>Ancillary Network Services</v>
      </c>
    </row>
    <row r="1022" spans="1:51" x14ac:dyDescent="0.2">
      <c r="A1022" s="7"/>
      <c r="B1022" s="7"/>
      <c r="C1022" s="7"/>
      <c r="D1022" s="7"/>
      <c r="E1022" s="36">
        <v>141</v>
      </c>
      <c r="F1022" s="36" t="s">
        <v>2149</v>
      </c>
      <c r="G1022" s="36">
        <v>613576</v>
      </c>
      <c r="H1022" s="36" t="s">
        <v>1490</v>
      </c>
      <c r="I1022" s="37">
        <v>0.4652</v>
      </c>
      <c r="J1022" s="7"/>
      <c r="K1022" s="7" t="str">
        <f>VLOOKUP($E1022,Mapping!$E$11:$I$96,3,0)</f>
        <v>Replacement</v>
      </c>
      <c r="L1022" s="7" t="str">
        <f>VLOOKUP($G1022,Mapping!$E$140:$K$2771,5,0)</f>
        <v>Labour</v>
      </c>
      <c r="M1022" s="7" t="str">
        <f>VLOOKUP($G1022,Mapping!$E$140:$K$2771,7,0)</f>
        <v>ENDirect</v>
      </c>
      <c r="N1022" s="7" t="str">
        <f>IFERROR(HLOOKUP(L1022,'Calc|Weightings'!$K$5:$M$5,1,0),"Excl")</f>
        <v>Labour</v>
      </c>
      <c r="O1022" s="7" t="str">
        <f>VLOOKUP(E1022,Mapping!$E$11:$I$96,5,0)</f>
        <v>SCS</v>
      </c>
      <c r="Q1022" s="33">
        <v>144</v>
      </c>
      <c r="R1022" s="33" t="s">
        <v>2154</v>
      </c>
      <c r="S1022" s="33">
        <v>613298</v>
      </c>
      <c r="T1022" s="33" t="s">
        <v>2122</v>
      </c>
      <c r="U1022" s="34">
        <v>2.2391999999999999</v>
      </c>
      <c r="V1022" s="7"/>
      <c r="W1022" s="7" t="str">
        <f>VLOOKUP($Q1022,Mapping!$E$11:$I$96,3,0)</f>
        <v>Replacement</v>
      </c>
      <c r="X1022" s="7" t="str">
        <f>VLOOKUP($S1022,Mapping!$E$140:$K$2771,5,0)</f>
        <v>Labour</v>
      </c>
      <c r="Y1022" s="7" t="str">
        <f>VLOOKUP($S1022,Mapping!$E$140:$K$2771,7,0)</f>
        <v>ENDirect</v>
      </c>
      <c r="Z1022" s="7" t="str">
        <f>IFERROR(HLOOKUP(X1022,'Calc|Weightings'!$K$5:$M$5,1,0),"Excl")</f>
        <v>Labour</v>
      </c>
      <c r="AA1022" s="7" t="str">
        <f>VLOOKUP(Q1022,Mapping!$E$11:$I$96,5,0)</f>
        <v>SCS</v>
      </c>
      <c r="AC1022" s="111">
        <v>144</v>
      </c>
      <c r="AD1022" s="111" t="s">
        <v>2154</v>
      </c>
      <c r="AE1022" s="111">
        <v>591997</v>
      </c>
      <c r="AF1022" s="111" t="s">
        <v>2194</v>
      </c>
      <c r="AG1022" s="112">
        <v>-1.2864100000000001</v>
      </c>
      <c r="AI1022" s="7" t="str">
        <f>VLOOKUP($AC1022,Mapping!$E$11:$I$96,3,0)</f>
        <v>Replacement</v>
      </c>
      <c r="AJ1022" s="7" t="str">
        <f>VLOOKUP($AE1022,Mapping!$E$140:$K$2771,5,0)</f>
        <v>Contracts</v>
      </c>
      <c r="AK1022" s="7" t="str">
        <f>VLOOKUP($AE1022,Mapping!$E$140:$K$2771,7,0)</f>
        <v>ENDirect</v>
      </c>
      <c r="AL1022" s="7" t="str">
        <f>IFERROR(HLOOKUP(AJ1022,'Calc|Weightings'!$K$5:$M$5,1,0),"Excl")</f>
        <v>Contracts</v>
      </c>
      <c r="AM1022" s="7" t="str">
        <f>VLOOKUP(AC1022,Mapping!$E$11:$I$96,5,0)</f>
        <v>SCS</v>
      </c>
      <c r="AO1022" s="134">
        <v>146</v>
      </c>
      <c r="AP1022" s="135" t="s">
        <v>2156</v>
      </c>
      <c r="AQ1022" s="135">
        <v>611901</v>
      </c>
      <c r="AR1022" s="135" t="s">
        <v>2080</v>
      </c>
      <c r="AS1022" s="136">
        <v>2.82185</v>
      </c>
      <c r="AU1022" s="7" t="str">
        <f>VLOOKUP($AO1022,Mapping!$E$11:$I$96,3,0)</f>
        <v>Quoted Opex</v>
      </c>
      <c r="AV1022" s="7" t="str">
        <f>VLOOKUP($AQ1022,Mapping!$E$140:$K$2771,5,0)</f>
        <v>Contracts</v>
      </c>
      <c r="AW1022" s="7" t="str">
        <f>VLOOKUP($AQ1022,Mapping!$E$140:$K$2771,7,0)</f>
        <v>ENDirect</v>
      </c>
      <c r="AX1022" s="7" t="str">
        <f>IFERROR(HLOOKUP(AV1022,'Calc|Weightings'!$K$5:$M$5,1,0),"Excl")</f>
        <v>Contracts</v>
      </c>
      <c r="AY1022" s="7" t="str">
        <f>VLOOKUP(AO1022,Mapping!$E$11:$I$96,5,0)</f>
        <v>Ancillary Network Services</v>
      </c>
    </row>
    <row r="1023" spans="1:51" x14ac:dyDescent="0.2">
      <c r="A1023" s="7"/>
      <c r="B1023" s="7"/>
      <c r="C1023" s="7"/>
      <c r="D1023" s="7"/>
      <c r="E1023" s="36">
        <v>141</v>
      </c>
      <c r="F1023" s="36" t="s">
        <v>2149</v>
      </c>
      <c r="G1023" s="36">
        <v>613680</v>
      </c>
      <c r="H1023" s="36" t="s">
        <v>2107</v>
      </c>
      <c r="I1023" s="37">
        <v>2.5615800000000002</v>
      </c>
      <c r="J1023" s="7"/>
      <c r="K1023" s="7" t="str">
        <f>VLOOKUP($E1023,Mapping!$E$11:$I$96,3,0)</f>
        <v>Replacement</v>
      </c>
      <c r="L1023" s="7" t="str">
        <f>VLOOKUP($G1023,Mapping!$E$140:$K$2771,5,0)</f>
        <v>Labour</v>
      </c>
      <c r="M1023" s="7" t="str">
        <f>VLOOKUP($G1023,Mapping!$E$140:$K$2771,7,0)</f>
        <v>ENDirect</v>
      </c>
      <c r="N1023" s="7" t="str">
        <f>IFERROR(HLOOKUP(L1023,'Calc|Weightings'!$K$5:$M$5,1,0),"Excl")</f>
        <v>Labour</v>
      </c>
      <c r="O1023" s="7" t="str">
        <f>VLOOKUP(E1023,Mapping!$E$11:$I$96,5,0)</f>
        <v>SCS</v>
      </c>
      <c r="Q1023" s="33">
        <v>144</v>
      </c>
      <c r="R1023" s="33" t="s">
        <v>2154</v>
      </c>
      <c r="S1023" s="33">
        <v>613310</v>
      </c>
      <c r="T1023" s="33" t="s">
        <v>2095</v>
      </c>
      <c r="U1023" s="34">
        <v>2.19665</v>
      </c>
      <c r="V1023" s="7"/>
      <c r="W1023" s="7" t="str">
        <f>VLOOKUP($Q1023,Mapping!$E$11:$I$96,3,0)</f>
        <v>Replacement</v>
      </c>
      <c r="X1023" s="7" t="str">
        <f>VLOOKUP($S1023,Mapping!$E$140:$K$2771,5,0)</f>
        <v>Labour</v>
      </c>
      <c r="Y1023" s="7" t="str">
        <f>VLOOKUP($S1023,Mapping!$E$140:$K$2771,7,0)</f>
        <v>ENDirect</v>
      </c>
      <c r="Z1023" s="7" t="str">
        <f>IFERROR(HLOOKUP(X1023,'Calc|Weightings'!$K$5:$M$5,1,0),"Excl")</f>
        <v>Labour</v>
      </c>
      <c r="AA1023" s="7" t="str">
        <f>VLOOKUP(Q1023,Mapping!$E$11:$I$96,5,0)</f>
        <v>SCS</v>
      </c>
      <c r="AC1023" s="111">
        <v>144</v>
      </c>
      <c r="AD1023" s="111" t="s">
        <v>2154</v>
      </c>
      <c r="AE1023" s="111">
        <v>591999</v>
      </c>
      <c r="AF1023" s="111" t="s">
        <v>2195</v>
      </c>
      <c r="AG1023" s="112">
        <v>-14.14317</v>
      </c>
      <c r="AI1023" s="7" t="str">
        <f>VLOOKUP($AC1023,Mapping!$E$11:$I$96,3,0)</f>
        <v>Replacement</v>
      </c>
      <c r="AJ1023" s="7" t="str">
        <f>VLOOKUP($AE1023,Mapping!$E$140:$K$2771,5,0)</f>
        <v>Contracts</v>
      </c>
      <c r="AK1023" s="7" t="str">
        <f>VLOOKUP($AE1023,Mapping!$E$140:$K$2771,7,0)</f>
        <v>ENDirect</v>
      </c>
      <c r="AL1023" s="7" t="str">
        <f>IFERROR(HLOOKUP(AJ1023,'Calc|Weightings'!$K$5:$M$5,1,0),"Excl")</f>
        <v>Contracts</v>
      </c>
      <c r="AM1023" s="7" t="str">
        <f>VLOOKUP(AC1023,Mapping!$E$11:$I$96,5,0)</f>
        <v>SCS</v>
      </c>
      <c r="AO1023" s="134">
        <v>146</v>
      </c>
      <c r="AP1023" s="135" t="s">
        <v>2156</v>
      </c>
      <c r="AQ1023" s="135">
        <v>613240</v>
      </c>
      <c r="AR1023" s="135" t="s">
        <v>2082</v>
      </c>
      <c r="AS1023" s="136">
        <v>10.59212</v>
      </c>
      <c r="AU1023" s="7" t="str">
        <f>VLOOKUP($AO1023,Mapping!$E$11:$I$96,3,0)</f>
        <v>Quoted Opex</v>
      </c>
      <c r="AV1023" s="7" t="str">
        <f>VLOOKUP($AQ1023,Mapping!$E$140:$K$2771,5,0)</f>
        <v>Labour</v>
      </c>
      <c r="AW1023" s="7" t="str">
        <f>VLOOKUP($AQ1023,Mapping!$E$140:$K$2771,7,0)</f>
        <v>ENDirect</v>
      </c>
      <c r="AX1023" s="7" t="str">
        <f>IFERROR(HLOOKUP(AV1023,'Calc|Weightings'!$K$5:$M$5,1,0),"Excl")</f>
        <v>Labour</v>
      </c>
      <c r="AY1023" s="7" t="str">
        <f>VLOOKUP(AO1023,Mapping!$E$11:$I$96,5,0)</f>
        <v>Ancillary Network Services</v>
      </c>
    </row>
    <row r="1024" spans="1:51" x14ac:dyDescent="0.2">
      <c r="A1024" s="7"/>
      <c r="B1024" s="7"/>
      <c r="C1024" s="7"/>
      <c r="D1024" s="7"/>
      <c r="E1024" s="36">
        <v>141</v>
      </c>
      <c r="F1024" s="36" t="s">
        <v>2149</v>
      </c>
      <c r="G1024" s="36">
        <v>633000</v>
      </c>
      <c r="H1024" s="36" t="s">
        <v>2202</v>
      </c>
      <c r="I1024" s="37">
        <v>307.67018999999999</v>
      </c>
      <c r="J1024" s="7"/>
      <c r="K1024" s="7" t="str">
        <f>VLOOKUP($E1024,Mapping!$E$11:$I$96,3,0)</f>
        <v>Replacement</v>
      </c>
      <c r="L1024" s="7" t="str">
        <f>VLOOKUP($G1024,Mapping!$E$140:$K$2771,5,0)</f>
        <v>Contracts</v>
      </c>
      <c r="M1024" s="7" t="str">
        <f>VLOOKUP($G1024,Mapping!$E$140:$K$2771,7,0)</f>
        <v>OH</v>
      </c>
      <c r="N1024" s="7" t="str">
        <f>IFERROR(HLOOKUP(L1024,'Calc|Weightings'!$K$5:$M$5,1,0),"Excl")</f>
        <v>Contracts</v>
      </c>
      <c r="O1024" s="7" t="str">
        <f>VLOOKUP(E1024,Mapping!$E$11:$I$96,5,0)</f>
        <v>SCS</v>
      </c>
      <c r="Q1024" s="33">
        <v>144</v>
      </c>
      <c r="R1024" s="33" t="s">
        <v>2154</v>
      </c>
      <c r="S1024" s="33">
        <v>613360</v>
      </c>
      <c r="T1024" s="33" t="s">
        <v>2097</v>
      </c>
      <c r="U1024" s="34">
        <v>8.0054200000000009</v>
      </c>
      <c r="V1024" s="7"/>
      <c r="W1024" s="7" t="str">
        <f>VLOOKUP($Q1024,Mapping!$E$11:$I$96,3,0)</f>
        <v>Replacement</v>
      </c>
      <c r="X1024" s="7" t="str">
        <f>VLOOKUP($S1024,Mapping!$E$140:$K$2771,5,0)</f>
        <v>Labour</v>
      </c>
      <c r="Y1024" s="7" t="str">
        <f>VLOOKUP($S1024,Mapping!$E$140:$K$2771,7,0)</f>
        <v>ENDirect</v>
      </c>
      <c r="Z1024" s="7" t="str">
        <f>IFERROR(HLOOKUP(X1024,'Calc|Weightings'!$K$5:$M$5,1,0),"Excl")</f>
        <v>Labour</v>
      </c>
      <c r="AA1024" s="7" t="str">
        <f>VLOOKUP(Q1024,Mapping!$E$11:$I$96,5,0)</f>
        <v>SCS</v>
      </c>
      <c r="AC1024" s="111">
        <v>144</v>
      </c>
      <c r="AD1024" s="111" t="s">
        <v>2154</v>
      </c>
      <c r="AE1024" s="111">
        <v>611901</v>
      </c>
      <c r="AF1024" s="111" t="s">
        <v>2080</v>
      </c>
      <c r="AG1024" s="112">
        <v>3.53085</v>
      </c>
      <c r="AI1024" s="7" t="str">
        <f>VLOOKUP($AC1024,Mapping!$E$11:$I$96,3,0)</f>
        <v>Replacement</v>
      </c>
      <c r="AJ1024" s="7" t="str">
        <f>VLOOKUP($AE1024,Mapping!$E$140:$K$2771,5,0)</f>
        <v>Contracts</v>
      </c>
      <c r="AK1024" s="7" t="str">
        <f>VLOOKUP($AE1024,Mapping!$E$140:$K$2771,7,0)</f>
        <v>ENDirect</v>
      </c>
      <c r="AL1024" s="7" t="str">
        <f>IFERROR(HLOOKUP(AJ1024,'Calc|Weightings'!$K$5:$M$5,1,0),"Excl")</f>
        <v>Contracts</v>
      </c>
      <c r="AM1024" s="7" t="str">
        <f>VLOOKUP(AC1024,Mapping!$E$11:$I$96,5,0)</f>
        <v>SCS</v>
      </c>
      <c r="AO1024" s="134">
        <v>146</v>
      </c>
      <c r="AP1024" s="135" t="s">
        <v>2156</v>
      </c>
      <c r="AQ1024" s="135">
        <v>613241</v>
      </c>
      <c r="AR1024" s="135" t="s">
        <v>2083</v>
      </c>
      <c r="AS1024" s="136">
        <v>2.5980799999999999</v>
      </c>
      <c r="AU1024" s="7" t="str">
        <f>VLOOKUP($AO1024,Mapping!$E$11:$I$96,3,0)</f>
        <v>Quoted Opex</v>
      </c>
      <c r="AV1024" s="7" t="str">
        <f>VLOOKUP($AQ1024,Mapping!$E$140:$K$2771,5,0)</f>
        <v>Labour</v>
      </c>
      <c r="AW1024" s="7" t="str">
        <f>VLOOKUP($AQ1024,Mapping!$E$140:$K$2771,7,0)</f>
        <v>ENDirect</v>
      </c>
      <c r="AX1024" s="7" t="str">
        <f>IFERROR(HLOOKUP(AV1024,'Calc|Weightings'!$K$5:$M$5,1,0),"Excl")</f>
        <v>Labour</v>
      </c>
      <c r="AY1024" s="7" t="str">
        <f>VLOOKUP(AO1024,Mapping!$E$11:$I$96,5,0)</f>
        <v>Ancillary Network Services</v>
      </c>
    </row>
    <row r="1025" spans="1:51" x14ac:dyDescent="0.2">
      <c r="A1025" s="7"/>
      <c r="B1025" s="7"/>
      <c r="C1025" s="7"/>
      <c r="D1025" s="7"/>
      <c r="E1025" s="36">
        <v>141</v>
      </c>
      <c r="F1025" s="36" t="s">
        <v>2149</v>
      </c>
      <c r="G1025" s="36">
        <v>634001</v>
      </c>
      <c r="H1025" s="36" t="s">
        <v>2110</v>
      </c>
      <c r="I1025" s="37">
        <v>138.81779</v>
      </c>
      <c r="J1025" s="7"/>
      <c r="K1025" s="7" t="str">
        <f>VLOOKUP($E1025,Mapping!$E$11:$I$96,3,0)</f>
        <v>Replacement</v>
      </c>
      <c r="L1025" s="7" t="str">
        <f>VLOOKUP($G1025,Mapping!$E$140:$K$2771,5,0)</f>
        <v>Local OH</v>
      </c>
      <c r="M1025" s="7" t="str">
        <f>VLOOKUP($G1025,Mapping!$E$140:$K$2771,7,0)</f>
        <v>OH</v>
      </c>
      <c r="N1025" s="7" t="str">
        <f>IFERROR(HLOOKUP(L1025,'Calc|Weightings'!$K$5:$M$5,1,0),"Excl")</f>
        <v>Excl</v>
      </c>
      <c r="O1025" s="7" t="str">
        <f>VLOOKUP(E1025,Mapping!$E$11:$I$96,5,0)</f>
        <v>SCS</v>
      </c>
      <c r="Q1025" s="33">
        <v>144</v>
      </c>
      <c r="R1025" s="33" t="s">
        <v>2154</v>
      </c>
      <c r="S1025" s="33">
        <v>613440</v>
      </c>
      <c r="T1025" s="33" t="s">
        <v>2103</v>
      </c>
      <c r="U1025" s="34">
        <v>0.27124999999999999</v>
      </c>
      <c r="V1025" s="7"/>
      <c r="W1025" s="7" t="str">
        <f>VLOOKUP($Q1025,Mapping!$E$11:$I$96,3,0)</f>
        <v>Replacement</v>
      </c>
      <c r="X1025" s="7" t="str">
        <f>VLOOKUP($S1025,Mapping!$E$140:$K$2771,5,0)</f>
        <v>Labour</v>
      </c>
      <c r="Y1025" s="7" t="str">
        <f>VLOOKUP($S1025,Mapping!$E$140:$K$2771,7,0)</f>
        <v>ENDirect</v>
      </c>
      <c r="Z1025" s="7" t="str">
        <f>IFERROR(HLOOKUP(X1025,'Calc|Weightings'!$K$5:$M$5,1,0),"Excl")</f>
        <v>Labour</v>
      </c>
      <c r="AA1025" s="7" t="str">
        <f>VLOOKUP(Q1025,Mapping!$E$11:$I$96,5,0)</f>
        <v>SCS</v>
      </c>
      <c r="AC1025" s="111">
        <v>144</v>
      </c>
      <c r="AD1025" s="111" t="s">
        <v>2154</v>
      </c>
      <c r="AE1025" s="111">
        <v>613260</v>
      </c>
      <c r="AF1025" s="111" t="s">
        <v>2090</v>
      </c>
      <c r="AG1025" s="112">
        <v>1.51888</v>
      </c>
      <c r="AI1025" s="7" t="str">
        <f>VLOOKUP($AC1025,Mapping!$E$11:$I$96,3,0)</f>
        <v>Replacement</v>
      </c>
      <c r="AJ1025" s="7" t="str">
        <f>VLOOKUP($AE1025,Mapping!$E$140:$K$2771,5,0)</f>
        <v>Labour</v>
      </c>
      <c r="AK1025" s="7" t="str">
        <f>VLOOKUP($AE1025,Mapping!$E$140:$K$2771,7,0)</f>
        <v>ENDirect</v>
      </c>
      <c r="AL1025" s="7" t="str">
        <f>IFERROR(HLOOKUP(AJ1025,'Calc|Weightings'!$K$5:$M$5,1,0),"Excl")</f>
        <v>Labour</v>
      </c>
      <c r="AM1025" s="7" t="str">
        <f>VLOOKUP(AC1025,Mapping!$E$11:$I$96,5,0)</f>
        <v>SCS</v>
      </c>
      <c r="AO1025" s="134">
        <v>146</v>
      </c>
      <c r="AP1025" s="135" t="s">
        <v>2156</v>
      </c>
      <c r="AQ1025" s="135">
        <v>613250</v>
      </c>
      <c r="AR1025" s="135" t="s">
        <v>2086</v>
      </c>
      <c r="AS1025" s="136">
        <v>12.55748</v>
      </c>
      <c r="AU1025" s="7" t="str">
        <f>VLOOKUP($AO1025,Mapping!$E$11:$I$96,3,0)</f>
        <v>Quoted Opex</v>
      </c>
      <c r="AV1025" s="7" t="str">
        <f>VLOOKUP($AQ1025,Mapping!$E$140:$K$2771,5,0)</f>
        <v>Labour</v>
      </c>
      <c r="AW1025" s="7" t="str">
        <f>VLOOKUP($AQ1025,Mapping!$E$140:$K$2771,7,0)</f>
        <v>ENDirect</v>
      </c>
      <c r="AX1025" s="7" t="str">
        <f>IFERROR(HLOOKUP(AV1025,'Calc|Weightings'!$K$5:$M$5,1,0),"Excl")</f>
        <v>Labour</v>
      </c>
      <c r="AY1025" s="7" t="str">
        <f>VLOOKUP(AO1025,Mapping!$E$11:$I$96,5,0)</f>
        <v>Ancillary Network Services</v>
      </c>
    </row>
    <row r="1026" spans="1:51" x14ac:dyDescent="0.2">
      <c r="A1026" s="7"/>
      <c r="B1026" s="7"/>
      <c r="C1026" s="7"/>
      <c r="D1026" s="7"/>
      <c r="E1026" s="36">
        <v>141</v>
      </c>
      <c r="F1026" s="36" t="s">
        <v>2149</v>
      </c>
      <c r="G1026" s="36">
        <v>635001</v>
      </c>
      <c r="H1026" s="36" t="s">
        <v>1929</v>
      </c>
      <c r="I1026" s="37">
        <v>93.860320000000002</v>
      </c>
      <c r="J1026" s="7"/>
      <c r="K1026" s="7" t="str">
        <f>VLOOKUP($E1026,Mapping!$E$11:$I$96,3,0)</f>
        <v>Replacement</v>
      </c>
      <c r="L1026" s="7" t="str">
        <f>VLOOKUP($G1026,Mapping!$E$140:$K$2771,5,0)</f>
        <v>PNS MG</v>
      </c>
      <c r="M1026" s="7" t="str">
        <f>VLOOKUP($G1026,Mapping!$E$140:$K$2771,7,0)</f>
        <v>ENDirect</v>
      </c>
      <c r="N1026" s="7" t="str">
        <f>IFERROR(HLOOKUP(L1026,'Calc|Weightings'!$K$5:$M$5,1,0),"Excl")</f>
        <v>Excl</v>
      </c>
      <c r="O1026" s="7" t="str">
        <f>VLOOKUP(E1026,Mapping!$E$11:$I$96,5,0)</f>
        <v>SCS</v>
      </c>
      <c r="Q1026" s="33">
        <v>144</v>
      </c>
      <c r="R1026" s="33" t="s">
        <v>2154</v>
      </c>
      <c r="S1026" s="33">
        <v>613566</v>
      </c>
      <c r="T1026" s="33" t="s">
        <v>1482</v>
      </c>
      <c r="U1026" s="34">
        <v>15.41005</v>
      </c>
      <c r="V1026" s="7"/>
      <c r="W1026" s="7" t="str">
        <f>VLOOKUP($Q1026,Mapping!$E$11:$I$96,3,0)</f>
        <v>Replacement</v>
      </c>
      <c r="X1026" s="7" t="str">
        <f>VLOOKUP($S1026,Mapping!$E$140:$K$2771,5,0)</f>
        <v>Labour</v>
      </c>
      <c r="Y1026" s="7" t="str">
        <f>VLOOKUP($S1026,Mapping!$E$140:$K$2771,7,0)</f>
        <v>ENDirect</v>
      </c>
      <c r="Z1026" s="7" t="str">
        <f>IFERROR(HLOOKUP(X1026,'Calc|Weightings'!$K$5:$M$5,1,0),"Excl")</f>
        <v>Labour</v>
      </c>
      <c r="AA1026" s="7" t="str">
        <f>VLOOKUP(Q1026,Mapping!$E$11:$I$96,5,0)</f>
        <v>SCS</v>
      </c>
      <c r="AC1026" s="111">
        <v>144</v>
      </c>
      <c r="AD1026" s="111" t="s">
        <v>2154</v>
      </c>
      <c r="AE1026" s="111">
        <v>613280</v>
      </c>
      <c r="AF1026" s="111" t="s">
        <v>1342</v>
      </c>
      <c r="AG1026" s="112">
        <v>8.5284300000000002</v>
      </c>
      <c r="AI1026" s="7" t="str">
        <f>VLOOKUP($AC1026,Mapping!$E$11:$I$96,3,0)</f>
        <v>Replacement</v>
      </c>
      <c r="AJ1026" s="7" t="str">
        <f>VLOOKUP($AE1026,Mapping!$E$140:$K$2771,5,0)</f>
        <v>Labour</v>
      </c>
      <c r="AK1026" s="7" t="str">
        <f>VLOOKUP($AE1026,Mapping!$E$140:$K$2771,7,0)</f>
        <v>ENDirect</v>
      </c>
      <c r="AL1026" s="7" t="str">
        <f>IFERROR(HLOOKUP(AJ1026,'Calc|Weightings'!$K$5:$M$5,1,0),"Excl")</f>
        <v>Labour</v>
      </c>
      <c r="AM1026" s="7" t="str">
        <f>VLOOKUP(AC1026,Mapping!$E$11:$I$96,5,0)</f>
        <v>SCS</v>
      </c>
      <c r="AO1026" s="134">
        <v>146</v>
      </c>
      <c r="AP1026" s="135" t="s">
        <v>2156</v>
      </c>
      <c r="AQ1026" s="135">
        <v>613251</v>
      </c>
      <c r="AR1026" s="135" t="s">
        <v>2087</v>
      </c>
      <c r="AS1026" s="136">
        <v>6.8647299999999998</v>
      </c>
      <c r="AU1026" s="7" t="str">
        <f>VLOOKUP($AO1026,Mapping!$E$11:$I$96,3,0)</f>
        <v>Quoted Opex</v>
      </c>
      <c r="AV1026" s="7" t="str">
        <f>VLOOKUP($AQ1026,Mapping!$E$140:$K$2771,5,0)</f>
        <v>Labour</v>
      </c>
      <c r="AW1026" s="7" t="str">
        <f>VLOOKUP($AQ1026,Mapping!$E$140:$K$2771,7,0)</f>
        <v>ENDirect</v>
      </c>
      <c r="AX1026" s="7" t="str">
        <f>IFERROR(HLOOKUP(AV1026,'Calc|Weightings'!$K$5:$M$5,1,0),"Excl")</f>
        <v>Labour</v>
      </c>
      <c r="AY1026" s="7" t="str">
        <f>VLOOKUP(AO1026,Mapping!$E$11:$I$96,5,0)</f>
        <v>Ancillary Network Services</v>
      </c>
    </row>
    <row r="1027" spans="1:51" x14ac:dyDescent="0.2">
      <c r="A1027" s="7"/>
      <c r="B1027" s="7"/>
      <c r="C1027" s="7"/>
      <c r="D1027" s="7"/>
      <c r="E1027" s="36">
        <v>141</v>
      </c>
      <c r="F1027" s="36" t="s">
        <v>2149</v>
      </c>
      <c r="G1027" s="36">
        <v>636001</v>
      </c>
      <c r="H1027" s="36" t="s">
        <v>2111</v>
      </c>
      <c r="I1027" s="37">
        <v>41.689109999999999</v>
      </c>
      <c r="J1027" s="7"/>
      <c r="K1027" s="7" t="str">
        <f>VLOOKUP($E1027,Mapping!$E$11:$I$96,3,0)</f>
        <v>Replacement</v>
      </c>
      <c r="L1027" s="7" t="str">
        <f>VLOOKUP($G1027,Mapping!$E$140:$K$2771,5,0)</f>
        <v>System Control OH</v>
      </c>
      <c r="M1027" s="7" t="str">
        <f>VLOOKUP($G1027,Mapping!$E$140:$K$2771,7,0)</f>
        <v>OH</v>
      </c>
      <c r="N1027" s="7" t="str">
        <f>IFERROR(HLOOKUP(L1027,'Calc|Weightings'!$K$5:$M$5,1,0),"Excl")</f>
        <v>Excl</v>
      </c>
      <c r="O1027" s="7" t="str">
        <f>VLOOKUP(E1027,Mapping!$E$11:$I$96,5,0)</f>
        <v>SCS</v>
      </c>
      <c r="Q1027" s="33">
        <v>144</v>
      </c>
      <c r="R1027" s="33" t="s">
        <v>2154</v>
      </c>
      <c r="S1027" s="33">
        <v>613567</v>
      </c>
      <c r="T1027" s="33" t="s">
        <v>1483</v>
      </c>
      <c r="U1027" s="34">
        <v>0.41832000000000003</v>
      </c>
      <c r="V1027" s="7"/>
      <c r="W1027" s="7" t="str">
        <f>VLOOKUP($Q1027,Mapping!$E$11:$I$96,3,0)</f>
        <v>Replacement</v>
      </c>
      <c r="X1027" s="7" t="str">
        <f>VLOOKUP($S1027,Mapping!$E$140:$K$2771,5,0)</f>
        <v>Labour</v>
      </c>
      <c r="Y1027" s="7" t="str">
        <f>VLOOKUP($S1027,Mapping!$E$140:$K$2771,7,0)</f>
        <v>ENDirect</v>
      </c>
      <c r="Z1027" s="7" t="str">
        <f>IFERROR(HLOOKUP(X1027,'Calc|Weightings'!$K$5:$M$5,1,0),"Excl")</f>
        <v>Labour</v>
      </c>
      <c r="AA1027" s="7" t="str">
        <f>VLOOKUP(Q1027,Mapping!$E$11:$I$96,5,0)</f>
        <v>SCS</v>
      </c>
      <c r="AC1027" s="111">
        <v>144</v>
      </c>
      <c r="AD1027" s="111" t="s">
        <v>2154</v>
      </c>
      <c r="AE1027" s="111">
        <v>613281</v>
      </c>
      <c r="AF1027" s="111" t="s">
        <v>1343</v>
      </c>
      <c r="AG1027" s="112">
        <v>1.44722</v>
      </c>
      <c r="AI1027" s="7" t="str">
        <f>VLOOKUP($AC1027,Mapping!$E$11:$I$96,3,0)</f>
        <v>Replacement</v>
      </c>
      <c r="AJ1027" s="7" t="str">
        <f>VLOOKUP($AE1027,Mapping!$E$140:$K$2771,5,0)</f>
        <v>Labour</v>
      </c>
      <c r="AK1027" s="7" t="str">
        <f>VLOOKUP($AE1027,Mapping!$E$140:$K$2771,7,0)</f>
        <v>ENDirect</v>
      </c>
      <c r="AL1027" s="7" t="str">
        <f>IFERROR(HLOOKUP(AJ1027,'Calc|Weightings'!$K$5:$M$5,1,0),"Excl")</f>
        <v>Labour</v>
      </c>
      <c r="AM1027" s="7" t="str">
        <f>VLOOKUP(AC1027,Mapping!$E$11:$I$96,5,0)</f>
        <v>SCS</v>
      </c>
      <c r="AO1027" s="134">
        <v>146</v>
      </c>
      <c r="AP1027" s="135" t="s">
        <v>2156</v>
      </c>
      <c r="AQ1027" s="135">
        <v>613280</v>
      </c>
      <c r="AR1027" s="135" t="s">
        <v>1342</v>
      </c>
      <c r="AS1027" s="136">
        <v>0.50007999999999997</v>
      </c>
      <c r="AU1027" s="7" t="str">
        <f>VLOOKUP($AO1027,Mapping!$E$11:$I$96,3,0)</f>
        <v>Quoted Opex</v>
      </c>
      <c r="AV1027" s="7" t="str">
        <f>VLOOKUP($AQ1027,Mapping!$E$140:$K$2771,5,0)</f>
        <v>Labour</v>
      </c>
      <c r="AW1027" s="7" t="str">
        <f>VLOOKUP($AQ1027,Mapping!$E$140:$K$2771,7,0)</f>
        <v>ENDirect</v>
      </c>
      <c r="AX1027" s="7" t="str">
        <f>IFERROR(HLOOKUP(AV1027,'Calc|Weightings'!$K$5:$M$5,1,0),"Excl")</f>
        <v>Labour</v>
      </c>
      <c r="AY1027" s="7" t="str">
        <f>VLOOKUP(AO1027,Mapping!$E$11:$I$96,5,0)</f>
        <v>Ancillary Network Services</v>
      </c>
    </row>
    <row r="1028" spans="1:51" x14ac:dyDescent="0.2">
      <c r="A1028" s="7"/>
      <c r="B1028" s="7"/>
      <c r="C1028" s="7"/>
      <c r="D1028" s="7"/>
      <c r="E1028" s="36">
        <v>141</v>
      </c>
      <c r="F1028" s="36" t="s">
        <v>2149</v>
      </c>
      <c r="G1028" s="36">
        <v>639000</v>
      </c>
      <c r="H1028" s="36" t="s">
        <v>2112</v>
      </c>
      <c r="I1028" s="37">
        <v>90.193240000000003</v>
      </c>
      <c r="J1028" s="7"/>
      <c r="K1028" s="7" t="str">
        <f>VLOOKUP($E1028,Mapping!$E$11:$I$96,3,0)</f>
        <v>Replacement</v>
      </c>
      <c r="L1028" s="7" t="str">
        <f>VLOOKUP($G1028,Mapping!$E$140:$K$2771,5,0)</f>
        <v>PNS Corporate OH</v>
      </c>
      <c r="M1028" s="7" t="str">
        <f>VLOOKUP($G1028,Mapping!$E$140:$K$2771,7,0)</f>
        <v>OH</v>
      </c>
      <c r="N1028" s="7" t="str">
        <f>IFERROR(HLOOKUP(L1028,'Calc|Weightings'!$K$5:$M$5,1,0),"Excl")</f>
        <v>Excl</v>
      </c>
      <c r="O1028" s="7" t="str">
        <f>VLOOKUP(E1028,Mapping!$E$11:$I$96,5,0)</f>
        <v>SCS</v>
      </c>
      <c r="Q1028" s="33">
        <v>144</v>
      </c>
      <c r="R1028" s="33" t="s">
        <v>2154</v>
      </c>
      <c r="S1028" s="33">
        <v>613576</v>
      </c>
      <c r="T1028" s="33" t="s">
        <v>1490</v>
      </c>
      <c r="U1028" s="34">
        <v>22.685569999999998</v>
      </c>
      <c r="V1028" s="7"/>
      <c r="W1028" s="7" t="str">
        <f>VLOOKUP($Q1028,Mapping!$E$11:$I$96,3,0)</f>
        <v>Replacement</v>
      </c>
      <c r="X1028" s="7" t="str">
        <f>VLOOKUP($S1028,Mapping!$E$140:$K$2771,5,0)</f>
        <v>Labour</v>
      </c>
      <c r="Y1028" s="7" t="str">
        <f>VLOOKUP($S1028,Mapping!$E$140:$K$2771,7,0)</f>
        <v>ENDirect</v>
      </c>
      <c r="Z1028" s="7" t="str">
        <f>IFERROR(HLOOKUP(X1028,'Calc|Weightings'!$K$5:$M$5,1,0),"Excl")</f>
        <v>Labour</v>
      </c>
      <c r="AA1028" s="7" t="str">
        <f>VLOOKUP(Q1028,Mapping!$E$11:$I$96,5,0)</f>
        <v>SCS</v>
      </c>
      <c r="AC1028" s="111">
        <v>144</v>
      </c>
      <c r="AD1028" s="111" t="s">
        <v>2154</v>
      </c>
      <c r="AE1028" s="111">
        <v>613290</v>
      </c>
      <c r="AF1028" s="111" t="s">
        <v>2093</v>
      </c>
      <c r="AG1028" s="112">
        <v>30.661740000000002</v>
      </c>
      <c r="AI1028" s="7" t="str">
        <f>VLOOKUP($AC1028,Mapping!$E$11:$I$96,3,0)</f>
        <v>Replacement</v>
      </c>
      <c r="AJ1028" s="7" t="str">
        <f>VLOOKUP($AE1028,Mapping!$E$140:$K$2771,5,0)</f>
        <v>Labour</v>
      </c>
      <c r="AK1028" s="7" t="str">
        <f>VLOOKUP($AE1028,Mapping!$E$140:$K$2771,7,0)</f>
        <v>ENDirect</v>
      </c>
      <c r="AL1028" s="7" t="str">
        <f>IFERROR(HLOOKUP(AJ1028,'Calc|Weightings'!$K$5:$M$5,1,0),"Excl")</f>
        <v>Labour</v>
      </c>
      <c r="AM1028" s="7" t="str">
        <f>VLOOKUP(AC1028,Mapping!$E$11:$I$96,5,0)</f>
        <v>SCS</v>
      </c>
      <c r="AO1028" s="134">
        <v>146</v>
      </c>
      <c r="AP1028" s="135" t="s">
        <v>2156</v>
      </c>
      <c r="AQ1028" s="135">
        <v>613290</v>
      </c>
      <c r="AR1028" s="135" t="s">
        <v>2093</v>
      </c>
      <c r="AS1028" s="136">
        <v>0.40289999999999998</v>
      </c>
      <c r="AU1028" s="7" t="str">
        <f>VLOOKUP($AO1028,Mapping!$E$11:$I$96,3,0)</f>
        <v>Quoted Opex</v>
      </c>
      <c r="AV1028" s="7" t="str">
        <f>VLOOKUP($AQ1028,Mapping!$E$140:$K$2771,5,0)</f>
        <v>Labour</v>
      </c>
      <c r="AW1028" s="7" t="str">
        <f>VLOOKUP($AQ1028,Mapping!$E$140:$K$2771,7,0)</f>
        <v>ENDirect</v>
      </c>
      <c r="AX1028" s="7" t="str">
        <f>IFERROR(HLOOKUP(AV1028,'Calc|Weightings'!$K$5:$M$5,1,0),"Excl")</f>
        <v>Labour</v>
      </c>
      <c r="AY1028" s="7" t="str">
        <f>VLOOKUP(AO1028,Mapping!$E$11:$I$96,5,0)</f>
        <v>Ancillary Network Services</v>
      </c>
    </row>
    <row r="1029" spans="1:51" x14ac:dyDescent="0.2">
      <c r="A1029" s="7"/>
      <c r="B1029" s="7"/>
      <c r="C1029" s="7"/>
      <c r="D1029" s="7"/>
      <c r="E1029" s="36">
        <v>141</v>
      </c>
      <c r="F1029" s="36" t="s">
        <v>2149</v>
      </c>
      <c r="G1029" s="36">
        <v>639050</v>
      </c>
      <c r="H1029" s="36" t="s">
        <v>2113</v>
      </c>
      <c r="I1029" s="37">
        <v>12.800890000000001</v>
      </c>
      <c r="J1029" s="7"/>
      <c r="K1029" s="7" t="str">
        <f>VLOOKUP($E1029,Mapping!$E$11:$I$96,3,0)</f>
        <v>Replacement</v>
      </c>
      <c r="L1029" s="7" t="str">
        <f>VLOOKUP($G1029,Mapping!$E$140:$K$2771,5,0)</f>
        <v>PNS Fleet &amp; Property OH</v>
      </c>
      <c r="M1029" s="7" t="str">
        <f>VLOOKUP($G1029,Mapping!$E$140:$K$2771,7,0)</f>
        <v>OH</v>
      </c>
      <c r="N1029" s="7" t="str">
        <f>IFERROR(HLOOKUP(L1029,'Calc|Weightings'!$K$5:$M$5,1,0),"Excl")</f>
        <v>Excl</v>
      </c>
      <c r="O1029" s="7" t="str">
        <f>VLOOKUP(E1029,Mapping!$E$11:$I$96,5,0)</f>
        <v>SCS</v>
      </c>
      <c r="Q1029" s="33">
        <v>144</v>
      </c>
      <c r="R1029" s="33" t="s">
        <v>2154</v>
      </c>
      <c r="S1029" s="33">
        <v>613577</v>
      </c>
      <c r="T1029" s="33" t="s">
        <v>1491</v>
      </c>
      <c r="U1029" s="34">
        <v>0.83545000000000003</v>
      </c>
      <c r="V1029" s="7"/>
      <c r="W1029" s="7" t="str">
        <f>VLOOKUP($Q1029,Mapping!$E$11:$I$96,3,0)</f>
        <v>Replacement</v>
      </c>
      <c r="X1029" s="7" t="str">
        <f>VLOOKUP($S1029,Mapping!$E$140:$K$2771,5,0)</f>
        <v>Labour</v>
      </c>
      <c r="Y1029" s="7" t="str">
        <f>VLOOKUP($S1029,Mapping!$E$140:$K$2771,7,0)</f>
        <v>ENDirect</v>
      </c>
      <c r="Z1029" s="7" t="str">
        <f>IFERROR(HLOOKUP(X1029,'Calc|Weightings'!$K$5:$M$5,1,0),"Excl")</f>
        <v>Labour</v>
      </c>
      <c r="AA1029" s="7" t="str">
        <f>VLOOKUP(Q1029,Mapping!$E$11:$I$96,5,0)</f>
        <v>SCS</v>
      </c>
      <c r="AC1029" s="111">
        <v>144</v>
      </c>
      <c r="AD1029" s="111" t="s">
        <v>2154</v>
      </c>
      <c r="AE1029" s="111">
        <v>613360</v>
      </c>
      <c r="AF1029" s="111" t="s">
        <v>2097</v>
      </c>
      <c r="AG1029" s="112">
        <v>0.87597999999999998</v>
      </c>
      <c r="AI1029" s="7" t="str">
        <f>VLOOKUP($AC1029,Mapping!$E$11:$I$96,3,0)</f>
        <v>Replacement</v>
      </c>
      <c r="AJ1029" s="7" t="str">
        <f>VLOOKUP($AE1029,Mapping!$E$140:$K$2771,5,0)</f>
        <v>Labour</v>
      </c>
      <c r="AK1029" s="7" t="str">
        <f>VLOOKUP($AE1029,Mapping!$E$140:$K$2771,7,0)</f>
        <v>ENDirect</v>
      </c>
      <c r="AL1029" s="7" t="str">
        <f>IFERROR(HLOOKUP(AJ1029,'Calc|Weightings'!$K$5:$M$5,1,0),"Excl")</f>
        <v>Labour</v>
      </c>
      <c r="AM1029" s="7" t="str">
        <f>VLOOKUP(AC1029,Mapping!$E$11:$I$96,5,0)</f>
        <v>SCS</v>
      </c>
      <c r="AO1029" s="134">
        <v>146</v>
      </c>
      <c r="AP1029" s="135" t="s">
        <v>2156</v>
      </c>
      <c r="AQ1029" s="135">
        <v>613360</v>
      </c>
      <c r="AR1029" s="135" t="s">
        <v>2097</v>
      </c>
      <c r="AS1029" s="136">
        <v>0.22921</v>
      </c>
      <c r="AU1029" s="7" t="str">
        <f>VLOOKUP($AO1029,Mapping!$E$11:$I$96,3,0)</f>
        <v>Quoted Opex</v>
      </c>
      <c r="AV1029" s="7" t="str">
        <f>VLOOKUP($AQ1029,Mapping!$E$140:$K$2771,5,0)</f>
        <v>Labour</v>
      </c>
      <c r="AW1029" s="7" t="str">
        <f>VLOOKUP($AQ1029,Mapping!$E$140:$K$2771,7,0)</f>
        <v>ENDirect</v>
      </c>
      <c r="AX1029" s="7" t="str">
        <f>IFERROR(HLOOKUP(AV1029,'Calc|Weightings'!$K$5:$M$5,1,0),"Excl")</f>
        <v>Labour</v>
      </c>
      <c r="AY1029" s="7" t="str">
        <f>VLOOKUP(AO1029,Mapping!$E$11:$I$96,5,0)</f>
        <v>Ancillary Network Services</v>
      </c>
    </row>
    <row r="1030" spans="1:51" x14ac:dyDescent="0.2">
      <c r="A1030" s="7"/>
      <c r="B1030" s="7"/>
      <c r="C1030" s="7"/>
      <c r="D1030" s="7"/>
      <c r="E1030" s="36">
        <v>142</v>
      </c>
      <c r="F1030" s="36" t="s">
        <v>2152</v>
      </c>
      <c r="G1030" s="36">
        <v>520100</v>
      </c>
      <c r="H1030" s="36" t="s">
        <v>2072</v>
      </c>
      <c r="I1030" s="37">
        <v>9.0284099999999992</v>
      </c>
      <c r="J1030" s="7"/>
      <c r="K1030" s="7" t="str">
        <f>VLOOKUP($E1030,Mapping!$E$11:$I$96,3,0)</f>
        <v>Replacement</v>
      </c>
      <c r="L1030" s="7" t="str">
        <f>VLOOKUP($G1030,Mapping!$E$140:$K$2771,5,0)</f>
        <v>Materials</v>
      </c>
      <c r="M1030" s="7" t="str">
        <f>VLOOKUP($G1030,Mapping!$E$140:$K$2771,7,0)</f>
        <v>ENDirect</v>
      </c>
      <c r="N1030" s="7" t="str">
        <f>IFERROR(HLOOKUP(L1030,'Calc|Weightings'!$K$5:$M$5,1,0),"Excl")</f>
        <v>Materials</v>
      </c>
      <c r="O1030" s="7" t="str">
        <f>VLOOKUP(E1030,Mapping!$E$11:$I$96,5,0)</f>
        <v>SCS</v>
      </c>
      <c r="Q1030" s="33">
        <v>144</v>
      </c>
      <c r="R1030" s="33" t="s">
        <v>2154</v>
      </c>
      <c r="S1030" s="33">
        <v>613602</v>
      </c>
      <c r="T1030" s="33" t="s">
        <v>1494</v>
      </c>
      <c r="U1030" s="34">
        <v>14.100910000000001</v>
      </c>
      <c r="V1030" s="7"/>
      <c r="W1030" s="7" t="str">
        <f>VLOOKUP($Q1030,Mapping!$E$11:$I$96,3,0)</f>
        <v>Replacement</v>
      </c>
      <c r="X1030" s="7" t="str">
        <f>VLOOKUP($S1030,Mapping!$E$140:$K$2771,5,0)</f>
        <v>Labour</v>
      </c>
      <c r="Y1030" s="7" t="str">
        <f>VLOOKUP($S1030,Mapping!$E$140:$K$2771,7,0)</f>
        <v>ENDirect</v>
      </c>
      <c r="Z1030" s="7" t="str">
        <f>IFERROR(HLOOKUP(X1030,'Calc|Weightings'!$K$5:$M$5,1,0),"Excl")</f>
        <v>Labour</v>
      </c>
      <c r="AA1030" s="7" t="str">
        <f>VLOOKUP(Q1030,Mapping!$E$11:$I$96,5,0)</f>
        <v>SCS</v>
      </c>
      <c r="AC1030" s="111">
        <v>144</v>
      </c>
      <c r="AD1030" s="111" t="s">
        <v>2154</v>
      </c>
      <c r="AE1030" s="111">
        <v>613370</v>
      </c>
      <c r="AF1030" s="111" t="s">
        <v>1402</v>
      </c>
      <c r="AG1030" s="112">
        <v>5.7824799999999996</v>
      </c>
      <c r="AI1030" s="7" t="str">
        <f>VLOOKUP($AC1030,Mapping!$E$11:$I$96,3,0)</f>
        <v>Replacement</v>
      </c>
      <c r="AJ1030" s="7" t="str">
        <f>VLOOKUP($AE1030,Mapping!$E$140:$K$2771,5,0)</f>
        <v>Labour</v>
      </c>
      <c r="AK1030" s="7" t="str">
        <f>VLOOKUP($AE1030,Mapping!$E$140:$K$2771,7,0)</f>
        <v>ENDirect</v>
      </c>
      <c r="AL1030" s="7" t="str">
        <f>IFERROR(HLOOKUP(AJ1030,'Calc|Weightings'!$K$5:$M$5,1,0),"Excl")</f>
        <v>Labour</v>
      </c>
      <c r="AM1030" s="7" t="str">
        <f>VLOOKUP(AC1030,Mapping!$E$11:$I$96,5,0)</f>
        <v>SCS</v>
      </c>
      <c r="AO1030" s="134">
        <v>146</v>
      </c>
      <c r="AP1030" s="135" t="s">
        <v>2156</v>
      </c>
      <c r="AQ1030" s="135">
        <v>613390</v>
      </c>
      <c r="AR1030" s="135" t="s">
        <v>2141</v>
      </c>
      <c r="AS1030" s="136">
        <v>-4.5487200000000003</v>
      </c>
      <c r="AU1030" s="7" t="str">
        <f>VLOOKUP($AO1030,Mapping!$E$11:$I$96,3,0)</f>
        <v>Quoted Opex</v>
      </c>
      <c r="AV1030" s="7" t="str">
        <f>VLOOKUP($AQ1030,Mapping!$E$140:$K$2771,5,0)</f>
        <v>Contracts</v>
      </c>
      <c r="AW1030" s="7" t="str">
        <f>VLOOKUP($AQ1030,Mapping!$E$140:$K$2771,7,0)</f>
        <v>ENDirect</v>
      </c>
      <c r="AX1030" s="7" t="str">
        <f>IFERROR(HLOOKUP(AV1030,'Calc|Weightings'!$K$5:$M$5,1,0),"Excl")</f>
        <v>Contracts</v>
      </c>
      <c r="AY1030" s="7" t="str">
        <f>VLOOKUP(AO1030,Mapping!$E$11:$I$96,5,0)</f>
        <v>Ancillary Network Services</v>
      </c>
    </row>
    <row r="1031" spans="1:51" x14ac:dyDescent="0.2">
      <c r="A1031" s="7"/>
      <c r="B1031" s="7"/>
      <c r="C1031" s="7"/>
      <c r="D1031" s="7"/>
      <c r="E1031" s="36">
        <v>142</v>
      </c>
      <c r="F1031" s="36" t="s">
        <v>2152</v>
      </c>
      <c r="G1031" s="36">
        <v>523100</v>
      </c>
      <c r="H1031" s="36" t="s">
        <v>2074</v>
      </c>
      <c r="I1031" s="37">
        <v>2.376E-2</v>
      </c>
      <c r="J1031" s="7"/>
      <c r="K1031" s="7" t="str">
        <f>VLOOKUP($E1031,Mapping!$E$11:$I$96,3,0)</f>
        <v>Replacement</v>
      </c>
      <c r="L1031" s="7" t="str">
        <f>VLOOKUP($G1031,Mapping!$E$140:$K$2771,5,0)</f>
        <v>Materials</v>
      </c>
      <c r="M1031" s="7" t="str">
        <f>VLOOKUP($G1031,Mapping!$E$140:$K$2771,7,0)</f>
        <v>ENDirect</v>
      </c>
      <c r="N1031" s="7" t="str">
        <f>IFERROR(HLOOKUP(L1031,'Calc|Weightings'!$K$5:$M$5,1,0),"Excl")</f>
        <v>Materials</v>
      </c>
      <c r="O1031" s="7" t="str">
        <f>VLOOKUP(E1031,Mapping!$E$11:$I$96,5,0)</f>
        <v>SCS</v>
      </c>
      <c r="Q1031" s="33">
        <v>144</v>
      </c>
      <c r="R1031" s="33" t="s">
        <v>2154</v>
      </c>
      <c r="S1031" s="33">
        <v>613603</v>
      </c>
      <c r="T1031" s="33" t="s">
        <v>1495</v>
      </c>
      <c r="U1031" s="34">
        <v>0.37974999999999998</v>
      </c>
      <c r="V1031" s="7"/>
      <c r="W1031" s="7" t="str">
        <f>VLOOKUP($Q1031,Mapping!$E$11:$I$96,3,0)</f>
        <v>Replacement</v>
      </c>
      <c r="X1031" s="7" t="str">
        <f>VLOOKUP($S1031,Mapping!$E$140:$K$2771,5,0)</f>
        <v>Labour</v>
      </c>
      <c r="Y1031" s="7" t="str">
        <f>VLOOKUP($S1031,Mapping!$E$140:$K$2771,7,0)</f>
        <v>ENDirect</v>
      </c>
      <c r="Z1031" s="7" t="str">
        <f>IFERROR(HLOOKUP(X1031,'Calc|Weightings'!$K$5:$M$5,1,0),"Excl")</f>
        <v>Labour</v>
      </c>
      <c r="AA1031" s="7" t="str">
        <f>VLOOKUP(Q1031,Mapping!$E$11:$I$96,5,0)</f>
        <v>SCS</v>
      </c>
      <c r="AC1031" s="111">
        <v>144</v>
      </c>
      <c r="AD1031" s="111" t="s">
        <v>2154</v>
      </c>
      <c r="AE1031" s="111">
        <v>613566</v>
      </c>
      <c r="AF1031" s="111" t="s">
        <v>1482</v>
      </c>
      <c r="AG1031" s="112">
        <v>0.42459999999999998</v>
      </c>
      <c r="AI1031" s="7" t="str">
        <f>VLOOKUP($AC1031,Mapping!$E$11:$I$96,3,0)</f>
        <v>Replacement</v>
      </c>
      <c r="AJ1031" s="7" t="str">
        <f>VLOOKUP($AE1031,Mapping!$E$140:$K$2771,5,0)</f>
        <v>Labour</v>
      </c>
      <c r="AK1031" s="7" t="str">
        <f>VLOOKUP($AE1031,Mapping!$E$140:$K$2771,7,0)</f>
        <v>ENDirect</v>
      </c>
      <c r="AL1031" s="7" t="str">
        <f>IFERROR(HLOOKUP(AJ1031,'Calc|Weightings'!$K$5:$M$5,1,0),"Excl")</f>
        <v>Labour</v>
      </c>
      <c r="AM1031" s="7" t="str">
        <f>VLOOKUP(AC1031,Mapping!$E$11:$I$96,5,0)</f>
        <v>SCS</v>
      </c>
      <c r="AO1031" s="134">
        <v>146</v>
      </c>
      <c r="AP1031" s="135" t="s">
        <v>2156</v>
      </c>
      <c r="AQ1031" s="135">
        <v>613400</v>
      </c>
      <c r="AR1031" s="135" t="s">
        <v>2099</v>
      </c>
      <c r="AS1031" s="136">
        <v>3.7629899999999998</v>
      </c>
      <c r="AU1031" s="7" t="str">
        <f>VLOOKUP($AO1031,Mapping!$E$11:$I$96,3,0)</f>
        <v>Quoted Opex</v>
      </c>
      <c r="AV1031" s="7" t="str">
        <f>VLOOKUP($AQ1031,Mapping!$E$140:$K$2771,5,0)</f>
        <v>Labour</v>
      </c>
      <c r="AW1031" s="7" t="str">
        <f>VLOOKUP($AQ1031,Mapping!$E$140:$K$2771,7,0)</f>
        <v>ENDirect</v>
      </c>
      <c r="AX1031" s="7" t="str">
        <f>IFERROR(HLOOKUP(AV1031,'Calc|Weightings'!$K$5:$M$5,1,0),"Excl")</f>
        <v>Labour</v>
      </c>
      <c r="AY1031" s="7" t="str">
        <f>VLOOKUP(AO1031,Mapping!$E$11:$I$96,5,0)</f>
        <v>Ancillary Network Services</v>
      </c>
    </row>
    <row r="1032" spans="1:51" x14ac:dyDescent="0.2">
      <c r="A1032" s="7"/>
      <c r="B1032" s="7"/>
      <c r="C1032" s="7"/>
      <c r="D1032" s="7"/>
      <c r="E1032" s="36">
        <v>142</v>
      </c>
      <c r="F1032" s="36" t="s">
        <v>2152</v>
      </c>
      <c r="G1032" s="36">
        <v>523300</v>
      </c>
      <c r="H1032" s="36" t="s">
        <v>2075</v>
      </c>
      <c r="I1032" s="37">
        <v>4.0000000000000003E-5</v>
      </c>
      <c r="J1032" s="7"/>
      <c r="K1032" s="7" t="str">
        <f>VLOOKUP($E1032,Mapping!$E$11:$I$96,3,0)</f>
        <v>Replacement</v>
      </c>
      <c r="L1032" s="7" t="str">
        <f>VLOOKUP($G1032,Mapping!$E$140:$K$2771,5,0)</f>
        <v>Materials</v>
      </c>
      <c r="M1032" s="7" t="str">
        <f>VLOOKUP($G1032,Mapping!$E$140:$K$2771,7,0)</f>
        <v>ENDirect</v>
      </c>
      <c r="N1032" s="7" t="str">
        <f>IFERROR(HLOOKUP(L1032,'Calc|Weightings'!$K$5:$M$5,1,0),"Excl")</f>
        <v>Materials</v>
      </c>
      <c r="O1032" s="7" t="str">
        <f>VLOOKUP(E1032,Mapping!$E$11:$I$96,5,0)</f>
        <v>SCS</v>
      </c>
      <c r="Q1032" s="33">
        <v>144</v>
      </c>
      <c r="R1032" s="33" t="s">
        <v>2154</v>
      </c>
      <c r="S1032" s="33">
        <v>613680</v>
      </c>
      <c r="T1032" s="33" t="s">
        <v>2107</v>
      </c>
      <c r="U1032" s="34">
        <v>3.6160800000000002</v>
      </c>
      <c r="V1032" s="7"/>
      <c r="W1032" s="7" t="str">
        <f>VLOOKUP($Q1032,Mapping!$E$11:$I$96,3,0)</f>
        <v>Replacement</v>
      </c>
      <c r="X1032" s="7" t="str">
        <f>VLOOKUP($S1032,Mapping!$E$140:$K$2771,5,0)</f>
        <v>Labour</v>
      </c>
      <c r="Y1032" s="7" t="str">
        <f>VLOOKUP($S1032,Mapping!$E$140:$K$2771,7,0)</f>
        <v>ENDirect</v>
      </c>
      <c r="Z1032" s="7" t="str">
        <f>IFERROR(HLOOKUP(X1032,'Calc|Weightings'!$K$5:$M$5,1,0),"Excl")</f>
        <v>Labour</v>
      </c>
      <c r="AA1032" s="7" t="str">
        <f>VLOOKUP(Q1032,Mapping!$E$11:$I$96,5,0)</f>
        <v>SCS</v>
      </c>
      <c r="AC1032" s="111">
        <v>144</v>
      </c>
      <c r="AD1032" s="111" t="s">
        <v>2154</v>
      </c>
      <c r="AE1032" s="111">
        <v>613570</v>
      </c>
      <c r="AF1032" s="111" t="s">
        <v>1484</v>
      </c>
      <c r="AG1032" s="112">
        <v>1.06152</v>
      </c>
      <c r="AI1032" s="7" t="str">
        <f>VLOOKUP($AC1032,Mapping!$E$11:$I$96,3,0)</f>
        <v>Replacement</v>
      </c>
      <c r="AJ1032" s="7" t="str">
        <f>VLOOKUP($AE1032,Mapping!$E$140:$K$2771,5,0)</f>
        <v>Labour</v>
      </c>
      <c r="AK1032" s="7" t="str">
        <f>VLOOKUP($AE1032,Mapping!$E$140:$K$2771,7,0)</f>
        <v>ENDirect</v>
      </c>
      <c r="AL1032" s="7" t="str">
        <f>IFERROR(HLOOKUP(AJ1032,'Calc|Weightings'!$K$5:$M$5,1,0),"Excl")</f>
        <v>Labour</v>
      </c>
      <c r="AM1032" s="7" t="str">
        <f>VLOOKUP(AC1032,Mapping!$E$11:$I$96,5,0)</f>
        <v>SCS</v>
      </c>
      <c r="AO1032" s="134">
        <v>146</v>
      </c>
      <c r="AP1032" s="135" t="s">
        <v>2156</v>
      </c>
      <c r="AQ1032" s="135">
        <v>613401</v>
      </c>
      <c r="AR1032" s="135" t="s">
        <v>2117</v>
      </c>
      <c r="AS1032" s="136">
        <v>7.3071000000000002</v>
      </c>
      <c r="AU1032" s="7" t="str">
        <f>VLOOKUP($AO1032,Mapping!$E$11:$I$96,3,0)</f>
        <v>Quoted Opex</v>
      </c>
      <c r="AV1032" s="7" t="str">
        <f>VLOOKUP($AQ1032,Mapping!$E$140:$K$2771,5,0)</f>
        <v>Labour</v>
      </c>
      <c r="AW1032" s="7" t="str">
        <f>VLOOKUP($AQ1032,Mapping!$E$140:$K$2771,7,0)</f>
        <v>ENDirect</v>
      </c>
      <c r="AX1032" s="7" t="str">
        <f>IFERROR(HLOOKUP(AV1032,'Calc|Weightings'!$K$5:$M$5,1,0),"Excl")</f>
        <v>Labour</v>
      </c>
      <c r="AY1032" s="7" t="str">
        <f>VLOOKUP(AO1032,Mapping!$E$11:$I$96,5,0)</f>
        <v>Ancillary Network Services</v>
      </c>
    </row>
    <row r="1033" spans="1:51" x14ac:dyDescent="0.2">
      <c r="A1033" s="7"/>
      <c r="B1033" s="7"/>
      <c r="C1033" s="7"/>
      <c r="D1033" s="7"/>
      <c r="E1033" s="36">
        <v>142</v>
      </c>
      <c r="F1033" s="36" t="s">
        <v>2152</v>
      </c>
      <c r="G1033" s="36">
        <v>531020</v>
      </c>
      <c r="H1033" s="36" t="s">
        <v>219</v>
      </c>
      <c r="I1033" s="37">
        <v>-0.81803999999999999</v>
      </c>
      <c r="J1033" s="7"/>
      <c r="K1033" s="7" t="str">
        <f>VLOOKUP($E1033,Mapping!$E$11:$I$96,3,0)</f>
        <v>Replacement</v>
      </c>
      <c r="L1033" s="7" t="str">
        <f>VLOOKUP($G1033,Mapping!$E$140:$K$2771,5,0)</f>
        <v>Labour</v>
      </c>
      <c r="M1033" s="7" t="str">
        <f>VLOOKUP($G1033,Mapping!$E$140:$K$2771,7,0)</f>
        <v>ENDirect</v>
      </c>
      <c r="N1033" s="7" t="str">
        <f>IFERROR(HLOOKUP(L1033,'Calc|Weightings'!$K$5:$M$5,1,0),"Excl")</f>
        <v>Labour</v>
      </c>
      <c r="O1033" s="7" t="str">
        <f>VLOOKUP(E1033,Mapping!$E$11:$I$96,5,0)</f>
        <v>SCS</v>
      </c>
      <c r="Q1033" s="33">
        <v>144</v>
      </c>
      <c r="R1033" s="33" t="s">
        <v>2154</v>
      </c>
      <c r="S1033" s="33">
        <v>634001</v>
      </c>
      <c r="T1033" s="33" t="s">
        <v>2110</v>
      </c>
      <c r="U1033" s="34">
        <v>8.0581300000000002</v>
      </c>
      <c r="V1033" s="7"/>
      <c r="W1033" s="7" t="str">
        <f>VLOOKUP($Q1033,Mapping!$E$11:$I$96,3,0)</f>
        <v>Replacement</v>
      </c>
      <c r="X1033" s="7" t="str">
        <f>VLOOKUP($S1033,Mapping!$E$140:$K$2771,5,0)</f>
        <v>Local OH</v>
      </c>
      <c r="Y1033" s="7" t="str">
        <f>VLOOKUP($S1033,Mapping!$E$140:$K$2771,7,0)</f>
        <v>OH</v>
      </c>
      <c r="Z1033" s="7" t="str">
        <f>IFERROR(HLOOKUP(X1033,'Calc|Weightings'!$K$5:$M$5,1,0),"Excl")</f>
        <v>Excl</v>
      </c>
      <c r="AA1033" s="7" t="str">
        <f>VLOOKUP(Q1033,Mapping!$E$11:$I$96,5,0)</f>
        <v>SCS</v>
      </c>
      <c r="AC1033" s="111">
        <v>144</v>
      </c>
      <c r="AD1033" s="111" t="s">
        <v>2154</v>
      </c>
      <c r="AE1033" s="111">
        <v>613576</v>
      </c>
      <c r="AF1033" s="111" t="s">
        <v>1490</v>
      </c>
      <c r="AG1033" s="112">
        <v>5.9374399999999996</v>
      </c>
      <c r="AI1033" s="7" t="str">
        <f>VLOOKUP($AC1033,Mapping!$E$11:$I$96,3,0)</f>
        <v>Replacement</v>
      </c>
      <c r="AJ1033" s="7" t="str">
        <f>VLOOKUP($AE1033,Mapping!$E$140:$K$2771,5,0)</f>
        <v>Labour</v>
      </c>
      <c r="AK1033" s="7" t="str">
        <f>VLOOKUP($AE1033,Mapping!$E$140:$K$2771,7,0)</f>
        <v>ENDirect</v>
      </c>
      <c r="AL1033" s="7" t="str">
        <f>IFERROR(HLOOKUP(AJ1033,'Calc|Weightings'!$K$5:$M$5,1,0),"Excl")</f>
        <v>Labour</v>
      </c>
      <c r="AM1033" s="7" t="str">
        <f>VLOOKUP(AC1033,Mapping!$E$11:$I$96,5,0)</f>
        <v>SCS</v>
      </c>
      <c r="AO1033" s="134">
        <v>146</v>
      </c>
      <c r="AP1033" s="135" t="s">
        <v>2156</v>
      </c>
      <c r="AQ1033" s="135">
        <v>613410</v>
      </c>
      <c r="AR1033" s="135" t="s">
        <v>2100</v>
      </c>
      <c r="AS1033" s="136">
        <v>7.0444399999999998</v>
      </c>
      <c r="AU1033" s="7" t="str">
        <f>VLOOKUP($AO1033,Mapping!$E$11:$I$96,3,0)</f>
        <v>Quoted Opex</v>
      </c>
      <c r="AV1033" s="7" t="str">
        <f>VLOOKUP($AQ1033,Mapping!$E$140:$K$2771,5,0)</f>
        <v>Labour</v>
      </c>
      <c r="AW1033" s="7" t="str">
        <f>VLOOKUP($AQ1033,Mapping!$E$140:$K$2771,7,0)</f>
        <v>ENDirect</v>
      </c>
      <c r="AX1033" s="7" t="str">
        <f>IFERROR(HLOOKUP(AV1033,'Calc|Weightings'!$K$5:$M$5,1,0),"Excl")</f>
        <v>Labour</v>
      </c>
      <c r="AY1033" s="7" t="str">
        <f>VLOOKUP(AO1033,Mapping!$E$11:$I$96,5,0)</f>
        <v>Ancillary Network Services</v>
      </c>
    </row>
    <row r="1034" spans="1:51" x14ac:dyDescent="0.2">
      <c r="A1034" s="7"/>
      <c r="B1034" s="7"/>
      <c r="C1034" s="7"/>
      <c r="D1034" s="7"/>
      <c r="E1034" s="36">
        <v>142</v>
      </c>
      <c r="F1034" s="36" t="s">
        <v>2152</v>
      </c>
      <c r="G1034" s="36">
        <v>531035</v>
      </c>
      <c r="H1034" s="36" t="s">
        <v>244</v>
      </c>
      <c r="I1034" s="37">
        <v>0.17215</v>
      </c>
      <c r="J1034" s="7"/>
      <c r="K1034" s="7" t="str">
        <f>VLOOKUP($E1034,Mapping!$E$11:$I$96,3,0)</f>
        <v>Replacement</v>
      </c>
      <c r="L1034" s="7" t="str">
        <f>VLOOKUP($G1034,Mapping!$E$140:$K$2771,5,0)</f>
        <v>Labour</v>
      </c>
      <c r="M1034" s="7" t="str">
        <f>VLOOKUP($G1034,Mapping!$E$140:$K$2771,7,0)</f>
        <v>ENDirect</v>
      </c>
      <c r="N1034" s="7" t="str">
        <f>IFERROR(HLOOKUP(L1034,'Calc|Weightings'!$K$5:$M$5,1,0),"Excl")</f>
        <v>Labour</v>
      </c>
      <c r="O1034" s="7" t="str">
        <f>VLOOKUP(E1034,Mapping!$E$11:$I$96,5,0)</f>
        <v>SCS</v>
      </c>
      <c r="Q1034" s="33">
        <v>144</v>
      </c>
      <c r="R1034" s="33" t="s">
        <v>2154</v>
      </c>
      <c r="S1034" s="33">
        <v>635001</v>
      </c>
      <c r="T1034" s="33" t="s">
        <v>1929</v>
      </c>
      <c r="U1034" s="34">
        <v>3.7450199999999998</v>
      </c>
      <c r="V1034" s="7"/>
      <c r="W1034" s="7" t="str">
        <f>VLOOKUP($Q1034,Mapping!$E$11:$I$96,3,0)</f>
        <v>Replacement</v>
      </c>
      <c r="X1034" s="7" t="str">
        <f>VLOOKUP($S1034,Mapping!$E$140:$K$2771,5,0)</f>
        <v>PNS MG</v>
      </c>
      <c r="Y1034" s="7" t="str">
        <f>VLOOKUP($S1034,Mapping!$E$140:$K$2771,7,0)</f>
        <v>ENDirect</v>
      </c>
      <c r="Z1034" s="7" t="str">
        <f>IFERROR(HLOOKUP(X1034,'Calc|Weightings'!$K$5:$M$5,1,0),"Excl")</f>
        <v>Excl</v>
      </c>
      <c r="AA1034" s="7" t="str">
        <f>VLOOKUP(Q1034,Mapping!$E$11:$I$96,5,0)</f>
        <v>SCS</v>
      </c>
      <c r="AC1034" s="111">
        <v>144</v>
      </c>
      <c r="AD1034" s="111" t="s">
        <v>2154</v>
      </c>
      <c r="AE1034" s="111">
        <v>613577</v>
      </c>
      <c r="AF1034" s="111" t="s">
        <v>1491</v>
      </c>
      <c r="AG1034" s="112">
        <v>4.2288600000000001</v>
      </c>
      <c r="AI1034" s="7" t="str">
        <f>VLOOKUP($AC1034,Mapping!$E$11:$I$96,3,0)</f>
        <v>Replacement</v>
      </c>
      <c r="AJ1034" s="7" t="str">
        <f>VLOOKUP($AE1034,Mapping!$E$140:$K$2771,5,0)</f>
        <v>Labour</v>
      </c>
      <c r="AK1034" s="7" t="str">
        <f>VLOOKUP($AE1034,Mapping!$E$140:$K$2771,7,0)</f>
        <v>ENDirect</v>
      </c>
      <c r="AL1034" s="7" t="str">
        <f>IFERROR(HLOOKUP(AJ1034,'Calc|Weightings'!$K$5:$M$5,1,0),"Excl")</f>
        <v>Labour</v>
      </c>
      <c r="AM1034" s="7" t="str">
        <f>VLOOKUP(AC1034,Mapping!$E$11:$I$96,5,0)</f>
        <v>SCS</v>
      </c>
      <c r="AO1034" s="134">
        <v>146</v>
      </c>
      <c r="AP1034" s="135" t="s">
        <v>2156</v>
      </c>
      <c r="AQ1034" s="135">
        <v>613411</v>
      </c>
      <c r="AR1034" s="135" t="s">
        <v>2101</v>
      </c>
      <c r="AS1034" s="136">
        <v>5.4677800000000003</v>
      </c>
      <c r="AU1034" s="7" t="str">
        <f>VLOOKUP($AO1034,Mapping!$E$11:$I$96,3,0)</f>
        <v>Quoted Opex</v>
      </c>
      <c r="AV1034" s="7" t="str">
        <f>VLOOKUP($AQ1034,Mapping!$E$140:$K$2771,5,0)</f>
        <v>Labour</v>
      </c>
      <c r="AW1034" s="7" t="str">
        <f>VLOOKUP($AQ1034,Mapping!$E$140:$K$2771,7,0)</f>
        <v>ENDirect</v>
      </c>
      <c r="AX1034" s="7" t="str">
        <f>IFERROR(HLOOKUP(AV1034,'Calc|Weightings'!$K$5:$M$5,1,0),"Excl")</f>
        <v>Labour</v>
      </c>
      <c r="AY1034" s="7" t="str">
        <f>VLOOKUP(AO1034,Mapping!$E$11:$I$96,5,0)</f>
        <v>Ancillary Network Services</v>
      </c>
    </row>
    <row r="1035" spans="1:51" x14ac:dyDescent="0.2">
      <c r="A1035" s="7"/>
      <c r="B1035" s="7"/>
      <c r="C1035" s="7"/>
      <c r="D1035" s="7"/>
      <c r="E1035" s="36">
        <v>142</v>
      </c>
      <c r="F1035" s="36" t="s">
        <v>2152</v>
      </c>
      <c r="G1035" s="36">
        <v>531200</v>
      </c>
      <c r="H1035" s="36" t="s">
        <v>250</v>
      </c>
      <c r="I1035" s="37">
        <v>-5.9336200000000003</v>
      </c>
      <c r="J1035" s="7"/>
      <c r="K1035" s="7" t="str">
        <f>VLOOKUP($E1035,Mapping!$E$11:$I$96,3,0)</f>
        <v>Replacement</v>
      </c>
      <c r="L1035" s="7" t="str">
        <f>VLOOKUP($G1035,Mapping!$E$140:$K$2771,5,0)</f>
        <v>Contracts</v>
      </c>
      <c r="M1035" s="7" t="str">
        <f>VLOOKUP($G1035,Mapping!$E$140:$K$2771,7,0)</f>
        <v>ENDirect</v>
      </c>
      <c r="N1035" s="7" t="str">
        <f>IFERROR(HLOOKUP(L1035,'Calc|Weightings'!$K$5:$M$5,1,0),"Excl")</f>
        <v>Contracts</v>
      </c>
      <c r="O1035" s="7" t="str">
        <f>VLOOKUP(E1035,Mapping!$E$11:$I$96,5,0)</f>
        <v>SCS</v>
      </c>
      <c r="Q1035" s="33">
        <v>144</v>
      </c>
      <c r="R1035" s="33" t="s">
        <v>2154</v>
      </c>
      <c r="S1035" s="33">
        <v>636001</v>
      </c>
      <c r="T1035" s="33" t="s">
        <v>2111</v>
      </c>
      <c r="U1035" s="34">
        <v>2.36</v>
      </c>
      <c r="V1035" s="7"/>
      <c r="W1035" s="7" t="str">
        <f>VLOOKUP($Q1035,Mapping!$E$11:$I$96,3,0)</f>
        <v>Replacement</v>
      </c>
      <c r="X1035" s="7" t="str">
        <f>VLOOKUP($S1035,Mapping!$E$140:$K$2771,5,0)</f>
        <v>System Control OH</v>
      </c>
      <c r="Y1035" s="7" t="str">
        <f>VLOOKUP($S1035,Mapping!$E$140:$K$2771,7,0)</f>
        <v>OH</v>
      </c>
      <c r="Z1035" s="7" t="str">
        <f>IFERROR(HLOOKUP(X1035,'Calc|Weightings'!$K$5:$M$5,1,0),"Excl")</f>
        <v>Excl</v>
      </c>
      <c r="AA1035" s="7" t="str">
        <f>VLOOKUP(Q1035,Mapping!$E$11:$I$96,5,0)</f>
        <v>SCS</v>
      </c>
      <c r="AC1035" s="111">
        <v>144</v>
      </c>
      <c r="AD1035" s="111" t="s">
        <v>2154</v>
      </c>
      <c r="AE1035" s="111">
        <v>613602</v>
      </c>
      <c r="AF1035" s="111" t="s">
        <v>1494</v>
      </c>
      <c r="AG1035" s="112">
        <v>0.13808000000000001</v>
      </c>
      <c r="AI1035" s="7" t="str">
        <f>VLOOKUP($AC1035,Mapping!$E$11:$I$96,3,0)</f>
        <v>Replacement</v>
      </c>
      <c r="AJ1035" s="7" t="str">
        <f>VLOOKUP($AE1035,Mapping!$E$140:$K$2771,5,0)</f>
        <v>Labour</v>
      </c>
      <c r="AK1035" s="7" t="str">
        <f>VLOOKUP($AE1035,Mapping!$E$140:$K$2771,7,0)</f>
        <v>ENDirect</v>
      </c>
      <c r="AL1035" s="7" t="str">
        <f>IFERROR(HLOOKUP(AJ1035,'Calc|Weightings'!$K$5:$M$5,1,0),"Excl")</f>
        <v>Labour</v>
      </c>
      <c r="AM1035" s="7" t="str">
        <f>VLOOKUP(AC1035,Mapping!$E$11:$I$96,5,0)</f>
        <v>SCS</v>
      </c>
      <c r="AO1035" s="134">
        <v>146</v>
      </c>
      <c r="AP1035" s="135" t="s">
        <v>2156</v>
      </c>
      <c r="AQ1035" s="135">
        <v>613440</v>
      </c>
      <c r="AR1035" s="135" t="s">
        <v>2103</v>
      </c>
      <c r="AS1035" s="136">
        <v>1.5364199999999999</v>
      </c>
      <c r="AU1035" s="7" t="str">
        <f>VLOOKUP($AO1035,Mapping!$E$11:$I$96,3,0)</f>
        <v>Quoted Opex</v>
      </c>
      <c r="AV1035" s="7" t="str">
        <f>VLOOKUP($AQ1035,Mapping!$E$140:$K$2771,5,0)</f>
        <v>Labour</v>
      </c>
      <c r="AW1035" s="7" t="str">
        <f>VLOOKUP($AQ1035,Mapping!$E$140:$K$2771,7,0)</f>
        <v>ENDirect</v>
      </c>
      <c r="AX1035" s="7" t="str">
        <f>IFERROR(HLOOKUP(AV1035,'Calc|Weightings'!$K$5:$M$5,1,0),"Excl")</f>
        <v>Labour</v>
      </c>
      <c r="AY1035" s="7" t="str">
        <f>VLOOKUP(AO1035,Mapping!$E$11:$I$96,5,0)</f>
        <v>Ancillary Network Services</v>
      </c>
    </row>
    <row r="1036" spans="1:51" x14ac:dyDescent="0.2">
      <c r="A1036" s="7"/>
      <c r="B1036" s="7"/>
      <c r="C1036" s="7"/>
      <c r="D1036" s="7"/>
      <c r="E1036" s="36">
        <v>142</v>
      </c>
      <c r="F1036" s="36" t="s">
        <v>2152</v>
      </c>
      <c r="G1036" s="36">
        <v>531464</v>
      </c>
      <c r="H1036" s="36" t="s">
        <v>256</v>
      </c>
      <c r="I1036" s="37">
        <v>8.4868900000000007</v>
      </c>
      <c r="J1036" s="7"/>
      <c r="K1036" s="7" t="str">
        <f>VLOOKUP($E1036,Mapping!$E$11:$I$96,3,0)</f>
        <v>Replacement</v>
      </c>
      <c r="L1036" s="7" t="str">
        <f>VLOOKUP($G1036,Mapping!$E$140:$K$2771,5,0)</f>
        <v>Contracts</v>
      </c>
      <c r="M1036" s="7" t="str">
        <f>VLOOKUP($G1036,Mapping!$E$140:$K$2771,7,0)</f>
        <v>ENDirect</v>
      </c>
      <c r="N1036" s="7" t="str">
        <f>IFERROR(HLOOKUP(L1036,'Calc|Weightings'!$K$5:$M$5,1,0),"Excl")</f>
        <v>Contracts</v>
      </c>
      <c r="O1036" s="7" t="str">
        <f>VLOOKUP(E1036,Mapping!$E$11:$I$96,5,0)</f>
        <v>SCS</v>
      </c>
      <c r="Q1036" s="33">
        <v>144</v>
      </c>
      <c r="R1036" s="33" t="s">
        <v>2154</v>
      </c>
      <c r="S1036" s="33">
        <v>639000</v>
      </c>
      <c r="T1036" s="33" t="s">
        <v>2112</v>
      </c>
      <c r="U1036" s="34">
        <v>6.2213700000000003</v>
      </c>
      <c r="V1036" s="7"/>
      <c r="W1036" s="7" t="str">
        <f>VLOOKUP($Q1036,Mapping!$E$11:$I$96,3,0)</f>
        <v>Replacement</v>
      </c>
      <c r="X1036" s="7" t="str">
        <f>VLOOKUP($S1036,Mapping!$E$140:$K$2771,5,0)</f>
        <v>PNS Corporate OH</v>
      </c>
      <c r="Y1036" s="7" t="str">
        <f>VLOOKUP($S1036,Mapping!$E$140:$K$2771,7,0)</f>
        <v>OH</v>
      </c>
      <c r="Z1036" s="7" t="str">
        <f>IFERROR(HLOOKUP(X1036,'Calc|Weightings'!$K$5:$M$5,1,0),"Excl")</f>
        <v>Excl</v>
      </c>
      <c r="AA1036" s="7" t="str">
        <f>VLOOKUP(Q1036,Mapping!$E$11:$I$96,5,0)</f>
        <v>SCS</v>
      </c>
      <c r="AC1036" s="111">
        <v>144</v>
      </c>
      <c r="AD1036" s="111" t="s">
        <v>2154</v>
      </c>
      <c r="AE1036" s="111">
        <v>613680</v>
      </c>
      <c r="AF1036" s="111" t="s">
        <v>2107</v>
      </c>
      <c r="AG1036" s="112">
        <v>6.4979199999999997</v>
      </c>
      <c r="AI1036" s="7" t="str">
        <f>VLOOKUP($AC1036,Mapping!$E$11:$I$96,3,0)</f>
        <v>Replacement</v>
      </c>
      <c r="AJ1036" s="7" t="str">
        <f>VLOOKUP($AE1036,Mapping!$E$140:$K$2771,5,0)</f>
        <v>Labour</v>
      </c>
      <c r="AK1036" s="7" t="str">
        <f>VLOOKUP($AE1036,Mapping!$E$140:$K$2771,7,0)</f>
        <v>ENDirect</v>
      </c>
      <c r="AL1036" s="7" t="str">
        <f>IFERROR(HLOOKUP(AJ1036,'Calc|Weightings'!$K$5:$M$5,1,0),"Excl")</f>
        <v>Labour</v>
      </c>
      <c r="AM1036" s="7" t="str">
        <f>VLOOKUP(AC1036,Mapping!$E$11:$I$96,5,0)</f>
        <v>SCS</v>
      </c>
      <c r="AO1036" s="134">
        <v>146</v>
      </c>
      <c r="AP1036" s="135" t="s">
        <v>2156</v>
      </c>
      <c r="AQ1036" s="135">
        <v>613566</v>
      </c>
      <c r="AR1036" s="135" t="s">
        <v>1482</v>
      </c>
      <c r="AS1036" s="136">
        <v>1.6349199999999999</v>
      </c>
      <c r="AU1036" s="7" t="str">
        <f>VLOOKUP($AO1036,Mapping!$E$11:$I$96,3,0)</f>
        <v>Quoted Opex</v>
      </c>
      <c r="AV1036" s="7" t="str">
        <f>VLOOKUP($AQ1036,Mapping!$E$140:$K$2771,5,0)</f>
        <v>Labour</v>
      </c>
      <c r="AW1036" s="7" t="str">
        <f>VLOOKUP($AQ1036,Mapping!$E$140:$K$2771,7,0)</f>
        <v>ENDirect</v>
      </c>
      <c r="AX1036" s="7" t="str">
        <f>IFERROR(HLOOKUP(AV1036,'Calc|Weightings'!$K$5:$M$5,1,0),"Excl")</f>
        <v>Labour</v>
      </c>
      <c r="AY1036" s="7" t="str">
        <f>VLOOKUP(AO1036,Mapping!$E$11:$I$96,5,0)</f>
        <v>Ancillary Network Services</v>
      </c>
    </row>
    <row r="1037" spans="1:51" x14ac:dyDescent="0.2">
      <c r="A1037" s="7"/>
      <c r="B1037" s="7"/>
      <c r="C1037" s="7"/>
      <c r="D1037" s="7"/>
      <c r="E1037" s="36">
        <v>142</v>
      </c>
      <c r="F1037" s="36" t="s">
        <v>2152</v>
      </c>
      <c r="G1037" s="36">
        <v>531466</v>
      </c>
      <c r="H1037" s="36" t="s">
        <v>258</v>
      </c>
      <c r="I1037" s="37">
        <v>2.16E-3</v>
      </c>
      <c r="J1037" s="7"/>
      <c r="K1037" s="7" t="str">
        <f>VLOOKUP($E1037,Mapping!$E$11:$I$96,3,0)</f>
        <v>Replacement</v>
      </c>
      <c r="L1037" s="7" t="str">
        <f>VLOOKUP($G1037,Mapping!$E$140:$K$2771,5,0)</f>
        <v>Contracts</v>
      </c>
      <c r="M1037" s="7" t="str">
        <f>VLOOKUP($G1037,Mapping!$E$140:$K$2771,7,0)</f>
        <v>ENDirect</v>
      </c>
      <c r="N1037" s="7" t="str">
        <f>IFERROR(HLOOKUP(L1037,'Calc|Weightings'!$K$5:$M$5,1,0),"Excl")</f>
        <v>Contracts</v>
      </c>
      <c r="O1037" s="7" t="str">
        <f>VLOOKUP(E1037,Mapping!$E$11:$I$96,5,0)</f>
        <v>SCS</v>
      </c>
      <c r="Q1037" s="33">
        <v>144</v>
      </c>
      <c r="R1037" s="33" t="s">
        <v>2154</v>
      </c>
      <c r="S1037" s="33">
        <v>639050</v>
      </c>
      <c r="T1037" s="33" t="s">
        <v>2113</v>
      </c>
      <c r="U1037" s="34">
        <v>1.13856</v>
      </c>
      <c r="V1037" s="7"/>
      <c r="W1037" s="7" t="str">
        <f>VLOOKUP($Q1037,Mapping!$E$11:$I$96,3,0)</f>
        <v>Replacement</v>
      </c>
      <c r="X1037" s="7" t="str">
        <f>VLOOKUP($S1037,Mapping!$E$140:$K$2771,5,0)</f>
        <v>PNS Fleet &amp; Property OH</v>
      </c>
      <c r="Y1037" s="7" t="str">
        <f>VLOOKUP($S1037,Mapping!$E$140:$K$2771,7,0)</f>
        <v>OH</v>
      </c>
      <c r="Z1037" s="7" t="str">
        <f>IFERROR(HLOOKUP(X1037,'Calc|Weightings'!$K$5:$M$5,1,0),"Excl")</f>
        <v>Excl</v>
      </c>
      <c r="AA1037" s="7" t="str">
        <f>VLOOKUP(Q1037,Mapping!$E$11:$I$96,5,0)</f>
        <v>SCS</v>
      </c>
      <c r="AC1037" s="111">
        <v>144</v>
      </c>
      <c r="AD1037" s="111" t="s">
        <v>2154</v>
      </c>
      <c r="AE1037" s="111">
        <v>634001</v>
      </c>
      <c r="AF1037" s="111" t="s">
        <v>2110</v>
      </c>
      <c r="AG1037" s="112">
        <v>15.06922</v>
      </c>
      <c r="AI1037" s="7" t="str">
        <f>VLOOKUP($AC1037,Mapping!$E$11:$I$96,3,0)</f>
        <v>Replacement</v>
      </c>
      <c r="AJ1037" s="7" t="str">
        <f>VLOOKUP($AE1037,Mapping!$E$140:$K$2771,5,0)</f>
        <v>Local OH</v>
      </c>
      <c r="AK1037" s="7" t="str">
        <f>VLOOKUP($AE1037,Mapping!$E$140:$K$2771,7,0)</f>
        <v>OH</v>
      </c>
      <c r="AL1037" s="7" t="str">
        <f>IFERROR(HLOOKUP(AJ1037,'Calc|Weightings'!$K$5:$M$5,1,0),"Excl")</f>
        <v>Excl</v>
      </c>
      <c r="AM1037" s="7" t="str">
        <f>VLOOKUP(AC1037,Mapping!$E$11:$I$96,5,0)</f>
        <v>SCS</v>
      </c>
      <c r="AO1037" s="134">
        <v>146</v>
      </c>
      <c r="AP1037" s="135" t="s">
        <v>2156</v>
      </c>
      <c r="AQ1037" s="135">
        <v>613567</v>
      </c>
      <c r="AR1037" s="135" t="s">
        <v>1483</v>
      </c>
      <c r="AS1037" s="136">
        <v>2.1267100000000001</v>
      </c>
      <c r="AU1037" s="7" t="str">
        <f>VLOOKUP($AO1037,Mapping!$E$11:$I$96,3,0)</f>
        <v>Quoted Opex</v>
      </c>
      <c r="AV1037" s="7" t="str">
        <f>VLOOKUP($AQ1037,Mapping!$E$140:$K$2771,5,0)</f>
        <v>Labour</v>
      </c>
      <c r="AW1037" s="7" t="str">
        <f>VLOOKUP($AQ1037,Mapping!$E$140:$K$2771,7,0)</f>
        <v>ENDirect</v>
      </c>
      <c r="AX1037" s="7" t="str">
        <f>IFERROR(HLOOKUP(AV1037,'Calc|Weightings'!$K$5:$M$5,1,0),"Excl")</f>
        <v>Labour</v>
      </c>
      <c r="AY1037" s="7" t="str">
        <f>VLOOKUP(AO1037,Mapping!$E$11:$I$96,5,0)</f>
        <v>Ancillary Network Services</v>
      </c>
    </row>
    <row r="1038" spans="1:51" x14ac:dyDescent="0.2">
      <c r="A1038" s="7"/>
      <c r="B1038" s="7"/>
      <c r="C1038" s="7"/>
      <c r="D1038" s="7"/>
      <c r="E1038" s="36">
        <v>142</v>
      </c>
      <c r="F1038" s="36" t="s">
        <v>2152</v>
      </c>
      <c r="G1038" s="36">
        <v>531467</v>
      </c>
      <c r="H1038" s="36" t="s">
        <v>259</v>
      </c>
      <c r="I1038" s="37">
        <v>12.081759999999999</v>
      </c>
      <c r="J1038" s="7"/>
      <c r="K1038" s="7" t="str">
        <f>VLOOKUP($E1038,Mapping!$E$11:$I$96,3,0)</f>
        <v>Replacement</v>
      </c>
      <c r="L1038" s="7" t="str">
        <f>VLOOKUP($G1038,Mapping!$E$140:$K$2771,5,0)</f>
        <v>Contracts</v>
      </c>
      <c r="M1038" s="7" t="str">
        <f>VLOOKUP($G1038,Mapping!$E$140:$K$2771,7,0)</f>
        <v>ENDirect</v>
      </c>
      <c r="N1038" s="7" t="str">
        <f>IFERROR(HLOOKUP(L1038,'Calc|Weightings'!$K$5:$M$5,1,0),"Excl")</f>
        <v>Contracts</v>
      </c>
      <c r="O1038" s="7" t="str">
        <f>VLOOKUP(E1038,Mapping!$E$11:$I$96,5,0)</f>
        <v>SCS</v>
      </c>
      <c r="Q1038" s="33">
        <v>145</v>
      </c>
      <c r="R1038" s="33" t="s">
        <v>2155</v>
      </c>
      <c r="S1038" s="33">
        <v>520100</v>
      </c>
      <c r="T1038" s="33" t="s">
        <v>2072</v>
      </c>
      <c r="U1038" s="34">
        <v>25.957460000000001</v>
      </c>
      <c r="V1038" s="7"/>
      <c r="W1038" s="7" t="str">
        <f>VLOOKUP($Q1038,Mapping!$E$11:$I$96,3,0)</f>
        <v>Replacement</v>
      </c>
      <c r="X1038" s="7" t="str">
        <f>VLOOKUP($S1038,Mapping!$E$140:$K$2771,5,0)</f>
        <v>Materials</v>
      </c>
      <c r="Y1038" s="7" t="str">
        <f>VLOOKUP($S1038,Mapping!$E$140:$K$2771,7,0)</f>
        <v>ENDirect</v>
      </c>
      <c r="Z1038" s="7" t="str">
        <f>IFERROR(HLOOKUP(X1038,'Calc|Weightings'!$K$5:$M$5,1,0),"Excl")</f>
        <v>Materials</v>
      </c>
      <c r="AA1038" s="7" t="str">
        <f>VLOOKUP(Q1038,Mapping!$E$11:$I$96,5,0)</f>
        <v>SCS</v>
      </c>
      <c r="AC1038" s="111">
        <v>144</v>
      </c>
      <c r="AD1038" s="111" t="s">
        <v>2154</v>
      </c>
      <c r="AE1038" s="111">
        <v>635001</v>
      </c>
      <c r="AF1038" s="111" t="s">
        <v>1929</v>
      </c>
      <c r="AG1038" s="112">
        <v>3.6891699999999998</v>
      </c>
      <c r="AI1038" s="7" t="str">
        <f>VLOOKUP($AC1038,Mapping!$E$11:$I$96,3,0)</f>
        <v>Replacement</v>
      </c>
      <c r="AJ1038" s="7" t="str">
        <f>VLOOKUP($AE1038,Mapping!$E$140:$K$2771,5,0)</f>
        <v>PNS MG</v>
      </c>
      <c r="AK1038" s="7" t="str">
        <f>VLOOKUP($AE1038,Mapping!$E$140:$K$2771,7,0)</f>
        <v>ENDirect</v>
      </c>
      <c r="AL1038" s="7" t="str">
        <f>IFERROR(HLOOKUP(AJ1038,'Calc|Weightings'!$K$5:$M$5,1,0),"Excl")</f>
        <v>Excl</v>
      </c>
      <c r="AM1038" s="7" t="str">
        <f>VLOOKUP(AC1038,Mapping!$E$11:$I$96,5,0)</f>
        <v>SCS</v>
      </c>
      <c r="AO1038" s="134">
        <v>146</v>
      </c>
      <c r="AP1038" s="135" t="s">
        <v>2156</v>
      </c>
      <c r="AQ1038" s="135">
        <v>613570</v>
      </c>
      <c r="AR1038" s="135" t="s">
        <v>1484</v>
      </c>
      <c r="AS1038" s="136">
        <v>0.97558999999999996</v>
      </c>
      <c r="AU1038" s="7" t="str">
        <f>VLOOKUP($AO1038,Mapping!$E$11:$I$96,3,0)</f>
        <v>Quoted Opex</v>
      </c>
      <c r="AV1038" s="7" t="str">
        <f>VLOOKUP($AQ1038,Mapping!$E$140:$K$2771,5,0)</f>
        <v>Labour</v>
      </c>
      <c r="AW1038" s="7" t="str">
        <f>VLOOKUP($AQ1038,Mapping!$E$140:$K$2771,7,0)</f>
        <v>ENDirect</v>
      </c>
      <c r="AX1038" s="7" t="str">
        <f>IFERROR(HLOOKUP(AV1038,'Calc|Weightings'!$K$5:$M$5,1,0),"Excl")</f>
        <v>Labour</v>
      </c>
      <c r="AY1038" s="7" t="str">
        <f>VLOOKUP(AO1038,Mapping!$E$11:$I$96,5,0)</f>
        <v>Ancillary Network Services</v>
      </c>
    </row>
    <row r="1039" spans="1:51" x14ac:dyDescent="0.2">
      <c r="A1039" s="7"/>
      <c r="B1039" s="7"/>
      <c r="C1039" s="7"/>
      <c r="D1039" s="7"/>
      <c r="E1039" s="36">
        <v>142</v>
      </c>
      <c r="F1039" s="36" t="s">
        <v>2152</v>
      </c>
      <c r="G1039" s="36">
        <v>531468</v>
      </c>
      <c r="H1039" s="36" t="s">
        <v>260</v>
      </c>
      <c r="I1039" s="37">
        <v>8.6190200000000008</v>
      </c>
      <c r="J1039" s="7"/>
      <c r="K1039" s="7" t="str">
        <f>VLOOKUP($E1039,Mapping!$E$11:$I$96,3,0)</f>
        <v>Replacement</v>
      </c>
      <c r="L1039" s="7" t="str">
        <f>VLOOKUP($G1039,Mapping!$E$140:$K$2771,5,0)</f>
        <v>Contracts</v>
      </c>
      <c r="M1039" s="7" t="str">
        <f>VLOOKUP($G1039,Mapping!$E$140:$K$2771,7,0)</f>
        <v>ENDirect</v>
      </c>
      <c r="N1039" s="7" t="str">
        <f>IFERROR(HLOOKUP(L1039,'Calc|Weightings'!$K$5:$M$5,1,0),"Excl")</f>
        <v>Contracts</v>
      </c>
      <c r="O1039" s="7" t="str">
        <f>VLOOKUP(E1039,Mapping!$E$11:$I$96,5,0)</f>
        <v>SCS</v>
      </c>
      <c r="Q1039" s="33">
        <v>145</v>
      </c>
      <c r="R1039" s="33" t="s">
        <v>2155</v>
      </c>
      <c r="S1039" s="33">
        <v>523100</v>
      </c>
      <c r="T1039" s="33" t="s">
        <v>2074</v>
      </c>
      <c r="U1039" s="34">
        <v>0.36973</v>
      </c>
      <c r="V1039" s="7"/>
      <c r="W1039" s="7" t="str">
        <f>VLOOKUP($Q1039,Mapping!$E$11:$I$96,3,0)</f>
        <v>Replacement</v>
      </c>
      <c r="X1039" s="7" t="str">
        <f>VLOOKUP($S1039,Mapping!$E$140:$K$2771,5,0)</f>
        <v>Materials</v>
      </c>
      <c r="Y1039" s="7" t="str">
        <f>VLOOKUP($S1039,Mapping!$E$140:$K$2771,7,0)</f>
        <v>ENDirect</v>
      </c>
      <c r="Z1039" s="7" t="str">
        <f>IFERROR(HLOOKUP(X1039,'Calc|Weightings'!$K$5:$M$5,1,0),"Excl")</f>
        <v>Materials</v>
      </c>
      <c r="AA1039" s="7" t="str">
        <f>VLOOKUP(Q1039,Mapping!$E$11:$I$96,5,0)</f>
        <v>SCS</v>
      </c>
      <c r="AC1039" s="111">
        <v>144</v>
      </c>
      <c r="AD1039" s="111" t="s">
        <v>2154</v>
      </c>
      <c r="AE1039" s="111">
        <v>636001</v>
      </c>
      <c r="AF1039" s="111" t="s">
        <v>2111</v>
      </c>
      <c r="AG1039" s="112">
        <v>11.019019999999999</v>
      </c>
      <c r="AI1039" s="7" t="str">
        <f>VLOOKUP($AC1039,Mapping!$E$11:$I$96,3,0)</f>
        <v>Replacement</v>
      </c>
      <c r="AJ1039" s="7" t="str">
        <f>VLOOKUP($AE1039,Mapping!$E$140:$K$2771,5,0)</f>
        <v>System Control OH</v>
      </c>
      <c r="AK1039" s="7" t="str">
        <f>VLOOKUP($AE1039,Mapping!$E$140:$K$2771,7,0)</f>
        <v>OH</v>
      </c>
      <c r="AL1039" s="7" t="str">
        <f>IFERROR(HLOOKUP(AJ1039,'Calc|Weightings'!$K$5:$M$5,1,0),"Excl")</f>
        <v>Excl</v>
      </c>
      <c r="AM1039" s="7" t="str">
        <f>VLOOKUP(AC1039,Mapping!$E$11:$I$96,5,0)</f>
        <v>SCS</v>
      </c>
      <c r="AO1039" s="134">
        <v>146</v>
      </c>
      <c r="AP1039" s="135" t="s">
        <v>2156</v>
      </c>
      <c r="AQ1039" s="135">
        <v>613571</v>
      </c>
      <c r="AR1039" s="135" t="s">
        <v>1485</v>
      </c>
      <c r="AS1039" s="136">
        <v>2.3009300000000001</v>
      </c>
      <c r="AU1039" s="7" t="str">
        <f>VLOOKUP($AO1039,Mapping!$E$11:$I$96,3,0)</f>
        <v>Quoted Opex</v>
      </c>
      <c r="AV1039" s="7" t="str">
        <f>VLOOKUP($AQ1039,Mapping!$E$140:$K$2771,5,0)</f>
        <v>Labour</v>
      </c>
      <c r="AW1039" s="7" t="str">
        <f>VLOOKUP($AQ1039,Mapping!$E$140:$K$2771,7,0)</f>
        <v>ENDirect</v>
      </c>
      <c r="AX1039" s="7" t="str">
        <f>IFERROR(HLOOKUP(AV1039,'Calc|Weightings'!$K$5:$M$5,1,0),"Excl")</f>
        <v>Labour</v>
      </c>
      <c r="AY1039" s="7" t="str">
        <f>VLOOKUP(AO1039,Mapping!$E$11:$I$96,5,0)</f>
        <v>Ancillary Network Services</v>
      </c>
    </row>
    <row r="1040" spans="1:51" x14ac:dyDescent="0.2">
      <c r="A1040" s="7"/>
      <c r="B1040" s="7"/>
      <c r="C1040" s="7"/>
      <c r="D1040" s="7"/>
      <c r="E1040" s="36">
        <v>142</v>
      </c>
      <c r="F1040" s="36" t="s">
        <v>2152</v>
      </c>
      <c r="G1040" s="36">
        <v>531480</v>
      </c>
      <c r="H1040" s="36" t="s">
        <v>2076</v>
      </c>
      <c r="I1040" s="37">
        <v>0.21504000000000001</v>
      </c>
      <c r="J1040" s="7"/>
      <c r="K1040" s="7" t="str">
        <f>VLOOKUP($E1040,Mapping!$E$11:$I$96,3,0)</f>
        <v>Replacement</v>
      </c>
      <c r="L1040" s="7" t="str">
        <f>VLOOKUP($G1040,Mapping!$E$140:$K$2771,5,0)</f>
        <v>Labour</v>
      </c>
      <c r="M1040" s="7" t="str">
        <f>VLOOKUP($G1040,Mapping!$E$140:$K$2771,7,0)</f>
        <v>ENDirect</v>
      </c>
      <c r="N1040" s="7" t="str">
        <f>IFERROR(HLOOKUP(L1040,'Calc|Weightings'!$K$5:$M$5,1,0),"Excl")</f>
        <v>Labour</v>
      </c>
      <c r="O1040" s="7" t="str">
        <f>VLOOKUP(E1040,Mapping!$E$11:$I$96,5,0)</f>
        <v>SCS</v>
      </c>
      <c r="Q1040" s="33">
        <v>145</v>
      </c>
      <c r="R1040" s="33" t="s">
        <v>2155</v>
      </c>
      <c r="S1040" s="33">
        <v>531464</v>
      </c>
      <c r="T1040" s="33" t="s">
        <v>256</v>
      </c>
      <c r="U1040" s="34">
        <v>4.1134899999999996</v>
      </c>
      <c r="V1040" s="7"/>
      <c r="W1040" s="7" t="str">
        <f>VLOOKUP($Q1040,Mapping!$E$11:$I$96,3,0)</f>
        <v>Replacement</v>
      </c>
      <c r="X1040" s="7" t="str">
        <f>VLOOKUP($S1040,Mapping!$E$140:$K$2771,5,0)</f>
        <v>Contracts</v>
      </c>
      <c r="Y1040" s="7" t="str">
        <f>VLOOKUP($S1040,Mapping!$E$140:$K$2771,7,0)</f>
        <v>ENDirect</v>
      </c>
      <c r="Z1040" s="7" t="str">
        <f>IFERROR(HLOOKUP(X1040,'Calc|Weightings'!$K$5:$M$5,1,0),"Excl")</f>
        <v>Contracts</v>
      </c>
      <c r="AA1040" s="7" t="str">
        <f>VLOOKUP(Q1040,Mapping!$E$11:$I$96,5,0)</f>
        <v>SCS</v>
      </c>
      <c r="AC1040" s="111">
        <v>144</v>
      </c>
      <c r="AD1040" s="111" t="s">
        <v>2154</v>
      </c>
      <c r="AE1040" s="111">
        <v>639000</v>
      </c>
      <c r="AF1040" s="111" t="s">
        <v>2112</v>
      </c>
      <c r="AG1040" s="112">
        <v>6.9157200000000003</v>
      </c>
      <c r="AI1040" s="7" t="str">
        <f>VLOOKUP($AC1040,Mapping!$E$11:$I$96,3,0)</f>
        <v>Replacement</v>
      </c>
      <c r="AJ1040" s="7" t="str">
        <f>VLOOKUP($AE1040,Mapping!$E$140:$K$2771,5,0)</f>
        <v>PNS Corporate OH</v>
      </c>
      <c r="AK1040" s="7" t="str">
        <f>VLOOKUP($AE1040,Mapping!$E$140:$K$2771,7,0)</f>
        <v>OH</v>
      </c>
      <c r="AL1040" s="7" t="str">
        <f>IFERROR(HLOOKUP(AJ1040,'Calc|Weightings'!$K$5:$M$5,1,0),"Excl")</f>
        <v>Excl</v>
      </c>
      <c r="AM1040" s="7" t="str">
        <f>VLOOKUP(AC1040,Mapping!$E$11:$I$96,5,0)</f>
        <v>SCS</v>
      </c>
      <c r="AO1040" s="134">
        <v>146</v>
      </c>
      <c r="AP1040" s="135" t="s">
        <v>2156</v>
      </c>
      <c r="AQ1040" s="135">
        <v>613574</v>
      </c>
      <c r="AR1040" s="135" t="s">
        <v>1488</v>
      </c>
      <c r="AS1040" s="136">
        <v>10.882160000000001</v>
      </c>
      <c r="AU1040" s="7" t="str">
        <f>VLOOKUP($AO1040,Mapping!$E$11:$I$96,3,0)</f>
        <v>Quoted Opex</v>
      </c>
      <c r="AV1040" s="7" t="str">
        <f>VLOOKUP($AQ1040,Mapping!$E$140:$K$2771,5,0)</f>
        <v>Labour</v>
      </c>
      <c r="AW1040" s="7" t="str">
        <f>VLOOKUP($AQ1040,Mapping!$E$140:$K$2771,7,0)</f>
        <v>ENDirect</v>
      </c>
      <c r="AX1040" s="7" t="str">
        <f>IFERROR(HLOOKUP(AV1040,'Calc|Weightings'!$K$5:$M$5,1,0),"Excl")</f>
        <v>Labour</v>
      </c>
      <c r="AY1040" s="7" t="str">
        <f>VLOOKUP(AO1040,Mapping!$E$11:$I$96,5,0)</f>
        <v>Ancillary Network Services</v>
      </c>
    </row>
    <row r="1041" spans="1:51" x14ac:dyDescent="0.2">
      <c r="A1041" s="7"/>
      <c r="B1041" s="7"/>
      <c r="C1041" s="7"/>
      <c r="D1041" s="7"/>
      <c r="E1041" s="36">
        <v>142</v>
      </c>
      <c r="F1041" s="36" t="s">
        <v>2152</v>
      </c>
      <c r="G1041" s="36">
        <v>531485</v>
      </c>
      <c r="H1041" s="36" t="s">
        <v>2350</v>
      </c>
      <c r="I1041" s="37">
        <v>-1.07836</v>
      </c>
      <c r="J1041" s="7"/>
      <c r="K1041" s="7" t="str">
        <f>VLOOKUP($E1041,Mapping!$E$11:$I$96,3,0)</f>
        <v>Replacement</v>
      </c>
      <c r="L1041" s="7" t="str">
        <f>VLOOKUP($G1041,Mapping!$E$140:$K$2771,5,0)</f>
        <v>Contracts</v>
      </c>
      <c r="M1041" s="7" t="str">
        <f>VLOOKUP($G1041,Mapping!$E$140:$K$2771,7,0)</f>
        <v>ENDirect</v>
      </c>
      <c r="N1041" s="7" t="str">
        <f>IFERROR(HLOOKUP(L1041,'Calc|Weightings'!$K$5:$M$5,1,0),"Excl")</f>
        <v>Contracts</v>
      </c>
      <c r="O1041" s="7" t="str">
        <f>VLOOKUP(E1041,Mapping!$E$11:$I$96,5,0)</f>
        <v>SCS</v>
      </c>
      <c r="Q1041" s="33">
        <v>145</v>
      </c>
      <c r="R1041" s="33" t="s">
        <v>2155</v>
      </c>
      <c r="S1041" s="33">
        <v>531466</v>
      </c>
      <c r="T1041" s="33" t="s">
        <v>258</v>
      </c>
      <c r="U1041" s="34">
        <v>1.7809999999999999</v>
      </c>
      <c r="V1041" s="7"/>
      <c r="W1041" s="7" t="str">
        <f>VLOOKUP($Q1041,Mapping!$E$11:$I$96,3,0)</f>
        <v>Replacement</v>
      </c>
      <c r="X1041" s="7" t="str">
        <f>VLOOKUP($S1041,Mapping!$E$140:$K$2771,5,0)</f>
        <v>Contracts</v>
      </c>
      <c r="Y1041" s="7" t="str">
        <f>VLOOKUP($S1041,Mapping!$E$140:$K$2771,7,0)</f>
        <v>ENDirect</v>
      </c>
      <c r="Z1041" s="7" t="str">
        <f>IFERROR(HLOOKUP(X1041,'Calc|Weightings'!$K$5:$M$5,1,0),"Excl")</f>
        <v>Contracts</v>
      </c>
      <c r="AA1041" s="7" t="str">
        <f>VLOOKUP(Q1041,Mapping!$E$11:$I$96,5,0)</f>
        <v>SCS</v>
      </c>
      <c r="AC1041" s="111">
        <v>144</v>
      </c>
      <c r="AD1041" s="111" t="s">
        <v>2154</v>
      </c>
      <c r="AE1041" s="111">
        <v>639050</v>
      </c>
      <c r="AF1041" s="111" t="s">
        <v>2113</v>
      </c>
      <c r="AG1041" s="112">
        <v>0.60850000000000004</v>
      </c>
      <c r="AI1041" s="7" t="str">
        <f>VLOOKUP($AC1041,Mapping!$E$11:$I$96,3,0)</f>
        <v>Replacement</v>
      </c>
      <c r="AJ1041" s="7" t="str">
        <f>VLOOKUP($AE1041,Mapping!$E$140:$K$2771,5,0)</f>
        <v>PNS Fleet &amp; Property OH</v>
      </c>
      <c r="AK1041" s="7" t="str">
        <f>VLOOKUP($AE1041,Mapping!$E$140:$K$2771,7,0)</f>
        <v>OH</v>
      </c>
      <c r="AL1041" s="7" t="str">
        <f>IFERROR(HLOOKUP(AJ1041,'Calc|Weightings'!$K$5:$M$5,1,0),"Excl")</f>
        <v>Excl</v>
      </c>
      <c r="AM1041" s="7" t="str">
        <f>VLOOKUP(AC1041,Mapping!$E$11:$I$96,5,0)</f>
        <v>SCS</v>
      </c>
      <c r="AO1041" s="134">
        <v>146</v>
      </c>
      <c r="AP1041" s="135" t="s">
        <v>2156</v>
      </c>
      <c r="AQ1041" s="135">
        <v>613575</v>
      </c>
      <c r="AR1041" s="135" t="s">
        <v>1489</v>
      </c>
      <c r="AS1041" s="136">
        <v>3.4097300000000001</v>
      </c>
      <c r="AU1041" s="7" t="str">
        <f>VLOOKUP($AO1041,Mapping!$E$11:$I$96,3,0)</f>
        <v>Quoted Opex</v>
      </c>
      <c r="AV1041" s="7" t="str">
        <f>VLOOKUP($AQ1041,Mapping!$E$140:$K$2771,5,0)</f>
        <v>Labour</v>
      </c>
      <c r="AW1041" s="7" t="str">
        <f>VLOOKUP($AQ1041,Mapping!$E$140:$K$2771,7,0)</f>
        <v>ENDirect</v>
      </c>
      <c r="AX1041" s="7" t="str">
        <f>IFERROR(HLOOKUP(AV1041,'Calc|Weightings'!$K$5:$M$5,1,0),"Excl")</f>
        <v>Labour</v>
      </c>
      <c r="AY1041" s="7" t="str">
        <f>VLOOKUP(AO1041,Mapping!$E$11:$I$96,5,0)</f>
        <v>Ancillary Network Services</v>
      </c>
    </row>
    <row r="1042" spans="1:51" x14ac:dyDescent="0.2">
      <c r="A1042" s="7"/>
      <c r="B1042" s="7"/>
      <c r="C1042" s="7"/>
      <c r="D1042" s="7"/>
      <c r="E1042" s="36">
        <v>142</v>
      </c>
      <c r="F1042" s="36" t="s">
        <v>2152</v>
      </c>
      <c r="G1042" s="36">
        <v>531495</v>
      </c>
      <c r="H1042" s="36" t="s">
        <v>2353</v>
      </c>
      <c r="I1042" s="37">
        <v>0.88077000000000005</v>
      </c>
      <c r="J1042" s="7"/>
      <c r="K1042" s="7" t="str">
        <f>VLOOKUP($E1042,Mapping!$E$11:$I$96,3,0)</f>
        <v>Replacement</v>
      </c>
      <c r="L1042" s="7" t="str">
        <f>VLOOKUP($G1042,Mapping!$E$140:$K$2771,5,0)</f>
        <v>Contracts</v>
      </c>
      <c r="M1042" s="7" t="str">
        <f>VLOOKUP($G1042,Mapping!$E$140:$K$2771,7,0)</f>
        <v>ENDirect</v>
      </c>
      <c r="N1042" s="7" t="str">
        <f>IFERROR(HLOOKUP(L1042,'Calc|Weightings'!$K$5:$M$5,1,0),"Excl")</f>
        <v>Contracts</v>
      </c>
      <c r="O1042" s="7" t="str">
        <f>VLOOKUP(E1042,Mapping!$E$11:$I$96,5,0)</f>
        <v>SCS</v>
      </c>
      <c r="Q1042" s="33">
        <v>145</v>
      </c>
      <c r="R1042" s="33" t="s">
        <v>2155</v>
      </c>
      <c r="S1042" s="33">
        <v>531467</v>
      </c>
      <c r="T1042" s="33" t="s">
        <v>259</v>
      </c>
      <c r="U1042" s="34">
        <v>22.320869999999999</v>
      </c>
      <c r="V1042" s="7"/>
      <c r="W1042" s="7" t="str">
        <f>VLOOKUP($Q1042,Mapping!$E$11:$I$96,3,0)</f>
        <v>Replacement</v>
      </c>
      <c r="X1042" s="7" t="str">
        <f>VLOOKUP($S1042,Mapping!$E$140:$K$2771,5,0)</f>
        <v>Contracts</v>
      </c>
      <c r="Y1042" s="7" t="str">
        <f>VLOOKUP($S1042,Mapping!$E$140:$K$2771,7,0)</f>
        <v>ENDirect</v>
      </c>
      <c r="Z1042" s="7" t="str">
        <f>IFERROR(HLOOKUP(X1042,'Calc|Weightings'!$K$5:$M$5,1,0),"Excl")</f>
        <v>Contracts</v>
      </c>
      <c r="AA1042" s="7" t="str">
        <f>VLOOKUP(Q1042,Mapping!$E$11:$I$96,5,0)</f>
        <v>SCS</v>
      </c>
      <c r="AC1042" s="111">
        <v>145</v>
      </c>
      <c r="AD1042" s="111" t="s">
        <v>2155</v>
      </c>
      <c r="AE1042" s="111">
        <v>520100</v>
      </c>
      <c r="AF1042" s="111" t="s">
        <v>2072</v>
      </c>
      <c r="AG1042" s="112">
        <v>37.296799999999998</v>
      </c>
      <c r="AI1042" s="7" t="str">
        <f>VLOOKUP($AC1042,Mapping!$E$11:$I$96,3,0)</f>
        <v>Replacement</v>
      </c>
      <c r="AJ1042" s="7" t="str">
        <f>VLOOKUP($AE1042,Mapping!$E$140:$K$2771,5,0)</f>
        <v>Materials</v>
      </c>
      <c r="AK1042" s="7" t="str">
        <f>VLOOKUP($AE1042,Mapping!$E$140:$K$2771,7,0)</f>
        <v>ENDirect</v>
      </c>
      <c r="AL1042" s="7" t="str">
        <f>IFERROR(HLOOKUP(AJ1042,'Calc|Weightings'!$K$5:$M$5,1,0),"Excl")</f>
        <v>Materials</v>
      </c>
      <c r="AM1042" s="7" t="str">
        <f>VLOOKUP(AC1042,Mapping!$E$11:$I$96,5,0)</f>
        <v>SCS</v>
      </c>
      <c r="AO1042" s="134">
        <v>146</v>
      </c>
      <c r="AP1042" s="135" t="s">
        <v>2156</v>
      </c>
      <c r="AQ1042" s="135">
        <v>613680</v>
      </c>
      <c r="AR1042" s="135" t="s">
        <v>2107</v>
      </c>
      <c r="AS1042" s="136">
        <v>0.55071999999999999</v>
      </c>
      <c r="AU1042" s="7" t="str">
        <f>VLOOKUP($AO1042,Mapping!$E$11:$I$96,3,0)</f>
        <v>Quoted Opex</v>
      </c>
      <c r="AV1042" s="7" t="str">
        <f>VLOOKUP($AQ1042,Mapping!$E$140:$K$2771,5,0)</f>
        <v>Labour</v>
      </c>
      <c r="AW1042" s="7" t="str">
        <f>VLOOKUP($AQ1042,Mapping!$E$140:$K$2771,7,0)</f>
        <v>ENDirect</v>
      </c>
      <c r="AX1042" s="7" t="str">
        <f>IFERROR(HLOOKUP(AV1042,'Calc|Weightings'!$K$5:$M$5,1,0),"Excl")</f>
        <v>Labour</v>
      </c>
      <c r="AY1042" s="7" t="str">
        <f>VLOOKUP(AO1042,Mapping!$E$11:$I$96,5,0)</f>
        <v>Ancillary Network Services</v>
      </c>
    </row>
    <row r="1043" spans="1:51" x14ac:dyDescent="0.2">
      <c r="A1043" s="7"/>
      <c r="B1043" s="7"/>
      <c r="C1043" s="7"/>
      <c r="D1043" s="7"/>
      <c r="E1043" s="36">
        <v>142</v>
      </c>
      <c r="F1043" s="36" t="s">
        <v>2152</v>
      </c>
      <c r="G1043" s="36">
        <v>591200</v>
      </c>
      <c r="H1043" s="36" t="s">
        <v>398</v>
      </c>
      <c r="I1043" s="37">
        <v>0.1075</v>
      </c>
      <c r="J1043" s="7"/>
      <c r="K1043" s="7" t="str">
        <f>VLOOKUP($E1043,Mapping!$E$11:$I$96,3,0)</f>
        <v>Replacement</v>
      </c>
      <c r="L1043" s="7" t="str">
        <f>VLOOKUP($G1043,Mapping!$E$140:$K$2771,5,0)</f>
        <v>Contracts</v>
      </c>
      <c r="M1043" s="7" t="str">
        <f>VLOOKUP($G1043,Mapping!$E$140:$K$2771,7,0)</f>
        <v>ENDirect</v>
      </c>
      <c r="N1043" s="7" t="str">
        <f>IFERROR(HLOOKUP(L1043,'Calc|Weightings'!$K$5:$M$5,1,0),"Excl")</f>
        <v>Contracts</v>
      </c>
      <c r="O1043" s="7" t="str">
        <f>VLOOKUP(E1043,Mapping!$E$11:$I$96,5,0)</f>
        <v>SCS</v>
      </c>
      <c r="Q1043" s="33">
        <v>145</v>
      </c>
      <c r="R1043" s="33" t="s">
        <v>2155</v>
      </c>
      <c r="S1043" s="33">
        <v>531468</v>
      </c>
      <c r="T1043" s="33" t="s">
        <v>260</v>
      </c>
      <c r="U1043" s="34">
        <v>9.9837500000000006</v>
      </c>
      <c r="V1043" s="7"/>
      <c r="W1043" s="7" t="str">
        <f>VLOOKUP($Q1043,Mapping!$E$11:$I$96,3,0)</f>
        <v>Replacement</v>
      </c>
      <c r="X1043" s="7" t="str">
        <f>VLOOKUP($S1043,Mapping!$E$140:$K$2771,5,0)</f>
        <v>Contracts</v>
      </c>
      <c r="Y1043" s="7" t="str">
        <f>VLOOKUP($S1043,Mapping!$E$140:$K$2771,7,0)</f>
        <v>ENDirect</v>
      </c>
      <c r="Z1043" s="7" t="str">
        <f>IFERROR(HLOOKUP(X1043,'Calc|Weightings'!$K$5:$M$5,1,0),"Excl")</f>
        <v>Contracts</v>
      </c>
      <c r="AA1043" s="7" t="str">
        <f>VLOOKUP(Q1043,Mapping!$E$11:$I$96,5,0)</f>
        <v>SCS</v>
      </c>
      <c r="AC1043" s="111">
        <v>145</v>
      </c>
      <c r="AD1043" s="111" t="s">
        <v>2155</v>
      </c>
      <c r="AE1043" s="111">
        <v>523100</v>
      </c>
      <c r="AF1043" s="111" t="s">
        <v>2074</v>
      </c>
      <c r="AG1043" s="112">
        <v>0.13852999999999999</v>
      </c>
      <c r="AI1043" s="7" t="str">
        <f>VLOOKUP($AC1043,Mapping!$E$11:$I$96,3,0)</f>
        <v>Replacement</v>
      </c>
      <c r="AJ1043" s="7" t="str">
        <f>VLOOKUP($AE1043,Mapping!$E$140:$K$2771,5,0)</f>
        <v>Materials</v>
      </c>
      <c r="AK1043" s="7" t="str">
        <f>VLOOKUP($AE1043,Mapping!$E$140:$K$2771,7,0)</f>
        <v>ENDirect</v>
      </c>
      <c r="AL1043" s="7" t="str">
        <f>IFERROR(HLOOKUP(AJ1043,'Calc|Weightings'!$K$5:$M$5,1,0),"Excl")</f>
        <v>Materials</v>
      </c>
      <c r="AM1043" s="7" t="str">
        <f>VLOOKUP(AC1043,Mapping!$E$11:$I$96,5,0)</f>
        <v>SCS</v>
      </c>
      <c r="AO1043" s="134">
        <v>146</v>
      </c>
      <c r="AP1043" s="135" t="s">
        <v>2156</v>
      </c>
      <c r="AQ1043" s="135">
        <v>613800</v>
      </c>
      <c r="AR1043" s="135" t="s">
        <v>2142</v>
      </c>
      <c r="AS1043" s="136">
        <v>-1.24793</v>
      </c>
      <c r="AU1043" s="7" t="str">
        <f>VLOOKUP($AO1043,Mapping!$E$11:$I$96,3,0)</f>
        <v>Quoted Opex</v>
      </c>
      <c r="AV1043" s="7" t="str">
        <f>VLOOKUP($AQ1043,Mapping!$E$140:$K$2771,5,0)</f>
        <v>Materials</v>
      </c>
      <c r="AW1043" s="7" t="str">
        <f>VLOOKUP($AQ1043,Mapping!$E$140:$K$2771,7,0)</f>
        <v>ENDirect</v>
      </c>
      <c r="AX1043" s="7" t="str">
        <f>IFERROR(HLOOKUP(AV1043,'Calc|Weightings'!$K$5:$M$5,1,0),"Excl")</f>
        <v>Materials</v>
      </c>
      <c r="AY1043" s="7" t="str">
        <f>VLOOKUP(AO1043,Mapping!$E$11:$I$96,5,0)</f>
        <v>Ancillary Network Services</v>
      </c>
    </row>
    <row r="1044" spans="1:51" x14ac:dyDescent="0.2">
      <c r="A1044" s="7"/>
      <c r="B1044" s="7"/>
      <c r="C1044" s="7"/>
      <c r="D1044" s="7"/>
      <c r="E1044" s="36">
        <v>142</v>
      </c>
      <c r="F1044" s="36" t="s">
        <v>2152</v>
      </c>
      <c r="G1044" s="36">
        <v>611860</v>
      </c>
      <c r="H1044" s="36" t="s">
        <v>2125</v>
      </c>
      <c r="I1044" s="37">
        <v>-28.711539999999999</v>
      </c>
      <c r="J1044" s="7"/>
      <c r="K1044" s="7" t="str">
        <f>VLOOKUP($E1044,Mapping!$E$11:$I$96,3,0)</f>
        <v>Replacement</v>
      </c>
      <c r="L1044" s="7" t="str">
        <f>VLOOKUP($G1044,Mapping!$E$140:$K$2771,5,0)</f>
        <v>Labour</v>
      </c>
      <c r="M1044" s="7" t="str">
        <f>VLOOKUP($G1044,Mapping!$E$140:$K$2771,7,0)</f>
        <v>ENDirect</v>
      </c>
      <c r="N1044" s="7" t="str">
        <f>IFERROR(HLOOKUP(L1044,'Calc|Weightings'!$K$5:$M$5,1,0),"Excl")</f>
        <v>Labour</v>
      </c>
      <c r="O1044" s="7" t="str">
        <f>VLOOKUP(E1044,Mapping!$E$11:$I$96,5,0)</f>
        <v>SCS</v>
      </c>
      <c r="Q1044" s="33">
        <v>145</v>
      </c>
      <c r="R1044" s="33" t="s">
        <v>2155</v>
      </c>
      <c r="S1044" s="33">
        <v>591997</v>
      </c>
      <c r="T1044" s="33" t="s">
        <v>399</v>
      </c>
      <c r="U1044" s="34">
        <v>-0.71633999999999998</v>
      </c>
      <c r="V1044" s="7"/>
      <c r="W1044" s="7" t="str">
        <f>VLOOKUP($Q1044,Mapping!$E$11:$I$96,3,0)</f>
        <v>Replacement</v>
      </c>
      <c r="X1044" s="7" t="str">
        <f>VLOOKUP($S1044,Mapping!$E$140:$K$2771,5,0)</f>
        <v>Contracts</v>
      </c>
      <c r="Y1044" s="7" t="str">
        <f>VLOOKUP($S1044,Mapping!$E$140:$K$2771,7,0)</f>
        <v>ENDirect</v>
      </c>
      <c r="Z1044" s="7" t="str">
        <f>IFERROR(HLOOKUP(X1044,'Calc|Weightings'!$K$5:$M$5,1,0),"Excl")</f>
        <v>Contracts</v>
      </c>
      <c r="AA1044" s="7" t="str">
        <f>VLOOKUP(Q1044,Mapping!$E$11:$I$96,5,0)</f>
        <v>SCS</v>
      </c>
      <c r="AC1044" s="111">
        <v>145</v>
      </c>
      <c r="AD1044" s="111" t="s">
        <v>2155</v>
      </c>
      <c r="AE1044" s="111">
        <v>531464</v>
      </c>
      <c r="AF1044" s="111" t="s">
        <v>256</v>
      </c>
      <c r="AG1044" s="112">
        <v>65.962440000000001</v>
      </c>
      <c r="AI1044" s="7" t="str">
        <f>VLOOKUP($AC1044,Mapping!$E$11:$I$96,3,0)</f>
        <v>Replacement</v>
      </c>
      <c r="AJ1044" s="7" t="str">
        <f>VLOOKUP($AE1044,Mapping!$E$140:$K$2771,5,0)</f>
        <v>Contracts</v>
      </c>
      <c r="AK1044" s="7" t="str">
        <f>VLOOKUP($AE1044,Mapping!$E$140:$K$2771,7,0)</f>
        <v>ENDirect</v>
      </c>
      <c r="AL1044" s="7" t="str">
        <f>IFERROR(HLOOKUP(AJ1044,'Calc|Weightings'!$K$5:$M$5,1,0),"Excl")</f>
        <v>Contracts</v>
      </c>
      <c r="AM1044" s="7" t="str">
        <f>VLOOKUP(AC1044,Mapping!$E$11:$I$96,5,0)</f>
        <v>SCS</v>
      </c>
      <c r="AO1044" s="134">
        <v>146</v>
      </c>
      <c r="AP1044" s="135" t="s">
        <v>2156</v>
      </c>
      <c r="AQ1044" s="135">
        <v>634001</v>
      </c>
      <c r="AR1044" s="135" t="s">
        <v>2110</v>
      </c>
      <c r="AS1044" s="136">
        <v>34.601320000000001</v>
      </c>
      <c r="AU1044" s="7" t="str">
        <f>VLOOKUP($AO1044,Mapping!$E$11:$I$96,3,0)</f>
        <v>Quoted Opex</v>
      </c>
      <c r="AV1044" s="7" t="str">
        <f>VLOOKUP($AQ1044,Mapping!$E$140:$K$2771,5,0)</f>
        <v>Local OH</v>
      </c>
      <c r="AW1044" s="7" t="str">
        <f>VLOOKUP($AQ1044,Mapping!$E$140:$K$2771,7,0)</f>
        <v>OH</v>
      </c>
      <c r="AX1044" s="7" t="str">
        <f>IFERROR(HLOOKUP(AV1044,'Calc|Weightings'!$K$5:$M$5,1,0),"Excl")</f>
        <v>Excl</v>
      </c>
      <c r="AY1044" s="7" t="str">
        <f>VLOOKUP(AO1044,Mapping!$E$11:$I$96,5,0)</f>
        <v>Ancillary Network Services</v>
      </c>
    </row>
    <row r="1045" spans="1:51" x14ac:dyDescent="0.2">
      <c r="A1045" s="7"/>
      <c r="B1045" s="7"/>
      <c r="C1045" s="7"/>
      <c r="D1045" s="7"/>
      <c r="E1045" s="36">
        <v>142</v>
      </c>
      <c r="F1045" s="36" t="s">
        <v>2152</v>
      </c>
      <c r="G1045" s="36">
        <v>611861</v>
      </c>
      <c r="H1045" s="36" t="s">
        <v>2140</v>
      </c>
      <c r="I1045" s="37">
        <v>-42.449809999999999</v>
      </c>
      <c r="J1045" s="7"/>
      <c r="K1045" s="7" t="str">
        <f>VLOOKUP($E1045,Mapping!$E$11:$I$96,3,0)</f>
        <v>Replacement</v>
      </c>
      <c r="L1045" s="7" t="str">
        <f>VLOOKUP($G1045,Mapping!$E$140:$K$2771,5,0)</f>
        <v>Labour</v>
      </c>
      <c r="M1045" s="7" t="str">
        <f>VLOOKUP($G1045,Mapping!$E$140:$K$2771,7,0)</f>
        <v>ENDirect</v>
      </c>
      <c r="N1045" s="7" t="str">
        <f>IFERROR(HLOOKUP(L1045,'Calc|Weightings'!$K$5:$M$5,1,0),"Excl")</f>
        <v>Labour</v>
      </c>
      <c r="O1045" s="7" t="str">
        <f>VLOOKUP(E1045,Mapping!$E$11:$I$96,5,0)</f>
        <v>SCS</v>
      </c>
      <c r="Q1045" s="33">
        <v>145</v>
      </c>
      <c r="R1045" s="33" t="s">
        <v>2155</v>
      </c>
      <c r="S1045" s="33">
        <v>591999</v>
      </c>
      <c r="T1045" s="33" t="s">
        <v>2078</v>
      </c>
      <c r="U1045" s="34">
        <v>-9.0974500000000003</v>
      </c>
      <c r="V1045" s="7"/>
      <c r="W1045" s="7" t="str">
        <f>VLOOKUP($Q1045,Mapping!$E$11:$I$96,3,0)</f>
        <v>Replacement</v>
      </c>
      <c r="X1045" s="7" t="str">
        <f>VLOOKUP($S1045,Mapping!$E$140:$K$2771,5,0)</f>
        <v>Contracts</v>
      </c>
      <c r="Y1045" s="7" t="str">
        <f>VLOOKUP($S1045,Mapping!$E$140:$K$2771,7,0)</f>
        <v>ENDirect</v>
      </c>
      <c r="Z1045" s="7" t="str">
        <f>IFERROR(HLOOKUP(X1045,'Calc|Weightings'!$K$5:$M$5,1,0),"Excl")</f>
        <v>Contracts</v>
      </c>
      <c r="AA1045" s="7" t="str">
        <f>VLOOKUP(Q1045,Mapping!$E$11:$I$96,5,0)</f>
        <v>SCS</v>
      </c>
      <c r="AC1045" s="111">
        <v>145</v>
      </c>
      <c r="AD1045" s="111" t="s">
        <v>2155</v>
      </c>
      <c r="AE1045" s="111">
        <v>531466</v>
      </c>
      <c r="AF1045" s="111" t="s">
        <v>258</v>
      </c>
      <c r="AG1045" s="112">
        <v>1.25726</v>
      </c>
      <c r="AI1045" s="7" t="str">
        <f>VLOOKUP($AC1045,Mapping!$E$11:$I$96,3,0)</f>
        <v>Replacement</v>
      </c>
      <c r="AJ1045" s="7" t="str">
        <f>VLOOKUP($AE1045,Mapping!$E$140:$K$2771,5,0)</f>
        <v>Contracts</v>
      </c>
      <c r="AK1045" s="7" t="str">
        <f>VLOOKUP($AE1045,Mapping!$E$140:$K$2771,7,0)</f>
        <v>ENDirect</v>
      </c>
      <c r="AL1045" s="7" t="str">
        <f>IFERROR(HLOOKUP(AJ1045,'Calc|Weightings'!$K$5:$M$5,1,0),"Excl")</f>
        <v>Contracts</v>
      </c>
      <c r="AM1045" s="7" t="str">
        <f>VLOOKUP(AC1045,Mapping!$E$11:$I$96,5,0)</f>
        <v>SCS</v>
      </c>
      <c r="AO1045" s="134">
        <v>146</v>
      </c>
      <c r="AP1045" s="135" t="s">
        <v>2156</v>
      </c>
      <c r="AQ1045" s="135">
        <v>635001</v>
      </c>
      <c r="AR1045" s="135" t="s">
        <v>1929</v>
      </c>
      <c r="AS1045" s="136">
        <v>29.47289</v>
      </c>
      <c r="AU1045" s="7" t="str">
        <f>VLOOKUP($AO1045,Mapping!$E$11:$I$96,3,0)</f>
        <v>Quoted Opex</v>
      </c>
      <c r="AV1045" s="7" t="str">
        <f>VLOOKUP($AQ1045,Mapping!$E$140:$K$2771,5,0)</f>
        <v>PNS MG</v>
      </c>
      <c r="AW1045" s="7" t="str">
        <f>VLOOKUP($AQ1045,Mapping!$E$140:$K$2771,7,0)</f>
        <v>ENDirect</v>
      </c>
      <c r="AX1045" s="7" t="str">
        <f>IFERROR(HLOOKUP(AV1045,'Calc|Weightings'!$K$5:$M$5,1,0),"Excl")</f>
        <v>Excl</v>
      </c>
      <c r="AY1045" s="7" t="str">
        <f>VLOOKUP(AO1045,Mapping!$E$11:$I$96,5,0)</f>
        <v>Ancillary Network Services</v>
      </c>
    </row>
    <row r="1046" spans="1:51" x14ac:dyDescent="0.2">
      <c r="A1046" s="7"/>
      <c r="B1046" s="7"/>
      <c r="C1046" s="7"/>
      <c r="D1046" s="7"/>
      <c r="E1046" s="36">
        <v>142</v>
      </c>
      <c r="F1046" s="36" t="s">
        <v>2152</v>
      </c>
      <c r="G1046" s="36">
        <v>611900</v>
      </c>
      <c r="H1046" s="36" t="s">
        <v>2079</v>
      </c>
      <c r="I1046" s="37">
        <v>0.48998000000000003</v>
      </c>
      <c r="J1046" s="7"/>
      <c r="K1046" s="7" t="str">
        <f>VLOOKUP($E1046,Mapping!$E$11:$I$96,3,0)</f>
        <v>Replacement</v>
      </c>
      <c r="L1046" s="7" t="str">
        <f>VLOOKUP($G1046,Mapping!$E$140:$K$2771,5,0)</f>
        <v>Contracts</v>
      </c>
      <c r="M1046" s="7" t="str">
        <f>VLOOKUP($G1046,Mapping!$E$140:$K$2771,7,0)</f>
        <v>ENDirect</v>
      </c>
      <c r="N1046" s="7" t="str">
        <f>IFERROR(HLOOKUP(L1046,'Calc|Weightings'!$K$5:$M$5,1,0),"Excl")</f>
        <v>Contracts</v>
      </c>
      <c r="O1046" s="7" t="str">
        <f>VLOOKUP(E1046,Mapping!$E$11:$I$96,5,0)</f>
        <v>SCS</v>
      </c>
      <c r="Q1046" s="33">
        <v>145</v>
      </c>
      <c r="R1046" s="33" t="s">
        <v>2155</v>
      </c>
      <c r="S1046" s="33">
        <v>611860</v>
      </c>
      <c r="T1046" s="33" t="s">
        <v>2125</v>
      </c>
      <c r="U1046" s="34">
        <v>6.0394100000000002</v>
      </c>
      <c r="V1046" s="7"/>
      <c r="W1046" s="7" t="str">
        <f>VLOOKUP($Q1046,Mapping!$E$11:$I$96,3,0)</f>
        <v>Replacement</v>
      </c>
      <c r="X1046" s="7" t="str">
        <f>VLOOKUP($S1046,Mapping!$E$140:$K$2771,5,0)</f>
        <v>Labour</v>
      </c>
      <c r="Y1046" s="7" t="str">
        <f>VLOOKUP($S1046,Mapping!$E$140:$K$2771,7,0)</f>
        <v>ENDirect</v>
      </c>
      <c r="Z1046" s="7" t="str">
        <f>IFERROR(HLOOKUP(X1046,'Calc|Weightings'!$K$5:$M$5,1,0),"Excl")</f>
        <v>Labour</v>
      </c>
      <c r="AA1046" s="7" t="str">
        <f>VLOOKUP(Q1046,Mapping!$E$11:$I$96,5,0)</f>
        <v>SCS</v>
      </c>
      <c r="AC1046" s="111">
        <v>145</v>
      </c>
      <c r="AD1046" s="111" t="s">
        <v>2155</v>
      </c>
      <c r="AE1046" s="111">
        <v>531467</v>
      </c>
      <c r="AF1046" s="111" t="s">
        <v>259</v>
      </c>
      <c r="AG1046" s="112">
        <v>27.686640000000001</v>
      </c>
      <c r="AI1046" s="7" t="str">
        <f>VLOOKUP($AC1046,Mapping!$E$11:$I$96,3,0)</f>
        <v>Replacement</v>
      </c>
      <c r="AJ1046" s="7" t="str">
        <f>VLOOKUP($AE1046,Mapping!$E$140:$K$2771,5,0)</f>
        <v>Contracts</v>
      </c>
      <c r="AK1046" s="7" t="str">
        <f>VLOOKUP($AE1046,Mapping!$E$140:$K$2771,7,0)</f>
        <v>ENDirect</v>
      </c>
      <c r="AL1046" s="7" t="str">
        <f>IFERROR(HLOOKUP(AJ1046,'Calc|Weightings'!$K$5:$M$5,1,0),"Excl")</f>
        <v>Contracts</v>
      </c>
      <c r="AM1046" s="7" t="str">
        <f>VLOOKUP(AC1046,Mapping!$E$11:$I$96,5,0)</f>
        <v>SCS</v>
      </c>
      <c r="AO1046" s="134">
        <v>146</v>
      </c>
      <c r="AP1046" s="135" t="s">
        <v>2156</v>
      </c>
      <c r="AQ1046" s="135">
        <v>636001</v>
      </c>
      <c r="AR1046" s="135" t="s">
        <v>2111</v>
      </c>
      <c r="AS1046" s="136">
        <v>22.896529999999998</v>
      </c>
      <c r="AU1046" s="7" t="str">
        <f>VLOOKUP($AO1046,Mapping!$E$11:$I$96,3,0)</f>
        <v>Quoted Opex</v>
      </c>
      <c r="AV1046" s="7" t="str">
        <f>VLOOKUP($AQ1046,Mapping!$E$140:$K$2771,5,0)</f>
        <v>System Control OH</v>
      </c>
      <c r="AW1046" s="7" t="str">
        <f>VLOOKUP($AQ1046,Mapping!$E$140:$K$2771,7,0)</f>
        <v>OH</v>
      </c>
      <c r="AX1046" s="7" t="str">
        <f>IFERROR(HLOOKUP(AV1046,'Calc|Weightings'!$K$5:$M$5,1,0),"Excl")</f>
        <v>Excl</v>
      </c>
      <c r="AY1046" s="7" t="str">
        <f>VLOOKUP(AO1046,Mapping!$E$11:$I$96,5,0)</f>
        <v>Ancillary Network Services</v>
      </c>
    </row>
    <row r="1047" spans="1:51" x14ac:dyDescent="0.2">
      <c r="A1047" s="7"/>
      <c r="B1047" s="7"/>
      <c r="C1047" s="7"/>
      <c r="D1047" s="7"/>
      <c r="E1047" s="36">
        <v>142</v>
      </c>
      <c r="F1047" s="36" t="s">
        <v>2152</v>
      </c>
      <c r="G1047" s="36">
        <v>611901</v>
      </c>
      <c r="H1047" s="36" t="s">
        <v>2080</v>
      </c>
      <c r="I1047" s="37">
        <v>-1.9123300000000001</v>
      </c>
      <c r="J1047" s="7"/>
      <c r="K1047" s="7" t="str">
        <f>VLOOKUP($E1047,Mapping!$E$11:$I$96,3,0)</f>
        <v>Replacement</v>
      </c>
      <c r="L1047" s="7" t="str">
        <f>VLOOKUP($G1047,Mapping!$E$140:$K$2771,5,0)</f>
        <v>Contracts</v>
      </c>
      <c r="M1047" s="7" t="str">
        <f>VLOOKUP($G1047,Mapping!$E$140:$K$2771,7,0)</f>
        <v>ENDirect</v>
      </c>
      <c r="N1047" s="7" t="str">
        <f>IFERROR(HLOOKUP(L1047,'Calc|Weightings'!$K$5:$M$5,1,0),"Excl")</f>
        <v>Contracts</v>
      </c>
      <c r="O1047" s="7" t="str">
        <f>VLOOKUP(E1047,Mapping!$E$11:$I$96,5,0)</f>
        <v>SCS</v>
      </c>
      <c r="Q1047" s="33">
        <v>145</v>
      </c>
      <c r="R1047" s="33" t="s">
        <v>2155</v>
      </c>
      <c r="S1047" s="33">
        <v>611861</v>
      </c>
      <c r="T1047" s="33" t="s">
        <v>2140</v>
      </c>
      <c r="U1047" s="34">
        <v>15.39377</v>
      </c>
      <c r="V1047" s="7"/>
      <c r="W1047" s="7" t="str">
        <f>VLOOKUP($Q1047,Mapping!$E$11:$I$96,3,0)</f>
        <v>Replacement</v>
      </c>
      <c r="X1047" s="7" t="str">
        <f>VLOOKUP($S1047,Mapping!$E$140:$K$2771,5,0)</f>
        <v>Labour</v>
      </c>
      <c r="Y1047" s="7" t="str">
        <f>VLOOKUP($S1047,Mapping!$E$140:$K$2771,7,0)</f>
        <v>ENDirect</v>
      </c>
      <c r="Z1047" s="7" t="str">
        <f>IFERROR(HLOOKUP(X1047,'Calc|Weightings'!$K$5:$M$5,1,0),"Excl")</f>
        <v>Labour</v>
      </c>
      <c r="AA1047" s="7" t="str">
        <f>VLOOKUP(Q1047,Mapping!$E$11:$I$96,5,0)</f>
        <v>SCS</v>
      </c>
      <c r="AC1047" s="111">
        <v>145</v>
      </c>
      <c r="AD1047" s="111" t="s">
        <v>2155</v>
      </c>
      <c r="AE1047" s="111">
        <v>531468</v>
      </c>
      <c r="AF1047" s="111" t="s">
        <v>260</v>
      </c>
      <c r="AG1047" s="112">
        <v>34.066809999999997</v>
      </c>
      <c r="AI1047" s="7" t="str">
        <f>VLOOKUP($AC1047,Mapping!$E$11:$I$96,3,0)</f>
        <v>Replacement</v>
      </c>
      <c r="AJ1047" s="7" t="str">
        <f>VLOOKUP($AE1047,Mapping!$E$140:$K$2771,5,0)</f>
        <v>Contracts</v>
      </c>
      <c r="AK1047" s="7" t="str">
        <f>VLOOKUP($AE1047,Mapping!$E$140:$K$2771,7,0)</f>
        <v>ENDirect</v>
      </c>
      <c r="AL1047" s="7" t="str">
        <f>IFERROR(HLOOKUP(AJ1047,'Calc|Weightings'!$K$5:$M$5,1,0),"Excl")</f>
        <v>Contracts</v>
      </c>
      <c r="AM1047" s="7" t="str">
        <f>VLOOKUP(AC1047,Mapping!$E$11:$I$96,5,0)</f>
        <v>SCS</v>
      </c>
      <c r="AO1047" s="134">
        <v>146</v>
      </c>
      <c r="AP1047" s="135" t="s">
        <v>2156</v>
      </c>
      <c r="AQ1047" s="135">
        <v>639000</v>
      </c>
      <c r="AR1047" s="135" t="s">
        <v>2112</v>
      </c>
      <c r="AS1047" s="136">
        <v>23.474260000000001</v>
      </c>
      <c r="AU1047" s="7" t="str">
        <f>VLOOKUP($AO1047,Mapping!$E$11:$I$96,3,0)</f>
        <v>Quoted Opex</v>
      </c>
      <c r="AV1047" s="7" t="str">
        <f>VLOOKUP($AQ1047,Mapping!$E$140:$K$2771,5,0)</f>
        <v>PNS Corporate OH</v>
      </c>
      <c r="AW1047" s="7" t="str">
        <f>VLOOKUP($AQ1047,Mapping!$E$140:$K$2771,7,0)</f>
        <v>OH</v>
      </c>
      <c r="AX1047" s="7" t="str">
        <f>IFERROR(HLOOKUP(AV1047,'Calc|Weightings'!$K$5:$M$5,1,0),"Excl")</f>
        <v>Excl</v>
      </c>
      <c r="AY1047" s="7" t="str">
        <f>VLOOKUP(AO1047,Mapping!$E$11:$I$96,5,0)</f>
        <v>Ancillary Network Services</v>
      </c>
    </row>
    <row r="1048" spans="1:51" x14ac:dyDescent="0.2">
      <c r="A1048" s="7"/>
      <c r="B1048" s="7"/>
      <c r="C1048" s="7"/>
      <c r="D1048" s="7"/>
      <c r="E1048" s="36">
        <v>142</v>
      </c>
      <c r="F1048" s="36" t="s">
        <v>2152</v>
      </c>
      <c r="G1048" s="36">
        <v>612210</v>
      </c>
      <c r="H1048" s="36" t="s">
        <v>1184</v>
      </c>
      <c r="I1048" s="37">
        <v>18.33221</v>
      </c>
      <c r="J1048" s="7"/>
      <c r="K1048" s="7" t="str">
        <f>VLOOKUP($E1048,Mapping!$E$11:$I$96,3,0)</f>
        <v>Replacement</v>
      </c>
      <c r="L1048" s="7" t="str">
        <f>VLOOKUP($G1048,Mapping!$E$140:$K$2771,5,0)</f>
        <v>Labour</v>
      </c>
      <c r="M1048" s="7" t="str">
        <f>VLOOKUP($G1048,Mapping!$E$140:$K$2771,7,0)</f>
        <v>ENDirect</v>
      </c>
      <c r="N1048" s="7" t="str">
        <f>IFERROR(HLOOKUP(L1048,'Calc|Weightings'!$K$5:$M$5,1,0),"Excl")</f>
        <v>Labour</v>
      </c>
      <c r="O1048" s="7" t="str">
        <f>VLOOKUP(E1048,Mapping!$E$11:$I$96,5,0)</f>
        <v>SCS</v>
      </c>
      <c r="Q1048" s="33">
        <v>145</v>
      </c>
      <c r="R1048" s="33" t="s">
        <v>2155</v>
      </c>
      <c r="S1048" s="33">
        <v>611900</v>
      </c>
      <c r="T1048" s="33" t="s">
        <v>2079</v>
      </c>
      <c r="U1048" s="34">
        <v>0.93352999999999997</v>
      </c>
      <c r="V1048" s="7"/>
      <c r="W1048" s="7" t="str">
        <f>VLOOKUP($Q1048,Mapping!$E$11:$I$96,3,0)</f>
        <v>Replacement</v>
      </c>
      <c r="X1048" s="7" t="str">
        <f>VLOOKUP($S1048,Mapping!$E$140:$K$2771,5,0)</f>
        <v>Contracts</v>
      </c>
      <c r="Y1048" s="7" t="str">
        <f>VLOOKUP($S1048,Mapping!$E$140:$K$2771,7,0)</f>
        <v>ENDirect</v>
      </c>
      <c r="Z1048" s="7" t="str">
        <f>IFERROR(HLOOKUP(X1048,'Calc|Weightings'!$K$5:$M$5,1,0),"Excl")</f>
        <v>Contracts</v>
      </c>
      <c r="AA1048" s="7" t="str">
        <f>VLOOKUP(Q1048,Mapping!$E$11:$I$96,5,0)</f>
        <v>SCS</v>
      </c>
      <c r="AC1048" s="111">
        <v>145</v>
      </c>
      <c r="AD1048" s="111" t="s">
        <v>2155</v>
      </c>
      <c r="AE1048" s="111">
        <v>532200</v>
      </c>
      <c r="AF1048" s="111" t="s">
        <v>291</v>
      </c>
      <c r="AG1048" s="112">
        <v>0.92813000000000001</v>
      </c>
      <c r="AI1048" s="7" t="str">
        <f>VLOOKUP($AC1048,Mapping!$E$11:$I$96,3,0)</f>
        <v>Replacement</v>
      </c>
      <c r="AJ1048" s="7" t="str">
        <f>VLOOKUP($AE1048,Mapping!$E$140:$K$2771,5,0)</f>
        <v>Contracts</v>
      </c>
      <c r="AK1048" s="7" t="str">
        <f>VLOOKUP($AE1048,Mapping!$E$140:$K$2771,7,0)</f>
        <v>ENDirect</v>
      </c>
      <c r="AL1048" s="7" t="str">
        <f>IFERROR(HLOOKUP(AJ1048,'Calc|Weightings'!$K$5:$M$5,1,0),"Excl")</f>
        <v>Contracts</v>
      </c>
      <c r="AM1048" s="7" t="str">
        <f>VLOOKUP(AC1048,Mapping!$E$11:$I$96,5,0)</f>
        <v>SCS</v>
      </c>
      <c r="AO1048" s="134">
        <v>146</v>
      </c>
      <c r="AP1048" s="135" t="s">
        <v>2156</v>
      </c>
      <c r="AQ1048" s="135">
        <v>639050</v>
      </c>
      <c r="AR1048" s="135" t="s">
        <v>2113</v>
      </c>
      <c r="AS1048" s="136">
        <v>6.5882699999999996</v>
      </c>
      <c r="AU1048" s="7" t="str">
        <f>VLOOKUP($AO1048,Mapping!$E$11:$I$96,3,0)</f>
        <v>Quoted Opex</v>
      </c>
      <c r="AV1048" s="7" t="str">
        <f>VLOOKUP($AQ1048,Mapping!$E$140:$K$2771,5,0)</f>
        <v>PNS Fleet &amp; Property OH</v>
      </c>
      <c r="AW1048" s="7" t="str">
        <f>VLOOKUP($AQ1048,Mapping!$E$140:$K$2771,7,0)</f>
        <v>OH</v>
      </c>
      <c r="AX1048" s="7" t="str">
        <f>IFERROR(HLOOKUP(AV1048,'Calc|Weightings'!$K$5:$M$5,1,0),"Excl")</f>
        <v>Excl</v>
      </c>
      <c r="AY1048" s="7" t="str">
        <f>VLOOKUP(AO1048,Mapping!$E$11:$I$96,5,0)</f>
        <v>Ancillary Network Services</v>
      </c>
    </row>
    <row r="1049" spans="1:51" x14ac:dyDescent="0.2">
      <c r="A1049" s="7"/>
      <c r="B1049" s="7"/>
      <c r="C1049" s="7"/>
      <c r="D1049" s="7"/>
      <c r="E1049" s="36">
        <v>142</v>
      </c>
      <c r="F1049" s="36" t="s">
        <v>2152</v>
      </c>
      <c r="G1049" s="36">
        <v>612462</v>
      </c>
      <c r="H1049" s="36" t="s">
        <v>1244</v>
      </c>
      <c r="I1049" s="37">
        <v>-2.5749200000000001</v>
      </c>
      <c r="J1049" s="7"/>
      <c r="K1049" s="7" t="str">
        <f>VLOOKUP($E1049,Mapping!$E$11:$I$96,3,0)</f>
        <v>Replacement</v>
      </c>
      <c r="L1049" s="7" t="str">
        <f>VLOOKUP($G1049,Mapping!$E$140:$K$2771,5,0)</f>
        <v>Labour</v>
      </c>
      <c r="M1049" s="7" t="str">
        <f>VLOOKUP($G1049,Mapping!$E$140:$K$2771,7,0)</f>
        <v>ENDirect</v>
      </c>
      <c r="N1049" s="7" t="str">
        <f>IFERROR(HLOOKUP(L1049,'Calc|Weightings'!$K$5:$M$5,1,0),"Excl")</f>
        <v>Labour</v>
      </c>
      <c r="O1049" s="7" t="str">
        <f>VLOOKUP(E1049,Mapping!$E$11:$I$96,5,0)</f>
        <v>SCS</v>
      </c>
      <c r="Q1049" s="33">
        <v>145</v>
      </c>
      <c r="R1049" s="33" t="s">
        <v>2155</v>
      </c>
      <c r="S1049" s="33">
        <v>611901</v>
      </c>
      <c r="T1049" s="33" t="s">
        <v>2080</v>
      </c>
      <c r="U1049" s="34">
        <v>0.62680000000000002</v>
      </c>
      <c r="V1049" s="7"/>
      <c r="W1049" s="7" t="str">
        <f>VLOOKUP($Q1049,Mapping!$E$11:$I$96,3,0)</f>
        <v>Replacement</v>
      </c>
      <c r="X1049" s="7" t="str">
        <f>VLOOKUP($S1049,Mapping!$E$140:$K$2771,5,0)</f>
        <v>Contracts</v>
      </c>
      <c r="Y1049" s="7" t="str">
        <f>VLOOKUP($S1049,Mapping!$E$140:$K$2771,7,0)</f>
        <v>ENDirect</v>
      </c>
      <c r="Z1049" s="7" t="str">
        <f>IFERROR(HLOOKUP(X1049,'Calc|Weightings'!$K$5:$M$5,1,0),"Excl")</f>
        <v>Contracts</v>
      </c>
      <c r="AA1049" s="7" t="str">
        <f>VLOOKUP(Q1049,Mapping!$E$11:$I$96,5,0)</f>
        <v>SCS</v>
      </c>
      <c r="AC1049" s="111">
        <v>145</v>
      </c>
      <c r="AD1049" s="111" t="s">
        <v>2155</v>
      </c>
      <c r="AE1049" s="111">
        <v>591999</v>
      </c>
      <c r="AF1049" s="111" t="s">
        <v>2195</v>
      </c>
      <c r="AG1049" s="112">
        <v>-17.062200000000001</v>
      </c>
      <c r="AI1049" s="7" t="str">
        <f>VLOOKUP($AC1049,Mapping!$E$11:$I$96,3,0)</f>
        <v>Replacement</v>
      </c>
      <c r="AJ1049" s="7" t="str">
        <f>VLOOKUP($AE1049,Mapping!$E$140:$K$2771,5,0)</f>
        <v>Contracts</v>
      </c>
      <c r="AK1049" s="7" t="str">
        <f>VLOOKUP($AE1049,Mapping!$E$140:$K$2771,7,0)</f>
        <v>ENDirect</v>
      </c>
      <c r="AL1049" s="7" t="str">
        <f>IFERROR(HLOOKUP(AJ1049,'Calc|Weightings'!$K$5:$M$5,1,0),"Excl")</f>
        <v>Contracts</v>
      </c>
      <c r="AM1049" s="7" t="str">
        <f>VLOOKUP(AC1049,Mapping!$E$11:$I$96,5,0)</f>
        <v>SCS</v>
      </c>
      <c r="AO1049" s="134">
        <v>147</v>
      </c>
      <c r="AP1049" s="135" t="s">
        <v>2157</v>
      </c>
      <c r="AQ1049" s="135">
        <v>531030</v>
      </c>
      <c r="AR1049" s="135" t="s">
        <v>243</v>
      </c>
      <c r="AS1049" s="136">
        <v>265.512</v>
      </c>
      <c r="AU1049" s="7" t="str">
        <f>VLOOKUP($AO1049,Mapping!$E$11:$I$96,3,0)</f>
        <v>Replacement</v>
      </c>
      <c r="AV1049" s="7" t="str">
        <f>VLOOKUP($AQ1049,Mapping!$E$140:$K$2771,5,0)</f>
        <v>Contracts</v>
      </c>
      <c r="AW1049" s="7" t="str">
        <f>VLOOKUP($AQ1049,Mapping!$E$140:$K$2771,7,0)</f>
        <v>ENDirect</v>
      </c>
      <c r="AX1049" s="7" t="str">
        <f>IFERROR(HLOOKUP(AV1049,'Calc|Weightings'!$K$5:$M$5,1,0),"Excl")</f>
        <v>Contracts</v>
      </c>
      <c r="AY1049" s="7" t="s">
        <v>2372</v>
      </c>
    </row>
    <row r="1050" spans="1:51" x14ac:dyDescent="0.2">
      <c r="A1050" s="7"/>
      <c r="B1050" s="7"/>
      <c r="C1050" s="7"/>
      <c r="D1050" s="7"/>
      <c r="E1050" s="36">
        <v>142</v>
      </c>
      <c r="F1050" s="36" t="s">
        <v>2152</v>
      </c>
      <c r="G1050" s="36">
        <v>613248</v>
      </c>
      <c r="H1050" s="36" t="s">
        <v>2383</v>
      </c>
      <c r="I1050" s="37">
        <v>27.882560000000002</v>
      </c>
      <c r="J1050" s="7"/>
      <c r="K1050" s="7" t="str">
        <f>VLOOKUP($E1050,Mapping!$E$11:$I$96,3,0)</f>
        <v>Replacement</v>
      </c>
      <c r="L1050" s="7" t="str">
        <f>VLOOKUP($G1050,Mapping!$E$140:$K$2771,5,0)</f>
        <v>Labour</v>
      </c>
      <c r="M1050" s="7" t="str">
        <f>VLOOKUP($G1050,Mapping!$E$140:$K$2771,7,0)</f>
        <v>ENDirect</v>
      </c>
      <c r="N1050" s="7" t="str">
        <f>IFERROR(HLOOKUP(L1050,'Calc|Weightings'!$K$5:$M$5,1,0),"Excl")</f>
        <v>Labour</v>
      </c>
      <c r="O1050" s="7" t="str">
        <f>VLOOKUP(E1050,Mapping!$E$11:$I$96,5,0)</f>
        <v>SCS</v>
      </c>
      <c r="Q1050" s="33">
        <v>145</v>
      </c>
      <c r="R1050" s="33" t="s">
        <v>2155</v>
      </c>
      <c r="S1050" s="33">
        <v>611902</v>
      </c>
      <c r="T1050" s="33" t="s">
        <v>2081</v>
      </c>
      <c r="U1050" s="34">
        <v>7.5020000000000003E-2</v>
      </c>
      <c r="V1050" s="7"/>
      <c r="W1050" s="7" t="str">
        <f>VLOOKUP($Q1050,Mapping!$E$11:$I$96,3,0)</f>
        <v>Replacement</v>
      </c>
      <c r="X1050" s="7" t="str">
        <f>VLOOKUP($S1050,Mapping!$E$140:$K$2771,5,0)</f>
        <v>Contracts</v>
      </c>
      <c r="Y1050" s="7" t="str">
        <f>VLOOKUP($S1050,Mapping!$E$140:$K$2771,7,0)</f>
        <v>ENDirect</v>
      </c>
      <c r="Z1050" s="7" t="str">
        <f>IFERROR(HLOOKUP(X1050,'Calc|Weightings'!$K$5:$M$5,1,0),"Excl")</f>
        <v>Contracts</v>
      </c>
      <c r="AA1050" s="7" t="str">
        <f>VLOOKUP(Q1050,Mapping!$E$11:$I$96,5,0)</f>
        <v>SCS</v>
      </c>
      <c r="AC1050" s="111">
        <v>145</v>
      </c>
      <c r="AD1050" s="111" t="s">
        <v>2155</v>
      </c>
      <c r="AE1050" s="111">
        <v>611900</v>
      </c>
      <c r="AF1050" s="111" t="s">
        <v>2079</v>
      </c>
      <c r="AG1050" s="112">
        <v>0.80262</v>
      </c>
      <c r="AI1050" s="7" t="str">
        <f>VLOOKUP($AC1050,Mapping!$E$11:$I$96,3,0)</f>
        <v>Replacement</v>
      </c>
      <c r="AJ1050" s="7" t="str">
        <f>VLOOKUP($AE1050,Mapping!$E$140:$K$2771,5,0)</f>
        <v>Contracts</v>
      </c>
      <c r="AK1050" s="7" t="str">
        <f>VLOOKUP($AE1050,Mapping!$E$140:$K$2771,7,0)</f>
        <v>ENDirect</v>
      </c>
      <c r="AL1050" s="7" t="str">
        <f>IFERROR(HLOOKUP(AJ1050,'Calc|Weightings'!$K$5:$M$5,1,0),"Excl")</f>
        <v>Contracts</v>
      </c>
      <c r="AM1050" s="7" t="str">
        <f>VLOOKUP(AC1050,Mapping!$E$11:$I$96,5,0)</f>
        <v>SCS</v>
      </c>
      <c r="AO1050" s="134">
        <v>147</v>
      </c>
      <c r="AP1050" s="135" t="s">
        <v>2157</v>
      </c>
      <c r="AQ1050" s="135">
        <v>634001</v>
      </c>
      <c r="AR1050" s="135" t="s">
        <v>2110</v>
      </c>
      <c r="AS1050" s="136">
        <v>14.60843</v>
      </c>
      <c r="AU1050" s="7" t="str">
        <f>VLOOKUP($AO1050,Mapping!$E$11:$I$96,3,0)</f>
        <v>Replacement</v>
      </c>
      <c r="AV1050" s="7" t="str">
        <f>VLOOKUP($AQ1050,Mapping!$E$140:$K$2771,5,0)</f>
        <v>Local OH</v>
      </c>
      <c r="AW1050" s="7" t="str">
        <f>VLOOKUP($AQ1050,Mapping!$E$140:$K$2771,7,0)</f>
        <v>OH</v>
      </c>
      <c r="AX1050" s="7" t="str">
        <f>IFERROR(HLOOKUP(AV1050,'Calc|Weightings'!$K$5:$M$5,1,0),"Excl")</f>
        <v>Excl</v>
      </c>
      <c r="AY1050" s="7" t="s">
        <v>2372</v>
      </c>
    </row>
    <row r="1051" spans="1:51" x14ac:dyDescent="0.2">
      <c r="A1051" s="7"/>
      <c r="B1051" s="7"/>
      <c r="C1051" s="7"/>
      <c r="D1051" s="7"/>
      <c r="E1051" s="36">
        <v>142</v>
      </c>
      <c r="F1051" s="36" t="s">
        <v>2152</v>
      </c>
      <c r="G1051" s="36">
        <v>613249</v>
      </c>
      <c r="H1051" s="36" t="s">
        <v>2384</v>
      </c>
      <c r="I1051" s="37">
        <v>3.1255199999999999</v>
      </c>
      <c r="J1051" s="7"/>
      <c r="K1051" s="7" t="str">
        <f>VLOOKUP($E1051,Mapping!$E$11:$I$96,3,0)</f>
        <v>Replacement</v>
      </c>
      <c r="L1051" s="7" t="str">
        <f>VLOOKUP($G1051,Mapping!$E$140:$K$2771,5,0)</f>
        <v>Labour</v>
      </c>
      <c r="M1051" s="7" t="str">
        <f>VLOOKUP($G1051,Mapping!$E$140:$K$2771,7,0)</f>
        <v>ENDirect</v>
      </c>
      <c r="N1051" s="7" t="str">
        <f>IFERROR(HLOOKUP(L1051,'Calc|Weightings'!$K$5:$M$5,1,0),"Excl")</f>
        <v>Labour</v>
      </c>
      <c r="O1051" s="7" t="str">
        <f>VLOOKUP(E1051,Mapping!$E$11:$I$96,5,0)</f>
        <v>SCS</v>
      </c>
      <c r="Q1051" s="33">
        <v>145</v>
      </c>
      <c r="R1051" s="33" t="s">
        <v>2155</v>
      </c>
      <c r="S1051" s="33">
        <v>612210</v>
      </c>
      <c r="T1051" s="33" t="s">
        <v>1184</v>
      </c>
      <c r="U1051" s="34">
        <v>5.8540000000000002E-2</v>
      </c>
      <c r="V1051" s="7"/>
      <c r="W1051" s="7" t="str">
        <f>VLOOKUP($Q1051,Mapping!$E$11:$I$96,3,0)</f>
        <v>Replacement</v>
      </c>
      <c r="X1051" s="7" t="str">
        <f>VLOOKUP($S1051,Mapping!$E$140:$K$2771,5,0)</f>
        <v>Labour</v>
      </c>
      <c r="Y1051" s="7" t="str">
        <f>VLOOKUP($S1051,Mapping!$E$140:$K$2771,7,0)</f>
        <v>ENDirect</v>
      </c>
      <c r="Z1051" s="7" t="str">
        <f>IFERROR(HLOOKUP(X1051,'Calc|Weightings'!$K$5:$M$5,1,0),"Excl")</f>
        <v>Labour</v>
      </c>
      <c r="AA1051" s="7" t="str">
        <f>VLOOKUP(Q1051,Mapping!$E$11:$I$96,5,0)</f>
        <v>SCS</v>
      </c>
      <c r="AC1051" s="111">
        <v>145</v>
      </c>
      <c r="AD1051" s="111" t="s">
        <v>2155</v>
      </c>
      <c r="AE1051" s="111">
        <v>611901</v>
      </c>
      <c r="AF1051" s="111" t="s">
        <v>2080</v>
      </c>
      <c r="AG1051" s="112">
        <v>1.5423800000000001</v>
      </c>
      <c r="AI1051" s="7" t="str">
        <f>VLOOKUP($AC1051,Mapping!$E$11:$I$96,3,0)</f>
        <v>Replacement</v>
      </c>
      <c r="AJ1051" s="7" t="str">
        <f>VLOOKUP($AE1051,Mapping!$E$140:$K$2771,5,0)</f>
        <v>Contracts</v>
      </c>
      <c r="AK1051" s="7" t="str">
        <f>VLOOKUP($AE1051,Mapping!$E$140:$K$2771,7,0)</f>
        <v>ENDirect</v>
      </c>
      <c r="AL1051" s="7" t="str">
        <f>IFERROR(HLOOKUP(AJ1051,'Calc|Weightings'!$K$5:$M$5,1,0),"Excl")</f>
        <v>Contracts</v>
      </c>
      <c r="AM1051" s="7" t="str">
        <f>VLOOKUP(AC1051,Mapping!$E$11:$I$96,5,0)</f>
        <v>SCS</v>
      </c>
      <c r="AO1051" s="134">
        <v>147</v>
      </c>
      <c r="AP1051" s="135" t="s">
        <v>2157</v>
      </c>
      <c r="AQ1051" s="135">
        <v>636001</v>
      </c>
      <c r="AR1051" s="135" t="s">
        <v>2111</v>
      </c>
      <c r="AS1051" s="136">
        <v>9.7213899999999995</v>
      </c>
      <c r="AU1051" s="7" t="str">
        <f>VLOOKUP($AO1051,Mapping!$E$11:$I$96,3,0)</f>
        <v>Replacement</v>
      </c>
      <c r="AV1051" s="7" t="str">
        <f>VLOOKUP($AQ1051,Mapping!$E$140:$K$2771,5,0)</f>
        <v>System Control OH</v>
      </c>
      <c r="AW1051" s="7" t="str">
        <f>VLOOKUP($AQ1051,Mapping!$E$140:$K$2771,7,0)</f>
        <v>OH</v>
      </c>
      <c r="AX1051" s="7" t="str">
        <f>IFERROR(HLOOKUP(AV1051,'Calc|Weightings'!$K$5:$M$5,1,0),"Excl")</f>
        <v>Excl</v>
      </c>
      <c r="AY1051" s="7" t="s">
        <v>2372</v>
      </c>
    </row>
    <row r="1052" spans="1:51" x14ac:dyDescent="0.2">
      <c r="A1052" s="7"/>
      <c r="B1052" s="7"/>
      <c r="C1052" s="7"/>
      <c r="D1052" s="7"/>
      <c r="E1052" s="36">
        <v>142</v>
      </c>
      <c r="F1052" s="36" t="s">
        <v>2152</v>
      </c>
      <c r="G1052" s="36">
        <v>613250</v>
      </c>
      <c r="H1052" s="36" t="s">
        <v>2086</v>
      </c>
      <c r="I1052" s="37">
        <v>0.22367999999999999</v>
      </c>
      <c r="J1052" s="7"/>
      <c r="K1052" s="7" t="str">
        <f>VLOOKUP($E1052,Mapping!$E$11:$I$96,3,0)</f>
        <v>Replacement</v>
      </c>
      <c r="L1052" s="7" t="str">
        <f>VLOOKUP($G1052,Mapping!$E$140:$K$2771,5,0)</f>
        <v>Labour</v>
      </c>
      <c r="M1052" s="7" t="str">
        <f>VLOOKUP($G1052,Mapping!$E$140:$K$2771,7,0)</f>
        <v>ENDirect</v>
      </c>
      <c r="N1052" s="7" t="str">
        <f>IFERROR(HLOOKUP(L1052,'Calc|Weightings'!$K$5:$M$5,1,0),"Excl")</f>
        <v>Labour</v>
      </c>
      <c r="O1052" s="7" t="str">
        <f>VLOOKUP(E1052,Mapping!$E$11:$I$96,5,0)</f>
        <v>SCS</v>
      </c>
      <c r="Q1052" s="33">
        <v>145</v>
      </c>
      <c r="R1052" s="33" t="s">
        <v>2155</v>
      </c>
      <c r="S1052" s="33">
        <v>613240</v>
      </c>
      <c r="T1052" s="33" t="s">
        <v>2082</v>
      </c>
      <c r="U1052" s="34">
        <v>27.850010000000001</v>
      </c>
      <c r="V1052" s="7"/>
      <c r="W1052" s="7" t="str">
        <f>VLOOKUP($Q1052,Mapping!$E$11:$I$96,3,0)</f>
        <v>Replacement</v>
      </c>
      <c r="X1052" s="7" t="str">
        <f>VLOOKUP($S1052,Mapping!$E$140:$K$2771,5,0)</f>
        <v>Labour</v>
      </c>
      <c r="Y1052" s="7" t="str">
        <f>VLOOKUP($S1052,Mapping!$E$140:$K$2771,7,0)</f>
        <v>ENDirect</v>
      </c>
      <c r="Z1052" s="7" t="str">
        <f>IFERROR(HLOOKUP(X1052,'Calc|Weightings'!$K$5:$M$5,1,0),"Excl")</f>
        <v>Labour</v>
      </c>
      <c r="AA1052" s="7" t="str">
        <f>VLOOKUP(Q1052,Mapping!$E$11:$I$96,5,0)</f>
        <v>SCS</v>
      </c>
      <c r="AC1052" s="111">
        <v>145</v>
      </c>
      <c r="AD1052" s="111" t="s">
        <v>2155</v>
      </c>
      <c r="AE1052" s="111">
        <v>613240</v>
      </c>
      <c r="AF1052" s="111" t="s">
        <v>2082</v>
      </c>
      <c r="AG1052" s="112">
        <v>31.97833</v>
      </c>
      <c r="AI1052" s="7" t="str">
        <f>VLOOKUP($AC1052,Mapping!$E$11:$I$96,3,0)</f>
        <v>Replacement</v>
      </c>
      <c r="AJ1052" s="7" t="str">
        <f>VLOOKUP($AE1052,Mapping!$E$140:$K$2771,5,0)</f>
        <v>Labour</v>
      </c>
      <c r="AK1052" s="7" t="str">
        <f>VLOOKUP($AE1052,Mapping!$E$140:$K$2771,7,0)</f>
        <v>ENDirect</v>
      </c>
      <c r="AL1052" s="7" t="str">
        <f>IFERROR(HLOOKUP(AJ1052,'Calc|Weightings'!$K$5:$M$5,1,0),"Excl")</f>
        <v>Labour</v>
      </c>
      <c r="AM1052" s="7" t="str">
        <f>VLOOKUP(AC1052,Mapping!$E$11:$I$96,5,0)</f>
        <v>SCS</v>
      </c>
      <c r="AO1052" s="134">
        <v>148</v>
      </c>
      <c r="AP1052" s="135" t="s">
        <v>2158</v>
      </c>
      <c r="AQ1052" s="135">
        <v>500810</v>
      </c>
      <c r="AR1052" s="135" t="s">
        <v>2071</v>
      </c>
      <c r="AS1052" s="136">
        <v>0.29799999999999999</v>
      </c>
      <c r="AU1052" s="7" t="str">
        <f>VLOOKUP($AO1052,Mapping!$E$11:$I$96,3,0)</f>
        <v>Replacement</v>
      </c>
      <c r="AV1052" s="7" t="str">
        <f>VLOOKUP($AQ1052,Mapping!$E$140:$K$2771,5,0)</f>
        <v>Labour</v>
      </c>
      <c r="AW1052" s="7" t="str">
        <f>VLOOKUP($AQ1052,Mapping!$E$140:$K$2771,7,0)</f>
        <v>ENDirect</v>
      </c>
      <c r="AX1052" s="7" t="str">
        <f>IFERROR(HLOOKUP(AV1052,'Calc|Weightings'!$K$5:$M$5,1,0),"Excl")</f>
        <v>Labour</v>
      </c>
      <c r="AY1052" s="7" t="str">
        <f>VLOOKUP(AO1052,Mapping!$E$11:$I$96,5,0)</f>
        <v>SCS</v>
      </c>
    </row>
    <row r="1053" spans="1:51" x14ac:dyDescent="0.2">
      <c r="A1053" s="7"/>
      <c r="B1053" s="7"/>
      <c r="C1053" s="7"/>
      <c r="D1053" s="7"/>
      <c r="E1053" s="36">
        <v>142</v>
      </c>
      <c r="F1053" s="36" t="s">
        <v>2152</v>
      </c>
      <c r="G1053" s="36">
        <v>613258</v>
      </c>
      <c r="H1053" s="36" t="s">
        <v>2356</v>
      </c>
      <c r="I1053" s="37">
        <v>10.13063</v>
      </c>
      <c r="J1053" s="7"/>
      <c r="K1053" s="7" t="str">
        <f>VLOOKUP($E1053,Mapping!$E$11:$I$96,3,0)</f>
        <v>Replacement</v>
      </c>
      <c r="L1053" s="7" t="str">
        <f>VLOOKUP($G1053,Mapping!$E$140:$K$2771,5,0)</f>
        <v>Labour</v>
      </c>
      <c r="M1053" s="7" t="str">
        <f>VLOOKUP($G1053,Mapping!$E$140:$K$2771,7,0)</f>
        <v>ENDirect</v>
      </c>
      <c r="N1053" s="7" t="str">
        <f>IFERROR(HLOOKUP(L1053,'Calc|Weightings'!$K$5:$M$5,1,0),"Excl")</f>
        <v>Labour</v>
      </c>
      <c r="O1053" s="7" t="str">
        <f>VLOOKUP(E1053,Mapping!$E$11:$I$96,5,0)</f>
        <v>SCS</v>
      </c>
      <c r="Q1053" s="33">
        <v>145</v>
      </c>
      <c r="R1053" s="33" t="s">
        <v>2155</v>
      </c>
      <c r="S1053" s="33">
        <v>613241</v>
      </c>
      <c r="T1053" s="33" t="s">
        <v>2083</v>
      </c>
      <c r="U1053" s="34">
        <v>9.87974</v>
      </c>
      <c r="V1053" s="7"/>
      <c r="W1053" s="7" t="str">
        <f>VLOOKUP($Q1053,Mapping!$E$11:$I$96,3,0)</f>
        <v>Replacement</v>
      </c>
      <c r="X1053" s="7" t="str">
        <f>VLOOKUP($S1053,Mapping!$E$140:$K$2771,5,0)</f>
        <v>Labour</v>
      </c>
      <c r="Y1053" s="7" t="str">
        <f>VLOOKUP($S1053,Mapping!$E$140:$K$2771,7,0)</f>
        <v>ENDirect</v>
      </c>
      <c r="Z1053" s="7" t="str">
        <f>IFERROR(HLOOKUP(X1053,'Calc|Weightings'!$K$5:$M$5,1,0),"Excl")</f>
        <v>Labour</v>
      </c>
      <c r="AA1053" s="7" t="str">
        <f>VLOOKUP(Q1053,Mapping!$E$11:$I$96,5,0)</f>
        <v>SCS</v>
      </c>
      <c r="AC1053" s="111">
        <v>145</v>
      </c>
      <c r="AD1053" s="111" t="s">
        <v>2155</v>
      </c>
      <c r="AE1053" s="111">
        <v>613241</v>
      </c>
      <c r="AF1053" s="111" t="s">
        <v>2083</v>
      </c>
      <c r="AG1053" s="112">
        <v>3.91323</v>
      </c>
      <c r="AI1053" s="7" t="str">
        <f>VLOOKUP($AC1053,Mapping!$E$11:$I$96,3,0)</f>
        <v>Replacement</v>
      </c>
      <c r="AJ1053" s="7" t="str">
        <f>VLOOKUP($AE1053,Mapping!$E$140:$K$2771,5,0)</f>
        <v>Labour</v>
      </c>
      <c r="AK1053" s="7" t="str">
        <f>VLOOKUP($AE1053,Mapping!$E$140:$K$2771,7,0)</f>
        <v>ENDirect</v>
      </c>
      <c r="AL1053" s="7" t="str">
        <f>IFERROR(HLOOKUP(AJ1053,'Calc|Weightings'!$K$5:$M$5,1,0),"Excl")</f>
        <v>Labour</v>
      </c>
      <c r="AM1053" s="7" t="str">
        <f>VLOOKUP(AC1053,Mapping!$E$11:$I$96,5,0)</f>
        <v>SCS</v>
      </c>
      <c r="AO1053" s="134">
        <v>148</v>
      </c>
      <c r="AP1053" s="135" t="s">
        <v>2158</v>
      </c>
      <c r="AQ1053" s="135">
        <v>503191</v>
      </c>
      <c r="AR1053" s="135" t="s">
        <v>159</v>
      </c>
      <c r="AS1053" s="136">
        <v>2.6679400000000002</v>
      </c>
      <c r="AU1053" s="7" t="str">
        <f>VLOOKUP($AO1053,Mapping!$E$11:$I$96,3,0)</f>
        <v>Replacement</v>
      </c>
      <c r="AV1053" s="7" t="str">
        <f>VLOOKUP($AQ1053,Mapping!$E$140:$K$2771,5,0)</f>
        <v>Contracts</v>
      </c>
      <c r="AW1053" s="7" t="str">
        <f>VLOOKUP($AQ1053,Mapping!$E$140:$K$2771,7,0)</f>
        <v>ENDirect</v>
      </c>
      <c r="AX1053" s="7" t="str">
        <f>IFERROR(HLOOKUP(AV1053,'Calc|Weightings'!$K$5:$M$5,1,0),"Excl")</f>
        <v>Contracts</v>
      </c>
      <c r="AY1053" s="7" t="str">
        <f>VLOOKUP(AO1053,Mapping!$E$11:$I$96,5,0)</f>
        <v>SCS</v>
      </c>
    </row>
    <row r="1054" spans="1:51" x14ac:dyDescent="0.2">
      <c r="A1054" s="7"/>
      <c r="B1054" s="7"/>
      <c r="C1054" s="7"/>
      <c r="D1054" s="7"/>
      <c r="E1054" s="36">
        <v>142</v>
      </c>
      <c r="F1054" s="36" t="s">
        <v>2152</v>
      </c>
      <c r="G1054" s="36">
        <v>613259</v>
      </c>
      <c r="H1054" s="36" t="s">
        <v>2359</v>
      </c>
      <c r="I1054" s="37">
        <v>0.23433000000000001</v>
      </c>
      <c r="J1054" s="7"/>
      <c r="K1054" s="7" t="str">
        <f>VLOOKUP($E1054,Mapping!$E$11:$I$96,3,0)</f>
        <v>Replacement</v>
      </c>
      <c r="L1054" s="7" t="str">
        <f>VLOOKUP($G1054,Mapping!$E$140:$K$2771,5,0)</f>
        <v>Labour</v>
      </c>
      <c r="M1054" s="7" t="str">
        <f>VLOOKUP($G1054,Mapping!$E$140:$K$2771,7,0)</f>
        <v>ENDirect</v>
      </c>
      <c r="N1054" s="7" t="str">
        <f>IFERROR(HLOOKUP(L1054,'Calc|Weightings'!$K$5:$M$5,1,0),"Excl")</f>
        <v>Labour</v>
      </c>
      <c r="O1054" s="7" t="str">
        <f>VLOOKUP(E1054,Mapping!$E$11:$I$96,5,0)</f>
        <v>SCS</v>
      </c>
      <c r="Q1054" s="33">
        <v>145</v>
      </c>
      <c r="R1054" s="33" t="s">
        <v>2155</v>
      </c>
      <c r="S1054" s="33">
        <v>613250</v>
      </c>
      <c r="T1054" s="33" t="s">
        <v>2086</v>
      </c>
      <c r="U1054" s="34">
        <v>51.865789999999997</v>
      </c>
      <c r="V1054" s="7"/>
      <c r="W1054" s="7" t="str">
        <f>VLOOKUP($Q1054,Mapping!$E$11:$I$96,3,0)</f>
        <v>Replacement</v>
      </c>
      <c r="X1054" s="7" t="str">
        <f>VLOOKUP($S1054,Mapping!$E$140:$K$2771,5,0)</f>
        <v>Labour</v>
      </c>
      <c r="Y1054" s="7" t="str">
        <f>VLOOKUP($S1054,Mapping!$E$140:$K$2771,7,0)</f>
        <v>ENDirect</v>
      </c>
      <c r="Z1054" s="7" t="str">
        <f>IFERROR(HLOOKUP(X1054,'Calc|Weightings'!$K$5:$M$5,1,0),"Excl")</f>
        <v>Labour</v>
      </c>
      <c r="AA1054" s="7" t="str">
        <f>VLOOKUP(Q1054,Mapping!$E$11:$I$96,5,0)</f>
        <v>SCS</v>
      </c>
      <c r="AC1054" s="111">
        <v>145</v>
      </c>
      <c r="AD1054" s="111" t="s">
        <v>2155</v>
      </c>
      <c r="AE1054" s="111">
        <v>613250</v>
      </c>
      <c r="AF1054" s="111" t="s">
        <v>2086</v>
      </c>
      <c r="AG1054" s="112">
        <v>73.082300000000004</v>
      </c>
      <c r="AI1054" s="7" t="str">
        <f>VLOOKUP($AC1054,Mapping!$E$11:$I$96,3,0)</f>
        <v>Replacement</v>
      </c>
      <c r="AJ1054" s="7" t="str">
        <f>VLOOKUP($AE1054,Mapping!$E$140:$K$2771,5,0)</f>
        <v>Labour</v>
      </c>
      <c r="AK1054" s="7" t="str">
        <f>VLOOKUP($AE1054,Mapping!$E$140:$K$2771,7,0)</f>
        <v>ENDirect</v>
      </c>
      <c r="AL1054" s="7" t="str">
        <f>IFERROR(HLOOKUP(AJ1054,'Calc|Weightings'!$K$5:$M$5,1,0),"Excl")</f>
        <v>Labour</v>
      </c>
      <c r="AM1054" s="7" t="str">
        <f>VLOOKUP(AC1054,Mapping!$E$11:$I$96,5,0)</f>
        <v>SCS</v>
      </c>
      <c r="AO1054" s="134">
        <v>148</v>
      </c>
      <c r="AP1054" s="135" t="s">
        <v>2158</v>
      </c>
      <c r="AQ1054" s="135">
        <v>531030</v>
      </c>
      <c r="AR1054" s="135" t="s">
        <v>243</v>
      </c>
      <c r="AS1054" s="136">
        <v>1290.8963000000001</v>
      </c>
      <c r="AU1054" s="7" t="str">
        <f>VLOOKUP($AO1054,Mapping!$E$11:$I$96,3,0)</f>
        <v>Replacement</v>
      </c>
      <c r="AV1054" s="7" t="str">
        <f>VLOOKUP($AQ1054,Mapping!$E$140:$K$2771,5,0)</f>
        <v>Contracts</v>
      </c>
      <c r="AW1054" s="7" t="str">
        <f>VLOOKUP($AQ1054,Mapping!$E$140:$K$2771,7,0)</f>
        <v>ENDirect</v>
      </c>
      <c r="AX1054" s="7" t="str">
        <f>IFERROR(HLOOKUP(AV1054,'Calc|Weightings'!$K$5:$M$5,1,0),"Excl")</f>
        <v>Contracts</v>
      </c>
      <c r="AY1054" s="7" t="str">
        <f>VLOOKUP(AO1054,Mapping!$E$11:$I$96,5,0)</f>
        <v>SCS</v>
      </c>
    </row>
    <row r="1055" spans="1:51" x14ac:dyDescent="0.2">
      <c r="A1055" s="7"/>
      <c r="B1055" s="7"/>
      <c r="C1055" s="7"/>
      <c r="D1055" s="7"/>
      <c r="E1055" s="36">
        <v>142</v>
      </c>
      <c r="F1055" s="36" t="s">
        <v>2152</v>
      </c>
      <c r="G1055" s="36">
        <v>613268</v>
      </c>
      <c r="H1055" s="36" t="s">
        <v>1335</v>
      </c>
      <c r="I1055" s="37">
        <v>0.13025999999999999</v>
      </c>
      <c r="J1055" s="7"/>
      <c r="K1055" s="7" t="str">
        <f>VLOOKUP($E1055,Mapping!$E$11:$I$96,3,0)</f>
        <v>Replacement</v>
      </c>
      <c r="L1055" s="7" t="str">
        <f>VLOOKUP($G1055,Mapping!$E$140:$K$2771,5,0)</f>
        <v>Labour</v>
      </c>
      <c r="M1055" s="7" t="str">
        <f>VLOOKUP($G1055,Mapping!$E$140:$K$2771,7,0)</f>
        <v>ENDirect</v>
      </c>
      <c r="N1055" s="7" t="str">
        <f>IFERROR(HLOOKUP(L1055,'Calc|Weightings'!$K$5:$M$5,1,0),"Excl")</f>
        <v>Labour</v>
      </c>
      <c r="O1055" s="7" t="str">
        <f>VLOOKUP(E1055,Mapping!$E$11:$I$96,5,0)</f>
        <v>SCS</v>
      </c>
      <c r="Q1055" s="33">
        <v>145</v>
      </c>
      <c r="R1055" s="33" t="s">
        <v>2155</v>
      </c>
      <c r="S1055" s="33">
        <v>613251</v>
      </c>
      <c r="T1055" s="33" t="s">
        <v>2087</v>
      </c>
      <c r="U1055" s="34">
        <v>19.365749999999998</v>
      </c>
      <c r="V1055" s="7"/>
      <c r="W1055" s="7" t="str">
        <f>VLOOKUP($Q1055,Mapping!$E$11:$I$96,3,0)</f>
        <v>Replacement</v>
      </c>
      <c r="X1055" s="7" t="str">
        <f>VLOOKUP($S1055,Mapping!$E$140:$K$2771,5,0)</f>
        <v>Labour</v>
      </c>
      <c r="Y1055" s="7" t="str">
        <f>VLOOKUP($S1055,Mapping!$E$140:$K$2771,7,0)</f>
        <v>ENDirect</v>
      </c>
      <c r="Z1055" s="7" t="str">
        <f>IFERROR(HLOOKUP(X1055,'Calc|Weightings'!$K$5:$M$5,1,0),"Excl")</f>
        <v>Labour</v>
      </c>
      <c r="AA1055" s="7" t="str">
        <f>VLOOKUP(Q1055,Mapping!$E$11:$I$96,5,0)</f>
        <v>SCS</v>
      </c>
      <c r="AC1055" s="111">
        <v>145</v>
      </c>
      <c r="AD1055" s="111" t="s">
        <v>2155</v>
      </c>
      <c r="AE1055" s="111">
        <v>613251</v>
      </c>
      <c r="AF1055" s="111" t="s">
        <v>2087</v>
      </c>
      <c r="AG1055" s="112">
        <v>9.3444199999999995</v>
      </c>
      <c r="AI1055" s="7" t="str">
        <f>VLOOKUP($AC1055,Mapping!$E$11:$I$96,3,0)</f>
        <v>Replacement</v>
      </c>
      <c r="AJ1055" s="7" t="str">
        <f>VLOOKUP($AE1055,Mapping!$E$140:$K$2771,5,0)</f>
        <v>Labour</v>
      </c>
      <c r="AK1055" s="7" t="str">
        <f>VLOOKUP($AE1055,Mapping!$E$140:$K$2771,7,0)</f>
        <v>ENDirect</v>
      </c>
      <c r="AL1055" s="7" t="str">
        <f>IFERROR(HLOOKUP(AJ1055,'Calc|Weightings'!$K$5:$M$5,1,0),"Excl")</f>
        <v>Labour</v>
      </c>
      <c r="AM1055" s="7" t="str">
        <f>VLOOKUP(AC1055,Mapping!$E$11:$I$96,5,0)</f>
        <v>SCS</v>
      </c>
      <c r="AO1055" s="134">
        <v>148</v>
      </c>
      <c r="AP1055" s="135" t="s">
        <v>2158</v>
      </c>
      <c r="AQ1055" s="135">
        <v>533001</v>
      </c>
      <c r="AR1055" s="135" t="s">
        <v>2189</v>
      </c>
      <c r="AS1055" s="136">
        <v>237.94373999999999</v>
      </c>
      <c r="AU1055" s="7" t="str">
        <f>VLOOKUP($AO1055,Mapping!$E$11:$I$96,3,0)</f>
        <v>Replacement</v>
      </c>
      <c r="AV1055" s="7" t="str">
        <f>VLOOKUP($AQ1055,Mapping!$E$140:$K$2771,5,0)</f>
        <v>Contracts</v>
      </c>
      <c r="AW1055" s="7" t="str">
        <f>VLOOKUP($AQ1055,Mapping!$E$140:$K$2771,7,0)</f>
        <v>ENDirect</v>
      </c>
      <c r="AX1055" s="7" t="str">
        <f>IFERROR(HLOOKUP(AV1055,'Calc|Weightings'!$K$5:$M$5,1,0),"Excl")</f>
        <v>Contracts</v>
      </c>
      <c r="AY1055" s="7" t="str">
        <f>VLOOKUP(AO1055,Mapping!$E$11:$I$96,5,0)</f>
        <v>SCS</v>
      </c>
    </row>
    <row r="1056" spans="1:51" x14ac:dyDescent="0.2">
      <c r="A1056" s="7"/>
      <c r="B1056" s="7"/>
      <c r="C1056" s="7"/>
      <c r="D1056" s="7"/>
      <c r="E1056" s="36">
        <v>142</v>
      </c>
      <c r="F1056" s="36" t="s">
        <v>2152</v>
      </c>
      <c r="G1056" s="36">
        <v>613278</v>
      </c>
      <c r="H1056" s="36" t="s">
        <v>2357</v>
      </c>
      <c r="I1056" s="37">
        <v>6.8955099999999998</v>
      </c>
      <c r="J1056" s="7"/>
      <c r="K1056" s="7" t="str">
        <f>VLOOKUP($E1056,Mapping!$E$11:$I$96,3,0)</f>
        <v>Replacement</v>
      </c>
      <c r="L1056" s="7" t="str">
        <f>VLOOKUP($G1056,Mapping!$E$140:$K$2771,5,0)</f>
        <v>Labour</v>
      </c>
      <c r="M1056" s="7" t="str">
        <f>VLOOKUP($G1056,Mapping!$E$140:$K$2771,7,0)</f>
        <v>ENDirect</v>
      </c>
      <c r="N1056" s="7" t="str">
        <f>IFERROR(HLOOKUP(L1056,'Calc|Weightings'!$K$5:$M$5,1,0),"Excl")</f>
        <v>Labour</v>
      </c>
      <c r="O1056" s="7" t="str">
        <f>VLOOKUP(E1056,Mapping!$E$11:$I$96,5,0)</f>
        <v>SCS</v>
      </c>
      <c r="Q1056" s="33">
        <v>145</v>
      </c>
      <c r="R1056" s="33" t="s">
        <v>2155</v>
      </c>
      <c r="S1056" s="33">
        <v>613280</v>
      </c>
      <c r="T1056" s="33" t="s">
        <v>1342</v>
      </c>
      <c r="U1056" s="34">
        <v>5.5197799999999999</v>
      </c>
      <c r="V1056" s="7"/>
      <c r="W1056" s="7" t="str">
        <f>VLOOKUP($Q1056,Mapping!$E$11:$I$96,3,0)</f>
        <v>Replacement</v>
      </c>
      <c r="X1056" s="7" t="str">
        <f>VLOOKUP($S1056,Mapping!$E$140:$K$2771,5,0)</f>
        <v>Labour</v>
      </c>
      <c r="Y1056" s="7" t="str">
        <f>VLOOKUP($S1056,Mapping!$E$140:$K$2771,7,0)</f>
        <v>ENDirect</v>
      </c>
      <c r="Z1056" s="7" t="str">
        <f>IFERROR(HLOOKUP(X1056,'Calc|Weightings'!$K$5:$M$5,1,0),"Excl")</f>
        <v>Labour</v>
      </c>
      <c r="AA1056" s="7" t="str">
        <f>VLOOKUP(Q1056,Mapping!$E$11:$I$96,5,0)</f>
        <v>SCS</v>
      </c>
      <c r="AC1056" s="111">
        <v>145</v>
      </c>
      <c r="AD1056" s="111" t="s">
        <v>2155</v>
      </c>
      <c r="AE1056" s="111">
        <v>613290</v>
      </c>
      <c r="AF1056" s="111" t="s">
        <v>2093</v>
      </c>
      <c r="AG1056" s="112">
        <v>0.50471999999999995</v>
      </c>
      <c r="AI1056" s="7" t="str">
        <f>VLOOKUP($AC1056,Mapping!$E$11:$I$96,3,0)</f>
        <v>Replacement</v>
      </c>
      <c r="AJ1056" s="7" t="str">
        <f>VLOOKUP($AE1056,Mapping!$E$140:$K$2771,5,0)</f>
        <v>Labour</v>
      </c>
      <c r="AK1056" s="7" t="str">
        <f>VLOOKUP($AE1056,Mapping!$E$140:$K$2771,7,0)</f>
        <v>ENDirect</v>
      </c>
      <c r="AL1056" s="7" t="str">
        <f>IFERROR(HLOOKUP(AJ1056,'Calc|Weightings'!$K$5:$M$5,1,0),"Excl")</f>
        <v>Labour</v>
      </c>
      <c r="AM1056" s="7" t="str">
        <f>VLOOKUP(AC1056,Mapping!$E$11:$I$96,5,0)</f>
        <v>SCS</v>
      </c>
      <c r="AO1056" s="134">
        <v>148</v>
      </c>
      <c r="AP1056" s="135" t="s">
        <v>2158</v>
      </c>
      <c r="AQ1056" s="135">
        <v>613250</v>
      </c>
      <c r="AR1056" s="135" t="s">
        <v>2086</v>
      </c>
      <c r="AS1056" s="136">
        <v>23.277280000000001</v>
      </c>
      <c r="AU1056" s="7" t="str">
        <f>VLOOKUP($AO1056,Mapping!$E$11:$I$96,3,0)</f>
        <v>Replacement</v>
      </c>
      <c r="AV1056" s="7" t="str">
        <f>VLOOKUP($AQ1056,Mapping!$E$140:$K$2771,5,0)</f>
        <v>Labour</v>
      </c>
      <c r="AW1056" s="7" t="str">
        <f>VLOOKUP($AQ1056,Mapping!$E$140:$K$2771,7,0)</f>
        <v>ENDirect</v>
      </c>
      <c r="AX1056" s="7" t="str">
        <f>IFERROR(HLOOKUP(AV1056,'Calc|Weightings'!$K$5:$M$5,1,0),"Excl")</f>
        <v>Labour</v>
      </c>
      <c r="AY1056" s="7" t="str">
        <f>VLOOKUP(AO1056,Mapping!$E$11:$I$96,5,0)</f>
        <v>SCS</v>
      </c>
    </row>
    <row r="1057" spans="1:51" x14ac:dyDescent="0.2">
      <c r="A1057" s="7"/>
      <c r="B1057" s="7"/>
      <c r="C1057" s="7"/>
      <c r="D1057" s="7"/>
      <c r="E1057" s="36">
        <v>142</v>
      </c>
      <c r="F1057" s="36" t="s">
        <v>2152</v>
      </c>
      <c r="G1057" s="36">
        <v>613279</v>
      </c>
      <c r="H1057" s="36" t="s">
        <v>2360</v>
      </c>
      <c r="I1057" s="37">
        <v>1.6896899999999999</v>
      </c>
      <c r="J1057" s="7"/>
      <c r="K1057" s="7" t="str">
        <f>VLOOKUP($E1057,Mapping!$E$11:$I$96,3,0)</f>
        <v>Replacement</v>
      </c>
      <c r="L1057" s="7" t="str">
        <f>VLOOKUP($G1057,Mapping!$E$140:$K$2771,5,0)</f>
        <v>Labour</v>
      </c>
      <c r="M1057" s="7" t="str">
        <f>VLOOKUP($G1057,Mapping!$E$140:$K$2771,7,0)</f>
        <v>ENDirect</v>
      </c>
      <c r="N1057" s="7" t="str">
        <f>IFERROR(HLOOKUP(L1057,'Calc|Weightings'!$K$5:$M$5,1,0),"Excl")</f>
        <v>Labour</v>
      </c>
      <c r="O1057" s="7" t="str">
        <f>VLOOKUP(E1057,Mapping!$E$11:$I$96,5,0)</f>
        <v>SCS</v>
      </c>
      <c r="Q1057" s="33">
        <v>145</v>
      </c>
      <c r="R1057" s="33" t="s">
        <v>2155</v>
      </c>
      <c r="S1057" s="33">
        <v>613290</v>
      </c>
      <c r="T1057" s="33" t="s">
        <v>2093</v>
      </c>
      <c r="U1057" s="34">
        <v>0.99519999999999997</v>
      </c>
      <c r="V1057" s="7"/>
      <c r="W1057" s="7" t="str">
        <f>VLOOKUP($Q1057,Mapping!$E$11:$I$96,3,0)</f>
        <v>Replacement</v>
      </c>
      <c r="X1057" s="7" t="str">
        <f>VLOOKUP($S1057,Mapping!$E$140:$K$2771,5,0)</f>
        <v>Labour</v>
      </c>
      <c r="Y1057" s="7" t="str">
        <f>VLOOKUP($S1057,Mapping!$E$140:$K$2771,7,0)</f>
        <v>ENDirect</v>
      </c>
      <c r="Z1057" s="7" t="str">
        <f>IFERROR(HLOOKUP(X1057,'Calc|Weightings'!$K$5:$M$5,1,0),"Excl")</f>
        <v>Labour</v>
      </c>
      <c r="AA1057" s="7" t="str">
        <f>VLOOKUP(Q1057,Mapping!$E$11:$I$96,5,0)</f>
        <v>SCS</v>
      </c>
      <c r="AC1057" s="111">
        <v>145</v>
      </c>
      <c r="AD1057" s="111" t="s">
        <v>2155</v>
      </c>
      <c r="AE1057" s="111">
        <v>613291</v>
      </c>
      <c r="AF1057" s="111" t="s">
        <v>2094</v>
      </c>
      <c r="AG1057" s="112">
        <v>0.30346000000000001</v>
      </c>
      <c r="AI1057" s="7" t="str">
        <f>VLOOKUP($AC1057,Mapping!$E$11:$I$96,3,0)</f>
        <v>Replacement</v>
      </c>
      <c r="AJ1057" s="7" t="str">
        <f>VLOOKUP($AE1057,Mapping!$E$140:$K$2771,5,0)</f>
        <v>Labour</v>
      </c>
      <c r="AK1057" s="7" t="str">
        <f>VLOOKUP($AE1057,Mapping!$E$140:$K$2771,7,0)</f>
        <v>ENDirect</v>
      </c>
      <c r="AL1057" s="7" t="str">
        <f>IFERROR(HLOOKUP(AJ1057,'Calc|Weightings'!$K$5:$M$5,1,0),"Excl")</f>
        <v>Labour</v>
      </c>
      <c r="AM1057" s="7" t="str">
        <f>VLOOKUP(AC1057,Mapping!$E$11:$I$96,5,0)</f>
        <v>SCS</v>
      </c>
      <c r="AO1057" s="134">
        <v>148</v>
      </c>
      <c r="AP1057" s="135" t="s">
        <v>2158</v>
      </c>
      <c r="AQ1057" s="135">
        <v>613251</v>
      </c>
      <c r="AR1057" s="135" t="s">
        <v>2087</v>
      </c>
      <c r="AS1057" s="136">
        <v>1.5874200000000001</v>
      </c>
      <c r="AU1057" s="7" t="str">
        <f>VLOOKUP($AO1057,Mapping!$E$11:$I$96,3,0)</f>
        <v>Replacement</v>
      </c>
      <c r="AV1057" s="7" t="str">
        <f>VLOOKUP($AQ1057,Mapping!$E$140:$K$2771,5,0)</f>
        <v>Labour</v>
      </c>
      <c r="AW1057" s="7" t="str">
        <f>VLOOKUP($AQ1057,Mapping!$E$140:$K$2771,7,0)</f>
        <v>ENDirect</v>
      </c>
      <c r="AX1057" s="7" t="str">
        <f>IFERROR(HLOOKUP(AV1057,'Calc|Weightings'!$K$5:$M$5,1,0),"Excl")</f>
        <v>Labour</v>
      </c>
      <c r="AY1057" s="7" t="str">
        <f>VLOOKUP(AO1057,Mapping!$E$11:$I$96,5,0)</f>
        <v>SCS</v>
      </c>
    </row>
    <row r="1058" spans="1:51" x14ac:dyDescent="0.2">
      <c r="A1058" s="7"/>
      <c r="B1058" s="7"/>
      <c r="C1058" s="7"/>
      <c r="D1058" s="7"/>
      <c r="E1058" s="36">
        <v>142</v>
      </c>
      <c r="F1058" s="36" t="s">
        <v>2152</v>
      </c>
      <c r="G1058" s="36">
        <v>613280</v>
      </c>
      <c r="H1058" s="36" t="s">
        <v>1342</v>
      </c>
      <c r="I1058" s="37">
        <v>5.9466200000000002</v>
      </c>
      <c r="J1058" s="7"/>
      <c r="K1058" s="7" t="str">
        <f>VLOOKUP($E1058,Mapping!$E$11:$I$96,3,0)</f>
        <v>Replacement</v>
      </c>
      <c r="L1058" s="7" t="str">
        <f>VLOOKUP($G1058,Mapping!$E$140:$K$2771,5,0)</f>
        <v>Labour</v>
      </c>
      <c r="M1058" s="7" t="str">
        <f>VLOOKUP($G1058,Mapping!$E$140:$K$2771,7,0)</f>
        <v>ENDirect</v>
      </c>
      <c r="N1058" s="7" t="str">
        <f>IFERROR(HLOOKUP(L1058,'Calc|Weightings'!$K$5:$M$5,1,0),"Excl")</f>
        <v>Labour</v>
      </c>
      <c r="O1058" s="7" t="str">
        <f>VLOOKUP(E1058,Mapping!$E$11:$I$96,5,0)</f>
        <v>SCS</v>
      </c>
      <c r="Q1058" s="33">
        <v>145</v>
      </c>
      <c r="R1058" s="33" t="s">
        <v>2155</v>
      </c>
      <c r="S1058" s="33">
        <v>613360</v>
      </c>
      <c r="T1058" s="33" t="s">
        <v>2097</v>
      </c>
      <c r="U1058" s="34">
        <v>1.88727</v>
      </c>
      <c r="V1058" s="7"/>
      <c r="W1058" s="7" t="str">
        <f>VLOOKUP($Q1058,Mapping!$E$11:$I$96,3,0)</f>
        <v>Replacement</v>
      </c>
      <c r="X1058" s="7" t="str">
        <f>VLOOKUP($S1058,Mapping!$E$140:$K$2771,5,0)</f>
        <v>Labour</v>
      </c>
      <c r="Y1058" s="7" t="str">
        <f>VLOOKUP($S1058,Mapping!$E$140:$K$2771,7,0)</f>
        <v>ENDirect</v>
      </c>
      <c r="Z1058" s="7" t="str">
        <f>IFERROR(HLOOKUP(X1058,'Calc|Weightings'!$K$5:$M$5,1,0),"Excl")</f>
        <v>Labour</v>
      </c>
      <c r="AA1058" s="7" t="str">
        <f>VLOOKUP(Q1058,Mapping!$E$11:$I$96,5,0)</f>
        <v>SCS</v>
      </c>
      <c r="AC1058" s="111">
        <v>145</v>
      </c>
      <c r="AD1058" s="111" t="s">
        <v>2155</v>
      </c>
      <c r="AE1058" s="111">
        <v>613360</v>
      </c>
      <c r="AF1058" s="111" t="s">
        <v>2097</v>
      </c>
      <c r="AG1058" s="112">
        <v>0.25028</v>
      </c>
      <c r="AI1058" s="7" t="str">
        <f>VLOOKUP($AC1058,Mapping!$E$11:$I$96,3,0)</f>
        <v>Replacement</v>
      </c>
      <c r="AJ1058" s="7" t="str">
        <f>VLOOKUP($AE1058,Mapping!$E$140:$K$2771,5,0)</f>
        <v>Labour</v>
      </c>
      <c r="AK1058" s="7" t="str">
        <f>VLOOKUP($AE1058,Mapping!$E$140:$K$2771,7,0)</f>
        <v>ENDirect</v>
      </c>
      <c r="AL1058" s="7" t="str">
        <f>IFERROR(HLOOKUP(AJ1058,'Calc|Weightings'!$K$5:$M$5,1,0),"Excl")</f>
        <v>Labour</v>
      </c>
      <c r="AM1058" s="7" t="str">
        <f>VLOOKUP(AC1058,Mapping!$E$11:$I$96,5,0)</f>
        <v>SCS</v>
      </c>
      <c r="AO1058" s="134">
        <v>148</v>
      </c>
      <c r="AP1058" s="135" t="s">
        <v>2158</v>
      </c>
      <c r="AQ1058" s="135">
        <v>634001</v>
      </c>
      <c r="AR1058" s="135" t="s">
        <v>2110</v>
      </c>
      <c r="AS1058" s="136">
        <v>85.36251</v>
      </c>
      <c r="AU1058" s="7" t="str">
        <f>VLOOKUP($AO1058,Mapping!$E$11:$I$96,3,0)</f>
        <v>Replacement</v>
      </c>
      <c r="AV1058" s="7" t="str">
        <f>VLOOKUP($AQ1058,Mapping!$E$140:$K$2771,5,0)</f>
        <v>Local OH</v>
      </c>
      <c r="AW1058" s="7" t="str">
        <f>VLOOKUP($AQ1058,Mapping!$E$140:$K$2771,7,0)</f>
        <v>OH</v>
      </c>
      <c r="AX1058" s="7" t="str">
        <f>IFERROR(HLOOKUP(AV1058,'Calc|Weightings'!$K$5:$M$5,1,0),"Excl")</f>
        <v>Excl</v>
      </c>
      <c r="AY1058" s="7" t="str">
        <f>VLOOKUP(AO1058,Mapping!$E$11:$I$96,5,0)</f>
        <v>SCS</v>
      </c>
    </row>
    <row r="1059" spans="1:51" x14ac:dyDescent="0.2">
      <c r="A1059" s="7"/>
      <c r="B1059" s="7"/>
      <c r="C1059" s="7"/>
      <c r="D1059" s="7"/>
      <c r="E1059" s="36">
        <v>142</v>
      </c>
      <c r="F1059" s="36" t="s">
        <v>2152</v>
      </c>
      <c r="G1059" s="36">
        <v>613290</v>
      </c>
      <c r="H1059" s="36" t="s">
        <v>2093</v>
      </c>
      <c r="I1059" s="37">
        <v>2.4281999999999999</v>
      </c>
      <c r="J1059" s="7"/>
      <c r="K1059" s="7" t="str">
        <f>VLOOKUP($E1059,Mapping!$E$11:$I$96,3,0)</f>
        <v>Replacement</v>
      </c>
      <c r="L1059" s="7" t="str">
        <f>VLOOKUP($G1059,Mapping!$E$140:$K$2771,5,0)</f>
        <v>Labour</v>
      </c>
      <c r="M1059" s="7" t="str">
        <f>VLOOKUP($G1059,Mapping!$E$140:$K$2771,7,0)</f>
        <v>ENDirect</v>
      </c>
      <c r="N1059" s="7" t="str">
        <f>IFERROR(HLOOKUP(L1059,'Calc|Weightings'!$K$5:$M$5,1,0),"Excl")</f>
        <v>Labour</v>
      </c>
      <c r="O1059" s="7" t="str">
        <f>VLOOKUP(E1059,Mapping!$E$11:$I$96,5,0)</f>
        <v>SCS</v>
      </c>
      <c r="Q1059" s="33">
        <v>145</v>
      </c>
      <c r="R1059" s="33" t="s">
        <v>2155</v>
      </c>
      <c r="S1059" s="33">
        <v>613390</v>
      </c>
      <c r="T1059" s="33" t="s">
        <v>2141</v>
      </c>
      <c r="U1059" s="34">
        <v>3.9366599999999998</v>
      </c>
      <c r="V1059" s="7"/>
      <c r="W1059" s="7" t="str">
        <f>VLOOKUP($Q1059,Mapping!$E$11:$I$96,3,0)</f>
        <v>Replacement</v>
      </c>
      <c r="X1059" s="7" t="str">
        <f>VLOOKUP($S1059,Mapping!$E$140:$K$2771,5,0)</f>
        <v>Contracts</v>
      </c>
      <c r="Y1059" s="7" t="str">
        <f>VLOOKUP($S1059,Mapping!$E$140:$K$2771,7,0)</f>
        <v>ENDirect</v>
      </c>
      <c r="Z1059" s="7" t="str">
        <f>IFERROR(HLOOKUP(X1059,'Calc|Weightings'!$K$5:$M$5,1,0),"Excl")</f>
        <v>Contracts</v>
      </c>
      <c r="AA1059" s="7" t="str">
        <f>VLOOKUP(Q1059,Mapping!$E$11:$I$96,5,0)</f>
        <v>SCS</v>
      </c>
      <c r="AC1059" s="111">
        <v>145</v>
      </c>
      <c r="AD1059" s="111" t="s">
        <v>2155</v>
      </c>
      <c r="AE1059" s="111">
        <v>613400</v>
      </c>
      <c r="AF1059" s="111" t="s">
        <v>2099</v>
      </c>
      <c r="AG1059" s="112">
        <v>1.5922799999999999</v>
      </c>
      <c r="AI1059" s="7" t="str">
        <f>VLOOKUP($AC1059,Mapping!$E$11:$I$96,3,0)</f>
        <v>Replacement</v>
      </c>
      <c r="AJ1059" s="7" t="str">
        <f>VLOOKUP($AE1059,Mapping!$E$140:$K$2771,5,0)</f>
        <v>Labour</v>
      </c>
      <c r="AK1059" s="7" t="str">
        <f>VLOOKUP($AE1059,Mapping!$E$140:$K$2771,7,0)</f>
        <v>ENDirect</v>
      </c>
      <c r="AL1059" s="7" t="str">
        <f>IFERROR(HLOOKUP(AJ1059,'Calc|Weightings'!$K$5:$M$5,1,0),"Excl")</f>
        <v>Labour</v>
      </c>
      <c r="AM1059" s="7" t="str">
        <f>VLOOKUP(AC1059,Mapping!$E$11:$I$96,5,0)</f>
        <v>SCS</v>
      </c>
      <c r="AO1059" s="134">
        <v>148</v>
      </c>
      <c r="AP1059" s="135" t="s">
        <v>2158</v>
      </c>
      <c r="AQ1059" s="135">
        <v>635001</v>
      </c>
      <c r="AR1059" s="135" t="s">
        <v>1929</v>
      </c>
      <c r="AS1059" s="136">
        <v>1.4762500000000001</v>
      </c>
      <c r="AU1059" s="7" t="str">
        <f>VLOOKUP($AO1059,Mapping!$E$11:$I$96,3,0)</f>
        <v>Replacement</v>
      </c>
      <c r="AV1059" s="7" t="str">
        <f>VLOOKUP($AQ1059,Mapping!$E$140:$K$2771,5,0)</f>
        <v>PNS MG</v>
      </c>
      <c r="AW1059" s="7" t="str">
        <f>VLOOKUP($AQ1059,Mapping!$E$140:$K$2771,7,0)</f>
        <v>ENDirect</v>
      </c>
      <c r="AX1059" s="7" t="str">
        <f>IFERROR(HLOOKUP(AV1059,'Calc|Weightings'!$K$5:$M$5,1,0),"Excl")</f>
        <v>Excl</v>
      </c>
      <c r="AY1059" s="7" t="str">
        <f>VLOOKUP(AO1059,Mapping!$E$11:$I$96,5,0)</f>
        <v>SCS</v>
      </c>
    </row>
    <row r="1060" spans="1:51" x14ac:dyDescent="0.2">
      <c r="A1060" s="7"/>
      <c r="B1060" s="7"/>
      <c r="C1060" s="7"/>
      <c r="D1060" s="7"/>
      <c r="E1060" s="36">
        <v>142</v>
      </c>
      <c r="F1060" s="36" t="s">
        <v>2152</v>
      </c>
      <c r="G1060" s="36">
        <v>613318</v>
      </c>
      <c r="H1060" s="36" t="s">
        <v>1360</v>
      </c>
      <c r="I1060" s="37">
        <v>0.20918999999999999</v>
      </c>
      <c r="J1060" s="7"/>
      <c r="K1060" s="7" t="str">
        <f>VLOOKUP($E1060,Mapping!$E$11:$I$96,3,0)</f>
        <v>Replacement</v>
      </c>
      <c r="L1060" s="7" t="str">
        <f>VLOOKUP($G1060,Mapping!$E$140:$K$2771,5,0)</f>
        <v>Labour</v>
      </c>
      <c r="M1060" s="7" t="str">
        <f>VLOOKUP($G1060,Mapping!$E$140:$K$2771,7,0)</f>
        <v>ENDirect</v>
      </c>
      <c r="N1060" s="7" t="str">
        <f>IFERROR(HLOOKUP(L1060,'Calc|Weightings'!$K$5:$M$5,1,0),"Excl")</f>
        <v>Labour</v>
      </c>
      <c r="O1060" s="7" t="str">
        <f>VLOOKUP(E1060,Mapping!$E$11:$I$96,5,0)</f>
        <v>SCS</v>
      </c>
      <c r="Q1060" s="33">
        <v>145</v>
      </c>
      <c r="R1060" s="33" t="s">
        <v>2155</v>
      </c>
      <c r="S1060" s="33">
        <v>613400</v>
      </c>
      <c r="T1060" s="33" t="s">
        <v>2099</v>
      </c>
      <c r="U1060" s="34">
        <v>11.02529</v>
      </c>
      <c r="V1060" s="7"/>
      <c r="W1060" s="7" t="str">
        <f>VLOOKUP($Q1060,Mapping!$E$11:$I$96,3,0)</f>
        <v>Replacement</v>
      </c>
      <c r="X1060" s="7" t="str">
        <f>VLOOKUP($S1060,Mapping!$E$140:$K$2771,5,0)</f>
        <v>Labour</v>
      </c>
      <c r="Y1060" s="7" t="str">
        <f>VLOOKUP($S1060,Mapping!$E$140:$K$2771,7,0)</f>
        <v>ENDirect</v>
      </c>
      <c r="Z1060" s="7" t="str">
        <f>IFERROR(HLOOKUP(X1060,'Calc|Weightings'!$K$5:$M$5,1,0),"Excl")</f>
        <v>Labour</v>
      </c>
      <c r="AA1060" s="7" t="str">
        <f>VLOOKUP(Q1060,Mapping!$E$11:$I$96,5,0)</f>
        <v>SCS</v>
      </c>
      <c r="AC1060" s="111">
        <v>145</v>
      </c>
      <c r="AD1060" s="111" t="s">
        <v>2155</v>
      </c>
      <c r="AE1060" s="111">
        <v>613401</v>
      </c>
      <c r="AF1060" s="111" t="s">
        <v>2117</v>
      </c>
      <c r="AG1060" s="112">
        <v>1.84152</v>
      </c>
      <c r="AI1060" s="7" t="str">
        <f>VLOOKUP($AC1060,Mapping!$E$11:$I$96,3,0)</f>
        <v>Replacement</v>
      </c>
      <c r="AJ1060" s="7" t="str">
        <f>VLOOKUP($AE1060,Mapping!$E$140:$K$2771,5,0)</f>
        <v>Labour</v>
      </c>
      <c r="AK1060" s="7" t="str">
        <f>VLOOKUP($AE1060,Mapping!$E$140:$K$2771,7,0)</f>
        <v>ENDirect</v>
      </c>
      <c r="AL1060" s="7" t="str">
        <f>IFERROR(HLOOKUP(AJ1060,'Calc|Weightings'!$K$5:$M$5,1,0),"Excl")</f>
        <v>Labour</v>
      </c>
      <c r="AM1060" s="7" t="str">
        <f>VLOOKUP(AC1060,Mapping!$E$11:$I$96,5,0)</f>
        <v>SCS</v>
      </c>
      <c r="AO1060" s="134">
        <v>148</v>
      </c>
      <c r="AP1060" s="135" t="s">
        <v>2158</v>
      </c>
      <c r="AQ1060" s="135">
        <v>636001</v>
      </c>
      <c r="AR1060" s="135" t="s">
        <v>2111</v>
      </c>
      <c r="AS1060" s="136">
        <v>56.742100000000001</v>
      </c>
      <c r="AU1060" s="7" t="str">
        <f>VLOOKUP($AO1060,Mapping!$E$11:$I$96,3,0)</f>
        <v>Replacement</v>
      </c>
      <c r="AV1060" s="7" t="str">
        <f>VLOOKUP($AQ1060,Mapping!$E$140:$K$2771,5,0)</f>
        <v>System Control OH</v>
      </c>
      <c r="AW1060" s="7" t="str">
        <f>VLOOKUP($AQ1060,Mapping!$E$140:$K$2771,7,0)</f>
        <v>OH</v>
      </c>
      <c r="AX1060" s="7" t="str">
        <f>IFERROR(HLOOKUP(AV1060,'Calc|Weightings'!$K$5:$M$5,1,0),"Excl")</f>
        <v>Excl</v>
      </c>
      <c r="AY1060" s="7" t="str">
        <f>VLOOKUP(AO1060,Mapping!$E$11:$I$96,5,0)</f>
        <v>SCS</v>
      </c>
    </row>
    <row r="1061" spans="1:51" x14ac:dyDescent="0.2">
      <c r="A1061" s="7"/>
      <c r="B1061" s="7"/>
      <c r="C1061" s="7"/>
      <c r="D1061" s="7"/>
      <c r="E1061" s="36">
        <v>142</v>
      </c>
      <c r="F1061" s="36" t="s">
        <v>2152</v>
      </c>
      <c r="G1061" s="36">
        <v>613319</v>
      </c>
      <c r="H1061" s="36" t="s">
        <v>2358</v>
      </c>
      <c r="I1061" s="37">
        <v>5.058E-2</v>
      </c>
      <c r="J1061" s="7"/>
      <c r="K1061" s="7" t="str">
        <f>VLOOKUP($E1061,Mapping!$E$11:$I$96,3,0)</f>
        <v>Replacement</v>
      </c>
      <c r="L1061" s="7" t="str">
        <f>VLOOKUP($G1061,Mapping!$E$140:$K$2771,5,0)</f>
        <v>Labour</v>
      </c>
      <c r="M1061" s="7" t="str">
        <f>VLOOKUP($G1061,Mapping!$E$140:$K$2771,7,0)</f>
        <v>ENDirect</v>
      </c>
      <c r="N1061" s="7" t="str">
        <f>IFERROR(HLOOKUP(L1061,'Calc|Weightings'!$K$5:$M$5,1,0),"Excl")</f>
        <v>Labour</v>
      </c>
      <c r="O1061" s="7" t="str">
        <f>VLOOKUP(E1061,Mapping!$E$11:$I$96,5,0)</f>
        <v>SCS</v>
      </c>
      <c r="Q1061" s="33">
        <v>145</v>
      </c>
      <c r="R1061" s="33" t="s">
        <v>2155</v>
      </c>
      <c r="S1061" s="33">
        <v>613401</v>
      </c>
      <c r="T1061" s="33" t="s">
        <v>2117</v>
      </c>
      <c r="U1061" s="34">
        <v>0.15414</v>
      </c>
      <c r="V1061" s="7"/>
      <c r="W1061" s="7" t="str">
        <f>VLOOKUP($Q1061,Mapping!$E$11:$I$96,3,0)</f>
        <v>Replacement</v>
      </c>
      <c r="X1061" s="7" t="str">
        <f>VLOOKUP($S1061,Mapping!$E$140:$K$2771,5,0)</f>
        <v>Labour</v>
      </c>
      <c r="Y1061" s="7" t="str">
        <f>VLOOKUP($S1061,Mapping!$E$140:$K$2771,7,0)</f>
        <v>ENDirect</v>
      </c>
      <c r="Z1061" s="7" t="str">
        <f>IFERROR(HLOOKUP(X1061,'Calc|Weightings'!$K$5:$M$5,1,0),"Excl")</f>
        <v>Labour</v>
      </c>
      <c r="AA1061" s="7" t="str">
        <f>VLOOKUP(Q1061,Mapping!$E$11:$I$96,5,0)</f>
        <v>SCS</v>
      </c>
      <c r="AC1061" s="111">
        <v>145</v>
      </c>
      <c r="AD1061" s="111" t="s">
        <v>2155</v>
      </c>
      <c r="AE1061" s="111">
        <v>613410</v>
      </c>
      <c r="AF1061" s="111" t="s">
        <v>2100</v>
      </c>
      <c r="AG1061" s="112">
        <v>18.70682</v>
      </c>
      <c r="AI1061" s="7" t="str">
        <f>VLOOKUP($AC1061,Mapping!$E$11:$I$96,3,0)</f>
        <v>Replacement</v>
      </c>
      <c r="AJ1061" s="7" t="str">
        <f>VLOOKUP($AE1061,Mapping!$E$140:$K$2771,5,0)</f>
        <v>Labour</v>
      </c>
      <c r="AK1061" s="7" t="str">
        <f>VLOOKUP($AE1061,Mapping!$E$140:$K$2771,7,0)</f>
        <v>ENDirect</v>
      </c>
      <c r="AL1061" s="7" t="str">
        <f>IFERROR(HLOOKUP(AJ1061,'Calc|Weightings'!$K$5:$M$5,1,0),"Excl")</f>
        <v>Labour</v>
      </c>
      <c r="AM1061" s="7" t="str">
        <f>VLOOKUP(AC1061,Mapping!$E$11:$I$96,5,0)</f>
        <v>SCS</v>
      </c>
      <c r="AO1061" s="134">
        <v>148</v>
      </c>
      <c r="AP1061" s="135" t="s">
        <v>2158</v>
      </c>
      <c r="AQ1061" s="135">
        <v>639000</v>
      </c>
      <c r="AR1061" s="135" t="s">
        <v>2112</v>
      </c>
      <c r="AS1061" s="136">
        <v>1.03437</v>
      </c>
      <c r="AU1061" s="7" t="str">
        <f>VLOOKUP($AO1061,Mapping!$E$11:$I$96,3,0)</f>
        <v>Replacement</v>
      </c>
      <c r="AV1061" s="7" t="str">
        <f>VLOOKUP($AQ1061,Mapping!$E$140:$K$2771,5,0)</f>
        <v>PNS Corporate OH</v>
      </c>
      <c r="AW1061" s="7" t="str">
        <f>VLOOKUP($AQ1061,Mapping!$E$140:$K$2771,7,0)</f>
        <v>OH</v>
      </c>
      <c r="AX1061" s="7" t="str">
        <f>IFERROR(HLOOKUP(AV1061,'Calc|Weightings'!$K$5:$M$5,1,0),"Excl")</f>
        <v>Excl</v>
      </c>
      <c r="AY1061" s="7" t="str">
        <f>VLOOKUP(AO1061,Mapping!$E$11:$I$96,5,0)</f>
        <v>SCS</v>
      </c>
    </row>
    <row r="1062" spans="1:51" x14ac:dyDescent="0.2">
      <c r="A1062" s="7"/>
      <c r="B1062" s="7"/>
      <c r="C1062" s="7"/>
      <c r="D1062" s="7"/>
      <c r="E1062" s="36">
        <v>142</v>
      </c>
      <c r="F1062" s="36" t="s">
        <v>2152</v>
      </c>
      <c r="G1062" s="36">
        <v>613350</v>
      </c>
      <c r="H1062" s="36" t="s">
        <v>2096</v>
      </c>
      <c r="I1062" s="37">
        <v>0.53539000000000003</v>
      </c>
      <c r="J1062" s="7"/>
      <c r="K1062" s="7" t="str">
        <f>VLOOKUP($E1062,Mapping!$E$11:$I$96,3,0)</f>
        <v>Replacement</v>
      </c>
      <c r="L1062" s="7" t="str">
        <f>VLOOKUP($G1062,Mapping!$E$140:$K$2771,5,0)</f>
        <v>Labour</v>
      </c>
      <c r="M1062" s="7" t="str">
        <f>VLOOKUP($G1062,Mapping!$E$140:$K$2771,7,0)</f>
        <v>ENDirect</v>
      </c>
      <c r="N1062" s="7" t="str">
        <f>IFERROR(HLOOKUP(L1062,'Calc|Weightings'!$K$5:$M$5,1,0),"Excl")</f>
        <v>Labour</v>
      </c>
      <c r="O1062" s="7" t="str">
        <f>VLOOKUP(E1062,Mapping!$E$11:$I$96,5,0)</f>
        <v>SCS</v>
      </c>
      <c r="Q1062" s="33">
        <v>145</v>
      </c>
      <c r="R1062" s="33" t="s">
        <v>2155</v>
      </c>
      <c r="S1062" s="33">
        <v>613410</v>
      </c>
      <c r="T1062" s="33" t="s">
        <v>2100</v>
      </c>
      <c r="U1062" s="34">
        <v>27.037520000000001</v>
      </c>
      <c r="V1062" s="7"/>
      <c r="W1062" s="7" t="str">
        <f>VLOOKUP($Q1062,Mapping!$E$11:$I$96,3,0)</f>
        <v>Replacement</v>
      </c>
      <c r="X1062" s="7" t="str">
        <f>VLOOKUP($S1062,Mapping!$E$140:$K$2771,5,0)</f>
        <v>Labour</v>
      </c>
      <c r="Y1062" s="7" t="str">
        <f>VLOOKUP($S1062,Mapping!$E$140:$K$2771,7,0)</f>
        <v>ENDirect</v>
      </c>
      <c r="Z1062" s="7" t="str">
        <f>IFERROR(HLOOKUP(X1062,'Calc|Weightings'!$K$5:$M$5,1,0),"Excl")</f>
        <v>Labour</v>
      </c>
      <c r="AA1062" s="7" t="str">
        <f>VLOOKUP(Q1062,Mapping!$E$11:$I$96,5,0)</f>
        <v>SCS</v>
      </c>
      <c r="AC1062" s="111">
        <v>145</v>
      </c>
      <c r="AD1062" s="111" t="s">
        <v>2155</v>
      </c>
      <c r="AE1062" s="111">
        <v>613411</v>
      </c>
      <c r="AF1062" s="111" t="s">
        <v>2101</v>
      </c>
      <c r="AG1062" s="112">
        <v>1.0175399999999999</v>
      </c>
      <c r="AI1062" s="7" t="str">
        <f>VLOOKUP($AC1062,Mapping!$E$11:$I$96,3,0)</f>
        <v>Replacement</v>
      </c>
      <c r="AJ1062" s="7" t="str">
        <f>VLOOKUP($AE1062,Mapping!$E$140:$K$2771,5,0)</f>
        <v>Labour</v>
      </c>
      <c r="AK1062" s="7" t="str">
        <f>VLOOKUP($AE1062,Mapping!$E$140:$K$2771,7,0)</f>
        <v>ENDirect</v>
      </c>
      <c r="AL1062" s="7" t="str">
        <f>IFERROR(HLOOKUP(AJ1062,'Calc|Weightings'!$K$5:$M$5,1,0),"Excl")</f>
        <v>Labour</v>
      </c>
      <c r="AM1062" s="7" t="str">
        <f>VLOOKUP(AC1062,Mapping!$E$11:$I$96,5,0)</f>
        <v>SCS</v>
      </c>
      <c r="AO1062" s="134">
        <v>148</v>
      </c>
      <c r="AP1062" s="135" t="s">
        <v>2158</v>
      </c>
      <c r="AQ1062" s="135">
        <v>639050</v>
      </c>
      <c r="AR1062" s="135" t="s">
        <v>2113</v>
      </c>
      <c r="AS1062" s="136">
        <v>0.30113000000000001</v>
      </c>
      <c r="AU1062" s="7" t="str">
        <f>VLOOKUP($AO1062,Mapping!$E$11:$I$96,3,0)</f>
        <v>Replacement</v>
      </c>
      <c r="AV1062" s="7" t="str">
        <f>VLOOKUP($AQ1062,Mapping!$E$140:$K$2771,5,0)</f>
        <v>PNS Fleet &amp; Property OH</v>
      </c>
      <c r="AW1062" s="7" t="str">
        <f>VLOOKUP($AQ1062,Mapping!$E$140:$K$2771,7,0)</f>
        <v>OH</v>
      </c>
      <c r="AX1062" s="7" t="str">
        <f>IFERROR(HLOOKUP(AV1062,'Calc|Weightings'!$K$5:$M$5,1,0),"Excl")</f>
        <v>Excl</v>
      </c>
      <c r="AY1062" s="7" t="str">
        <f>VLOOKUP(AO1062,Mapping!$E$11:$I$96,5,0)</f>
        <v>SCS</v>
      </c>
    </row>
    <row r="1063" spans="1:51" x14ac:dyDescent="0.2">
      <c r="A1063" s="7"/>
      <c r="B1063" s="7"/>
      <c r="C1063" s="7"/>
      <c r="D1063" s="7"/>
      <c r="E1063" s="36">
        <v>142</v>
      </c>
      <c r="F1063" s="36" t="s">
        <v>2152</v>
      </c>
      <c r="G1063" s="36">
        <v>613351</v>
      </c>
      <c r="H1063" s="36" t="s">
        <v>2151</v>
      </c>
      <c r="I1063" s="37">
        <v>0.11082</v>
      </c>
      <c r="J1063" s="7"/>
      <c r="K1063" s="7" t="str">
        <f>VLOOKUP($E1063,Mapping!$E$11:$I$96,3,0)</f>
        <v>Replacement</v>
      </c>
      <c r="L1063" s="7" t="str">
        <f>VLOOKUP($G1063,Mapping!$E$140:$K$2771,5,0)</f>
        <v>Labour</v>
      </c>
      <c r="M1063" s="7" t="str">
        <f>VLOOKUP($G1063,Mapping!$E$140:$K$2771,7,0)</f>
        <v>ENDirect</v>
      </c>
      <c r="N1063" s="7" t="str">
        <f>IFERROR(HLOOKUP(L1063,'Calc|Weightings'!$K$5:$M$5,1,0),"Excl")</f>
        <v>Labour</v>
      </c>
      <c r="O1063" s="7" t="str">
        <f>VLOOKUP(E1063,Mapping!$E$11:$I$96,5,0)</f>
        <v>SCS</v>
      </c>
      <c r="Q1063" s="33">
        <v>145</v>
      </c>
      <c r="R1063" s="33" t="s">
        <v>2155</v>
      </c>
      <c r="S1063" s="33">
        <v>613411</v>
      </c>
      <c r="T1063" s="33" t="s">
        <v>2101</v>
      </c>
      <c r="U1063" s="34">
        <v>2.64297</v>
      </c>
      <c r="V1063" s="7"/>
      <c r="W1063" s="7" t="str">
        <f>VLOOKUP($Q1063,Mapping!$E$11:$I$96,3,0)</f>
        <v>Replacement</v>
      </c>
      <c r="X1063" s="7" t="str">
        <f>VLOOKUP($S1063,Mapping!$E$140:$K$2771,5,0)</f>
        <v>Labour</v>
      </c>
      <c r="Y1063" s="7" t="str">
        <f>VLOOKUP($S1063,Mapping!$E$140:$K$2771,7,0)</f>
        <v>ENDirect</v>
      </c>
      <c r="Z1063" s="7" t="str">
        <f>IFERROR(HLOOKUP(X1063,'Calc|Weightings'!$K$5:$M$5,1,0),"Excl")</f>
        <v>Labour</v>
      </c>
      <c r="AA1063" s="7" t="str">
        <f>VLOOKUP(Q1063,Mapping!$E$11:$I$96,5,0)</f>
        <v>SCS</v>
      </c>
      <c r="AC1063" s="111">
        <v>145</v>
      </c>
      <c r="AD1063" s="111" t="s">
        <v>2155</v>
      </c>
      <c r="AE1063" s="111">
        <v>613566</v>
      </c>
      <c r="AF1063" s="111" t="s">
        <v>1482</v>
      </c>
      <c r="AG1063" s="112">
        <v>14.383330000000001</v>
      </c>
      <c r="AI1063" s="7" t="str">
        <f>VLOOKUP($AC1063,Mapping!$E$11:$I$96,3,0)</f>
        <v>Replacement</v>
      </c>
      <c r="AJ1063" s="7" t="str">
        <f>VLOOKUP($AE1063,Mapping!$E$140:$K$2771,5,0)</f>
        <v>Labour</v>
      </c>
      <c r="AK1063" s="7" t="str">
        <f>VLOOKUP($AE1063,Mapping!$E$140:$K$2771,7,0)</f>
        <v>ENDirect</v>
      </c>
      <c r="AL1063" s="7" t="str">
        <f>IFERROR(HLOOKUP(AJ1063,'Calc|Weightings'!$K$5:$M$5,1,0),"Excl")</f>
        <v>Labour</v>
      </c>
      <c r="AM1063" s="7" t="str">
        <f>VLOOKUP(AC1063,Mapping!$E$11:$I$96,5,0)</f>
        <v>SCS</v>
      </c>
      <c r="AO1063" s="134">
        <v>148</v>
      </c>
      <c r="AP1063" s="135" t="s">
        <v>2158</v>
      </c>
      <c r="AQ1063" s="135">
        <v>613575</v>
      </c>
      <c r="AR1063" s="135" t="s">
        <v>1489</v>
      </c>
      <c r="AS1063" s="136">
        <v>0</v>
      </c>
      <c r="AU1063" s="7" t="str">
        <f>VLOOKUP($AO1063,Mapping!$E$11:$I$96,3,0)</f>
        <v>Replacement</v>
      </c>
      <c r="AV1063" s="7" t="str">
        <f>VLOOKUP($AQ1063,Mapping!$E$140:$K$2771,5,0)</f>
        <v>Labour</v>
      </c>
      <c r="AW1063" s="7" t="str">
        <f>VLOOKUP($AQ1063,Mapping!$E$140:$K$2771,7,0)</f>
        <v>ENDirect</v>
      </c>
      <c r="AX1063" s="7" t="str">
        <f>IFERROR(HLOOKUP(AV1063,'Calc|Weightings'!$K$5:$M$5,1,0),"Excl")</f>
        <v>Labour</v>
      </c>
      <c r="AY1063" s="7" t="str">
        <f>VLOOKUP(AO1063,Mapping!$E$11:$I$96,5,0)</f>
        <v>SCS</v>
      </c>
    </row>
    <row r="1064" spans="1:51" x14ac:dyDescent="0.2">
      <c r="A1064" s="7"/>
      <c r="B1064" s="7"/>
      <c r="C1064" s="7"/>
      <c r="D1064" s="7"/>
      <c r="E1064" s="36">
        <v>142</v>
      </c>
      <c r="F1064" s="36" t="s">
        <v>2152</v>
      </c>
      <c r="G1064" s="36">
        <v>613360</v>
      </c>
      <c r="H1064" s="36" t="s">
        <v>2097</v>
      </c>
      <c r="I1064" s="37">
        <v>1.7746299999999999</v>
      </c>
      <c r="J1064" s="7"/>
      <c r="K1064" s="7" t="str">
        <f>VLOOKUP($E1064,Mapping!$E$11:$I$96,3,0)</f>
        <v>Replacement</v>
      </c>
      <c r="L1064" s="7" t="str">
        <f>VLOOKUP($G1064,Mapping!$E$140:$K$2771,5,0)</f>
        <v>Labour</v>
      </c>
      <c r="M1064" s="7" t="str">
        <f>VLOOKUP($G1064,Mapping!$E$140:$K$2771,7,0)</f>
        <v>ENDirect</v>
      </c>
      <c r="N1064" s="7" t="str">
        <f>IFERROR(HLOOKUP(L1064,'Calc|Weightings'!$K$5:$M$5,1,0),"Excl")</f>
        <v>Labour</v>
      </c>
      <c r="O1064" s="7" t="str">
        <f>VLOOKUP(E1064,Mapping!$E$11:$I$96,5,0)</f>
        <v>SCS</v>
      </c>
      <c r="Q1064" s="33">
        <v>145</v>
      </c>
      <c r="R1064" s="33" t="s">
        <v>2155</v>
      </c>
      <c r="S1064" s="33">
        <v>613441</v>
      </c>
      <c r="T1064" s="33" t="s">
        <v>2104</v>
      </c>
      <c r="U1064" s="34">
        <v>0.16952999999999999</v>
      </c>
      <c r="V1064" s="7"/>
      <c r="W1064" s="7" t="str">
        <f>VLOOKUP($Q1064,Mapping!$E$11:$I$96,3,0)</f>
        <v>Replacement</v>
      </c>
      <c r="X1064" s="7" t="str">
        <f>VLOOKUP($S1064,Mapping!$E$140:$K$2771,5,0)</f>
        <v>Labour</v>
      </c>
      <c r="Y1064" s="7" t="str">
        <f>VLOOKUP($S1064,Mapping!$E$140:$K$2771,7,0)</f>
        <v>ENDirect</v>
      </c>
      <c r="Z1064" s="7" t="str">
        <f>IFERROR(HLOOKUP(X1064,'Calc|Weightings'!$K$5:$M$5,1,0),"Excl")</f>
        <v>Labour</v>
      </c>
      <c r="AA1064" s="7" t="str">
        <f>VLOOKUP(Q1064,Mapping!$E$11:$I$96,5,0)</f>
        <v>SCS</v>
      </c>
      <c r="AC1064" s="111">
        <v>145</v>
      </c>
      <c r="AD1064" s="111" t="s">
        <v>2155</v>
      </c>
      <c r="AE1064" s="111">
        <v>613567</v>
      </c>
      <c r="AF1064" s="111" t="s">
        <v>1483</v>
      </c>
      <c r="AG1064" s="112">
        <v>2.835</v>
      </c>
      <c r="AI1064" s="7" t="str">
        <f>VLOOKUP($AC1064,Mapping!$E$11:$I$96,3,0)</f>
        <v>Replacement</v>
      </c>
      <c r="AJ1064" s="7" t="str">
        <f>VLOOKUP($AE1064,Mapping!$E$140:$K$2771,5,0)</f>
        <v>Labour</v>
      </c>
      <c r="AK1064" s="7" t="str">
        <f>VLOOKUP($AE1064,Mapping!$E$140:$K$2771,7,0)</f>
        <v>ENDirect</v>
      </c>
      <c r="AL1064" s="7" t="str">
        <f>IFERROR(HLOOKUP(AJ1064,'Calc|Weightings'!$K$5:$M$5,1,0),"Excl")</f>
        <v>Labour</v>
      </c>
      <c r="AM1064" s="7" t="str">
        <f>VLOOKUP(AC1064,Mapping!$E$11:$I$96,5,0)</f>
        <v>SCS</v>
      </c>
      <c r="AO1064" s="134">
        <v>148</v>
      </c>
      <c r="AP1064" s="135" t="s">
        <v>2158</v>
      </c>
      <c r="AQ1064" s="135">
        <v>613390</v>
      </c>
      <c r="AR1064" s="135" t="s">
        <v>2141</v>
      </c>
      <c r="AS1064" s="136">
        <v>-1528.84004</v>
      </c>
      <c r="AU1064" s="7" t="str">
        <f>VLOOKUP($AO1064,Mapping!$E$11:$I$96,3,0)</f>
        <v>Replacement</v>
      </c>
      <c r="AV1064" s="7" t="str">
        <f>VLOOKUP($AQ1064,Mapping!$E$140:$K$2771,5,0)</f>
        <v>Contracts</v>
      </c>
      <c r="AW1064" s="7" t="str">
        <f>VLOOKUP($AQ1064,Mapping!$E$140:$K$2771,7,0)</f>
        <v>ENDirect</v>
      </c>
      <c r="AX1064" s="7" t="str">
        <f>IFERROR(HLOOKUP(AV1064,'Calc|Weightings'!$K$5:$M$5,1,0),"Excl")</f>
        <v>Contracts</v>
      </c>
      <c r="AY1064" s="7" t="str">
        <f>VLOOKUP(AO1064,Mapping!$E$11:$I$96,5,0)</f>
        <v>SCS</v>
      </c>
    </row>
    <row r="1065" spans="1:51" x14ac:dyDescent="0.2">
      <c r="A1065" s="7"/>
      <c r="B1065" s="7"/>
      <c r="C1065" s="7"/>
      <c r="D1065" s="7"/>
      <c r="E1065" s="36">
        <v>142</v>
      </c>
      <c r="F1065" s="36" t="s">
        <v>2152</v>
      </c>
      <c r="G1065" s="36">
        <v>613370</v>
      </c>
      <c r="H1065" s="36" t="s">
        <v>1402</v>
      </c>
      <c r="I1065" s="37">
        <v>8.5000000000000006E-3</v>
      </c>
      <c r="J1065" s="7"/>
      <c r="K1065" s="7" t="str">
        <f>VLOOKUP($E1065,Mapping!$E$11:$I$96,3,0)</f>
        <v>Replacement</v>
      </c>
      <c r="L1065" s="7" t="str">
        <f>VLOOKUP($G1065,Mapping!$E$140:$K$2771,5,0)</f>
        <v>Labour</v>
      </c>
      <c r="M1065" s="7" t="str">
        <f>VLOOKUP($G1065,Mapping!$E$140:$K$2771,7,0)</f>
        <v>ENDirect</v>
      </c>
      <c r="N1065" s="7" t="str">
        <f>IFERROR(HLOOKUP(L1065,'Calc|Weightings'!$K$5:$M$5,1,0),"Excl")</f>
        <v>Labour</v>
      </c>
      <c r="O1065" s="7" t="str">
        <f>VLOOKUP(E1065,Mapping!$E$11:$I$96,5,0)</f>
        <v>SCS</v>
      </c>
      <c r="Q1065" s="33">
        <v>145</v>
      </c>
      <c r="R1065" s="33" t="s">
        <v>2155</v>
      </c>
      <c r="S1065" s="33">
        <v>613566</v>
      </c>
      <c r="T1065" s="33" t="s">
        <v>1482</v>
      </c>
      <c r="U1065" s="34">
        <v>20.26595</v>
      </c>
      <c r="V1065" s="7"/>
      <c r="W1065" s="7" t="str">
        <f>VLOOKUP($Q1065,Mapping!$E$11:$I$96,3,0)</f>
        <v>Replacement</v>
      </c>
      <c r="X1065" s="7" t="str">
        <f>VLOOKUP($S1065,Mapping!$E$140:$K$2771,5,0)</f>
        <v>Labour</v>
      </c>
      <c r="Y1065" s="7" t="str">
        <f>VLOOKUP($S1065,Mapping!$E$140:$K$2771,7,0)</f>
        <v>ENDirect</v>
      </c>
      <c r="Z1065" s="7" t="str">
        <f>IFERROR(HLOOKUP(X1065,'Calc|Weightings'!$K$5:$M$5,1,0),"Excl")</f>
        <v>Labour</v>
      </c>
      <c r="AA1065" s="7" t="str">
        <f>VLOOKUP(Q1065,Mapping!$E$11:$I$96,5,0)</f>
        <v>SCS</v>
      </c>
      <c r="AC1065" s="111">
        <v>145</v>
      </c>
      <c r="AD1065" s="111" t="s">
        <v>2155</v>
      </c>
      <c r="AE1065" s="111">
        <v>613574</v>
      </c>
      <c r="AF1065" s="111" t="s">
        <v>1488</v>
      </c>
      <c r="AG1065" s="112">
        <v>5.4763799999999998</v>
      </c>
      <c r="AI1065" s="7" t="str">
        <f>VLOOKUP($AC1065,Mapping!$E$11:$I$96,3,0)</f>
        <v>Replacement</v>
      </c>
      <c r="AJ1065" s="7" t="str">
        <f>VLOOKUP($AE1065,Mapping!$E$140:$K$2771,5,0)</f>
        <v>Labour</v>
      </c>
      <c r="AK1065" s="7" t="str">
        <f>VLOOKUP($AE1065,Mapping!$E$140:$K$2771,7,0)</f>
        <v>ENDirect</v>
      </c>
      <c r="AL1065" s="7" t="str">
        <f>IFERROR(HLOOKUP(AJ1065,'Calc|Weightings'!$K$5:$M$5,1,0),"Excl")</f>
        <v>Labour</v>
      </c>
      <c r="AM1065" s="7" t="str">
        <f>VLOOKUP(AC1065,Mapping!$E$11:$I$96,5,0)</f>
        <v>SCS</v>
      </c>
      <c r="AO1065" s="134">
        <v>148</v>
      </c>
      <c r="AP1065" s="135" t="s">
        <v>2158</v>
      </c>
      <c r="AQ1065" s="135">
        <v>635001</v>
      </c>
      <c r="AR1065" s="135" t="s">
        <v>1929</v>
      </c>
      <c r="AS1065" s="136">
        <v>0</v>
      </c>
      <c r="AU1065" s="7" t="str">
        <f>VLOOKUP($AO1065,Mapping!$E$11:$I$96,3,0)</f>
        <v>Replacement</v>
      </c>
      <c r="AV1065" s="7" t="str">
        <f>VLOOKUP($AQ1065,Mapping!$E$140:$K$2771,5,0)</f>
        <v>PNS MG</v>
      </c>
      <c r="AW1065" s="7" t="str">
        <f>VLOOKUP($AQ1065,Mapping!$E$140:$K$2771,7,0)</f>
        <v>ENDirect</v>
      </c>
      <c r="AX1065" s="7" t="str">
        <f>IFERROR(HLOOKUP(AV1065,'Calc|Weightings'!$K$5:$M$5,1,0),"Excl")</f>
        <v>Excl</v>
      </c>
      <c r="AY1065" s="7" t="str">
        <f>VLOOKUP(AO1065,Mapping!$E$11:$I$96,5,0)</f>
        <v>SCS</v>
      </c>
    </row>
    <row r="1066" spans="1:51" x14ac:dyDescent="0.2">
      <c r="A1066" s="7"/>
      <c r="B1066" s="7"/>
      <c r="C1066" s="7"/>
      <c r="D1066" s="7"/>
      <c r="E1066" s="36">
        <v>142</v>
      </c>
      <c r="F1066" s="36" t="s">
        <v>2152</v>
      </c>
      <c r="G1066" s="36">
        <v>613390</v>
      </c>
      <c r="H1066" s="36" t="s">
        <v>2141</v>
      </c>
      <c r="I1066" s="37">
        <v>26.375879999999999</v>
      </c>
      <c r="J1066" s="7"/>
      <c r="K1066" s="7" t="str">
        <f>VLOOKUP($E1066,Mapping!$E$11:$I$96,3,0)</f>
        <v>Replacement</v>
      </c>
      <c r="L1066" s="7" t="str">
        <f>VLOOKUP($G1066,Mapping!$E$140:$K$2771,5,0)</f>
        <v>Contracts</v>
      </c>
      <c r="M1066" s="7" t="str">
        <f>VLOOKUP($G1066,Mapping!$E$140:$K$2771,7,0)</f>
        <v>ENDirect</v>
      </c>
      <c r="N1066" s="7" t="str">
        <f>IFERROR(HLOOKUP(L1066,'Calc|Weightings'!$K$5:$M$5,1,0),"Excl")</f>
        <v>Contracts</v>
      </c>
      <c r="O1066" s="7" t="str">
        <f>VLOOKUP(E1066,Mapping!$E$11:$I$96,5,0)</f>
        <v>SCS</v>
      </c>
      <c r="Q1066" s="33">
        <v>145</v>
      </c>
      <c r="R1066" s="33" t="s">
        <v>2155</v>
      </c>
      <c r="S1066" s="33">
        <v>613567</v>
      </c>
      <c r="T1066" s="33" t="s">
        <v>1483</v>
      </c>
      <c r="U1066" s="34">
        <v>7.11144</v>
      </c>
      <c r="V1066" s="7"/>
      <c r="W1066" s="7" t="str">
        <f>VLOOKUP($Q1066,Mapping!$E$11:$I$96,3,0)</f>
        <v>Replacement</v>
      </c>
      <c r="X1066" s="7" t="str">
        <f>VLOOKUP($S1066,Mapping!$E$140:$K$2771,5,0)</f>
        <v>Labour</v>
      </c>
      <c r="Y1066" s="7" t="str">
        <f>VLOOKUP($S1066,Mapping!$E$140:$K$2771,7,0)</f>
        <v>ENDirect</v>
      </c>
      <c r="Z1066" s="7" t="str">
        <f>IFERROR(HLOOKUP(X1066,'Calc|Weightings'!$K$5:$M$5,1,0),"Excl")</f>
        <v>Labour</v>
      </c>
      <c r="AA1066" s="7" t="str">
        <f>VLOOKUP(Q1066,Mapping!$E$11:$I$96,5,0)</f>
        <v>SCS</v>
      </c>
      <c r="AC1066" s="111">
        <v>145</v>
      </c>
      <c r="AD1066" s="111" t="s">
        <v>2155</v>
      </c>
      <c r="AE1066" s="111">
        <v>613575</v>
      </c>
      <c r="AF1066" s="111" t="s">
        <v>1489</v>
      </c>
      <c r="AG1066" s="112">
        <v>3.5353500000000002</v>
      </c>
      <c r="AI1066" s="7" t="str">
        <f>VLOOKUP($AC1066,Mapping!$E$11:$I$96,3,0)</f>
        <v>Replacement</v>
      </c>
      <c r="AJ1066" s="7" t="str">
        <f>VLOOKUP($AE1066,Mapping!$E$140:$K$2771,5,0)</f>
        <v>Labour</v>
      </c>
      <c r="AK1066" s="7" t="str">
        <f>VLOOKUP($AE1066,Mapping!$E$140:$K$2771,7,0)</f>
        <v>ENDirect</v>
      </c>
      <c r="AL1066" s="7" t="str">
        <f>IFERROR(HLOOKUP(AJ1066,'Calc|Weightings'!$K$5:$M$5,1,0),"Excl")</f>
        <v>Labour</v>
      </c>
      <c r="AM1066" s="7" t="str">
        <f>VLOOKUP(AC1066,Mapping!$E$11:$I$96,5,0)</f>
        <v>SCS</v>
      </c>
      <c r="AO1066" s="134">
        <v>148</v>
      </c>
      <c r="AP1066" s="135" t="s">
        <v>2158</v>
      </c>
      <c r="AQ1066" s="135">
        <v>636001</v>
      </c>
      <c r="AR1066" s="135" t="s">
        <v>2111</v>
      </c>
      <c r="AS1066" s="136">
        <v>-139.26709</v>
      </c>
      <c r="AU1066" s="7" t="str">
        <f>VLOOKUP($AO1066,Mapping!$E$11:$I$96,3,0)</f>
        <v>Replacement</v>
      </c>
      <c r="AV1066" s="7" t="str">
        <f>VLOOKUP($AQ1066,Mapping!$E$140:$K$2771,5,0)</f>
        <v>System Control OH</v>
      </c>
      <c r="AW1066" s="7" t="str">
        <f>VLOOKUP($AQ1066,Mapping!$E$140:$K$2771,7,0)</f>
        <v>OH</v>
      </c>
      <c r="AX1066" s="7" t="str">
        <f>IFERROR(HLOOKUP(AV1066,'Calc|Weightings'!$K$5:$M$5,1,0),"Excl")</f>
        <v>Excl</v>
      </c>
      <c r="AY1066" s="7" t="str">
        <f>VLOOKUP(AO1066,Mapping!$E$11:$I$96,5,0)</f>
        <v>SCS</v>
      </c>
    </row>
    <row r="1067" spans="1:51" x14ac:dyDescent="0.2">
      <c r="A1067" s="7"/>
      <c r="B1067" s="7"/>
      <c r="C1067" s="7"/>
      <c r="D1067" s="7"/>
      <c r="E1067" s="36">
        <v>142</v>
      </c>
      <c r="F1067" s="36" t="s">
        <v>2152</v>
      </c>
      <c r="G1067" s="36">
        <v>613408</v>
      </c>
      <c r="H1067" s="36" t="s">
        <v>1418</v>
      </c>
      <c r="I1067" s="37">
        <v>31.71641</v>
      </c>
      <c r="J1067" s="7"/>
      <c r="K1067" s="7" t="str">
        <f>VLOOKUP($E1067,Mapping!$E$11:$I$96,3,0)</f>
        <v>Replacement</v>
      </c>
      <c r="L1067" s="7" t="str">
        <f>VLOOKUP($G1067,Mapping!$E$140:$K$2771,5,0)</f>
        <v>Labour</v>
      </c>
      <c r="M1067" s="7" t="str">
        <f>VLOOKUP($G1067,Mapping!$E$140:$K$2771,7,0)</f>
        <v>ENDirect</v>
      </c>
      <c r="N1067" s="7" t="str">
        <f>IFERROR(HLOOKUP(L1067,'Calc|Weightings'!$K$5:$M$5,1,0),"Excl")</f>
        <v>Labour</v>
      </c>
      <c r="O1067" s="7" t="str">
        <f>VLOOKUP(E1067,Mapping!$E$11:$I$96,5,0)</f>
        <v>SCS</v>
      </c>
      <c r="Q1067" s="33">
        <v>145</v>
      </c>
      <c r="R1067" s="33" t="s">
        <v>2155</v>
      </c>
      <c r="S1067" s="33">
        <v>613570</v>
      </c>
      <c r="T1067" s="33" t="s">
        <v>1484</v>
      </c>
      <c r="U1067" s="34">
        <v>1.78444</v>
      </c>
      <c r="V1067" s="7"/>
      <c r="W1067" s="7" t="str">
        <f>VLOOKUP($Q1067,Mapping!$E$11:$I$96,3,0)</f>
        <v>Replacement</v>
      </c>
      <c r="X1067" s="7" t="str">
        <f>VLOOKUP($S1067,Mapping!$E$140:$K$2771,5,0)</f>
        <v>Labour</v>
      </c>
      <c r="Y1067" s="7" t="str">
        <f>VLOOKUP($S1067,Mapping!$E$140:$K$2771,7,0)</f>
        <v>ENDirect</v>
      </c>
      <c r="Z1067" s="7" t="str">
        <f>IFERROR(HLOOKUP(X1067,'Calc|Weightings'!$K$5:$M$5,1,0),"Excl")</f>
        <v>Labour</v>
      </c>
      <c r="AA1067" s="7" t="str">
        <f>VLOOKUP(Q1067,Mapping!$E$11:$I$96,5,0)</f>
        <v>SCS</v>
      </c>
      <c r="AC1067" s="111">
        <v>145</v>
      </c>
      <c r="AD1067" s="111" t="s">
        <v>2155</v>
      </c>
      <c r="AE1067" s="111">
        <v>613576</v>
      </c>
      <c r="AF1067" s="111" t="s">
        <v>1490</v>
      </c>
      <c r="AG1067" s="112">
        <v>0.27616000000000002</v>
      </c>
      <c r="AI1067" s="7" t="str">
        <f>VLOOKUP($AC1067,Mapping!$E$11:$I$96,3,0)</f>
        <v>Replacement</v>
      </c>
      <c r="AJ1067" s="7" t="str">
        <f>VLOOKUP($AE1067,Mapping!$E$140:$K$2771,5,0)</f>
        <v>Labour</v>
      </c>
      <c r="AK1067" s="7" t="str">
        <f>VLOOKUP($AE1067,Mapping!$E$140:$K$2771,7,0)</f>
        <v>ENDirect</v>
      </c>
      <c r="AL1067" s="7" t="str">
        <f>IFERROR(HLOOKUP(AJ1067,'Calc|Weightings'!$K$5:$M$5,1,0),"Excl")</f>
        <v>Labour</v>
      </c>
      <c r="AM1067" s="7" t="str">
        <f>VLOOKUP(AC1067,Mapping!$E$11:$I$96,5,0)</f>
        <v>SCS</v>
      </c>
      <c r="AO1067" s="134">
        <v>150</v>
      </c>
      <c r="AP1067" s="135" t="s">
        <v>2159</v>
      </c>
      <c r="AQ1067" s="135">
        <v>520100</v>
      </c>
      <c r="AR1067" s="135" t="s">
        <v>2072</v>
      </c>
      <c r="AS1067" s="136">
        <v>82.131230000000002</v>
      </c>
      <c r="AU1067" s="7" t="str">
        <f>VLOOKUP($AO1067,Mapping!$E$11:$I$96,3,0)</f>
        <v>Replacement</v>
      </c>
      <c r="AV1067" s="7" t="str">
        <f>VLOOKUP($AQ1067,Mapping!$E$140:$K$2771,5,0)</f>
        <v>Materials</v>
      </c>
      <c r="AW1067" s="7" t="str">
        <f>VLOOKUP($AQ1067,Mapping!$E$140:$K$2771,7,0)</f>
        <v>ENDirect</v>
      </c>
      <c r="AX1067" s="7" t="str">
        <f>IFERROR(HLOOKUP(AV1067,'Calc|Weightings'!$K$5:$M$5,1,0),"Excl")</f>
        <v>Materials</v>
      </c>
      <c r="AY1067" s="7" t="str">
        <f>VLOOKUP(AO1067,Mapping!$E$11:$I$96,5,0)</f>
        <v>SCS</v>
      </c>
    </row>
    <row r="1068" spans="1:51" x14ac:dyDescent="0.2">
      <c r="A1068" s="7"/>
      <c r="B1068" s="7"/>
      <c r="C1068" s="7"/>
      <c r="D1068" s="7"/>
      <c r="E1068" s="36">
        <v>142</v>
      </c>
      <c r="F1068" s="36" t="s">
        <v>2152</v>
      </c>
      <c r="G1068" s="36">
        <v>613409</v>
      </c>
      <c r="H1068" s="36" t="s">
        <v>1419</v>
      </c>
      <c r="I1068" s="37">
        <v>4.9937800000000001</v>
      </c>
      <c r="J1068" s="7"/>
      <c r="K1068" s="7" t="str">
        <f>VLOOKUP($E1068,Mapping!$E$11:$I$96,3,0)</f>
        <v>Replacement</v>
      </c>
      <c r="L1068" s="7" t="str">
        <f>VLOOKUP($G1068,Mapping!$E$140:$K$2771,5,0)</f>
        <v>Labour</v>
      </c>
      <c r="M1068" s="7" t="str">
        <f>VLOOKUP($G1068,Mapping!$E$140:$K$2771,7,0)</f>
        <v>ENDirect</v>
      </c>
      <c r="N1068" s="7" t="str">
        <f>IFERROR(HLOOKUP(L1068,'Calc|Weightings'!$K$5:$M$5,1,0),"Excl")</f>
        <v>Labour</v>
      </c>
      <c r="O1068" s="7" t="str">
        <f>VLOOKUP(E1068,Mapping!$E$11:$I$96,5,0)</f>
        <v>SCS</v>
      </c>
      <c r="Q1068" s="33">
        <v>145</v>
      </c>
      <c r="R1068" s="33" t="s">
        <v>2155</v>
      </c>
      <c r="S1068" s="33">
        <v>613574</v>
      </c>
      <c r="T1068" s="33" t="s">
        <v>1488</v>
      </c>
      <c r="U1068" s="34">
        <v>4.9258100000000002</v>
      </c>
      <c r="V1068" s="7"/>
      <c r="W1068" s="7" t="str">
        <f>VLOOKUP($Q1068,Mapping!$E$11:$I$96,3,0)</f>
        <v>Replacement</v>
      </c>
      <c r="X1068" s="7" t="str">
        <f>VLOOKUP($S1068,Mapping!$E$140:$K$2771,5,0)</f>
        <v>Labour</v>
      </c>
      <c r="Y1068" s="7" t="str">
        <f>VLOOKUP($S1068,Mapping!$E$140:$K$2771,7,0)</f>
        <v>ENDirect</v>
      </c>
      <c r="Z1068" s="7" t="str">
        <f>IFERROR(HLOOKUP(X1068,'Calc|Weightings'!$K$5:$M$5,1,0),"Excl")</f>
        <v>Labour</v>
      </c>
      <c r="AA1068" s="7" t="str">
        <f>VLOOKUP(Q1068,Mapping!$E$11:$I$96,5,0)</f>
        <v>SCS</v>
      </c>
      <c r="AC1068" s="111">
        <v>145</v>
      </c>
      <c r="AD1068" s="111" t="s">
        <v>2155</v>
      </c>
      <c r="AE1068" s="111">
        <v>633000</v>
      </c>
      <c r="AF1068" s="111" t="s">
        <v>2202</v>
      </c>
      <c r="AG1068" s="112">
        <v>-35.972149999999999</v>
      </c>
      <c r="AI1068" s="7" t="str">
        <f>VLOOKUP($AC1068,Mapping!$E$11:$I$96,3,0)</f>
        <v>Replacement</v>
      </c>
      <c r="AJ1068" s="7" t="str">
        <f>VLOOKUP($AE1068,Mapping!$E$140:$K$2771,5,0)</f>
        <v>Contracts</v>
      </c>
      <c r="AK1068" s="7" t="str">
        <f>VLOOKUP($AE1068,Mapping!$E$140:$K$2771,7,0)</f>
        <v>OH</v>
      </c>
      <c r="AL1068" s="7" t="str">
        <f>IFERROR(HLOOKUP(AJ1068,'Calc|Weightings'!$K$5:$M$5,1,0),"Excl")</f>
        <v>Contracts</v>
      </c>
      <c r="AM1068" s="7" t="str">
        <f>VLOOKUP(AC1068,Mapping!$E$11:$I$96,5,0)</f>
        <v>SCS</v>
      </c>
      <c r="AO1068" s="134">
        <v>150</v>
      </c>
      <c r="AP1068" s="135" t="s">
        <v>2159</v>
      </c>
      <c r="AQ1068" s="135">
        <v>520200</v>
      </c>
      <c r="AR1068" s="135" t="s">
        <v>2073</v>
      </c>
      <c r="AS1068" s="136">
        <v>1.3813200000000001</v>
      </c>
      <c r="AU1068" s="7" t="str">
        <f>VLOOKUP($AO1068,Mapping!$E$11:$I$96,3,0)</f>
        <v>Replacement</v>
      </c>
      <c r="AV1068" s="7" t="str">
        <f>VLOOKUP($AQ1068,Mapping!$E$140:$K$2771,5,0)</f>
        <v>Materials</v>
      </c>
      <c r="AW1068" s="7" t="str">
        <f>VLOOKUP($AQ1068,Mapping!$E$140:$K$2771,7,0)</f>
        <v>ENDirect</v>
      </c>
      <c r="AX1068" s="7" t="str">
        <f>IFERROR(HLOOKUP(AV1068,'Calc|Weightings'!$K$5:$M$5,1,0),"Excl")</f>
        <v>Materials</v>
      </c>
      <c r="AY1068" s="7" t="str">
        <f>VLOOKUP(AO1068,Mapping!$E$11:$I$96,5,0)</f>
        <v>SCS</v>
      </c>
    </row>
    <row r="1069" spans="1:51" x14ac:dyDescent="0.2">
      <c r="A1069" s="7"/>
      <c r="B1069" s="7"/>
      <c r="C1069" s="7"/>
      <c r="D1069" s="7"/>
      <c r="E1069" s="36">
        <v>142</v>
      </c>
      <c r="F1069" s="36" t="s">
        <v>2152</v>
      </c>
      <c r="G1069" s="36">
        <v>613418</v>
      </c>
      <c r="H1069" s="36" t="s">
        <v>1424</v>
      </c>
      <c r="I1069" s="37">
        <v>11.005330000000001</v>
      </c>
      <c r="J1069" s="7"/>
      <c r="K1069" s="7" t="str">
        <f>VLOOKUP($E1069,Mapping!$E$11:$I$96,3,0)</f>
        <v>Replacement</v>
      </c>
      <c r="L1069" s="7" t="str">
        <f>VLOOKUP($G1069,Mapping!$E$140:$K$2771,5,0)</f>
        <v>Labour</v>
      </c>
      <c r="M1069" s="7" t="str">
        <f>VLOOKUP($G1069,Mapping!$E$140:$K$2771,7,0)</f>
        <v>ENDirect</v>
      </c>
      <c r="N1069" s="7" t="str">
        <f>IFERROR(HLOOKUP(L1069,'Calc|Weightings'!$K$5:$M$5,1,0),"Excl")</f>
        <v>Labour</v>
      </c>
      <c r="O1069" s="7" t="str">
        <f>VLOOKUP(E1069,Mapping!$E$11:$I$96,5,0)</f>
        <v>SCS</v>
      </c>
      <c r="Q1069" s="33">
        <v>145</v>
      </c>
      <c r="R1069" s="33" t="s">
        <v>2155</v>
      </c>
      <c r="S1069" s="33">
        <v>613575</v>
      </c>
      <c r="T1069" s="33" t="s">
        <v>1489</v>
      </c>
      <c r="U1069" s="34">
        <v>0.24332999999999999</v>
      </c>
      <c r="V1069" s="7"/>
      <c r="W1069" s="7" t="str">
        <f>VLOOKUP($Q1069,Mapping!$E$11:$I$96,3,0)</f>
        <v>Replacement</v>
      </c>
      <c r="X1069" s="7" t="str">
        <f>VLOOKUP($S1069,Mapping!$E$140:$K$2771,5,0)</f>
        <v>Labour</v>
      </c>
      <c r="Y1069" s="7" t="str">
        <f>VLOOKUP($S1069,Mapping!$E$140:$K$2771,7,0)</f>
        <v>ENDirect</v>
      </c>
      <c r="Z1069" s="7" t="str">
        <f>IFERROR(HLOOKUP(X1069,'Calc|Weightings'!$K$5:$M$5,1,0),"Excl")</f>
        <v>Labour</v>
      </c>
      <c r="AA1069" s="7" t="str">
        <f>VLOOKUP(Q1069,Mapping!$E$11:$I$96,5,0)</f>
        <v>SCS</v>
      </c>
      <c r="AC1069" s="111">
        <v>145</v>
      </c>
      <c r="AD1069" s="111" t="s">
        <v>2155</v>
      </c>
      <c r="AE1069" s="111">
        <v>634000</v>
      </c>
      <c r="AF1069" s="111" t="s">
        <v>2110</v>
      </c>
      <c r="AG1069" s="112">
        <v>10.29022</v>
      </c>
      <c r="AI1069" s="7" t="str">
        <f>VLOOKUP($AC1069,Mapping!$E$11:$I$96,3,0)</f>
        <v>Replacement</v>
      </c>
      <c r="AJ1069" s="7" t="str">
        <f>VLOOKUP($AE1069,Mapping!$E$140:$K$2771,5,0)</f>
        <v>Local OH</v>
      </c>
      <c r="AK1069" s="7" t="str">
        <f>VLOOKUP($AE1069,Mapping!$E$140:$K$2771,7,0)</f>
        <v>OH</v>
      </c>
      <c r="AL1069" s="7" t="str">
        <f>IFERROR(HLOOKUP(AJ1069,'Calc|Weightings'!$K$5:$M$5,1,0),"Excl")</f>
        <v>Excl</v>
      </c>
      <c r="AM1069" s="7" t="str">
        <f>VLOOKUP(AC1069,Mapping!$E$11:$I$96,5,0)</f>
        <v>SCS</v>
      </c>
      <c r="AO1069" s="134">
        <v>150</v>
      </c>
      <c r="AP1069" s="135" t="s">
        <v>2159</v>
      </c>
      <c r="AQ1069" s="135">
        <v>522100</v>
      </c>
      <c r="AR1069" s="135" t="s">
        <v>2115</v>
      </c>
      <c r="AS1069" s="136">
        <v>0.05</v>
      </c>
      <c r="AU1069" s="7" t="str">
        <f>VLOOKUP($AO1069,Mapping!$E$11:$I$96,3,0)</f>
        <v>Replacement</v>
      </c>
      <c r="AV1069" s="7" t="str">
        <f>VLOOKUP($AQ1069,Mapping!$E$140:$K$2771,5,0)</f>
        <v>Materials</v>
      </c>
      <c r="AW1069" s="7" t="str">
        <f>VLOOKUP($AQ1069,Mapping!$E$140:$K$2771,7,0)</f>
        <v>ENDirect</v>
      </c>
      <c r="AX1069" s="7" t="str">
        <f>IFERROR(HLOOKUP(AV1069,'Calc|Weightings'!$K$5:$M$5,1,0),"Excl")</f>
        <v>Materials</v>
      </c>
      <c r="AY1069" s="7" t="str">
        <f>VLOOKUP(AO1069,Mapping!$E$11:$I$96,5,0)</f>
        <v>SCS</v>
      </c>
    </row>
    <row r="1070" spans="1:51" x14ac:dyDescent="0.2">
      <c r="A1070" s="7"/>
      <c r="B1070" s="7"/>
      <c r="C1070" s="7"/>
      <c r="D1070" s="7"/>
      <c r="E1070" s="36">
        <v>142</v>
      </c>
      <c r="F1070" s="36" t="s">
        <v>2152</v>
      </c>
      <c r="G1070" s="36">
        <v>613419</v>
      </c>
      <c r="H1070" s="36" t="s">
        <v>1425</v>
      </c>
      <c r="I1070" s="37">
        <v>4.4655199999999997</v>
      </c>
      <c r="J1070" s="7"/>
      <c r="K1070" s="7" t="str">
        <f>VLOOKUP($E1070,Mapping!$E$11:$I$96,3,0)</f>
        <v>Replacement</v>
      </c>
      <c r="L1070" s="7" t="str">
        <f>VLOOKUP($G1070,Mapping!$E$140:$K$2771,5,0)</f>
        <v>Labour</v>
      </c>
      <c r="M1070" s="7" t="str">
        <f>VLOOKUP($G1070,Mapping!$E$140:$K$2771,7,0)</f>
        <v>ENDirect</v>
      </c>
      <c r="N1070" s="7" t="str">
        <f>IFERROR(HLOOKUP(L1070,'Calc|Weightings'!$K$5:$M$5,1,0),"Excl")</f>
        <v>Labour</v>
      </c>
      <c r="O1070" s="7" t="str">
        <f>VLOOKUP(E1070,Mapping!$E$11:$I$96,5,0)</f>
        <v>SCS</v>
      </c>
      <c r="Q1070" s="33">
        <v>145</v>
      </c>
      <c r="R1070" s="33" t="s">
        <v>2155</v>
      </c>
      <c r="S1070" s="33">
        <v>613680</v>
      </c>
      <c r="T1070" s="33" t="s">
        <v>2107</v>
      </c>
      <c r="U1070" s="34">
        <v>11.001239999999999</v>
      </c>
      <c r="V1070" s="7"/>
      <c r="W1070" s="7" t="str">
        <f>VLOOKUP($Q1070,Mapping!$E$11:$I$96,3,0)</f>
        <v>Replacement</v>
      </c>
      <c r="X1070" s="7" t="str">
        <f>VLOOKUP($S1070,Mapping!$E$140:$K$2771,5,0)</f>
        <v>Labour</v>
      </c>
      <c r="Y1070" s="7" t="str">
        <f>VLOOKUP($S1070,Mapping!$E$140:$K$2771,7,0)</f>
        <v>ENDirect</v>
      </c>
      <c r="Z1070" s="7" t="str">
        <f>IFERROR(HLOOKUP(X1070,'Calc|Weightings'!$K$5:$M$5,1,0),"Excl")</f>
        <v>Labour</v>
      </c>
      <c r="AA1070" s="7" t="str">
        <f>VLOOKUP(Q1070,Mapping!$E$11:$I$96,5,0)</f>
        <v>SCS</v>
      </c>
      <c r="AC1070" s="111">
        <v>145</v>
      </c>
      <c r="AD1070" s="111" t="s">
        <v>2155</v>
      </c>
      <c r="AE1070" s="111">
        <v>634001</v>
      </c>
      <c r="AF1070" s="111" t="s">
        <v>2110</v>
      </c>
      <c r="AG1070" s="112">
        <v>54.138199999999998</v>
      </c>
      <c r="AI1070" s="7" t="str">
        <f>VLOOKUP($AC1070,Mapping!$E$11:$I$96,3,0)</f>
        <v>Replacement</v>
      </c>
      <c r="AJ1070" s="7" t="str">
        <f>VLOOKUP($AE1070,Mapping!$E$140:$K$2771,5,0)</f>
        <v>Local OH</v>
      </c>
      <c r="AK1070" s="7" t="str">
        <f>VLOOKUP($AE1070,Mapping!$E$140:$K$2771,7,0)</f>
        <v>OH</v>
      </c>
      <c r="AL1070" s="7" t="str">
        <f>IFERROR(HLOOKUP(AJ1070,'Calc|Weightings'!$K$5:$M$5,1,0),"Excl")</f>
        <v>Excl</v>
      </c>
      <c r="AM1070" s="7" t="str">
        <f>VLOOKUP(AC1070,Mapping!$E$11:$I$96,5,0)</f>
        <v>SCS</v>
      </c>
      <c r="AO1070" s="134">
        <v>150</v>
      </c>
      <c r="AP1070" s="135" t="s">
        <v>2159</v>
      </c>
      <c r="AQ1070" s="135">
        <v>523100</v>
      </c>
      <c r="AR1070" s="135" t="s">
        <v>2074</v>
      </c>
      <c r="AS1070" s="136">
        <v>1.3646199999999999</v>
      </c>
      <c r="AU1070" s="7" t="str">
        <f>VLOOKUP($AO1070,Mapping!$E$11:$I$96,3,0)</f>
        <v>Replacement</v>
      </c>
      <c r="AV1070" s="7" t="str">
        <f>VLOOKUP($AQ1070,Mapping!$E$140:$K$2771,5,0)</f>
        <v>Materials</v>
      </c>
      <c r="AW1070" s="7" t="str">
        <f>VLOOKUP($AQ1070,Mapping!$E$140:$K$2771,7,0)</f>
        <v>ENDirect</v>
      </c>
      <c r="AX1070" s="7" t="str">
        <f>IFERROR(HLOOKUP(AV1070,'Calc|Weightings'!$K$5:$M$5,1,0),"Excl")</f>
        <v>Materials</v>
      </c>
      <c r="AY1070" s="7" t="str">
        <f>VLOOKUP(AO1070,Mapping!$E$11:$I$96,5,0)</f>
        <v>SCS</v>
      </c>
    </row>
    <row r="1071" spans="1:51" x14ac:dyDescent="0.2">
      <c r="A1071" s="7"/>
      <c r="B1071" s="7"/>
      <c r="C1071" s="7"/>
      <c r="D1071" s="7"/>
      <c r="E1071" s="36">
        <v>142</v>
      </c>
      <c r="F1071" s="36" t="s">
        <v>2152</v>
      </c>
      <c r="G1071" s="36">
        <v>613428</v>
      </c>
      <c r="H1071" s="36" t="s">
        <v>1430</v>
      </c>
      <c r="I1071" s="37">
        <v>9.6729999999999997E-2</v>
      </c>
      <c r="J1071" s="7"/>
      <c r="K1071" s="7" t="str">
        <f>VLOOKUP($E1071,Mapping!$E$11:$I$96,3,0)</f>
        <v>Replacement</v>
      </c>
      <c r="L1071" s="7" t="str">
        <f>VLOOKUP($G1071,Mapping!$E$140:$K$2771,5,0)</f>
        <v>Labour</v>
      </c>
      <c r="M1071" s="7" t="str">
        <f>VLOOKUP($G1071,Mapping!$E$140:$K$2771,7,0)</f>
        <v>ENDirect</v>
      </c>
      <c r="N1071" s="7" t="str">
        <f>IFERROR(HLOOKUP(L1071,'Calc|Weightings'!$K$5:$M$5,1,0),"Excl")</f>
        <v>Labour</v>
      </c>
      <c r="O1071" s="7" t="str">
        <f>VLOOKUP(E1071,Mapping!$E$11:$I$96,5,0)</f>
        <v>SCS</v>
      </c>
      <c r="Q1071" s="33">
        <v>145</v>
      </c>
      <c r="R1071" s="33" t="s">
        <v>2155</v>
      </c>
      <c r="S1071" s="33">
        <v>613800</v>
      </c>
      <c r="T1071" s="33" t="s">
        <v>2142</v>
      </c>
      <c r="U1071" s="34">
        <v>2.1421800000000002</v>
      </c>
      <c r="V1071" s="7"/>
      <c r="W1071" s="7" t="str">
        <f>VLOOKUP($Q1071,Mapping!$E$11:$I$96,3,0)</f>
        <v>Replacement</v>
      </c>
      <c r="X1071" s="7" t="str">
        <f>VLOOKUP($S1071,Mapping!$E$140:$K$2771,5,0)</f>
        <v>Materials</v>
      </c>
      <c r="Y1071" s="7" t="str">
        <f>VLOOKUP($S1071,Mapping!$E$140:$K$2771,7,0)</f>
        <v>ENDirect</v>
      </c>
      <c r="Z1071" s="7" t="str">
        <f>IFERROR(HLOOKUP(X1071,'Calc|Weightings'!$K$5:$M$5,1,0),"Excl")</f>
        <v>Materials</v>
      </c>
      <c r="AA1071" s="7" t="str">
        <f>VLOOKUP(Q1071,Mapping!$E$11:$I$96,5,0)</f>
        <v>SCS</v>
      </c>
      <c r="AC1071" s="111">
        <v>145</v>
      </c>
      <c r="AD1071" s="111" t="s">
        <v>2155</v>
      </c>
      <c r="AE1071" s="111">
        <v>635000</v>
      </c>
      <c r="AF1071" s="111" t="s">
        <v>2128</v>
      </c>
      <c r="AG1071" s="112">
        <v>36.766190000000002</v>
      </c>
      <c r="AI1071" s="7" t="str">
        <f>VLOOKUP($AC1071,Mapping!$E$11:$I$96,3,0)</f>
        <v>Replacement</v>
      </c>
      <c r="AJ1071" s="7" t="str">
        <f>VLOOKUP($AE1071,Mapping!$E$140:$K$2771,5,0)</f>
        <v>PNS MG</v>
      </c>
      <c r="AK1071" s="7" t="str">
        <f>VLOOKUP($AE1071,Mapping!$E$140:$K$2771,7,0)</f>
        <v>ENDirect</v>
      </c>
      <c r="AL1071" s="7" t="str">
        <f>IFERROR(HLOOKUP(AJ1071,'Calc|Weightings'!$K$5:$M$5,1,0),"Excl")</f>
        <v>Excl</v>
      </c>
      <c r="AM1071" s="7" t="str">
        <f>VLOOKUP(AC1071,Mapping!$E$11:$I$96,5,0)</f>
        <v>SCS</v>
      </c>
      <c r="AO1071" s="134">
        <v>150</v>
      </c>
      <c r="AP1071" s="135" t="s">
        <v>2159</v>
      </c>
      <c r="AQ1071" s="135">
        <v>523300</v>
      </c>
      <c r="AR1071" s="135" t="s">
        <v>2075</v>
      </c>
      <c r="AS1071" s="136">
        <v>0.31147999999999998</v>
      </c>
      <c r="AU1071" s="7" t="str">
        <f>VLOOKUP($AO1071,Mapping!$E$11:$I$96,3,0)</f>
        <v>Replacement</v>
      </c>
      <c r="AV1071" s="7" t="str">
        <f>VLOOKUP($AQ1071,Mapping!$E$140:$K$2771,5,0)</f>
        <v>Materials</v>
      </c>
      <c r="AW1071" s="7" t="str">
        <f>VLOOKUP($AQ1071,Mapping!$E$140:$K$2771,7,0)</f>
        <v>ENDirect</v>
      </c>
      <c r="AX1071" s="7" t="str">
        <f>IFERROR(HLOOKUP(AV1071,'Calc|Weightings'!$K$5:$M$5,1,0),"Excl")</f>
        <v>Materials</v>
      </c>
      <c r="AY1071" s="7" t="str">
        <f>VLOOKUP(AO1071,Mapping!$E$11:$I$96,5,0)</f>
        <v>SCS</v>
      </c>
    </row>
    <row r="1072" spans="1:51" x14ac:dyDescent="0.2">
      <c r="A1072" s="7"/>
      <c r="B1072" s="7"/>
      <c r="C1072" s="7"/>
      <c r="D1072" s="7"/>
      <c r="E1072" s="36">
        <v>142</v>
      </c>
      <c r="F1072" s="36" t="s">
        <v>2152</v>
      </c>
      <c r="G1072" s="36">
        <v>613429</v>
      </c>
      <c r="H1072" s="36" t="s">
        <v>1431</v>
      </c>
      <c r="I1072" s="37">
        <v>8.4720000000000004E-2</v>
      </c>
      <c r="J1072" s="7"/>
      <c r="K1072" s="7" t="str">
        <f>VLOOKUP($E1072,Mapping!$E$11:$I$96,3,0)</f>
        <v>Replacement</v>
      </c>
      <c r="L1072" s="7" t="str">
        <f>VLOOKUP($G1072,Mapping!$E$140:$K$2771,5,0)</f>
        <v>Labour</v>
      </c>
      <c r="M1072" s="7" t="str">
        <f>VLOOKUP($G1072,Mapping!$E$140:$K$2771,7,0)</f>
        <v>ENDirect</v>
      </c>
      <c r="N1072" s="7" t="str">
        <f>IFERROR(HLOOKUP(L1072,'Calc|Weightings'!$K$5:$M$5,1,0),"Excl")</f>
        <v>Labour</v>
      </c>
      <c r="O1072" s="7" t="str">
        <f>VLOOKUP(E1072,Mapping!$E$11:$I$96,5,0)</f>
        <v>SCS</v>
      </c>
      <c r="Q1072" s="33">
        <v>145</v>
      </c>
      <c r="R1072" s="33" t="s">
        <v>2155</v>
      </c>
      <c r="S1072" s="33">
        <v>634001</v>
      </c>
      <c r="T1072" s="33" t="s">
        <v>2110</v>
      </c>
      <c r="U1072" s="34">
        <v>23.84506</v>
      </c>
      <c r="V1072" s="7"/>
      <c r="W1072" s="7" t="str">
        <f>VLOOKUP($Q1072,Mapping!$E$11:$I$96,3,0)</f>
        <v>Replacement</v>
      </c>
      <c r="X1072" s="7" t="str">
        <f>VLOOKUP($S1072,Mapping!$E$140:$K$2771,5,0)</f>
        <v>Local OH</v>
      </c>
      <c r="Y1072" s="7" t="str">
        <f>VLOOKUP($S1072,Mapping!$E$140:$K$2771,7,0)</f>
        <v>OH</v>
      </c>
      <c r="Z1072" s="7" t="str">
        <f>IFERROR(HLOOKUP(X1072,'Calc|Weightings'!$K$5:$M$5,1,0),"Excl")</f>
        <v>Excl</v>
      </c>
      <c r="AA1072" s="7" t="str">
        <f>VLOOKUP(Q1072,Mapping!$E$11:$I$96,5,0)</f>
        <v>SCS</v>
      </c>
      <c r="AC1072" s="111">
        <v>145</v>
      </c>
      <c r="AD1072" s="111" t="s">
        <v>2155</v>
      </c>
      <c r="AE1072" s="111">
        <v>635001</v>
      </c>
      <c r="AF1072" s="111" t="s">
        <v>1929</v>
      </c>
      <c r="AG1072" s="112">
        <v>-48.720660000000002</v>
      </c>
      <c r="AI1072" s="7" t="str">
        <f>VLOOKUP($AC1072,Mapping!$E$11:$I$96,3,0)</f>
        <v>Replacement</v>
      </c>
      <c r="AJ1072" s="7" t="str">
        <f>VLOOKUP($AE1072,Mapping!$E$140:$K$2771,5,0)</f>
        <v>PNS MG</v>
      </c>
      <c r="AK1072" s="7" t="str">
        <f>VLOOKUP($AE1072,Mapping!$E$140:$K$2771,7,0)</f>
        <v>ENDirect</v>
      </c>
      <c r="AL1072" s="7" t="str">
        <f>IFERROR(HLOOKUP(AJ1072,'Calc|Weightings'!$K$5:$M$5,1,0),"Excl")</f>
        <v>Excl</v>
      </c>
      <c r="AM1072" s="7" t="str">
        <f>VLOOKUP(AC1072,Mapping!$E$11:$I$96,5,0)</f>
        <v>SCS</v>
      </c>
      <c r="AO1072" s="134">
        <v>150</v>
      </c>
      <c r="AP1072" s="135" t="s">
        <v>2159</v>
      </c>
      <c r="AQ1072" s="135">
        <v>531000</v>
      </c>
      <c r="AR1072" s="135" t="s">
        <v>242</v>
      </c>
      <c r="AS1072" s="136">
        <v>227.84635</v>
      </c>
      <c r="AU1072" s="7" t="str">
        <f>VLOOKUP($AO1072,Mapping!$E$11:$I$96,3,0)</f>
        <v>Replacement</v>
      </c>
      <c r="AV1072" s="7" t="str">
        <f>VLOOKUP($AQ1072,Mapping!$E$140:$K$2771,5,0)</f>
        <v>Contracts</v>
      </c>
      <c r="AW1072" s="7" t="str">
        <f>VLOOKUP($AQ1072,Mapping!$E$140:$K$2771,7,0)</f>
        <v>ENDirect</v>
      </c>
      <c r="AX1072" s="7" t="str">
        <f>IFERROR(HLOOKUP(AV1072,'Calc|Weightings'!$K$5:$M$5,1,0),"Excl")</f>
        <v>Contracts</v>
      </c>
      <c r="AY1072" s="7" t="str">
        <f>VLOOKUP(AO1072,Mapping!$E$11:$I$96,5,0)</f>
        <v>SCS</v>
      </c>
    </row>
    <row r="1073" spans="1:51" x14ac:dyDescent="0.2">
      <c r="A1073" s="7"/>
      <c r="B1073" s="7"/>
      <c r="C1073" s="7"/>
      <c r="D1073" s="7"/>
      <c r="E1073" s="36">
        <v>142</v>
      </c>
      <c r="F1073" s="36" t="s">
        <v>2152</v>
      </c>
      <c r="G1073" s="36">
        <v>613438</v>
      </c>
      <c r="H1073" s="36" t="s">
        <v>1436</v>
      </c>
      <c r="I1073" s="37">
        <v>0.96802999999999995</v>
      </c>
      <c r="J1073" s="7"/>
      <c r="K1073" s="7" t="str">
        <f>VLOOKUP($E1073,Mapping!$E$11:$I$96,3,0)</f>
        <v>Replacement</v>
      </c>
      <c r="L1073" s="7" t="str">
        <f>VLOOKUP($G1073,Mapping!$E$140:$K$2771,5,0)</f>
        <v>Labour</v>
      </c>
      <c r="M1073" s="7" t="str">
        <f>VLOOKUP($G1073,Mapping!$E$140:$K$2771,7,0)</f>
        <v>ENDirect</v>
      </c>
      <c r="N1073" s="7" t="str">
        <f>IFERROR(HLOOKUP(L1073,'Calc|Weightings'!$K$5:$M$5,1,0),"Excl")</f>
        <v>Labour</v>
      </c>
      <c r="O1073" s="7" t="str">
        <f>VLOOKUP(E1073,Mapping!$E$11:$I$96,5,0)</f>
        <v>SCS</v>
      </c>
      <c r="Q1073" s="33">
        <v>145</v>
      </c>
      <c r="R1073" s="33" t="s">
        <v>2155</v>
      </c>
      <c r="S1073" s="33">
        <v>635001</v>
      </c>
      <c r="T1073" s="33" t="s">
        <v>1929</v>
      </c>
      <c r="U1073" s="34">
        <v>13.48551</v>
      </c>
      <c r="V1073" s="7"/>
      <c r="W1073" s="7" t="str">
        <f>VLOOKUP($Q1073,Mapping!$E$11:$I$96,3,0)</f>
        <v>Replacement</v>
      </c>
      <c r="X1073" s="7" t="str">
        <f>VLOOKUP($S1073,Mapping!$E$140:$K$2771,5,0)</f>
        <v>PNS MG</v>
      </c>
      <c r="Y1073" s="7" t="str">
        <f>VLOOKUP($S1073,Mapping!$E$140:$K$2771,7,0)</f>
        <v>ENDirect</v>
      </c>
      <c r="Z1073" s="7" t="str">
        <f>IFERROR(HLOOKUP(X1073,'Calc|Weightings'!$K$5:$M$5,1,0),"Excl")</f>
        <v>Excl</v>
      </c>
      <c r="AA1073" s="7" t="str">
        <f>VLOOKUP(Q1073,Mapping!$E$11:$I$96,5,0)</f>
        <v>SCS</v>
      </c>
      <c r="AC1073" s="111">
        <v>145</v>
      </c>
      <c r="AD1073" s="111" t="s">
        <v>2155</v>
      </c>
      <c r="AE1073" s="111">
        <v>636000</v>
      </c>
      <c r="AF1073" s="111" t="s">
        <v>2111</v>
      </c>
      <c r="AG1073" s="112">
        <v>2.0917599999999998</v>
      </c>
      <c r="AI1073" s="7" t="str">
        <f>VLOOKUP($AC1073,Mapping!$E$11:$I$96,3,0)</f>
        <v>Replacement</v>
      </c>
      <c r="AJ1073" s="7" t="str">
        <f>VLOOKUP($AE1073,Mapping!$E$140:$K$2771,5,0)</f>
        <v>System Control OH</v>
      </c>
      <c r="AK1073" s="7" t="str">
        <f>VLOOKUP($AE1073,Mapping!$E$140:$K$2771,7,0)</f>
        <v>OH</v>
      </c>
      <c r="AL1073" s="7" t="str">
        <f>IFERROR(HLOOKUP(AJ1073,'Calc|Weightings'!$K$5:$M$5,1,0),"Excl")</f>
        <v>Excl</v>
      </c>
      <c r="AM1073" s="7" t="str">
        <f>VLOOKUP(AC1073,Mapping!$E$11:$I$96,5,0)</f>
        <v>SCS</v>
      </c>
      <c r="AO1073" s="134">
        <v>150</v>
      </c>
      <c r="AP1073" s="135" t="s">
        <v>2159</v>
      </c>
      <c r="AQ1073" s="135">
        <v>531020</v>
      </c>
      <c r="AR1073" s="135" t="s">
        <v>219</v>
      </c>
      <c r="AS1073" s="136">
        <v>2.4264600000000001</v>
      </c>
      <c r="AU1073" s="7" t="str">
        <f>VLOOKUP($AO1073,Mapping!$E$11:$I$96,3,0)</f>
        <v>Replacement</v>
      </c>
      <c r="AV1073" s="7" t="str">
        <f>VLOOKUP($AQ1073,Mapping!$E$140:$K$2771,5,0)</f>
        <v>Labour</v>
      </c>
      <c r="AW1073" s="7" t="str">
        <f>VLOOKUP($AQ1073,Mapping!$E$140:$K$2771,7,0)</f>
        <v>ENDirect</v>
      </c>
      <c r="AX1073" s="7" t="str">
        <f>IFERROR(HLOOKUP(AV1073,'Calc|Weightings'!$K$5:$M$5,1,0),"Excl")</f>
        <v>Labour</v>
      </c>
      <c r="AY1073" s="7" t="str">
        <f>VLOOKUP(AO1073,Mapping!$E$11:$I$96,5,0)</f>
        <v>SCS</v>
      </c>
    </row>
    <row r="1074" spans="1:51" x14ac:dyDescent="0.2">
      <c r="A1074" s="7"/>
      <c r="B1074" s="7"/>
      <c r="C1074" s="7"/>
      <c r="D1074" s="7"/>
      <c r="E1074" s="36">
        <v>142</v>
      </c>
      <c r="F1074" s="36" t="s">
        <v>2152</v>
      </c>
      <c r="G1074" s="36">
        <v>613439</v>
      </c>
      <c r="H1074" s="36" t="s">
        <v>1437</v>
      </c>
      <c r="I1074" s="37">
        <v>0.28838000000000003</v>
      </c>
      <c r="J1074" s="7"/>
      <c r="K1074" s="7" t="str">
        <f>VLOOKUP($E1074,Mapping!$E$11:$I$96,3,0)</f>
        <v>Replacement</v>
      </c>
      <c r="L1074" s="7" t="str">
        <f>VLOOKUP($G1074,Mapping!$E$140:$K$2771,5,0)</f>
        <v>Labour</v>
      </c>
      <c r="M1074" s="7" t="str">
        <f>VLOOKUP($G1074,Mapping!$E$140:$K$2771,7,0)</f>
        <v>ENDirect</v>
      </c>
      <c r="N1074" s="7" t="str">
        <f>IFERROR(HLOOKUP(L1074,'Calc|Weightings'!$K$5:$M$5,1,0),"Excl")</f>
        <v>Labour</v>
      </c>
      <c r="O1074" s="7" t="str">
        <f>VLOOKUP(E1074,Mapping!$E$11:$I$96,5,0)</f>
        <v>SCS</v>
      </c>
      <c r="Q1074" s="33">
        <v>145</v>
      </c>
      <c r="R1074" s="33" t="s">
        <v>2155</v>
      </c>
      <c r="S1074" s="33">
        <v>636001</v>
      </c>
      <c r="T1074" s="33" t="s">
        <v>2111</v>
      </c>
      <c r="U1074" s="34">
        <v>7.2461399999999996</v>
      </c>
      <c r="V1074" s="7"/>
      <c r="W1074" s="7" t="str">
        <f>VLOOKUP($Q1074,Mapping!$E$11:$I$96,3,0)</f>
        <v>Replacement</v>
      </c>
      <c r="X1074" s="7" t="str">
        <f>VLOOKUP($S1074,Mapping!$E$140:$K$2771,5,0)</f>
        <v>System Control OH</v>
      </c>
      <c r="Y1074" s="7" t="str">
        <f>VLOOKUP($S1074,Mapping!$E$140:$K$2771,7,0)</f>
        <v>OH</v>
      </c>
      <c r="Z1074" s="7" t="str">
        <f>IFERROR(HLOOKUP(X1074,'Calc|Weightings'!$K$5:$M$5,1,0),"Excl")</f>
        <v>Excl</v>
      </c>
      <c r="AA1074" s="7" t="str">
        <f>VLOOKUP(Q1074,Mapping!$E$11:$I$96,5,0)</f>
        <v>SCS</v>
      </c>
      <c r="AC1074" s="111">
        <v>145</v>
      </c>
      <c r="AD1074" s="111" t="s">
        <v>2155</v>
      </c>
      <c r="AE1074" s="111">
        <v>636001</v>
      </c>
      <c r="AF1074" s="111" t="s">
        <v>2111</v>
      </c>
      <c r="AG1074" s="112">
        <v>4.6682699999999997</v>
      </c>
      <c r="AI1074" s="7" t="str">
        <f>VLOOKUP($AC1074,Mapping!$E$11:$I$96,3,0)</f>
        <v>Replacement</v>
      </c>
      <c r="AJ1074" s="7" t="str">
        <f>VLOOKUP($AE1074,Mapping!$E$140:$K$2771,5,0)</f>
        <v>System Control OH</v>
      </c>
      <c r="AK1074" s="7" t="str">
        <f>VLOOKUP($AE1074,Mapping!$E$140:$K$2771,7,0)</f>
        <v>OH</v>
      </c>
      <c r="AL1074" s="7" t="str">
        <f>IFERROR(HLOOKUP(AJ1074,'Calc|Weightings'!$K$5:$M$5,1,0),"Excl")</f>
        <v>Excl</v>
      </c>
      <c r="AM1074" s="7" t="str">
        <f>VLOOKUP(AC1074,Mapping!$E$11:$I$96,5,0)</f>
        <v>SCS</v>
      </c>
      <c r="AO1074" s="134">
        <v>150</v>
      </c>
      <c r="AP1074" s="135" t="s">
        <v>2159</v>
      </c>
      <c r="AQ1074" s="135">
        <v>531464</v>
      </c>
      <c r="AR1074" s="135" t="s">
        <v>256</v>
      </c>
      <c r="AS1074" s="136">
        <v>682.76746000000003</v>
      </c>
      <c r="AU1074" s="7" t="str">
        <f>VLOOKUP($AO1074,Mapping!$E$11:$I$96,3,0)</f>
        <v>Replacement</v>
      </c>
      <c r="AV1074" s="7" t="str">
        <f>VLOOKUP($AQ1074,Mapping!$E$140:$K$2771,5,0)</f>
        <v>Contracts</v>
      </c>
      <c r="AW1074" s="7" t="str">
        <f>VLOOKUP($AQ1074,Mapping!$E$140:$K$2771,7,0)</f>
        <v>ENDirect</v>
      </c>
      <c r="AX1074" s="7" t="str">
        <f>IFERROR(HLOOKUP(AV1074,'Calc|Weightings'!$K$5:$M$5,1,0),"Excl")</f>
        <v>Contracts</v>
      </c>
      <c r="AY1074" s="7" t="str">
        <f>VLOOKUP(AO1074,Mapping!$E$11:$I$96,5,0)</f>
        <v>SCS</v>
      </c>
    </row>
    <row r="1075" spans="1:51" x14ac:dyDescent="0.2">
      <c r="A1075" s="7"/>
      <c r="B1075" s="7"/>
      <c r="C1075" s="7"/>
      <c r="D1075" s="7"/>
      <c r="E1075" s="36">
        <v>142</v>
      </c>
      <c r="F1075" s="36" t="s">
        <v>2152</v>
      </c>
      <c r="G1075" s="36">
        <v>613680</v>
      </c>
      <c r="H1075" s="36" t="s">
        <v>2107</v>
      </c>
      <c r="I1075" s="37">
        <v>0.74648999999999999</v>
      </c>
      <c r="J1075" s="7"/>
      <c r="K1075" s="7" t="str">
        <f>VLOOKUP($E1075,Mapping!$E$11:$I$96,3,0)</f>
        <v>Replacement</v>
      </c>
      <c r="L1075" s="7" t="str">
        <f>VLOOKUP($G1075,Mapping!$E$140:$K$2771,5,0)</f>
        <v>Labour</v>
      </c>
      <c r="M1075" s="7" t="str">
        <f>VLOOKUP($G1075,Mapping!$E$140:$K$2771,7,0)</f>
        <v>ENDirect</v>
      </c>
      <c r="N1075" s="7" t="str">
        <f>IFERROR(HLOOKUP(L1075,'Calc|Weightings'!$K$5:$M$5,1,0),"Excl")</f>
        <v>Labour</v>
      </c>
      <c r="O1075" s="7" t="str">
        <f>VLOOKUP(E1075,Mapping!$E$11:$I$96,5,0)</f>
        <v>SCS</v>
      </c>
      <c r="Q1075" s="33">
        <v>145</v>
      </c>
      <c r="R1075" s="33" t="s">
        <v>2155</v>
      </c>
      <c r="S1075" s="33">
        <v>639000</v>
      </c>
      <c r="T1075" s="33" t="s">
        <v>2112</v>
      </c>
      <c r="U1075" s="34">
        <v>19.545660000000002</v>
      </c>
      <c r="V1075" s="7"/>
      <c r="W1075" s="7" t="str">
        <f>VLOOKUP($Q1075,Mapping!$E$11:$I$96,3,0)</f>
        <v>Replacement</v>
      </c>
      <c r="X1075" s="7" t="str">
        <f>VLOOKUP($S1075,Mapping!$E$140:$K$2771,5,0)</f>
        <v>PNS Corporate OH</v>
      </c>
      <c r="Y1075" s="7" t="str">
        <f>VLOOKUP($S1075,Mapping!$E$140:$K$2771,7,0)</f>
        <v>OH</v>
      </c>
      <c r="Z1075" s="7" t="str">
        <f>IFERROR(HLOOKUP(X1075,'Calc|Weightings'!$K$5:$M$5,1,0),"Excl")</f>
        <v>Excl</v>
      </c>
      <c r="AA1075" s="7" t="str">
        <f>VLOOKUP(Q1075,Mapping!$E$11:$I$96,5,0)</f>
        <v>SCS</v>
      </c>
      <c r="AC1075" s="111">
        <v>145</v>
      </c>
      <c r="AD1075" s="111" t="s">
        <v>2155</v>
      </c>
      <c r="AE1075" s="111">
        <v>639000</v>
      </c>
      <c r="AF1075" s="111" t="s">
        <v>2112</v>
      </c>
      <c r="AG1075" s="112">
        <v>14.23803</v>
      </c>
      <c r="AI1075" s="7" t="str">
        <f>VLOOKUP($AC1075,Mapping!$E$11:$I$96,3,0)</f>
        <v>Replacement</v>
      </c>
      <c r="AJ1075" s="7" t="str">
        <f>VLOOKUP($AE1075,Mapping!$E$140:$K$2771,5,0)</f>
        <v>PNS Corporate OH</v>
      </c>
      <c r="AK1075" s="7" t="str">
        <f>VLOOKUP($AE1075,Mapping!$E$140:$K$2771,7,0)</f>
        <v>OH</v>
      </c>
      <c r="AL1075" s="7" t="str">
        <f>IFERROR(HLOOKUP(AJ1075,'Calc|Weightings'!$K$5:$M$5,1,0),"Excl")</f>
        <v>Excl</v>
      </c>
      <c r="AM1075" s="7" t="str">
        <f>VLOOKUP(AC1075,Mapping!$E$11:$I$96,5,0)</f>
        <v>SCS</v>
      </c>
      <c r="AO1075" s="134">
        <v>150</v>
      </c>
      <c r="AP1075" s="135" t="s">
        <v>2159</v>
      </c>
      <c r="AQ1075" s="135">
        <v>531466</v>
      </c>
      <c r="AR1075" s="135" t="s">
        <v>258</v>
      </c>
      <c r="AS1075" s="136">
        <v>9.8559999999999995E-2</v>
      </c>
      <c r="AU1075" s="7" t="str">
        <f>VLOOKUP($AO1075,Mapping!$E$11:$I$96,3,0)</f>
        <v>Replacement</v>
      </c>
      <c r="AV1075" s="7" t="str">
        <f>VLOOKUP($AQ1075,Mapping!$E$140:$K$2771,5,0)</f>
        <v>Contracts</v>
      </c>
      <c r="AW1075" s="7" t="str">
        <f>VLOOKUP($AQ1075,Mapping!$E$140:$K$2771,7,0)</f>
        <v>ENDirect</v>
      </c>
      <c r="AX1075" s="7" t="str">
        <f>IFERROR(HLOOKUP(AV1075,'Calc|Weightings'!$K$5:$M$5,1,0),"Excl")</f>
        <v>Contracts</v>
      </c>
      <c r="AY1075" s="7" t="str">
        <f>VLOOKUP(AO1075,Mapping!$E$11:$I$96,5,0)</f>
        <v>SCS</v>
      </c>
    </row>
    <row r="1076" spans="1:51" x14ac:dyDescent="0.2">
      <c r="A1076" s="7"/>
      <c r="B1076" s="7"/>
      <c r="C1076" s="7"/>
      <c r="D1076" s="7"/>
      <c r="E1076" s="36">
        <v>142</v>
      </c>
      <c r="F1076" s="36" t="s">
        <v>2152</v>
      </c>
      <c r="G1076" s="36">
        <v>613800</v>
      </c>
      <c r="H1076" s="36" t="s">
        <v>2142</v>
      </c>
      <c r="I1076" s="37">
        <v>8.0430000000000001E-2</v>
      </c>
      <c r="J1076" s="7"/>
      <c r="K1076" s="7" t="str">
        <f>VLOOKUP($E1076,Mapping!$E$11:$I$96,3,0)</f>
        <v>Replacement</v>
      </c>
      <c r="L1076" s="7" t="str">
        <f>VLOOKUP($G1076,Mapping!$E$140:$K$2771,5,0)</f>
        <v>Materials</v>
      </c>
      <c r="M1076" s="7" t="str">
        <f>VLOOKUP($G1076,Mapping!$E$140:$K$2771,7,0)</f>
        <v>ENDirect</v>
      </c>
      <c r="N1076" s="7" t="str">
        <f>IFERROR(HLOOKUP(L1076,'Calc|Weightings'!$K$5:$M$5,1,0),"Excl")</f>
        <v>Materials</v>
      </c>
      <c r="O1076" s="7" t="str">
        <f>VLOOKUP(E1076,Mapping!$E$11:$I$96,5,0)</f>
        <v>SCS</v>
      </c>
      <c r="Q1076" s="33">
        <v>145</v>
      </c>
      <c r="R1076" s="33" t="s">
        <v>2155</v>
      </c>
      <c r="S1076" s="33">
        <v>639050</v>
      </c>
      <c r="T1076" s="33" t="s">
        <v>2113</v>
      </c>
      <c r="U1076" s="34">
        <v>3.26444</v>
      </c>
      <c r="V1076" s="7"/>
      <c r="W1076" s="7" t="str">
        <f>VLOOKUP($Q1076,Mapping!$E$11:$I$96,3,0)</f>
        <v>Replacement</v>
      </c>
      <c r="X1076" s="7" t="str">
        <f>VLOOKUP($S1076,Mapping!$E$140:$K$2771,5,0)</f>
        <v>PNS Fleet &amp; Property OH</v>
      </c>
      <c r="Y1076" s="7" t="str">
        <f>VLOOKUP($S1076,Mapping!$E$140:$K$2771,7,0)</f>
        <v>OH</v>
      </c>
      <c r="Z1076" s="7" t="str">
        <f>IFERROR(HLOOKUP(X1076,'Calc|Weightings'!$K$5:$M$5,1,0),"Excl")</f>
        <v>Excl</v>
      </c>
      <c r="AA1076" s="7" t="str">
        <f>VLOOKUP(Q1076,Mapping!$E$11:$I$96,5,0)</f>
        <v>SCS</v>
      </c>
      <c r="AC1076" s="111">
        <v>145</v>
      </c>
      <c r="AD1076" s="111" t="s">
        <v>2155</v>
      </c>
      <c r="AE1076" s="111">
        <v>639050</v>
      </c>
      <c r="AF1076" s="111" t="s">
        <v>2113</v>
      </c>
      <c r="AG1076" s="112">
        <v>3.5950700000000002</v>
      </c>
      <c r="AI1076" s="7" t="str">
        <f>VLOOKUP($AC1076,Mapping!$E$11:$I$96,3,0)</f>
        <v>Replacement</v>
      </c>
      <c r="AJ1076" s="7" t="str">
        <f>VLOOKUP($AE1076,Mapping!$E$140:$K$2771,5,0)</f>
        <v>PNS Fleet &amp; Property OH</v>
      </c>
      <c r="AK1076" s="7" t="str">
        <f>VLOOKUP($AE1076,Mapping!$E$140:$K$2771,7,0)</f>
        <v>OH</v>
      </c>
      <c r="AL1076" s="7" t="str">
        <f>IFERROR(HLOOKUP(AJ1076,'Calc|Weightings'!$K$5:$M$5,1,0),"Excl")</f>
        <v>Excl</v>
      </c>
      <c r="AM1076" s="7" t="str">
        <f>VLOOKUP(AC1076,Mapping!$E$11:$I$96,5,0)</f>
        <v>SCS</v>
      </c>
      <c r="AO1076" s="134">
        <v>150</v>
      </c>
      <c r="AP1076" s="135" t="s">
        <v>2159</v>
      </c>
      <c r="AQ1076" s="135">
        <v>531467</v>
      </c>
      <c r="AR1076" s="135" t="s">
        <v>259</v>
      </c>
      <c r="AS1076" s="136">
        <v>172.3092</v>
      </c>
      <c r="AU1076" s="7" t="str">
        <f>VLOOKUP($AO1076,Mapping!$E$11:$I$96,3,0)</f>
        <v>Replacement</v>
      </c>
      <c r="AV1076" s="7" t="str">
        <f>VLOOKUP($AQ1076,Mapping!$E$140:$K$2771,5,0)</f>
        <v>Contracts</v>
      </c>
      <c r="AW1076" s="7" t="str">
        <f>VLOOKUP($AQ1076,Mapping!$E$140:$K$2771,7,0)</f>
        <v>ENDirect</v>
      </c>
      <c r="AX1076" s="7" t="str">
        <f>IFERROR(HLOOKUP(AV1076,'Calc|Weightings'!$K$5:$M$5,1,0),"Excl")</f>
        <v>Contracts</v>
      </c>
      <c r="AY1076" s="7" t="str">
        <f>VLOOKUP(AO1076,Mapping!$E$11:$I$96,5,0)</f>
        <v>SCS</v>
      </c>
    </row>
    <row r="1077" spans="1:51" x14ac:dyDescent="0.2">
      <c r="A1077" s="7"/>
      <c r="B1077" s="7"/>
      <c r="C1077" s="7"/>
      <c r="D1077" s="7"/>
      <c r="E1077" s="36">
        <v>142</v>
      </c>
      <c r="F1077" s="36" t="s">
        <v>2152</v>
      </c>
      <c r="G1077" s="36">
        <v>633000</v>
      </c>
      <c r="H1077" s="36" t="s">
        <v>2202</v>
      </c>
      <c r="I1077" s="37">
        <v>35.748190000000001</v>
      </c>
      <c r="J1077" s="7"/>
      <c r="K1077" s="7" t="str">
        <f>VLOOKUP($E1077,Mapping!$E$11:$I$96,3,0)</f>
        <v>Replacement</v>
      </c>
      <c r="L1077" s="7" t="str">
        <f>VLOOKUP($G1077,Mapping!$E$140:$K$2771,5,0)</f>
        <v>Contracts</v>
      </c>
      <c r="M1077" s="7" t="str">
        <f>VLOOKUP($G1077,Mapping!$E$140:$K$2771,7,0)</f>
        <v>OH</v>
      </c>
      <c r="N1077" s="7" t="str">
        <f>IFERROR(HLOOKUP(L1077,'Calc|Weightings'!$K$5:$M$5,1,0),"Excl")</f>
        <v>Contracts</v>
      </c>
      <c r="O1077" s="7" t="str">
        <f>VLOOKUP(E1077,Mapping!$E$11:$I$96,5,0)</f>
        <v>SCS</v>
      </c>
      <c r="Q1077" s="33">
        <v>146</v>
      </c>
      <c r="R1077" s="33" t="s">
        <v>2156</v>
      </c>
      <c r="S1077" s="33">
        <v>520100</v>
      </c>
      <c r="T1077" s="33" t="s">
        <v>2072</v>
      </c>
      <c r="U1077" s="34">
        <v>27.754639999999998</v>
      </c>
      <c r="V1077" s="7"/>
      <c r="W1077" s="7" t="str">
        <f>VLOOKUP($Q1077,Mapping!$E$11:$I$96,3,0)</f>
        <v>Quoted Opex</v>
      </c>
      <c r="X1077" s="7" t="str">
        <f>VLOOKUP($S1077,Mapping!$E$140:$K$2771,5,0)</f>
        <v>Materials</v>
      </c>
      <c r="Y1077" s="7" t="str">
        <f>VLOOKUP($S1077,Mapping!$E$140:$K$2771,7,0)</f>
        <v>ENDirect</v>
      </c>
      <c r="Z1077" s="7" t="str">
        <f>IFERROR(HLOOKUP(X1077,'Calc|Weightings'!$K$5:$M$5,1,0),"Excl")</f>
        <v>Materials</v>
      </c>
      <c r="AA1077" s="7" t="str">
        <f>VLOOKUP(Q1077,Mapping!$E$11:$I$96,5,0)</f>
        <v>Ancillary Network Services</v>
      </c>
      <c r="AC1077" s="111">
        <v>146</v>
      </c>
      <c r="AD1077" s="111" t="s">
        <v>2156</v>
      </c>
      <c r="AE1077" s="111">
        <v>520100</v>
      </c>
      <c r="AF1077" s="111" t="s">
        <v>2072</v>
      </c>
      <c r="AG1077" s="112">
        <v>35.43627</v>
      </c>
      <c r="AI1077" s="7" t="str">
        <f>VLOOKUP($AC1077,Mapping!$E$11:$I$96,3,0)</f>
        <v>Quoted Opex</v>
      </c>
      <c r="AJ1077" s="7" t="str">
        <f>VLOOKUP($AE1077,Mapping!$E$140:$K$2771,5,0)</f>
        <v>Materials</v>
      </c>
      <c r="AK1077" s="7" t="str">
        <f>VLOOKUP($AE1077,Mapping!$E$140:$K$2771,7,0)</f>
        <v>ENDirect</v>
      </c>
      <c r="AL1077" s="7" t="str">
        <f>IFERROR(HLOOKUP(AJ1077,'Calc|Weightings'!$K$5:$M$5,1,0),"Excl")</f>
        <v>Materials</v>
      </c>
      <c r="AM1077" s="7" t="str">
        <f>VLOOKUP(AC1077,Mapping!$E$11:$I$96,5,0)</f>
        <v>Ancillary Network Services</v>
      </c>
      <c r="AO1077" s="134">
        <v>150</v>
      </c>
      <c r="AP1077" s="135" t="s">
        <v>2159</v>
      </c>
      <c r="AQ1077" s="135">
        <v>531468</v>
      </c>
      <c r="AR1077" s="135" t="s">
        <v>260</v>
      </c>
      <c r="AS1077" s="136">
        <v>120.55097000000001</v>
      </c>
      <c r="AU1077" s="7" t="str">
        <f>VLOOKUP($AO1077,Mapping!$E$11:$I$96,3,0)</f>
        <v>Replacement</v>
      </c>
      <c r="AV1077" s="7" t="str">
        <f>VLOOKUP($AQ1077,Mapping!$E$140:$K$2771,5,0)</f>
        <v>Contracts</v>
      </c>
      <c r="AW1077" s="7" t="str">
        <f>VLOOKUP($AQ1077,Mapping!$E$140:$K$2771,7,0)</f>
        <v>ENDirect</v>
      </c>
      <c r="AX1077" s="7" t="str">
        <f>IFERROR(HLOOKUP(AV1077,'Calc|Weightings'!$K$5:$M$5,1,0),"Excl")</f>
        <v>Contracts</v>
      </c>
      <c r="AY1077" s="7" t="str">
        <f>VLOOKUP(AO1077,Mapping!$E$11:$I$96,5,0)</f>
        <v>SCS</v>
      </c>
    </row>
    <row r="1078" spans="1:51" x14ac:dyDescent="0.2">
      <c r="A1078" s="7"/>
      <c r="B1078" s="7"/>
      <c r="C1078" s="7"/>
      <c r="D1078" s="7"/>
      <c r="E1078" s="36">
        <v>142</v>
      </c>
      <c r="F1078" s="36" t="s">
        <v>2152</v>
      </c>
      <c r="G1078" s="36">
        <v>634001</v>
      </c>
      <c r="H1078" s="36" t="s">
        <v>2110</v>
      </c>
      <c r="I1078" s="37">
        <v>-1.84175</v>
      </c>
      <c r="J1078" s="7"/>
      <c r="K1078" s="7" t="str">
        <f>VLOOKUP($E1078,Mapping!$E$11:$I$96,3,0)</f>
        <v>Replacement</v>
      </c>
      <c r="L1078" s="7" t="str">
        <f>VLOOKUP($G1078,Mapping!$E$140:$K$2771,5,0)</f>
        <v>Local OH</v>
      </c>
      <c r="M1078" s="7" t="str">
        <f>VLOOKUP($G1078,Mapping!$E$140:$K$2771,7,0)</f>
        <v>OH</v>
      </c>
      <c r="N1078" s="7" t="str">
        <f>IFERROR(HLOOKUP(L1078,'Calc|Weightings'!$K$5:$M$5,1,0),"Excl")</f>
        <v>Excl</v>
      </c>
      <c r="O1078" s="7" t="str">
        <f>VLOOKUP(E1078,Mapping!$E$11:$I$96,5,0)</f>
        <v>SCS</v>
      </c>
      <c r="Q1078" s="33">
        <v>146</v>
      </c>
      <c r="R1078" s="33" t="s">
        <v>2156</v>
      </c>
      <c r="S1078" s="33">
        <v>523100</v>
      </c>
      <c r="T1078" s="33" t="s">
        <v>2074</v>
      </c>
      <c r="U1078" s="34">
        <v>-3.9300000000000003E-3</v>
      </c>
      <c r="V1078" s="7"/>
      <c r="W1078" s="7" t="str">
        <f>VLOOKUP($Q1078,Mapping!$E$11:$I$96,3,0)</f>
        <v>Quoted Opex</v>
      </c>
      <c r="X1078" s="7" t="str">
        <f>VLOOKUP($S1078,Mapping!$E$140:$K$2771,5,0)</f>
        <v>Materials</v>
      </c>
      <c r="Y1078" s="7" t="str">
        <f>VLOOKUP($S1078,Mapping!$E$140:$K$2771,7,0)</f>
        <v>ENDirect</v>
      </c>
      <c r="Z1078" s="7" t="str">
        <f>IFERROR(HLOOKUP(X1078,'Calc|Weightings'!$K$5:$M$5,1,0),"Excl")</f>
        <v>Materials</v>
      </c>
      <c r="AA1078" s="7" t="str">
        <f>VLOOKUP(Q1078,Mapping!$E$11:$I$96,5,0)</f>
        <v>Ancillary Network Services</v>
      </c>
      <c r="AC1078" s="111">
        <v>146</v>
      </c>
      <c r="AD1078" s="111" t="s">
        <v>2156</v>
      </c>
      <c r="AE1078" s="111">
        <v>520200</v>
      </c>
      <c r="AF1078" s="111" t="s">
        <v>2073</v>
      </c>
      <c r="AG1078" s="112">
        <v>46.112139999999997</v>
      </c>
      <c r="AI1078" s="7" t="str">
        <f>VLOOKUP($AC1078,Mapping!$E$11:$I$96,3,0)</f>
        <v>Quoted Opex</v>
      </c>
      <c r="AJ1078" s="7" t="str">
        <f>VLOOKUP($AE1078,Mapping!$E$140:$K$2771,5,0)</f>
        <v>Materials</v>
      </c>
      <c r="AK1078" s="7" t="str">
        <f>VLOOKUP($AE1078,Mapping!$E$140:$K$2771,7,0)</f>
        <v>ENDirect</v>
      </c>
      <c r="AL1078" s="7" t="str">
        <f>IFERROR(HLOOKUP(AJ1078,'Calc|Weightings'!$K$5:$M$5,1,0),"Excl")</f>
        <v>Materials</v>
      </c>
      <c r="AM1078" s="7" t="str">
        <f>VLOOKUP(AC1078,Mapping!$E$11:$I$96,5,0)</f>
        <v>Ancillary Network Services</v>
      </c>
      <c r="AO1078" s="134">
        <v>150</v>
      </c>
      <c r="AP1078" s="135" t="s">
        <v>2159</v>
      </c>
      <c r="AQ1078" s="135">
        <v>531469</v>
      </c>
      <c r="AR1078" s="135" t="s">
        <v>261</v>
      </c>
      <c r="AS1078" s="136">
        <v>-1.25</v>
      </c>
      <c r="AU1078" s="7" t="str">
        <f>VLOOKUP($AO1078,Mapping!$E$11:$I$96,3,0)</f>
        <v>Replacement</v>
      </c>
      <c r="AV1078" s="7" t="str">
        <f>VLOOKUP($AQ1078,Mapping!$E$140:$K$2771,5,0)</f>
        <v>Labour</v>
      </c>
      <c r="AW1078" s="7" t="str">
        <f>VLOOKUP($AQ1078,Mapping!$E$140:$K$2771,7,0)</f>
        <v>ENDirect</v>
      </c>
      <c r="AX1078" s="7" t="str">
        <f>IFERROR(HLOOKUP(AV1078,'Calc|Weightings'!$K$5:$M$5,1,0),"Excl")</f>
        <v>Labour</v>
      </c>
      <c r="AY1078" s="7" t="str">
        <f>VLOOKUP(AO1078,Mapping!$E$11:$I$96,5,0)</f>
        <v>SCS</v>
      </c>
    </row>
    <row r="1079" spans="1:51" x14ac:dyDescent="0.2">
      <c r="A1079" s="7"/>
      <c r="B1079" s="7"/>
      <c r="C1079" s="7"/>
      <c r="D1079" s="7"/>
      <c r="E1079" s="36">
        <v>142</v>
      </c>
      <c r="F1079" s="36" t="s">
        <v>2152</v>
      </c>
      <c r="G1079" s="36">
        <v>635001</v>
      </c>
      <c r="H1079" s="36" t="s">
        <v>1929</v>
      </c>
      <c r="I1079" s="37">
        <v>22.654209999999999</v>
      </c>
      <c r="J1079" s="7"/>
      <c r="K1079" s="7" t="str">
        <f>VLOOKUP($E1079,Mapping!$E$11:$I$96,3,0)</f>
        <v>Replacement</v>
      </c>
      <c r="L1079" s="7" t="str">
        <f>VLOOKUP($G1079,Mapping!$E$140:$K$2771,5,0)</f>
        <v>PNS MG</v>
      </c>
      <c r="M1079" s="7" t="str">
        <f>VLOOKUP($G1079,Mapping!$E$140:$K$2771,7,0)</f>
        <v>ENDirect</v>
      </c>
      <c r="N1079" s="7" t="str">
        <f>IFERROR(HLOOKUP(L1079,'Calc|Weightings'!$K$5:$M$5,1,0),"Excl")</f>
        <v>Excl</v>
      </c>
      <c r="O1079" s="7" t="str">
        <f>VLOOKUP(E1079,Mapping!$E$11:$I$96,5,0)</f>
        <v>SCS</v>
      </c>
      <c r="Q1079" s="33">
        <v>146</v>
      </c>
      <c r="R1079" s="33" t="s">
        <v>2156</v>
      </c>
      <c r="S1079" s="33">
        <v>523300</v>
      </c>
      <c r="T1079" s="33" t="s">
        <v>2075</v>
      </c>
      <c r="U1079" s="34">
        <v>1.8000000000000001E-4</v>
      </c>
      <c r="V1079" s="7"/>
      <c r="W1079" s="7" t="str">
        <f>VLOOKUP($Q1079,Mapping!$E$11:$I$96,3,0)</f>
        <v>Quoted Opex</v>
      </c>
      <c r="X1079" s="7" t="str">
        <f>VLOOKUP($S1079,Mapping!$E$140:$K$2771,5,0)</f>
        <v>Materials</v>
      </c>
      <c r="Y1079" s="7" t="str">
        <f>VLOOKUP($S1079,Mapping!$E$140:$K$2771,7,0)</f>
        <v>ENDirect</v>
      </c>
      <c r="Z1079" s="7" t="str">
        <f>IFERROR(HLOOKUP(X1079,'Calc|Weightings'!$K$5:$M$5,1,0),"Excl")</f>
        <v>Materials</v>
      </c>
      <c r="AA1079" s="7" t="str">
        <f>VLOOKUP(Q1079,Mapping!$E$11:$I$96,5,0)</f>
        <v>Ancillary Network Services</v>
      </c>
      <c r="AC1079" s="111">
        <v>146</v>
      </c>
      <c r="AD1079" s="111" t="s">
        <v>2156</v>
      </c>
      <c r="AE1079" s="111">
        <v>522100</v>
      </c>
      <c r="AF1079" s="111" t="s">
        <v>2115</v>
      </c>
      <c r="AG1079" s="112">
        <v>40.752180000000003</v>
      </c>
      <c r="AI1079" s="7" t="str">
        <f>VLOOKUP($AC1079,Mapping!$E$11:$I$96,3,0)</f>
        <v>Quoted Opex</v>
      </c>
      <c r="AJ1079" s="7" t="str">
        <f>VLOOKUP($AE1079,Mapping!$E$140:$K$2771,5,0)</f>
        <v>Materials</v>
      </c>
      <c r="AK1079" s="7" t="str">
        <f>VLOOKUP($AE1079,Mapping!$E$140:$K$2771,7,0)</f>
        <v>ENDirect</v>
      </c>
      <c r="AL1079" s="7" t="str">
        <f>IFERROR(HLOOKUP(AJ1079,'Calc|Weightings'!$K$5:$M$5,1,0),"Excl")</f>
        <v>Materials</v>
      </c>
      <c r="AM1079" s="7" t="str">
        <f>VLOOKUP(AC1079,Mapping!$E$11:$I$96,5,0)</f>
        <v>Ancillary Network Services</v>
      </c>
      <c r="AO1079" s="134">
        <v>150</v>
      </c>
      <c r="AP1079" s="135" t="s">
        <v>2159</v>
      </c>
      <c r="AQ1079" s="135">
        <v>532140</v>
      </c>
      <c r="AR1079" s="135" t="s">
        <v>288</v>
      </c>
      <c r="AS1079" s="136">
        <v>5.6944999999999997</v>
      </c>
      <c r="AU1079" s="7" t="str">
        <f>VLOOKUP($AO1079,Mapping!$E$11:$I$96,3,0)</f>
        <v>Replacement</v>
      </c>
      <c r="AV1079" s="7" t="str">
        <f>VLOOKUP($AQ1079,Mapping!$E$140:$K$2771,5,0)</f>
        <v>Contracts</v>
      </c>
      <c r="AW1079" s="7" t="str">
        <f>VLOOKUP($AQ1079,Mapping!$E$140:$K$2771,7,0)</f>
        <v>ENDirect</v>
      </c>
      <c r="AX1079" s="7" t="str">
        <f>IFERROR(HLOOKUP(AV1079,'Calc|Weightings'!$K$5:$M$5,1,0),"Excl")</f>
        <v>Contracts</v>
      </c>
      <c r="AY1079" s="7" t="str">
        <f>VLOOKUP(AO1079,Mapping!$E$11:$I$96,5,0)</f>
        <v>SCS</v>
      </c>
    </row>
    <row r="1080" spans="1:51" x14ac:dyDescent="0.2">
      <c r="A1080" s="7"/>
      <c r="B1080" s="7"/>
      <c r="C1080" s="7"/>
      <c r="D1080" s="7"/>
      <c r="E1080" s="36">
        <v>142</v>
      </c>
      <c r="F1080" s="36" t="s">
        <v>2152</v>
      </c>
      <c r="G1080" s="36">
        <v>636001</v>
      </c>
      <c r="H1080" s="36" t="s">
        <v>2111</v>
      </c>
      <c r="I1080" s="37">
        <v>3.7307600000000001</v>
      </c>
      <c r="J1080" s="7"/>
      <c r="K1080" s="7" t="str">
        <f>VLOOKUP($E1080,Mapping!$E$11:$I$96,3,0)</f>
        <v>Replacement</v>
      </c>
      <c r="L1080" s="7" t="str">
        <f>VLOOKUP($G1080,Mapping!$E$140:$K$2771,5,0)</f>
        <v>System Control OH</v>
      </c>
      <c r="M1080" s="7" t="str">
        <f>VLOOKUP($G1080,Mapping!$E$140:$K$2771,7,0)</f>
        <v>OH</v>
      </c>
      <c r="N1080" s="7" t="str">
        <f>IFERROR(HLOOKUP(L1080,'Calc|Weightings'!$K$5:$M$5,1,0),"Excl")</f>
        <v>Excl</v>
      </c>
      <c r="O1080" s="7" t="str">
        <f>VLOOKUP(E1080,Mapping!$E$11:$I$96,5,0)</f>
        <v>SCS</v>
      </c>
      <c r="Q1080" s="33">
        <v>146</v>
      </c>
      <c r="R1080" s="33" t="s">
        <v>2156</v>
      </c>
      <c r="S1080" s="33">
        <v>531020</v>
      </c>
      <c r="T1080" s="33" t="s">
        <v>219</v>
      </c>
      <c r="U1080" s="34">
        <v>0.7</v>
      </c>
      <c r="V1080" s="7"/>
      <c r="W1080" s="7" t="str">
        <f>VLOOKUP($Q1080,Mapping!$E$11:$I$96,3,0)</f>
        <v>Quoted Opex</v>
      </c>
      <c r="X1080" s="7" t="str">
        <f>VLOOKUP($S1080,Mapping!$E$140:$K$2771,5,0)</f>
        <v>Labour</v>
      </c>
      <c r="Y1080" s="7" t="str">
        <f>VLOOKUP($S1080,Mapping!$E$140:$K$2771,7,0)</f>
        <v>ENDirect</v>
      </c>
      <c r="Z1080" s="7" t="str">
        <f>IFERROR(HLOOKUP(X1080,'Calc|Weightings'!$K$5:$M$5,1,0),"Excl")</f>
        <v>Labour</v>
      </c>
      <c r="AA1080" s="7" t="str">
        <f>VLOOKUP(Q1080,Mapping!$E$11:$I$96,5,0)</f>
        <v>Ancillary Network Services</v>
      </c>
      <c r="AC1080" s="111">
        <v>146</v>
      </c>
      <c r="AD1080" s="111" t="s">
        <v>2156</v>
      </c>
      <c r="AE1080" s="111">
        <v>523100</v>
      </c>
      <c r="AF1080" s="111" t="s">
        <v>2074</v>
      </c>
      <c r="AG1080" s="112">
        <v>2.8917099999999998</v>
      </c>
      <c r="AI1080" s="7" t="str">
        <f>VLOOKUP($AC1080,Mapping!$E$11:$I$96,3,0)</f>
        <v>Quoted Opex</v>
      </c>
      <c r="AJ1080" s="7" t="str">
        <f>VLOOKUP($AE1080,Mapping!$E$140:$K$2771,5,0)</f>
        <v>Materials</v>
      </c>
      <c r="AK1080" s="7" t="str">
        <f>VLOOKUP($AE1080,Mapping!$E$140:$K$2771,7,0)</f>
        <v>ENDirect</v>
      </c>
      <c r="AL1080" s="7" t="str">
        <f>IFERROR(HLOOKUP(AJ1080,'Calc|Weightings'!$K$5:$M$5,1,0),"Excl")</f>
        <v>Materials</v>
      </c>
      <c r="AM1080" s="7" t="str">
        <f>VLOOKUP(AC1080,Mapping!$E$11:$I$96,5,0)</f>
        <v>Ancillary Network Services</v>
      </c>
      <c r="AO1080" s="134">
        <v>150</v>
      </c>
      <c r="AP1080" s="135" t="s">
        <v>2159</v>
      </c>
      <c r="AQ1080" s="135">
        <v>532340</v>
      </c>
      <c r="AR1080" s="135" t="s">
        <v>299</v>
      </c>
      <c r="AS1080" s="136">
        <v>3.7</v>
      </c>
      <c r="AU1080" s="7" t="str">
        <f>VLOOKUP($AO1080,Mapping!$E$11:$I$96,3,0)</f>
        <v>Replacement</v>
      </c>
      <c r="AV1080" s="7" t="str">
        <f>VLOOKUP($AQ1080,Mapping!$E$140:$K$2771,5,0)</f>
        <v>Contracts</v>
      </c>
      <c r="AW1080" s="7" t="str">
        <f>VLOOKUP($AQ1080,Mapping!$E$140:$K$2771,7,0)</f>
        <v>ENDirect</v>
      </c>
      <c r="AX1080" s="7" t="str">
        <f>IFERROR(HLOOKUP(AV1080,'Calc|Weightings'!$K$5:$M$5,1,0),"Excl")</f>
        <v>Contracts</v>
      </c>
      <c r="AY1080" s="7" t="str">
        <f>VLOOKUP(AO1080,Mapping!$E$11:$I$96,5,0)</f>
        <v>SCS</v>
      </c>
    </row>
    <row r="1081" spans="1:51" x14ac:dyDescent="0.2">
      <c r="A1081" s="7"/>
      <c r="B1081" s="7"/>
      <c r="C1081" s="7"/>
      <c r="D1081" s="7"/>
      <c r="E1081" s="36">
        <v>142</v>
      </c>
      <c r="F1081" s="36" t="s">
        <v>2152</v>
      </c>
      <c r="G1081" s="36">
        <v>639000</v>
      </c>
      <c r="H1081" s="36" t="s">
        <v>2112</v>
      </c>
      <c r="I1081" s="37">
        <v>5.1810200000000002</v>
      </c>
      <c r="J1081" s="7"/>
      <c r="K1081" s="7" t="str">
        <f>VLOOKUP($E1081,Mapping!$E$11:$I$96,3,0)</f>
        <v>Replacement</v>
      </c>
      <c r="L1081" s="7" t="str">
        <f>VLOOKUP($G1081,Mapping!$E$140:$K$2771,5,0)</f>
        <v>PNS Corporate OH</v>
      </c>
      <c r="M1081" s="7" t="str">
        <f>VLOOKUP($G1081,Mapping!$E$140:$K$2771,7,0)</f>
        <v>OH</v>
      </c>
      <c r="N1081" s="7" t="str">
        <f>IFERROR(HLOOKUP(L1081,'Calc|Weightings'!$K$5:$M$5,1,0),"Excl")</f>
        <v>Excl</v>
      </c>
      <c r="O1081" s="7" t="str">
        <f>VLOOKUP(E1081,Mapping!$E$11:$I$96,5,0)</f>
        <v>SCS</v>
      </c>
      <c r="Q1081" s="33">
        <v>146</v>
      </c>
      <c r="R1081" s="33" t="s">
        <v>2156</v>
      </c>
      <c r="S1081" s="33">
        <v>531035</v>
      </c>
      <c r="T1081" s="33" t="s">
        <v>244</v>
      </c>
      <c r="U1081" s="34">
        <v>2.448</v>
      </c>
      <c r="V1081" s="7"/>
      <c r="W1081" s="7" t="str">
        <f>VLOOKUP($Q1081,Mapping!$E$11:$I$96,3,0)</f>
        <v>Quoted Opex</v>
      </c>
      <c r="X1081" s="7" t="str">
        <f>VLOOKUP($S1081,Mapping!$E$140:$K$2771,5,0)</f>
        <v>Labour</v>
      </c>
      <c r="Y1081" s="7" t="str">
        <f>VLOOKUP($S1081,Mapping!$E$140:$K$2771,7,0)</f>
        <v>ENDirect</v>
      </c>
      <c r="Z1081" s="7" t="str">
        <f>IFERROR(HLOOKUP(X1081,'Calc|Weightings'!$K$5:$M$5,1,0),"Excl")</f>
        <v>Labour</v>
      </c>
      <c r="AA1081" s="7" t="str">
        <f>VLOOKUP(Q1081,Mapping!$E$11:$I$96,5,0)</f>
        <v>Ancillary Network Services</v>
      </c>
      <c r="AC1081" s="111">
        <v>146</v>
      </c>
      <c r="AD1081" s="111" t="s">
        <v>2156</v>
      </c>
      <c r="AE1081" s="111">
        <v>523300</v>
      </c>
      <c r="AF1081" s="111" t="s">
        <v>2075</v>
      </c>
      <c r="AG1081" s="112">
        <v>0.14757000000000001</v>
      </c>
      <c r="AI1081" s="7" t="str">
        <f>VLOOKUP($AC1081,Mapping!$E$11:$I$96,3,0)</f>
        <v>Quoted Opex</v>
      </c>
      <c r="AJ1081" s="7" t="str">
        <f>VLOOKUP($AE1081,Mapping!$E$140:$K$2771,5,0)</f>
        <v>Materials</v>
      </c>
      <c r="AK1081" s="7" t="str">
        <f>VLOOKUP($AE1081,Mapping!$E$140:$K$2771,7,0)</f>
        <v>ENDirect</v>
      </c>
      <c r="AL1081" s="7" t="str">
        <f>IFERROR(HLOOKUP(AJ1081,'Calc|Weightings'!$K$5:$M$5,1,0),"Excl")</f>
        <v>Materials</v>
      </c>
      <c r="AM1081" s="7" t="str">
        <f>VLOOKUP(AC1081,Mapping!$E$11:$I$96,5,0)</f>
        <v>Ancillary Network Services</v>
      </c>
      <c r="AO1081" s="134">
        <v>150</v>
      </c>
      <c r="AP1081" s="135" t="s">
        <v>2159</v>
      </c>
      <c r="AQ1081" s="135">
        <v>591997</v>
      </c>
      <c r="AR1081" s="135" t="s">
        <v>2194</v>
      </c>
      <c r="AS1081" s="136">
        <v>-2.2098800000000001</v>
      </c>
      <c r="AU1081" s="7" t="str">
        <f>VLOOKUP($AO1081,Mapping!$E$11:$I$96,3,0)</f>
        <v>Replacement</v>
      </c>
      <c r="AV1081" s="7" t="str">
        <f>VLOOKUP($AQ1081,Mapping!$E$140:$K$2771,5,0)</f>
        <v>Contracts</v>
      </c>
      <c r="AW1081" s="7" t="str">
        <f>VLOOKUP($AQ1081,Mapping!$E$140:$K$2771,7,0)</f>
        <v>ENDirect</v>
      </c>
      <c r="AX1081" s="7" t="str">
        <f>IFERROR(HLOOKUP(AV1081,'Calc|Weightings'!$K$5:$M$5,1,0),"Excl")</f>
        <v>Contracts</v>
      </c>
      <c r="AY1081" s="7" t="str">
        <f>VLOOKUP(AO1081,Mapping!$E$11:$I$96,5,0)</f>
        <v>SCS</v>
      </c>
    </row>
    <row r="1082" spans="1:51" x14ac:dyDescent="0.2">
      <c r="A1082" s="7"/>
      <c r="B1082" s="7"/>
      <c r="C1082" s="7"/>
      <c r="D1082" s="7"/>
      <c r="E1082" s="36">
        <v>142</v>
      </c>
      <c r="F1082" s="36" t="s">
        <v>2152</v>
      </c>
      <c r="G1082" s="36">
        <v>639050</v>
      </c>
      <c r="H1082" s="36" t="s">
        <v>2113</v>
      </c>
      <c r="I1082" s="37">
        <v>0.84869000000000006</v>
      </c>
      <c r="J1082" s="7"/>
      <c r="K1082" s="7" t="str">
        <f>VLOOKUP($E1082,Mapping!$E$11:$I$96,3,0)</f>
        <v>Replacement</v>
      </c>
      <c r="L1082" s="7" t="str">
        <f>VLOOKUP($G1082,Mapping!$E$140:$K$2771,5,0)</f>
        <v>PNS Fleet &amp; Property OH</v>
      </c>
      <c r="M1082" s="7" t="str">
        <f>VLOOKUP($G1082,Mapping!$E$140:$K$2771,7,0)</f>
        <v>OH</v>
      </c>
      <c r="N1082" s="7" t="str">
        <f>IFERROR(HLOOKUP(L1082,'Calc|Weightings'!$K$5:$M$5,1,0),"Excl")</f>
        <v>Excl</v>
      </c>
      <c r="O1082" s="7" t="str">
        <f>VLOOKUP(E1082,Mapping!$E$11:$I$96,5,0)</f>
        <v>SCS</v>
      </c>
      <c r="Q1082" s="33">
        <v>146</v>
      </c>
      <c r="R1082" s="33" t="s">
        <v>2156</v>
      </c>
      <c r="S1082" s="33">
        <v>531464</v>
      </c>
      <c r="T1082" s="33" t="s">
        <v>256</v>
      </c>
      <c r="U1082" s="34">
        <v>125.07167</v>
      </c>
      <c r="V1082" s="7"/>
      <c r="W1082" s="7" t="str">
        <f>VLOOKUP($Q1082,Mapping!$E$11:$I$96,3,0)</f>
        <v>Quoted Opex</v>
      </c>
      <c r="X1082" s="7" t="str">
        <f>VLOOKUP($S1082,Mapping!$E$140:$K$2771,5,0)</f>
        <v>Contracts</v>
      </c>
      <c r="Y1082" s="7" t="str">
        <f>VLOOKUP($S1082,Mapping!$E$140:$K$2771,7,0)</f>
        <v>ENDirect</v>
      </c>
      <c r="Z1082" s="7" t="str">
        <f>IFERROR(HLOOKUP(X1082,'Calc|Weightings'!$K$5:$M$5,1,0),"Excl")</f>
        <v>Contracts</v>
      </c>
      <c r="AA1082" s="7" t="str">
        <f>VLOOKUP(Q1082,Mapping!$E$11:$I$96,5,0)</f>
        <v>Ancillary Network Services</v>
      </c>
      <c r="AC1082" s="111">
        <v>146</v>
      </c>
      <c r="AD1082" s="111" t="s">
        <v>2156</v>
      </c>
      <c r="AE1082" s="111">
        <v>531020</v>
      </c>
      <c r="AF1082" s="111" t="s">
        <v>219</v>
      </c>
      <c r="AG1082" s="112">
        <v>-0.7</v>
      </c>
      <c r="AI1082" s="7" t="str">
        <f>VLOOKUP($AC1082,Mapping!$E$11:$I$96,3,0)</f>
        <v>Quoted Opex</v>
      </c>
      <c r="AJ1082" s="7" t="str">
        <f>VLOOKUP($AE1082,Mapping!$E$140:$K$2771,5,0)</f>
        <v>Labour</v>
      </c>
      <c r="AK1082" s="7" t="str">
        <f>VLOOKUP($AE1082,Mapping!$E$140:$K$2771,7,0)</f>
        <v>ENDirect</v>
      </c>
      <c r="AL1082" s="7" t="str">
        <f>IFERROR(HLOOKUP(AJ1082,'Calc|Weightings'!$K$5:$M$5,1,0),"Excl")</f>
        <v>Labour</v>
      </c>
      <c r="AM1082" s="7" t="str">
        <f>VLOOKUP(AC1082,Mapping!$E$11:$I$96,5,0)</f>
        <v>Ancillary Network Services</v>
      </c>
      <c r="AO1082" s="134">
        <v>150</v>
      </c>
      <c r="AP1082" s="135" t="s">
        <v>2159</v>
      </c>
      <c r="AQ1082" s="135">
        <v>591999</v>
      </c>
      <c r="AR1082" s="135" t="s">
        <v>2195</v>
      </c>
      <c r="AS1082" s="136">
        <v>-19.527619999999999</v>
      </c>
      <c r="AU1082" s="7" t="str">
        <f>VLOOKUP($AO1082,Mapping!$E$11:$I$96,3,0)</f>
        <v>Replacement</v>
      </c>
      <c r="AV1082" s="7" t="str">
        <f>VLOOKUP($AQ1082,Mapping!$E$140:$K$2771,5,0)</f>
        <v>Contracts</v>
      </c>
      <c r="AW1082" s="7" t="str">
        <f>VLOOKUP($AQ1082,Mapping!$E$140:$K$2771,7,0)</f>
        <v>ENDirect</v>
      </c>
      <c r="AX1082" s="7" t="str">
        <f>IFERROR(HLOOKUP(AV1082,'Calc|Weightings'!$K$5:$M$5,1,0),"Excl")</f>
        <v>Contracts</v>
      </c>
      <c r="AY1082" s="7" t="str">
        <f>VLOOKUP(AO1082,Mapping!$E$11:$I$96,5,0)</f>
        <v>SCS</v>
      </c>
    </row>
    <row r="1083" spans="1:51" x14ac:dyDescent="0.2">
      <c r="A1083" s="7"/>
      <c r="B1083" s="7"/>
      <c r="C1083" s="7"/>
      <c r="D1083" s="7"/>
      <c r="E1083" s="36">
        <v>143</v>
      </c>
      <c r="F1083" s="36" t="s">
        <v>2153</v>
      </c>
      <c r="G1083" s="36">
        <v>503281</v>
      </c>
      <c r="H1083" s="36" t="s">
        <v>2198</v>
      </c>
      <c r="I1083" s="37">
        <v>0.43308000000000002</v>
      </c>
      <c r="J1083" s="7"/>
      <c r="K1083" s="7" t="str">
        <f>VLOOKUP($E1083,Mapping!$E$11:$I$96,3,0)</f>
        <v>Replacement</v>
      </c>
      <c r="L1083" s="7" t="str">
        <f>VLOOKUP($G1083,Mapping!$E$140:$K$2771,5,0)</f>
        <v>Contracts</v>
      </c>
      <c r="M1083" s="7" t="str">
        <f>VLOOKUP($G1083,Mapping!$E$140:$K$2771,7,0)</f>
        <v>ENDirect</v>
      </c>
      <c r="N1083" s="7" t="str">
        <f>IFERROR(HLOOKUP(L1083,'Calc|Weightings'!$K$5:$M$5,1,0),"Excl")</f>
        <v>Contracts</v>
      </c>
      <c r="O1083" s="7" t="str">
        <f>VLOOKUP(E1083,Mapping!$E$11:$I$96,5,0)</f>
        <v>SCS</v>
      </c>
      <c r="Q1083" s="33">
        <v>146</v>
      </c>
      <c r="R1083" s="33" t="s">
        <v>2156</v>
      </c>
      <c r="S1083" s="33">
        <v>531466</v>
      </c>
      <c r="T1083" s="33" t="s">
        <v>258</v>
      </c>
      <c r="U1083" s="34">
        <v>53.237639999999999</v>
      </c>
      <c r="V1083" s="7"/>
      <c r="W1083" s="7" t="str">
        <f>VLOOKUP($Q1083,Mapping!$E$11:$I$96,3,0)</f>
        <v>Quoted Opex</v>
      </c>
      <c r="X1083" s="7" t="str">
        <f>VLOOKUP($S1083,Mapping!$E$140:$K$2771,5,0)</f>
        <v>Contracts</v>
      </c>
      <c r="Y1083" s="7" t="str">
        <f>VLOOKUP($S1083,Mapping!$E$140:$K$2771,7,0)</f>
        <v>ENDirect</v>
      </c>
      <c r="Z1083" s="7" t="str">
        <f>IFERROR(HLOOKUP(X1083,'Calc|Weightings'!$K$5:$M$5,1,0),"Excl")</f>
        <v>Contracts</v>
      </c>
      <c r="AA1083" s="7" t="str">
        <f>VLOOKUP(Q1083,Mapping!$E$11:$I$96,5,0)</f>
        <v>Ancillary Network Services</v>
      </c>
      <c r="AC1083" s="111">
        <v>146</v>
      </c>
      <c r="AD1083" s="111" t="s">
        <v>2156</v>
      </c>
      <c r="AE1083" s="111">
        <v>531030</v>
      </c>
      <c r="AF1083" s="111" t="s">
        <v>243</v>
      </c>
      <c r="AG1083" s="112">
        <v>7.1914600000000002</v>
      </c>
      <c r="AI1083" s="7" t="str">
        <f>VLOOKUP($AC1083,Mapping!$E$11:$I$96,3,0)</f>
        <v>Quoted Opex</v>
      </c>
      <c r="AJ1083" s="7" t="str">
        <f>VLOOKUP($AE1083,Mapping!$E$140:$K$2771,5,0)</f>
        <v>Contracts</v>
      </c>
      <c r="AK1083" s="7" t="str">
        <f>VLOOKUP($AE1083,Mapping!$E$140:$K$2771,7,0)</f>
        <v>ENDirect</v>
      </c>
      <c r="AL1083" s="7" t="str">
        <f>IFERROR(HLOOKUP(AJ1083,'Calc|Weightings'!$K$5:$M$5,1,0),"Excl")</f>
        <v>Contracts</v>
      </c>
      <c r="AM1083" s="7" t="str">
        <f>VLOOKUP(AC1083,Mapping!$E$11:$I$96,5,0)</f>
        <v>Ancillary Network Services</v>
      </c>
      <c r="AO1083" s="134">
        <v>150</v>
      </c>
      <c r="AP1083" s="135" t="s">
        <v>2159</v>
      </c>
      <c r="AQ1083" s="135">
        <v>611900</v>
      </c>
      <c r="AR1083" s="135" t="s">
        <v>2079</v>
      </c>
      <c r="AS1083" s="136">
        <v>1.3629899999999999</v>
      </c>
      <c r="AU1083" s="7" t="str">
        <f>VLOOKUP($AO1083,Mapping!$E$11:$I$96,3,0)</f>
        <v>Replacement</v>
      </c>
      <c r="AV1083" s="7" t="str">
        <f>VLOOKUP($AQ1083,Mapping!$E$140:$K$2771,5,0)</f>
        <v>Contracts</v>
      </c>
      <c r="AW1083" s="7" t="str">
        <f>VLOOKUP($AQ1083,Mapping!$E$140:$K$2771,7,0)</f>
        <v>ENDirect</v>
      </c>
      <c r="AX1083" s="7" t="str">
        <f>IFERROR(HLOOKUP(AV1083,'Calc|Weightings'!$K$5:$M$5,1,0),"Excl")</f>
        <v>Contracts</v>
      </c>
      <c r="AY1083" s="7" t="str">
        <f>VLOOKUP(AO1083,Mapping!$E$11:$I$96,5,0)</f>
        <v>SCS</v>
      </c>
    </row>
    <row r="1084" spans="1:51" x14ac:dyDescent="0.2">
      <c r="A1084" s="7"/>
      <c r="B1084" s="7"/>
      <c r="C1084" s="7"/>
      <c r="D1084" s="7"/>
      <c r="E1084" s="36">
        <v>143</v>
      </c>
      <c r="F1084" s="36" t="s">
        <v>2153</v>
      </c>
      <c r="G1084" s="36">
        <v>520100</v>
      </c>
      <c r="H1084" s="36" t="s">
        <v>2072</v>
      </c>
      <c r="I1084" s="37">
        <v>455.34467000000001</v>
      </c>
      <c r="J1084" s="7"/>
      <c r="K1084" s="7" t="str">
        <f>VLOOKUP($E1084,Mapping!$E$11:$I$96,3,0)</f>
        <v>Replacement</v>
      </c>
      <c r="L1084" s="7" t="str">
        <f>VLOOKUP($G1084,Mapping!$E$140:$K$2771,5,0)</f>
        <v>Materials</v>
      </c>
      <c r="M1084" s="7" t="str">
        <f>VLOOKUP($G1084,Mapping!$E$140:$K$2771,7,0)</f>
        <v>ENDirect</v>
      </c>
      <c r="N1084" s="7" t="str">
        <f>IFERROR(HLOOKUP(L1084,'Calc|Weightings'!$K$5:$M$5,1,0),"Excl")</f>
        <v>Materials</v>
      </c>
      <c r="O1084" s="7" t="str">
        <f>VLOOKUP(E1084,Mapping!$E$11:$I$96,5,0)</f>
        <v>SCS</v>
      </c>
      <c r="Q1084" s="33">
        <v>146</v>
      </c>
      <c r="R1084" s="33" t="s">
        <v>2156</v>
      </c>
      <c r="S1084" s="33">
        <v>531467</v>
      </c>
      <c r="T1084" s="33" t="s">
        <v>259</v>
      </c>
      <c r="U1084" s="34">
        <v>26.883949999999999</v>
      </c>
      <c r="V1084" s="7"/>
      <c r="W1084" s="7" t="str">
        <f>VLOOKUP($Q1084,Mapping!$E$11:$I$96,3,0)</f>
        <v>Quoted Opex</v>
      </c>
      <c r="X1084" s="7" t="str">
        <f>VLOOKUP($S1084,Mapping!$E$140:$K$2771,5,0)</f>
        <v>Contracts</v>
      </c>
      <c r="Y1084" s="7" t="str">
        <f>VLOOKUP($S1084,Mapping!$E$140:$K$2771,7,0)</f>
        <v>ENDirect</v>
      </c>
      <c r="Z1084" s="7" t="str">
        <f>IFERROR(HLOOKUP(X1084,'Calc|Weightings'!$K$5:$M$5,1,0),"Excl")</f>
        <v>Contracts</v>
      </c>
      <c r="AA1084" s="7" t="str">
        <f>VLOOKUP(Q1084,Mapping!$E$11:$I$96,5,0)</f>
        <v>Ancillary Network Services</v>
      </c>
      <c r="AC1084" s="111">
        <v>146</v>
      </c>
      <c r="AD1084" s="111" t="s">
        <v>2156</v>
      </c>
      <c r="AE1084" s="111">
        <v>531464</v>
      </c>
      <c r="AF1084" s="111" t="s">
        <v>256</v>
      </c>
      <c r="AG1084" s="112">
        <v>584.36319000000003</v>
      </c>
      <c r="AI1084" s="7" t="str">
        <f>VLOOKUP($AC1084,Mapping!$E$11:$I$96,3,0)</f>
        <v>Quoted Opex</v>
      </c>
      <c r="AJ1084" s="7" t="str">
        <f>VLOOKUP($AE1084,Mapping!$E$140:$K$2771,5,0)</f>
        <v>Contracts</v>
      </c>
      <c r="AK1084" s="7" t="str">
        <f>VLOOKUP($AE1084,Mapping!$E$140:$K$2771,7,0)</f>
        <v>ENDirect</v>
      </c>
      <c r="AL1084" s="7" t="str">
        <f>IFERROR(HLOOKUP(AJ1084,'Calc|Weightings'!$K$5:$M$5,1,0),"Excl")</f>
        <v>Contracts</v>
      </c>
      <c r="AM1084" s="7" t="str">
        <f>VLOOKUP(AC1084,Mapping!$E$11:$I$96,5,0)</f>
        <v>Ancillary Network Services</v>
      </c>
      <c r="AO1084" s="134">
        <v>150</v>
      </c>
      <c r="AP1084" s="135" t="s">
        <v>2159</v>
      </c>
      <c r="AQ1084" s="135">
        <v>611901</v>
      </c>
      <c r="AR1084" s="135" t="s">
        <v>2080</v>
      </c>
      <c r="AS1084" s="136">
        <v>1.1792199999999999</v>
      </c>
      <c r="AU1084" s="7" t="str">
        <f>VLOOKUP($AO1084,Mapping!$E$11:$I$96,3,0)</f>
        <v>Replacement</v>
      </c>
      <c r="AV1084" s="7" t="str">
        <f>VLOOKUP($AQ1084,Mapping!$E$140:$K$2771,5,0)</f>
        <v>Contracts</v>
      </c>
      <c r="AW1084" s="7" t="str">
        <f>VLOOKUP($AQ1084,Mapping!$E$140:$K$2771,7,0)</f>
        <v>ENDirect</v>
      </c>
      <c r="AX1084" s="7" t="str">
        <f>IFERROR(HLOOKUP(AV1084,'Calc|Weightings'!$K$5:$M$5,1,0),"Excl")</f>
        <v>Contracts</v>
      </c>
      <c r="AY1084" s="7" t="str">
        <f>VLOOKUP(AO1084,Mapping!$E$11:$I$96,5,0)</f>
        <v>SCS</v>
      </c>
    </row>
    <row r="1085" spans="1:51" x14ac:dyDescent="0.2">
      <c r="A1085" s="7"/>
      <c r="B1085" s="7"/>
      <c r="C1085" s="7"/>
      <c r="D1085" s="7"/>
      <c r="E1085" s="36">
        <v>143</v>
      </c>
      <c r="F1085" s="36" t="s">
        <v>2153</v>
      </c>
      <c r="G1085" s="36">
        <v>520200</v>
      </c>
      <c r="H1085" s="36" t="s">
        <v>2073</v>
      </c>
      <c r="I1085" s="37">
        <v>7.4860300000000004</v>
      </c>
      <c r="J1085" s="7"/>
      <c r="K1085" s="7" t="str">
        <f>VLOOKUP($E1085,Mapping!$E$11:$I$96,3,0)</f>
        <v>Replacement</v>
      </c>
      <c r="L1085" s="7" t="str">
        <f>VLOOKUP($G1085,Mapping!$E$140:$K$2771,5,0)</f>
        <v>Materials</v>
      </c>
      <c r="M1085" s="7" t="str">
        <f>VLOOKUP($G1085,Mapping!$E$140:$K$2771,7,0)</f>
        <v>ENDirect</v>
      </c>
      <c r="N1085" s="7" t="str">
        <f>IFERROR(HLOOKUP(L1085,'Calc|Weightings'!$K$5:$M$5,1,0),"Excl")</f>
        <v>Materials</v>
      </c>
      <c r="O1085" s="7" t="str">
        <f>VLOOKUP(E1085,Mapping!$E$11:$I$96,5,0)</f>
        <v>SCS</v>
      </c>
      <c r="Q1085" s="33">
        <v>146</v>
      </c>
      <c r="R1085" s="33" t="s">
        <v>2156</v>
      </c>
      <c r="S1085" s="33">
        <v>531468</v>
      </c>
      <c r="T1085" s="33" t="s">
        <v>260</v>
      </c>
      <c r="U1085" s="34">
        <v>42.204239999999999</v>
      </c>
      <c r="V1085" s="7"/>
      <c r="W1085" s="7" t="str">
        <f>VLOOKUP($Q1085,Mapping!$E$11:$I$96,3,0)</f>
        <v>Quoted Opex</v>
      </c>
      <c r="X1085" s="7" t="str">
        <f>VLOOKUP($S1085,Mapping!$E$140:$K$2771,5,0)</f>
        <v>Contracts</v>
      </c>
      <c r="Y1085" s="7" t="str">
        <f>VLOOKUP($S1085,Mapping!$E$140:$K$2771,7,0)</f>
        <v>ENDirect</v>
      </c>
      <c r="Z1085" s="7" t="str">
        <f>IFERROR(HLOOKUP(X1085,'Calc|Weightings'!$K$5:$M$5,1,0),"Excl")</f>
        <v>Contracts</v>
      </c>
      <c r="AA1085" s="7" t="str">
        <f>VLOOKUP(Q1085,Mapping!$E$11:$I$96,5,0)</f>
        <v>Ancillary Network Services</v>
      </c>
      <c r="AC1085" s="111">
        <v>146</v>
      </c>
      <c r="AD1085" s="111" t="s">
        <v>2156</v>
      </c>
      <c r="AE1085" s="111">
        <v>531466</v>
      </c>
      <c r="AF1085" s="111" t="s">
        <v>258</v>
      </c>
      <c r="AG1085" s="112">
        <v>41.068939999999998</v>
      </c>
      <c r="AI1085" s="7" t="str">
        <f>VLOOKUP($AC1085,Mapping!$E$11:$I$96,3,0)</f>
        <v>Quoted Opex</v>
      </c>
      <c r="AJ1085" s="7" t="str">
        <f>VLOOKUP($AE1085,Mapping!$E$140:$K$2771,5,0)</f>
        <v>Contracts</v>
      </c>
      <c r="AK1085" s="7" t="str">
        <f>VLOOKUP($AE1085,Mapping!$E$140:$K$2771,7,0)</f>
        <v>ENDirect</v>
      </c>
      <c r="AL1085" s="7" t="str">
        <f>IFERROR(HLOOKUP(AJ1085,'Calc|Weightings'!$K$5:$M$5,1,0),"Excl")</f>
        <v>Contracts</v>
      </c>
      <c r="AM1085" s="7" t="str">
        <f>VLOOKUP(AC1085,Mapping!$E$11:$I$96,5,0)</f>
        <v>Ancillary Network Services</v>
      </c>
      <c r="AO1085" s="134">
        <v>150</v>
      </c>
      <c r="AP1085" s="135" t="s">
        <v>2159</v>
      </c>
      <c r="AQ1085" s="135">
        <v>611902</v>
      </c>
      <c r="AR1085" s="135" t="s">
        <v>2081</v>
      </c>
      <c r="AS1085" s="136">
        <v>1.1664399999999999</v>
      </c>
      <c r="AU1085" s="7" t="str">
        <f>VLOOKUP($AO1085,Mapping!$E$11:$I$96,3,0)</f>
        <v>Replacement</v>
      </c>
      <c r="AV1085" s="7" t="str">
        <f>VLOOKUP($AQ1085,Mapping!$E$140:$K$2771,5,0)</f>
        <v>Contracts</v>
      </c>
      <c r="AW1085" s="7" t="str">
        <f>VLOOKUP($AQ1085,Mapping!$E$140:$K$2771,7,0)</f>
        <v>ENDirect</v>
      </c>
      <c r="AX1085" s="7" t="str">
        <f>IFERROR(HLOOKUP(AV1085,'Calc|Weightings'!$K$5:$M$5,1,0),"Excl")</f>
        <v>Contracts</v>
      </c>
      <c r="AY1085" s="7" t="str">
        <f>VLOOKUP(AO1085,Mapping!$E$11:$I$96,5,0)</f>
        <v>SCS</v>
      </c>
    </row>
    <row r="1086" spans="1:51" x14ac:dyDescent="0.2">
      <c r="A1086" s="7"/>
      <c r="B1086" s="7"/>
      <c r="C1086" s="7"/>
      <c r="D1086" s="7"/>
      <c r="E1086" s="36">
        <v>143</v>
      </c>
      <c r="F1086" s="36" t="s">
        <v>2153</v>
      </c>
      <c r="G1086" s="36">
        <v>523100</v>
      </c>
      <c r="H1086" s="36" t="s">
        <v>2074</v>
      </c>
      <c r="I1086" s="37">
        <v>6.8073600000000001</v>
      </c>
      <c r="J1086" s="7"/>
      <c r="K1086" s="7" t="str">
        <f>VLOOKUP($E1086,Mapping!$E$11:$I$96,3,0)</f>
        <v>Replacement</v>
      </c>
      <c r="L1086" s="7" t="str">
        <f>VLOOKUP($G1086,Mapping!$E$140:$K$2771,5,0)</f>
        <v>Materials</v>
      </c>
      <c r="M1086" s="7" t="str">
        <f>VLOOKUP($G1086,Mapping!$E$140:$K$2771,7,0)</f>
        <v>ENDirect</v>
      </c>
      <c r="N1086" s="7" t="str">
        <f>IFERROR(HLOOKUP(L1086,'Calc|Weightings'!$K$5:$M$5,1,0),"Excl")</f>
        <v>Materials</v>
      </c>
      <c r="O1086" s="7" t="str">
        <f>VLOOKUP(E1086,Mapping!$E$11:$I$96,5,0)</f>
        <v>SCS</v>
      </c>
      <c r="Q1086" s="33">
        <v>146</v>
      </c>
      <c r="R1086" s="33" t="s">
        <v>2156</v>
      </c>
      <c r="S1086" s="33">
        <v>531469</v>
      </c>
      <c r="T1086" s="33" t="s">
        <v>261</v>
      </c>
      <c r="U1086" s="34">
        <v>0.75</v>
      </c>
      <c r="V1086" s="7"/>
      <c r="W1086" s="7" t="str">
        <f>VLOOKUP($Q1086,Mapping!$E$11:$I$96,3,0)</f>
        <v>Quoted Opex</v>
      </c>
      <c r="X1086" s="7" t="str">
        <f>VLOOKUP($S1086,Mapping!$E$140:$K$2771,5,0)</f>
        <v>Labour</v>
      </c>
      <c r="Y1086" s="7" t="str">
        <f>VLOOKUP($S1086,Mapping!$E$140:$K$2771,7,0)</f>
        <v>ENDirect</v>
      </c>
      <c r="Z1086" s="7" t="str">
        <f>IFERROR(HLOOKUP(X1086,'Calc|Weightings'!$K$5:$M$5,1,0),"Excl")</f>
        <v>Labour</v>
      </c>
      <c r="AA1086" s="7" t="str">
        <f>VLOOKUP(Q1086,Mapping!$E$11:$I$96,5,0)</f>
        <v>Ancillary Network Services</v>
      </c>
      <c r="AC1086" s="111">
        <v>146</v>
      </c>
      <c r="AD1086" s="111" t="s">
        <v>2156</v>
      </c>
      <c r="AE1086" s="111">
        <v>531467</v>
      </c>
      <c r="AF1086" s="111" t="s">
        <v>259</v>
      </c>
      <c r="AG1086" s="112">
        <v>101.02290000000001</v>
      </c>
      <c r="AI1086" s="7" t="str">
        <f>VLOOKUP($AC1086,Mapping!$E$11:$I$96,3,0)</f>
        <v>Quoted Opex</v>
      </c>
      <c r="AJ1086" s="7" t="str">
        <f>VLOOKUP($AE1086,Mapping!$E$140:$K$2771,5,0)</f>
        <v>Contracts</v>
      </c>
      <c r="AK1086" s="7" t="str">
        <f>VLOOKUP($AE1086,Mapping!$E$140:$K$2771,7,0)</f>
        <v>ENDirect</v>
      </c>
      <c r="AL1086" s="7" t="str">
        <f>IFERROR(HLOOKUP(AJ1086,'Calc|Weightings'!$K$5:$M$5,1,0),"Excl")</f>
        <v>Contracts</v>
      </c>
      <c r="AM1086" s="7" t="str">
        <f>VLOOKUP(AC1086,Mapping!$E$11:$I$96,5,0)</f>
        <v>Ancillary Network Services</v>
      </c>
      <c r="AO1086" s="134">
        <v>150</v>
      </c>
      <c r="AP1086" s="135" t="s">
        <v>2159</v>
      </c>
      <c r="AQ1086" s="135">
        <v>613240</v>
      </c>
      <c r="AR1086" s="135" t="s">
        <v>2082</v>
      </c>
      <c r="AS1086" s="136">
        <v>7.4562999999999997</v>
      </c>
      <c r="AU1086" s="7" t="str">
        <f>VLOOKUP($AO1086,Mapping!$E$11:$I$96,3,0)</f>
        <v>Replacement</v>
      </c>
      <c r="AV1086" s="7" t="str">
        <f>VLOOKUP($AQ1086,Mapping!$E$140:$K$2771,5,0)</f>
        <v>Labour</v>
      </c>
      <c r="AW1086" s="7" t="str">
        <f>VLOOKUP($AQ1086,Mapping!$E$140:$K$2771,7,0)</f>
        <v>ENDirect</v>
      </c>
      <c r="AX1086" s="7" t="str">
        <f>IFERROR(HLOOKUP(AV1086,'Calc|Weightings'!$K$5:$M$5,1,0),"Excl")</f>
        <v>Labour</v>
      </c>
      <c r="AY1086" s="7" t="str">
        <f>VLOOKUP(AO1086,Mapping!$E$11:$I$96,5,0)</f>
        <v>SCS</v>
      </c>
    </row>
    <row r="1087" spans="1:51" x14ac:dyDescent="0.2">
      <c r="A1087" s="7"/>
      <c r="B1087" s="7"/>
      <c r="C1087" s="7"/>
      <c r="D1087" s="7"/>
      <c r="E1087" s="36">
        <v>143</v>
      </c>
      <c r="F1087" s="36" t="s">
        <v>2153</v>
      </c>
      <c r="G1087" s="36">
        <v>523300</v>
      </c>
      <c r="H1087" s="36" t="s">
        <v>2075</v>
      </c>
      <c r="I1087" s="37">
        <v>3.6000000000000002E-4</v>
      </c>
      <c r="J1087" s="7"/>
      <c r="K1087" s="7" t="str">
        <f>VLOOKUP($E1087,Mapping!$E$11:$I$96,3,0)</f>
        <v>Replacement</v>
      </c>
      <c r="L1087" s="7" t="str">
        <f>VLOOKUP($G1087,Mapping!$E$140:$K$2771,5,0)</f>
        <v>Materials</v>
      </c>
      <c r="M1087" s="7" t="str">
        <f>VLOOKUP($G1087,Mapping!$E$140:$K$2771,7,0)</f>
        <v>ENDirect</v>
      </c>
      <c r="N1087" s="7" t="str">
        <f>IFERROR(HLOOKUP(L1087,'Calc|Weightings'!$K$5:$M$5,1,0),"Excl")</f>
        <v>Materials</v>
      </c>
      <c r="O1087" s="7" t="str">
        <f>VLOOKUP(E1087,Mapping!$E$11:$I$96,5,0)</f>
        <v>SCS</v>
      </c>
      <c r="Q1087" s="33">
        <v>146</v>
      </c>
      <c r="R1087" s="33" t="s">
        <v>2156</v>
      </c>
      <c r="S1087" s="33">
        <v>591997</v>
      </c>
      <c r="T1087" s="33" t="s">
        <v>399</v>
      </c>
      <c r="U1087" s="34">
        <v>-1.3322099999999999</v>
      </c>
      <c r="V1087" s="7"/>
      <c r="W1087" s="7" t="str">
        <f>VLOOKUP($Q1087,Mapping!$E$11:$I$96,3,0)</f>
        <v>Quoted Opex</v>
      </c>
      <c r="X1087" s="7" t="str">
        <f>VLOOKUP($S1087,Mapping!$E$140:$K$2771,5,0)</f>
        <v>Contracts</v>
      </c>
      <c r="Y1087" s="7" t="str">
        <f>VLOOKUP($S1087,Mapping!$E$140:$K$2771,7,0)</f>
        <v>ENDirect</v>
      </c>
      <c r="Z1087" s="7" t="str">
        <f>IFERROR(HLOOKUP(X1087,'Calc|Weightings'!$K$5:$M$5,1,0),"Excl")</f>
        <v>Contracts</v>
      </c>
      <c r="AA1087" s="7" t="str">
        <f>VLOOKUP(Q1087,Mapping!$E$11:$I$96,5,0)</f>
        <v>Ancillary Network Services</v>
      </c>
      <c r="AC1087" s="111">
        <v>146</v>
      </c>
      <c r="AD1087" s="111" t="s">
        <v>2156</v>
      </c>
      <c r="AE1087" s="111">
        <v>531468</v>
      </c>
      <c r="AF1087" s="111" t="s">
        <v>260</v>
      </c>
      <c r="AG1087" s="112">
        <v>46.797710000000002</v>
      </c>
      <c r="AI1087" s="7" t="str">
        <f>VLOOKUP($AC1087,Mapping!$E$11:$I$96,3,0)</f>
        <v>Quoted Opex</v>
      </c>
      <c r="AJ1087" s="7" t="str">
        <f>VLOOKUP($AE1087,Mapping!$E$140:$K$2771,5,0)</f>
        <v>Contracts</v>
      </c>
      <c r="AK1087" s="7" t="str">
        <f>VLOOKUP($AE1087,Mapping!$E$140:$K$2771,7,0)</f>
        <v>ENDirect</v>
      </c>
      <c r="AL1087" s="7" t="str">
        <f>IFERROR(HLOOKUP(AJ1087,'Calc|Weightings'!$K$5:$M$5,1,0),"Excl")</f>
        <v>Contracts</v>
      </c>
      <c r="AM1087" s="7" t="str">
        <f>VLOOKUP(AC1087,Mapping!$E$11:$I$96,5,0)</f>
        <v>Ancillary Network Services</v>
      </c>
      <c r="AO1087" s="134">
        <v>150</v>
      </c>
      <c r="AP1087" s="135" t="s">
        <v>2159</v>
      </c>
      <c r="AQ1087" s="135">
        <v>613241</v>
      </c>
      <c r="AR1087" s="135" t="s">
        <v>2083</v>
      </c>
      <c r="AS1087" s="136">
        <v>4.8714000000000004</v>
      </c>
      <c r="AU1087" s="7" t="str">
        <f>VLOOKUP($AO1087,Mapping!$E$11:$I$96,3,0)</f>
        <v>Replacement</v>
      </c>
      <c r="AV1087" s="7" t="str">
        <f>VLOOKUP($AQ1087,Mapping!$E$140:$K$2771,5,0)</f>
        <v>Labour</v>
      </c>
      <c r="AW1087" s="7" t="str">
        <f>VLOOKUP($AQ1087,Mapping!$E$140:$K$2771,7,0)</f>
        <v>ENDirect</v>
      </c>
      <c r="AX1087" s="7" t="str">
        <f>IFERROR(HLOOKUP(AV1087,'Calc|Weightings'!$K$5:$M$5,1,0),"Excl")</f>
        <v>Labour</v>
      </c>
      <c r="AY1087" s="7" t="str">
        <f>VLOOKUP(AO1087,Mapping!$E$11:$I$96,5,0)</f>
        <v>SCS</v>
      </c>
    </row>
    <row r="1088" spans="1:51" x14ac:dyDescent="0.2">
      <c r="A1088" s="7"/>
      <c r="B1088" s="7"/>
      <c r="C1088" s="7"/>
      <c r="D1088" s="7"/>
      <c r="E1088" s="36">
        <v>143</v>
      </c>
      <c r="F1088" s="36" t="s">
        <v>2153</v>
      </c>
      <c r="G1088" s="36">
        <v>531000</v>
      </c>
      <c r="H1088" s="36" t="s">
        <v>242</v>
      </c>
      <c r="I1088" s="37">
        <v>0.23543</v>
      </c>
      <c r="J1088" s="7"/>
      <c r="K1088" s="7" t="str">
        <f>VLOOKUP($E1088,Mapping!$E$11:$I$96,3,0)</f>
        <v>Replacement</v>
      </c>
      <c r="L1088" s="7" t="str">
        <f>VLOOKUP($G1088,Mapping!$E$140:$K$2771,5,0)</f>
        <v>Contracts</v>
      </c>
      <c r="M1088" s="7" t="str">
        <f>VLOOKUP($G1088,Mapping!$E$140:$K$2771,7,0)</f>
        <v>ENDirect</v>
      </c>
      <c r="N1088" s="7" t="str">
        <f>IFERROR(HLOOKUP(L1088,'Calc|Weightings'!$K$5:$M$5,1,0),"Excl")</f>
        <v>Contracts</v>
      </c>
      <c r="O1088" s="7" t="str">
        <f>VLOOKUP(E1088,Mapping!$E$11:$I$96,5,0)</f>
        <v>SCS</v>
      </c>
      <c r="Q1088" s="33">
        <v>146</v>
      </c>
      <c r="R1088" s="33" t="s">
        <v>2156</v>
      </c>
      <c r="S1088" s="33">
        <v>591999</v>
      </c>
      <c r="T1088" s="33" t="s">
        <v>2078</v>
      </c>
      <c r="U1088" s="34">
        <v>-0.30184</v>
      </c>
      <c r="V1088" s="7"/>
      <c r="W1088" s="7" t="str">
        <f>VLOOKUP($Q1088,Mapping!$E$11:$I$96,3,0)</f>
        <v>Quoted Opex</v>
      </c>
      <c r="X1088" s="7" t="str">
        <f>VLOOKUP($S1088,Mapping!$E$140:$K$2771,5,0)</f>
        <v>Contracts</v>
      </c>
      <c r="Y1088" s="7" t="str">
        <f>VLOOKUP($S1088,Mapping!$E$140:$K$2771,7,0)</f>
        <v>ENDirect</v>
      </c>
      <c r="Z1088" s="7" t="str">
        <f>IFERROR(HLOOKUP(X1088,'Calc|Weightings'!$K$5:$M$5,1,0),"Excl")</f>
        <v>Contracts</v>
      </c>
      <c r="AA1088" s="7" t="str">
        <f>VLOOKUP(Q1088,Mapping!$E$11:$I$96,5,0)</f>
        <v>Ancillary Network Services</v>
      </c>
      <c r="AC1088" s="111">
        <v>146</v>
      </c>
      <c r="AD1088" s="111" t="s">
        <v>2156</v>
      </c>
      <c r="AE1088" s="111">
        <v>532200</v>
      </c>
      <c r="AF1088" s="111" t="s">
        <v>291</v>
      </c>
      <c r="AG1088" s="112">
        <v>1.22766</v>
      </c>
      <c r="AI1088" s="7" t="str">
        <f>VLOOKUP($AC1088,Mapping!$E$11:$I$96,3,0)</f>
        <v>Quoted Opex</v>
      </c>
      <c r="AJ1088" s="7" t="str">
        <f>VLOOKUP($AE1088,Mapping!$E$140:$K$2771,5,0)</f>
        <v>Contracts</v>
      </c>
      <c r="AK1088" s="7" t="str">
        <f>VLOOKUP($AE1088,Mapping!$E$140:$K$2771,7,0)</f>
        <v>ENDirect</v>
      </c>
      <c r="AL1088" s="7" t="str">
        <f>IFERROR(HLOOKUP(AJ1088,'Calc|Weightings'!$K$5:$M$5,1,0),"Excl")</f>
        <v>Contracts</v>
      </c>
      <c r="AM1088" s="7" t="str">
        <f>VLOOKUP(AC1088,Mapping!$E$11:$I$96,5,0)</f>
        <v>Ancillary Network Services</v>
      </c>
      <c r="AO1088" s="134">
        <v>150</v>
      </c>
      <c r="AP1088" s="135" t="s">
        <v>2159</v>
      </c>
      <c r="AQ1088" s="135">
        <v>613250</v>
      </c>
      <c r="AR1088" s="135" t="s">
        <v>2086</v>
      </c>
      <c r="AS1088" s="136">
        <v>10.643230000000001</v>
      </c>
      <c r="AU1088" s="7" t="str">
        <f>VLOOKUP($AO1088,Mapping!$E$11:$I$96,3,0)</f>
        <v>Replacement</v>
      </c>
      <c r="AV1088" s="7" t="str">
        <f>VLOOKUP($AQ1088,Mapping!$E$140:$K$2771,5,0)</f>
        <v>Labour</v>
      </c>
      <c r="AW1088" s="7" t="str">
        <f>VLOOKUP($AQ1088,Mapping!$E$140:$K$2771,7,0)</f>
        <v>ENDirect</v>
      </c>
      <c r="AX1088" s="7" t="str">
        <f>IFERROR(HLOOKUP(AV1088,'Calc|Weightings'!$K$5:$M$5,1,0),"Excl")</f>
        <v>Labour</v>
      </c>
      <c r="AY1088" s="7" t="str">
        <f>VLOOKUP(AO1088,Mapping!$E$11:$I$96,5,0)</f>
        <v>SCS</v>
      </c>
    </row>
    <row r="1089" spans="1:51" x14ac:dyDescent="0.2">
      <c r="A1089" s="7"/>
      <c r="B1089" s="7"/>
      <c r="C1089" s="7"/>
      <c r="D1089" s="7"/>
      <c r="E1089" s="36">
        <v>143</v>
      </c>
      <c r="F1089" s="36" t="s">
        <v>2153</v>
      </c>
      <c r="G1089" s="36">
        <v>531035</v>
      </c>
      <c r="H1089" s="36" t="s">
        <v>244</v>
      </c>
      <c r="I1089" s="37">
        <v>6.5308799999999998</v>
      </c>
      <c r="J1089" s="7"/>
      <c r="K1089" s="7" t="str">
        <f>VLOOKUP($E1089,Mapping!$E$11:$I$96,3,0)</f>
        <v>Replacement</v>
      </c>
      <c r="L1089" s="7" t="str">
        <f>VLOOKUP($G1089,Mapping!$E$140:$K$2771,5,0)</f>
        <v>Labour</v>
      </c>
      <c r="M1089" s="7" t="str">
        <f>VLOOKUP($G1089,Mapping!$E$140:$K$2771,7,0)</f>
        <v>ENDirect</v>
      </c>
      <c r="N1089" s="7" t="str">
        <f>IFERROR(HLOOKUP(L1089,'Calc|Weightings'!$K$5:$M$5,1,0),"Excl")</f>
        <v>Labour</v>
      </c>
      <c r="O1089" s="7" t="str">
        <f>VLOOKUP(E1089,Mapping!$E$11:$I$96,5,0)</f>
        <v>SCS</v>
      </c>
      <c r="Q1089" s="33">
        <v>146</v>
      </c>
      <c r="R1089" s="33" t="s">
        <v>2156</v>
      </c>
      <c r="S1089" s="33">
        <v>611860</v>
      </c>
      <c r="T1089" s="33" t="s">
        <v>2125</v>
      </c>
      <c r="U1089" s="34">
        <v>0.10178</v>
      </c>
      <c r="V1089" s="7"/>
      <c r="W1089" s="7" t="str">
        <f>VLOOKUP($Q1089,Mapping!$E$11:$I$96,3,0)</f>
        <v>Quoted Opex</v>
      </c>
      <c r="X1089" s="7" t="str">
        <f>VLOOKUP($S1089,Mapping!$E$140:$K$2771,5,0)</f>
        <v>Labour</v>
      </c>
      <c r="Y1089" s="7" t="str">
        <f>VLOOKUP($S1089,Mapping!$E$140:$K$2771,7,0)</f>
        <v>ENDirect</v>
      </c>
      <c r="Z1089" s="7" t="str">
        <f>IFERROR(HLOOKUP(X1089,'Calc|Weightings'!$K$5:$M$5,1,0),"Excl")</f>
        <v>Labour</v>
      </c>
      <c r="AA1089" s="7" t="str">
        <f>VLOOKUP(Q1089,Mapping!$E$11:$I$96,5,0)</f>
        <v>Ancillary Network Services</v>
      </c>
      <c r="AC1089" s="111">
        <v>146</v>
      </c>
      <c r="AD1089" s="111" t="s">
        <v>2156</v>
      </c>
      <c r="AE1089" s="111">
        <v>591200</v>
      </c>
      <c r="AF1089" s="111" t="s">
        <v>398</v>
      </c>
      <c r="AG1089" s="112">
        <v>0.2</v>
      </c>
      <c r="AI1089" s="7" t="str">
        <f>VLOOKUP($AC1089,Mapping!$E$11:$I$96,3,0)</f>
        <v>Quoted Opex</v>
      </c>
      <c r="AJ1089" s="7" t="str">
        <f>VLOOKUP($AE1089,Mapping!$E$140:$K$2771,5,0)</f>
        <v>Contracts</v>
      </c>
      <c r="AK1089" s="7" t="str">
        <f>VLOOKUP($AE1089,Mapping!$E$140:$K$2771,7,0)</f>
        <v>ENDirect</v>
      </c>
      <c r="AL1089" s="7" t="str">
        <f>IFERROR(HLOOKUP(AJ1089,'Calc|Weightings'!$K$5:$M$5,1,0),"Excl")</f>
        <v>Contracts</v>
      </c>
      <c r="AM1089" s="7" t="str">
        <f>VLOOKUP(AC1089,Mapping!$E$11:$I$96,5,0)</f>
        <v>Ancillary Network Services</v>
      </c>
      <c r="AO1089" s="134">
        <v>150</v>
      </c>
      <c r="AP1089" s="135" t="s">
        <v>2159</v>
      </c>
      <c r="AQ1089" s="135">
        <v>613251</v>
      </c>
      <c r="AR1089" s="135" t="s">
        <v>2087</v>
      </c>
      <c r="AS1089" s="136">
        <v>4.0567399999999996</v>
      </c>
      <c r="AU1089" s="7" t="str">
        <f>VLOOKUP($AO1089,Mapping!$E$11:$I$96,3,0)</f>
        <v>Replacement</v>
      </c>
      <c r="AV1089" s="7" t="str">
        <f>VLOOKUP($AQ1089,Mapping!$E$140:$K$2771,5,0)</f>
        <v>Labour</v>
      </c>
      <c r="AW1089" s="7" t="str">
        <f>VLOOKUP($AQ1089,Mapping!$E$140:$K$2771,7,0)</f>
        <v>ENDirect</v>
      </c>
      <c r="AX1089" s="7" t="str">
        <f>IFERROR(HLOOKUP(AV1089,'Calc|Weightings'!$K$5:$M$5,1,0),"Excl")</f>
        <v>Labour</v>
      </c>
      <c r="AY1089" s="7" t="str">
        <f>VLOOKUP(AO1089,Mapping!$E$11:$I$96,5,0)</f>
        <v>SCS</v>
      </c>
    </row>
    <row r="1090" spans="1:51" x14ac:dyDescent="0.2">
      <c r="A1090" s="7"/>
      <c r="B1090" s="7"/>
      <c r="C1090" s="7"/>
      <c r="D1090" s="7"/>
      <c r="E1090" s="36">
        <v>143</v>
      </c>
      <c r="F1090" s="36" t="s">
        <v>2153</v>
      </c>
      <c r="G1090" s="36">
        <v>531200</v>
      </c>
      <c r="H1090" s="36" t="s">
        <v>250</v>
      </c>
      <c r="I1090" s="37">
        <v>63.9955</v>
      </c>
      <c r="J1090" s="7"/>
      <c r="K1090" s="7" t="str">
        <f>VLOOKUP($E1090,Mapping!$E$11:$I$96,3,0)</f>
        <v>Replacement</v>
      </c>
      <c r="L1090" s="7" t="str">
        <f>VLOOKUP($G1090,Mapping!$E$140:$K$2771,5,0)</f>
        <v>Contracts</v>
      </c>
      <c r="M1090" s="7" t="str">
        <f>VLOOKUP($G1090,Mapping!$E$140:$K$2771,7,0)</f>
        <v>ENDirect</v>
      </c>
      <c r="N1090" s="7" t="str">
        <f>IFERROR(HLOOKUP(L1090,'Calc|Weightings'!$K$5:$M$5,1,0),"Excl")</f>
        <v>Contracts</v>
      </c>
      <c r="O1090" s="7" t="str">
        <f>VLOOKUP(E1090,Mapping!$E$11:$I$96,5,0)</f>
        <v>SCS</v>
      </c>
      <c r="Q1090" s="33">
        <v>146</v>
      </c>
      <c r="R1090" s="33" t="s">
        <v>2156</v>
      </c>
      <c r="S1090" s="33">
        <v>611900</v>
      </c>
      <c r="T1090" s="33" t="s">
        <v>2079</v>
      </c>
      <c r="U1090" s="34">
        <v>0.40145999999999998</v>
      </c>
      <c r="V1090" s="7"/>
      <c r="W1090" s="7" t="str">
        <f>VLOOKUP($Q1090,Mapping!$E$11:$I$96,3,0)</f>
        <v>Quoted Opex</v>
      </c>
      <c r="X1090" s="7" t="str">
        <f>VLOOKUP($S1090,Mapping!$E$140:$K$2771,5,0)</f>
        <v>Contracts</v>
      </c>
      <c r="Y1090" s="7" t="str">
        <f>VLOOKUP($S1090,Mapping!$E$140:$K$2771,7,0)</f>
        <v>ENDirect</v>
      </c>
      <c r="Z1090" s="7" t="str">
        <f>IFERROR(HLOOKUP(X1090,'Calc|Weightings'!$K$5:$M$5,1,0),"Excl")</f>
        <v>Contracts</v>
      </c>
      <c r="AA1090" s="7" t="str">
        <f>VLOOKUP(Q1090,Mapping!$E$11:$I$96,5,0)</f>
        <v>Ancillary Network Services</v>
      </c>
      <c r="AC1090" s="111">
        <v>146</v>
      </c>
      <c r="AD1090" s="111" t="s">
        <v>2156</v>
      </c>
      <c r="AE1090" s="111">
        <v>591997</v>
      </c>
      <c r="AF1090" s="111" t="s">
        <v>2194</v>
      </c>
      <c r="AG1090" s="112">
        <v>-5.0000000000000002E-5</v>
      </c>
      <c r="AI1090" s="7" t="str">
        <f>VLOOKUP($AC1090,Mapping!$E$11:$I$96,3,0)</f>
        <v>Quoted Opex</v>
      </c>
      <c r="AJ1090" s="7" t="str">
        <f>VLOOKUP($AE1090,Mapping!$E$140:$K$2771,5,0)</f>
        <v>Contracts</v>
      </c>
      <c r="AK1090" s="7" t="str">
        <f>VLOOKUP($AE1090,Mapping!$E$140:$K$2771,7,0)</f>
        <v>ENDirect</v>
      </c>
      <c r="AL1090" s="7" t="str">
        <f>IFERROR(HLOOKUP(AJ1090,'Calc|Weightings'!$K$5:$M$5,1,0),"Excl")</f>
        <v>Contracts</v>
      </c>
      <c r="AM1090" s="7" t="str">
        <f>VLOOKUP(AC1090,Mapping!$E$11:$I$96,5,0)</f>
        <v>Ancillary Network Services</v>
      </c>
      <c r="AO1090" s="134">
        <v>150</v>
      </c>
      <c r="AP1090" s="135" t="s">
        <v>2159</v>
      </c>
      <c r="AQ1090" s="135">
        <v>613260</v>
      </c>
      <c r="AR1090" s="135" t="s">
        <v>2090</v>
      </c>
      <c r="AS1090" s="136">
        <v>1.11456</v>
      </c>
      <c r="AU1090" s="7" t="str">
        <f>VLOOKUP($AO1090,Mapping!$E$11:$I$96,3,0)</f>
        <v>Replacement</v>
      </c>
      <c r="AV1090" s="7" t="str">
        <f>VLOOKUP($AQ1090,Mapping!$E$140:$K$2771,5,0)</f>
        <v>Labour</v>
      </c>
      <c r="AW1090" s="7" t="str">
        <f>VLOOKUP($AQ1090,Mapping!$E$140:$K$2771,7,0)</f>
        <v>ENDirect</v>
      </c>
      <c r="AX1090" s="7" t="str">
        <f>IFERROR(HLOOKUP(AV1090,'Calc|Weightings'!$K$5:$M$5,1,0),"Excl")</f>
        <v>Labour</v>
      </c>
      <c r="AY1090" s="7" t="str">
        <f>VLOOKUP(AO1090,Mapping!$E$11:$I$96,5,0)</f>
        <v>SCS</v>
      </c>
    </row>
    <row r="1091" spans="1:51" x14ac:dyDescent="0.2">
      <c r="A1091" s="7"/>
      <c r="B1091" s="7"/>
      <c r="C1091" s="7"/>
      <c r="D1091" s="7"/>
      <c r="E1091" s="36">
        <v>143</v>
      </c>
      <c r="F1091" s="36" t="s">
        <v>2153</v>
      </c>
      <c r="G1091" s="36">
        <v>531201</v>
      </c>
      <c r="H1091" s="36" t="s">
        <v>251</v>
      </c>
      <c r="I1091" s="37">
        <v>10</v>
      </c>
      <c r="J1091" s="7"/>
      <c r="K1091" s="7" t="str">
        <f>VLOOKUP($E1091,Mapping!$E$11:$I$96,3,0)</f>
        <v>Replacement</v>
      </c>
      <c r="L1091" s="7" t="str">
        <f>VLOOKUP($G1091,Mapping!$E$140:$K$2771,5,0)</f>
        <v>Contracts</v>
      </c>
      <c r="M1091" s="7" t="str">
        <f>VLOOKUP($G1091,Mapping!$E$140:$K$2771,7,0)</f>
        <v>ENDirect</v>
      </c>
      <c r="N1091" s="7" t="str">
        <f>IFERROR(HLOOKUP(L1091,'Calc|Weightings'!$K$5:$M$5,1,0),"Excl")</f>
        <v>Contracts</v>
      </c>
      <c r="O1091" s="7" t="str">
        <f>VLOOKUP(E1091,Mapping!$E$11:$I$96,5,0)</f>
        <v>SCS</v>
      </c>
      <c r="Q1091" s="33">
        <v>146</v>
      </c>
      <c r="R1091" s="33" t="s">
        <v>2156</v>
      </c>
      <c r="S1091" s="33">
        <v>611901</v>
      </c>
      <c r="T1091" s="33" t="s">
        <v>2080</v>
      </c>
      <c r="U1091" s="34">
        <v>1.8278399999999999</v>
      </c>
      <c r="V1091" s="7"/>
      <c r="W1091" s="7" t="str">
        <f>VLOOKUP($Q1091,Mapping!$E$11:$I$96,3,0)</f>
        <v>Quoted Opex</v>
      </c>
      <c r="X1091" s="7" t="str">
        <f>VLOOKUP($S1091,Mapping!$E$140:$K$2771,5,0)</f>
        <v>Contracts</v>
      </c>
      <c r="Y1091" s="7" t="str">
        <f>VLOOKUP($S1091,Mapping!$E$140:$K$2771,7,0)</f>
        <v>ENDirect</v>
      </c>
      <c r="Z1091" s="7" t="str">
        <f>IFERROR(HLOOKUP(X1091,'Calc|Weightings'!$K$5:$M$5,1,0),"Excl")</f>
        <v>Contracts</v>
      </c>
      <c r="AA1091" s="7" t="str">
        <f>VLOOKUP(Q1091,Mapping!$E$11:$I$96,5,0)</f>
        <v>Ancillary Network Services</v>
      </c>
      <c r="AC1091" s="111">
        <v>146</v>
      </c>
      <c r="AD1091" s="111" t="s">
        <v>2156</v>
      </c>
      <c r="AE1091" s="111">
        <v>611900</v>
      </c>
      <c r="AF1091" s="111" t="s">
        <v>2079</v>
      </c>
      <c r="AG1091" s="112">
        <v>3.22519</v>
      </c>
      <c r="AI1091" s="7" t="str">
        <f>VLOOKUP($AC1091,Mapping!$E$11:$I$96,3,0)</f>
        <v>Quoted Opex</v>
      </c>
      <c r="AJ1091" s="7" t="str">
        <f>VLOOKUP($AE1091,Mapping!$E$140:$K$2771,5,0)</f>
        <v>Contracts</v>
      </c>
      <c r="AK1091" s="7" t="str">
        <f>VLOOKUP($AE1091,Mapping!$E$140:$K$2771,7,0)</f>
        <v>ENDirect</v>
      </c>
      <c r="AL1091" s="7" t="str">
        <f>IFERROR(HLOOKUP(AJ1091,'Calc|Weightings'!$K$5:$M$5,1,0),"Excl")</f>
        <v>Contracts</v>
      </c>
      <c r="AM1091" s="7" t="str">
        <f>VLOOKUP(AC1091,Mapping!$E$11:$I$96,5,0)</f>
        <v>Ancillary Network Services</v>
      </c>
      <c r="AO1091" s="134">
        <v>150</v>
      </c>
      <c r="AP1091" s="135" t="s">
        <v>2159</v>
      </c>
      <c r="AQ1091" s="135">
        <v>613280</v>
      </c>
      <c r="AR1091" s="135" t="s">
        <v>1342</v>
      </c>
      <c r="AS1091" s="136">
        <v>51.136960000000002</v>
      </c>
      <c r="AU1091" s="7" t="str">
        <f>VLOOKUP($AO1091,Mapping!$E$11:$I$96,3,0)</f>
        <v>Replacement</v>
      </c>
      <c r="AV1091" s="7" t="str">
        <f>VLOOKUP($AQ1091,Mapping!$E$140:$K$2771,5,0)</f>
        <v>Labour</v>
      </c>
      <c r="AW1091" s="7" t="str">
        <f>VLOOKUP($AQ1091,Mapping!$E$140:$K$2771,7,0)</f>
        <v>ENDirect</v>
      </c>
      <c r="AX1091" s="7" t="str">
        <f>IFERROR(HLOOKUP(AV1091,'Calc|Weightings'!$K$5:$M$5,1,0),"Excl")</f>
        <v>Labour</v>
      </c>
      <c r="AY1091" s="7" t="str">
        <f>VLOOKUP(AO1091,Mapping!$E$11:$I$96,5,0)</f>
        <v>SCS</v>
      </c>
    </row>
    <row r="1092" spans="1:51" x14ac:dyDescent="0.2">
      <c r="A1092" s="7"/>
      <c r="B1092" s="7"/>
      <c r="C1092" s="7"/>
      <c r="D1092" s="7"/>
      <c r="E1092" s="36">
        <v>143</v>
      </c>
      <c r="F1092" s="36" t="s">
        <v>2153</v>
      </c>
      <c r="G1092" s="36">
        <v>531211</v>
      </c>
      <c r="H1092" s="36" t="s">
        <v>253</v>
      </c>
      <c r="I1092" s="37">
        <v>0.83111999999999997</v>
      </c>
      <c r="J1092" s="7"/>
      <c r="K1092" s="7" t="str">
        <f>VLOOKUP($E1092,Mapping!$E$11:$I$96,3,0)</f>
        <v>Replacement</v>
      </c>
      <c r="L1092" s="7" t="str">
        <f>VLOOKUP($G1092,Mapping!$E$140:$K$2771,5,0)</f>
        <v>Labour</v>
      </c>
      <c r="M1092" s="7" t="str">
        <f>VLOOKUP($G1092,Mapping!$E$140:$K$2771,7,0)</f>
        <v>ENDirect</v>
      </c>
      <c r="N1092" s="7" t="str">
        <f>IFERROR(HLOOKUP(L1092,'Calc|Weightings'!$K$5:$M$5,1,0),"Excl")</f>
        <v>Labour</v>
      </c>
      <c r="O1092" s="7" t="str">
        <f>VLOOKUP(E1092,Mapping!$E$11:$I$96,5,0)</f>
        <v>SCS</v>
      </c>
      <c r="Q1092" s="33">
        <v>146</v>
      </c>
      <c r="R1092" s="33" t="s">
        <v>2156</v>
      </c>
      <c r="S1092" s="33">
        <v>611902</v>
      </c>
      <c r="T1092" s="33" t="s">
        <v>2081</v>
      </c>
      <c r="U1092" s="34">
        <v>8.5550000000000001E-2</v>
      </c>
      <c r="V1092" s="7"/>
      <c r="W1092" s="7" t="str">
        <f>VLOOKUP($Q1092,Mapping!$E$11:$I$96,3,0)</f>
        <v>Quoted Opex</v>
      </c>
      <c r="X1092" s="7" t="str">
        <f>VLOOKUP($S1092,Mapping!$E$140:$K$2771,5,0)</f>
        <v>Contracts</v>
      </c>
      <c r="Y1092" s="7" t="str">
        <f>VLOOKUP($S1092,Mapping!$E$140:$K$2771,7,0)</f>
        <v>ENDirect</v>
      </c>
      <c r="Z1092" s="7" t="str">
        <f>IFERROR(HLOOKUP(X1092,'Calc|Weightings'!$K$5:$M$5,1,0),"Excl")</f>
        <v>Contracts</v>
      </c>
      <c r="AA1092" s="7" t="str">
        <f>VLOOKUP(Q1092,Mapping!$E$11:$I$96,5,0)</f>
        <v>Ancillary Network Services</v>
      </c>
      <c r="AC1092" s="111">
        <v>146</v>
      </c>
      <c r="AD1092" s="111" t="s">
        <v>2156</v>
      </c>
      <c r="AE1092" s="111">
        <v>611901</v>
      </c>
      <c r="AF1092" s="111" t="s">
        <v>2080</v>
      </c>
      <c r="AG1092" s="112">
        <v>1.19682</v>
      </c>
      <c r="AI1092" s="7" t="str">
        <f>VLOOKUP($AC1092,Mapping!$E$11:$I$96,3,0)</f>
        <v>Quoted Opex</v>
      </c>
      <c r="AJ1092" s="7" t="str">
        <f>VLOOKUP($AE1092,Mapping!$E$140:$K$2771,5,0)</f>
        <v>Contracts</v>
      </c>
      <c r="AK1092" s="7" t="str">
        <f>VLOOKUP($AE1092,Mapping!$E$140:$K$2771,7,0)</f>
        <v>ENDirect</v>
      </c>
      <c r="AL1092" s="7" t="str">
        <f>IFERROR(HLOOKUP(AJ1092,'Calc|Weightings'!$K$5:$M$5,1,0),"Excl")</f>
        <v>Contracts</v>
      </c>
      <c r="AM1092" s="7" t="str">
        <f>VLOOKUP(AC1092,Mapping!$E$11:$I$96,5,0)</f>
        <v>Ancillary Network Services</v>
      </c>
      <c r="AO1092" s="134">
        <v>150</v>
      </c>
      <c r="AP1092" s="135" t="s">
        <v>2159</v>
      </c>
      <c r="AQ1092" s="135">
        <v>613290</v>
      </c>
      <c r="AR1092" s="135" t="s">
        <v>2093</v>
      </c>
      <c r="AS1092" s="136">
        <v>106.66052999999999</v>
      </c>
      <c r="AU1092" s="7" t="str">
        <f>VLOOKUP($AO1092,Mapping!$E$11:$I$96,3,0)</f>
        <v>Replacement</v>
      </c>
      <c r="AV1092" s="7" t="str">
        <f>VLOOKUP($AQ1092,Mapping!$E$140:$K$2771,5,0)</f>
        <v>Labour</v>
      </c>
      <c r="AW1092" s="7" t="str">
        <f>VLOOKUP($AQ1092,Mapping!$E$140:$K$2771,7,0)</f>
        <v>ENDirect</v>
      </c>
      <c r="AX1092" s="7" t="str">
        <f>IFERROR(HLOOKUP(AV1092,'Calc|Weightings'!$K$5:$M$5,1,0),"Excl")</f>
        <v>Labour</v>
      </c>
      <c r="AY1092" s="7" t="str">
        <f>VLOOKUP(AO1092,Mapping!$E$11:$I$96,5,0)</f>
        <v>SCS</v>
      </c>
    </row>
    <row r="1093" spans="1:51" x14ac:dyDescent="0.2">
      <c r="A1093" s="7"/>
      <c r="B1093" s="7"/>
      <c r="C1093" s="7"/>
      <c r="D1093" s="7"/>
      <c r="E1093" s="36">
        <v>143</v>
      </c>
      <c r="F1093" s="36" t="s">
        <v>2153</v>
      </c>
      <c r="G1093" s="36">
        <v>531464</v>
      </c>
      <c r="H1093" s="36" t="s">
        <v>256</v>
      </c>
      <c r="I1093" s="37">
        <v>121.57171</v>
      </c>
      <c r="J1093" s="7"/>
      <c r="K1093" s="7" t="str">
        <f>VLOOKUP($E1093,Mapping!$E$11:$I$96,3,0)</f>
        <v>Replacement</v>
      </c>
      <c r="L1093" s="7" t="str">
        <f>VLOOKUP($G1093,Mapping!$E$140:$K$2771,5,0)</f>
        <v>Contracts</v>
      </c>
      <c r="M1093" s="7" t="str">
        <f>VLOOKUP($G1093,Mapping!$E$140:$K$2771,7,0)</f>
        <v>ENDirect</v>
      </c>
      <c r="N1093" s="7" t="str">
        <f>IFERROR(HLOOKUP(L1093,'Calc|Weightings'!$K$5:$M$5,1,0),"Excl")</f>
        <v>Contracts</v>
      </c>
      <c r="O1093" s="7" t="str">
        <f>VLOOKUP(E1093,Mapping!$E$11:$I$96,5,0)</f>
        <v>SCS</v>
      </c>
      <c r="Q1093" s="33">
        <v>146</v>
      </c>
      <c r="R1093" s="33" t="s">
        <v>2156</v>
      </c>
      <c r="S1093" s="33">
        <v>613240</v>
      </c>
      <c r="T1093" s="33" t="s">
        <v>2082</v>
      </c>
      <c r="U1093" s="34">
        <v>5.4869000000000003</v>
      </c>
      <c r="V1093" s="7"/>
      <c r="W1093" s="7" t="str">
        <f>VLOOKUP($Q1093,Mapping!$E$11:$I$96,3,0)</f>
        <v>Quoted Opex</v>
      </c>
      <c r="X1093" s="7" t="str">
        <f>VLOOKUP($S1093,Mapping!$E$140:$K$2771,5,0)</f>
        <v>Labour</v>
      </c>
      <c r="Y1093" s="7" t="str">
        <f>VLOOKUP($S1093,Mapping!$E$140:$K$2771,7,0)</f>
        <v>ENDirect</v>
      </c>
      <c r="Z1093" s="7" t="str">
        <f>IFERROR(HLOOKUP(X1093,'Calc|Weightings'!$K$5:$M$5,1,0),"Excl")</f>
        <v>Labour</v>
      </c>
      <c r="AA1093" s="7" t="str">
        <f>VLOOKUP(Q1093,Mapping!$E$11:$I$96,5,0)</f>
        <v>Ancillary Network Services</v>
      </c>
      <c r="AC1093" s="111">
        <v>146</v>
      </c>
      <c r="AD1093" s="111" t="s">
        <v>2156</v>
      </c>
      <c r="AE1093" s="111">
        <v>613240</v>
      </c>
      <c r="AF1093" s="111" t="s">
        <v>2082</v>
      </c>
      <c r="AG1093" s="112">
        <v>15.856479999999999</v>
      </c>
      <c r="AI1093" s="7" t="str">
        <f>VLOOKUP($AC1093,Mapping!$E$11:$I$96,3,0)</f>
        <v>Quoted Opex</v>
      </c>
      <c r="AJ1093" s="7" t="str">
        <f>VLOOKUP($AE1093,Mapping!$E$140:$K$2771,5,0)</f>
        <v>Labour</v>
      </c>
      <c r="AK1093" s="7" t="str">
        <f>VLOOKUP($AE1093,Mapping!$E$140:$K$2771,7,0)</f>
        <v>ENDirect</v>
      </c>
      <c r="AL1093" s="7" t="str">
        <f>IFERROR(HLOOKUP(AJ1093,'Calc|Weightings'!$K$5:$M$5,1,0),"Excl")</f>
        <v>Labour</v>
      </c>
      <c r="AM1093" s="7" t="str">
        <f>VLOOKUP(AC1093,Mapping!$E$11:$I$96,5,0)</f>
        <v>Ancillary Network Services</v>
      </c>
      <c r="AO1093" s="134">
        <v>150</v>
      </c>
      <c r="AP1093" s="135" t="s">
        <v>2159</v>
      </c>
      <c r="AQ1093" s="135">
        <v>613291</v>
      </c>
      <c r="AR1093" s="135" t="s">
        <v>2094</v>
      </c>
      <c r="AS1093" s="136">
        <v>7.5929999999999997E-2</v>
      </c>
      <c r="AU1093" s="7" t="str">
        <f>VLOOKUP($AO1093,Mapping!$E$11:$I$96,3,0)</f>
        <v>Replacement</v>
      </c>
      <c r="AV1093" s="7" t="str">
        <f>VLOOKUP($AQ1093,Mapping!$E$140:$K$2771,5,0)</f>
        <v>Labour</v>
      </c>
      <c r="AW1093" s="7" t="str">
        <f>VLOOKUP($AQ1093,Mapping!$E$140:$K$2771,7,0)</f>
        <v>ENDirect</v>
      </c>
      <c r="AX1093" s="7" t="str">
        <f>IFERROR(HLOOKUP(AV1093,'Calc|Weightings'!$K$5:$M$5,1,0),"Excl")</f>
        <v>Labour</v>
      </c>
      <c r="AY1093" s="7" t="str">
        <f>VLOOKUP(AO1093,Mapping!$E$11:$I$96,5,0)</f>
        <v>SCS</v>
      </c>
    </row>
    <row r="1094" spans="1:51" x14ac:dyDescent="0.2">
      <c r="A1094" s="7"/>
      <c r="B1094" s="7"/>
      <c r="C1094" s="7"/>
      <c r="D1094" s="7"/>
      <c r="E1094" s="36">
        <v>143</v>
      </c>
      <c r="F1094" s="36" t="s">
        <v>2153</v>
      </c>
      <c r="G1094" s="36">
        <v>531466</v>
      </c>
      <c r="H1094" s="36" t="s">
        <v>258</v>
      </c>
      <c r="I1094" s="37">
        <v>110.61018</v>
      </c>
      <c r="J1094" s="7"/>
      <c r="K1094" s="7" t="str">
        <f>VLOOKUP($E1094,Mapping!$E$11:$I$96,3,0)</f>
        <v>Replacement</v>
      </c>
      <c r="L1094" s="7" t="str">
        <f>VLOOKUP($G1094,Mapping!$E$140:$K$2771,5,0)</f>
        <v>Contracts</v>
      </c>
      <c r="M1094" s="7" t="str">
        <f>VLOOKUP($G1094,Mapping!$E$140:$K$2771,7,0)</f>
        <v>ENDirect</v>
      </c>
      <c r="N1094" s="7" t="str">
        <f>IFERROR(HLOOKUP(L1094,'Calc|Weightings'!$K$5:$M$5,1,0),"Excl")</f>
        <v>Contracts</v>
      </c>
      <c r="O1094" s="7" t="str">
        <f>VLOOKUP(E1094,Mapping!$E$11:$I$96,5,0)</f>
        <v>SCS</v>
      </c>
      <c r="Q1094" s="33">
        <v>146</v>
      </c>
      <c r="R1094" s="33" t="s">
        <v>2156</v>
      </c>
      <c r="S1094" s="33">
        <v>613241</v>
      </c>
      <c r="T1094" s="33" t="s">
        <v>2083</v>
      </c>
      <c r="U1094" s="34">
        <v>3.2330399999999999</v>
      </c>
      <c r="V1094" s="7"/>
      <c r="W1094" s="7" t="str">
        <f>VLOOKUP($Q1094,Mapping!$E$11:$I$96,3,0)</f>
        <v>Quoted Opex</v>
      </c>
      <c r="X1094" s="7" t="str">
        <f>VLOOKUP($S1094,Mapping!$E$140:$K$2771,5,0)</f>
        <v>Labour</v>
      </c>
      <c r="Y1094" s="7" t="str">
        <f>VLOOKUP($S1094,Mapping!$E$140:$K$2771,7,0)</f>
        <v>ENDirect</v>
      </c>
      <c r="Z1094" s="7" t="str">
        <f>IFERROR(HLOOKUP(X1094,'Calc|Weightings'!$K$5:$M$5,1,0),"Excl")</f>
        <v>Labour</v>
      </c>
      <c r="AA1094" s="7" t="str">
        <f>VLOOKUP(Q1094,Mapping!$E$11:$I$96,5,0)</f>
        <v>Ancillary Network Services</v>
      </c>
      <c r="AC1094" s="111">
        <v>146</v>
      </c>
      <c r="AD1094" s="111" t="s">
        <v>2156</v>
      </c>
      <c r="AE1094" s="111">
        <v>613241</v>
      </c>
      <c r="AF1094" s="111" t="s">
        <v>2083</v>
      </c>
      <c r="AG1094" s="112">
        <v>11.755039999999999</v>
      </c>
      <c r="AI1094" s="7" t="str">
        <f>VLOOKUP($AC1094,Mapping!$E$11:$I$96,3,0)</f>
        <v>Quoted Opex</v>
      </c>
      <c r="AJ1094" s="7" t="str">
        <f>VLOOKUP($AE1094,Mapping!$E$140:$K$2771,5,0)</f>
        <v>Labour</v>
      </c>
      <c r="AK1094" s="7" t="str">
        <f>VLOOKUP($AE1094,Mapping!$E$140:$K$2771,7,0)</f>
        <v>ENDirect</v>
      </c>
      <c r="AL1094" s="7" t="str">
        <f>IFERROR(HLOOKUP(AJ1094,'Calc|Weightings'!$K$5:$M$5,1,0),"Excl")</f>
        <v>Labour</v>
      </c>
      <c r="AM1094" s="7" t="str">
        <f>VLOOKUP(AC1094,Mapping!$E$11:$I$96,5,0)</f>
        <v>Ancillary Network Services</v>
      </c>
      <c r="AO1094" s="134">
        <v>150</v>
      </c>
      <c r="AP1094" s="135" t="s">
        <v>2159</v>
      </c>
      <c r="AQ1094" s="135">
        <v>613310</v>
      </c>
      <c r="AR1094" s="135" t="s">
        <v>2095</v>
      </c>
      <c r="AS1094" s="136">
        <v>0.76854999999999996</v>
      </c>
      <c r="AU1094" s="7" t="str">
        <f>VLOOKUP($AO1094,Mapping!$E$11:$I$96,3,0)</f>
        <v>Replacement</v>
      </c>
      <c r="AV1094" s="7" t="str">
        <f>VLOOKUP($AQ1094,Mapping!$E$140:$K$2771,5,0)</f>
        <v>Labour</v>
      </c>
      <c r="AW1094" s="7" t="str">
        <f>VLOOKUP($AQ1094,Mapping!$E$140:$K$2771,7,0)</f>
        <v>ENDirect</v>
      </c>
      <c r="AX1094" s="7" t="str">
        <f>IFERROR(HLOOKUP(AV1094,'Calc|Weightings'!$K$5:$M$5,1,0),"Excl")</f>
        <v>Labour</v>
      </c>
      <c r="AY1094" s="7" t="str">
        <f>VLOOKUP(AO1094,Mapping!$E$11:$I$96,5,0)</f>
        <v>SCS</v>
      </c>
    </row>
    <row r="1095" spans="1:51" x14ac:dyDescent="0.2">
      <c r="A1095" s="7"/>
      <c r="B1095" s="7"/>
      <c r="C1095" s="7"/>
      <c r="D1095" s="7"/>
      <c r="E1095" s="36">
        <v>143</v>
      </c>
      <c r="F1095" s="36" t="s">
        <v>2153</v>
      </c>
      <c r="G1095" s="36">
        <v>531467</v>
      </c>
      <c r="H1095" s="36" t="s">
        <v>259</v>
      </c>
      <c r="I1095" s="37">
        <v>18.654630000000001</v>
      </c>
      <c r="J1095" s="7"/>
      <c r="K1095" s="7" t="str">
        <f>VLOOKUP($E1095,Mapping!$E$11:$I$96,3,0)</f>
        <v>Replacement</v>
      </c>
      <c r="L1095" s="7" t="str">
        <f>VLOOKUP($G1095,Mapping!$E$140:$K$2771,5,0)</f>
        <v>Contracts</v>
      </c>
      <c r="M1095" s="7" t="str">
        <f>VLOOKUP($G1095,Mapping!$E$140:$K$2771,7,0)</f>
        <v>ENDirect</v>
      </c>
      <c r="N1095" s="7" t="str">
        <f>IFERROR(HLOOKUP(L1095,'Calc|Weightings'!$K$5:$M$5,1,0),"Excl")</f>
        <v>Contracts</v>
      </c>
      <c r="O1095" s="7" t="str">
        <f>VLOOKUP(E1095,Mapping!$E$11:$I$96,5,0)</f>
        <v>SCS</v>
      </c>
      <c r="Q1095" s="33">
        <v>146</v>
      </c>
      <c r="R1095" s="33" t="s">
        <v>2156</v>
      </c>
      <c r="S1095" s="33">
        <v>613250</v>
      </c>
      <c r="T1095" s="33" t="s">
        <v>2086</v>
      </c>
      <c r="U1095" s="34">
        <v>11.10515</v>
      </c>
      <c r="V1095" s="7"/>
      <c r="W1095" s="7" t="str">
        <f>VLOOKUP($Q1095,Mapping!$E$11:$I$96,3,0)</f>
        <v>Quoted Opex</v>
      </c>
      <c r="X1095" s="7" t="str">
        <f>VLOOKUP($S1095,Mapping!$E$140:$K$2771,5,0)</f>
        <v>Labour</v>
      </c>
      <c r="Y1095" s="7" t="str">
        <f>VLOOKUP($S1095,Mapping!$E$140:$K$2771,7,0)</f>
        <v>ENDirect</v>
      </c>
      <c r="Z1095" s="7" t="str">
        <f>IFERROR(HLOOKUP(X1095,'Calc|Weightings'!$K$5:$M$5,1,0),"Excl")</f>
        <v>Labour</v>
      </c>
      <c r="AA1095" s="7" t="str">
        <f>VLOOKUP(Q1095,Mapping!$E$11:$I$96,5,0)</f>
        <v>Ancillary Network Services</v>
      </c>
      <c r="AC1095" s="111">
        <v>146</v>
      </c>
      <c r="AD1095" s="111" t="s">
        <v>2156</v>
      </c>
      <c r="AE1095" s="111">
        <v>613250</v>
      </c>
      <c r="AF1095" s="111" t="s">
        <v>2086</v>
      </c>
      <c r="AG1095" s="112">
        <v>25.065660000000001</v>
      </c>
      <c r="AI1095" s="7" t="str">
        <f>VLOOKUP($AC1095,Mapping!$E$11:$I$96,3,0)</f>
        <v>Quoted Opex</v>
      </c>
      <c r="AJ1095" s="7" t="str">
        <f>VLOOKUP($AE1095,Mapping!$E$140:$K$2771,5,0)</f>
        <v>Labour</v>
      </c>
      <c r="AK1095" s="7" t="str">
        <f>VLOOKUP($AE1095,Mapping!$E$140:$K$2771,7,0)</f>
        <v>ENDirect</v>
      </c>
      <c r="AL1095" s="7" t="str">
        <f>IFERROR(HLOOKUP(AJ1095,'Calc|Weightings'!$K$5:$M$5,1,0),"Excl")</f>
        <v>Labour</v>
      </c>
      <c r="AM1095" s="7" t="str">
        <f>VLOOKUP(AC1095,Mapping!$E$11:$I$96,5,0)</f>
        <v>Ancillary Network Services</v>
      </c>
      <c r="AO1095" s="134">
        <v>150</v>
      </c>
      <c r="AP1095" s="135" t="s">
        <v>2159</v>
      </c>
      <c r="AQ1095" s="135">
        <v>613350</v>
      </c>
      <c r="AR1095" s="135" t="s">
        <v>2096</v>
      </c>
      <c r="AS1095" s="136">
        <v>1.7688999999999999</v>
      </c>
      <c r="AU1095" s="7" t="str">
        <f>VLOOKUP($AO1095,Mapping!$E$11:$I$96,3,0)</f>
        <v>Replacement</v>
      </c>
      <c r="AV1095" s="7" t="str">
        <f>VLOOKUP($AQ1095,Mapping!$E$140:$K$2771,5,0)</f>
        <v>Labour</v>
      </c>
      <c r="AW1095" s="7" t="str">
        <f>VLOOKUP($AQ1095,Mapping!$E$140:$K$2771,7,0)</f>
        <v>ENDirect</v>
      </c>
      <c r="AX1095" s="7" t="str">
        <f>IFERROR(HLOOKUP(AV1095,'Calc|Weightings'!$K$5:$M$5,1,0),"Excl")</f>
        <v>Labour</v>
      </c>
      <c r="AY1095" s="7" t="str">
        <f>VLOOKUP(AO1095,Mapping!$E$11:$I$96,5,0)</f>
        <v>SCS</v>
      </c>
    </row>
    <row r="1096" spans="1:51" x14ac:dyDescent="0.2">
      <c r="A1096" s="7"/>
      <c r="B1096" s="7"/>
      <c r="C1096" s="7"/>
      <c r="D1096" s="7"/>
      <c r="E1096" s="36">
        <v>143</v>
      </c>
      <c r="F1096" s="36" t="s">
        <v>2153</v>
      </c>
      <c r="G1096" s="36">
        <v>531468</v>
      </c>
      <c r="H1096" s="36" t="s">
        <v>260</v>
      </c>
      <c r="I1096" s="37">
        <v>17.127759999999999</v>
      </c>
      <c r="J1096" s="7"/>
      <c r="K1096" s="7" t="str">
        <f>VLOOKUP($E1096,Mapping!$E$11:$I$96,3,0)</f>
        <v>Replacement</v>
      </c>
      <c r="L1096" s="7" t="str">
        <f>VLOOKUP($G1096,Mapping!$E$140:$K$2771,5,0)</f>
        <v>Contracts</v>
      </c>
      <c r="M1096" s="7" t="str">
        <f>VLOOKUP($G1096,Mapping!$E$140:$K$2771,7,0)</f>
        <v>ENDirect</v>
      </c>
      <c r="N1096" s="7" t="str">
        <f>IFERROR(HLOOKUP(L1096,'Calc|Weightings'!$K$5:$M$5,1,0),"Excl")</f>
        <v>Contracts</v>
      </c>
      <c r="O1096" s="7" t="str">
        <f>VLOOKUP(E1096,Mapping!$E$11:$I$96,5,0)</f>
        <v>SCS</v>
      </c>
      <c r="Q1096" s="33">
        <v>146</v>
      </c>
      <c r="R1096" s="33" t="s">
        <v>2156</v>
      </c>
      <c r="S1096" s="33">
        <v>613251</v>
      </c>
      <c r="T1096" s="33" t="s">
        <v>2087</v>
      </c>
      <c r="U1096" s="34">
        <v>11.500920000000001</v>
      </c>
      <c r="V1096" s="7"/>
      <c r="W1096" s="7" t="str">
        <f>VLOOKUP($Q1096,Mapping!$E$11:$I$96,3,0)</f>
        <v>Quoted Opex</v>
      </c>
      <c r="X1096" s="7" t="str">
        <f>VLOOKUP($S1096,Mapping!$E$140:$K$2771,5,0)</f>
        <v>Labour</v>
      </c>
      <c r="Y1096" s="7" t="str">
        <f>VLOOKUP($S1096,Mapping!$E$140:$K$2771,7,0)</f>
        <v>ENDirect</v>
      </c>
      <c r="Z1096" s="7" t="str">
        <f>IFERROR(HLOOKUP(X1096,'Calc|Weightings'!$K$5:$M$5,1,0),"Excl")</f>
        <v>Labour</v>
      </c>
      <c r="AA1096" s="7" t="str">
        <f>VLOOKUP(Q1096,Mapping!$E$11:$I$96,5,0)</f>
        <v>Ancillary Network Services</v>
      </c>
      <c r="AC1096" s="111">
        <v>146</v>
      </c>
      <c r="AD1096" s="111" t="s">
        <v>2156</v>
      </c>
      <c r="AE1096" s="111">
        <v>613251</v>
      </c>
      <c r="AF1096" s="111" t="s">
        <v>2087</v>
      </c>
      <c r="AG1096" s="112">
        <v>25.107859999999999</v>
      </c>
      <c r="AI1096" s="7" t="str">
        <f>VLOOKUP($AC1096,Mapping!$E$11:$I$96,3,0)</f>
        <v>Quoted Opex</v>
      </c>
      <c r="AJ1096" s="7" t="str">
        <f>VLOOKUP($AE1096,Mapping!$E$140:$K$2771,5,0)</f>
        <v>Labour</v>
      </c>
      <c r="AK1096" s="7" t="str">
        <f>VLOOKUP($AE1096,Mapping!$E$140:$K$2771,7,0)</f>
        <v>ENDirect</v>
      </c>
      <c r="AL1096" s="7" t="str">
        <f>IFERROR(HLOOKUP(AJ1096,'Calc|Weightings'!$K$5:$M$5,1,0),"Excl")</f>
        <v>Labour</v>
      </c>
      <c r="AM1096" s="7" t="str">
        <f>VLOOKUP(AC1096,Mapping!$E$11:$I$96,5,0)</f>
        <v>Ancillary Network Services</v>
      </c>
      <c r="AO1096" s="134">
        <v>150</v>
      </c>
      <c r="AP1096" s="135" t="s">
        <v>2159</v>
      </c>
      <c r="AQ1096" s="135">
        <v>613360</v>
      </c>
      <c r="AR1096" s="135" t="s">
        <v>2097</v>
      </c>
      <c r="AS1096" s="136">
        <v>10.41348</v>
      </c>
      <c r="AU1096" s="7" t="str">
        <f>VLOOKUP($AO1096,Mapping!$E$11:$I$96,3,0)</f>
        <v>Replacement</v>
      </c>
      <c r="AV1096" s="7" t="str">
        <f>VLOOKUP($AQ1096,Mapping!$E$140:$K$2771,5,0)</f>
        <v>Labour</v>
      </c>
      <c r="AW1096" s="7" t="str">
        <f>VLOOKUP($AQ1096,Mapping!$E$140:$K$2771,7,0)</f>
        <v>ENDirect</v>
      </c>
      <c r="AX1096" s="7" t="str">
        <f>IFERROR(HLOOKUP(AV1096,'Calc|Weightings'!$K$5:$M$5,1,0),"Excl")</f>
        <v>Labour</v>
      </c>
      <c r="AY1096" s="7" t="str">
        <f>VLOOKUP(AO1096,Mapping!$E$11:$I$96,5,0)</f>
        <v>SCS</v>
      </c>
    </row>
    <row r="1097" spans="1:51" x14ac:dyDescent="0.2">
      <c r="A1097" s="7"/>
      <c r="B1097" s="7"/>
      <c r="C1097" s="7"/>
      <c r="D1097" s="7"/>
      <c r="E1097" s="36">
        <v>143</v>
      </c>
      <c r="F1097" s="36" t="s">
        <v>2153</v>
      </c>
      <c r="G1097" s="36">
        <v>531469</v>
      </c>
      <c r="H1097" s="36" t="s">
        <v>261</v>
      </c>
      <c r="I1097" s="37">
        <v>6.8</v>
      </c>
      <c r="J1097" s="7"/>
      <c r="K1097" s="7" t="str">
        <f>VLOOKUP($E1097,Mapping!$E$11:$I$96,3,0)</f>
        <v>Replacement</v>
      </c>
      <c r="L1097" s="7" t="str">
        <f>VLOOKUP($G1097,Mapping!$E$140:$K$2771,5,0)</f>
        <v>Labour</v>
      </c>
      <c r="M1097" s="7" t="str">
        <f>VLOOKUP($G1097,Mapping!$E$140:$K$2771,7,0)</f>
        <v>ENDirect</v>
      </c>
      <c r="N1097" s="7" t="str">
        <f>IFERROR(HLOOKUP(L1097,'Calc|Weightings'!$K$5:$M$5,1,0),"Excl")</f>
        <v>Labour</v>
      </c>
      <c r="O1097" s="7" t="str">
        <f>VLOOKUP(E1097,Mapping!$E$11:$I$96,5,0)</f>
        <v>SCS</v>
      </c>
      <c r="Q1097" s="33">
        <v>146</v>
      </c>
      <c r="R1097" s="33" t="s">
        <v>2156</v>
      </c>
      <c r="S1097" s="33">
        <v>613280</v>
      </c>
      <c r="T1097" s="33" t="s">
        <v>1342</v>
      </c>
      <c r="U1097" s="34">
        <v>1.11636</v>
      </c>
      <c r="V1097" s="7"/>
      <c r="W1097" s="7" t="str">
        <f>VLOOKUP($Q1097,Mapping!$E$11:$I$96,3,0)</f>
        <v>Quoted Opex</v>
      </c>
      <c r="X1097" s="7" t="str">
        <f>VLOOKUP($S1097,Mapping!$E$140:$K$2771,5,0)</f>
        <v>Labour</v>
      </c>
      <c r="Y1097" s="7" t="str">
        <f>VLOOKUP($S1097,Mapping!$E$140:$K$2771,7,0)</f>
        <v>ENDirect</v>
      </c>
      <c r="Z1097" s="7" t="str">
        <f>IFERROR(HLOOKUP(X1097,'Calc|Weightings'!$K$5:$M$5,1,0),"Excl")</f>
        <v>Labour</v>
      </c>
      <c r="AA1097" s="7" t="str">
        <f>VLOOKUP(Q1097,Mapping!$E$11:$I$96,5,0)</f>
        <v>Ancillary Network Services</v>
      </c>
      <c r="AC1097" s="111">
        <v>146</v>
      </c>
      <c r="AD1097" s="111" t="s">
        <v>2156</v>
      </c>
      <c r="AE1097" s="111">
        <v>613260</v>
      </c>
      <c r="AF1097" s="111" t="s">
        <v>2090</v>
      </c>
      <c r="AG1097" s="112">
        <v>7.8705600000000002</v>
      </c>
      <c r="AI1097" s="7" t="str">
        <f>VLOOKUP($AC1097,Mapping!$E$11:$I$96,3,0)</f>
        <v>Quoted Opex</v>
      </c>
      <c r="AJ1097" s="7" t="str">
        <f>VLOOKUP($AE1097,Mapping!$E$140:$K$2771,5,0)</f>
        <v>Labour</v>
      </c>
      <c r="AK1097" s="7" t="str">
        <f>VLOOKUP($AE1097,Mapping!$E$140:$K$2771,7,0)</f>
        <v>ENDirect</v>
      </c>
      <c r="AL1097" s="7" t="str">
        <f>IFERROR(HLOOKUP(AJ1097,'Calc|Weightings'!$K$5:$M$5,1,0),"Excl")</f>
        <v>Labour</v>
      </c>
      <c r="AM1097" s="7" t="str">
        <f>VLOOKUP(AC1097,Mapping!$E$11:$I$96,5,0)</f>
        <v>Ancillary Network Services</v>
      </c>
      <c r="AO1097" s="134">
        <v>150</v>
      </c>
      <c r="AP1097" s="135" t="s">
        <v>2159</v>
      </c>
      <c r="AQ1097" s="135">
        <v>613370</v>
      </c>
      <c r="AR1097" s="135" t="s">
        <v>1402</v>
      </c>
      <c r="AS1097" s="136">
        <v>7.1252399999999998</v>
      </c>
      <c r="AU1097" s="7" t="str">
        <f>VLOOKUP($AO1097,Mapping!$E$11:$I$96,3,0)</f>
        <v>Replacement</v>
      </c>
      <c r="AV1097" s="7" t="str">
        <f>VLOOKUP($AQ1097,Mapping!$E$140:$K$2771,5,0)</f>
        <v>Labour</v>
      </c>
      <c r="AW1097" s="7" t="str">
        <f>VLOOKUP($AQ1097,Mapping!$E$140:$K$2771,7,0)</f>
        <v>ENDirect</v>
      </c>
      <c r="AX1097" s="7" t="str">
        <f>IFERROR(HLOOKUP(AV1097,'Calc|Weightings'!$K$5:$M$5,1,0),"Excl")</f>
        <v>Labour</v>
      </c>
      <c r="AY1097" s="7" t="str">
        <f>VLOOKUP(AO1097,Mapping!$E$11:$I$96,5,0)</f>
        <v>SCS</v>
      </c>
    </row>
    <row r="1098" spans="1:51" x14ac:dyDescent="0.2">
      <c r="A1098" s="7"/>
      <c r="B1098" s="7"/>
      <c r="C1098" s="7"/>
      <c r="D1098" s="7"/>
      <c r="E1098" s="36">
        <v>143</v>
      </c>
      <c r="F1098" s="36" t="s">
        <v>2153</v>
      </c>
      <c r="G1098" s="36">
        <v>531495</v>
      </c>
      <c r="H1098" s="36" t="s">
        <v>2353</v>
      </c>
      <c r="I1098" s="37">
        <v>12.849130000000001</v>
      </c>
      <c r="J1098" s="7"/>
      <c r="K1098" s="7" t="str">
        <f>VLOOKUP($E1098,Mapping!$E$11:$I$96,3,0)</f>
        <v>Replacement</v>
      </c>
      <c r="L1098" s="7" t="str">
        <f>VLOOKUP($G1098,Mapping!$E$140:$K$2771,5,0)</f>
        <v>Contracts</v>
      </c>
      <c r="M1098" s="7" t="str">
        <f>VLOOKUP($G1098,Mapping!$E$140:$K$2771,7,0)</f>
        <v>ENDirect</v>
      </c>
      <c r="N1098" s="7" t="str">
        <f>IFERROR(HLOOKUP(L1098,'Calc|Weightings'!$K$5:$M$5,1,0),"Excl")</f>
        <v>Contracts</v>
      </c>
      <c r="O1098" s="7" t="str">
        <f>VLOOKUP(E1098,Mapping!$E$11:$I$96,5,0)</f>
        <v>SCS</v>
      </c>
      <c r="Q1098" s="33">
        <v>146</v>
      </c>
      <c r="R1098" s="33" t="s">
        <v>2156</v>
      </c>
      <c r="S1098" s="33">
        <v>613350</v>
      </c>
      <c r="T1098" s="33" t="s">
        <v>2096</v>
      </c>
      <c r="U1098" s="34">
        <v>0.16274</v>
      </c>
      <c r="V1098" s="7"/>
      <c r="W1098" s="7" t="str">
        <f>VLOOKUP($Q1098,Mapping!$E$11:$I$96,3,0)</f>
        <v>Quoted Opex</v>
      </c>
      <c r="X1098" s="7" t="str">
        <f>VLOOKUP($S1098,Mapping!$E$140:$K$2771,5,0)</f>
        <v>Labour</v>
      </c>
      <c r="Y1098" s="7" t="str">
        <f>VLOOKUP($S1098,Mapping!$E$140:$K$2771,7,0)</f>
        <v>ENDirect</v>
      </c>
      <c r="Z1098" s="7" t="str">
        <f>IFERROR(HLOOKUP(X1098,'Calc|Weightings'!$K$5:$M$5,1,0),"Excl")</f>
        <v>Labour</v>
      </c>
      <c r="AA1098" s="7" t="str">
        <f>VLOOKUP(Q1098,Mapping!$E$11:$I$96,5,0)</f>
        <v>Ancillary Network Services</v>
      </c>
      <c r="AC1098" s="111">
        <v>146</v>
      </c>
      <c r="AD1098" s="111" t="s">
        <v>2156</v>
      </c>
      <c r="AE1098" s="111">
        <v>613291</v>
      </c>
      <c r="AF1098" s="111" t="s">
        <v>2094</v>
      </c>
      <c r="AG1098" s="112">
        <v>3.1408200000000002</v>
      </c>
      <c r="AI1098" s="7" t="str">
        <f>VLOOKUP($AC1098,Mapping!$E$11:$I$96,3,0)</f>
        <v>Quoted Opex</v>
      </c>
      <c r="AJ1098" s="7" t="str">
        <f>VLOOKUP($AE1098,Mapping!$E$140:$K$2771,5,0)</f>
        <v>Labour</v>
      </c>
      <c r="AK1098" s="7" t="str">
        <f>VLOOKUP($AE1098,Mapping!$E$140:$K$2771,7,0)</f>
        <v>ENDirect</v>
      </c>
      <c r="AL1098" s="7" t="str">
        <f>IFERROR(HLOOKUP(AJ1098,'Calc|Weightings'!$K$5:$M$5,1,0),"Excl")</f>
        <v>Labour</v>
      </c>
      <c r="AM1098" s="7" t="str">
        <f>VLOOKUP(AC1098,Mapping!$E$11:$I$96,5,0)</f>
        <v>Ancillary Network Services</v>
      </c>
      <c r="AO1098" s="134">
        <v>150</v>
      </c>
      <c r="AP1098" s="135" t="s">
        <v>2159</v>
      </c>
      <c r="AQ1098" s="135">
        <v>613371</v>
      </c>
      <c r="AR1098" s="135" t="s">
        <v>1403</v>
      </c>
      <c r="AS1098" s="136">
        <v>1.7012700000000001</v>
      </c>
      <c r="AU1098" s="7" t="str">
        <f>VLOOKUP($AO1098,Mapping!$E$11:$I$96,3,0)</f>
        <v>Replacement</v>
      </c>
      <c r="AV1098" s="7" t="str">
        <f>VLOOKUP($AQ1098,Mapping!$E$140:$K$2771,5,0)</f>
        <v>Labour</v>
      </c>
      <c r="AW1098" s="7" t="str">
        <f>VLOOKUP($AQ1098,Mapping!$E$140:$K$2771,7,0)</f>
        <v>ENDirect</v>
      </c>
      <c r="AX1098" s="7" t="str">
        <f>IFERROR(HLOOKUP(AV1098,'Calc|Weightings'!$K$5:$M$5,1,0),"Excl")</f>
        <v>Labour</v>
      </c>
      <c r="AY1098" s="7" t="str">
        <f>VLOOKUP(AO1098,Mapping!$E$11:$I$96,5,0)</f>
        <v>SCS</v>
      </c>
    </row>
    <row r="1099" spans="1:51" x14ac:dyDescent="0.2">
      <c r="A1099" s="7"/>
      <c r="B1099" s="7"/>
      <c r="C1099" s="7"/>
      <c r="D1099" s="7"/>
      <c r="E1099" s="36">
        <v>143</v>
      </c>
      <c r="F1099" s="36" t="s">
        <v>2153</v>
      </c>
      <c r="G1099" s="36">
        <v>591997</v>
      </c>
      <c r="H1099" s="36" t="s">
        <v>2194</v>
      </c>
      <c r="I1099" s="37">
        <v>7.936E-2</v>
      </c>
      <c r="J1099" s="7"/>
      <c r="K1099" s="7" t="str">
        <f>VLOOKUP($E1099,Mapping!$E$11:$I$96,3,0)</f>
        <v>Replacement</v>
      </c>
      <c r="L1099" s="7" t="str">
        <f>VLOOKUP($G1099,Mapping!$E$140:$K$2771,5,0)</f>
        <v>Contracts</v>
      </c>
      <c r="M1099" s="7" t="str">
        <f>VLOOKUP($G1099,Mapping!$E$140:$K$2771,7,0)</f>
        <v>ENDirect</v>
      </c>
      <c r="N1099" s="7" t="str">
        <f>IFERROR(HLOOKUP(L1099,'Calc|Weightings'!$K$5:$M$5,1,0),"Excl")</f>
        <v>Contracts</v>
      </c>
      <c r="O1099" s="7" t="str">
        <f>VLOOKUP(E1099,Mapping!$E$11:$I$96,5,0)</f>
        <v>SCS</v>
      </c>
      <c r="Q1099" s="33">
        <v>146</v>
      </c>
      <c r="R1099" s="33" t="s">
        <v>2156</v>
      </c>
      <c r="S1099" s="33">
        <v>613360</v>
      </c>
      <c r="T1099" s="33" t="s">
        <v>2097</v>
      </c>
      <c r="U1099" s="34">
        <v>5.0820400000000001</v>
      </c>
      <c r="V1099" s="7"/>
      <c r="W1099" s="7" t="str">
        <f>VLOOKUP($Q1099,Mapping!$E$11:$I$96,3,0)</f>
        <v>Quoted Opex</v>
      </c>
      <c r="X1099" s="7" t="str">
        <f>VLOOKUP($S1099,Mapping!$E$140:$K$2771,5,0)</f>
        <v>Labour</v>
      </c>
      <c r="Y1099" s="7" t="str">
        <f>VLOOKUP($S1099,Mapping!$E$140:$K$2771,7,0)</f>
        <v>ENDirect</v>
      </c>
      <c r="Z1099" s="7" t="str">
        <f>IFERROR(HLOOKUP(X1099,'Calc|Weightings'!$K$5:$M$5,1,0),"Excl")</f>
        <v>Labour</v>
      </c>
      <c r="AA1099" s="7" t="str">
        <f>VLOOKUP(Q1099,Mapping!$E$11:$I$96,5,0)</f>
        <v>Ancillary Network Services</v>
      </c>
      <c r="AC1099" s="111">
        <v>146</v>
      </c>
      <c r="AD1099" s="111" t="s">
        <v>2156</v>
      </c>
      <c r="AE1099" s="111">
        <v>613310</v>
      </c>
      <c r="AF1099" s="111" t="s">
        <v>2095</v>
      </c>
      <c r="AG1099" s="112">
        <v>12.876899999999999</v>
      </c>
      <c r="AI1099" s="7" t="str">
        <f>VLOOKUP($AC1099,Mapping!$E$11:$I$96,3,0)</f>
        <v>Quoted Opex</v>
      </c>
      <c r="AJ1099" s="7" t="str">
        <f>VLOOKUP($AE1099,Mapping!$E$140:$K$2771,5,0)</f>
        <v>Labour</v>
      </c>
      <c r="AK1099" s="7" t="str">
        <f>VLOOKUP($AE1099,Mapping!$E$140:$K$2771,7,0)</f>
        <v>ENDirect</v>
      </c>
      <c r="AL1099" s="7" t="str">
        <f>IFERROR(HLOOKUP(AJ1099,'Calc|Weightings'!$K$5:$M$5,1,0),"Excl")</f>
        <v>Labour</v>
      </c>
      <c r="AM1099" s="7" t="str">
        <f>VLOOKUP(AC1099,Mapping!$E$11:$I$96,5,0)</f>
        <v>Ancillary Network Services</v>
      </c>
      <c r="AO1099" s="134">
        <v>150</v>
      </c>
      <c r="AP1099" s="135" t="s">
        <v>2159</v>
      </c>
      <c r="AQ1099" s="135">
        <v>613434</v>
      </c>
      <c r="AR1099" s="135" t="s">
        <v>2102</v>
      </c>
      <c r="AS1099" s="136">
        <v>21.693349999999999</v>
      </c>
      <c r="AU1099" s="7" t="str">
        <f>VLOOKUP($AO1099,Mapping!$E$11:$I$96,3,0)</f>
        <v>Replacement</v>
      </c>
      <c r="AV1099" s="7" t="str">
        <f>VLOOKUP($AQ1099,Mapping!$E$140:$K$2771,5,0)</f>
        <v>Labour</v>
      </c>
      <c r="AW1099" s="7" t="str">
        <f>VLOOKUP($AQ1099,Mapping!$E$140:$K$2771,7,0)</f>
        <v>ENDirect</v>
      </c>
      <c r="AX1099" s="7" t="str">
        <f>IFERROR(HLOOKUP(AV1099,'Calc|Weightings'!$K$5:$M$5,1,0),"Excl")</f>
        <v>Labour</v>
      </c>
      <c r="AY1099" s="7" t="str">
        <f>VLOOKUP(AO1099,Mapping!$E$11:$I$96,5,0)</f>
        <v>SCS</v>
      </c>
    </row>
    <row r="1100" spans="1:51" x14ac:dyDescent="0.2">
      <c r="A1100" s="7"/>
      <c r="B1100" s="7"/>
      <c r="C1100" s="7"/>
      <c r="D1100" s="7"/>
      <c r="E1100" s="36">
        <v>143</v>
      </c>
      <c r="F1100" s="36" t="s">
        <v>2153</v>
      </c>
      <c r="G1100" s="36">
        <v>591999</v>
      </c>
      <c r="H1100" s="36" t="s">
        <v>2195</v>
      </c>
      <c r="I1100" s="37">
        <v>-3.0089399999999999</v>
      </c>
      <c r="J1100" s="7"/>
      <c r="K1100" s="7" t="str">
        <f>VLOOKUP($E1100,Mapping!$E$11:$I$96,3,0)</f>
        <v>Replacement</v>
      </c>
      <c r="L1100" s="7" t="str">
        <f>VLOOKUP($G1100,Mapping!$E$140:$K$2771,5,0)</f>
        <v>Contracts</v>
      </c>
      <c r="M1100" s="7" t="str">
        <f>VLOOKUP($G1100,Mapping!$E$140:$K$2771,7,0)</f>
        <v>ENDirect</v>
      </c>
      <c r="N1100" s="7" t="str">
        <f>IFERROR(HLOOKUP(L1100,'Calc|Weightings'!$K$5:$M$5,1,0),"Excl")</f>
        <v>Contracts</v>
      </c>
      <c r="O1100" s="7" t="str">
        <f>VLOOKUP(E1100,Mapping!$E$11:$I$96,5,0)</f>
        <v>SCS</v>
      </c>
      <c r="Q1100" s="33">
        <v>146</v>
      </c>
      <c r="R1100" s="33" t="s">
        <v>2156</v>
      </c>
      <c r="S1100" s="33">
        <v>613400</v>
      </c>
      <c r="T1100" s="33" t="s">
        <v>2099</v>
      </c>
      <c r="U1100" s="34">
        <v>3.3139599999999998</v>
      </c>
      <c r="V1100" s="7"/>
      <c r="W1100" s="7" t="str">
        <f>VLOOKUP($Q1100,Mapping!$E$11:$I$96,3,0)</f>
        <v>Quoted Opex</v>
      </c>
      <c r="X1100" s="7" t="str">
        <f>VLOOKUP($S1100,Mapping!$E$140:$K$2771,5,0)</f>
        <v>Labour</v>
      </c>
      <c r="Y1100" s="7" t="str">
        <f>VLOOKUP($S1100,Mapping!$E$140:$K$2771,7,0)</f>
        <v>ENDirect</v>
      </c>
      <c r="Z1100" s="7" t="str">
        <f>IFERROR(HLOOKUP(X1100,'Calc|Weightings'!$K$5:$M$5,1,0),"Excl")</f>
        <v>Labour</v>
      </c>
      <c r="AA1100" s="7" t="str">
        <f>VLOOKUP(Q1100,Mapping!$E$11:$I$96,5,0)</f>
        <v>Ancillary Network Services</v>
      </c>
      <c r="AC1100" s="111">
        <v>146</v>
      </c>
      <c r="AD1100" s="111" t="s">
        <v>2156</v>
      </c>
      <c r="AE1100" s="111">
        <v>613311</v>
      </c>
      <c r="AF1100" s="111" t="s">
        <v>2116</v>
      </c>
      <c r="AG1100" s="112">
        <v>3.5182799999999999</v>
      </c>
      <c r="AI1100" s="7" t="str">
        <f>VLOOKUP($AC1100,Mapping!$E$11:$I$96,3,0)</f>
        <v>Quoted Opex</v>
      </c>
      <c r="AJ1100" s="7" t="str">
        <f>VLOOKUP($AE1100,Mapping!$E$140:$K$2771,5,0)</f>
        <v>Labour</v>
      </c>
      <c r="AK1100" s="7" t="str">
        <f>VLOOKUP($AE1100,Mapping!$E$140:$K$2771,7,0)</f>
        <v>ENDirect</v>
      </c>
      <c r="AL1100" s="7" t="str">
        <f>IFERROR(HLOOKUP(AJ1100,'Calc|Weightings'!$K$5:$M$5,1,0),"Excl")</f>
        <v>Labour</v>
      </c>
      <c r="AM1100" s="7" t="str">
        <f>VLOOKUP(AC1100,Mapping!$E$11:$I$96,5,0)</f>
        <v>Ancillary Network Services</v>
      </c>
      <c r="AO1100" s="134">
        <v>150</v>
      </c>
      <c r="AP1100" s="135" t="s">
        <v>2159</v>
      </c>
      <c r="AQ1100" s="135">
        <v>613440</v>
      </c>
      <c r="AR1100" s="135" t="s">
        <v>2103</v>
      </c>
      <c r="AS1100" s="136">
        <v>1.8721099999999999</v>
      </c>
      <c r="AU1100" s="7" t="str">
        <f>VLOOKUP($AO1100,Mapping!$E$11:$I$96,3,0)</f>
        <v>Replacement</v>
      </c>
      <c r="AV1100" s="7" t="str">
        <f>VLOOKUP($AQ1100,Mapping!$E$140:$K$2771,5,0)</f>
        <v>Labour</v>
      </c>
      <c r="AW1100" s="7" t="str">
        <f>VLOOKUP($AQ1100,Mapping!$E$140:$K$2771,7,0)</f>
        <v>ENDirect</v>
      </c>
      <c r="AX1100" s="7" t="str">
        <f>IFERROR(HLOOKUP(AV1100,'Calc|Weightings'!$K$5:$M$5,1,0),"Excl")</f>
        <v>Labour</v>
      </c>
      <c r="AY1100" s="7" t="str">
        <f>VLOOKUP(AO1100,Mapping!$E$11:$I$96,5,0)</f>
        <v>SCS</v>
      </c>
    </row>
    <row r="1101" spans="1:51" x14ac:dyDescent="0.2">
      <c r="A1101" s="7"/>
      <c r="B1101" s="7"/>
      <c r="C1101" s="7"/>
      <c r="D1101" s="7"/>
      <c r="E1101" s="36">
        <v>143</v>
      </c>
      <c r="F1101" s="36" t="s">
        <v>2153</v>
      </c>
      <c r="G1101" s="36">
        <v>611900</v>
      </c>
      <c r="H1101" s="36" t="s">
        <v>2079</v>
      </c>
      <c r="I1101" s="37">
        <v>19.299900000000001</v>
      </c>
      <c r="J1101" s="7"/>
      <c r="K1101" s="7" t="str">
        <f>VLOOKUP($E1101,Mapping!$E$11:$I$96,3,0)</f>
        <v>Replacement</v>
      </c>
      <c r="L1101" s="7" t="str">
        <f>VLOOKUP($G1101,Mapping!$E$140:$K$2771,5,0)</f>
        <v>Contracts</v>
      </c>
      <c r="M1101" s="7" t="str">
        <f>VLOOKUP($G1101,Mapping!$E$140:$K$2771,7,0)</f>
        <v>ENDirect</v>
      </c>
      <c r="N1101" s="7" t="str">
        <f>IFERROR(HLOOKUP(L1101,'Calc|Weightings'!$K$5:$M$5,1,0),"Excl")</f>
        <v>Contracts</v>
      </c>
      <c r="O1101" s="7" t="str">
        <f>VLOOKUP(E1101,Mapping!$E$11:$I$96,5,0)</f>
        <v>SCS</v>
      </c>
      <c r="Q1101" s="33">
        <v>146</v>
      </c>
      <c r="R1101" s="33" t="s">
        <v>2156</v>
      </c>
      <c r="S1101" s="33">
        <v>613401</v>
      </c>
      <c r="T1101" s="33" t="s">
        <v>2117</v>
      </c>
      <c r="U1101" s="34">
        <v>10.018470000000001</v>
      </c>
      <c r="V1101" s="7"/>
      <c r="W1101" s="7" t="str">
        <f>VLOOKUP($Q1101,Mapping!$E$11:$I$96,3,0)</f>
        <v>Quoted Opex</v>
      </c>
      <c r="X1101" s="7" t="str">
        <f>VLOOKUP($S1101,Mapping!$E$140:$K$2771,5,0)</f>
        <v>Labour</v>
      </c>
      <c r="Y1101" s="7" t="str">
        <f>VLOOKUP($S1101,Mapping!$E$140:$K$2771,7,0)</f>
        <v>ENDirect</v>
      </c>
      <c r="Z1101" s="7" t="str">
        <f>IFERROR(HLOOKUP(X1101,'Calc|Weightings'!$K$5:$M$5,1,0),"Excl")</f>
        <v>Labour</v>
      </c>
      <c r="AA1101" s="7" t="str">
        <f>VLOOKUP(Q1101,Mapping!$E$11:$I$96,5,0)</f>
        <v>Ancillary Network Services</v>
      </c>
      <c r="AC1101" s="111">
        <v>146</v>
      </c>
      <c r="AD1101" s="111" t="s">
        <v>2156</v>
      </c>
      <c r="AE1101" s="111">
        <v>613360</v>
      </c>
      <c r="AF1101" s="111" t="s">
        <v>2097</v>
      </c>
      <c r="AG1101" s="112">
        <v>0.31285000000000002</v>
      </c>
      <c r="AI1101" s="7" t="str">
        <f>VLOOKUP($AC1101,Mapping!$E$11:$I$96,3,0)</f>
        <v>Quoted Opex</v>
      </c>
      <c r="AJ1101" s="7" t="str">
        <f>VLOOKUP($AE1101,Mapping!$E$140:$K$2771,5,0)</f>
        <v>Labour</v>
      </c>
      <c r="AK1101" s="7" t="str">
        <f>VLOOKUP($AE1101,Mapping!$E$140:$K$2771,7,0)</f>
        <v>ENDirect</v>
      </c>
      <c r="AL1101" s="7" t="str">
        <f>IFERROR(HLOOKUP(AJ1101,'Calc|Weightings'!$K$5:$M$5,1,0),"Excl")</f>
        <v>Labour</v>
      </c>
      <c r="AM1101" s="7" t="str">
        <f>VLOOKUP(AC1101,Mapping!$E$11:$I$96,5,0)</f>
        <v>Ancillary Network Services</v>
      </c>
      <c r="AO1101" s="134">
        <v>150</v>
      </c>
      <c r="AP1101" s="135" t="s">
        <v>2159</v>
      </c>
      <c r="AQ1101" s="135">
        <v>613441</v>
      </c>
      <c r="AR1101" s="135" t="s">
        <v>2104</v>
      </c>
      <c r="AS1101" s="136">
        <v>0.13139999999999999</v>
      </c>
      <c r="AU1101" s="7" t="str">
        <f>VLOOKUP($AO1101,Mapping!$E$11:$I$96,3,0)</f>
        <v>Replacement</v>
      </c>
      <c r="AV1101" s="7" t="str">
        <f>VLOOKUP($AQ1101,Mapping!$E$140:$K$2771,5,0)</f>
        <v>Labour</v>
      </c>
      <c r="AW1101" s="7" t="str">
        <f>VLOOKUP($AQ1101,Mapping!$E$140:$K$2771,7,0)</f>
        <v>ENDirect</v>
      </c>
      <c r="AX1101" s="7" t="str">
        <f>IFERROR(HLOOKUP(AV1101,'Calc|Weightings'!$K$5:$M$5,1,0),"Excl")</f>
        <v>Labour</v>
      </c>
      <c r="AY1101" s="7" t="str">
        <f>VLOOKUP(AO1101,Mapping!$E$11:$I$96,5,0)</f>
        <v>SCS</v>
      </c>
    </row>
    <row r="1102" spans="1:51" x14ac:dyDescent="0.2">
      <c r="A1102" s="7"/>
      <c r="B1102" s="7"/>
      <c r="C1102" s="7"/>
      <c r="D1102" s="7"/>
      <c r="E1102" s="36">
        <v>143</v>
      </c>
      <c r="F1102" s="36" t="s">
        <v>2153</v>
      </c>
      <c r="G1102" s="36">
        <v>611901</v>
      </c>
      <c r="H1102" s="36" t="s">
        <v>2080</v>
      </c>
      <c r="I1102" s="37">
        <v>6.6616999999999997</v>
      </c>
      <c r="J1102" s="7"/>
      <c r="K1102" s="7" t="str">
        <f>VLOOKUP($E1102,Mapping!$E$11:$I$96,3,0)</f>
        <v>Replacement</v>
      </c>
      <c r="L1102" s="7" t="str">
        <f>VLOOKUP($G1102,Mapping!$E$140:$K$2771,5,0)</f>
        <v>Contracts</v>
      </c>
      <c r="M1102" s="7" t="str">
        <f>VLOOKUP($G1102,Mapping!$E$140:$K$2771,7,0)</f>
        <v>ENDirect</v>
      </c>
      <c r="N1102" s="7" t="str">
        <f>IFERROR(HLOOKUP(L1102,'Calc|Weightings'!$K$5:$M$5,1,0),"Excl")</f>
        <v>Contracts</v>
      </c>
      <c r="O1102" s="7" t="str">
        <f>VLOOKUP(E1102,Mapping!$E$11:$I$96,5,0)</f>
        <v>SCS</v>
      </c>
      <c r="Q1102" s="33">
        <v>146</v>
      </c>
      <c r="R1102" s="33" t="s">
        <v>2156</v>
      </c>
      <c r="S1102" s="33">
        <v>613410</v>
      </c>
      <c r="T1102" s="33" t="s">
        <v>2100</v>
      </c>
      <c r="U1102" s="34">
        <v>3.6269800000000001</v>
      </c>
      <c r="V1102" s="7"/>
      <c r="W1102" s="7" t="str">
        <f>VLOOKUP($Q1102,Mapping!$E$11:$I$96,3,0)</f>
        <v>Quoted Opex</v>
      </c>
      <c r="X1102" s="7" t="str">
        <f>VLOOKUP($S1102,Mapping!$E$140:$K$2771,5,0)</f>
        <v>Labour</v>
      </c>
      <c r="Y1102" s="7" t="str">
        <f>VLOOKUP($S1102,Mapping!$E$140:$K$2771,7,0)</f>
        <v>ENDirect</v>
      </c>
      <c r="Z1102" s="7" t="str">
        <f>IFERROR(HLOOKUP(X1102,'Calc|Weightings'!$K$5:$M$5,1,0),"Excl")</f>
        <v>Labour</v>
      </c>
      <c r="AA1102" s="7" t="str">
        <f>VLOOKUP(Q1102,Mapping!$E$11:$I$96,5,0)</f>
        <v>Ancillary Network Services</v>
      </c>
      <c r="AC1102" s="111">
        <v>146</v>
      </c>
      <c r="AD1102" s="111" t="s">
        <v>2156</v>
      </c>
      <c r="AE1102" s="111">
        <v>613401</v>
      </c>
      <c r="AF1102" s="111" t="s">
        <v>2117</v>
      </c>
      <c r="AG1102" s="112">
        <v>1.3044100000000001</v>
      </c>
      <c r="AI1102" s="7" t="str">
        <f>VLOOKUP($AC1102,Mapping!$E$11:$I$96,3,0)</f>
        <v>Quoted Opex</v>
      </c>
      <c r="AJ1102" s="7" t="str">
        <f>VLOOKUP($AE1102,Mapping!$E$140:$K$2771,5,0)</f>
        <v>Labour</v>
      </c>
      <c r="AK1102" s="7" t="str">
        <f>VLOOKUP($AE1102,Mapping!$E$140:$K$2771,7,0)</f>
        <v>ENDirect</v>
      </c>
      <c r="AL1102" s="7" t="str">
        <f>IFERROR(HLOOKUP(AJ1102,'Calc|Weightings'!$K$5:$M$5,1,0),"Excl")</f>
        <v>Labour</v>
      </c>
      <c r="AM1102" s="7" t="str">
        <f>VLOOKUP(AC1102,Mapping!$E$11:$I$96,5,0)</f>
        <v>Ancillary Network Services</v>
      </c>
      <c r="AO1102" s="134">
        <v>150</v>
      </c>
      <c r="AP1102" s="135" t="s">
        <v>2159</v>
      </c>
      <c r="AQ1102" s="135">
        <v>613450</v>
      </c>
      <c r="AR1102" s="135" t="s">
        <v>2175</v>
      </c>
      <c r="AS1102" s="136">
        <v>5.0919999999999996</v>
      </c>
      <c r="AU1102" s="7" t="str">
        <f>VLOOKUP($AO1102,Mapping!$E$11:$I$96,3,0)</f>
        <v>Replacement</v>
      </c>
      <c r="AV1102" s="7" t="str">
        <f>VLOOKUP($AQ1102,Mapping!$E$140:$K$2771,5,0)</f>
        <v>Labour</v>
      </c>
      <c r="AW1102" s="7" t="str">
        <f>VLOOKUP($AQ1102,Mapping!$E$140:$K$2771,7,0)</f>
        <v>ENDirect</v>
      </c>
      <c r="AX1102" s="7" t="str">
        <f>IFERROR(HLOOKUP(AV1102,'Calc|Weightings'!$K$5:$M$5,1,0),"Excl")</f>
        <v>Labour</v>
      </c>
      <c r="AY1102" s="7" t="str">
        <f>VLOOKUP(AO1102,Mapping!$E$11:$I$96,5,0)</f>
        <v>SCS</v>
      </c>
    </row>
    <row r="1103" spans="1:51" x14ac:dyDescent="0.2">
      <c r="A1103" s="7"/>
      <c r="B1103" s="7"/>
      <c r="C1103" s="7"/>
      <c r="D1103" s="7"/>
      <c r="E1103" s="36">
        <v>143</v>
      </c>
      <c r="F1103" s="36" t="s">
        <v>2153</v>
      </c>
      <c r="G1103" s="36">
        <v>611902</v>
      </c>
      <c r="H1103" s="36" t="s">
        <v>2081</v>
      </c>
      <c r="I1103" s="37">
        <v>5.4149200000000004</v>
      </c>
      <c r="J1103" s="7"/>
      <c r="K1103" s="7" t="str">
        <f>VLOOKUP($E1103,Mapping!$E$11:$I$96,3,0)</f>
        <v>Replacement</v>
      </c>
      <c r="L1103" s="7" t="str">
        <f>VLOOKUP($G1103,Mapping!$E$140:$K$2771,5,0)</f>
        <v>Contracts</v>
      </c>
      <c r="M1103" s="7" t="str">
        <f>VLOOKUP($G1103,Mapping!$E$140:$K$2771,7,0)</f>
        <v>ENDirect</v>
      </c>
      <c r="N1103" s="7" t="str">
        <f>IFERROR(HLOOKUP(L1103,'Calc|Weightings'!$K$5:$M$5,1,0),"Excl")</f>
        <v>Contracts</v>
      </c>
      <c r="O1103" s="7" t="str">
        <f>VLOOKUP(E1103,Mapping!$E$11:$I$96,5,0)</f>
        <v>SCS</v>
      </c>
      <c r="Q1103" s="33">
        <v>146</v>
      </c>
      <c r="R1103" s="33" t="s">
        <v>2156</v>
      </c>
      <c r="S1103" s="33">
        <v>613411</v>
      </c>
      <c r="T1103" s="33" t="s">
        <v>2101</v>
      </c>
      <c r="U1103" s="34">
        <v>6.9678300000000002</v>
      </c>
      <c r="V1103" s="7"/>
      <c r="W1103" s="7" t="str">
        <f>VLOOKUP($Q1103,Mapping!$E$11:$I$96,3,0)</f>
        <v>Quoted Opex</v>
      </c>
      <c r="X1103" s="7" t="str">
        <f>VLOOKUP($S1103,Mapping!$E$140:$K$2771,5,0)</f>
        <v>Labour</v>
      </c>
      <c r="Y1103" s="7" t="str">
        <f>VLOOKUP($S1103,Mapping!$E$140:$K$2771,7,0)</f>
        <v>ENDirect</v>
      </c>
      <c r="Z1103" s="7" t="str">
        <f>IFERROR(HLOOKUP(X1103,'Calc|Weightings'!$K$5:$M$5,1,0),"Excl")</f>
        <v>Labour</v>
      </c>
      <c r="AA1103" s="7" t="str">
        <f>VLOOKUP(Q1103,Mapping!$E$11:$I$96,5,0)</f>
        <v>Ancillary Network Services</v>
      </c>
      <c r="AC1103" s="111">
        <v>146</v>
      </c>
      <c r="AD1103" s="111" t="s">
        <v>2156</v>
      </c>
      <c r="AE1103" s="111">
        <v>613411</v>
      </c>
      <c r="AF1103" s="111" t="s">
        <v>2101</v>
      </c>
      <c r="AG1103" s="112">
        <v>2.8830399999999998</v>
      </c>
      <c r="AI1103" s="7" t="str">
        <f>VLOOKUP($AC1103,Mapping!$E$11:$I$96,3,0)</f>
        <v>Quoted Opex</v>
      </c>
      <c r="AJ1103" s="7" t="str">
        <f>VLOOKUP($AE1103,Mapping!$E$140:$K$2771,5,0)</f>
        <v>Labour</v>
      </c>
      <c r="AK1103" s="7" t="str">
        <f>VLOOKUP($AE1103,Mapping!$E$140:$K$2771,7,0)</f>
        <v>ENDirect</v>
      </c>
      <c r="AL1103" s="7" t="str">
        <f>IFERROR(HLOOKUP(AJ1103,'Calc|Weightings'!$K$5:$M$5,1,0),"Excl")</f>
        <v>Labour</v>
      </c>
      <c r="AM1103" s="7" t="str">
        <f>VLOOKUP(AC1103,Mapping!$E$11:$I$96,5,0)</f>
        <v>Ancillary Network Services</v>
      </c>
      <c r="AO1103" s="134">
        <v>150</v>
      </c>
      <c r="AP1103" s="135" t="s">
        <v>2159</v>
      </c>
      <c r="AQ1103" s="135">
        <v>613460</v>
      </c>
      <c r="AR1103" s="135" t="s">
        <v>2167</v>
      </c>
      <c r="AS1103" s="136">
        <v>0.55728</v>
      </c>
      <c r="AU1103" s="7" t="str">
        <f>VLOOKUP($AO1103,Mapping!$E$11:$I$96,3,0)</f>
        <v>Replacement</v>
      </c>
      <c r="AV1103" s="7" t="str">
        <f>VLOOKUP($AQ1103,Mapping!$E$140:$K$2771,5,0)</f>
        <v>Labour</v>
      </c>
      <c r="AW1103" s="7" t="str">
        <f>VLOOKUP($AQ1103,Mapping!$E$140:$K$2771,7,0)</f>
        <v>ENDirect</v>
      </c>
      <c r="AX1103" s="7" t="str">
        <f>IFERROR(HLOOKUP(AV1103,'Calc|Weightings'!$K$5:$M$5,1,0),"Excl")</f>
        <v>Labour</v>
      </c>
      <c r="AY1103" s="7" t="str">
        <f>VLOOKUP(AO1103,Mapping!$E$11:$I$96,5,0)</f>
        <v>SCS</v>
      </c>
    </row>
    <row r="1104" spans="1:51" x14ac:dyDescent="0.2">
      <c r="A1104" s="7"/>
      <c r="B1104" s="7"/>
      <c r="C1104" s="7"/>
      <c r="D1104" s="7"/>
      <c r="E1104" s="36">
        <v>143</v>
      </c>
      <c r="F1104" s="36" t="s">
        <v>2153</v>
      </c>
      <c r="G1104" s="36">
        <v>612210</v>
      </c>
      <c r="H1104" s="36" t="s">
        <v>1184</v>
      </c>
      <c r="I1104" s="37">
        <v>0.41754999999999998</v>
      </c>
      <c r="J1104" s="7"/>
      <c r="K1104" s="7" t="str">
        <f>VLOOKUP($E1104,Mapping!$E$11:$I$96,3,0)</f>
        <v>Replacement</v>
      </c>
      <c r="L1104" s="7" t="str">
        <f>VLOOKUP($G1104,Mapping!$E$140:$K$2771,5,0)</f>
        <v>Labour</v>
      </c>
      <c r="M1104" s="7" t="str">
        <f>VLOOKUP($G1104,Mapping!$E$140:$K$2771,7,0)</f>
        <v>ENDirect</v>
      </c>
      <c r="N1104" s="7" t="str">
        <f>IFERROR(HLOOKUP(L1104,'Calc|Weightings'!$K$5:$M$5,1,0),"Excl")</f>
        <v>Labour</v>
      </c>
      <c r="O1104" s="7" t="str">
        <f>VLOOKUP(E1104,Mapping!$E$11:$I$96,5,0)</f>
        <v>SCS</v>
      </c>
      <c r="Q1104" s="33">
        <v>146</v>
      </c>
      <c r="R1104" s="33" t="s">
        <v>2156</v>
      </c>
      <c r="S1104" s="33">
        <v>613434</v>
      </c>
      <c r="T1104" s="33" t="s">
        <v>2102</v>
      </c>
      <c r="U1104" s="34">
        <v>0.37212000000000001</v>
      </c>
      <c r="V1104" s="7"/>
      <c r="W1104" s="7" t="str">
        <f>VLOOKUP($Q1104,Mapping!$E$11:$I$96,3,0)</f>
        <v>Quoted Opex</v>
      </c>
      <c r="X1104" s="7" t="str">
        <f>VLOOKUP($S1104,Mapping!$E$140:$K$2771,5,0)</f>
        <v>Labour</v>
      </c>
      <c r="Y1104" s="7" t="str">
        <f>VLOOKUP($S1104,Mapping!$E$140:$K$2771,7,0)</f>
        <v>ENDirect</v>
      </c>
      <c r="Z1104" s="7" t="str">
        <f>IFERROR(HLOOKUP(X1104,'Calc|Weightings'!$K$5:$M$5,1,0),"Excl")</f>
        <v>Labour</v>
      </c>
      <c r="AA1104" s="7" t="str">
        <f>VLOOKUP(Q1104,Mapping!$E$11:$I$96,5,0)</f>
        <v>Ancillary Network Services</v>
      </c>
      <c r="AC1104" s="111">
        <v>146</v>
      </c>
      <c r="AD1104" s="111" t="s">
        <v>2156</v>
      </c>
      <c r="AE1104" s="111">
        <v>613440</v>
      </c>
      <c r="AF1104" s="111" t="s">
        <v>2103</v>
      </c>
      <c r="AG1104" s="112">
        <v>0.14218</v>
      </c>
      <c r="AI1104" s="7" t="str">
        <f>VLOOKUP($AC1104,Mapping!$E$11:$I$96,3,0)</f>
        <v>Quoted Opex</v>
      </c>
      <c r="AJ1104" s="7" t="str">
        <f>VLOOKUP($AE1104,Mapping!$E$140:$K$2771,5,0)</f>
        <v>Labour</v>
      </c>
      <c r="AK1104" s="7" t="str">
        <f>VLOOKUP($AE1104,Mapping!$E$140:$K$2771,7,0)</f>
        <v>ENDirect</v>
      </c>
      <c r="AL1104" s="7" t="str">
        <f>IFERROR(HLOOKUP(AJ1104,'Calc|Weightings'!$K$5:$M$5,1,0),"Excl")</f>
        <v>Labour</v>
      </c>
      <c r="AM1104" s="7" t="str">
        <f>VLOOKUP(AC1104,Mapping!$E$11:$I$96,5,0)</f>
        <v>Ancillary Network Services</v>
      </c>
      <c r="AO1104" s="134">
        <v>150</v>
      </c>
      <c r="AP1104" s="135" t="s">
        <v>2159</v>
      </c>
      <c r="AQ1104" s="135">
        <v>613566</v>
      </c>
      <c r="AR1104" s="135" t="s">
        <v>1482</v>
      </c>
      <c r="AS1104" s="136">
        <v>60.107030000000002</v>
      </c>
      <c r="AU1104" s="7" t="str">
        <f>VLOOKUP($AO1104,Mapping!$E$11:$I$96,3,0)</f>
        <v>Replacement</v>
      </c>
      <c r="AV1104" s="7" t="str">
        <f>VLOOKUP($AQ1104,Mapping!$E$140:$K$2771,5,0)</f>
        <v>Labour</v>
      </c>
      <c r="AW1104" s="7" t="str">
        <f>VLOOKUP($AQ1104,Mapping!$E$140:$K$2771,7,0)</f>
        <v>ENDirect</v>
      </c>
      <c r="AX1104" s="7" t="str">
        <f>IFERROR(HLOOKUP(AV1104,'Calc|Weightings'!$K$5:$M$5,1,0),"Excl")</f>
        <v>Labour</v>
      </c>
      <c r="AY1104" s="7" t="str">
        <f>VLOOKUP(AO1104,Mapping!$E$11:$I$96,5,0)</f>
        <v>SCS</v>
      </c>
    </row>
    <row r="1105" spans="1:51" x14ac:dyDescent="0.2">
      <c r="A1105" s="7"/>
      <c r="B1105" s="7"/>
      <c r="C1105" s="7"/>
      <c r="D1105" s="7"/>
      <c r="E1105" s="36">
        <v>143</v>
      </c>
      <c r="F1105" s="36" t="s">
        <v>2153</v>
      </c>
      <c r="G1105" s="36">
        <v>612460</v>
      </c>
      <c r="H1105" s="36" t="s">
        <v>1243</v>
      </c>
      <c r="I1105" s="37">
        <v>3.0848</v>
      </c>
      <c r="J1105" s="7"/>
      <c r="K1105" s="7" t="str">
        <f>VLOOKUP($E1105,Mapping!$E$11:$I$96,3,0)</f>
        <v>Replacement</v>
      </c>
      <c r="L1105" s="7" t="str">
        <f>VLOOKUP($G1105,Mapping!$E$140:$K$2771,5,0)</f>
        <v>Labour</v>
      </c>
      <c r="M1105" s="7" t="str">
        <f>VLOOKUP($G1105,Mapping!$E$140:$K$2771,7,0)</f>
        <v>ENDirect</v>
      </c>
      <c r="N1105" s="7" t="str">
        <f>IFERROR(HLOOKUP(L1105,'Calc|Weightings'!$K$5:$M$5,1,0),"Excl")</f>
        <v>Labour</v>
      </c>
      <c r="O1105" s="7" t="str">
        <f>VLOOKUP(E1105,Mapping!$E$11:$I$96,5,0)</f>
        <v>SCS</v>
      </c>
      <c r="Q1105" s="33">
        <v>146</v>
      </c>
      <c r="R1105" s="33" t="s">
        <v>2156</v>
      </c>
      <c r="S1105" s="33">
        <v>613440</v>
      </c>
      <c r="T1105" s="33" t="s">
        <v>2103</v>
      </c>
      <c r="U1105" s="34">
        <v>0.21698999999999999</v>
      </c>
      <c r="V1105" s="7"/>
      <c r="W1105" s="7" t="str">
        <f>VLOOKUP($Q1105,Mapping!$E$11:$I$96,3,0)</f>
        <v>Quoted Opex</v>
      </c>
      <c r="X1105" s="7" t="str">
        <f>VLOOKUP($S1105,Mapping!$E$140:$K$2771,5,0)</f>
        <v>Labour</v>
      </c>
      <c r="Y1105" s="7" t="str">
        <f>VLOOKUP($S1105,Mapping!$E$140:$K$2771,7,0)</f>
        <v>ENDirect</v>
      </c>
      <c r="Z1105" s="7" t="str">
        <f>IFERROR(HLOOKUP(X1105,'Calc|Weightings'!$K$5:$M$5,1,0),"Excl")</f>
        <v>Labour</v>
      </c>
      <c r="AA1105" s="7" t="str">
        <f>VLOOKUP(Q1105,Mapping!$E$11:$I$96,5,0)</f>
        <v>Ancillary Network Services</v>
      </c>
      <c r="AC1105" s="111">
        <v>146</v>
      </c>
      <c r="AD1105" s="111" t="s">
        <v>2156</v>
      </c>
      <c r="AE1105" s="111">
        <v>613566</v>
      </c>
      <c r="AF1105" s="111" t="s">
        <v>1482</v>
      </c>
      <c r="AG1105" s="112">
        <v>99.091049999999996</v>
      </c>
      <c r="AI1105" s="7" t="str">
        <f>VLOOKUP($AC1105,Mapping!$E$11:$I$96,3,0)</f>
        <v>Quoted Opex</v>
      </c>
      <c r="AJ1105" s="7" t="str">
        <f>VLOOKUP($AE1105,Mapping!$E$140:$K$2771,5,0)</f>
        <v>Labour</v>
      </c>
      <c r="AK1105" s="7" t="str">
        <f>VLOOKUP($AE1105,Mapping!$E$140:$K$2771,7,0)</f>
        <v>ENDirect</v>
      </c>
      <c r="AL1105" s="7" t="str">
        <f>IFERROR(HLOOKUP(AJ1105,'Calc|Weightings'!$K$5:$M$5,1,0),"Excl")</f>
        <v>Labour</v>
      </c>
      <c r="AM1105" s="7" t="str">
        <f>VLOOKUP(AC1105,Mapping!$E$11:$I$96,5,0)</f>
        <v>Ancillary Network Services</v>
      </c>
      <c r="AO1105" s="134">
        <v>150</v>
      </c>
      <c r="AP1105" s="135" t="s">
        <v>2159</v>
      </c>
      <c r="AQ1105" s="135">
        <v>613567</v>
      </c>
      <c r="AR1105" s="135" t="s">
        <v>1483</v>
      </c>
      <c r="AS1105" s="136">
        <v>23.612649999999999</v>
      </c>
      <c r="AU1105" s="7" t="str">
        <f>VLOOKUP($AO1105,Mapping!$E$11:$I$96,3,0)</f>
        <v>Replacement</v>
      </c>
      <c r="AV1105" s="7" t="str">
        <f>VLOOKUP($AQ1105,Mapping!$E$140:$K$2771,5,0)</f>
        <v>Labour</v>
      </c>
      <c r="AW1105" s="7" t="str">
        <f>VLOOKUP($AQ1105,Mapping!$E$140:$K$2771,7,0)</f>
        <v>ENDirect</v>
      </c>
      <c r="AX1105" s="7" t="str">
        <f>IFERROR(HLOOKUP(AV1105,'Calc|Weightings'!$K$5:$M$5,1,0),"Excl")</f>
        <v>Labour</v>
      </c>
      <c r="AY1105" s="7" t="str">
        <f>VLOOKUP(AO1105,Mapping!$E$11:$I$96,5,0)</f>
        <v>SCS</v>
      </c>
    </row>
    <row r="1106" spans="1:51" x14ac:dyDescent="0.2">
      <c r="A1106" s="7"/>
      <c r="B1106" s="7"/>
      <c r="C1106" s="7"/>
      <c r="D1106" s="7"/>
      <c r="E1106" s="36">
        <v>143</v>
      </c>
      <c r="F1106" s="36" t="s">
        <v>2153</v>
      </c>
      <c r="G1106" s="36">
        <v>613240</v>
      </c>
      <c r="H1106" s="36" t="s">
        <v>2082</v>
      </c>
      <c r="I1106" s="37">
        <v>6.6940499999999998</v>
      </c>
      <c r="J1106" s="7"/>
      <c r="K1106" s="7" t="str">
        <f>VLOOKUP($E1106,Mapping!$E$11:$I$96,3,0)</f>
        <v>Replacement</v>
      </c>
      <c r="L1106" s="7" t="str">
        <f>VLOOKUP($G1106,Mapping!$E$140:$K$2771,5,0)</f>
        <v>Labour</v>
      </c>
      <c r="M1106" s="7" t="str">
        <f>VLOOKUP($G1106,Mapping!$E$140:$K$2771,7,0)</f>
        <v>ENDirect</v>
      </c>
      <c r="N1106" s="7" t="str">
        <f>IFERROR(HLOOKUP(L1106,'Calc|Weightings'!$K$5:$M$5,1,0),"Excl")</f>
        <v>Labour</v>
      </c>
      <c r="O1106" s="7" t="str">
        <f>VLOOKUP(E1106,Mapping!$E$11:$I$96,5,0)</f>
        <v>SCS</v>
      </c>
      <c r="Q1106" s="33">
        <v>146</v>
      </c>
      <c r="R1106" s="33" t="s">
        <v>2156</v>
      </c>
      <c r="S1106" s="33">
        <v>613448</v>
      </c>
      <c r="T1106" s="33" t="s">
        <v>2105</v>
      </c>
      <c r="U1106" s="34">
        <v>0.26300000000000001</v>
      </c>
      <c r="V1106" s="7"/>
      <c r="W1106" s="7" t="str">
        <f>VLOOKUP($Q1106,Mapping!$E$11:$I$96,3,0)</f>
        <v>Quoted Opex</v>
      </c>
      <c r="X1106" s="7" t="str">
        <f>VLOOKUP($S1106,Mapping!$E$140:$K$2771,5,0)</f>
        <v>Labour</v>
      </c>
      <c r="Y1106" s="7" t="str">
        <f>VLOOKUP($S1106,Mapping!$E$140:$K$2771,7,0)</f>
        <v>ENDirect</v>
      </c>
      <c r="Z1106" s="7" t="str">
        <f>IFERROR(HLOOKUP(X1106,'Calc|Weightings'!$K$5:$M$5,1,0),"Excl")</f>
        <v>Labour</v>
      </c>
      <c r="AA1106" s="7" t="str">
        <f>VLOOKUP(Q1106,Mapping!$E$11:$I$96,5,0)</f>
        <v>Ancillary Network Services</v>
      </c>
      <c r="AC1106" s="111">
        <v>146</v>
      </c>
      <c r="AD1106" s="111" t="s">
        <v>2156</v>
      </c>
      <c r="AE1106" s="111">
        <v>613567</v>
      </c>
      <c r="AF1106" s="111" t="s">
        <v>1483</v>
      </c>
      <c r="AG1106" s="112">
        <v>26.864460000000001</v>
      </c>
      <c r="AI1106" s="7" t="str">
        <f>VLOOKUP($AC1106,Mapping!$E$11:$I$96,3,0)</f>
        <v>Quoted Opex</v>
      </c>
      <c r="AJ1106" s="7" t="str">
        <f>VLOOKUP($AE1106,Mapping!$E$140:$K$2771,5,0)</f>
        <v>Labour</v>
      </c>
      <c r="AK1106" s="7" t="str">
        <f>VLOOKUP($AE1106,Mapping!$E$140:$K$2771,7,0)</f>
        <v>ENDirect</v>
      </c>
      <c r="AL1106" s="7" t="str">
        <f>IFERROR(HLOOKUP(AJ1106,'Calc|Weightings'!$K$5:$M$5,1,0),"Excl")</f>
        <v>Labour</v>
      </c>
      <c r="AM1106" s="7" t="str">
        <f>VLOOKUP(AC1106,Mapping!$E$11:$I$96,5,0)</f>
        <v>Ancillary Network Services</v>
      </c>
      <c r="AO1106" s="134">
        <v>150</v>
      </c>
      <c r="AP1106" s="135" t="s">
        <v>2159</v>
      </c>
      <c r="AQ1106" s="135">
        <v>613570</v>
      </c>
      <c r="AR1106" s="135" t="s">
        <v>1484</v>
      </c>
      <c r="AS1106" s="136">
        <v>3.7629899999999998</v>
      </c>
      <c r="AU1106" s="7" t="str">
        <f>VLOOKUP($AO1106,Mapping!$E$11:$I$96,3,0)</f>
        <v>Replacement</v>
      </c>
      <c r="AV1106" s="7" t="str">
        <f>VLOOKUP($AQ1106,Mapping!$E$140:$K$2771,5,0)</f>
        <v>Labour</v>
      </c>
      <c r="AW1106" s="7" t="str">
        <f>VLOOKUP($AQ1106,Mapping!$E$140:$K$2771,7,0)</f>
        <v>ENDirect</v>
      </c>
      <c r="AX1106" s="7" t="str">
        <f>IFERROR(HLOOKUP(AV1106,'Calc|Weightings'!$K$5:$M$5,1,0),"Excl")</f>
        <v>Labour</v>
      </c>
      <c r="AY1106" s="7" t="str">
        <f>VLOOKUP(AO1106,Mapping!$E$11:$I$96,5,0)</f>
        <v>SCS</v>
      </c>
    </row>
    <row r="1107" spans="1:51" x14ac:dyDescent="0.2">
      <c r="A1107" s="7"/>
      <c r="B1107" s="7"/>
      <c r="C1107" s="7"/>
      <c r="D1107" s="7"/>
      <c r="E1107" s="36">
        <v>143</v>
      </c>
      <c r="F1107" s="36" t="s">
        <v>2153</v>
      </c>
      <c r="G1107" s="36">
        <v>613258</v>
      </c>
      <c r="H1107" s="36" t="s">
        <v>2356</v>
      </c>
      <c r="I1107" s="37">
        <v>0.13314000000000001</v>
      </c>
      <c r="J1107" s="7"/>
      <c r="K1107" s="7" t="str">
        <f>VLOOKUP($E1107,Mapping!$E$11:$I$96,3,0)</f>
        <v>Replacement</v>
      </c>
      <c r="L1107" s="7" t="str">
        <f>VLOOKUP($G1107,Mapping!$E$140:$K$2771,5,0)</f>
        <v>Labour</v>
      </c>
      <c r="M1107" s="7" t="str">
        <f>VLOOKUP($G1107,Mapping!$E$140:$K$2771,7,0)</f>
        <v>ENDirect</v>
      </c>
      <c r="N1107" s="7" t="str">
        <f>IFERROR(HLOOKUP(L1107,'Calc|Weightings'!$K$5:$M$5,1,0),"Excl")</f>
        <v>Labour</v>
      </c>
      <c r="O1107" s="7" t="str">
        <f>VLOOKUP(E1107,Mapping!$E$11:$I$96,5,0)</f>
        <v>SCS</v>
      </c>
      <c r="Q1107" s="33">
        <v>146</v>
      </c>
      <c r="R1107" s="33" t="s">
        <v>2156</v>
      </c>
      <c r="S1107" s="33">
        <v>613566</v>
      </c>
      <c r="T1107" s="33" t="s">
        <v>1482</v>
      </c>
      <c r="U1107" s="34">
        <v>11.76069</v>
      </c>
      <c r="V1107" s="7"/>
      <c r="W1107" s="7" t="str">
        <f>VLOOKUP($Q1107,Mapping!$E$11:$I$96,3,0)</f>
        <v>Quoted Opex</v>
      </c>
      <c r="X1107" s="7" t="str">
        <f>VLOOKUP($S1107,Mapping!$E$140:$K$2771,5,0)</f>
        <v>Labour</v>
      </c>
      <c r="Y1107" s="7" t="str">
        <f>VLOOKUP($S1107,Mapping!$E$140:$K$2771,7,0)</f>
        <v>ENDirect</v>
      </c>
      <c r="Z1107" s="7" t="str">
        <f>IFERROR(HLOOKUP(X1107,'Calc|Weightings'!$K$5:$M$5,1,0),"Excl")</f>
        <v>Labour</v>
      </c>
      <c r="AA1107" s="7" t="str">
        <f>VLOOKUP(Q1107,Mapping!$E$11:$I$96,5,0)</f>
        <v>Ancillary Network Services</v>
      </c>
      <c r="AC1107" s="111">
        <v>146</v>
      </c>
      <c r="AD1107" s="111" t="s">
        <v>2156</v>
      </c>
      <c r="AE1107" s="111">
        <v>613570</v>
      </c>
      <c r="AF1107" s="111" t="s">
        <v>1484</v>
      </c>
      <c r="AG1107" s="112">
        <v>5.1749099999999997</v>
      </c>
      <c r="AI1107" s="7" t="str">
        <f>VLOOKUP($AC1107,Mapping!$E$11:$I$96,3,0)</f>
        <v>Quoted Opex</v>
      </c>
      <c r="AJ1107" s="7" t="str">
        <f>VLOOKUP($AE1107,Mapping!$E$140:$K$2771,5,0)</f>
        <v>Labour</v>
      </c>
      <c r="AK1107" s="7" t="str">
        <f>VLOOKUP($AE1107,Mapping!$E$140:$K$2771,7,0)</f>
        <v>ENDirect</v>
      </c>
      <c r="AL1107" s="7" t="str">
        <f>IFERROR(HLOOKUP(AJ1107,'Calc|Weightings'!$K$5:$M$5,1,0),"Excl")</f>
        <v>Labour</v>
      </c>
      <c r="AM1107" s="7" t="str">
        <f>VLOOKUP(AC1107,Mapping!$E$11:$I$96,5,0)</f>
        <v>Ancillary Network Services</v>
      </c>
      <c r="AO1107" s="134">
        <v>150</v>
      </c>
      <c r="AP1107" s="135" t="s">
        <v>2159</v>
      </c>
      <c r="AQ1107" s="135">
        <v>613571</v>
      </c>
      <c r="AR1107" s="135" t="s">
        <v>1485</v>
      </c>
      <c r="AS1107" s="136">
        <v>0.64951999999999999</v>
      </c>
      <c r="AU1107" s="7" t="str">
        <f>VLOOKUP($AO1107,Mapping!$E$11:$I$96,3,0)</f>
        <v>Replacement</v>
      </c>
      <c r="AV1107" s="7" t="str">
        <f>VLOOKUP($AQ1107,Mapping!$E$140:$K$2771,5,0)</f>
        <v>Labour</v>
      </c>
      <c r="AW1107" s="7" t="str">
        <f>VLOOKUP($AQ1107,Mapping!$E$140:$K$2771,7,0)</f>
        <v>ENDirect</v>
      </c>
      <c r="AX1107" s="7" t="str">
        <f>IFERROR(HLOOKUP(AV1107,'Calc|Weightings'!$K$5:$M$5,1,0),"Excl")</f>
        <v>Labour</v>
      </c>
      <c r="AY1107" s="7" t="str">
        <f>VLOOKUP(AO1107,Mapping!$E$11:$I$96,5,0)</f>
        <v>SCS</v>
      </c>
    </row>
    <row r="1108" spans="1:51" x14ac:dyDescent="0.2">
      <c r="A1108" s="7"/>
      <c r="B1108" s="7"/>
      <c r="C1108" s="7"/>
      <c r="D1108" s="7"/>
      <c r="E1108" s="36">
        <v>143</v>
      </c>
      <c r="F1108" s="36" t="s">
        <v>2153</v>
      </c>
      <c r="G1108" s="36">
        <v>613268</v>
      </c>
      <c r="H1108" s="36" t="s">
        <v>1335</v>
      </c>
      <c r="I1108" s="37">
        <v>357.82022000000001</v>
      </c>
      <c r="J1108" s="7"/>
      <c r="K1108" s="7" t="str">
        <f>VLOOKUP($E1108,Mapping!$E$11:$I$96,3,0)</f>
        <v>Replacement</v>
      </c>
      <c r="L1108" s="7" t="str">
        <f>VLOOKUP($G1108,Mapping!$E$140:$K$2771,5,0)</f>
        <v>Labour</v>
      </c>
      <c r="M1108" s="7" t="str">
        <f>VLOOKUP($G1108,Mapping!$E$140:$K$2771,7,0)</f>
        <v>ENDirect</v>
      </c>
      <c r="N1108" s="7" t="str">
        <f>IFERROR(HLOOKUP(L1108,'Calc|Weightings'!$K$5:$M$5,1,0),"Excl")</f>
        <v>Labour</v>
      </c>
      <c r="O1108" s="7" t="str">
        <f>VLOOKUP(E1108,Mapping!$E$11:$I$96,5,0)</f>
        <v>SCS</v>
      </c>
      <c r="Q1108" s="33">
        <v>146</v>
      </c>
      <c r="R1108" s="33" t="s">
        <v>2156</v>
      </c>
      <c r="S1108" s="33">
        <v>613567</v>
      </c>
      <c r="T1108" s="33" t="s">
        <v>1483</v>
      </c>
      <c r="U1108" s="34">
        <v>5.7243000000000004</v>
      </c>
      <c r="V1108" s="7"/>
      <c r="W1108" s="7" t="str">
        <f>VLOOKUP($Q1108,Mapping!$E$11:$I$96,3,0)</f>
        <v>Quoted Opex</v>
      </c>
      <c r="X1108" s="7" t="str">
        <f>VLOOKUP($S1108,Mapping!$E$140:$K$2771,5,0)</f>
        <v>Labour</v>
      </c>
      <c r="Y1108" s="7" t="str">
        <f>VLOOKUP($S1108,Mapping!$E$140:$K$2771,7,0)</f>
        <v>ENDirect</v>
      </c>
      <c r="Z1108" s="7" t="str">
        <f>IFERROR(HLOOKUP(X1108,'Calc|Weightings'!$K$5:$M$5,1,0),"Excl")</f>
        <v>Labour</v>
      </c>
      <c r="AA1108" s="7" t="str">
        <f>VLOOKUP(Q1108,Mapping!$E$11:$I$96,5,0)</f>
        <v>Ancillary Network Services</v>
      </c>
      <c r="AC1108" s="111">
        <v>146</v>
      </c>
      <c r="AD1108" s="111" t="s">
        <v>2156</v>
      </c>
      <c r="AE1108" s="111">
        <v>613571</v>
      </c>
      <c r="AF1108" s="111" t="s">
        <v>1485</v>
      </c>
      <c r="AG1108" s="112">
        <v>1.9642900000000001</v>
      </c>
      <c r="AI1108" s="7" t="str">
        <f>VLOOKUP($AC1108,Mapping!$E$11:$I$96,3,0)</f>
        <v>Quoted Opex</v>
      </c>
      <c r="AJ1108" s="7" t="str">
        <f>VLOOKUP($AE1108,Mapping!$E$140:$K$2771,5,0)</f>
        <v>Labour</v>
      </c>
      <c r="AK1108" s="7" t="str">
        <f>VLOOKUP($AE1108,Mapping!$E$140:$K$2771,7,0)</f>
        <v>ENDirect</v>
      </c>
      <c r="AL1108" s="7" t="str">
        <f>IFERROR(HLOOKUP(AJ1108,'Calc|Weightings'!$K$5:$M$5,1,0),"Excl")</f>
        <v>Labour</v>
      </c>
      <c r="AM1108" s="7" t="str">
        <f>VLOOKUP(AC1108,Mapping!$E$11:$I$96,5,0)</f>
        <v>Ancillary Network Services</v>
      </c>
      <c r="AO1108" s="134">
        <v>150</v>
      </c>
      <c r="AP1108" s="135" t="s">
        <v>2159</v>
      </c>
      <c r="AQ1108" s="135">
        <v>613574</v>
      </c>
      <c r="AR1108" s="135" t="s">
        <v>1488</v>
      </c>
      <c r="AS1108" s="136">
        <v>48.879779999999997</v>
      </c>
      <c r="AU1108" s="7" t="str">
        <f>VLOOKUP($AO1108,Mapping!$E$11:$I$96,3,0)</f>
        <v>Replacement</v>
      </c>
      <c r="AV1108" s="7" t="str">
        <f>VLOOKUP($AQ1108,Mapping!$E$140:$K$2771,5,0)</f>
        <v>Labour</v>
      </c>
      <c r="AW1108" s="7" t="str">
        <f>VLOOKUP($AQ1108,Mapping!$E$140:$K$2771,7,0)</f>
        <v>ENDirect</v>
      </c>
      <c r="AX1108" s="7" t="str">
        <f>IFERROR(HLOOKUP(AV1108,'Calc|Weightings'!$K$5:$M$5,1,0),"Excl")</f>
        <v>Labour</v>
      </c>
      <c r="AY1108" s="7" t="str">
        <f>VLOOKUP(AO1108,Mapping!$E$11:$I$96,5,0)</f>
        <v>SCS</v>
      </c>
    </row>
    <row r="1109" spans="1:51" x14ac:dyDescent="0.2">
      <c r="A1109" s="7"/>
      <c r="B1109" s="7"/>
      <c r="C1109" s="7"/>
      <c r="D1109" s="7"/>
      <c r="E1109" s="36">
        <v>143</v>
      </c>
      <c r="F1109" s="36" t="s">
        <v>2153</v>
      </c>
      <c r="G1109" s="36">
        <v>613269</v>
      </c>
      <c r="H1109" s="36" t="s">
        <v>1336</v>
      </c>
      <c r="I1109" s="37">
        <v>138.62960000000001</v>
      </c>
      <c r="J1109" s="7"/>
      <c r="K1109" s="7" t="str">
        <f>VLOOKUP($E1109,Mapping!$E$11:$I$96,3,0)</f>
        <v>Replacement</v>
      </c>
      <c r="L1109" s="7" t="str">
        <f>VLOOKUP($G1109,Mapping!$E$140:$K$2771,5,0)</f>
        <v>Labour</v>
      </c>
      <c r="M1109" s="7" t="str">
        <f>VLOOKUP($G1109,Mapping!$E$140:$K$2771,7,0)</f>
        <v>ENDirect</v>
      </c>
      <c r="N1109" s="7" t="str">
        <f>IFERROR(HLOOKUP(L1109,'Calc|Weightings'!$K$5:$M$5,1,0),"Excl")</f>
        <v>Labour</v>
      </c>
      <c r="O1109" s="7" t="str">
        <f>VLOOKUP(E1109,Mapping!$E$11:$I$96,5,0)</f>
        <v>SCS</v>
      </c>
      <c r="Q1109" s="33">
        <v>146</v>
      </c>
      <c r="R1109" s="33" t="s">
        <v>2156</v>
      </c>
      <c r="S1109" s="33">
        <v>613570</v>
      </c>
      <c r="T1109" s="33" t="s">
        <v>1484</v>
      </c>
      <c r="U1109" s="34">
        <v>5.0983999999999998</v>
      </c>
      <c r="V1109" s="7"/>
      <c r="W1109" s="7" t="str">
        <f>VLOOKUP($Q1109,Mapping!$E$11:$I$96,3,0)</f>
        <v>Quoted Opex</v>
      </c>
      <c r="X1109" s="7" t="str">
        <f>VLOOKUP($S1109,Mapping!$E$140:$K$2771,5,0)</f>
        <v>Labour</v>
      </c>
      <c r="Y1109" s="7" t="str">
        <f>VLOOKUP($S1109,Mapping!$E$140:$K$2771,7,0)</f>
        <v>ENDirect</v>
      </c>
      <c r="Z1109" s="7" t="str">
        <f>IFERROR(HLOOKUP(X1109,'Calc|Weightings'!$K$5:$M$5,1,0),"Excl")</f>
        <v>Labour</v>
      </c>
      <c r="AA1109" s="7" t="str">
        <f>VLOOKUP(Q1109,Mapping!$E$11:$I$96,5,0)</f>
        <v>Ancillary Network Services</v>
      </c>
      <c r="AC1109" s="111">
        <v>146</v>
      </c>
      <c r="AD1109" s="111" t="s">
        <v>2156</v>
      </c>
      <c r="AE1109" s="111">
        <v>613574</v>
      </c>
      <c r="AF1109" s="111" t="s">
        <v>1488</v>
      </c>
      <c r="AG1109" s="112">
        <v>113.71614</v>
      </c>
      <c r="AI1109" s="7" t="str">
        <f>VLOOKUP($AC1109,Mapping!$E$11:$I$96,3,0)</f>
        <v>Quoted Opex</v>
      </c>
      <c r="AJ1109" s="7" t="str">
        <f>VLOOKUP($AE1109,Mapping!$E$140:$K$2771,5,0)</f>
        <v>Labour</v>
      </c>
      <c r="AK1109" s="7" t="str">
        <f>VLOOKUP($AE1109,Mapping!$E$140:$K$2771,7,0)</f>
        <v>ENDirect</v>
      </c>
      <c r="AL1109" s="7" t="str">
        <f>IFERROR(HLOOKUP(AJ1109,'Calc|Weightings'!$K$5:$M$5,1,0),"Excl")</f>
        <v>Labour</v>
      </c>
      <c r="AM1109" s="7" t="str">
        <f>VLOOKUP(AC1109,Mapping!$E$11:$I$96,5,0)</f>
        <v>Ancillary Network Services</v>
      </c>
      <c r="AO1109" s="134">
        <v>150</v>
      </c>
      <c r="AP1109" s="135" t="s">
        <v>2159</v>
      </c>
      <c r="AQ1109" s="135">
        <v>613575</v>
      </c>
      <c r="AR1109" s="135" t="s">
        <v>1489</v>
      </c>
      <c r="AS1109" s="136">
        <v>4.20878</v>
      </c>
      <c r="AU1109" s="7" t="str">
        <f>VLOOKUP($AO1109,Mapping!$E$11:$I$96,3,0)</f>
        <v>Replacement</v>
      </c>
      <c r="AV1109" s="7" t="str">
        <f>VLOOKUP($AQ1109,Mapping!$E$140:$K$2771,5,0)</f>
        <v>Labour</v>
      </c>
      <c r="AW1109" s="7" t="str">
        <f>VLOOKUP($AQ1109,Mapping!$E$140:$K$2771,7,0)</f>
        <v>ENDirect</v>
      </c>
      <c r="AX1109" s="7" t="str">
        <f>IFERROR(HLOOKUP(AV1109,'Calc|Weightings'!$K$5:$M$5,1,0),"Excl")</f>
        <v>Labour</v>
      </c>
      <c r="AY1109" s="7" t="str">
        <f>VLOOKUP(AO1109,Mapping!$E$11:$I$96,5,0)</f>
        <v>SCS</v>
      </c>
    </row>
    <row r="1110" spans="1:51" x14ac:dyDescent="0.2">
      <c r="A1110" s="7"/>
      <c r="B1110" s="7"/>
      <c r="C1110" s="7"/>
      <c r="D1110" s="7"/>
      <c r="E1110" s="36">
        <v>143</v>
      </c>
      <c r="F1110" s="36" t="s">
        <v>2153</v>
      </c>
      <c r="G1110" s="36">
        <v>613278</v>
      </c>
      <c r="H1110" s="36" t="s">
        <v>2357</v>
      </c>
      <c r="I1110" s="37">
        <v>2.2398400000000001</v>
      </c>
      <c r="J1110" s="7"/>
      <c r="K1110" s="7" t="str">
        <f>VLOOKUP($E1110,Mapping!$E$11:$I$96,3,0)</f>
        <v>Replacement</v>
      </c>
      <c r="L1110" s="7" t="str">
        <f>VLOOKUP($G1110,Mapping!$E$140:$K$2771,5,0)</f>
        <v>Labour</v>
      </c>
      <c r="M1110" s="7" t="str">
        <f>VLOOKUP($G1110,Mapping!$E$140:$K$2771,7,0)</f>
        <v>ENDirect</v>
      </c>
      <c r="N1110" s="7" t="str">
        <f>IFERROR(HLOOKUP(L1110,'Calc|Weightings'!$K$5:$M$5,1,0),"Excl")</f>
        <v>Labour</v>
      </c>
      <c r="O1110" s="7" t="str">
        <f>VLOOKUP(E1110,Mapping!$E$11:$I$96,5,0)</f>
        <v>SCS</v>
      </c>
      <c r="Q1110" s="33">
        <v>146</v>
      </c>
      <c r="R1110" s="33" t="s">
        <v>2156</v>
      </c>
      <c r="S1110" s="33">
        <v>613571</v>
      </c>
      <c r="T1110" s="33" t="s">
        <v>1485</v>
      </c>
      <c r="U1110" s="34">
        <v>1.03267</v>
      </c>
      <c r="V1110" s="7"/>
      <c r="W1110" s="7" t="str">
        <f>VLOOKUP($Q1110,Mapping!$E$11:$I$96,3,0)</f>
        <v>Quoted Opex</v>
      </c>
      <c r="X1110" s="7" t="str">
        <f>VLOOKUP($S1110,Mapping!$E$140:$K$2771,5,0)</f>
        <v>Labour</v>
      </c>
      <c r="Y1110" s="7" t="str">
        <f>VLOOKUP($S1110,Mapping!$E$140:$K$2771,7,0)</f>
        <v>ENDirect</v>
      </c>
      <c r="Z1110" s="7" t="str">
        <f>IFERROR(HLOOKUP(X1110,'Calc|Weightings'!$K$5:$M$5,1,0),"Excl")</f>
        <v>Labour</v>
      </c>
      <c r="AA1110" s="7" t="str">
        <f>VLOOKUP(Q1110,Mapping!$E$11:$I$96,5,0)</f>
        <v>Ancillary Network Services</v>
      </c>
      <c r="AC1110" s="111">
        <v>146</v>
      </c>
      <c r="AD1110" s="111" t="s">
        <v>2156</v>
      </c>
      <c r="AE1110" s="111">
        <v>613575</v>
      </c>
      <c r="AF1110" s="111" t="s">
        <v>1489</v>
      </c>
      <c r="AG1110" s="112">
        <v>26.67746</v>
      </c>
      <c r="AI1110" s="7" t="str">
        <f>VLOOKUP($AC1110,Mapping!$E$11:$I$96,3,0)</f>
        <v>Quoted Opex</v>
      </c>
      <c r="AJ1110" s="7" t="str">
        <f>VLOOKUP($AE1110,Mapping!$E$140:$K$2771,5,0)</f>
        <v>Labour</v>
      </c>
      <c r="AK1110" s="7" t="str">
        <f>VLOOKUP($AE1110,Mapping!$E$140:$K$2771,7,0)</f>
        <v>ENDirect</v>
      </c>
      <c r="AL1110" s="7" t="str">
        <f>IFERROR(HLOOKUP(AJ1110,'Calc|Weightings'!$K$5:$M$5,1,0),"Excl")</f>
        <v>Labour</v>
      </c>
      <c r="AM1110" s="7" t="str">
        <f>VLOOKUP(AC1110,Mapping!$E$11:$I$96,5,0)</f>
        <v>Ancillary Network Services</v>
      </c>
      <c r="AO1110" s="134">
        <v>150</v>
      </c>
      <c r="AP1110" s="135" t="s">
        <v>2159</v>
      </c>
      <c r="AQ1110" s="135">
        <v>613602</v>
      </c>
      <c r="AR1110" s="135" t="s">
        <v>1494</v>
      </c>
      <c r="AS1110" s="136">
        <v>0.57084000000000001</v>
      </c>
      <c r="AU1110" s="7" t="str">
        <f>VLOOKUP($AO1110,Mapping!$E$11:$I$96,3,0)</f>
        <v>Replacement</v>
      </c>
      <c r="AV1110" s="7" t="str">
        <f>VLOOKUP($AQ1110,Mapping!$E$140:$K$2771,5,0)</f>
        <v>Labour</v>
      </c>
      <c r="AW1110" s="7" t="str">
        <f>VLOOKUP($AQ1110,Mapping!$E$140:$K$2771,7,0)</f>
        <v>ENDirect</v>
      </c>
      <c r="AX1110" s="7" t="str">
        <f>IFERROR(HLOOKUP(AV1110,'Calc|Weightings'!$K$5:$M$5,1,0),"Excl")</f>
        <v>Labour</v>
      </c>
      <c r="AY1110" s="7" t="str">
        <f>VLOOKUP(AO1110,Mapping!$E$11:$I$96,5,0)</f>
        <v>SCS</v>
      </c>
    </row>
    <row r="1111" spans="1:51" x14ac:dyDescent="0.2">
      <c r="A1111" s="7"/>
      <c r="B1111" s="7"/>
      <c r="C1111" s="7"/>
      <c r="D1111" s="7"/>
      <c r="E1111" s="36">
        <v>143</v>
      </c>
      <c r="F1111" s="36" t="s">
        <v>2153</v>
      </c>
      <c r="G1111" s="36">
        <v>613279</v>
      </c>
      <c r="H1111" s="36" t="s">
        <v>2360</v>
      </c>
      <c r="I1111" s="37">
        <v>0.83994000000000002</v>
      </c>
      <c r="J1111" s="7"/>
      <c r="K1111" s="7" t="str">
        <f>VLOOKUP($E1111,Mapping!$E$11:$I$96,3,0)</f>
        <v>Replacement</v>
      </c>
      <c r="L1111" s="7" t="str">
        <f>VLOOKUP($G1111,Mapping!$E$140:$K$2771,5,0)</f>
        <v>Labour</v>
      </c>
      <c r="M1111" s="7" t="str">
        <f>VLOOKUP($G1111,Mapping!$E$140:$K$2771,7,0)</f>
        <v>ENDirect</v>
      </c>
      <c r="N1111" s="7" t="str">
        <f>IFERROR(HLOOKUP(L1111,'Calc|Weightings'!$K$5:$M$5,1,0),"Excl")</f>
        <v>Labour</v>
      </c>
      <c r="O1111" s="7" t="str">
        <f>VLOOKUP(E1111,Mapping!$E$11:$I$96,5,0)</f>
        <v>SCS</v>
      </c>
      <c r="Q1111" s="33">
        <v>146</v>
      </c>
      <c r="R1111" s="33" t="s">
        <v>2156</v>
      </c>
      <c r="S1111" s="33">
        <v>613574</v>
      </c>
      <c r="T1111" s="33" t="s">
        <v>1488</v>
      </c>
      <c r="U1111" s="34">
        <v>21.300840000000001</v>
      </c>
      <c r="V1111" s="7"/>
      <c r="W1111" s="7" t="str">
        <f>VLOOKUP($Q1111,Mapping!$E$11:$I$96,3,0)</f>
        <v>Quoted Opex</v>
      </c>
      <c r="X1111" s="7" t="str">
        <f>VLOOKUP($S1111,Mapping!$E$140:$K$2771,5,0)</f>
        <v>Labour</v>
      </c>
      <c r="Y1111" s="7" t="str">
        <f>VLOOKUP($S1111,Mapping!$E$140:$K$2771,7,0)</f>
        <v>ENDirect</v>
      </c>
      <c r="Z1111" s="7" t="str">
        <f>IFERROR(HLOOKUP(X1111,'Calc|Weightings'!$K$5:$M$5,1,0),"Excl")</f>
        <v>Labour</v>
      </c>
      <c r="AA1111" s="7" t="str">
        <f>VLOOKUP(Q1111,Mapping!$E$11:$I$96,5,0)</f>
        <v>Ancillary Network Services</v>
      </c>
      <c r="AC1111" s="111">
        <v>146</v>
      </c>
      <c r="AD1111" s="111" t="s">
        <v>2156</v>
      </c>
      <c r="AE1111" s="111">
        <v>613576</v>
      </c>
      <c r="AF1111" s="111" t="s">
        <v>1490</v>
      </c>
      <c r="AG1111" s="112">
        <v>1.1046400000000001</v>
      </c>
      <c r="AI1111" s="7" t="str">
        <f>VLOOKUP($AC1111,Mapping!$E$11:$I$96,3,0)</f>
        <v>Quoted Opex</v>
      </c>
      <c r="AJ1111" s="7" t="str">
        <f>VLOOKUP($AE1111,Mapping!$E$140:$K$2771,5,0)</f>
        <v>Labour</v>
      </c>
      <c r="AK1111" s="7" t="str">
        <f>VLOOKUP($AE1111,Mapping!$E$140:$K$2771,7,0)</f>
        <v>ENDirect</v>
      </c>
      <c r="AL1111" s="7" t="str">
        <f>IFERROR(HLOOKUP(AJ1111,'Calc|Weightings'!$K$5:$M$5,1,0),"Excl")</f>
        <v>Labour</v>
      </c>
      <c r="AM1111" s="7" t="str">
        <f>VLOOKUP(AC1111,Mapping!$E$11:$I$96,5,0)</f>
        <v>Ancillary Network Services</v>
      </c>
      <c r="AO1111" s="134">
        <v>150</v>
      </c>
      <c r="AP1111" s="135" t="s">
        <v>2159</v>
      </c>
      <c r="AQ1111" s="135">
        <v>613630</v>
      </c>
      <c r="AR1111" s="135" t="s">
        <v>1498</v>
      </c>
      <c r="AS1111" s="136">
        <v>11.191050000000001</v>
      </c>
      <c r="AU1111" s="7" t="str">
        <f>VLOOKUP($AO1111,Mapping!$E$11:$I$96,3,0)</f>
        <v>Replacement</v>
      </c>
      <c r="AV1111" s="7" t="str">
        <f>VLOOKUP($AQ1111,Mapping!$E$140:$K$2771,5,0)</f>
        <v>Labour</v>
      </c>
      <c r="AW1111" s="7" t="str">
        <f>VLOOKUP($AQ1111,Mapping!$E$140:$K$2771,7,0)</f>
        <v>ENDirect</v>
      </c>
      <c r="AX1111" s="7" t="str">
        <f>IFERROR(HLOOKUP(AV1111,'Calc|Weightings'!$K$5:$M$5,1,0),"Excl")</f>
        <v>Labour</v>
      </c>
      <c r="AY1111" s="7" t="str">
        <f>VLOOKUP(AO1111,Mapping!$E$11:$I$96,5,0)</f>
        <v>SCS</v>
      </c>
    </row>
    <row r="1112" spans="1:51" x14ac:dyDescent="0.2">
      <c r="A1112" s="7"/>
      <c r="B1112" s="7"/>
      <c r="C1112" s="7"/>
      <c r="D1112" s="7"/>
      <c r="E1112" s="36">
        <v>143</v>
      </c>
      <c r="F1112" s="36" t="s">
        <v>2153</v>
      </c>
      <c r="G1112" s="36">
        <v>613280</v>
      </c>
      <c r="H1112" s="36" t="s">
        <v>1342</v>
      </c>
      <c r="I1112" s="37">
        <v>28.820720000000001</v>
      </c>
      <c r="J1112" s="7"/>
      <c r="K1112" s="7" t="str">
        <f>VLOOKUP($E1112,Mapping!$E$11:$I$96,3,0)</f>
        <v>Replacement</v>
      </c>
      <c r="L1112" s="7" t="str">
        <f>VLOOKUP($G1112,Mapping!$E$140:$K$2771,5,0)</f>
        <v>Labour</v>
      </c>
      <c r="M1112" s="7" t="str">
        <f>VLOOKUP($G1112,Mapping!$E$140:$K$2771,7,0)</f>
        <v>ENDirect</v>
      </c>
      <c r="N1112" s="7" t="str">
        <f>IFERROR(HLOOKUP(L1112,'Calc|Weightings'!$K$5:$M$5,1,0),"Excl")</f>
        <v>Labour</v>
      </c>
      <c r="O1112" s="7" t="str">
        <f>VLOOKUP(E1112,Mapping!$E$11:$I$96,5,0)</f>
        <v>SCS</v>
      </c>
      <c r="Q1112" s="33">
        <v>146</v>
      </c>
      <c r="R1112" s="33" t="s">
        <v>2156</v>
      </c>
      <c r="S1112" s="33">
        <v>613575</v>
      </c>
      <c r="T1112" s="33" t="s">
        <v>1489</v>
      </c>
      <c r="U1112" s="34">
        <v>5.49925</v>
      </c>
      <c r="V1112" s="7"/>
      <c r="W1112" s="7" t="str">
        <f>VLOOKUP($Q1112,Mapping!$E$11:$I$96,3,0)</f>
        <v>Quoted Opex</v>
      </c>
      <c r="X1112" s="7" t="str">
        <f>VLOOKUP($S1112,Mapping!$E$140:$K$2771,5,0)</f>
        <v>Labour</v>
      </c>
      <c r="Y1112" s="7" t="str">
        <f>VLOOKUP($S1112,Mapping!$E$140:$K$2771,7,0)</f>
        <v>ENDirect</v>
      </c>
      <c r="Z1112" s="7" t="str">
        <f>IFERROR(HLOOKUP(X1112,'Calc|Weightings'!$K$5:$M$5,1,0),"Excl")</f>
        <v>Labour</v>
      </c>
      <c r="AA1112" s="7" t="str">
        <f>VLOOKUP(Q1112,Mapping!$E$11:$I$96,5,0)</f>
        <v>Ancillary Network Services</v>
      </c>
      <c r="AC1112" s="111">
        <v>146</v>
      </c>
      <c r="AD1112" s="111" t="s">
        <v>2156</v>
      </c>
      <c r="AE1112" s="111">
        <v>613602</v>
      </c>
      <c r="AF1112" s="111" t="s">
        <v>1494</v>
      </c>
      <c r="AG1112" s="112">
        <v>1.65696</v>
      </c>
      <c r="AI1112" s="7" t="str">
        <f>VLOOKUP($AC1112,Mapping!$E$11:$I$96,3,0)</f>
        <v>Quoted Opex</v>
      </c>
      <c r="AJ1112" s="7" t="str">
        <f>VLOOKUP($AE1112,Mapping!$E$140:$K$2771,5,0)</f>
        <v>Labour</v>
      </c>
      <c r="AK1112" s="7" t="str">
        <f>VLOOKUP($AE1112,Mapping!$E$140:$K$2771,7,0)</f>
        <v>ENDirect</v>
      </c>
      <c r="AL1112" s="7" t="str">
        <f>IFERROR(HLOOKUP(AJ1112,'Calc|Weightings'!$K$5:$M$5,1,0),"Excl")</f>
        <v>Labour</v>
      </c>
      <c r="AM1112" s="7" t="str">
        <f>VLOOKUP(AC1112,Mapping!$E$11:$I$96,5,0)</f>
        <v>Ancillary Network Services</v>
      </c>
      <c r="AO1112" s="134">
        <v>150</v>
      </c>
      <c r="AP1112" s="135" t="s">
        <v>2159</v>
      </c>
      <c r="AQ1112" s="135">
        <v>613680</v>
      </c>
      <c r="AR1112" s="135" t="s">
        <v>2107</v>
      </c>
      <c r="AS1112" s="136">
        <v>15.80387</v>
      </c>
      <c r="AU1112" s="7" t="str">
        <f>VLOOKUP($AO1112,Mapping!$E$11:$I$96,3,0)</f>
        <v>Replacement</v>
      </c>
      <c r="AV1112" s="7" t="str">
        <f>VLOOKUP($AQ1112,Mapping!$E$140:$K$2771,5,0)</f>
        <v>Labour</v>
      </c>
      <c r="AW1112" s="7" t="str">
        <f>VLOOKUP($AQ1112,Mapping!$E$140:$K$2771,7,0)</f>
        <v>ENDirect</v>
      </c>
      <c r="AX1112" s="7" t="str">
        <f>IFERROR(HLOOKUP(AV1112,'Calc|Weightings'!$K$5:$M$5,1,0),"Excl")</f>
        <v>Labour</v>
      </c>
      <c r="AY1112" s="7" t="str">
        <f>VLOOKUP(AO1112,Mapping!$E$11:$I$96,5,0)</f>
        <v>SCS</v>
      </c>
    </row>
    <row r="1113" spans="1:51" x14ac:dyDescent="0.2">
      <c r="A1113" s="7"/>
      <c r="B1113" s="7"/>
      <c r="C1113" s="7"/>
      <c r="D1113" s="7"/>
      <c r="E1113" s="36">
        <v>143</v>
      </c>
      <c r="F1113" s="36" t="s">
        <v>2153</v>
      </c>
      <c r="G1113" s="36">
        <v>613281</v>
      </c>
      <c r="H1113" s="36" t="s">
        <v>1343</v>
      </c>
      <c r="I1113" s="37">
        <v>1.1319999999999999</v>
      </c>
      <c r="J1113" s="7"/>
      <c r="K1113" s="7" t="str">
        <f>VLOOKUP($E1113,Mapping!$E$11:$I$96,3,0)</f>
        <v>Replacement</v>
      </c>
      <c r="L1113" s="7" t="str">
        <f>VLOOKUP($G1113,Mapping!$E$140:$K$2771,5,0)</f>
        <v>Labour</v>
      </c>
      <c r="M1113" s="7" t="str">
        <f>VLOOKUP($G1113,Mapping!$E$140:$K$2771,7,0)</f>
        <v>ENDirect</v>
      </c>
      <c r="N1113" s="7" t="str">
        <f>IFERROR(HLOOKUP(L1113,'Calc|Weightings'!$K$5:$M$5,1,0),"Excl")</f>
        <v>Labour</v>
      </c>
      <c r="O1113" s="7" t="str">
        <f>VLOOKUP(E1113,Mapping!$E$11:$I$96,5,0)</f>
        <v>SCS</v>
      </c>
      <c r="Q1113" s="33">
        <v>146</v>
      </c>
      <c r="R1113" s="33" t="s">
        <v>2156</v>
      </c>
      <c r="S1113" s="33">
        <v>613577</v>
      </c>
      <c r="T1113" s="33" t="s">
        <v>1491</v>
      </c>
      <c r="U1113" s="34">
        <v>1.8228</v>
      </c>
      <c r="V1113" s="7"/>
      <c r="W1113" s="7" t="str">
        <f>VLOOKUP($Q1113,Mapping!$E$11:$I$96,3,0)</f>
        <v>Quoted Opex</v>
      </c>
      <c r="X1113" s="7" t="str">
        <f>VLOOKUP($S1113,Mapping!$E$140:$K$2771,5,0)</f>
        <v>Labour</v>
      </c>
      <c r="Y1113" s="7" t="str">
        <f>VLOOKUP($S1113,Mapping!$E$140:$K$2771,7,0)</f>
        <v>ENDirect</v>
      </c>
      <c r="Z1113" s="7" t="str">
        <f>IFERROR(HLOOKUP(X1113,'Calc|Weightings'!$K$5:$M$5,1,0),"Excl")</f>
        <v>Labour</v>
      </c>
      <c r="AA1113" s="7" t="str">
        <f>VLOOKUP(Q1113,Mapping!$E$11:$I$96,5,0)</f>
        <v>Ancillary Network Services</v>
      </c>
      <c r="AC1113" s="111">
        <v>146</v>
      </c>
      <c r="AD1113" s="111" t="s">
        <v>2156</v>
      </c>
      <c r="AE1113" s="111">
        <v>613630</v>
      </c>
      <c r="AF1113" s="111" t="s">
        <v>1498</v>
      </c>
      <c r="AG1113" s="112">
        <v>0.33039000000000002</v>
      </c>
      <c r="AI1113" s="7" t="str">
        <f>VLOOKUP($AC1113,Mapping!$E$11:$I$96,3,0)</f>
        <v>Quoted Opex</v>
      </c>
      <c r="AJ1113" s="7" t="str">
        <f>VLOOKUP($AE1113,Mapping!$E$140:$K$2771,5,0)</f>
        <v>Labour</v>
      </c>
      <c r="AK1113" s="7" t="str">
        <f>VLOOKUP($AE1113,Mapping!$E$140:$K$2771,7,0)</f>
        <v>ENDirect</v>
      </c>
      <c r="AL1113" s="7" t="str">
        <f>IFERROR(HLOOKUP(AJ1113,'Calc|Weightings'!$K$5:$M$5,1,0),"Excl")</f>
        <v>Labour</v>
      </c>
      <c r="AM1113" s="7" t="str">
        <f>VLOOKUP(AC1113,Mapping!$E$11:$I$96,5,0)</f>
        <v>Ancillary Network Services</v>
      </c>
      <c r="AO1113" s="134">
        <v>150</v>
      </c>
      <c r="AP1113" s="135" t="s">
        <v>2159</v>
      </c>
      <c r="AQ1113" s="135">
        <v>634001</v>
      </c>
      <c r="AR1113" s="135" t="s">
        <v>2110</v>
      </c>
      <c r="AS1113" s="136">
        <v>99.712040000000002</v>
      </c>
      <c r="AU1113" s="7" t="str">
        <f>VLOOKUP($AO1113,Mapping!$E$11:$I$96,3,0)</f>
        <v>Replacement</v>
      </c>
      <c r="AV1113" s="7" t="str">
        <f>VLOOKUP($AQ1113,Mapping!$E$140:$K$2771,5,0)</f>
        <v>Local OH</v>
      </c>
      <c r="AW1113" s="7" t="str">
        <f>VLOOKUP($AQ1113,Mapping!$E$140:$K$2771,7,0)</f>
        <v>OH</v>
      </c>
      <c r="AX1113" s="7" t="str">
        <f>IFERROR(HLOOKUP(AV1113,'Calc|Weightings'!$K$5:$M$5,1,0),"Excl")</f>
        <v>Excl</v>
      </c>
      <c r="AY1113" s="7" t="str">
        <f>VLOOKUP(AO1113,Mapping!$E$11:$I$96,5,0)</f>
        <v>SCS</v>
      </c>
    </row>
    <row r="1114" spans="1:51" x14ac:dyDescent="0.2">
      <c r="A1114" s="7"/>
      <c r="B1114" s="7"/>
      <c r="C1114" s="7"/>
      <c r="D1114" s="7"/>
      <c r="E1114" s="36">
        <v>143</v>
      </c>
      <c r="F1114" s="36" t="s">
        <v>2153</v>
      </c>
      <c r="G1114" s="36">
        <v>613290</v>
      </c>
      <c r="H1114" s="36" t="s">
        <v>2093</v>
      </c>
      <c r="I1114" s="37">
        <v>42.42915</v>
      </c>
      <c r="J1114" s="7"/>
      <c r="K1114" s="7" t="str">
        <f>VLOOKUP($E1114,Mapping!$E$11:$I$96,3,0)</f>
        <v>Replacement</v>
      </c>
      <c r="L1114" s="7" t="str">
        <f>VLOOKUP($G1114,Mapping!$E$140:$K$2771,5,0)</f>
        <v>Labour</v>
      </c>
      <c r="M1114" s="7" t="str">
        <f>VLOOKUP($G1114,Mapping!$E$140:$K$2771,7,0)</f>
        <v>ENDirect</v>
      </c>
      <c r="N1114" s="7" t="str">
        <f>IFERROR(HLOOKUP(L1114,'Calc|Weightings'!$K$5:$M$5,1,0),"Excl")</f>
        <v>Labour</v>
      </c>
      <c r="O1114" s="7" t="str">
        <f>VLOOKUP(E1114,Mapping!$E$11:$I$96,5,0)</f>
        <v>SCS</v>
      </c>
      <c r="Q1114" s="33">
        <v>146</v>
      </c>
      <c r="R1114" s="33" t="s">
        <v>2156</v>
      </c>
      <c r="S1114" s="33">
        <v>613680</v>
      </c>
      <c r="T1114" s="33" t="s">
        <v>2107</v>
      </c>
      <c r="U1114" s="34">
        <v>1.46034</v>
      </c>
      <c r="V1114" s="7"/>
      <c r="W1114" s="7" t="str">
        <f>VLOOKUP($Q1114,Mapping!$E$11:$I$96,3,0)</f>
        <v>Quoted Opex</v>
      </c>
      <c r="X1114" s="7" t="str">
        <f>VLOOKUP($S1114,Mapping!$E$140:$K$2771,5,0)</f>
        <v>Labour</v>
      </c>
      <c r="Y1114" s="7" t="str">
        <f>VLOOKUP($S1114,Mapping!$E$140:$K$2771,7,0)</f>
        <v>ENDirect</v>
      </c>
      <c r="Z1114" s="7" t="str">
        <f>IFERROR(HLOOKUP(X1114,'Calc|Weightings'!$K$5:$M$5,1,0),"Excl")</f>
        <v>Labour</v>
      </c>
      <c r="AA1114" s="7" t="str">
        <f>VLOOKUP(Q1114,Mapping!$E$11:$I$96,5,0)</f>
        <v>Ancillary Network Services</v>
      </c>
      <c r="AC1114" s="111">
        <v>146</v>
      </c>
      <c r="AD1114" s="111" t="s">
        <v>2156</v>
      </c>
      <c r="AE1114" s="111">
        <v>613680</v>
      </c>
      <c r="AF1114" s="111" t="s">
        <v>2107</v>
      </c>
      <c r="AG1114" s="112">
        <v>1.4177299999999999</v>
      </c>
      <c r="AI1114" s="7" t="str">
        <f>VLOOKUP($AC1114,Mapping!$E$11:$I$96,3,0)</f>
        <v>Quoted Opex</v>
      </c>
      <c r="AJ1114" s="7" t="str">
        <f>VLOOKUP($AE1114,Mapping!$E$140:$K$2771,5,0)</f>
        <v>Labour</v>
      </c>
      <c r="AK1114" s="7" t="str">
        <f>VLOOKUP($AE1114,Mapping!$E$140:$K$2771,7,0)</f>
        <v>ENDirect</v>
      </c>
      <c r="AL1114" s="7" t="str">
        <f>IFERROR(HLOOKUP(AJ1114,'Calc|Weightings'!$K$5:$M$5,1,0),"Excl")</f>
        <v>Labour</v>
      </c>
      <c r="AM1114" s="7" t="str">
        <f>VLOOKUP(AC1114,Mapping!$E$11:$I$96,5,0)</f>
        <v>Ancillary Network Services</v>
      </c>
      <c r="AO1114" s="134">
        <v>150</v>
      </c>
      <c r="AP1114" s="135" t="s">
        <v>2159</v>
      </c>
      <c r="AQ1114" s="135">
        <v>635001</v>
      </c>
      <c r="AR1114" s="135" t="s">
        <v>1929</v>
      </c>
      <c r="AS1114" s="136">
        <v>71.86054</v>
      </c>
      <c r="AU1114" s="7" t="str">
        <f>VLOOKUP($AO1114,Mapping!$E$11:$I$96,3,0)</f>
        <v>Replacement</v>
      </c>
      <c r="AV1114" s="7" t="str">
        <f>VLOOKUP($AQ1114,Mapping!$E$140:$K$2771,5,0)</f>
        <v>PNS MG</v>
      </c>
      <c r="AW1114" s="7" t="str">
        <f>VLOOKUP($AQ1114,Mapping!$E$140:$K$2771,7,0)</f>
        <v>ENDirect</v>
      </c>
      <c r="AX1114" s="7" t="str">
        <f>IFERROR(HLOOKUP(AV1114,'Calc|Weightings'!$K$5:$M$5,1,0),"Excl")</f>
        <v>Excl</v>
      </c>
      <c r="AY1114" s="7" t="str">
        <f>VLOOKUP(AO1114,Mapping!$E$11:$I$96,5,0)</f>
        <v>SCS</v>
      </c>
    </row>
    <row r="1115" spans="1:51" x14ac:dyDescent="0.2">
      <c r="A1115" s="7"/>
      <c r="B1115" s="7"/>
      <c r="C1115" s="7"/>
      <c r="D1115" s="7"/>
      <c r="E1115" s="36">
        <v>143</v>
      </c>
      <c r="F1115" s="36" t="s">
        <v>2153</v>
      </c>
      <c r="G1115" s="36">
        <v>613291</v>
      </c>
      <c r="H1115" s="36" t="s">
        <v>2094</v>
      </c>
      <c r="I1115" s="37">
        <v>0.23347999999999999</v>
      </c>
      <c r="J1115" s="7"/>
      <c r="K1115" s="7" t="str">
        <f>VLOOKUP($E1115,Mapping!$E$11:$I$96,3,0)</f>
        <v>Replacement</v>
      </c>
      <c r="L1115" s="7" t="str">
        <f>VLOOKUP($G1115,Mapping!$E$140:$K$2771,5,0)</f>
        <v>Labour</v>
      </c>
      <c r="M1115" s="7" t="str">
        <f>VLOOKUP($G1115,Mapping!$E$140:$K$2771,7,0)</f>
        <v>ENDirect</v>
      </c>
      <c r="N1115" s="7" t="str">
        <f>IFERROR(HLOOKUP(L1115,'Calc|Weightings'!$K$5:$M$5,1,0),"Excl")</f>
        <v>Labour</v>
      </c>
      <c r="O1115" s="7" t="str">
        <f>VLOOKUP(E1115,Mapping!$E$11:$I$96,5,0)</f>
        <v>SCS</v>
      </c>
      <c r="Q1115" s="33">
        <v>146</v>
      </c>
      <c r="R1115" s="33" t="s">
        <v>2156</v>
      </c>
      <c r="S1115" s="33">
        <v>613962</v>
      </c>
      <c r="T1115" s="33" t="s">
        <v>1648</v>
      </c>
      <c r="U1115" s="34">
        <v>0.22345999999999999</v>
      </c>
      <c r="V1115" s="7"/>
      <c r="W1115" s="7" t="str">
        <f>VLOOKUP($Q1115,Mapping!$E$11:$I$96,3,0)</f>
        <v>Quoted Opex</v>
      </c>
      <c r="X1115" s="7" t="str">
        <f>VLOOKUP($S1115,Mapping!$E$140:$K$2771,5,0)</f>
        <v>Contracts</v>
      </c>
      <c r="Y1115" s="7" t="str">
        <f>VLOOKUP($S1115,Mapping!$E$140:$K$2771,7,0)</f>
        <v>ENDirect</v>
      </c>
      <c r="Z1115" s="7" t="str">
        <f>IFERROR(HLOOKUP(X1115,'Calc|Weightings'!$K$5:$M$5,1,0),"Excl")</f>
        <v>Contracts</v>
      </c>
      <c r="AA1115" s="7" t="str">
        <f>VLOOKUP(Q1115,Mapping!$E$11:$I$96,5,0)</f>
        <v>Ancillary Network Services</v>
      </c>
      <c r="AC1115" s="111">
        <v>146</v>
      </c>
      <c r="AD1115" s="111" t="s">
        <v>2156</v>
      </c>
      <c r="AE1115" s="111">
        <v>634001</v>
      </c>
      <c r="AF1115" s="111" t="s">
        <v>2110</v>
      </c>
      <c r="AG1115" s="112">
        <v>99.014309999999995</v>
      </c>
      <c r="AI1115" s="7" t="str">
        <f>VLOOKUP($AC1115,Mapping!$E$11:$I$96,3,0)</f>
        <v>Quoted Opex</v>
      </c>
      <c r="AJ1115" s="7" t="str">
        <f>VLOOKUP($AE1115,Mapping!$E$140:$K$2771,5,0)</f>
        <v>Local OH</v>
      </c>
      <c r="AK1115" s="7" t="str">
        <f>VLOOKUP($AE1115,Mapping!$E$140:$K$2771,7,0)</f>
        <v>OH</v>
      </c>
      <c r="AL1115" s="7" t="str">
        <f>IFERROR(HLOOKUP(AJ1115,'Calc|Weightings'!$K$5:$M$5,1,0),"Excl")</f>
        <v>Excl</v>
      </c>
      <c r="AM1115" s="7" t="str">
        <f>VLOOKUP(AC1115,Mapping!$E$11:$I$96,5,0)</f>
        <v>Ancillary Network Services</v>
      </c>
      <c r="AO1115" s="134">
        <v>150</v>
      </c>
      <c r="AP1115" s="135" t="s">
        <v>2159</v>
      </c>
      <c r="AQ1115" s="135">
        <v>636001</v>
      </c>
      <c r="AR1115" s="135" t="s">
        <v>2111</v>
      </c>
      <c r="AS1115" s="136">
        <v>68.68965</v>
      </c>
      <c r="AU1115" s="7" t="str">
        <f>VLOOKUP($AO1115,Mapping!$E$11:$I$96,3,0)</f>
        <v>Replacement</v>
      </c>
      <c r="AV1115" s="7" t="str">
        <f>VLOOKUP($AQ1115,Mapping!$E$140:$K$2771,5,0)</f>
        <v>System Control OH</v>
      </c>
      <c r="AW1115" s="7" t="str">
        <f>VLOOKUP($AQ1115,Mapping!$E$140:$K$2771,7,0)</f>
        <v>OH</v>
      </c>
      <c r="AX1115" s="7" t="str">
        <f>IFERROR(HLOOKUP(AV1115,'Calc|Weightings'!$K$5:$M$5,1,0),"Excl")</f>
        <v>Excl</v>
      </c>
      <c r="AY1115" s="7" t="str">
        <f>VLOOKUP(AO1115,Mapping!$E$11:$I$96,5,0)</f>
        <v>SCS</v>
      </c>
    </row>
    <row r="1116" spans="1:51" x14ac:dyDescent="0.2">
      <c r="A1116" s="7"/>
      <c r="B1116" s="7"/>
      <c r="C1116" s="7"/>
      <c r="D1116" s="7"/>
      <c r="E1116" s="36">
        <v>143</v>
      </c>
      <c r="F1116" s="36" t="s">
        <v>2153</v>
      </c>
      <c r="G1116" s="36">
        <v>613298</v>
      </c>
      <c r="H1116" s="36" t="s">
        <v>2122</v>
      </c>
      <c r="I1116" s="37">
        <v>4.9030800000000001</v>
      </c>
      <c r="J1116" s="7"/>
      <c r="K1116" s="7" t="str">
        <f>VLOOKUP($E1116,Mapping!$E$11:$I$96,3,0)</f>
        <v>Replacement</v>
      </c>
      <c r="L1116" s="7" t="str">
        <f>VLOOKUP($G1116,Mapping!$E$140:$K$2771,5,0)</f>
        <v>Labour</v>
      </c>
      <c r="M1116" s="7" t="str">
        <f>VLOOKUP($G1116,Mapping!$E$140:$K$2771,7,0)</f>
        <v>ENDirect</v>
      </c>
      <c r="N1116" s="7" t="str">
        <f>IFERROR(HLOOKUP(L1116,'Calc|Weightings'!$K$5:$M$5,1,0),"Excl")</f>
        <v>Labour</v>
      </c>
      <c r="O1116" s="7" t="str">
        <f>VLOOKUP(E1116,Mapping!$E$11:$I$96,5,0)</f>
        <v>SCS</v>
      </c>
      <c r="Q1116" s="33">
        <v>146</v>
      </c>
      <c r="R1116" s="33" t="s">
        <v>2156</v>
      </c>
      <c r="S1116" s="33">
        <v>634001</v>
      </c>
      <c r="T1116" s="33" t="s">
        <v>2110</v>
      </c>
      <c r="U1116" s="34">
        <v>26.442589999999999</v>
      </c>
      <c r="V1116" s="7"/>
      <c r="W1116" s="7" t="str">
        <f>VLOOKUP($Q1116,Mapping!$E$11:$I$96,3,0)</f>
        <v>Quoted Opex</v>
      </c>
      <c r="X1116" s="7" t="str">
        <f>VLOOKUP($S1116,Mapping!$E$140:$K$2771,5,0)</f>
        <v>Local OH</v>
      </c>
      <c r="Y1116" s="7" t="str">
        <f>VLOOKUP($S1116,Mapping!$E$140:$K$2771,7,0)</f>
        <v>OH</v>
      </c>
      <c r="Z1116" s="7" t="str">
        <f>IFERROR(HLOOKUP(X1116,'Calc|Weightings'!$K$5:$M$5,1,0),"Excl")</f>
        <v>Excl</v>
      </c>
      <c r="AA1116" s="7" t="str">
        <f>VLOOKUP(Q1116,Mapping!$E$11:$I$96,5,0)</f>
        <v>Ancillary Network Services</v>
      </c>
      <c r="AC1116" s="111">
        <v>146</v>
      </c>
      <c r="AD1116" s="111" t="s">
        <v>2156</v>
      </c>
      <c r="AE1116" s="111">
        <v>635001</v>
      </c>
      <c r="AF1116" s="111" t="s">
        <v>1929</v>
      </c>
      <c r="AG1116" s="112">
        <v>54.613419999999998</v>
      </c>
      <c r="AI1116" s="7" t="str">
        <f>VLOOKUP($AC1116,Mapping!$E$11:$I$96,3,0)</f>
        <v>Quoted Opex</v>
      </c>
      <c r="AJ1116" s="7" t="str">
        <f>VLOOKUP($AE1116,Mapping!$E$140:$K$2771,5,0)</f>
        <v>PNS MG</v>
      </c>
      <c r="AK1116" s="7" t="str">
        <f>VLOOKUP($AE1116,Mapping!$E$140:$K$2771,7,0)</f>
        <v>ENDirect</v>
      </c>
      <c r="AL1116" s="7" t="str">
        <f>IFERROR(HLOOKUP(AJ1116,'Calc|Weightings'!$K$5:$M$5,1,0),"Excl")</f>
        <v>Excl</v>
      </c>
      <c r="AM1116" s="7" t="str">
        <f>VLOOKUP(AC1116,Mapping!$E$11:$I$96,5,0)</f>
        <v>Ancillary Network Services</v>
      </c>
      <c r="AO1116" s="134">
        <v>150</v>
      </c>
      <c r="AP1116" s="135" t="s">
        <v>2159</v>
      </c>
      <c r="AQ1116" s="135">
        <v>639000</v>
      </c>
      <c r="AR1116" s="135" t="s">
        <v>2112</v>
      </c>
      <c r="AS1116" s="136">
        <v>59.260350000000003</v>
      </c>
      <c r="AU1116" s="7" t="str">
        <f>VLOOKUP($AO1116,Mapping!$E$11:$I$96,3,0)</f>
        <v>Replacement</v>
      </c>
      <c r="AV1116" s="7" t="str">
        <f>VLOOKUP($AQ1116,Mapping!$E$140:$K$2771,5,0)</f>
        <v>PNS Corporate OH</v>
      </c>
      <c r="AW1116" s="7" t="str">
        <f>VLOOKUP($AQ1116,Mapping!$E$140:$K$2771,7,0)</f>
        <v>OH</v>
      </c>
      <c r="AX1116" s="7" t="str">
        <f>IFERROR(HLOOKUP(AV1116,'Calc|Weightings'!$K$5:$M$5,1,0),"Excl")</f>
        <v>Excl</v>
      </c>
      <c r="AY1116" s="7" t="str">
        <f>VLOOKUP(AO1116,Mapping!$E$11:$I$96,5,0)</f>
        <v>SCS</v>
      </c>
    </row>
    <row r="1117" spans="1:51" x14ac:dyDescent="0.2">
      <c r="A1117" s="7"/>
      <c r="B1117" s="7"/>
      <c r="C1117" s="7"/>
      <c r="D1117" s="7"/>
      <c r="E1117" s="36">
        <v>143</v>
      </c>
      <c r="F1117" s="36" t="s">
        <v>2153</v>
      </c>
      <c r="G1117" s="36">
        <v>613310</v>
      </c>
      <c r="H1117" s="36" t="s">
        <v>2095</v>
      </c>
      <c r="I1117" s="37">
        <v>60.122219999999999</v>
      </c>
      <c r="J1117" s="7"/>
      <c r="K1117" s="7" t="str">
        <f>VLOOKUP($E1117,Mapping!$E$11:$I$96,3,0)</f>
        <v>Replacement</v>
      </c>
      <c r="L1117" s="7" t="str">
        <f>VLOOKUP($G1117,Mapping!$E$140:$K$2771,5,0)</f>
        <v>Labour</v>
      </c>
      <c r="M1117" s="7" t="str">
        <f>VLOOKUP($G1117,Mapping!$E$140:$K$2771,7,0)</f>
        <v>ENDirect</v>
      </c>
      <c r="N1117" s="7" t="str">
        <f>IFERROR(HLOOKUP(L1117,'Calc|Weightings'!$K$5:$M$5,1,0),"Excl")</f>
        <v>Labour</v>
      </c>
      <c r="O1117" s="7" t="str">
        <f>VLOOKUP(E1117,Mapping!$E$11:$I$96,5,0)</f>
        <v>SCS</v>
      </c>
      <c r="Q1117" s="33">
        <v>146</v>
      </c>
      <c r="R1117" s="33" t="s">
        <v>2156</v>
      </c>
      <c r="S1117" s="33">
        <v>635001</v>
      </c>
      <c r="T1117" s="33" t="s">
        <v>1929</v>
      </c>
      <c r="U1117" s="34">
        <v>17.115639999999999</v>
      </c>
      <c r="V1117" s="7"/>
      <c r="W1117" s="7" t="str">
        <f>VLOOKUP($Q1117,Mapping!$E$11:$I$96,3,0)</f>
        <v>Quoted Opex</v>
      </c>
      <c r="X1117" s="7" t="str">
        <f>VLOOKUP($S1117,Mapping!$E$140:$K$2771,5,0)</f>
        <v>PNS MG</v>
      </c>
      <c r="Y1117" s="7" t="str">
        <f>VLOOKUP($S1117,Mapping!$E$140:$K$2771,7,0)</f>
        <v>ENDirect</v>
      </c>
      <c r="Z1117" s="7" t="str">
        <f>IFERROR(HLOOKUP(X1117,'Calc|Weightings'!$K$5:$M$5,1,0),"Excl")</f>
        <v>Excl</v>
      </c>
      <c r="AA1117" s="7" t="str">
        <f>VLOOKUP(Q1117,Mapping!$E$11:$I$96,5,0)</f>
        <v>Ancillary Network Services</v>
      </c>
      <c r="AC1117" s="111">
        <v>146</v>
      </c>
      <c r="AD1117" s="111" t="s">
        <v>2156</v>
      </c>
      <c r="AE1117" s="111">
        <v>636001</v>
      </c>
      <c r="AF1117" s="111" t="s">
        <v>2111</v>
      </c>
      <c r="AG1117" s="112">
        <v>35.781329999999997</v>
      </c>
      <c r="AI1117" s="7" t="str">
        <f>VLOOKUP($AC1117,Mapping!$E$11:$I$96,3,0)</f>
        <v>Quoted Opex</v>
      </c>
      <c r="AJ1117" s="7" t="str">
        <f>VLOOKUP($AE1117,Mapping!$E$140:$K$2771,5,0)</f>
        <v>System Control OH</v>
      </c>
      <c r="AK1117" s="7" t="str">
        <f>VLOOKUP($AE1117,Mapping!$E$140:$K$2771,7,0)</f>
        <v>OH</v>
      </c>
      <c r="AL1117" s="7" t="str">
        <f>IFERROR(HLOOKUP(AJ1117,'Calc|Weightings'!$K$5:$M$5,1,0),"Excl")</f>
        <v>Excl</v>
      </c>
      <c r="AM1117" s="7" t="str">
        <f>VLOOKUP(AC1117,Mapping!$E$11:$I$96,5,0)</f>
        <v>Ancillary Network Services</v>
      </c>
      <c r="AO1117" s="134">
        <v>150</v>
      </c>
      <c r="AP1117" s="135" t="s">
        <v>2159</v>
      </c>
      <c r="AQ1117" s="135">
        <v>639050</v>
      </c>
      <c r="AR1117" s="135" t="s">
        <v>2113</v>
      </c>
      <c r="AS1117" s="136">
        <v>18.282630000000001</v>
      </c>
      <c r="AU1117" s="7" t="str">
        <f>VLOOKUP($AO1117,Mapping!$E$11:$I$96,3,0)</f>
        <v>Replacement</v>
      </c>
      <c r="AV1117" s="7" t="str">
        <f>VLOOKUP($AQ1117,Mapping!$E$140:$K$2771,5,0)</f>
        <v>PNS Fleet &amp; Property OH</v>
      </c>
      <c r="AW1117" s="7" t="str">
        <f>VLOOKUP($AQ1117,Mapping!$E$140:$K$2771,7,0)</f>
        <v>OH</v>
      </c>
      <c r="AX1117" s="7" t="str">
        <f>IFERROR(HLOOKUP(AV1117,'Calc|Weightings'!$K$5:$M$5,1,0),"Excl")</f>
        <v>Excl</v>
      </c>
      <c r="AY1117" s="7" t="str">
        <f>VLOOKUP(AO1117,Mapping!$E$11:$I$96,5,0)</f>
        <v>SCS</v>
      </c>
    </row>
    <row r="1118" spans="1:51" x14ac:dyDescent="0.2">
      <c r="A1118" s="7"/>
      <c r="B1118" s="7"/>
      <c r="C1118" s="7"/>
      <c r="D1118" s="7"/>
      <c r="E1118" s="36">
        <v>143</v>
      </c>
      <c r="F1118" s="36" t="s">
        <v>2153</v>
      </c>
      <c r="G1118" s="36">
        <v>613311</v>
      </c>
      <c r="H1118" s="36" t="s">
        <v>2116</v>
      </c>
      <c r="I1118" s="37">
        <v>7.9024999999999999</v>
      </c>
      <c r="J1118" s="7"/>
      <c r="K1118" s="7" t="str">
        <f>VLOOKUP($E1118,Mapping!$E$11:$I$96,3,0)</f>
        <v>Replacement</v>
      </c>
      <c r="L1118" s="7" t="str">
        <f>VLOOKUP($G1118,Mapping!$E$140:$K$2771,5,0)</f>
        <v>Labour</v>
      </c>
      <c r="M1118" s="7" t="str">
        <f>VLOOKUP($G1118,Mapping!$E$140:$K$2771,7,0)</f>
        <v>ENDirect</v>
      </c>
      <c r="N1118" s="7" t="str">
        <f>IFERROR(HLOOKUP(L1118,'Calc|Weightings'!$K$5:$M$5,1,0),"Excl")</f>
        <v>Labour</v>
      </c>
      <c r="O1118" s="7" t="str">
        <f>VLOOKUP(E1118,Mapping!$E$11:$I$96,5,0)</f>
        <v>SCS</v>
      </c>
      <c r="Q1118" s="33">
        <v>146</v>
      </c>
      <c r="R1118" s="33" t="s">
        <v>2156</v>
      </c>
      <c r="S1118" s="33">
        <v>636001</v>
      </c>
      <c r="T1118" s="33" t="s">
        <v>2111</v>
      </c>
      <c r="U1118" s="34">
        <v>7.5119400000000001</v>
      </c>
      <c r="V1118" s="7"/>
      <c r="W1118" s="7" t="str">
        <f>VLOOKUP($Q1118,Mapping!$E$11:$I$96,3,0)</f>
        <v>Quoted Opex</v>
      </c>
      <c r="X1118" s="7" t="str">
        <f>VLOOKUP($S1118,Mapping!$E$140:$K$2771,5,0)</f>
        <v>System Control OH</v>
      </c>
      <c r="Y1118" s="7" t="str">
        <f>VLOOKUP($S1118,Mapping!$E$140:$K$2771,7,0)</f>
        <v>OH</v>
      </c>
      <c r="Z1118" s="7" t="str">
        <f>IFERROR(HLOOKUP(X1118,'Calc|Weightings'!$K$5:$M$5,1,0),"Excl")</f>
        <v>Excl</v>
      </c>
      <c r="AA1118" s="7" t="str">
        <f>VLOOKUP(Q1118,Mapping!$E$11:$I$96,5,0)</f>
        <v>Ancillary Network Services</v>
      </c>
      <c r="AC1118" s="111">
        <v>146</v>
      </c>
      <c r="AD1118" s="111" t="s">
        <v>2156</v>
      </c>
      <c r="AE1118" s="111">
        <v>639000</v>
      </c>
      <c r="AF1118" s="111" t="s">
        <v>2112</v>
      </c>
      <c r="AG1118" s="112">
        <v>67.216279999999998</v>
      </c>
      <c r="AI1118" s="7" t="str">
        <f>VLOOKUP($AC1118,Mapping!$E$11:$I$96,3,0)</f>
        <v>Quoted Opex</v>
      </c>
      <c r="AJ1118" s="7" t="str">
        <f>VLOOKUP($AE1118,Mapping!$E$140:$K$2771,5,0)</f>
        <v>PNS Corporate OH</v>
      </c>
      <c r="AK1118" s="7" t="str">
        <f>VLOOKUP($AE1118,Mapping!$E$140:$K$2771,7,0)</f>
        <v>OH</v>
      </c>
      <c r="AL1118" s="7" t="str">
        <f>IFERROR(HLOOKUP(AJ1118,'Calc|Weightings'!$K$5:$M$5,1,0),"Excl")</f>
        <v>Excl</v>
      </c>
      <c r="AM1118" s="7" t="str">
        <f>VLOOKUP(AC1118,Mapping!$E$11:$I$96,5,0)</f>
        <v>Ancillary Network Services</v>
      </c>
      <c r="AO1118" s="134">
        <v>151</v>
      </c>
      <c r="AP1118" s="135" t="s">
        <v>2160</v>
      </c>
      <c r="AQ1118" s="135">
        <v>520100</v>
      </c>
      <c r="AR1118" s="135" t="s">
        <v>2072</v>
      </c>
      <c r="AS1118" s="136">
        <v>23.54655</v>
      </c>
      <c r="AU1118" s="7" t="str">
        <f>VLOOKUP($AO1118,Mapping!$E$11:$I$96,3,0)</f>
        <v>Metering Capex</v>
      </c>
      <c r="AV1118" s="7" t="str">
        <f>VLOOKUP($AQ1118,Mapping!$E$140:$K$2771,5,0)</f>
        <v>Materials</v>
      </c>
      <c r="AW1118" s="7" t="str">
        <f>VLOOKUP($AQ1118,Mapping!$E$140:$K$2771,7,0)</f>
        <v>ENDirect</v>
      </c>
      <c r="AX1118" s="7" t="str">
        <f>IFERROR(HLOOKUP(AV1118,'Calc|Weightings'!$K$5:$M$5,1,0),"Excl")</f>
        <v>Materials</v>
      </c>
      <c r="AY1118" s="7" t="str">
        <f>VLOOKUP(AO1118,Mapping!$E$11:$I$96,5,0)</f>
        <v>Metering Services</v>
      </c>
    </row>
    <row r="1119" spans="1:51" x14ac:dyDescent="0.2">
      <c r="A1119" s="7"/>
      <c r="B1119" s="7"/>
      <c r="C1119" s="7"/>
      <c r="D1119" s="7"/>
      <c r="E1119" s="36">
        <v>143</v>
      </c>
      <c r="F1119" s="36" t="s">
        <v>2153</v>
      </c>
      <c r="G1119" s="36">
        <v>613318</v>
      </c>
      <c r="H1119" s="36" t="s">
        <v>1360</v>
      </c>
      <c r="I1119" s="37">
        <v>112.658</v>
      </c>
      <c r="J1119" s="7"/>
      <c r="K1119" s="7" t="str">
        <f>VLOOKUP($E1119,Mapping!$E$11:$I$96,3,0)</f>
        <v>Replacement</v>
      </c>
      <c r="L1119" s="7" t="str">
        <f>VLOOKUP($G1119,Mapping!$E$140:$K$2771,5,0)</f>
        <v>Labour</v>
      </c>
      <c r="M1119" s="7" t="str">
        <f>VLOOKUP($G1119,Mapping!$E$140:$K$2771,7,0)</f>
        <v>ENDirect</v>
      </c>
      <c r="N1119" s="7" t="str">
        <f>IFERROR(HLOOKUP(L1119,'Calc|Weightings'!$K$5:$M$5,1,0),"Excl")</f>
        <v>Labour</v>
      </c>
      <c r="O1119" s="7" t="str">
        <f>VLOOKUP(E1119,Mapping!$E$11:$I$96,5,0)</f>
        <v>SCS</v>
      </c>
      <c r="Q1119" s="33">
        <v>146</v>
      </c>
      <c r="R1119" s="33" t="s">
        <v>2156</v>
      </c>
      <c r="S1119" s="33">
        <v>639000</v>
      </c>
      <c r="T1119" s="33" t="s">
        <v>2112</v>
      </c>
      <c r="U1119" s="34">
        <v>20.179179999999999</v>
      </c>
      <c r="V1119" s="7"/>
      <c r="W1119" s="7" t="str">
        <f>VLOOKUP($Q1119,Mapping!$E$11:$I$96,3,0)</f>
        <v>Quoted Opex</v>
      </c>
      <c r="X1119" s="7" t="str">
        <f>VLOOKUP($S1119,Mapping!$E$140:$K$2771,5,0)</f>
        <v>PNS Corporate OH</v>
      </c>
      <c r="Y1119" s="7" t="str">
        <f>VLOOKUP($S1119,Mapping!$E$140:$K$2771,7,0)</f>
        <v>OH</v>
      </c>
      <c r="Z1119" s="7" t="str">
        <f>IFERROR(HLOOKUP(X1119,'Calc|Weightings'!$K$5:$M$5,1,0),"Excl")</f>
        <v>Excl</v>
      </c>
      <c r="AA1119" s="7" t="str">
        <f>VLOOKUP(Q1119,Mapping!$E$11:$I$96,5,0)</f>
        <v>Ancillary Network Services</v>
      </c>
      <c r="AC1119" s="111">
        <v>146</v>
      </c>
      <c r="AD1119" s="111" t="s">
        <v>2156</v>
      </c>
      <c r="AE1119" s="111">
        <v>639050</v>
      </c>
      <c r="AF1119" s="111" t="s">
        <v>2113</v>
      </c>
      <c r="AG1119" s="112">
        <v>9.7837800000000001</v>
      </c>
      <c r="AI1119" s="7" t="str">
        <f>VLOOKUP($AC1119,Mapping!$E$11:$I$96,3,0)</f>
        <v>Quoted Opex</v>
      </c>
      <c r="AJ1119" s="7" t="str">
        <f>VLOOKUP($AE1119,Mapping!$E$140:$K$2771,5,0)</f>
        <v>PNS Fleet &amp; Property OH</v>
      </c>
      <c r="AK1119" s="7" t="str">
        <f>VLOOKUP($AE1119,Mapping!$E$140:$K$2771,7,0)</f>
        <v>OH</v>
      </c>
      <c r="AL1119" s="7" t="str">
        <f>IFERROR(HLOOKUP(AJ1119,'Calc|Weightings'!$K$5:$M$5,1,0),"Excl")</f>
        <v>Excl</v>
      </c>
      <c r="AM1119" s="7" t="str">
        <f>VLOOKUP(AC1119,Mapping!$E$11:$I$96,5,0)</f>
        <v>Ancillary Network Services</v>
      </c>
      <c r="AO1119" s="134">
        <v>151</v>
      </c>
      <c r="AP1119" s="135" t="s">
        <v>2160</v>
      </c>
      <c r="AQ1119" s="135">
        <v>531467</v>
      </c>
      <c r="AR1119" s="135" t="s">
        <v>259</v>
      </c>
      <c r="AS1119" s="136">
        <v>1.8504400000000001</v>
      </c>
      <c r="AU1119" s="7" t="str">
        <f>VLOOKUP($AO1119,Mapping!$E$11:$I$96,3,0)</f>
        <v>Metering Capex</v>
      </c>
      <c r="AV1119" s="7" t="str">
        <f>VLOOKUP($AQ1119,Mapping!$E$140:$K$2771,5,0)</f>
        <v>Contracts</v>
      </c>
      <c r="AW1119" s="7" t="str">
        <f>VLOOKUP($AQ1119,Mapping!$E$140:$K$2771,7,0)</f>
        <v>ENDirect</v>
      </c>
      <c r="AX1119" s="7" t="str">
        <f>IFERROR(HLOOKUP(AV1119,'Calc|Weightings'!$K$5:$M$5,1,0),"Excl")</f>
        <v>Contracts</v>
      </c>
      <c r="AY1119" s="7" t="str">
        <f>VLOOKUP(AO1119,Mapping!$E$11:$I$96,5,0)</f>
        <v>Metering Services</v>
      </c>
    </row>
    <row r="1120" spans="1:51" x14ac:dyDescent="0.2">
      <c r="A1120" s="7"/>
      <c r="B1120" s="7"/>
      <c r="C1120" s="7"/>
      <c r="D1120" s="7"/>
      <c r="E1120" s="36">
        <v>143</v>
      </c>
      <c r="F1120" s="36" t="s">
        <v>2153</v>
      </c>
      <c r="G1120" s="36">
        <v>613319</v>
      </c>
      <c r="H1120" s="36" t="s">
        <v>2358</v>
      </c>
      <c r="I1120" s="37">
        <v>12.45434</v>
      </c>
      <c r="J1120" s="7"/>
      <c r="K1120" s="7" t="str">
        <f>VLOOKUP($E1120,Mapping!$E$11:$I$96,3,0)</f>
        <v>Replacement</v>
      </c>
      <c r="L1120" s="7" t="str">
        <f>VLOOKUP($G1120,Mapping!$E$140:$K$2771,5,0)</f>
        <v>Labour</v>
      </c>
      <c r="M1120" s="7" t="str">
        <f>VLOOKUP($G1120,Mapping!$E$140:$K$2771,7,0)</f>
        <v>ENDirect</v>
      </c>
      <c r="N1120" s="7" t="str">
        <f>IFERROR(HLOOKUP(L1120,'Calc|Weightings'!$K$5:$M$5,1,0),"Excl")</f>
        <v>Labour</v>
      </c>
      <c r="O1120" s="7" t="str">
        <f>VLOOKUP(E1120,Mapping!$E$11:$I$96,5,0)</f>
        <v>SCS</v>
      </c>
      <c r="Q1120" s="33">
        <v>146</v>
      </c>
      <c r="R1120" s="33" t="s">
        <v>2156</v>
      </c>
      <c r="S1120" s="33">
        <v>639050</v>
      </c>
      <c r="T1120" s="33" t="s">
        <v>2113</v>
      </c>
      <c r="U1120" s="34">
        <v>2.6150199999999999</v>
      </c>
      <c r="V1120" s="7"/>
      <c r="W1120" s="7" t="str">
        <f>VLOOKUP($Q1120,Mapping!$E$11:$I$96,3,0)</f>
        <v>Quoted Opex</v>
      </c>
      <c r="X1120" s="7" t="str">
        <f>VLOOKUP($S1120,Mapping!$E$140:$K$2771,5,0)</f>
        <v>PNS Fleet &amp; Property OH</v>
      </c>
      <c r="Y1120" s="7" t="str">
        <f>VLOOKUP($S1120,Mapping!$E$140:$K$2771,7,0)</f>
        <v>OH</v>
      </c>
      <c r="Z1120" s="7" t="str">
        <f>IFERROR(HLOOKUP(X1120,'Calc|Weightings'!$K$5:$M$5,1,0),"Excl")</f>
        <v>Excl</v>
      </c>
      <c r="AA1120" s="7" t="str">
        <f>VLOOKUP(Q1120,Mapping!$E$11:$I$96,5,0)</f>
        <v>Ancillary Network Services</v>
      </c>
      <c r="AC1120" s="111">
        <v>147</v>
      </c>
      <c r="AD1120" s="111" t="s">
        <v>2157</v>
      </c>
      <c r="AE1120" s="111">
        <v>531030</v>
      </c>
      <c r="AF1120" s="111" t="s">
        <v>243</v>
      </c>
      <c r="AG1120" s="112">
        <v>300.71600000000001</v>
      </c>
      <c r="AI1120" s="7" t="str">
        <f>VLOOKUP($AC1120,Mapping!$E$11:$I$96,3,0)</f>
        <v>Replacement</v>
      </c>
      <c r="AJ1120" s="7" t="str">
        <f>VLOOKUP($AE1120,Mapping!$E$140:$K$2771,5,0)</f>
        <v>Contracts</v>
      </c>
      <c r="AK1120" s="7" t="str">
        <f>VLOOKUP($AE1120,Mapping!$E$140:$K$2771,7,0)</f>
        <v>ENDirect</v>
      </c>
      <c r="AL1120" s="7" t="str">
        <f>IFERROR(HLOOKUP(AJ1120,'Calc|Weightings'!$K$5:$M$5,1,0),"Excl")</f>
        <v>Contracts</v>
      </c>
      <c r="AM1120" s="7" t="s">
        <v>2372</v>
      </c>
      <c r="AO1120" s="134">
        <v>151</v>
      </c>
      <c r="AP1120" s="135" t="s">
        <v>2160</v>
      </c>
      <c r="AQ1120" s="135">
        <v>611900</v>
      </c>
      <c r="AR1120" s="135" t="s">
        <v>2079</v>
      </c>
      <c r="AS1120" s="136">
        <v>1.4127400000000001</v>
      </c>
      <c r="AU1120" s="7" t="str">
        <f>VLOOKUP($AO1120,Mapping!$E$11:$I$96,3,0)</f>
        <v>Metering Capex</v>
      </c>
      <c r="AV1120" s="7" t="str">
        <f>VLOOKUP($AQ1120,Mapping!$E$140:$K$2771,5,0)</f>
        <v>Contracts</v>
      </c>
      <c r="AW1120" s="7" t="str">
        <f>VLOOKUP($AQ1120,Mapping!$E$140:$K$2771,7,0)</f>
        <v>ENDirect</v>
      </c>
      <c r="AX1120" s="7" t="str">
        <f>IFERROR(HLOOKUP(AV1120,'Calc|Weightings'!$K$5:$M$5,1,0),"Excl")</f>
        <v>Contracts</v>
      </c>
      <c r="AY1120" s="7" t="str">
        <f>VLOOKUP(AO1120,Mapping!$E$11:$I$96,5,0)</f>
        <v>Metering Services</v>
      </c>
    </row>
    <row r="1121" spans="1:51" x14ac:dyDescent="0.2">
      <c r="A1121" s="7"/>
      <c r="B1121" s="7"/>
      <c r="C1121" s="7"/>
      <c r="D1121" s="7"/>
      <c r="E1121" s="36">
        <v>143</v>
      </c>
      <c r="F1121" s="36" t="s">
        <v>2153</v>
      </c>
      <c r="G1121" s="36">
        <v>613350</v>
      </c>
      <c r="H1121" s="36" t="s">
        <v>2096</v>
      </c>
      <c r="I1121" s="37">
        <v>5.86843</v>
      </c>
      <c r="J1121" s="7"/>
      <c r="K1121" s="7" t="str">
        <f>VLOOKUP($E1121,Mapping!$E$11:$I$96,3,0)</f>
        <v>Replacement</v>
      </c>
      <c r="L1121" s="7" t="str">
        <f>VLOOKUP($G1121,Mapping!$E$140:$K$2771,5,0)</f>
        <v>Labour</v>
      </c>
      <c r="M1121" s="7" t="str">
        <f>VLOOKUP($G1121,Mapping!$E$140:$K$2771,7,0)</f>
        <v>ENDirect</v>
      </c>
      <c r="N1121" s="7" t="str">
        <f>IFERROR(HLOOKUP(L1121,'Calc|Weightings'!$K$5:$M$5,1,0),"Excl")</f>
        <v>Labour</v>
      </c>
      <c r="O1121" s="7" t="str">
        <f>VLOOKUP(E1121,Mapping!$E$11:$I$96,5,0)</f>
        <v>SCS</v>
      </c>
      <c r="Q1121" s="33">
        <v>147</v>
      </c>
      <c r="R1121" s="33" t="s">
        <v>2157</v>
      </c>
      <c r="S1121" s="33">
        <v>531030</v>
      </c>
      <c r="T1121" s="33" t="s">
        <v>243</v>
      </c>
      <c r="U1121" s="34">
        <v>276.30200000000002</v>
      </c>
      <c r="V1121" s="7"/>
      <c r="W1121" s="7" t="str">
        <f>VLOOKUP($Q1121,Mapping!$E$11:$I$96,3,0)</f>
        <v>Replacement</v>
      </c>
      <c r="X1121" s="7" t="str">
        <f>VLOOKUP($S1121,Mapping!$E$140:$K$2771,5,0)</f>
        <v>Contracts</v>
      </c>
      <c r="Y1121" s="7" t="str">
        <f>VLOOKUP($S1121,Mapping!$E$140:$K$2771,7,0)</f>
        <v>ENDirect</v>
      </c>
      <c r="Z1121" s="7" t="str">
        <f>IFERROR(HLOOKUP(X1121,'Calc|Weightings'!$K$5:$M$5,1,0),"Excl")</f>
        <v>Contracts</v>
      </c>
      <c r="AA1121" s="7" t="s">
        <v>2372</v>
      </c>
      <c r="AC1121" s="111">
        <v>147</v>
      </c>
      <c r="AD1121" s="111" t="s">
        <v>2157</v>
      </c>
      <c r="AE1121" s="111">
        <v>634001</v>
      </c>
      <c r="AF1121" s="111" t="s">
        <v>2110</v>
      </c>
      <c r="AG1121" s="112">
        <v>20.771229999999999</v>
      </c>
      <c r="AI1121" s="7" t="str">
        <f>VLOOKUP($AC1121,Mapping!$E$11:$I$96,3,0)</f>
        <v>Replacement</v>
      </c>
      <c r="AJ1121" s="7" t="str">
        <f>VLOOKUP($AE1121,Mapping!$E$140:$K$2771,5,0)</f>
        <v>Local OH</v>
      </c>
      <c r="AK1121" s="7" t="str">
        <f>VLOOKUP($AE1121,Mapping!$E$140:$K$2771,7,0)</f>
        <v>OH</v>
      </c>
      <c r="AL1121" s="7" t="str">
        <f>IFERROR(HLOOKUP(AJ1121,'Calc|Weightings'!$K$5:$M$5,1,0),"Excl")</f>
        <v>Excl</v>
      </c>
      <c r="AM1121" s="7" t="s">
        <v>2372</v>
      </c>
      <c r="AO1121" s="134">
        <v>151</v>
      </c>
      <c r="AP1121" s="135" t="s">
        <v>2160</v>
      </c>
      <c r="AQ1121" s="135">
        <v>613240</v>
      </c>
      <c r="AR1121" s="135" t="s">
        <v>2082</v>
      </c>
      <c r="AS1121" s="136">
        <v>9.8256099999999993</v>
      </c>
      <c r="AU1121" s="7" t="str">
        <f>VLOOKUP($AO1121,Mapping!$E$11:$I$96,3,0)</f>
        <v>Metering Capex</v>
      </c>
      <c r="AV1121" s="7" t="str">
        <f>VLOOKUP($AQ1121,Mapping!$E$140:$K$2771,5,0)</f>
        <v>Labour</v>
      </c>
      <c r="AW1121" s="7" t="str">
        <f>VLOOKUP($AQ1121,Mapping!$E$140:$K$2771,7,0)</f>
        <v>ENDirect</v>
      </c>
      <c r="AX1121" s="7" t="str">
        <f>IFERROR(HLOOKUP(AV1121,'Calc|Weightings'!$K$5:$M$5,1,0),"Excl")</f>
        <v>Labour</v>
      </c>
      <c r="AY1121" s="7" t="str">
        <f>VLOOKUP(AO1121,Mapping!$E$11:$I$96,5,0)</f>
        <v>Metering Services</v>
      </c>
    </row>
    <row r="1122" spans="1:51" x14ac:dyDescent="0.2">
      <c r="A1122" s="7"/>
      <c r="B1122" s="7"/>
      <c r="C1122" s="7"/>
      <c r="D1122" s="7"/>
      <c r="E1122" s="36">
        <v>143</v>
      </c>
      <c r="F1122" s="36" t="s">
        <v>2153</v>
      </c>
      <c r="G1122" s="36">
        <v>613360</v>
      </c>
      <c r="H1122" s="36" t="s">
        <v>2097</v>
      </c>
      <c r="I1122" s="37">
        <v>16.251139999999999</v>
      </c>
      <c r="J1122" s="7"/>
      <c r="K1122" s="7" t="str">
        <f>VLOOKUP($E1122,Mapping!$E$11:$I$96,3,0)</f>
        <v>Replacement</v>
      </c>
      <c r="L1122" s="7" t="str">
        <f>VLOOKUP($G1122,Mapping!$E$140:$K$2771,5,0)</f>
        <v>Labour</v>
      </c>
      <c r="M1122" s="7" t="str">
        <f>VLOOKUP($G1122,Mapping!$E$140:$K$2771,7,0)</f>
        <v>ENDirect</v>
      </c>
      <c r="N1122" s="7" t="str">
        <f>IFERROR(HLOOKUP(L1122,'Calc|Weightings'!$K$5:$M$5,1,0),"Excl")</f>
        <v>Labour</v>
      </c>
      <c r="O1122" s="7" t="str">
        <f>VLOOKUP(E1122,Mapping!$E$11:$I$96,5,0)</f>
        <v>SCS</v>
      </c>
      <c r="Q1122" s="33">
        <v>147</v>
      </c>
      <c r="R1122" s="33" t="s">
        <v>2157</v>
      </c>
      <c r="S1122" s="33">
        <v>634001</v>
      </c>
      <c r="T1122" s="33" t="s">
        <v>2110</v>
      </c>
      <c r="U1122" s="34">
        <v>14.574809999999999</v>
      </c>
      <c r="V1122" s="7"/>
      <c r="W1122" s="7" t="str">
        <f>VLOOKUP($Q1122,Mapping!$E$11:$I$96,3,0)</f>
        <v>Replacement</v>
      </c>
      <c r="X1122" s="7" t="str">
        <f>VLOOKUP($S1122,Mapping!$E$140:$K$2771,5,0)</f>
        <v>Local OH</v>
      </c>
      <c r="Y1122" s="7" t="str">
        <f>VLOOKUP($S1122,Mapping!$E$140:$K$2771,7,0)</f>
        <v>OH</v>
      </c>
      <c r="Z1122" s="7" t="str">
        <f>IFERROR(HLOOKUP(X1122,'Calc|Weightings'!$K$5:$M$5,1,0),"Excl")</f>
        <v>Excl</v>
      </c>
      <c r="AA1122" s="7" t="s">
        <v>2372</v>
      </c>
      <c r="AC1122" s="111">
        <v>147</v>
      </c>
      <c r="AD1122" s="111" t="s">
        <v>2157</v>
      </c>
      <c r="AE1122" s="111">
        <v>636001</v>
      </c>
      <c r="AF1122" s="111" t="s">
        <v>2111</v>
      </c>
      <c r="AG1122" s="112">
        <v>8.8764199999999995</v>
      </c>
      <c r="AI1122" s="7" t="str">
        <f>VLOOKUP($AC1122,Mapping!$E$11:$I$96,3,0)</f>
        <v>Replacement</v>
      </c>
      <c r="AJ1122" s="7" t="str">
        <f>VLOOKUP($AE1122,Mapping!$E$140:$K$2771,5,0)</f>
        <v>System Control OH</v>
      </c>
      <c r="AK1122" s="7" t="str">
        <f>VLOOKUP($AE1122,Mapping!$E$140:$K$2771,7,0)</f>
        <v>OH</v>
      </c>
      <c r="AL1122" s="7" t="str">
        <f>IFERROR(HLOOKUP(AJ1122,'Calc|Weightings'!$K$5:$M$5,1,0),"Excl")</f>
        <v>Excl</v>
      </c>
      <c r="AM1122" s="7" t="s">
        <v>2372</v>
      </c>
      <c r="AO1122" s="134">
        <v>151</v>
      </c>
      <c r="AP1122" s="135" t="s">
        <v>2160</v>
      </c>
      <c r="AQ1122" s="135">
        <v>613241</v>
      </c>
      <c r="AR1122" s="135" t="s">
        <v>2083</v>
      </c>
      <c r="AS1122" s="136">
        <v>0.16238</v>
      </c>
      <c r="AU1122" s="7" t="str">
        <f>VLOOKUP($AO1122,Mapping!$E$11:$I$96,3,0)</f>
        <v>Metering Capex</v>
      </c>
      <c r="AV1122" s="7" t="str">
        <f>VLOOKUP($AQ1122,Mapping!$E$140:$K$2771,5,0)</f>
        <v>Labour</v>
      </c>
      <c r="AW1122" s="7" t="str">
        <f>VLOOKUP($AQ1122,Mapping!$E$140:$K$2771,7,0)</f>
        <v>ENDirect</v>
      </c>
      <c r="AX1122" s="7" t="str">
        <f>IFERROR(HLOOKUP(AV1122,'Calc|Weightings'!$K$5:$M$5,1,0),"Excl")</f>
        <v>Labour</v>
      </c>
      <c r="AY1122" s="7" t="str">
        <f>VLOOKUP(AO1122,Mapping!$E$11:$I$96,5,0)</f>
        <v>Metering Services</v>
      </c>
    </row>
    <row r="1123" spans="1:51" x14ac:dyDescent="0.2">
      <c r="A1123" s="7"/>
      <c r="B1123" s="7"/>
      <c r="C1123" s="7"/>
      <c r="D1123" s="7"/>
      <c r="E1123" s="36">
        <v>143</v>
      </c>
      <c r="F1123" s="36" t="s">
        <v>2153</v>
      </c>
      <c r="G1123" s="36">
        <v>613361</v>
      </c>
      <c r="H1123" s="36" t="s">
        <v>2098</v>
      </c>
      <c r="I1123" s="37">
        <v>0.73509000000000002</v>
      </c>
      <c r="J1123" s="7"/>
      <c r="K1123" s="7" t="str">
        <f>VLOOKUP($E1123,Mapping!$E$11:$I$96,3,0)</f>
        <v>Replacement</v>
      </c>
      <c r="L1123" s="7" t="str">
        <f>VLOOKUP($G1123,Mapping!$E$140:$K$2771,5,0)</f>
        <v>Labour</v>
      </c>
      <c r="M1123" s="7" t="str">
        <f>VLOOKUP($G1123,Mapping!$E$140:$K$2771,7,0)</f>
        <v>ENDirect</v>
      </c>
      <c r="N1123" s="7" t="str">
        <f>IFERROR(HLOOKUP(L1123,'Calc|Weightings'!$K$5:$M$5,1,0),"Excl")</f>
        <v>Labour</v>
      </c>
      <c r="O1123" s="7" t="str">
        <f>VLOOKUP(E1123,Mapping!$E$11:$I$96,5,0)</f>
        <v>SCS</v>
      </c>
      <c r="Q1123" s="33">
        <v>147</v>
      </c>
      <c r="R1123" s="33" t="s">
        <v>2157</v>
      </c>
      <c r="S1123" s="33">
        <v>636001</v>
      </c>
      <c r="T1123" s="33" t="s">
        <v>2111</v>
      </c>
      <c r="U1123" s="34">
        <v>4.2306600000000003</v>
      </c>
      <c r="V1123" s="7"/>
      <c r="W1123" s="7" t="str">
        <f>VLOOKUP($Q1123,Mapping!$E$11:$I$96,3,0)</f>
        <v>Replacement</v>
      </c>
      <c r="X1123" s="7" t="str">
        <f>VLOOKUP($S1123,Mapping!$E$140:$K$2771,5,0)</f>
        <v>System Control OH</v>
      </c>
      <c r="Y1123" s="7" t="str">
        <f>VLOOKUP($S1123,Mapping!$E$140:$K$2771,7,0)</f>
        <v>OH</v>
      </c>
      <c r="Z1123" s="7" t="str">
        <f>IFERROR(HLOOKUP(X1123,'Calc|Weightings'!$K$5:$M$5,1,0),"Excl")</f>
        <v>Excl</v>
      </c>
      <c r="AA1123" s="7" t="s">
        <v>2372</v>
      </c>
      <c r="AC1123" s="111">
        <v>148</v>
      </c>
      <c r="AD1123" s="111" t="s">
        <v>2158</v>
      </c>
      <c r="AE1123" s="111">
        <v>531030</v>
      </c>
      <c r="AF1123" s="111" t="s">
        <v>243</v>
      </c>
      <c r="AG1123" s="112">
        <v>1769.615</v>
      </c>
      <c r="AI1123" s="7" t="str">
        <f>VLOOKUP($AC1123,Mapping!$E$11:$I$96,3,0)</f>
        <v>Replacement</v>
      </c>
      <c r="AJ1123" s="7" t="str">
        <f>VLOOKUP($AE1123,Mapping!$E$140:$K$2771,5,0)</f>
        <v>Contracts</v>
      </c>
      <c r="AK1123" s="7" t="str">
        <f>VLOOKUP($AE1123,Mapping!$E$140:$K$2771,7,0)</f>
        <v>ENDirect</v>
      </c>
      <c r="AL1123" s="7" t="str">
        <f>IFERROR(HLOOKUP(AJ1123,'Calc|Weightings'!$K$5:$M$5,1,0),"Excl")</f>
        <v>Contracts</v>
      </c>
      <c r="AM1123" s="7" t="str">
        <f>VLOOKUP(AC1123,Mapping!$E$11:$I$96,5,0)</f>
        <v>SCS</v>
      </c>
      <c r="AO1123" s="134">
        <v>151</v>
      </c>
      <c r="AP1123" s="135" t="s">
        <v>2160</v>
      </c>
      <c r="AQ1123" s="135">
        <v>613250</v>
      </c>
      <c r="AR1123" s="135" t="s">
        <v>2086</v>
      </c>
      <c r="AS1123" s="136">
        <v>10.33695</v>
      </c>
      <c r="AU1123" s="7" t="str">
        <f>VLOOKUP($AO1123,Mapping!$E$11:$I$96,3,0)</f>
        <v>Metering Capex</v>
      </c>
      <c r="AV1123" s="7" t="str">
        <f>VLOOKUP($AQ1123,Mapping!$E$140:$K$2771,5,0)</f>
        <v>Labour</v>
      </c>
      <c r="AW1123" s="7" t="str">
        <f>VLOOKUP($AQ1123,Mapping!$E$140:$K$2771,7,0)</f>
        <v>ENDirect</v>
      </c>
      <c r="AX1123" s="7" t="str">
        <f>IFERROR(HLOOKUP(AV1123,'Calc|Weightings'!$K$5:$M$5,1,0),"Excl")</f>
        <v>Labour</v>
      </c>
      <c r="AY1123" s="7" t="str">
        <f>VLOOKUP(AO1123,Mapping!$E$11:$I$96,5,0)</f>
        <v>Metering Services</v>
      </c>
    </row>
    <row r="1124" spans="1:51" x14ac:dyDescent="0.2">
      <c r="A1124" s="7"/>
      <c r="B1124" s="7"/>
      <c r="C1124" s="7"/>
      <c r="D1124" s="7"/>
      <c r="E1124" s="36">
        <v>143</v>
      </c>
      <c r="F1124" s="36" t="s">
        <v>2153</v>
      </c>
      <c r="G1124" s="36">
        <v>613370</v>
      </c>
      <c r="H1124" s="36" t="s">
        <v>1402</v>
      </c>
      <c r="I1124" s="37">
        <v>3.8253599999999999</v>
      </c>
      <c r="J1124" s="7"/>
      <c r="K1124" s="7" t="str">
        <f>VLOOKUP($E1124,Mapping!$E$11:$I$96,3,0)</f>
        <v>Replacement</v>
      </c>
      <c r="L1124" s="7" t="str">
        <f>VLOOKUP($G1124,Mapping!$E$140:$K$2771,5,0)</f>
        <v>Labour</v>
      </c>
      <c r="M1124" s="7" t="str">
        <f>VLOOKUP($G1124,Mapping!$E$140:$K$2771,7,0)</f>
        <v>ENDirect</v>
      </c>
      <c r="N1124" s="7" t="str">
        <f>IFERROR(HLOOKUP(L1124,'Calc|Weightings'!$K$5:$M$5,1,0),"Excl")</f>
        <v>Labour</v>
      </c>
      <c r="O1124" s="7" t="str">
        <f>VLOOKUP(E1124,Mapping!$E$11:$I$96,5,0)</f>
        <v>SCS</v>
      </c>
      <c r="Q1124" s="33">
        <v>148</v>
      </c>
      <c r="R1124" s="33" t="s">
        <v>2158</v>
      </c>
      <c r="S1124" s="33">
        <v>500200</v>
      </c>
      <c r="T1124" s="33" t="s">
        <v>136</v>
      </c>
      <c r="U1124" s="34">
        <v>1.0499999999999999E-3</v>
      </c>
      <c r="V1124" s="7"/>
      <c r="W1124" s="7" t="str">
        <f>VLOOKUP($Q1124,Mapping!$E$11:$I$96,3,0)</f>
        <v>Replacement</v>
      </c>
      <c r="X1124" s="7" t="str">
        <f>VLOOKUP($S1124,Mapping!$E$140:$K$2771,5,0)</f>
        <v>Labour</v>
      </c>
      <c r="Y1124" s="7" t="str">
        <f>VLOOKUP($S1124,Mapping!$E$140:$K$2771,7,0)</f>
        <v>ENDirect</v>
      </c>
      <c r="Z1124" s="7" t="str">
        <f>IFERROR(HLOOKUP(X1124,'Calc|Weightings'!$K$5:$M$5,1,0),"Excl")</f>
        <v>Labour</v>
      </c>
      <c r="AA1124" s="7" t="str">
        <f>VLOOKUP(Q1124,Mapping!$E$11:$I$96,5,0)</f>
        <v>SCS</v>
      </c>
      <c r="AC1124" s="111">
        <v>148</v>
      </c>
      <c r="AD1124" s="111" t="s">
        <v>2158</v>
      </c>
      <c r="AE1124" s="111">
        <v>531464</v>
      </c>
      <c r="AF1124" s="111" t="s">
        <v>256</v>
      </c>
      <c r="AG1124" s="112">
        <v>9.2221299999999999</v>
      </c>
      <c r="AI1124" s="7" t="str">
        <f>VLOOKUP($AC1124,Mapping!$E$11:$I$96,3,0)</f>
        <v>Replacement</v>
      </c>
      <c r="AJ1124" s="7" t="str">
        <f>VLOOKUP($AE1124,Mapping!$E$140:$K$2771,5,0)</f>
        <v>Contracts</v>
      </c>
      <c r="AK1124" s="7" t="str">
        <f>VLOOKUP($AE1124,Mapping!$E$140:$K$2771,7,0)</f>
        <v>ENDirect</v>
      </c>
      <c r="AL1124" s="7" t="str">
        <f>IFERROR(HLOOKUP(AJ1124,'Calc|Weightings'!$K$5:$M$5,1,0),"Excl")</f>
        <v>Contracts</v>
      </c>
      <c r="AM1124" s="7" t="str">
        <f>VLOOKUP(AC1124,Mapping!$E$11:$I$96,5,0)</f>
        <v>SCS</v>
      </c>
      <c r="AO1124" s="134">
        <v>151</v>
      </c>
      <c r="AP1124" s="135" t="s">
        <v>2160</v>
      </c>
      <c r="AQ1124" s="135">
        <v>613251</v>
      </c>
      <c r="AR1124" s="135" t="s">
        <v>2087</v>
      </c>
      <c r="AS1124" s="136">
        <v>0.35276000000000002</v>
      </c>
      <c r="AU1124" s="7" t="str">
        <f>VLOOKUP($AO1124,Mapping!$E$11:$I$96,3,0)</f>
        <v>Metering Capex</v>
      </c>
      <c r="AV1124" s="7" t="str">
        <f>VLOOKUP($AQ1124,Mapping!$E$140:$K$2771,5,0)</f>
        <v>Labour</v>
      </c>
      <c r="AW1124" s="7" t="str">
        <f>VLOOKUP($AQ1124,Mapping!$E$140:$K$2771,7,0)</f>
        <v>ENDirect</v>
      </c>
      <c r="AX1124" s="7" t="str">
        <f>IFERROR(HLOOKUP(AV1124,'Calc|Weightings'!$K$5:$M$5,1,0),"Excl")</f>
        <v>Labour</v>
      </c>
      <c r="AY1124" s="7" t="str">
        <f>VLOOKUP(AO1124,Mapping!$E$11:$I$96,5,0)</f>
        <v>Metering Services</v>
      </c>
    </row>
    <row r="1125" spans="1:51" x14ac:dyDescent="0.2">
      <c r="A1125" s="7"/>
      <c r="B1125" s="7"/>
      <c r="C1125" s="7"/>
      <c r="D1125" s="7"/>
      <c r="E1125" s="36">
        <v>143</v>
      </c>
      <c r="F1125" s="36" t="s">
        <v>2153</v>
      </c>
      <c r="G1125" s="36">
        <v>613400</v>
      </c>
      <c r="H1125" s="36" t="s">
        <v>2099</v>
      </c>
      <c r="I1125" s="37">
        <v>0.24342</v>
      </c>
      <c r="J1125" s="7"/>
      <c r="K1125" s="7" t="str">
        <f>VLOOKUP($E1125,Mapping!$E$11:$I$96,3,0)</f>
        <v>Replacement</v>
      </c>
      <c r="L1125" s="7" t="str">
        <f>VLOOKUP($G1125,Mapping!$E$140:$K$2771,5,0)</f>
        <v>Labour</v>
      </c>
      <c r="M1125" s="7" t="str">
        <f>VLOOKUP($G1125,Mapping!$E$140:$K$2771,7,0)</f>
        <v>ENDirect</v>
      </c>
      <c r="N1125" s="7" t="str">
        <f>IFERROR(HLOOKUP(L1125,'Calc|Weightings'!$K$5:$M$5,1,0),"Excl")</f>
        <v>Labour</v>
      </c>
      <c r="O1125" s="7" t="str">
        <f>VLOOKUP(E1125,Mapping!$E$11:$I$96,5,0)</f>
        <v>SCS</v>
      </c>
      <c r="Q1125" s="33">
        <v>148</v>
      </c>
      <c r="R1125" s="33" t="s">
        <v>2158</v>
      </c>
      <c r="S1125" s="33">
        <v>520100</v>
      </c>
      <c r="T1125" s="33" t="s">
        <v>2072</v>
      </c>
      <c r="U1125" s="34">
        <v>16.47953</v>
      </c>
      <c r="V1125" s="7"/>
      <c r="W1125" s="7" t="str">
        <f>VLOOKUP($Q1125,Mapping!$E$11:$I$96,3,0)</f>
        <v>Replacement</v>
      </c>
      <c r="X1125" s="7" t="str">
        <f>VLOOKUP($S1125,Mapping!$E$140:$K$2771,5,0)</f>
        <v>Materials</v>
      </c>
      <c r="Y1125" s="7" t="str">
        <f>VLOOKUP($S1125,Mapping!$E$140:$K$2771,7,0)</f>
        <v>ENDirect</v>
      </c>
      <c r="Z1125" s="7" t="str">
        <f>IFERROR(HLOOKUP(X1125,'Calc|Weightings'!$K$5:$M$5,1,0),"Excl")</f>
        <v>Materials</v>
      </c>
      <c r="AA1125" s="7" t="str">
        <f>VLOOKUP(Q1125,Mapping!$E$11:$I$96,5,0)</f>
        <v>SCS</v>
      </c>
      <c r="AC1125" s="111">
        <v>148</v>
      </c>
      <c r="AD1125" s="111" t="s">
        <v>2158</v>
      </c>
      <c r="AE1125" s="111">
        <v>531466</v>
      </c>
      <c r="AF1125" s="111" t="s">
        <v>258</v>
      </c>
      <c r="AG1125" s="112">
        <v>3.5100799999999999</v>
      </c>
      <c r="AI1125" s="7" t="str">
        <f>VLOOKUP($AC1125,Mapping!$E$11:$I$96,3,0)</f>
        <v>Replacement</v>
      </c>
      <c r="AJ1125" s="7" t="str">
        <f>VLOOKUP($AE1125,Mapping!$E$140:$K$2771,5,0)</f>
        <v>Contracts</v>
      </c>
      <c r="AK1125" s="7" t="str">
        <f>VLOOKUP($AE1125,Mapping!$E$140:$K$2771,7,0)</f>
        <v>ENDirect</v>
      </c>
      <c r="AL1125" s="7" t="str">
        <f>IFERROR(HLOOKUP(AJ1125,'Calc|Weightings'!$K$5:$M$5,1,0),"Excl")</f>
        <v>Contracts</v>
      </c>
      <c r="AM1125" s="7" t="str">
        <f>VLOOKUP(AC1125,Mapping!$E$11:$I$96,5,0)</f>
        <v>SCS</v>
      </c>
      <c r="AO1125" s="134">
        <v>151</v>
      </c>
      <c r="AP1125" s="135" t="s">
        <v>2160</v>
      </c>
      <c r="AQ1125" s="135">
        <v>613400</v>
      </c>
      <c r="AR1125" s="135" t="s">
        <v>2099</v>
      </c>
      <c r="AS1125" s="136">
        <v>1.11496</v>
      </c>
      <c r="AU1125" s="7" t="str">
        <f>VLOOKUP($AO1125,Mapping!$E$11:$I$96,3,0)</f>
        <v>Metering Capex</v>
      </c>
      <c r="AV1125" s="7" t="str">
        <f>VLOOKUP($AQ1125,Mapping!$E$140:$K$2771,5,0)</f>
        <v>Labour</v>
      </c>
      <c r="AW1125" s="7" t="str">
        <f>VLOOKUP($AQ1125,Mapping!$E$140:$K$2771,7,0)</f>
        <v>ENDirect</v>
      </c>
      <c r="AX1125" s="7" t="str">
        <f>IFERROR(HLOOKUP(AV1125,'Calc|Weightings'!$K$5:$M$5,1,0),"Excl")</f>
        <v>Labour</v>
      </c>
      <c r="AY1125" s="7" t="str">
        <f>VLOOKUP(AO1125,Mapping!$E$11:$I$96,5,0)</f>
        <v>Metering Services</v>
      </c>
    </row>
    <row r="1126" spans="1:51" x14ac:dyDescent="0.2">
      <c r="A1126" s="7"/>
      <c r="B1126" s="7"/>
      <c r="C1126" s="7"/>
      <c r="D1126" s="7"/>
      <c r="E1126" s="36">
        <v>143</v>
      </c>
      <c r="F1126" s="36" t="s">
        <v>2153</v>
      </c>
      <c r="G1126" s="36">
        <v>613401</v>
      </c>
      <c r="H1126" s="36" t="s">
        <v>2117</v>
      </c>
      <c r="I1126" s="37">
        <v>4.1381500000000004</v>
      </c>
      <c r="J1126" s="7"/>
      <c r="K1126" s="7" t="str">
        <f>VLOOKUP($E1126,Mapping!$E$11:$I$96,3,0)</f>
        <v>Replacement</v>
      </c>
      <c r="L1126" s="7" t="str">
        <f>VLOOKUP($G1126,Mapping!$E$140:$K$2771,5,0)</f>
        <v>Labour</v>
      </c>
      <c r="M1126" s="7" t="str">
        <f>VLOOKUP($G1126,Mapping!$E$140:$K$2771,7,0)</f>
        <v>ENDirect</v>
      </c>
      <c r="N1126" s="7" t="str">
        <f>IFERROR(HLOOKUP(L1126,'Calc|Weightings'!$K$5:$M$5,1,0),"Excl")</f>
        <v>Labour</v>
      </c>
      <c r="O1126" s="7" t="str">
        <f>VLOOKUP(E1126,Mapping!$E$11:$I$96,5,0)</f>
        <v>SCS</v>
      </c>
      <c r="Q1126" s="33">
        <v>148</v>
      </c>
      <c r="R1126" s="33" t="s">
        <v>2158</v>
      </c>
      <c r="S1126" s="33">
        <v>523100</v>
      </c>
      <c r="T1126" s="33" t="s">
        <v>2074</v>
      </c>
      <c r="U1126" s="34">
        <v>3.1660000000000001E-2</v>
      </c>
      <c r="V1126" s="7"/>
      <c r="W1126" s="7" t="str">
        <f>VLOOKUP($Q1126,Mapping!$E$11:$I$96,3,0)</f>
        <v>Replacement</v>
      </c>
      <c r="X1126" s="7" t="str">
        <f>VLOOKUP($S1126,Mapping!$E$140:$K$2771,5,0)</f>
        <v>Materials</v>
      </c>
      <c r="Y1126" s="7" t="str">
        <f>VLOOKUP($S1126,Mapping!$E$140:$K$2771,7,0)</f>
        <v>ENDirect</v>
      </c>
      <c r="Z1126" s="7" t="str">
        <f>IFERROR(HLOOKUP(X1126,'Calc|Weightings'!$K$5:$M$5,1,0),"Excl")</f>
        <v>Materials</v>
      </c>
      <c r="AA1126" s="7" t="str">
        <f>VLOOKUP(Q1126,Mapping!$E$11:$I$96,5,0)</f>
        <v>SCS</v>
      </c>
      <c r="AC1126" s="111">
        <v>148</v>
      </c>
      <c r="AD1126" s="111" t="s">
        <v>2158</v>
      </c>
      <c r="AE1126" s="111">
        <v>531467</v>
      </c>
      <c r="AF1126" s="111" t="s">
        <v>259</v>
      </c>
      <c r="AG1126" s="112">
        <v>0.68772</v>
      </c>
      <c r="AI1126" s="7" t="str">
        <f>VLOOKUP($AC1126,Mapping!$E$11:$I$96,3,0)</f>
        <v>Replacement</v>
      </c>
      <c r="AJ1126" s="7" t="str">
        <f>VLOOKUP($AE1126,Mapping!$E$140:$K$2771,5,0)</f>
        <v>Contracts</v>
      </c>
      <c r="AK1126" s="7" t="str">
        <f>VLOOKUP($AE1126,Mapping!$E$140:$K$2771,7,0)</f>
        <v>ENDirect</v>
      </c>
      <c r="AL1126" s="7" t="str">
        <f>IFERROR(HLOOKUP(AJ1126,'Calc|Weightings'!$K$5:$M$5,1,0),"Excl")</f>
        <v>Contracts</v>
      </c>
      <c r="AM1126" s="7" t="str">
        <f>VLOOKUP(AC1126,Mapping!$E$11:$I$96,5,0)</f>
        <v>SCS</v>
      </c>
      <c r="AO1126" s="134">
        <v>151</v>
      </c>
      <c r="AP1126" s="135" t="s">
        <v>2160</v>
      </c>
      <c r="AQ1126" s="135">
        <v>613410</v>
      </c>
      <c r="AR1126" s="135" t="s">
        <v>2100</v>
      </c>
      <c r="AS1126" s="136">
        <v>4.9770500000000002</v>
      </c>
      <c r="AU1126" s="7" t="str">
        <f>VLOOKUP($AO1126,Mapping!$E$11:$I$96,3,0)</f>
        <v>Metering Capex</v>
      </c>
      <c r="AV1126" s="7" t="str">
        <f>VLOOKUP($AQ1126,Mapping!$E$140:$K$2771,5,0)</f>
        <v>Labour</v>
      </c>
      <c r="AW1126" s="7" t="str">
        <f>VLOOKUP($AQ1126,Mapping!$E$140:$K$2771,7,0)</f>
        <v>ENDirect</v>
      </c>
      <c r="AX1126" s="7" t="str">
        <f>IFERROR(HLOOKUP(AV1126,'Calc|Weightings'!$K$5:$M$5,1,0),"Excl")</f>
        <v>Labour</v>
      </c>
      <c r="AY1126" s="7" t="str">
        <f>VLOOKUP(AO1126,Mapping!$E$11:$I$96,5,0)</f>
        <v>Metering Services</v>
      </c>
    </row>
    <row r="1127" spans="1:51" x14ac:dyDescent="0.2">
      <c r="A1127" s="7"/>
      <c r="B1127" s="7"/>
      <c r="C1127" s="7"/>
      <c r="D1127" s="7"/>
      <c r="E1127" s="36">
        <v>143</v>
      </c>
      <c r="F1127" s="36" t="s">
        <v>2153</v>
      </c>
      <c r="G1127" s="36">
        <v>613428</v>
      </c>
      <c r="H1127" s="36" t="s">
        <v>1430</v>
      </c>
      <c r="I1127" s="37">
        <v>7.8392799999999996</v>
      </c>
      <c r="J1127" s="7"/>
      <c r="K1127" s="7" t="str">
        <f>VLOOKUP($E1127,Mapping!$E$11:$I$96,3,0)</f>
        <v>Replacement</v>
      </c>
      <c r="L1127" s="7" t="str">
        <f>VLOOKUP($G1127,Mapping!$E$140:$K$2771,5,0)</f>
        <v>Labour</v>
      </c>
      <c r="M1127" s="7" t="str">
        <f>VLOOKUP($G1127,Mapping!$E$140:$K$2771,7,0)</f>
        <v>ENDirect</v>
      </c>
      <c r="N1127" s="7" t="str">
        <f>IFERROR(HLOOKUP(L1127,'Calc|Weightings'!$K$5:$M$5,1,0),"Excl")</f>
        <v>Labour</v>
      </c>
      <c r="O1127" s="7" t="str">
        <f>VLOOKUP(E1127,Mapping!$E$11:$I$96,5,0)</f>
        <v>SCS</v>
      </c>
      <c r="Q1127" s="33">
        <v>148</v>
      </c>
      <c r="R1127" s="33" t="s">
        <v>2158</v>
      </c>
      <c r="S1127" s="33">
        <v>531464</v>
      </c>
      <c r="T1127" s="33" t="s">
        <v>256</v>
      </c>
      <c r="U1127" s="34">
        <v>73.253169999999997</v>
      </c>
      <c r="V1127" s="7"/>
      <c r="W1127" s="7" t="str">
        <f>VLOOKUP($Q1127,Mapping!$E$11:$I$96,3,0)</f>
        <v>Replacement</v>
      </c>
      <c r="X1127" s="7" t="str">
        <f>VLOOKUP($S1127,Mapping!$E$140:$K$2771,5,0)</f>
        <v>Contracts</v>
      </c>
      <c r="Y1127" s="7" t="str">
        <f>VLOOKUP($S1127,Mapping!$E$140:$K$2771,7,0)</f>
        <v>ENDirect</v>
      </c>
      <c r="Z1127" s="7" t="str">
        <f>IFERROR(HLOOKUP(X1127,'Calc|Weightings'!$K$5:$M$5,1,0),"Excl")</f>
        <v>Contracts</v>
      </c>
      <c r="AA1127" s="7" t="str">
        <f>VLOOKUP(Q1127,Mapping!$E$11:$I$96,5,0)</f>
        <v>SCS</v>
      </c>
      <c r="AC1127" s="111">
        <v>148</v>
      </c>
      <c r="AD1127" s="111" t="s">
        <v>2158</v>
      </c>
      <c r="AE1127" s="111">
        <v>531469</v>
      </c>
      <c r="AF1127" s="111" t="s">
        <v>261</v>
      </c>
      <c r="AG1127" s="112">
        <v>0.16364000000000001</v>
      </c>
      <c r="AI1127" s="7" t="str">
        <f>VLOOKUP($AC1127,Mapping!$E$11:$I$96,3,0)</f>
        <v>Replacement</v>
      </c>
      <c r="AJ1127" s="7" t="str">
        <f>VLOOKUP($AE1127,Mapping!$E$140:$K$2771,5,0)</f>
        <v>Labour</v>
      </c>
      <c r="AK1127" s="7" t="str">
        <f>VLOOKUP($AE1127,Mapping!$E$140:$K$2771,7,0)</f>
        <v>ENDirect</v>
      </c>
      <c r="AL1127" s="7" t="str">
        <f>IFERROR(HLOOKUP(AJ1127,'Calc|Weightings'!$K$5:$M$5,1,0),"Excl")</f>
        <v>Labour</v>
      </c>
      <c r="AM1127" s="7" t="str">
        <f>VLOOKUP(AC1127,Mapping!$E$11:$I$96,5,0)</f>
        <v>SCS</v>
      </c>
      <c r="AO1127" s="134">
        <v>151</v>
      </c>
      <c r="AP1127" s="135" t="s">
        <v>2160</v>
      </c>
      <c r="AQ1127" s="135">
        <v>634001</v>
      </c>
      <c r="AR1127" s="135" t="s">
        <v>2110</v>
      </c>
      <c r="AS1127" s="136">
        <v>2.9800900000000001</v>
      </c>
      <c r="AU1127" s="7" t="str">
        <f>VLOOKUP($AO1127,Mapping!$E$11:$I$96,3,0)</f>
        <v>Metering Capex</v>
      </c>
      <c r="AV1127" s="7" t="str">
        <f>VLOOKUP($AQ1127,Mapping!$E$140:$K$2771,5,0)</f>
        <v>Local OH</v>
      </c>
      <c r="AW1127" s="7" t="str">
        <f>VLOOKUP($AQ1127,Mapping!$E$140:$K$2771,7,0)</f>
        <v>OH</v>
      </c>
      <c r="AX1127" s="7" t="str">
        <f>IFERROR(HLOOKUP(AV1127,'Calc|Weightings'!$K$5:$M$5,1,0),"Excl")</f>
        <v>Excl</v>
      </c>
      <c r="AY1127" s="7" t="str">
        <f>VLOOKUP(AO1127,Mapping!$E$11:$I$96,5,0)</f>
        <v>Metering Services</v>
      </c>
    </row>
    <row r="1128" spans="1:51" x14ac:dyDescent="0.2">
      <c r="A1128" s="7"/>
      <c r="B1128" s="7"/>
      <c r="C1128" s="7"/>
      <c r="D1128" s="7"/>
      <c r="E1128" s="36">
        <v>143</v>
      </c>
      <c r="F1128" s="36" t="s">
        <v>2153</v>
      </c>
      <c r="G1128" s="36">
        <v>613429</v>
      </c>
      <c r="H1128" s="36" t="s">
        <v>1431</v>
      </c>
      <c r="I1128" s="37">
        <v>3.0977800000000002</v>
      </c>
      <c r="J1128" s="7"/>
      <c r="K1128" s="7" t="str">
        <f>VLOOKUP($E1128,Mapping!$E$11:$I$96,3,0)</f>
        <v>Replacement</v>
      </c>
      <c r="L1128" s="7" t="str">
        <f>VLOOKUP($G1128,Mapping!$E$140:$K$2771,5,0)</f>
        <v>Labour</v>
      </c>
      <c r="M1128" s="7" t="str">
        <f>VLOOKUP($G1128,Mapping!$E$140:$K$2771,7,0)</f>
        <v>ENDirect</v>
      </c>
      <c r="N1128" s="7" t="str">
        <f>IFERROR(HLOOKUP(L1128,'Calc|Weightings'!$K$5:$M$5,1,0),"Excl")</f>
        <v>Labour</v>
      </c>
      <c r="O1128" s="7" t="str">
        <f>VLOOKUP(E1128,Mapping!$E$11:$I$96,5,0)</f>
        <v>SCS</v>
      </c>
      <c r="Q1128" s="33">
        <v>148</v>
      </c>
      <c r="R1128" s="33" t="s">
        <v>2158</v>
      </c>
      <c r="S1128" s="33">
        <v>531466</v>
      </c>
      <c r="T1128" s="33" t="s">
        <v>258</v>
      </c>
      <c r="U1128" s="34">
        <v>0.84726000000000001</v>
      </c>
      <c r="V1128" s="7"/>
      <c r="W1128" s="7" t="str">
        <f>VLOOKUP($Q1128,Mapping!$E$11:$I$96,3,0)</f>
        <v>Replacement</v>
      </c>
      <c r="X1128" s="7" t="str">
        <f>VLOOKUP($S1128,Mapping!$E$140:$K$2771,5,0)</f>
        <v>Contracts</v>
      </c>
      <c r="Y1128" s="7" t="str">
        <f>VLOOKUP($S1128,Mapping!$E$140:$K$2771,7,0)</f>
        <v>ENDirect</v>
      </c>
      <c r="Z1128" s="7" t="str">
        <f>IFERROR(HLOOKUP(X1128,'Calc|Weightings'!$K$5:$M$5,1,0),"Excl")</f>
        <v>Contracts</v>
      </c>
      <c r="AA1128" s="7" t="str">
        <f>VLOOKUP(Q1128,Mapping!$E$11:$I$96,5,0)</f>
        <v>SCS</v>
      </c>
      <c r="AC1128" s="111">
        <v>148</v>
      </c>
      <c r="AD1128" s="111" t="s">
        <v>2158</v>
      </c>
      <c r="AE1128" s="111">
        <v>591999</v>
      </c>
      <c r="AF1128" s="111" t="s">
        <v>2195</v>
      </c>
      <c r="AG1128" s="112">
        <v>-0.74182999999999999</v>
      </c>
      <c r="AI1128" s="7" t="str">
        <f>VLOOKUP($AC1128,Mapping!$E$11:$I$96,3,0)</f>
        <v>Replacement</v>
      </c>
      <c r="AJ1128" s="7" t="str">
        <f>VLOOKUP($AE1128,Mapping!$E$140:$K$2771,5,0)</f>
        <v>Contracts</v>
      </c>
      <c r="AK1128" s="7" t="str">
        <f>VLOOKUP($AE1128,Mapping!$E$140:$K$2771,7,0)</f>
        <v>ENDirect</v>
      </c>
      <c r="AL1128" s="7" t="str">
        <f>IFERROR(HLOOKUP(AJ1128,'Calc|Weightings'!$K$5:$M$5,1,0),"Excl")</f>
        <v>Contracts</v>
      </c>
      <c r="AM1128" s="7" t="str">
        <f>VLOOKUP(AC1128,Mapping!$E$11:$I$96,5,0)</f>
        <v>SCS</v>
      </c>
      <c r="AO1128" s="134">
        <v>151</v>
      </c>
      <c r="AP1128" s="135" t="s">
        <v>2160</v>
      </c>
      <c r="AQ1128" s="135">
        <v>635001</v>
      </c>
      <c r="AR1128" s="135" t="s">
        <v>1929</v>
      </c>
      <c r="AS1128" s="136">
        <v>1.83893</v>
      </c>
      <c r="AU1128" s="7" t="str">
        <f>VLOOKUP($AO1128,Mapping!$E$11:$I$96,3,0)</f>
        <v>Metering Capex</v>
      </c>
      <c r="AV1128" s="7" t="str">
        <f>VLOOKUP($AQ1128,Mapping!$E$140:$K$2771,5,0)</f>
        <v>PNS MG</v>
      </c>
      <c r="AW1128" s="7" t="str">
        <f>VLOOKUP($AQ1128,Mapping!$E$140:$K$2771,7,0)</f>
        <v>ENDirect</v>
      </c>
      <c r="AX1128" s="7" t="str">
        <f>IFERROR(HLOOKUP(AV1128,'Calc|Weightings'!$K$5:$M$5,1,0),"Excl")</f>
        <v>Excl</v>
      </c>
      <c r="AY1128" s="7" t="str">
        <f>VLOOKUP(AO1128,Mapping!$E$11:$I$96,5,0)</f>
        <v>Metering Services</v>
      </c>
    </row>
    <row r="1129" spans="1:51" x14ac:dyDescent="0.2">
      <c r="A1129" s="7"/>
      <c r="B1129" s="7"/>
      <c r="C1129" s="7"/>
      <c r="D1129" s="7"/>
      <c r="E1129" s="36">
        <v>143</v>
      </c>
      <c r="F1129" s="36" t="s">
        <v>2153</v>
      </c>
      <c r="G1129" s="36">
        <v>613566</v>
      </c>
      <c r="H1129" s="36" t="s">
        <v>1482</v>
      </c>
      <c r="I1129" s="37">
        <v>3.1644600000000001</v>
      </c>
      <c r="J1129" s="7"/>
      <c r="K1129" s="7" t="str">
        <f>VLOOKUP($E1129,Mapping!$E$11:$I$96,3,0)</f>
        <v>Replacement</v>
      </c>
      <c r="L1129" s="7" t="str">
        <f>VLOOKUP($G1129,Mapping!$E$140:$K$2771,5,0)</f>
        <v>Labour</v>
      </c>
      <c r="M1129" s="7" t="str">
        <f>VLOOKUP($G1129,Mapping!$E$140:$K$2771,7,0)</f>
        <v>ENDirect</v>
      </c>
      <c r="N1129" s="7" t="str">
        <f>IFERROR(HLOOKUP(L1129,'Calc|Weightings'!$K$5:$M$5,1,0),"Excl")</f>
        <v>Labour</v>
      </c>
      <c r="O1129" s="7" t="str">
        <f>VLOOKUP(E1129,Mapping!$E$11:$I$96,5,0)</f>
        <v>SCS</v>
      </c>
      <c r="Q1129" s="33">
        <v>148</v>
      </c>
      <c r="R1129" s="33" t="s">
        <v>2158</v>
      </c>
      <c r="S1129" s="33">
        <v>531467</v>
      </c>
      <c r="T1129" s="33" t="s">
        <v>259</v>
      </c>
      <c r="U1129" s="34">
        <v>45.202199999999998</v>
      </c>
      <c r="V1129" s="7"/>
      <c r="W1129" s="7" t="str">
        <f>VLOOKUP($Q1129,Mapping!$E$11:$I$96,3,0)</f>
        <v>Replacement</v>
      </c>
      <c r="X1129" s="7" t="str">
        <f>VLOOKUP($S1129,Mapping!$E$140:$K$2771,5,0)</f>
        <v>Contracts</v>
      </c>
      <c r="Y1129" s="7" t="str">
        <f>VLOOKUP($S1129,Mapping!$E$140:$K$2771,7,0)</f>
        <v>ENDirect</v>
      </c>
      <c r="Z1129" s="7" t="str">
        <f>IFERROR(HLOOKUP(X1129,'Calc|Weightings'!$K$5:$M$5,1,0),"Excl")</f>
        <v>Contracts</v>
      </c>
      <c r="AA1129" s="7" t="str">
        <f>VLOOKUP(Q1129,Mapping!$E$11:$I$96,5,0)</f>
        <v>SCS</v>
      </c>
      <c r="AC1129" s="111">
        <v>148</v>
      </c>
      <c r="AD1129" s="111" t="s">
        <v>2158</v>
      </c>
      <c r="AE1129" s="111">
        <v>613360</v>
      </c>
      <c r="AF1129" s="111" t="s">
        <v>2097</v>
      </c>
      <c r="AG1129" s="112">
        <v>0.50056</v>
      </c>
      <c r="AI1129" s="7" t="str">
        <f>VLOOKUP($AC1129,Mapping!$E$11:$I$96,3,0)</f>
        <v>Replacement</v>
      </c>
      <c r="AJ1129" s="7" t="str">
        <f>VLOOKUP($AE1129,Mapping!$E$140:$K$2771,5,0)</f>
        <v>Labour</v>
      </c>
      <c r="AK1129" s="7" t="str">
        <f>VLOOKUP($AE1129,Mapping!$E$140:$K$2771,7,0)</f>
        <v>ENDirect</v>
      </c>
      <c r="AL1129" s="7" t="str">
        <f>IFERROR(HLOOKUP(AJ1129,'Calc|Weightings'!$K$5:$M$5,1,0),"Excl")</f>
        <v>Labour</v>
      </c>
      <c r="AM1129" s="7" t="str">
        <f>VLOOKUP(AC1129,Mapping!$E$11:$I$96,5,0)</f>
        <v>SCS</v>
      </c>
      <c r="AO1129" s="134">
        <v>151</v>
      </c>
      <c r="AP1129" s="135" t="s">
        <v>2160</v>
      </c>
      <c r="AQ1129" s="135">
        <v>636001</v>
      </c>
      <c r="AR1129" s="135" t="s">
        <v>2111</v>
      </c>
      <c r="AS1129" s="136">
        <v>2.0556999999999999</v>
      </c>
      <c r="AU1129" s="7" t="str">
        <f>VLOOKUP($AO1129,Mapping!$E$11:$I$96,3,0)</f>
        <v>Metering Capex</v>
      </c>
      <c r="AV1129" s="7" t="str">
        <f>VLOOKUP($AQ1129,Mapping!$E$140:$K$2771,5,0)</f>
        <v>System Control OH</v>
      </c>
      <c r="AW1129" s="7" t="str">
        <f>VLOOKUP($AQ1129,Mapping!$E$140:$K$2771,7,0)</f>
        <v>OH</v>
      </c>
      <c r="AX1129" s="7" t="str">
        <f>IFERROR(HLOOKUP(AV1129,'Calc|Weightings'!$K$5:$M$5,1,0),"Excl")</f>
        <v>Excl</v>
      </c>
      <c r="AY1129" s="7" t="str">
        <f>VLOOKUP(AO1129,Mapping!$E$11:$I$96,5,0)</f>
        <v>Metering Services</v>
      </c>
    </row>
    <row r="1130" spans="1:51" x14ac:dyDescent="0.2">
      <c r="A1130" s="7"/>
      <c r="B1130" s="7"/>
      <c r="C1130" s="7"/>
      <c r="D1130" s="7"/>
      <c r="E1130" s="36">
        <v>143</v>
      </c>
      <c r="F1130" s="36" t="s">
        <v>2153</v>
      </c>
      <c r="G1130" s="36">
        <v>613567</v>
      </c>
      <c r="H1130" s="36" t="s">
        <v>1483</v>
      </c>
      <c r="I1130" s="37">
        <v>3.2861799999999999</v>
      </c>
      <c r="J1130" s="7"/>
      <c r="K1130" s="7" t="str">
        <f>VLOOKUP($E1130,Mapping!$E$11:$I$96,3,0)</f>
        <v>Replacement</v>
      </c>
      <c r="L1130" s="7" t="str">
        <f>VLOOKUP($G1130,Mapping!$E$140:$K$2771,5,0)</f>
        <v>Labour</v>
      </c>
      <c r="M1130" s="7" t="str">
        <f>VLOOKUP($G1130,Mapping!$E$140:$K$2771,7,0)</f>
        <v>ENDirect</v>
      </c>
      <c r="N1130" s="7" t="str">
        <f>IFERROR(HLOOKUP(L1130,'Calc|Weightings'!$K$5:$M$5,1,0),"Excl")</f>
        <v>Labour</v>
      </c>
      <c r="O1130" s="7" t="str">
        <f>VLOOKUP(E1130,Mapping!$E$11:$I$96,5,0)</f>
        <v>SCS</v>
      </c>
      <c r="Q1130" s="33">
        <v>148</v>
      </c>
      <c r="R1130" s="33" t="s">
        <v>2158</v>
      </c>
      <c r="S1130" s="33">
        <v>531468</v>
      </c>
      <c r="T1130" s="33" t="s">
        <v>260</v>
      </c>
      <c r="U1130" s="34">
        <v>44.268630000000002</v>
      </c>
      <c r="V1130" s="7"/>
      <c r="W1130" s="7" t="str">
        <f>VLOOKUP($Q1130,Mapping!$E$11:$I$96,3,0)</f>
        <v>Replacement</v>
      </c>
      <c r="X1130" s="7" t="str">
        <f>VLOOKUP($S1130,Mapping!$E$140:$K$2771,5,0)</f>
        <v>Contracts</v>
      </c>
      <c r="Y1130" s="7" t="str">
        <f>VLOOKUP($S1130,Mapping!$E$140:$K$2771,7,0)</f>
        <v>ENDirect</v>
      </c>
      <c r="Z1130" s="7" t="str">
        <f>IFERROR(HLOOKUP(X1130,'Calc|Weightings'!$K$5:$M$5,1,0),"Excl")</f>
        <v>Contracts</v>
      </c>
      <c r="AA1130" s="7" t="str">
        <f>VLOOKUP(Q1130,Mapping!$E$11:$I$96,5,0)</f>
        <v>SCS</v>
      </c>
      <c r="AC1130" s="111">
        <v>148</v>
      </c>
      <c r="AD1130" s="111" t="s">
        <v>2158</v>
      </c>
      <c r="AE1130" s="111">
        <v>613566</v>
      </c>
      <c r="AF1130" s="111" t="s">
        <v>1482</v>
      </c>
      <c r="AG1130" s="112">
        <v>2.5476000000000001</v>
      </c>
      <c r="AI1130" s="7" t="str">
        <f>VLOOKUP($AC1130,Mapping!$E$11:$I$96,3,0)</f>
        <v>Replacement</v>
      </c>
      <c r="AJ1130" s="7" t="str">
        <f>VLOOKUP($AE1130,Mapping!$E$140:$K$2771,5,0)</f>
        <v>Labour</v>
      </c>
      <c r="AK1130" s="7" t="str">
        <f>VLOOKUP($AE1130,Mapping!$E$140:$K$2771,7,0)</f>
        <v>ENDirect</v>
      </c>
      <c r="AL1130" s="7" t="str">
        <f>IFERROR(HLOOKUP(AJ1130,'Calc|Weightings'!$K$5:$M$5,1,0),"Excl")</f>
        <v>Labour</v>
      </c>
      <c r="AM1130" s="7" t="str">
        <f>VLOOKUP(AC1130,Mapping!$E$11:$I$96,5,0)</f>
        <v>SCS</v>
      </c>
      <c r="AO1130" s="134">
        <v>151</v>
      </c>
      <c r="AP1130" s="135" t="s">
        <v>2160</v>
      </c>
      <c r="AQ1130" s="135">
        <v>639000</v>
      </c>
      <c r="AR1130" s="135" t="s">
        <v>2112</v>
      </c>
      <c r="AS1130" s="136">
        <v>2.2288899999999998</v>
      </c>
      <c r="AU1130" s="7" t="str">
        <f>VLOOKUP($AO1130,Mapping!$E$11:$I$96,3,0)</f>
        <v>Metering Capex</v>
      </c>
      <c r="AV1130" s="7" t="str">
        <f>VLOOKUP($AQ1130,Mapping!$E$140:$K$2771,5,0)</f>
        <v>PNS Corporate OH</v>
      </c>
      <c r="AW1130" s="7" t="str">
        <f>VLOOKUP($AQ1130,Mapping!$E$140:$K$2771,7,0)</f>
        <v>OH</v>
      </c>
      <c r="AX1130" s="7" t="str">
        <f>IFERROR(HLOOKUP(AV1130,'Calc|Weightings'!$K$5:$M$5,1,0),"Excl")</f>
        <v>Excl</v>
      </c>
      <c r="AY1130" s="7" t="str">
        <f>VLOOKUP(AO1130,Mapping!$E$11:$I$96,5,0)</f>
        <v>Metering Services</v>
      </c>
    </row>
    <row r="1131" spans="1:51" x14ac:dyDescent="0.2">
      <c r="A1131" s="7"/>
      <c r="B1131" s="7"/>
      <c r="C1131" s="7"/>
      <c r="D1131" s="7"/>
      <c r="E1131" s="36">
        <v>143</v>
      </c>
      <c r="F1131" s="36" t="s">
        <v>2153</v>
      </c>
      <c r="G1131" s="36">
        <v>613570</v>
      </c>
      <c r="H1131" s="36" t="s">
        <v>1484</v>
      </c>
      <c r="I1131" s="37">
        <v>1.46052</v>
      </c>
      <c r="J1131" s="7"/>
      <c r="K1131" s="7" t="str">
        <f>VLOOKUP($E1131,Mapping!$E$11:$I$96,3,0)</f>
        <v>Replacement</v>
      </c>
      <c r="L1131" s="7" t="str">
        <f>VLOOKUP($G1131,Mapping!$E$140:$K$2771,5,0)</f>
        <v>Labour</v>
      </c>
      <c r="M1131" s="7" t="str">
        <f>VLOOKUP($G1131,Mapping!$E$140:$K$2771,7,0)</f>
        <v>ENDirect</v>
      </c>
      <c r="N1131" s="7" t="str">
        <f>IFERROR(HLOOKUP(L1131,'Calc|Weightings'!$K$5:$M$5,1,0),"Excl")</f>
        <v>Labour</v>
      </c>
      <c r="O1131" s="7" t="str">
        <f>VLOOKUP(E1131,Mapping!$E$11:$I$96,5,0)</f>
        <v>SCS</v>
      </c>
      <c r="Q1131" s="33">
        <v>148</v>
      </c>
      <c r="R1131" s="33" t="s">
        <v>2158</v>
      </c>
      <c r="S1131" s="33">
        <v>531469</v>
      </c>
      <c r="T1131" s="33" t="s">
        <v>261</v>
      </c>
      <c r="U1131" s="34">
        <v>1.7324999999999999</v>
      </c>
      <c r="V1131" s="7"/>
      <c r="W1131" s="7" t="str">
        <f>VLOOKUP($Q1131,Mapping!$E$11:$I$96,3,0)</f>
        <v>Replacement</v>
      </c>
      <c r="X1131" s="7" t="str">
        <f>VLOOKUP($S1131,Mapping!$E$140:$K$2771,5,0)</f>
        <v>Labour</v>
      </c>
      <c r="Y1131" s="7" t="str">
        <f>VLOOKUP($S1131,Mapping!$E$140:$K$2771,7,0)</f>
        <v>ENDirect</v>
      </c>
      <c r="Z1131" s="7" t="str">
        <f>IFERROR(HLOOKUP(X1131,'Calc|Weightings'!$K$5:$M$5,1,0),"Excl")</f>
        <v>Labour</v>
      </c>
      <c r="AA1131" s="7" t="str">
        <f>VLOOKUP(Q1131,Mapping!$E$11:$I$96,5,0)</f>
        <v>SCS</v>
      </c>
      <c r="AC1131" s="111">
        <v>148</v>
      </c>
      <c r="AD1131" s="111" t="s">
        <v>2158</v>
      </c>
      <c r="AE1131" s="111">
        <v>613567</v>
      </c>
      <c r="AF1131" s="111" t="s">
        <v>1483</v>
      </c>
      <c r="AG1131" s="112">
        <v>0.1134</v>
      </c>
      <c r="AI1131" s="7" t="str">
        <f>VLOOKUP($AC1131,Mapping!$E$11:$I$96,3,0)</f>
        <v>Replacement</v>
      </c>
      <c r="AJ1131" s="7" t="str">
        <f>VLOOKUP($AE1131,Mapping!$E$140:$K$2771,5,0)</f>
        <v>Labour</v>
      </c>
      <c r="AK1131" s="7" t="str">
        <f>VLOOKUP($AE1131,Mapping!$E$140:$K$2771,7,0)</f>
        <v>ENDirect</v>
      </c>
      <c r="AL1131" s="7" t="str">
        <f>IFERROR(HLOOKUP(AJ1131,'Calc|Weightings'!$K$5:$M$5,1,0),"Excl")</f>
        <v>Labour</v>
      </c>
      <c r="AM1131" s="7" t="str">
        <f>VLOOKUP(AC1131,Mapping!$E$11:$I$96,5,0)</f>
        <v>SCS</v>
      </c>
      <c r="AO1131" s="134">
        <v>151</v>
      </c>
      <c r="AP1131" s="135" t="s">
        <v>2160</v>
      </c>
      <c r="AQ1131" s="135">
        <v>639050</v>
      </c>
      <c r="AR1131" s="135" t="s">
        <v>2113</v>
      </c>
      <c r="AS1131" s="136">
        <v>0.66737000000000002</v>
      </c>
      <c r="AU1131" s="7" t="str">
        <f>VLOOKUP($AO1131,Mapping!$E$11:$I$96,3,0)</f>
        <v>Metering Capex</v>
      </c>
      <c r="AV1131" s="7" t="str">
        <f>VLOOKUP($AQ1131,Mapping!$E$140:$K$2771,5,0)</f>
        <v>PNS Fleet &amp; Property OH</v>
      </c>
      <c r="AW1131" s="7" t="str">
        <f>VLOOKUP($AQ1131,Mapping!$E$140:$K$2771,7,0)</f>
        <v>OH</v>
      </c>
      <c r="AX1131" s="7" t="str">
        <f>IFERROR(HLOOKUP(AV1131,'Calc|Weightings'!$K$5:$M$5,1,0),"Excl")</f>
        <v>Excl</v>
      </c>
      <c r="AY1131" s="7" t="str">
        <f>VLOOKUP(AO1131,Mapping!$E$11:$I$96,5,0)</f>
        <v>Metering Services</v>
      </c>
    </row>
    <row r="1132" spans="1:51" x14ac:dyDescent="0.2">
      <c r="A1132" s="7"/>
      <c r="B1132" s="7"/>
      <c r="C1132" s="7"/>
      <c r="D1132" s="7"/>
      <c r="E1132" s="36">
        <v>143</v>
      </c>
      <c r="F1132" s="36" t="s">
        <v>2153</v>
      </c>
      <c r="G1132" s="36">
        <v>613571</v>
      </c>
      <c r="H1132" s="36" t="s">
        <v>1485</v>
      </c>
      <c r="I1132" s="37">
        <v>3.2861699999999998</v>
      </c>
      <c r="J1132" s="7"/>
      <c r="K1132" s="7" t="str">
        <f>VLOOKUP($E1132,Mapping!$E$11:$I$96,3,0)</f>
        <v>Replacement</v>
      </c>
      <c r="L1132" s="7" t="str">
        <f>VLOOKUP($G1132,Mapping!$E$140:$K$2771,5,0)</f>
        <v>Labour</v>
      </c>
      <c r="M1132" s="7" t="str">
        <f>VLOOKUP($G1132,Mapping!$E$140:$K$2771,7,0)</f>
        <v>ENDirect</v>
      </c>
      <c r="N1132" s="7" t="str">
        <f>IFERROR(HLOOKUP(L1132,'Calc|Weightings'!$K$5:$M$5,1,0),"Excl")</f>
        <v>Labour</v>
      </c>
      <c r="O1132" s="7" t="str">
        <f>VLOOKUP(E1132,Mapping!$E$11:$I$96,5,0)</f>
        <v>SCS</v>
      </c>
      <c r="Q1132" s="33">
        <v>148</v>
      </c>
      <c r="R1132" s="33" t="s">
        <v>2158</v>
      </c>
      <c r="S1132" s="33">
        <v>591200</v>
      </c>
      <c r="T1132" s="33" t="s">
        <v>398</v>
      </c>
      <c r="U1132" s="34">
        <v>0.18</v>
      </c>
      <c r="V1132" s="7"/>
      <c r="W1132" s="7" t="str">
        <f>VLOOKUP($Q1132,Mapping!$E$11:$I$96,3,0)</f>
        <v>Replacement</v>
      </c>
      <c r="X1132" s="7" t="str">
        <f>VLOOKUP($S1132,Mapping!$E$140:$K$2771,5,0)</f>
        <v>Contracts</v>
      </c>
      <c r="Y1132" s="7" t="str">
        <f>VLOOKUP($S1132,Mapping!$E$140:$K$2771,7,0)</f>
        <v>ENDirect</v>
      </c>
      <c r="Z1132" s="7" t="str">
        <f>IFERROR(HLOOKUP(X1132,'Calc|Weightings'!$K$5:$M$5,1,0),"Excl")</f>
        <v>Contracts</v>
      </c>
      <c r="AA1132" s="7" t="str">
        <f>VLOOKUP(Q1132,Mapping!$E$11:$I$96,5,0)</f>
        <v>SCS</v>
      </c>
      <c r="AC1132" s="111">
        <v>148</v>
      </c>
      <c r="AD1132" s="111" t="s">
        <v>2158</v>
      </c>
      <c r="AE1132" s="111">
        <v>633000</v>
      </c>
      <c r="AF1132" s="111" t="s">
        <v>2202</v>
      </c>
      <c r="AG1132" s="112">
        <v>-1.5640099999999999</v>
      </c>
      <c r="AI1132" s="7" t="str">
        <f>VLOOKUP($AC1132,Mapping!$E$11:$I$96,3,0)</f>
        <v>Replacement</v>
      </c>
      <c r="AJ1132" s="7" t="str">
        <f>VLOOKUP($AE1132,Mapping!$E$140:$K$2771,5,0)</f>
        <v>Contracts</v>
      </c>
      <c r="AK1132" s="7" t="str">
        <f>VLOOKUP($AE1132,Mapping!$E$140:$K$2771,7,0)</f>
        <v>OH</v>
      </c>
      <c r="AL1132" s="7" t="str">
        <f>IFERROR(HLOOKUP(AJ1132,'Calc|Weightings'!$K$5:$M$5,1,0),"Excl")</f>
        <v>Contracts</v>
      </c>
      <c r="AM1132" s="7" t="str">
        <f>VLOOKUP(AC1132,Mapping!$E$11:$I$96,5,0)</f>
        <v>SCS</v>
      </c>
      <c r="AO1132" s="134">
        <v>153</v>
      </c>
      <c r="AP1132" s="135" t="s">
        <v>2162</v>
      </c>
      <c r="AQ1132" s="135">
        <v>604600</v>
      </c>
      <c r="AR1132" s="135" t="s">
        <v>487</v>
      </c>
      <c r="AS1132" s="136">
        <v>53.161180000000002</v>
      </c>
      <c r="AU1132" s="7" t="str">
        <f>VLOOKUP($AO1132,Mapping!$E$11:$I$96,3,0)</f>
        <v>Fee Based Opex</v>
      </c>
      <c r="AV1132" s="7" t="str">
        <f>VLOOKUP($AQ1132,Mapping!$E$140:$K$2771,5,0)</f>
        <v>Corporate Services Fee</v>
      </c>
      <c r="AW1132" s="7" t="str">
        <f>VLOOKUP($AQ1132,Mapping!$E$140:$K$2771,7,0)</f>
        <v>ENDirect</v>
      </c>
      <c r="AX1132" s="7" t="str">
        <f>IFERROR(HLOOKUP(AV1132,'Calc|Weightings'!$K$5:$M$5,1,0),"Excl")</f>
        <v>Excl</v>
      </c>
      <c r="AY1132" s="7" t="str">
        <f>VLOOKUP(AO1132,Mapping!$E$11:$I$96,5,0)</f>
        <v>Ancillary Network Services</v>
      </c>
    </row>
    <row r="1133" spans="1:51" x14ac:dyDescent="0.2">
      <c r="A1133" s="7"/>
      <c r="B1133" s="7"/>
      <c r="C1133" s="7"/>
      <c r="D1133" s="7"/>
      <c r="E1133" s="36">
        <v>143</v>
      </c>
      <c r="F1133" s="36" t="s">
        <v>2153</v>
      </c>
      <c r="G1133" s="36">
        <v>613574</v>
      </c>
      <c r="H1133" s="36" t="s">
        <v>1488</v>
      </c>
      <c r="I1133" s="37">
        <v>2.0230399999999999</v>
      </c>
      <c r="J1133" s="7"/>
      <c r="K1133" s="7" t="str">
        <f>VLOOKUP($E1133,Mapping!$E$11:$I$96,3,0)</f>
        <v>Replacement</v>
      </c>
      <c r="L1133" s="7" t="str">
        <f>VLOOKUP($G1133,Mapping!$E$140:$K$2771,5,0)</f>
        <v>Labour</v>
      </c>
      <c r="M1133" s="7" t="str">
        <f>VLOOKUP($G1133,Mapping!$E$140:$K$2771,7,0)</f>
        <v>ENDirect</v>
      </c>
      <c r="N1133" s="7" t="str">
        <f>IFERROR(HLOOKUP(L1133,'Calc|Weightings'!$K$5:$M$5,1,0),"Excl")</f>
        <v>Labour</v>
      </c>
      <c r="O1133" s="7" t="str">
        <f>VLOOKUP(E1133,Mapping!$E$11:$I$96,5,0)</f>
        <v>SCS</v>
      </c>
      <c r="Q1133" s="33">
        <v>148</v>
      </c>
      <c r="R1133" s="33" t="s">
        <v>2158</v>
      </c>
      <c r="S1133" s="33">
        <v>611860</v>
      </c>
      <c r="T1133" s="33" t="s">
        <v>2125</v>
      </c>
      <c r="U1133" s="34">
        <v>0.26257999999999998</v>
      </c>
      <c r="V1133" s="7"/>
      <c r="W1133" s="7" t="str">
        <f>VLOOKUP($Q1133,Mapping!$E$11:$I$96,3,0)</f>
        <v>Replacement</v>
      </c>
      <c r="X1133" s="7" t="str">
        <f>VLOOKUP($S1133,Mapping!$E$140:$K$2771,5,0)</f>
        <v>Labour</v>
      </c>
      <c r="Y1133" s="7" t="str">
        <f>VLOOKUP($S1133,Mapping!$E$140:$K$2771,7,0)</f>
        <v>ENDirect</v>
      </c>
      <c r="Z1133" s="7" t="str">
        <f>IFERROR(HLOOKUP(X1133,'Calc|Weightings'!$K$5:$M$5,1,0),"Excl")</f>
        <v>Labour</v>
      </c>
      <c r="AA1133" s="7" t="str">
        <f>VLOOKUP(Q1133,Mapping!$E$11:$I$96,5,0)</f>
        <v>SCS</v>
      </c>
      <c r="AC1133" s="111">
        <v>148</v>
      </c>
      <c r="AD1133" s="111" t="s">
        <v>2158</v>
      </c>
      <c r="AE1133" s="111">
        <v>634000</v>
      </c>
      <c r="AF1133" s="111" t="s">
        <v>2110</v>
      </c>
      <c r="AG1133" s="112">
        <v>0.44740000000000002</v>
      </c>
      <c r="AI1133" s="7" t="str">
        <f>VLOOKUP($AC1133,Mapping!$E$11:$I$96,3,0)</f>
        <v>Replacement</v>
      </c>
      <c r="AJ1133" s="7" t="str">
        <f>VLOOKUP($AE1133,Mapping!$E$140:$K$2771,5,0)</f>
        <v>Local OH</v>
      </c>
      <c r="AK1133" s="7" t="str">
        <f>VLOOKUP($AE1133,Mapping!$E$140:$K$2771,7,0)</f>
        <v>OH</v>
      </c>
      <c r="AL1133" s="7" t="str">
        <f>IFERROR(HLOOKUP(AJ1133,'Calc|Weightings'!$K$5:$M$5,1,0),"Excl")</f>
        <v>Excl</v>
      </c>
      <c r="AM1133" s="7" t="str">
        <f>VLOOKUP(AC1133,Mapping!$E$11:$I$96,5,0)</f>
        <v>SCS</v>
      </c>
      <c r="AO1133" s="134">
        <v>153</v>
      </c>
      <c r="AP1133" s="135" t="s">
        <v>2162</v>
      </c>
      <c r="AQ1133" s="135">
        <v>613736</v>
      </c>
      <c r="AR1133" s="135" t="s">
        <v>1766</v>
      </c>
      <c r="AS1133" s="136">
        <v>521.79319999999996</v>
      </c>
      <c r="AU1133" s="7" t="str">
        <f>VLOOKUP($AO1133,Mapping!$E$11:$I$96,3,0)</f>
        <v>Fee Based Opex</v>
      </c>
      <c r="AV1133" s="7" t="str">
        <f>VLOOKUP($AQ1133,Mapping!$E$140:$K$2771,5,0)</f>
        <v>Labour (50%)/ Contracts (50%)</v>
      </c>
      <c r="AW1133" s="7" t="str">
        <f>VLOOKUP($AQ1133,Mapping!$E$140:$K$2771,7,0)</f>
        <v>ENDirect</v>
      </c>
      <c r="AX1133" s="7" t="str">
        <f>IFERROR(HLOOKUP(AV1133,'Calc|Weightings'!$K$5:$M$5,1,0),"Excl")</f>
        <v>Excl</v>
      </c>
      <c r="AY1133" s="7" t="str">
        <f>VLOOKUP(AO1133,Mapping!$E$11:$I$96,5,0)</f>
        <v>Ancillary Network Services</v>
      </c>
    </row>
    <row r="1134" spans="1:51" x14ac:dyDescent="0.2">
      <c r="A1134" s="7"/>
      <c r="B1134" s="7"/>
      <c r="C1134" s="7"/>
      <c r="D1134" s="7"/>
      <c r="E1134" s="36">
        <v>143</v>
      </c>
      <c r="F1134" s="36" t="s">
        <v>2153</v>
      </c>
      <c r="G1134" s="36">
        <v>613575</v>
      </c>
      <c r="H1134" s="36" t="s">
        <v>1489</v>
      </c>
      <c r="I1134" s="37">
        <v>0.31609999999999999</v>
      </c>
      <c r="J1134" s="7"/>
      <c r="K1134" s="7" t="str">
        <f>VLOOKUP($E1134,Mapping!$E$11:$I$96,3,0)</f>
        <v>Replacement</v>
      </c>
      <c r="L1134" s="7" t="str">
        <f>VLOOKUP($G1134,Mapping!$E$140:$K$2771,5,0)</f>
        <v>Labour</v>
      </c>
      <c r="M1134" s="7" t="str">
        <f>VLOOKUP($G1134,Mapping!$E$140:$K$2771,7,0)</f>
        <v>ENDirect</v>
      </c>
      <c r="N1134" s="7" t="str">
        <f>IFERROR(HLOOKUP(L1134,'Calc|Weightings'!$K$5:$M$5,1,0),"Excl")</f>
        <v>Labour</v>
      </c>
      <c r="O1134" s="7" t="str">
        <f>VLOOKUP(E1134,Mapping!$E$11:$I$96,5,0)</f>
        <v>SCS</v>
      </c>
      <c r="Q1134" s="33">
        <v>148</v>
      </c>
      <c r="R1134" s="33" t="s">
        <v>2158</v>
      </c>
      <c r="S1134" s="33">
        <v>611861</v>
      </c>
      <c r="T1134" s="33" t="s">
        <v>2140</v>
      </c>
      <c r="U1134" s="34">
        <v>0.66929000000000005</v>
      </c>
      <c r="V1134" s="7"/>
      <c r="W1134" s="7" t="str">
        <f>VLOOKUP($Q1134,Mapping!$E$11:$I$96,3,0)</f>
        <v>Replacement</v>
      </c>
      <c r="X1134" s="7" t="str">
        <f>VLOOKUP($S1134,Mapping!$E$140:$K$2771,5,0)</f>
        <v>Labour</v>
      </c>
      <c r="Y1134" s="7" t="str">
        <f>VLOOKUP($S1134,Mapping!$E$140:$K$2771,7,0)</f>
        <v>ENDirect</v>
      </c>
      <c r="Z1134" s="7" t="str">
        <f>IFERROR(HLOOKUP(X1134,'Calc|Weightings'!$K$5:$M$5,1,0),"Excl")</f>
        <v>Labour</v>
      </c>
      <c r="AA1134" s="7" t="str">
        <f>VLOOKUP(Q1134,Mapping!$E$11:$I$96,5,0)</f>
        <v>SCS</v>
      </c>
      <c r="AC1134" s="111">
        <v>148</v>
      </c>
      <c r="AD1134" s="111" t="s">
        <v>2158</v>
      </c>
      <c r="AE1134" s="111">
        <v>634001</v>
      </c>
      <c r="AF1134" s="111" t="s">
        <v>2110</v>
      </c>
      <c r="AG1134" s="112">
        <v>127.38227999999999</v>
      </c>
      <c r="AI1134" s="7" t="str">
        <f>VLOOKUP($AC1134,Mapping!$E$11:$I$96,3,0)</f>
        <v>Replacement</v>
      </c>
      <c r="AJ1134" s="7" t="str">
        <f>VLOOKUP($AE1134,Mapping!$E$140:$K$2771,5,0)</f>
        <v>Local OH</v>
      </c>
      <c r="AK1134" s="7" t="str">
        <f>VLOOKUP($AE1134,Mapping!$E$140:$K$2771,7,0)</f>
        <v>OH</v>
      </c>
      <c r="AL1134" s="7" t="str">
        <f>IFERROR(HLOOKUP(AJ1134,'Calc|Weightings'!$K$5:$M$5,1,0),"Excl")</f>
        <v>Excl</v>
      </c>
      <c r="AM1134" s="7" t="str">
        <f>VLOOKUP(AC1134,Mapping!$E$11:$I$96,5,0)</f>
        <v>SCS</v>
      </c>
      <c r="AO1134" s="134">
        <v>153</v>
      </c>
      <c r="AP1134" s="135" t="s">
        <v>2162</v>
      </c>
      <c r="AQ1134" s="135">
        <v>613739</v>
      </c>
      <c r="AR1134" s="135" t="s">
        <v>1767</v>
      </c>
      <c r="AS1134" s="136">
        <v>377.52499999999998</v>
      </c>
      <c r="AU1134" s="7" t="str">
        <f>VLOOKUP($AO1134,Mapping!$E$11:$I$96,3,0)</f>
        <v>Fee Based Opex</v>
      </c>
      <c r="AV1134" s="7" t="str">
        <f>VLOOKUP($AQ1134,Mapping!$E$140:$K$2771,5,0)</f>
        <v>Labour (50%)/ Contracts (50%)</v>
      </c>
      <c r="AW1134" s="7" t="str">
        <f>VLOOKUP($AQ1134,Mapping!$E$140:$K$2771,7,0)</f>
        <v>ENDirect</v>
      </c>
      <c r="AX1134" s="7" t="str">
        <f>IFERROR(HLOOKUP(AV1134,'Calc|Weightings'!$K$5:$M$5,1,0),"Excl")</f>
        <v>Excl</v>
      </c>
      <c r="AY1134" s="7" t="str">
        <f>VLOOKUP(AO1134,Mapping!$E$11:$I$96,5,0)</f>
        <v>Ancillary Network Services</v>
      </c>
    </row>
    <row r="1135" spans="1:51" x14ac:dyDescent="0.2">
      <c r="A1135" s="7"/>
      <c r="B1135" s="7"/>
      <c r="C1135" s="7"/>
      <c r="D1135" s="7"/>
      <c r="E1135" s="36">
        <v>143</v>
      </c>
      <c r="F1135" s="36" t="s">
        <v>2153</v>
      </c>
      <c r="G1135" s="36">
        <v>613576</v>
      </c>
      <c r="H1135" s="36" t="s">
        <v>1490</v>
      </c>
      <c r="I1135" s="37">
        <v>6.5128000000000004</v>
      </c>
      <c r="J1135" s="7"/>
      <c r="K1135" s="7" t="str">
        <f>VLOOKUP($E1135,Mapping!$E$11:$I$96,3,0)</f>
        <v>Replacement</v>
      </c>
      <c r="L1135" s="7" t="str">
        <f>VLOOKUP($G1135,Mapping!$E$140:$K$2771,5,0)</f>
        <v>Labour</v>
      </c>
      <c r="M1135" s="7" t="str">
        <f>VLOOKUP($G1135,Mapping!$E$140:$K$2771,7,0)</f>
        <v>ENDirect</v>
      </c>
      <c r="N1135" s="7" t="str">
        <f>IFERROR(HLOOKUP(L1135,'Calc|Weightings'!$K$5:$M$5,1,0),"Excl")</f>
        <v>Labour</v>
      </c>
      <c r="O1135" s="7" t="str">
        <f>VLOOKUP(E1135,Mapping!$E$11:$I$96,5,0)</f>
        <v>SCS</v>
      </c>
      <c r="Q1135" s="33">
        <v>148</v>
      </c>
      <c r="R1135" s="33" t="s">
        <v>2158</v>
      </c>
      <c r="S1135" s="33">
        <v>611900</v>
      </c>
      <c r="T1135" s="33" t="s">
        <v>2079</v>
      </c>
      <c r="U1135" s="34">
        <v>0.58194000000000001</v>
      </c>
      <c r="V1135" s="7"/>
      <c r="W1135" s="7" t="str">
        <f>VLOOKUP($Q1135,Mapping!$E$11:$I$96,3,0)</f>
        <v>Replacement</v>
      </c>
      <c r="X1135" s="7" t="str">
        <f>VLOOKUP($S1135,Mapping!$E$140:$K$2771,5,0)</f>
        <v>Contracts</v>
      </c>
      <c r="Y1135" s="7" t="str">
        <f>VLOOKUP($S1135,Mapping!$E$140:$K$2771,7,0)</f>
        <v>ENDirect</v>
      </c>
      <c r="Z1135" s="7" t="str">
        <f>IFERROR(HLOOKUP(X1135,'Calc|Weightings'!$K$5:$M$5,1,0),"Excl")</f>
        <v>Contracts</v>
      </c>
      <c r="AA1135" s="7" t="str">
        <f>VLOOKUP(Q1135,Mapping!$E$11:$I$96,5,0)</f>
        <v>SCS</v>
      </c>
      <c r="AC1135" s="111">
        <v>148</v>
      </c>
      <c r="AD1135" s="111" t="s">
        <v>2158</v>
      </c>
      <c r="AE1135" s="111">
        <v>635000</v>
      </c>
      <c r="AF1135" s="111" t="s">
        <v>2128</v>
      </c>
      <c r="AG1135" s="112">
        <v>1.59853</v>
      </c>
      <c r="AI1135" s="7" t="str">
        <f>VLOOKUP($AC1135,Mapping!$E$11:$I$96,3,0)</f>
        <v>Replacement</v>
      </c>
      <c r="AJ1135" s="7" t="str">
        <f>VLOOKUP($AE1135,Mapping!$E$140:$K$2771,5,0)</f>
        <v>PNS MG</v>
      </c>
      <c r="AK1135" s="7" t="str">
        <f>VLOOKUP($AE1135,Mapping!$E$140:$K$2771,7,0)</f>
        <v>ENDirect</v>
      </c>
      <c r="AL1135" s="7" t="str">
        <f>IFERROR(HLOOKUP(AJ1135,'Calc|Weightings'!$K$5:$M$5,1,0),"Excl")</f>
        <v>Excl</v>
      </c>
      <c r="AM1135" s="7" t="str">
        <f>VLOOKUP(AC1135,Mapping!$E$11:$I$96,5,0)</f>
        <v>SCS</v>
      </c>
      <c r="AO1135" s="134">
        <v>153</v>
      </c>
      <c r="AP1135" s="135" t="s">
        <v>2162</v>
      </c>
      <c r="AQ1135" s="135">
        <v>634001</v>
      </c>
      <c r="AR1135" s="135" t="s">
        <v>2110</v>
      </c>
      <c r="AS1135" s="136">
        <v>5.08378</v>
      </c>
      <c r="AU1135" s="7" t="str">
        <f>VLOOKUP($AO1135,Mapping!$E$11:$I$96,3,0)</f>
        <v>Fee Based Opex</v>
      </c>
      <c r="AV1135" s="7" t="str">
        <f>VLOOKUP($AQ1135,Mapping!$E$140:$K$2771,5,0)</f>
        <v>Local OH</v>
      </c>
      <c r="AW1135" s="7" t="str">
        <f>VLOOKUP($AQ1135,Mapping!$E$140:$K$2771,7,0)</f>
        <v>OH</v>
      </c>
      <c r="AX1135" s="7" t="str">
        <f>IFERROR(HLOOKUP(AV1135,'Calc|Weightings'!$K$5:$M$5,1,0),"Excl")</f>
        <v>Excl</v>
      </c>
      <c r="AY1135" s="7" t="str">
        <f>VLOOKUP(AO1135,Mapping!$E$11:$I$96,5,0)</f>
        <v>Ancillary Network Services</v>
      </c>
    </row>
    <row r="1136" spans="1:51" x14ac:dyDescent="0.2">
      <c r="A1136" s="7"/>
      <c r="B1136" s="7"/>
      <c r="C1136" s="7"/>
      <c r="D1136" s="7"/>
      <c r="E1136" s="36">
        <v>143</v>
      </c>
      <c r="F1136" s="36" t="s">
        <v>2153</v>
      </c>
      <c r="G1136" s="36">
        <v>613602</v>
      </c>
      <c r="H1136" s="36" t="s">
        <v>1494</v>
      </c>
      <c r="I1136" s="37">
        <v>1.8608</v>
      </c>
      <c r="J1136" s="7"/>
      <c r="K1136" s="7" t="str">
        <f>VLOOKUP($E1136,Mapping!$E$11:$I$96,3,0)</f>
        <v>Replacement</v>
      </c>
      <c r="L1136" s="7" t="str">
        <f>VLOOKUP($G1136,Mapping!$E$140:$K$2771,5,0)</f>
        <v>Labour</v>
      </c>
      <c r="M1136" s="7" t="str">
        <f>VLOOKUP($G1136,Mapping!$E$140:$K$2771,7,0)</f>
        <v>ENDirect</v>
      </c>
      <c r="N1136" s="7" t="str">
        <f>IFERROR(HLOOKUP(L1136,'Calc|Weightings'!$K$5:$M$5,1,0),"Excl")</f>
        <v>Labour</v>
      </c>
      <c r="O1136" s="7" t="str">
        <f>VLOOKUP(E1136,Mapping!$E$11:$I$96,5,0)</f>
        <v>SCS</v>
      </c>
      <c r="Q1136" s="33">
        <v>148</v>
      </c>
      <c r="R1136" s="33" t="s">
        <v>2158</v>
      </c>
      <c r="S1136" s="33">
        <v>611901</v>
      </c>
      <c r="T1136" s="33" t="s">
        <v>2080</v>
      </c>
      <c r="U1136" s="34">
        <v>0.80879000000000001</v>
      </c>
      <c r="V1136" s="7"/>
      <c r="W1136" s="7" t="str">
        <f>VLOOKUP($Q1136,Mapping!$E$11:$I$96,3,0)</f>
        <v>Replacement</v>
      </c>
      <c r="X1136" s="7" t="str">
        <f>VLOOKUP($S1136,Mapping!$E$140:$K$2771,5,0)</f>
        <v>Contracts</v>
      </c>
      <c r="Y1136" s="7" t="str">
        <f>VLOOKUP($S1136,Mapping!$E$140:$K$2771,7,0)</f>
        <v>ENDirect</v>
      </c>
      <c r="Z1136" s="7" t="str">
        <f>IFERROR(HLOOKUP(X1136,'Calc|Weightings'!$K$5:$M$5,1,0),"Excl")</f>
        <v>Contracts</v>
      </c>
      <c r="AA1136" s="7" t="str">
        <f>VLOOKUP(Q1136,Mapping!$E$11:$I$96,5,0)</f>
        <v>SCS</v>
      </c>
      <c r="AC1136" s="111">
        <v>148</v>
      </c>
      <c r="AD1136" s="111" t="s">
        <v>2158</v>
      </c>
      <c r="AE1136" s="111">
        <v>635001</v>
      </c>
      <c r="AF1136" s="111" t="s">
        <v>1929</v>
      </c>
      <c r="AG1136" s="112">
        <v>-1.98783</v>
      </c>
      <c r="AI1136" s="7" t="str">
        <f>VLOOKUP($AC1136,Mapping!$E$11:$I$96,3,0)</f>
        <v>Replacement</v>
      </c>
      <c r="AJ1136" s="7" t="str">
        <f>VLOOKUP($AE1136,Mapping!$E$140:$K$2771,5,0)</f>
        <v>PNS MG</v>
      </c>
      <c r="AK1136" s="7" t="str">
        <f>VLOOKUP($AE1136,Mapping!$E$140:$K$2771,7,0)</f>
        <v>ENDirect</v>
      </c>
      <c r="AL1136" s="7" t="str">
        <f>IFERROR(HLOOKUP(AJ1136,'Calc|Weightings'!$K$5:$M$5,1,0),"Excl")</f>
        <v>Excl</v>
      </c>
      <c r="AM1136" s="7" t="str">
        <f>VLOOKUP(AC1136,Mapping!$E$11:$I$96,5,0)</f>
        <v>SCS</v>
      </c>
      <c r="AO1136" s="134">
        <v>153</v>
      </c>
      <c r="AP1136" s="135" t="s">
        <v>2162</v>
      </c>
      <c r="AQ1136" s="135">
        <v>635001</v>
      </c>
      <c r="AR1136" s="135" t="s">
        <v>1929</v>
      </c>
      <c r="AS1136" s="136">
        <v>53.393599999999999</v>
      </c>
      <c r="AU1136" s="7" t="str">
        <f>VLOOKUP($AO1136,Mapping!$E$11:$I$96,3,0)</f>
        <v>Fee Based Opex</v>
      </c>
      <c r="AV1136" s="7" t="str">
        <f>VLOOKUP($AQ1136,Mapping!$E$140:$K$2771,5,0)</f>
        <v>PNS MG</v>
      </c>
      <c r="AW1136" s="7" t="str">
        <f>VLOOKUP($AQ1136,Mapping!$E$140:$K$2771,7,0)</f>
        <v>ENDirect</v>
      </c>
      <c r="AX1136" s="7" t="str">
        <f>IFERROR(HLOOKUP(AV1136,'Calc|Weightings'!$K$5:$M$5,1,0),"Excl")</f>
        <v>Excl</v>
      </c>
      <c r="AY1136" s="7" t="str">
        <f>VLOOKUP(AO1136,Mapping!$E$11:$I$96,5,0)</f>
        <v>Ancillary Network Services</v>
      </c>
    </row>
    <row r="1137" spans="1:51" x14ac:dyDescent="0.2">
      <c r="A1137" s="7"/>
      <c r="B1137" s="7"/>
      <c r="C1137" s="7"/>
      <c r="D1137" s="7"/>
      <c r="E1137" s="36">
        <v>143</v>
      </c>
      <c r="F1137" s="36" t="s">
        <v>2153</v>
      </c>
      <c r="G1137" s="36">
        <v>613630</v>
      </c>
      <c r="H1137" s="36" t="s">
        <v>1498</v>
      </c>
      <c r="I1137" s="37">
        <v>0.31703999999999999</v>
      </c>
      <c r="J1137" s="7"/>
      <c r="K1137" s="7" t="str">
        <f>VLOOKUP($E1137,Mapping!$E$11:$I$96,3,0)</f>
        <v>Replacement</v>
      </c>
      <c r="L1137" s="7" t="str">
        <f>VLOOKUP($G1137,Mapping!$E$140:$K$2771,5,0)</f>
        <v>Labour</v>
      </c>
      <c r="M1137" s="7" t="str">
        <f>VLOOKUP($G1137,Mapping!$E$140:$K$2771,7,0)</f>
        <v>ENDirect</v>
      </c>
      <c r="N1137" s="7" t="str">
        <f>IFERROR(HLOOKUP(L1137,'Calc|Weightings'!$K$5:$M$5,1,0),"Excl")</f>
        <v>Labour</v>
      </c>
      <c r="O1137" s="7" t="str">
        <f>VLOOKUP(E1137,Mapping!$E$11:$I$96,5,0)</f>
        <v>SCS</v>
      </c>
      <c r="Q1137" s="33">
        <v>148</v>
      </c>
      <c r="R1137" s="33" t="s">
        <v>2158</v>
      </c>
      <c r="S1137" s="33">
        <v>612210</v>
      </c>
      <c r="T1137" s="33" t="s">
        <v>1184</v>
      </c>
      <c r="U1137" s="34">
        <v>2.5400000000000002E-3</v>
      </c>
      <c r="V1137" s="7"/>
      <c r="W1137" s="7" t="str">
        <f>VLOOKUP($Q1137,Mapping!$E$11:$I$96,3,0)</f>
        <v>Replacement</v>
      </c>
      <c r="X1137" s="7" t="str">
        <f>VLOOKUP($S1137,Mapping!$E$140:$K$2771,5,0)</f>
        <v>Labour</v>
      </c>
      <c r="Y1137" s="7" t="str">
        <f>VLOOKUP($S1137,Mapping!$E$140:$K$2771,7,0)</f>
        <v>ENDirect</v>
      </c>
      <c r="Z1137" s="7" t="str">
        <f>IFERROR(HLOOKUP(X1137,'Calc|Weightings'!$K$5:$M$5,1,0),"Excl")</f>
        <v>Labour</v>
      </c>
      <c r="AA1137" s="7" t="str">
        <f>VLOOKUP(Q1137,Mapping!$E$11:$I$96,5,0)</f>
        <v>SCS</v>
      </c>
      <c r="AC1137" s="111">
        <v>148</v>
      </c>
      <c r="AD1137" s="111" t="s">
        <v>2158</v>
      </c>
      <c r="AE1137" s="111">
        <v>636000</v>
      </c>
      <c r="AF1137" s="111" t="s">
        <v>2111</v>
      </c>
      <c r="AG1137" s="112">
        <v>9.0950000000000003E-2</v>
      </c>
      <c r="AI1137" s="7" t="str">
        <f>VLOOKUP($AC1137,Mapping!$E$11:$I$96,3,0)</f>
        <v>Replacement</v>
      </c>
      <c r="AJ1137" s="7" t="str">
        <f>VLOOKUP($AE1137,Mapping!$E$140:$K$2771,5,0)</f>
        <v>System Control OH</v>
      </c>
      <c r="AK1137" s="7" t="str">
        <f>VLOOKUP($AE1137,Mapping!$E$140:$K$2771,7,0)</f>
        <v>OH</v>
      </c>
      <c r="AL1137" s="7" t="str">
        <f>IFERROR(HLOOKUP(AJ1137,'Calc|Weightings'!$K$5:$M$5,1,0),"Excl")</f>
        <v>Excl</v>
      </c>
      <c r="AM1137" s="7" t="str">
        <f>VLOOKUP(AC1137,Mapping!$E$11:$I$96,5,0)</f>
        <v>SCS</v>
      </c>
      <c r="AO1137" s="134">
        <v>153</v>
      </c>
      <c r="AP1137" s="135" t="s">
        <v>2162</v>
      </c>
      <c r="AQ1137" s="135">
        <v>636001</v>
      </c>
      <c r="AR1137" s="135" t="s">
        <v>2111</v>
      </c>
      <c r="AS1137" s="136">
        <v>3.49457</v>
      </c>
      <c r="AU1137" s="7" t="str">
        <f>VLOOKUP($AO1137,Mapping!$E$11:$I$96,3,0)</f>
        <v>Fee Based Opex</v>
      </c>
      <c r="AV1137" s="7" t="str">
        <f>VLOOKUP($AQ1137,Mapping!$E$140:$K$2771,5,0)</f>
        <v>System Control OH</v>
      </c>
      <c r="AW1137" s="7" t="str">
        <f>VLOOKUP($AQ1137,Mapping!$E$140:$K$2771,7,0)</f>
        <v>OH</v>
      </c>
      <c r="AX1137" s="7" t="str">
        <f>IFERROR(HLOOKUP(AV1137,'Calc|Weightings'!$K$5:$M$5,1,0),"Excl")</f>
        <v>Excl</v>
      </c>
      <c r="AY1137" s="7" t="str">
        <f>VLOOKUP(AO1137,Mapping!$E$11:$I$96,5,0)</f>
        <v>Ancillary Network Services</v>
      </c>
    </row>
    <row r="1138" spans="1:51" x14ac:dyDescent="0.2">
      <c r="A1138" s="7"/>
      <c r="B1138" s="7"/>
      <c r="C1138" s="7"/>
      <c r="D1138" s="7"/>
      <c r="E1138" s="36">
        <v>143</v>
      </c>
      <c r="F1138" s="36" t="s">
        <v>2153</v>
      </c>
      <c r="G1138" s="36">
        <v>613680</v>
      </c>
      <c r="H1138" s="36" t="s">
        <v>2107</v>
      </c>
      <c r="I1138" s="37">
        <v>75.82396</v>
      </c>
      <c r="J1138" s="7"/>
      <c r="K1138" s="7" t="str">
        <f>VLOOKUP($E1138,Mapping!$E$11:$I$96,3,0)</f>
        <v>Replacement</v>
      </c>
      <c r="L1138" s="7" t="str">
        <f>VLOOKUP($G1138,Mapping!$E$140:$K$2771,5,0)</f>
        <v>Labour</v>
      </c>
      <c r="M1138" s="7" t="str">
        <f>VLOOKUP($G1138,Mapping!$E$140:$K$2771,7,0)</f>
        <v>ENDirect</v>
      </c>
      <c r="N1138" s="7" t="str">
        <f>IFERROR(HLOOKUP(L1138,'Calc|Weightings'!$K$5:$M$5,1,0),"Excl")</f>
        <v>Labour</v>
      </c>
      <c r="O1138" s="7" t="str">
        <f>VLOOKUP(E1138,Mapping!$E$11:$I$96,5,0)</f>
        <v>SCS</v>
      </c>
      <c r="Q1138" s="33">
        <v>148</v>
      </c>
      <c r="R1138" s="33" t="s">
        <v>2158</v>
      </c>
      <c r="S1138" s="33">
        <v>613240</v>
      </c>
      <c r="T1138" s="33" t="s">
        <v>2082</v>
      </c>
      <c r="U1138" s="34">
        <v>11.34394</v>
      </c>
      <c r="V1138" s="7"/>
      <c r="W1138" s="7" t="str">
        <f>VLOOKUP($Q1138,Mapping!$E$11:$I$96,3,0)</f>
        <v>Replacement</v>
      </c>
      <c r="X1138" s="7" t="str">
        <f>VLOOKUP($S1138,Mapping!$E$140:$K$2771,5,0)</f>
        <v>Labour</v>
      </c>
      <c r="Y1138" s="7" t="str">
        <f>VLOOKUP($S1138,Mapping!$E$140:$K$2771,7,0)</f>
        <v>ENDirect</v>
      </c>
      <c r="Z1138" s="7" t="str">
        <f>IFERROR(HLOOKUP(X1138,'Calc|Weightings'!$K$5:$M$5,1,0),"Excl")</f>
        <v>Labour</v>
      </c>
      <c r="AA1138" s="7" t="str">
        <f>VLOOKUP(Q1138,Mapping!$E$11:$I$96,5,0)</f>
        <v>SCS</v>
      </c>
      <c r="AC1138" s="111">
        <v>148</v>
      </c>
      <c r="AD1138" s="111" t="s">
        <v>2158</v>
      </c>
      <c r="AE1138" s="111">
        <v>636001</v>
      </c>
      <c r="AF1138" s="111" t="s">
        <v>2111</v>
      </c>
      <c r="AG1138" s="112">
        <v>81.412390000000002</v>
      </c>
      <c r="AI1138" s="7" t="str">
        <f>VLOOKUP($AC1138,Mapping!$E$11:$I$96,3,0)</f>
        <v>Replacement</v>
      </c>
      <c r="AJ1138" s="7" t="str">
        <f>VLOOKUP($AE1138,Mapping!$E$140:$K$2771,5,0)</f>
        <v>System Control OH</v>
      </c>
      <c r="AK1138" s="7" t="str">
        <f>VLOOKUP($AE1138,Mapping!$E$140:$K$2771,7,0)</f>
        <v>OH</v>
      </c>
      <c r="AL1138" s="7" t="str">
        <f>IFERROR(HLOOKUP(AJ1138,'Calc|Weightings'!$K$5:$M$5,1,0),"Excl")</f>
        <v>Excl</v>
      </c>
      <c r="AM1138" s="7" t="str">
        <f>VLOOKUP(AC1138,Mapping!$E$11:$I$96,5,0)</f>
        <v>SCS</v>
      </c>
      <c r="AO1138" s="134">
        <v>153</v>
      </c>
      <c r="AP1138" s="135" t="s">
        <v>2162</v>
      </c>
      <c r="AQ1138" s="135">
        <v>639000</v>
      </c>
      <c r="AR1138" s="135" t="s">
        <v>2112</v>
      </c>
      <c r="AS1138" s="136">
        <v>37.411630000000002</v>
      </c>
      <c r="AU1138" s="7" t="str">
        <f>VLOOKUP($AO1138,Mapping!$E$11:$I$96,3,0)</f>
        <v>Fee Based Opex</v>
      </c>
      <c r="AV1138" s="7" t="str">
        <f>VLOOKUP($AQ1138,Mapping!$E$140:$K$2771,5,0)</f>
        <v>PNS Corporate OH</v>
      </c>
      <c r="AW1138" s="7" t="str">
        <f>VLOOKUP($AQ1138,Mapping!$E$140:$K$2771,7,0)</f>
        <v>OH</v>
      </c>
      <c r="AX1138" s="7" t="str">
        <f>IFERROR(HLOOKUP(AV1138,'Calc|Weightings'!$K$5:$M$5,1,0),"Excl")</f>
        <v>Excl</v>
      </c>
      <c r="AY1138" s="7" t="str">
        <f>VLOOKUP(AO1138,Mapping!$E$11:$I$96,5,0)</f>
        <v>Ancillary Network Services</v>
      </c>
    </row>
    <row r="1139" spans="1:51" x14ac:dyDescent="0.2">
      <c r="A1139" s="7"/>
      <c r="B1139" s="7"/>
      <c r="C1139" s="7"/>
      <c r="D1139" s="7"/>
      <c r="E1139" s="36">
        <v>143</v>
      </c>
      <c r="F1139" s="36" t="s">
        <v>2153</v>
      </c>
      <c r="G1139" s="36">
        <v>633000</v>
      </c>
      <c r="H1139" s="36" t="s">
        <v>2202</v>
      </c>
      <c r="I1139" s="37">
        <v>288.86714000000001</v>
      </c>
      <c r="J1139" s="7"/>
      <c r="K1139" s="7" t="str">
        <f>VLOOKUP($E1139,Mapping!$E$11:$I$96,3,0)</f>
        <v>Replacement</v>
      </c>
      <c r="L1139" s="7" t="str">
        <f>VLOOKUP($G1139,Mapping!$E$140:$K$2771,5,0)</f>
        <v>Contracts</v>
      </c>
      <c r="M1139" s="7" t="str">
        <f>VLOOKUP($G1139,Mapping!$E$140:$K$2771,7,0)</f>
        <v>OH</v>
      </c>
      <c r="N1139" s="7" t="str">
        <f>IFERROR(HLOOKUP(L1139,'Calc|Weightings'!$K$5:$M$5,1,0),"Excl")</f>
        <v>Contracts</v>
      </c>
      <c r="O1139" s="7" t="str">
        <f>VLOOKUP(E1139,Mapping!$E$11:$I$96,5,0)</f>
        <v>SCS</v>
      </c>
      <c r="Q1139" s="33">
        <v>148</v>
      </c>
      <c r="R1139" s="33" t="s">
        <v>2158</v>
      </c>
      <c r="S1139" s="33">
        <v>613241</v>
      </c>
      <c r="T1139" s="33" t="s">
        <v>2083</v>
      </c>
      <c r="U1139" s="34">
        <v>8.4771699999999992</v>
      </c>
      <c r="V1139" s="7"/>
      <c r="W1139" s="7" t="str">
        <f>VLOOKUP($Q1139,Mapping!$E$11:$I$96,3,0)</f>
        <v>Replacement</v>
      </c>
      <c r="X1139" s="7" t="str">
        <f>VLOOKUP($S1139,Mapping!$E$140:$K$2771,5,0)</f>
        <v>Labour</v>
      </c>
      <c r="Y1139" s="7" t="str">
        <f>VLOOKUP($S1139,Mapping!$E$140:$K$2771,7,0)</f>
        <v>ENDirect</v>
      </c>
      <c r="Z1139" s="7" t="str">
        <f>IFERROR(HLOOKUP(X1139,'Calc|Weightings'!$K$5:$M$5,1,0),"Excl")</f>
        <v>Labour</v>
      </c>
      <c r="AA1139" s="7" t="str">
        <f>VLOOKUP(Q1139,Mapping!$E$11:$I$96,5,0)</f>
        <v>SCS</v>
      </c>
      <c r="AC1139" s="111">
        <v>148</v>
      </c>
      <c r="AD1139" s="111" t="s">
        <v>2158</v>
      </c>
      <c r="AE1139" s="111">
        <v>639000</v>
      </c>
      <c r="AF1139" s="111" t="s">
        <v>2112</v>
      </c>
      <c r="AG1139" s="112">
        <v>0.73031999999999997</v>
      </c>
      <c r="AI1139" s="7" t="str">
        <f>VLOOKUP($AC1139,Mapping!$E$11:$I$96,3,0)</f>
        <v>Replacement</v>
      </c>
      <c r="AJ1139" s="7" t="str">
        <f>VLOOKUP($AE1139,Mapping!$E$140:$K$2771,5,0)</f>
        <v>PNS Corporate OH</v>
      </c>
      <c r="AK1139" s="7" t="str">
        <f>VLOOKUP($AE1139,Mapping!$E$140:$K$2771,7,0)</f>
        <v>OH</v>
      </c>
      <c r="AL1139" s="7" t="str">
        <f>IFERROR(HLOOKUP(AJ1139,'Calc|Weightings'!$K$5:$M$5,1,0),"Excl")</f>
        <v>Excl</v>
      </c>
      <c r="AM1139" s="7" t="str">
        <f>VLOOKUP(AC1139,Mapping!$E$11:$I$96,5,0)</f>
        <v>SCS</v>
      </c>
      <c r="AO1139" s="134">
        <v>153</v>
      </c>
      <c r="AP1139" s="135" t="s">
        <v>2162</v>
      </c>
      <c r="AQ1139" s="135">
        <v>639050</v>
      </c>
      <c r="AR1139" s="135" t="s">
        <v>2113</v>
      </c>
      <c r="AS1139" s="136">
        <v>0.99885999999999997</v>
      </c>
      <c r="AU1139" s="7" t="str">
        <f>VLOOKUP($AO1139,Mapping!$E$11:$I$96,3,0)</f>
        <v>Fee Based Opex</v>
      </c>
      <c r="AV1139" s="7" t="str">
        <f>VLOOKUP($AQ1139,Mapping!$E$140:$K$2771,5,0)</f>
        <v>PNS Fleet &amp; Property OH</v>
      </c>
      <c r="AW1139" s="7" t="str">
        <f>VLOOKUP($AQ1139,Mapping!$E$140:$K$2771,7,0)</f>
        <v>OH</v>
      </c>
      <c r="AX1139" s="7" t="str">
        <f>IFERROR(HLOOKUP(AV1139,'Calc|Weightings'!$K$5:$M$5,1,0),"Excl")</f>
        <v>Excl</v>
      </c>
      <c r="AY1139" s="7" t="str">
        <f>VLOOKUP(AO1139,Mapping!$E$11:$I$96,5,0)</f>
        <v>Ancillary Network Services</v>
      </c>
    </row>
    <row r="1140" spans="1:51" x14ac:dyDescent="0.2">
      <c r="A1140" s="7"/>
      <c r="B1140" s="7"/>
      <c r="C1140" s="7"/>
      <c r="D1140" s="7"/>
      <c r="E1140" s="36">
        <v>143</v>
      </c>
      <c r="F1140" s="36" t="s">
        <v>2153</v>
      </c>
      <c r="G1140" s="36">
        <v>634001</v>
      </c>
      <c r="H1140" s="36" t="s">
        <v>2110</v>
      </c>
      <c r="I1140" s="37">
        <v>115.88777</v>
      </c>
      <c r="J1140" s="7"/>
      <c r="K1140" s="7" t="str">
        <f>VLOOKUP($E1140,Mapping!$E$11:$I$96,3,0)</f>
        <v>Replacement</v>
      </c>
      <c r="L1140" s="7" t="str">
        <f>VLOOKUP($G1140,Mapping!$E$140:$K$2771,5,0)</f>
        <v>Local OH</v>
      </c>
      <c r="M1140" s="7" t="str">
        <f>VLOOKUP($G1140,Mapping!$E$140:$K$2771,7,0)</f>
        <v>OH</v>
      </c>
      <c r="N1140" s="7" t="str">
        <f>IFERROR(HLOOKUP(L1140,'Calc|Weightings'!$K$5:$M$5,1,0),"Excl")</f>
        <v>Excl</v>
      </c>
      <c r="O1140" s="7" t="str">
        <f>VLOOKUP(E1140,Mapping!$E$11:$I$96,5,0)</f>
        <v>SCS</v>
      </c>
      <c r="Q1140" s="33">
        <v>148</v>
      </c>
      <c r="R1140" s="33" t="s">
        <v>2158</v>
      </c>
      <c r="S1140" s="33">
        <v>613250</v>
      </c>
      <c r="T1140" s="33" t="s">
        <v>2086</v>
      </c>
      <c r="U1140" s="34">
        <v>38.973509999999997</v>
      </c>
      <c r="V1140" s="7"/>
      <c r="W1140" s="7" t="str">
        <f>VLOOKUP($Q1140,Mapping!$E$11:$I$96,3,0)</f>
        <v>Replacement</v>
      </c>
      <c r="X1140" s="7" t="str">
        <f>VLOOKUP($S1140,Mapping!$E$140:$K$2771,5,0)</f>
        <v>Labour</v>
      </c>
      <c r="Y1140" s="7" t="str">
        <f>VLOOKUP($S1140,Mapping!$E$140:$K$2771,7,0)</f>
        <v>ENDirect</v>
      </c>
      <c r="Z1140" s="7" t="str">
        <f>IFERROR(HLOOKUP(X1140,'Calc|Weightings'!$K$5:$M$5,1,0),"Excl")</f>
        <v>Labour</v>
      </c>
      <c r="AA1140" s="7" t="str">
        <f>VLOOKUP(Q1140,Mapping!$E$11:$I$96,5,0)</f>
        <v>SCS</v>
      </c>
      <c r="AC1140" s="111">
        <v>148</v>
      </c>
      <c r="AD1140" s="111" t="s">
        <v>2158</v>
      </c>
      <c r="AE1140" s="111">
        <v>639050</v>
      </c>
      <c r="AF1140" s="111" t="s">
        <v>2113</v>
      </c>
      <c r="AG1140" s="112">
        <v>0.18617</v>
      </c>
      <c r="AI1140" s="7" t="str">
        <f>VLOOKUP($AC1140,Mapping!$E$11:$I$96,3,0)</f>
        <v>Replacement</v>
      </c>
      <c r="AJ1140" s="7" t="str">
        <f>VLOOKUP($AE1140,Mapping!$E$140:$K$2771,5,0)</f>
        <v>PNS Fleet &amp; Property OH</v>
      </c>
      <c r="AK1140" s="7" t="str">
        <f>VLOOKUP($AE1140,Mapping!$E$140:$K$2771,7,0)</f>
        <v>OH</v>
      </c>
      <c r="AL1140" s="7" t="str">
        <f>IFERROR(HLOOKUP(AJ1140,'Calc|Weightings'!$K$5:$M$5,1,0),"Excl")</f>
        <v>Excl</v>
      </c>
      <c r="AM1140" s="7" t="str">
        <f>VLOOKUP(AC1140,Mapping!$E$11:$I$96,5,0)</f>
        <v>SCS</v>
      </c>
      <c r="AO1140" s="134">
        <v>156</v>
      </c>
      <c r="AP1140" s="135" t="s">
        <v>2165</v>
      </c>
      <c r="AQ1140" s="135">
        <v>503281</v>
      </c>
      <c r="AR1140" s="135" t="s">
        <v>2198</v>
      </c>
      <c r="AS1140" s="136">
        <v>6.3839999999999994E-2</v>
      </c>
      <c r="AU1140" s="7" t="str">
        <f>VLOOKUP($AO1140,Mapping!$E$11:$I$96,3,0)</f>
        <v>Replacement</v>
      </c>
      <c r="AV1140" s="7" t="str">
        <f>VLOOKUP($AQ1140,Mapping!$E$140:$K$2771,5,0)</f>
        <v>Contracts</v>
      </c>
      <c r="AW1140" s="7" t="str">
        <f>VLOOKUP($AQ1140,Mapping!$E$140:$K$2771,7,0)</f>
        <v>ENDirect</v>
      </c>
      <c r="AX1140" s="7" t="str">
        <f>IFERROR(HLOOKUP(AV1140,'Calc|Weightings'!$K$5:$M$5,1,0),"Excl")</f>
        <v>Contracts</v>
      </c>
      <c r="AY1140" s="7" t="str">
        <f>VLOOKUP(AO1140,Mapping!$E$11:$I$96,5,0)</f>
        <v>SCS</v>
      </c>
    </row>
    <row r="1141" spans="1:51" x14ac:dyDescent="0.2">
      <c r="A1141" s="7"/>
      <c r="B1141" s="7"/>
      <c r="C1141" s="7"/>
      <c r="D1141" s="7"/>
      <c r="E1141" s="36">
        <v>143</v>
      </c>
      <c r="F1141" s="36" t="s">
        <v>2153</v>
      </c>
      <c r="G1141" s="36">
        <v>635001</v>
      </c>
      <c r="H1141" s="36" t="s">
        <v>1929</v>
      </c>
      <c r="I1141" s="37">
        <v>67.159580000000005</v>
      </c>
      <c r="J1141" s="7"/>
      <c r="K1141" s="7" t="str">
        <f>VLOOKUP($E1141,Mapping!$E$11:$I$96,3,0)</f>
        <v>Replacement</v>
      </c>
      <c r="L1141" s="7" t="str">
        <f>VLOOKUP($G1141,Mapping!$E$140:$K$2771,5,0)</f>
        <v>PNS MG</v>
      </c>
      <c r="M1141" s="7" t="str">
        <f>VLOOKUP($G1141,Mapping!$E$140:$K$2771,7,0)</f>
        <v>ENDirect</v>
      </c>
      <c r="N1141" s="7" t="str">
        <f>IFERROR(HLOOKUP(L1141,'Calc|Weightings'!$K$5:$M$5,1,0),"Excl")</f>
        <v>Excl</v>
      </c>
      <c r="O1141" s="7" t="str">
        <f>VLOOKUP(E1141,Mapping!$E$11:$I$96,5,0)</f>
        <v>SCS</v>
      </c>
      <c r="Q1141" s="33">
        <v>148</v>
      </c>
      <c r="R1141" s="33" t="s">
        <v>2158</v>
      </c>
      <c r="S1141" s="33">
        <v>613251</v>
      </c>
      <c r="T1141" s="33" t="s">
        <v>2087</v>
      </c>
      <c r="U1141" s="34">
        <v>25.228349999999999</v>
      </c>
      <c r="V1141" s="7"/>
      <c r="W1141" s="7" t="str">
        <f>VLOOKUP($Q1141,Mapping!$E$11:$I$96,3,0)</f>
        <v>Replacement</v>
      </c>
      <c r="X1141" s="7" t="str">
        <f>VLOOKUP($S1141,Mapping!$E$140:$K$2771,5,0)</f>
        <v>Labour</v>
      </c>
      <c r="Y1141" s="7" t="str">
        <f>VLOOKUP($S1141,Mapping!$E$140:$K$2771,7,0)</f>
        <v>ENDirect</v>
      </c>
      <c r="Z1141" s="7" t="str">
        <f>IFERROR(HLOOKUP(X1141,'Calc|Weightings'!$K$5:$M$5,1,0),"Excl")</f>
        <v>Labour</v>
      </c>
      <c r="AA1141" s="7" t="str">
        <f>VLOOKUP(Q1141,Mapping!$E$11:$I$96,5,0)</f>
        <v>SCS</v>
      </c>
      <c r="AC1141" s="111">
        <v>150</v>
      </c>
      <c r="AD1141" s="111" t="s">
        <v>2159</v>
      </c>
      <c r="AE1141" s="111">
        <v>520100</v>
      </c>
      <c r="AF1141" s="111" t="s">
        <v>2072</v>
      </c>
      <c r="AG1141" s="112">
        <v>132.28085999999999</v>
      </c>
      <c r="AI1141" s="7" t="str">
        <f>VLOOKUP($AC1141,Mapping!$E$11:$I$96,3,0)</f>
        <v>Replacement</v>
      </c>
      <c r="AJ1141" s="7" t="str">
        <f>VLOOKUP($AE1141,Mapping!$E$140:$K$2771,5,0)</f>
        <v>Materials</v>
      </c>
      <c r="AK1141" s="7" t="str">
        <f>VLOOKUP($AE1141,Mapping!$E$140:$K$2771,7,0)</f>
        <v>ENDirect</v>
      </c>
      <c r="AL1141" s="7" t="str">
        <f>IFERROR(HLOOKUP(AJ1141,'Calc|Weightings'!$K$5:$M$5,1,0),"Excl")</f>
        <v>Materials</v>
      </c>
      <c r="AM1141" s="7" t="str">
        <f>VLOOKUP(AC1141,Mapping!$E$11:$I$96,5,0)</f>
        <v>SCS</v>
      </c>
      <c r="AO1141" s="134">
        <v>156</v>
      </c>
      <c r="AP1141" s="135" t="s">
        <v>2165</v>
      </c>
      <c r="AQ1141" s="135">
        <v>503300</v>
      </c>
      <c r="AR1141" s="135" t="s">
        <v>176</v>
      </c>
      <c r="AS1141" s="136">
        <v>0.33215</v>
      </c>
      <c r="AU1141" s="7" t="str">
        <f>VLOOKUP($AO1141,Mapping!$E$11:$I$96,3,0)</f>
        <v>Replacement</v>
      </c>
      <c r="AV1141" s="7" t="str">
        <f>VLOOKUP($AQ1141,Mapping!$E$140:$K$2771,5,0)</f>
        <v>Contracts</v>
      </c>
      <c r="AW1141" s="7" t="str">
        <f>VLOOKUP($AQ1141,Mapping!$E$140:$K$2771,7,0)</f>
        <v>ENDirect</v>
      </c>
      <c r="AX1141" s="7" t="str">
        <f>IFERROR(HLOOKUP(AV1141,'Calc|Weightings'!$K$5:$M$5,1,0),"Excl")</f>
        <v>Contracts</v>
      </c>
      <c r="AY1141" s="7" t="str">
        <f>VLOOKUP(AO1141,Mapping!$E$11:$I$96,5,0)</f>
        <v>SCS</v>
      </c>
    </row>
    <row r="1142" spans="1:51" x14ac:dyDescent="0.2">
      <c r="A1142" s="7"/>
      <c r="B1142" s="7"/>
      <c r="C1142" s="7"/>
      <c r="D1142" s="7"/>
      <c r="E1142" s="36">
        <v>143</v>
      </c>
      <c r="F1142" s="36" t="s">
        <v>2153</v>
      </c>
      <c r="G1142" s="36">
        <v>636001</v>
      </c>
      <c r="H1142" s="36" t="s">
        <v>2111</v>
      </c>
      <c r="I1142" s="37">
        <v>36.406930000000003</v>
      </c>
      <c r="J1142" s="7"/>
      <c r="K1142" s="7" t="str">
        <f>VLOOKUP($E1142,Mapping!$E$11:$I$96,3,0)</f>
        <v>Replacement</v>
      </c>
      <c r="L1142" s="7" t="str">
        <f>VLOOKUP($G1142,Mapping!$E$140:$K$2771,5,0)</f>
        <v>System Control OH</v>
      </c>
      <c r="M1142" s="7" t="str">
        <f>VLOOKUP($G1142,Mapping!$E$140:$K$2771,7,0)</f>
        <v>OH</v>
      </c>
      <c r="N1142" s="7" t="str">
        <f>IFERROR(HLOOKUP(L1142,'Calc|Weightings'!$K$5:$M$5,1,0),"Excl")</f>
        <v>Excl</v>
      </c>
      <c r="O1142" s="7" t="str">
        <f>VLOOKUP(E1142,Mapping!$E$11:$I$96,5,0)</f>
        <v>SCS</v>
      </c>
      <c r="Q1142" s="33">
        <v>148</v>
      </c>
      <c r="R1142" s="33" t="s">
        <v>2158</v>
      </c>
      <c r="S1142" s="33">
        <v>613280</v>
      </c>
      <c r="T1142" s="33" t="s">
        <v>1342</v>
      </c>
      <c r="U1142" s="34">
        <v>0.24807999999999999</v>
      </c>
      <c r="V1142" s="7"/>
      <c r="W1142" s="7" t="str">
        <f>VLOOKUP($Q1142,Mapping!$E$11:$I$96,3,0)</f>
        <v>Replacement</v>
      </c>
      <c r="X1142" s="7" t="str">
        <f>VLOOKUP($S1142,Mapping!$E$140:$K$2771,5,0)</f>
        <v>Labour</v>
      </c>
      <c r="Y1142" s="7" t="str">
        <f>VLOOKUP($S1142,Mapping!$E$140:$K$2771,7,0)</f>
        <v>ENDirect</v>
      </c>
      <c r="Z1142" s="7" t="str">
        <f>IFERROR(HLOOKUP(X1142,'Calc|Weightings'!$K$5:$M$5,1,0),"Excl")</f>
        <v>Labour</v>
      </c>
      <c r="AA1142" s="7" t="str">
        <f>VLOOKUP(Q1142,Mapping!$E$11:$I$96,5,0)</f>
        <v>SCS</v>
      </c>
      <c r="AC1142" s="111">
        <v>150</v>
      </c>
      <c r="AD1142" s="111" t="s">
        <v>2159</v>
      </c>
      <c r="AE1142" s="111">
        <v>523100</v>
      </c>
      <c r="AF1142" s="111" t="s">
        <v>2074</v>
      </c>
      <c r="AG1142" s="112">
        <v>0.38680999999999999</v>
      </c>
      <c r="AI1142" s="7" t="str">
        <f>VLOOKUP($AC1142,Mapping!$E$11:$I$96,3,0)</f>
        <v>Replacement</v>
      </c>
      <c r="AJ1142" s="7" t="str">
        <f>VLOOKUP($AE1142,Mapping!$E$140:$K$2771,5,0)</f>
        <v>Materials</v>
      </c>
      <c r="AK1142" s="7" t="str">
        <f>VLOOKUP($AE1142,Mapping!$E$140:$K$2771,7,0)</f>
        <v>ENDirect</v>
      </c>
      <c r="AL1142" s="7" t="str">
        <f>IFERROR(HLOOKUP(AJ1142,'Calc|Weightings'!$K$5:$M$5,1,0),"Excl")</f>
        <v>Materials</v>
      </c>
      <c r="AM1142" s="7" t="str">
        <f>VLOOKUP(AC1142,Mapping!$E$11:$I$96,5,0)</f>
        <v>SCS</v>
      </c>
      <c r="AO1142" s="134">
        <v>156</v>
      </c>
      <c r="AP1142" s="135" t="s">
        <v>2165</v>
      </c>
      <c r="AQ1142" s="135">
        <v>520100</v>
      </c>
      <c r="AR1142" s="135" t="s">
        <v>2072</v>
      </c>
      <c r="AS1142" s="136">
        <v>218.1738</v>
      </c>
      <c r="AU1142" s="7" t="str">
        <f>VLOOKUP($AO1142,Mapping!$E$11:$I$96,3,0)</f>
        <v>Replacement</v>
      </c>
      <c r="AV1142" s="7" t="str">
        <f>VLOOKUP($AQ1142,Mapping!$E$140:$K$2771,5,0)</f>
        <v>Materials</v>
      </c>
      <c r="AW1142" s="7" t="str">
        <f>VLOOKUP($AQ1142,Mapping!$E$140:$K$2771,7,0)</f>
        <v>ENDirect</v>
      </c>
      <c r="AX1142" s="7" t="str">
        <f>IFERROR(HLOOKUP(AV1142,'Calc|Weightings'!$K$5:$M$5,1,0),"Excl")</f>
        <v>Materials</v>
      </c>
      <c r="AY1142" s="7" t="str">
        <f>VLOOKUP(AO1142,Mapping!$E$11:$I$96,5,0)</f>
        <v>SCS</v>
      </c>
    </row>
    <row r="1143" spans="1:51" x14ac:dyDescent="0.2">
      <c r="A1143" s="7"/>
      <c r="B1143" s="7"/>
      <c r="C1143" s="7"/>
      <c r="D1143" s="7"/>
      <c r="E1143" s="36">
        <v>143</v>
      </c>
      <c r="F1143" s="36" t="s">
        <v>2153</v>
      </c>
      <c r="G1143" s="36">
        <v>639000</v>
      </c>
      <c r="H1143" s="36" t="s">
        <v>2112</v>
      </c>
      <c r="I1143" s="37">
        <v>77.113110000000006</v>
      </c>
      <c r="J1143" s="7"/>
      <c r="K1143" s="7" t="str">
        <f>VLOOKUP($E1143,Mapping!$E$11:$I$96,3,0)</f>
        <v>Replacement</v>
      </c>
      <c r="L1143" s="7" t="str">
        <f>VLOOKUP($G1143,Mapping!$E$140:$K$2771,5,0)</f>
        <v>PNS Corporate OH</v>
      </c>
      <c r="M1143" s="7" t="str">
        <f>VLOOKUP($G1143,Mapping!$E$140:$K$2771,7,0)</f>
        <v>OH</v>
      </c>
      <c r="N1143" s="7" t="str">
        <f>IFERROR(HLOOKUP(L1143,'Calc|Weightings'!$K$5:$M$5,1,0),"Excl")</f>
        <v>Excl</v>
      </c>
      <c r="O1143" s="7" t="str">
        <f>VLOOKUP(E1143,Mapping!$E$11:$I$96,5,0)</f>
        <v>SCS</v>
      </c>
      <c r="Q1143" s="33">
        <v>148</v>
      </c>
      <c r="R1143" s="33" t="s">
        <v>2158</v>
      </c>
      <c r="S1143" s="33">
        <v>613290</v>
      </c>
      <c r="T1143" s="33" t="s">
        <v>2093</v>
      </c>
      <c r="U1143" s="34">
        <v>15.239000000000001</v>
      </c>
      <c r="V1143" s="7"/>
      <c r="W1143" s="7" t="str">
        <f>VLOOKUP($Q1143,Mapping!$E$11:$I$96,3,0)</f>
        <v>Replacement</v>
      </c>
      <c r="X1143" s="7" t="str">
        <f>VLOOKUP($S1143,Mapping!$E$140:$K$2771,5,0)</f>
        <v>Labour</v>
      </c>
      <c r="Y1143" s="7" t="str">
        <f>VLOOKUP($S1143,Mapping!$E$140:$K$2771,7,0)</f>
        <v>ENDirect</v>
      </c>
      <c r="Z1143" s="7" t="str">
        <f>IFERROR(HLOOKUP(X1143,'Calc|Weightings'!$K$5:$M$5,1,0),"Excl")</f>
        <v>Labour</v>
      </c>
      <c r="AA1143" s="7" t="str">
        <f>VLOOKUP(Q1143,Mapping!$E$11:$I$96,5,0)</f>
        <v>SCS</v>
      </c>
      <c r="AC1143" s="111">
        <v>150</v>
      </c>
      <c r="AD1143" s="111" t="s">
        <v>2159</v>
      </c>
      <c r="AE1143" s="111">
        <v>523300</v>
      </c>
      <c r="AF1143" s="111" t="s">
        <v>2075</v>
      </c>
      <c r="AG1143" s="112">
        <v>1.08E-3</v>
      </c>
      <c r="AI1143" s="7" t="str">
        <f>VLOOKUP($AC1143,Mapping!$E$11:$I$96,3,0)</f>
        <v>Replacement</v>
      </c>
      <c r="AJ1143" s="7" t="str">
        <f>VLOOKUP($AE1143,Mapping!$E$140:$K$2771,5,0)</f>
        <v>Materials</v>
      </c>
      <c r="AK1143" s="7" t="str">
        <f>VLOOKUP($AE1143,Mapping!$E$140:$K$2771,7,0)</f>
        <v>ENDirect</v>
      </c>
      <c r="AL1143" s="7" t="str">
        <f>IFERROR(HLOOKUP(AJ1143,'Calc|Weightings'!$K$5:$M$5,1,0),"Excl")</f>
        <v>Materials</v>
      </c>
      <c r="AM1143" s="7" t="str">
        <f>VLOOKUP(AC1143,Mapping!$E$11:$I$96,5,0)</f>
        <v>SCS</v>
      </c>
      <c r="AO1143" s="134">
        <v>156</v>
      </c>
      <c r="AP1143" s="135" t="s">
        <v>2165</v>
      </c>
      <c r="AQ1143" s="135">
        <v>520200</v>
      </c>
      <c r="AR1143" s="135" t="s">
        <v>2073</v>
      </c>
      <c r="AS1143" s="136">
        <v>271.34595000000002</v>
      </c>
      <c r="AU1143" s="7" t="str">
        <f>VLOOKUP($AO1143,Mapping!$E$11:$I$96,3,0)</f>
        <v>Replacement</v>
      </c>
      <c r="AV1143" s="7" t="str">
        <f>VLOOKUP($AQ1143,Mapping!$E$140:$K$2771,5,0)</f>
        <v>Materials</v>
      </c>
      <c r="AW1143" s="7" t="str">
        <f>VLOOKUP($AQ1143,Mapping!$E$140:$K$2771,7,0)</f>
        <v>ENDirect</v>
      </c>
      <c r="AX1143" s="7" t="str">
        <f>IFERROR(HLOOKUP(AV1143,'Calc|Weightings'!$K$5:$M$5,1,0),"Excl")</f>
        <v>Materials</v>
      </c>
      <c r="AY1143" s="7" t="str">
        <f>VLOOKUP(AO1143,Mapping!$E$11:$I$96,5,0)</f>
        <v>SCS</v>
      </c>
    </row>
    <row r="1144" spans="1:51" x14ac:dyDescent="0.2">
      <c r="A1144" s="7"/>
      <c r="B1144" s="7"/>
      <c r="C1144" s="7"/>
      <c r="D1144" s="7"/>
      <c r="E1144" s="36">
        <v>143</v>
      </c>
      <c r="F1144" s="36" t="s">
        <v>2153</v>
      </c>
      <c r="G1144" s="36">
        <v>639050</v>
      </c>
      <c r="H1144" s="36" t="s">
        <v>2113</v>
      </c>
      <c r="I1144" s="37">
        <v>9.3032800000000009</v>
      </c>
      <c r="J1144" s="7"/>
      <c r="K1144" s="7" t="str">
        <f>VLOOKUP($E1144,Mapping!$E$11:$I$96,3,0)</f>
        <v>Replacement</v>
      </c>
      <c r="L1144" s="7" t="str">
        <f>VLOOKUP($G1144,Mapping!$E$140:$K$2771,5,0)</f>
        <v>PNS Fleet &amp; Property OH</v>
      </c>
      <c r="M1144" s="7" t="str">
        <f>VLOOKUP($G1144,Mapping!$E$140:$K$2771,7,0)</f>
        <v>OH</v>
      </c>
      <c r="N1144" s="7" t="str">
        <f>IFERROR(HLOOKUP(L1144,'Calc|Weightings'!$K$5:$M$5,1,0),"Excl")</f>
        <v>Excl</v>
      </c>
      <c r="O1144" s="7" t="str">
        <f>VLOOKUP(E1144,Mapping!$E$11:$I$96,5,0)</f>
        <v>SCS</v>
      </c>
      <c r="Q1144" s="33">
        <v>148</v>
      </c>
      <c r="R1144" s="33" t="s">
        <v>2158</v>
      </c>
      <c r="S1144" s="33">
        <v>613350</v>
      </c>
      <c r="T1144" s="33" t="s">
        <v>2096</v>
      </c>
      <c r="U1144" s="34">
        <v>2.034E-2</v>
      </c>
      <c r="V1144" s="7"/>
      <c r="W1144" s="7" t="str">
        <f>VLOOKUP($Q1144,Mapping!$E$11:$I$96,3,0)</f>
        <v>Replacement</v>
      </c>
      <c r="X1144" s="7" t="str">
        <f>VLOOKUP($S1144,Mapping!$E$140:$K$2771,5,0)</f>
        <v>Labour</v>
      </c>
      <c r="Y1144" s="7" t="str">
        <f>VLOOKUP($S1144,Mapping!$E$140:$K$2771,7,0)</f>
        <v>ENDirect</v>
      </c>
      <c r="Z1144" s="7" t="str">
        <f>IFERROR(HLOOKUP(X1144,'Calc|Weightings'!$K$5:$M$5,1,0),"Excl")</f>
        <v>Labour</v>
      </c>
      <c r="AA1144" s="7" t="str">
        <f>VLOOKUP(Q1144,Mapping!$E$11:$I$96,5,0)</f>
        <v>SCS</v>
      </c>
      <c r="AC1144" s="111">
        <v>150</v>
      </c>
      <c r="AD1144" s="111" t="s">
        <v>2159</v>
      </c>
      <c r="AE1144" s="111">
        <v>531020</v>
      </c>
      <c r="AF1144" s="111" t="s">
        <v>219</v>
      </c>
      <c r="AG1144" s="112">
        <v>-2.2999999999999998</v>
      </c>
      <c r="AI1144" s="7" t="str">
        <f>VLOOKUP($AC1144,Mapping!$E$11:$I$96,3,0)</f>
        <v>Replacement</v>
      </c>
      <c r="AJ1144" s="7" t="str">
        <f>VLOOKUP($AE1144,Mapping!$E$140:$K$2771,5,0)</f>
        <v>Labour</v>
      </c>
      <c r="AK1144" s="7" t="str">
        <f>VLOOKUP($AE1144,Mapping!$E$140:$K$2771,7,0)</f>
        <v>ENDirect</v>
      </c>
      <c r="AL1144" s="7" t="str">
        <f>IFERROR(HLOOKUP(AJ1144,'Calc|Weightings'!$K$5:$M$5,1,0),"Excl")</f>
        <v>Labour</v>
      </c>
      <c r="AM1144" s="7" t="str">
        <f>VLOOKUP(AC1144,Mapping!$E$11:$I$96,5,0)</f>
        <v>SCS</v>
      </c>
      <c r="AO1144" s="134">
        <v>156</v>
      </c>
      <c r="AP1144" s="135" t="s">
        <v>2165</v>
      </c>
      <c r="AQ1144" s="135">
        <v>523100</v>
      </c>
      <c r="AR1144" s="135" t="s">
        <v>2074</v>
      </c>
      <c r="AS1144" s="136">
        <v>3.67544</v>
      </c>
      <c r="AU1144" s="7" t="str">
        <f>VLOOKUP($AO1144,Mapping!$E$11:$I$96,3,0)</f>
        <v>Replacement</v>
      </c>
      <c r="AV1144" s="7" t="str">
        <f>VLOOKUP($AQ1144,Mapping!$E$140:$K$2771,5,0)</f>
        <v>Materials</v>
      </c>
      <c r="AW1144" s="7" t="str">
        <f>VLOOKUP($AQ1144,Mapping!$E$140:$K$2771,7,0)</f>
        <v>ENDirect</v>
      </c>
      <c r="AX1144" s="7" t="str">
        <f>IFERROR(HLOOKUP(AV1144,'Calc|Weightings'!$K$5:$M$5,1,0),"Excl")</f>
        <v>Materials</v>
      </c>
      <c r="AY1144" s="7" t="str">
        <f>VLOOKUP(AO1144,Mapping!$E$11:$I$96,5,0)</f>
        <v>SCS</v>
      </c>
    </row>
    <row r="1145" spans="1:51" x14ac:dyDescent="0.2">
      <c r="A1145" s="7"/>
      <c r="B1145" s="7"/>
      <c r="C1145" s="7"/>
      <c r="D1145" s="7"/>
      <c r="E1145" s="36">
        <v>144</v>
      </c>
      <c r="F1145" s="36" t="s">
        <v>2154</v>
      </c>
      <c r="G1145" s="36">
        <v>520100</v>
      </c>
      <c r="H1145" s="36" t="s">
        <v>2072</v>
      </c>
      <c r="I1145" s="37">
        <v>157.08915999999999</v>
      </c>
      <c r="J1145" s="7"/>
      <c r="K1145" s="7" t="str">
        <f>VLOOKUP($E1145,Mapping!$E$11:$I$96,3,0)</f>
        <v>Replacement</v>
      </c>
      <c r="L1145" s="7" t="str">
        <f>VLOOKUP($G1145,Mapping!$E$140:$K$2771,5,0)</f>
        <v>Materials</v>
      </c>
      <c r="M1145" s="7" t="str">
        <f>VLOOKUP($G1145,Mapping!$E$140:$K$2771,7,0)</f>
        <v>ENDirect</v>
      </c>
      <c r="N1145" s="7" t="str">
        <f>IFERROR(HLOOKUP(L1145,'Calc|Weightings'!$K$5:$M$5,1,0),"Excl")</f>
        <v>Materials</v>
      </c>
      <c r="O1145" s="7" t="str">
        <f>VLOOKUP(E1145,Mapping!$E$11:$I$96,5,0)</f>
        <v>SCS</v>
      </c>
      <c r="Q1145" s="33">
        <v>148</v>
      </c>
      <c r="R1145" s="33" t="s">
        <v>2158</v>
      </c>
      <c r="S1145" s="33">
        <v>613360</v>
      </c>
      <c r="T1145" s="33" t="s">
        <v>2097</v>
      </c>
      <c r="U1145" s="34">
        <v>3.6265200000000002</v>
      </c>
      <c r="V1145" s="7"/>
      <c r="W1145" s="7" t="str">
        <f>VLOOKUP($Q1145,Mapping!$E$11:$I$96,3,0)</f>
        <v>Replacement</v>
      </c>
      <c r="X1145" s="7" t="str">
        <f>VLOOKUP($S1145,Mapping!$E$140:$K$2771,5,0)</f>
        <v>Labour</v>
      </c>
      <c r="Y1145" s="7" t="str">
        <f>VLOOKUP($S1145,Mapping!$E$140:$K$2771,7,0)</f>
        <v>ENDirect</v>
      </c>
      <c r="Z1145" s="7" t="str">
        <f>IFERROR(HLOOKUP(X1145,'Calc|Weightings'!$K$5:$M$5,1,0),"Excl")</f>
        <v>Labour</v>
      </c>
      <c r="AA1145" s="7" t="str">
        <f>VLOOKUP(Q1145,Mapping!$E$11:$I$96,5,0)</f>
        <v>SCS</v>
      </c>
      <c r="AC1145" s="111">
        <v>150</v>
      </c>
      <c r="AD1145" s="111" t="s">
        <v>2159</v>
      </c>
      <c r="AE1145" s="111">
        <v>531030</v>
      </c>
      <c r="AF1145" s="111" t="s">
        <v>243</v>
      </c>
      <c r="AG1145" s="112">
        <v>0.68391999999999997</v>
      </c>
      <c r="AI1145" s="7" t="str">
        <f>VLOOKUP($AC1145,Mapping!$E$11:$I$96,3,0)</f>
        <v>Replacement</v>
      </c>
      <c r="AJ1145" s="7" t="str">
        <f>VLOOKUP($AE1145,Mapping!$E$140:$K$2771,5,0)</f>
        <v>Contracts</v>
      </c>
      <c r="AK1145" s="7" t="str">
        <f>VLOOKUP($AE1145,Mapping!$E$140:$K$2771,7,0)</f>
        <v>ENDirect</v>
      </c>
      <c r="AL1145" s="7" t="str">
        <f>IFERROR(HLOOKUP(AJ1145,'Calc|Weightings'!$K$5:$M$5,1,0),"Excl")</f>
        <v>Contracts</v>
      </c>
      <c r="AM1145" s="7" t="str">
        <f>VLOOKUP(AC1145,Mapping!$E$11:$I$96,5,0)</f>
        <v>SCS</v>
      </c>
      <c r="AO1145" s="134">
        <v>156</v>
      </c>
      <c r="AP1145" s="135" t="s">
        <v>2165</v>
      </c>
      <c r="AQ1145" s="135">
        <v>531000</v>
      </c>
      <c r="AR1145" s="135" t="s">
        <v>242</v>
      </c>
      <c r="AS1145" s="136">
        <v>4.1526899999999998</v>
      </c>
      <c r="AU1145" s="7" t="str">
        <f>VLOOKUP($AO1145,Mapping!$E$11:$I$96,3,0)</f>
        <v>Replacement</v>
      </c>
      <c r="AV1145" s="7" t="str">
        <f>VLOOKUP($AQ1145,Mapping!$E$140:$K$2771,5,0)</f>
        <v>Contracts</v>
      </c>
      <c r="AW1145" s="7" t="str">
        <f>VLOOKUP($AQ1145,Mapping!$E$140:$K$2771,7,0)</f>
        <v>ENDirect</v>
      </c>
      <c r="AX1145" s="7" t="str">
        <f>IFERROR(HLOOKUP(AV1145,'Calc|Weightings'!$K$5:$M$5,1,0),"Excl")</f>
        <v>Contracts</v>
      </c>
      <c r="AY1145" s="7" t="str">
        <f>VLOOKUP(AO1145,Mapping!$E$11:$I$96,5,0)</f>
        <v>SCS</v>
      </c>
    </row>
    <row r="1146" spans="1:51" x14ac:dyDescent="0.2">
      <c r="A1146" s="7"/>
      <c r="B1146" s="7"/>
      <c r="C1146" s="7"/>
      <c r="D1146" s="7"/>
      <c r="E1146" s="36">
        <v>144</v>
      </c>
      <c r="F1146" s="36" t="s">
        <v>2154</v>
      </c>
      <c r="G1146" s="36">
        <v>523100</v>
      </c>
      <c r="H1146" s="36" t="s">
        <v>2074</v>
      </c>
      <c r="I1146" s="37">
        <v>0.14229</v>
      </c>
      <c r="J1146" s="7"/>
      <c r="K1146" s="7" t="str">
        <f>VLOOKUP($E1146,Mapping!$E$11:$I$96,3,0)</f>
        <v>Replacement</v>
      </c>
      <c r="L1146" s="7" t="str">
        <f>VLOOKUP($G1146,Mapping!$E$140:$K$2771,5,0)</f>
        <v>Materials</v>
      </c>
      <c r="M1146" s="7" t="str">
        <f>VLOOKUP($G1146,Mapping!$E$140:$K$2771,7,0)</f>
        <v>ENDirect</v>
      </c>
      <c r="N1146" s="7" t="str">
        <f>IFERROR(HLOOKUP(L1146,'Calc|Weightings'!$K$5:$M$5,1,0),"Excl")</f>
        <v>Materials</v>
      </c>
      <c r="O1146" s="7" t="str">
        <f>VLOOKUP(E1146,Mapping!$E$11:$I$96,5,0)</f>
        <v>SCS</v>
      </c>
      <c r="Q1146" s="33">
        <v>148</v>
      </c>
      <c r="R1146" s="33" t="s">
        <v>2158</v>
      </c>
      <c r="S1146" s="33">
        <v>613370</v>
      </c>
      <c r="T1146" s="33" t="s">
        <v>1402</v>
      </c>
      <c r="U1146" s="34">
        <v>1.2361</v>
      </c>
      <c r="V1146" s="7"/>
      <c r="W1146" s="7" t="str">
        <f>VLOOKUP($Q1146,Mapping!$E$11:$I$96,3,0)</f>
        <v>Replacement</v>
      </c>
      <c r="X1146" s="7" t="str">
        <f>VLOOKUP($S1146,Mapping!$E$140:$K$2771,5,0)</f>
        <v>Labour</v>
      </c>
      <c r="Y1146" s="7" t="str">
        <f>VLOOKUP($S1146,Mapping!$E$140:$K$2771,7,0)</f>
        <v>ENDirect</v>
      </c>
      <c r="Z1146" s="7" t="str">
        <f>IFERROR(HLOOKUP(X1146,'Calc|Weightings'!$K$5:$M$5,1,0),"Excl")</f>
        <v>Labour</v>
      </c>
      <c r="AA1146" s="7" t="str">
        <f>VLOOKUP(Q1146,Mapping!$E$11:$I$96,5,0)</f>
        <v>SCS</v>
      </c>
      <c r="AC1146" s="111">
        <v>150</v>
      </c>
      <c r="AD1146" s="111" t="s">
        <v>2159</v>
      </c>
      <c r="AE1146" s="111">
        <v>531464</v>
      </c>
      <c r="AF1146" s="111" t="s">
        <v>256</v>
      </c>
      <c r="AG1146" s="112">
        <v>651.96610999999996</v>
      </c>
      <c r="AI1146" s="7" t="str">
        <f>VLOOKUP($AC1146,Mapping!$E$11:$I$96,3,0)</f>
        <v>Replacement</v>
      </c>
      <c r="AJ1146" s="7" t="str">
        <f>VLOOKUP($AE1146,Mapping!$E$140:$K$2771,5,0)</f>
        <v>Contracts</v>
      </c>
      <c r="AK1146" s="7" t="str">
        <f>VLOOKUP($AE1146,Mapping!$E$140:$K$2771,7,0)</f>
        <v>ENDirect</v>
      </c>
      <c r="AL1146" s="7" t="str">
        <f>IFERROR(HLOOKUP(AJ1146,'Calc|Weightings'!$K$5:$M$5,1,0),"Excl")</f>
        <v>Contracts</v>
      </c>
      <c r="AM1146" s="7" t="str">
        <f>VLOOKUP(AC1146,Mapping!$E$11:$I$96,5,0)</f>
        <v>SCS</v>
      </c>
      <c r="AO1146" s="134">
        <v>156</v>
      </c>
      <c r="AP1146" s="135" t="s">
        <v>2165</v>
      </c>
      <c r="AQ1146" s="135">
        <v>531020</v>
      </c>
      <c r="AR1146" s="135" t="s">
        <v>219</v>
      </c>
      <c r="AS1146" s="136">
        <v>12.545360000000001</v>
      </c>
      <c r="AU1146" s="7" t="str">
        <f>VLOOKUP($AO1146,Mapping!$E$11:$I$96,3,0)</f>
        <v>Replacement</v>
      </c>
      <c r="AV1146" s="7" t="str">
        <f>VLOOKUP($AQ1146,Mapping!$E$140:$K$2771,5,0)</f>
        <v>Labour</v>
      </c>
      <c r="AW1146" s="7" t="str">
        <f>VLOOKUP($AQ1146,Mapping!$E$140:$K$2771,7,0)</f>
        <v>ENDirect</v>
      </c>
      <c r="AX1146" s="7" t="str">
        <f>IFERROR(HLOOKUP(AV1146,'Calc|Weightings'!$K$5:$M$5,1,0),"Excl")</f>
        <v>Labour</v>
      </c>
      <c r="AY1146" s="7" t="str">
        <f>VLOOKUP(AO1146,Mapping!$E$11:$I$96,5,0)</f>
        <v>SCS</v>
      </c>
    </row>
    <row r="1147" spans="1:51" x14ac:dyDescent="0.2">
      <c r="A1147" s="7"/>
      <c r="B1147" s="7"/>
      <c r="C1147" s="7"/>
      <c r="D1147" s="7"/>
      <c r="E1147" s="36">
        <v>144</v>
      </c>
      <c r="F1147" s="36" t="s">
        <v>2154</v>
      </c>
      <c r="G1147" s="36">
        <v>531035</v>
      </c>
      <c r="H1147" s="36" t="s">
        <v>244</v>
      </c>
      <c r="I1147" s="37">
        <v>0.38400000000000001</v>
      </c>
      <c r="J1147" s="7"/>
      <c r="K1147" s="7" t="str">
        <f>VLOOKUP($E1147,Mapping!$E$11:$I$96,3,0)</f>
        <v>Replacement</v>
      </c>
      <c r="L1147" s="7" t="str">
        <f>VLOOKUP($G1147,Mapping!$E$140:$K$2771,5,0)</f>
        <v>Labour</v>
      </c>
      <c r="M1147" s="7" t="str">
        <f>VLOOKUP($G1147,Mapping!$E$140:$K$2771,7,0)</f>
        <v>ENDirect</v>
      </c>
      <c r="N1147" s="7" t="str">
        <f>IFERROR(HLOOKUP(L1147,'Calc|Weightings'!$K$5:$M$5,1,0),"Excl")</f>
        <v>Labour</v>
      </c>
      <c r="O1147" s="7" t="str">
        <f>VLOOKUP(E1147,Mapping!$E$11:$I$96,5,0)</f>
        <v>SCS</v>
      </c>
      <c r="Q1147" s="33">
        <v>148</v>
      </c>
      <c r="R1147" s="33" t="s">
        <v>2158</v>
      </c>
      <c r="S1147" s="33">
        <v>613390</v>
      </c>
      <c r="T1147" s="33" t="s">
        <v>2141</v>
      </c>
      <c r="U1147" s="34">
        <v>0.17116000000000001</v>
      </c>
      <c r="V1147" s="7"/>
      <c r="W1147" s="7" t="str">
        <f>VLOOKUP($Q1147,Mapping!$E$11:$I$96,3,0)</f>
        <v>Replacement</v>
      </c>
      <c r="X1147" s="7" t="str">
        <f>VLOOKUP($S1147,Mapping!$E$140:$K$2771,5,0)</f>
        <v>Contracts</v>
      </c>
      <c r="Y1147" s="7" t="str">
        <f>VLOOKUP($S1147,Mapping!$E$140:$K$2771,7,0)</f>
        <v>ENDirect</v>
      </c>
      <c r="Z1147" s="7" t="str">
        <f>IFERROR(HLOOKUP(X1147,'Calc|Weightings'!$K$5:$M$5,1,0),"Excl")</f>
        <v>Contracts</v>
      </c>
      <c r="AA1147" s="7" t="str">
        <f>VLOOKUP(Q1147,Mapping!$E$11:$I$96,5,0)</f>
        <v>SCS</v>
      </c>
      <c r="AC1147" s="111">
        <v>150</v>
      </c>
      <c r="AD1147" s="111" t="s">
        <v>2159</v>
      </c>
      <c r="AE1147" s="111">
        <v>531466</v>
      </c>
      <c r="AF1147" s="111" t="s">
        <v>258</v>
      </c>
      <c r="AG1147" s="112">
        <v>23.661000000000001</v>
      </c>
      <c r="AI1147" s="7" t="str">
        <f>VLOOKUP($AC1147,Mapping!$E$11:$I$96,3,0)</f>
        <v>Replacement</v>
      </c>
      <c r="AJ1147" s="7" t="str">
        <f>VLOOKUP($AE1147,Mapping!$E$140:$K$2771,5,0)</f>
        <v>Contracts</v>
      </c>
      <c r="AK1147" s="7" t="str">
        <f>VLOOKUP($AE1147,Mapping!$E$140:$K$2771,7,0)</f>
        <v>ENDirect</v>
      </c>
      <c r="AL1147" s="7" t="str">
        <f>IFERROR(HLOOKUP(AJ1147,'Calc|Weightings'!$K$5:$M$5,1,0),"Excl")</f>
        <v>Contracts</v>
      </c>
      <c r="AM1147" s="7" t="str">
        <f>VLOOKUP(AC1147,Mapping!$E$11:$I$96,5,0)</f>
        <v>SCS</v>
      </c>
      <c r="AO1147" s="134">
        <v>156</v>
      </c>
      <c r="AP1147" s="135" t="s">
        <v>2165</v>
      </c>
      <c r="AQ1147" s="135">
        <v>531201</v>
      </c>
      <c r="AR1147" s="135" t="s">
        <v>251</v>
      </c>
      <c r="AS1147" s="136">
        <v>91.117000000000004</v>
      </c>
      <c r="AU1147" s="7" t="str">
        <f>VLOOKUP($AO1147,Mapping!$E$11:$I$96,3,0)</f>
        <v>Replacement</v>
      </c>
      <c r="AV1147" s="7" t="str">
        <f>VLOOKUP($AQ1147,Mapping!$E$140:$K$2771,5,0)</f>
        <v>Contracts</v>
      </c>
      <c r="AW1147" s="7" t="str">
        <f>VLOOKUP($AQ1147,Mapping!$E$140:$K$2771,7,0)</f>
        <v>ENDirect</v>
      </c>
      <c r="AX1147" s="7" t="str">
        <f>IFERROR(HLOOKUP(AV1147,'Calc|Weightings'!$K$5:$M$5,1,0),"Excl")</f>
        <v>Contracts</v>
      </c>
      <c r="AY1147" s="7" t="str">
        <f>VLOOKUP(AO1147,Mapping!$E$11:$I$96,5,0)</f>
        <v>SCS</v>
      </c>
    </row>
    <row r="1148" spans="1:51" x14ac:dyDescent="0.2">
      <c r="A1148" s="7"/>
      <c r="B1148" s="7"/>
      <c r="C1148" s="7"/>
      <c r="D1148" s="7"/>
      <c r="E1148" s="36">
        <v>144</v>
      </c>
      <c r="F1148" s="36" t="s">
        <v>2154</v>
      </c>
      <c r="G1148" s="36">
        <v>531200</v>
      </c>
      <c r="H1148" s="36" t="s">
        <v>250</v>
      </c>
      <c r="I1148" s="37">
        <v>8.8635000000000002</v>
      </c>
      <c r="J1148" s="7"/>
      <c r="K1148" s="7" t="str">
        <f>VLOOKUP($E1148,Mapping!$E$11:$I$96,3,0)</f>
        <v>Replacement</v>
      </c>
      <c r="L1148" s="7" t="str">
        <f>VLOOKUP($G1148,Mapping!$E$140:$K$2771,5,0)</f>
        <v>Contracts</v>
      </c>
      <c r="M1148" s="7" t="str">
        <f>VLOOKUP($G1148,Mapping!$E$140:$K$2771,7,0)</f>
        <v>ENDirect</v>
      </c>
      <c r="N1148" s="7" t="str">
        <f>IFERROR(HLOOKUP(L1148,'Calc|Weightings'!$K$5:$M$5,1,0),"Excl")</f>
        <v>Contracts</v>
      </c>
      <c r="O1148" s="7" t="str">
        <f>VLOOKUP(E1148,Mapping!$E$11:$I$96,5,0)</f>
        <v>SCS</v>
      </c>
      <c r="Q1148" s="33">
        <v>148</v>
      </c>
      <c r="R1148" s="33" t="s">
        <v>2158</v>
      </c>
      <c r="S1148" s="33">
        <v>613400</v>
      </c>
      <c r="T1148" s="33" t="s">
        <v>2099</v>
      </c>
      <c r="U1148" s="34">
        <v>23.133990000000001</v>
      </c>
      <c r="V1148" s="7"/>
      <c r="W1148" s="7" t="str">
        <f>VLOOKUP($Q1148,Mapping!$E$11:$I$96,3,0)</f>
        <v>Replacement</v>
      </c>
      <c r="X1148" s="7" t="str">
        <f>VLOOKUP($S1148,Mapping!$E$140:$K$2771,5,0)</f>
        <v>Labour</v>
      </c>
      <c r="Y1148" s="7" t="str">
        <f>VLOOKUP($S1148,Mapping!$E$140:$K$2771,7,0)</f>
        <v>ENDirect</v>
      </c>
      <c r="Z1148" s="7" t="str">
        <f>IFERROR(HLOOKUP(X1148,'Calc|Weightings'!$K$5:$M$5,1,0),"Excl")</f>
        <v>Labour</v>
      </c>
      <c r="AA1148" s="7" t="str">
        <f>VLOOKUP(Q1148,Mapping!$E$11:$I$96,5,0)</f>
        <v>SCS</v>
      </c>
      <c r="AC1148" s="111">
        <v>150</v>
      </c>
      <c r="AD1148" s="111" t="s">
        <v>2159</v>
      </c>
      <c r="AE1148" s="111">
        <v>531467</v>
      </c>
      <c r="AF1148" s="111" t="s">
        <v>259</v>
      </c>
      <c r="AG1148" s="112">
        <v>121.6003</v>
      </c>
      <c r="AI1148" s="7" t="str">
        <f>VLOOKUP($AC1148,Mapping!$E$11:$I$96,3,0)</f>
        <v>Replacement</v>
      </c>
      <c r="AJ1148" s="7" t="str">
        <f>VLOOKUP($AE1148,Mapping!$E$140:$K$2771,5,0)</f>
        <v>Contracts</v>
      </c>
      <c r="AK1148" s="7" t="str">
        <f>VLOOKUP($AE1148,Mapping!$E$140:$K$2771,7,0)</f>
        <v>ENDirect</v>
      </c>
      <c r="AL1148" s="7" t="str">
        <f>IFERROR(HLOOKUP(AJ1148,'Calc|Weightings'!$K$5:$M$5,1,0),"Excl")</f>
        <v>Contracts</v>
      </c>
      <c r="AM1148" s="7" t="str">
        <f>VLOOKUP(AC1148,Mapping!$E$11:$I$96,5,0)</f>
        <v>SCS</v>
      </c>
      <c r="AO1148" s="134">
        <v>156</v>
      </c>
      <c r="AP1148" s="135" t="s">
        <v>2165</v>
      </c>
      <c r="AQ1148" s="135">
        <v>531464</v>
      </c>
      <c r="AR1148" s="135" t="s">
        <v>256</v>
      </c>
      <c r="AS1148" s="136">
        <v>0.37</v>
      </c>
      <c r="AU1148" s="7" t="str">
        <f>VLOOKUP($AO1148,Mapping!$E$11:$I$96,3,0)</f>
        <v>Replacement</v>
      </c>
      <c r="AV1148" s="7" t="str">
        <f>VLOOKUP($AQ1148,Mapping!$E$140:$K$2771,5,0)</f>
        <v>Contracts</v>
      </c>
      <c r="AW1148" s="7" t="str">
        <f>VLOOKUP($AQ1148,Mapping!$E$140:$K$2771,7,0)</f>
        <v>ENDirect</v>
      </c>
      <c r="AX1148" s="7" t="str">
        <f>IFERROR(HLOOKUP(AV1148,'Calc|Weightings'!$K$5:$M$5,1,0),"Excl")</f>
        <v>Contracts</v>
      </c>
      <c r="AY1148" s="7" t="str">
        <f>VLOOKUP(AO1148,Mapping!$E$11:$I$96,5,0)</f>
        <v>SCS</v>
      </c>
    </row>
    <row r="1149" spans="1:51" x14ac:dyDescent="0.2">
      <c r="A1149" s="7"/>
      <c r="B1149" s="7"/>
      <c r="C1149" s="7"/>
      <c r="D1149" s="7"/>
      <c r="E1149" s="36">
        <v>144</v>
      </c>
      <c r="F1149" s="36" t="s">
        <v>2154</v>
      </c>
      <c r="G1149" s="36">
        <v>531464</v>
      </c>
      <c r="H1149" s="36" t="s">
        <v>256</v>
      </c>
      <c r="I1149" s="37">
        <v>11.89808</v>
      </c>
      <c r="J1149" s="7"/>
      <c r="K1149" s="7" t="str">
        <f>VLOOKUP($E1149,Mapping!$E$11:$I$96,3,0)</f>
        <v>Replacement</v>
      </c>
      <c r="L1149" s="7" t="str">
        <f>VLOOKUP($G1149,Mapping!$E$140:$K$2771,5,0)</f>
        <v>Contracts</v>
      </c>
      <c r="M1149" s="7" t="str">
        <f>VLOOKUP($G1149,Mapping!$E$140:$K$2771,7,0)</f>
        <v>ENDirect</v>
      </c>
      <c r="N1149" s="7" t="str">
        <f>IFERROR(HLOOKUP(L1149,'Calc|Weightings'!$K$5:$M$5,1,0),"Excl")</f>
        <v>Contracts</v>
      </c>
      <c r="O1149" s="7" t="str">
        <f>VLOOKUP(E1149,Mapping!$E$11:$I$96,5,0)</f>
        <v>SCS</v>
      </c>
      <c r="Q1149" s="33">
        <v>148</v>
      </c>
      <c r="R1149" s="33" t="s">
        <v>2158</v>
      </c>
      <c r="S1149" s="33">
        <v>613401</v>
      </c>
      <c r="T1149" s="33" t="s">
        <v>2117</v>
      </c>
      <c r="U1149" s="34">
        <v>8.4771800000000006</v>
      </c>
      <c r="V1149" s="7"/>
      <c r="W1149" s="7" t="str">
        <f>VLOOKUP($Q1149,Mapping!$E$11:$I$96,3,0)</f>
        <v>Replacement</v>
      </c>
      <c r="X1149" s="7" t="str">
        <f>VLOOKUP($S1149,Mapping!$E$140:$K$2771,5,0)</f>
        <v>Labour</v>
      </c>
      <c r="Y1149" s="7" t="str">
        <f>VLOOKUP($S1149,Mapping!$E$140:$K$2771,7,0)</f>
        <v>ENDirect</v>
      </c>
      <c r="Z1149" s="7" t="str">
        <f>IFERROR(HLOOKUP(X1149,'Calc|Weightings'!$K$5:$M$5,1,0),"Excl")</f>
        <v>Labour</v>
      </c>
      <c r="AA1149" s="7" t="str">
        <f>VLOOKUP(Q1149,Mapping!$E$11:$I$96,5,0)</f>
        <v>SCS</v>
      </c>
      <c r="AC1149" s="111">
        <v>150</v>
      </c>
      <c r="AD1149" s="111" t="s">
        <v>2159</v>
      </c>
      <c r="AE1149" s="111">
        <v>531468</v>
      </c>
      <c r="AF1149" s="111" t="s">
        <v>260</v>
      </c>
      <c r="AG1149" s="112">
        <v>83.988770000000002</v>
      </c>
      <c r="AI1149" s="7" t="str">
        <f>VLOOKUP($AC1149,Mapping!$E$11:$I$96,3,0)</f>
        <v>Replacement</v>
      </c>
      <c r="AJ1149" s="7" t="str">
        <f>VLOOKUP($AE1149,Mapping!$E$140:$K$2771,5,0)</f>
        <v>Contracts</v>
      </c>
      <c r="AK1149" s="7" t="str">
        <f>VLOOKUP($AE1149,Mapping!$E$140:$K$2771,7,0)</f>
        <v>ENDirect</v>
      </c>
      <c r="AL1149" s="7" t="str">
        <f>IFERROR(HLOOKUP(AJ1149,'Calc|Weightings'!$K$5:$M$5,1,0),"Excl")</f>
        <v>Contracts</v>
      </c>
      <c r="AM1149" s="7" t="str">
        <f>VLOOKUP(AC1149,Mapping!$E$11:$I$96,5,0)</f>
        <v>SCS</v>
      </c>
      <c r="AO1149" s="134">
        <v>156</v>
      </c>
      <c r="AP1149" s="135" t="s">
        <v>2165</v>
      </c>
      <c r="AQ1149" s="135">
        <v>531469</v>
      </c>
      <c r="AR1149" s="135" t="s">
        <v>261</v>
      </c>
      <c r="AS1149" s="136">
        <v>255.07900000000001</v>
      </c>
      <c r="AU1149" s="7" t="str">
        <f>VLOOKUP($AO1149,Mapping!$E$11:$I$96,3,0)</f>
        <v>Replacement</v>
      </c>
      <c r="AV1149" s="7" t="str">
        <f>VLOOKUP($AQ1149,Mapping!$E$140:$K$2771,5,0)</f>
        <v>Labour</v>
      </c>
      <c r="AW1149" s="7" t="str">
        <f>VLOOKUP($AQ1149,Mapping!$E$140:$K$2771,7,0)</f>
        <v>ENDirect</v>
      </c>
      <c r="AX1149" s="7" t="str">
        <f>IFERROR(HLOOKUP(AV1149,'Calc|Weightings'!$K$5:$M$5,1,0),"Excl")</f>
        <v>Labour</v>
      </c>
      <c r="AY1149" s="7" t="str">
        <f>VLOOKUP(AO1149,Mapping!$E$11:$I$96,5,0)</f>
        <v>SCS</v>
      </c>
    </row>
    <row r="1150" spans="1:51" x14ac:dyDescent="0.2">
      <c r="A1150" s="7"/>
      <c r="B1150" s="7"/>
      <c r="C1150" s="7"/>
      <c r="D1150" s="7"/>
      <c r="E1150" s="36">
        <v>144</v>
      </c>
      <c r="F1150" s="36" t="s">
        <v>2154</v>
      </c>
      <c r="G1150" s="36">
        <v>531466</v>
      </c>
      <c r="H1150" s="36" t="s">
        <v>258</v>
      </c>
      <c r="I1150" s="37">
        <v>8.3339999999999996</v>
      </c>
      <c r="J1150" s="7"/>
      <c r="K1150" s="7" t="str">
        <f>VLOOKUP($E1150,Mapping!$E$11:$I$96,3,0)</f>
        <v>Replacement</v>
      </c>
      <c r="L1150" s="7" t="str">
        <f>VLOOKUP($G1150,Mapping!$E$140:$K$2771,5,0)</f>
        <v>Contracts</v>
      </c>
      <c r="M1150" s="7" t="str">
        <f>VLOOKUP($G1150,Mapping!$E$140:$K$2771,7,0)</f>
        <v>ENDirect</v>
      </c>
      <c r="N1150" s="7" t="str">
        <f>IFERROR(HLOOKUP(L1150,'Calc|Weightings'!$K$5:$M$5,1,0),"Excl")</f>
        <v>Contracts</v>
      </c>
      <c r="O1150" s="7" t="str">
        <f>VLOOKUP(E1150,Mapping!$E$11:$I$96,5,0)</f>
        <v>SCS</v>
      </c>
      <c r="Q1150" s="33">
        <v>148</v>
      </c>
      <c r="R1150" s="33" t="s">
        <v>2158</v>
      </c>
      <c r="S1150" s="33">
        <v>613410</v>
      </c>
      <c r="T1150" s="33" t="s">
        <v>2100</v>
      </c>
      <c r="U1150" s="34">
        <v>26.246120000000001</v>
      </c>
      <c r="V1150" s="7"/>
      <c r="W1150" s="7" t="str">
        <f>VLOOKUP($Q1150,Mapping!$E$11:$I$96,3,0)</f>
        <v>Replacement</v>
      </c>
      <c r="X1150" s="7" t="str">
        <f>VLOOKUP($S1150,Mapping!$E$140:$K$2771,5,0)</f>
        <v>Labour</v>
      </c>
      <c r="Y1150" s="7" t="str">
        <f>VLOOKUP($S1150,Mapping!$E$140:$K$2771,7,0)</f>
        <v>ENDirect</v>
      </c>
      <c r="Z1150" s="7" t="str">
        <f>IFERROR(HLOOKUP(X1150,'Calc|Weightings'!$K$5:$M$5,1,0),"Excl")</f>
        <v>Labour</v>
      </c>
      <c r="AA1150" s="7" t="str">
        <f>VLOOKUP(Q1150,Mapping!$E$11:$I$96,5,0)</f>
        <v>SCS</v>
      </c>
      <c r="AC1150" s="111">
        <v>150</v>
      </c>
      <c r="AD1150" s="111" t="s">
        <v>2159</v>
      </c>
      <c r="AE1150" s="111">
        <v>531469</v>
      </c>
      <c r="AF1150" s="111" t="s">
        <v>261</v>
      </c>
      <c r="AG1150" s="112">
        <v>1.25</v>
      </c>
      <c r="AI1150" s="7" t="str">
        <f>VLOOKUP($AC1150,Mapping!$E$11:$I$96,3,0)</f>
        <v>Replacement</v>
      </c>
      <c r="AJ1150" s="7" t="str">
        <f>VLOOKUP($AE1150,Mapping!$E$140:$K$2771,5,0)</f>
        <v>Labour</v>
      </c>
      <c r="AK1150" s="7" t="str">
        <f>VLOOKUP($AE1150,Mapping!$E$140:$K$2771,7,0)</f>
        <v>ENDirect</v>
      </c>
      <c r="AL1150" s="7" t="str">
        <f>IFERROR(HLOOKUP(AJ1150,'Calc|Weightings'!$K$5:$M$5,1,0),"Excl")</f>
        <v>Labour</v>
      </c>
      <c r="AM1150" s="7" t="str">
        <f>VLOOKUP(AC1150,Mapping!$E$11:$I$96,5,0)</f>
        <v>SCS</v>
      </c>
      <c r="AO1150" s="134">
        <v>156</v>
      </c>
      <c r="AP1150" s="135" t="s">
        <v>2165</v>
      </c>
      <c r="AQ1150" s="135">
        <v>532200</v>
      </c>
      <c r="AR1150" s="135" t="s">
        <v>291</v>
      </c>
      <c r="AS1150" s="136">
        <v>3.6321400000000001</v>
      </c>
      <c r="AU1150" s="7" t="str">
        <f>VLOOKUP($AO1150,Mapping!$E$11:$I$96,3,0)</f>
        <v>Replacement</v>
      </c>
      <c r="AV1150" s="7" t="str">
        <f>VLOOKUP($AQ1150,Mapping!$E$140:$K$2771,5,0)</f>
        <v>Contracts</v>
      </c>
      <c r="AW1150" s="7" t="str">
        <f>VLOOKUP($AQ1150,Mapping!$E$140:$K$2771,7,0)</f>
        <v>ENDirect</v>
      </c>
      <c r="AX1150" s="7" t="str">
        <f>IFERROR(HLOOKUP(AV1150,'Calc|Weightings'!$K$5:$M$5,1,0),"Excl")</f>
        <v>Contracts</v>
      </c>
      <c r="AY1150" s="7" t="str">
        <f>VLOOKUP(AO1150,Mapping!$E$11:$I$96,5,0)</f>
        <v>SCS</v>
      </c>
    </row>
    <row r="1151" spans="1:51" x14ac:dyDescent="0.2">
      <c r="A1151" s="7"/>
      <c r="B1151" s="7"/>
      <c r="C1151" s="7"/>
      <c r="D1151" s="7"/>
      <c r="E1151" s="36">
        <v>144</v>
      </c>
      <c r="F1151" s="36" t="s">
        <v>2154</v>
      </c>
      <c r="G1151" s="36">
        <v>531467</v>
      </c>
      <c r="H1151" s="36" t="s">
        <v>259</v>
      </c>
      <c r="I1151" s="37">
        <v>1.7965500000000001</v>
      </c>
      <c r="J1151" s="7"/>
      <c r="K1151" s="7" t="str">
        <f>VLOOKUP($E1151,Mapping!$E$11:$I$96,3,0)</f>
        <v>Replacement</v>
      </c>
      <c r="L1151" s="7" t="str">
        <f>VLOOKUP($G1151,Mapping!$E$140:$K$2771,5,0)</f>
        <v>Contracts</v>
      </c>
      <c r="M1151" s="7" t="str">
        <f>VLOOKUP($G1151,Mapping!$E$140:$K$2771,7,0)</f>
        <v>ENDirect</v>
      </c>
      <c r="N1151" s="7" t="str">
        <f>IFERROR(HLOOKUP(L1151,'Calc|Weightings'!$K$5:$M$5,1,0),"Excl")</f>
        <v>Contracts</v>
      </c>
      <c r="O1151" s="7" t="str">
        <f>VLOOKUP(E1151,Mapping!$E$11:$I$96,5,0)</f>
        <v>SCS</v>
      </c>
      <c r="Q1151" s="33">
        <v>148</v>
      </c>
      <c r="R1151" s="33" t="s">
        <v>2158</v>
      </c>
      <c r="S1151" s="33">
        <v>613411</v>
      </c>
      <c r="T1151" s="33" t="s">
        <v>2101</v>
      </c>
      <c r="U1151" s="34">
        <v>3.6841400000000002</v>
      </c>
      <c r="V1151" s="7"/>
      <c r="W1151" s="7" t="str">
        <f>VLOOKUP($Q1151,Mapping!$E$11:$I$96,3,0)</f>
        <v>Replacement</v>
      </c>
      <c r="X1151" s="7" t="str">
        <f>VLOOKUP($S1151,Mapping!$E$140:$K$2771,5,0)</f>
        <v>Labour</v>
      </c>
      <c r="Y1151" s="7" t="str">
        <f>VLOOKUP($S1151,Mapping!$E$140:$K$2771,7,0)</f>
        <v>ENDirect</v>
      </c>
      <c r="Z1151" s="7" t="str">
        <f>IFERROR(HLOOKUP(X1151,'Calc|Weightings'!$K$5:$M$5,1,0),"Excl")</f>
        <v>Labour</v>
      </c>
      <c r="AA1151" s="7" t="str">
        <f>VLOOKUP(Q1151,Mapping!$E$11:$I$96,5,0)</f>
        <v>SCS</v>
      </c>
      <c r="AC1151" s="111">
        <v>150</v>
      </c>
      <c r="AD1151" s="111" t="s">
        <v>2159</v>
      </c>
      <c r="AE1151" s="111">
        <v>531480</v>
      </c>
      <c r="AF1151" s="111" t="s">
        <v>2076</v>
      </c>
      <c r="AG1151" s="112">
        <v>1.19</v>
      </c>
      <c r="AI1151" s="7" t="str">
        <f>VLOOKUP($AC1151,Mapping!$E$11:$I$96,3,0)</f>
        <v>Replacement</v>
      </c>
      <c r="AJ1151" s="7" t="str">
        <f>VLOOKUP($AE1151,Mapping!$E$140:$K$2771,5,0)</f>
        <v>Labour</v>
      </c>
      <c r="AK1151" s="7" t="str">
        <f>VLOOKUP($AE1151,Mapping!$E$140:$K$2771,7,0)</f>
        <v>ENDirect</v>
      </c>
      <c r="AL1151" s="7" t="str">
        <f>IFERROR(HLOOKUP(AJ1151,'Calc|Weightings'!$K$5:$M$5,1,0),"Excl")</f>
        <v>Labour</v>
      </c>
      <c r="AM1151" s="7" t="str">
        <f>VLOOKUP(AC1151,Mapping!$E$11:$I$96,5,0)</f>
        <v>SCS</v>
      </c>
      <c r="AO1151" s="134">
        <v>156</v>
      </c>
      <c r="AP1151" s="135" t="s">
        <v>2165</v>
      </c>
      <c r="AQ1151" s="135">
        <v>532410</v>
      </c>
      <c r="AR1151" s="135" t="s">
        <v>305</v>
      </c>
      <c r="AS1151" s="136">
        <v>0.61368</v>
      </c>
      <c r="AU1151" s="7" t="str">
        <f>VLOOKUP($AO1151,Mapping!$E$11:$I$96,3,0)</f>
        <v>Replacement</v>
      </c>
      <c r="AV1151" s="7" t="str">
        <f>VLOOKUP($AQ1151,Mapping!$E$140:$K$2771,5,0)</f>
        <v>Labour</v>
      </c>
      <c r="AW1151" s="7" t="str">
        <f>VLOOKUP($AQ1151,Mapping!$E$140:$K$2771,7,0)</f>
        <v>ENDirect</v>
      </c>
      <c r="AX1151" s="7" t="str">
        <f>IFERROR(HLOOKUP(AV1151,'Calc|Weightings'!$K$5:$M$5,1,0),"Excl")</f>
        <v>Labour</v>
      </c>
      <c r="AY1151" s="7" t="str">
        <f>VLOOKUP(AO1151,Mapping!$E$11:$I$96,5,0)</f>
        <v>SCS</v>
      </c>
    </row>
    <row r="1152" spans="1:51" x14ac:dyDescent="0.2">
      <c r="A1152" s="7"/>
      <c r="B1152" s="7"/>
      <c r="C1152" s="7"/>
      <c r="D1152" s="7"/>
      <c r="E1152" s="36">
        <v>144</v>
      </c>
      <c r="F1152" s="36" t="s">
        <v>2154</v>
      </c>
      <c r="G1152" s="36">
        <v>532140</v>
      </c>
      <c r="H1152" s="36" t="s">
        <v>288</v>
      </c>
      <c r="I1152" s="37">
        <v>89.8</v>
      </c>
      <c r="J1152" s="7"/>
      <c r="K1152" s="7" t="str">
        <f>VLOOKUP($E1152,Mapping!$E$11:$I$96,3,0)</f>
        <v>Replacement</v>
      </c>
      <c r="L1152" s="7" t="str">
        <f>VLOOKUP($G1152,Mapping!$E$140:$K$2771,5,0)</f>
        <v>Contracts</v>
      </c>
      <c r="M1152" s="7" t="str">
        <f>VLOOKUP($G1152,Mapping!$E$140:$K$2771,7,0)</f>
        <v>ENDirect</v>
      </c>
      <c r="N1152" s="7" t="str">
        <f>IFERROR(HLOOKUP(L1152,'Calc|Weightings'!$K$5:$M$5,1,0),"Excl")</f>
        <v>Contracts</v>
      </c>
      <c r="O1152" s="7" t="str">
        <f>VLOOKUP(E1152,Mapping!$E$11:$I$96,5,0)</f>
        <v>SCS</v>
      </c>
      <c r="Q1152" s="33">
        <v>148</v>
      </c>
      <c r="R1152" s="33" t="s">
        <v>2158</v>
      </c>
      <c r="S1152" s="33">
        <v>613434</v>
      </c>
      <c r="T1152" s="33" t="s">
        <v>2102</v>
      </c>
      <c r="U1152" s="34">
        <v>0.62019999999999997</v>
      </c>
      <c r="V1152" s="7"/>
      <c r="W1152" s="7" t="str">
        <f>VLOOKUP($Q1152,Mapping!$E$11:$I$96,3,0)</f>
        <v>Replacement</v>
      </c>
      <c r="X1152" s="7" t="str">
        <f>VLOOKUP($S1152,Mapping!$E$140:$K$2771,5,0)</f>
        <v>Labour</v>
      </c>
      <c r="Y1152" s="7" t="str">
        <f>VLOOKUP($S1152,Mapping!$E$140:$K$2771,7,0)</f>
        <v>ENDirect</v>
      </c>
      <c r="Z1152" s="7" t="str">
        <f>IFERROR(HLOOKUP(X1152,'Calc|Weightings'!$K$5:$M$5,1,0),"Excl")</f>
        <v>Labour</v>
      </c>
      <c r="AA1152" s="7" t="str">
        <f>VLOOKUP(Q1152,Mapping!$E$11:$I$96,5,0)</f>
        <v>SCS</v>
      </c>
      <c r="AC1152" s="111">
        <v>150</v>
      </c>
      <c r="AD1152" s="111" t="s">
        <v>2159</v>
      </c>
      <c r="AE1152" s="111">
        <v>532140</v>
      </c>
      <c r="AF1152" s="111" t="s">
        <v>288</v>
      </c>
      <c r="AG1152" s="112">
        <v>21.950610000000001</v>
      </c>
      <c r="AI1152" s="7" t="str">
        <f>VLOOKUP($AC1152,Mapping!$E$11:$I$96,3,0)</f>
        <v>Replacement</v>
      </c>
      <c r="AJ1152" s="7" t="str">
        <f>VLOOKUP($AE1152,Mapping!$E$140:$K$2771,5,0)</f>
        <v>Contracts</v>
      </c>
      <c r="AK1152" s="7" t="str">
        <f>VLOOKUP($AE1152,Mapping!$E$140:$K$2771,7,0)</f>
        <v>ENDirect</v>
      </c>
      <c r="AL1152" s="7" t="str">
        <f>IFERROR(HLOOKUP(AJ1152,'Calc|Weightings'!$K$5:$M$5,1,0),"Excl")</f>
        <v>Contracts</v>
      </c>
      <c r="AM1152" s="7" t="str">
        <f>VLOOKUP(AC1152,Mapping!$E$11:$I$96,5,0)</f>
        <v>SCS</v>
      </c>
      <c r="AO1152" s="134">
        <v>156</v>
      </c>
      <c r="AP1152" s="135" t="s">
        <v>2165</v>
      </c>
      <c r="AQ1152" s="135">
        <v>532420</v>
      </c>
      <c r="AR1152" s="135" t="s">
        <v>307</v>
      </c>
      <c r="AS1152" s="136">
        <v>0.79340999999999995</v>
      </c>
      <c r="AU1152" s="7" t="str">
        <f>VLOOKUP($AO1152,Mapping!$E$11:$I$96,3,0)</f>
        <v>Replacement</v>
      </c>
      <c r="AV1152" s="7" t="str">
        <f>VLOOKUP($AQ1152,Mapping!$E$140:$K$2771,5,0)</f>
        <v>Contracts</v>
      </c>
      <c r="AW1152" s="7" t="str">
        <f>VLOOKUP($AQ1152,Mapping!$E$140:$K$2771,7,0)</f>
        <v>ENDirect</v>
      </c>
      <c r="AX1152" s="7" t="str">
        <f>IFERROR(HLOOKUP(AV1152,'Calc|Weightings'!$K$5:$M$5,1,0),"Excl")</f>
        <v>Contracts</v>
      </c>
      <c r="AY1152" s="7" t="str">
        <f>VLOOKUP(AO1152,Mapping!$E$11:$I$96,5,0)</f>
        <v>SCS</v>
      </c>
    </row>
    <row r="1153" spans="1:51" x14ac:dyDescent="0.2">
      <c r="A1153" s="7"/>
      <c r="B1153" s="7"/>
      <c r="C1153" s="7"/>
      <c r="D1153" s="7"/>
      <c r="E1153" s="36">
        <v>144</v>
      </c>
      <c r="F1153" s="36" t="s">
        <v>2154</v>
      </c>
      <c r="G1153" s="36">
        <v>591997</v>
      </c>
      <c r="H1153" s="36" t="s">
        <v>2194</v>
      </c>
      <c r="I1153" s="37">
        <v>-1.74983</v>
      </c>
      <c r="J1153" s="7"/>
      <c r="K1153" s="7" t="str">
        <f>VLOOKUP($E1153,Mapping!$E$11:$I$96,3,0)</f>
        <v>Replacement</v>
      </c>
      <c r="L1153" s="7" t="str">
        <f>VLOOKUP($G1153,Mapping!$E$140:$K$2771,5,0)</f>
        <v>Contracts</v>
      </c>
      <c r="M1153" s="7" t="str">
        <f>VLOOKUP($G1153,Mapping!$E$140:$K$2771,7,0)</f>
        <v>ENDirect</v>
      </c>
      <c r="N1153" s="7" t="str">
        <f>IFERROR(HLOOKUP(L1153,'Calc|Weightings'!$K$5:$M$5,1,0),"Excl")</f>
        <v>Contracts</v>
      </c>
      <c r="O1153" s="7" t="str">
        <f>VLOOKUP(E1153,Mapping!$E$11:$I$96,5,0)</f>
        <v>SCS</v>
      </c>
      <c r="Q1153" s="33">
        <v>148</v>
      </c>
      <c r="R1153" s="33" t="s">
        <v>2158</v>
      </c>
      <c r="S1153" s="33">
        <v>613440</v>
      </c>
      <c r="T1153" s="33" t="s">
        <v>2103</v>
      </c>
      <c r="U1153" s="34">
        <v>0.14918000000000001</v>
      </c>
      <c r="V1153" s="7"/>
      <c r="W1153" s="7" t="str">
        <f>VLOOKUP($Q1153,Mapping!$E$11:$I$96,3,0)</f>
        <v>Replacement</v>
      </c>
      <c r="X1153" s="7" t="str">
        <f>VLOOKUP($S1153,Mapping!$E$140:$K$2771,5,0)</f>
        <v>Labour</v>
      </c>
      <c r="Y1153" s="7" t="str">
        <f>VLOOKUP($S1153,Mapping!$E$140:$K$2771,7,0)</f>
        <v>ENDirect</v>
      </c>
      <c r="Z1153" s="7" t="str">
        <f>IFERROR(HLOOKUP(X1153,'Calc|Weightings'!$K$5:$M$5,1,0),"Excl")</f>
        <v>Labour</v>
      </c>
      <c r="AA1153" s="7" t="str">
        <f>VLOOKUP(Q1153,Mapping!$E$11:$I$96,5,0)</f>
        <v>SCS</v>
      </c>
      <c r="AC1153" s="111">
        <v>150</v>
      </c>
      <c r="AD1153" s="111" t="s">
        <v>2159</v>
      </c>
      <c r="AE1153" s="111">
        <v>591997</v>
      </c>
      <c r="AF1153" s="111" t="s">
        <v>2194</v>
      </c>
      <c r="AG1153" s="112">
        <v>-6.6170000000000007E-2</v>
      </c>
      <c r="AI1153" s="7" t="str">
        <f>VLOOKUP($AC1153,Mapping!$E$11:$I$96,3,0)</f>
        <v>Replacement</v>
      </c>
      <c r="AJ1153" s="7" t="str">
        <f>VLOOKUP($AE1153,Mapping!$E$140:$K$2771,5,0)</f>
        <v>Contracts</v>
      </c>
      <c r="AK1153" s="7" t="str">
        <f>VLOOKUP($AE1153,Mapping!$E$140:$K$2771,7,0)</f>
        <v>ENDirect</v>
      </c>
      <c r="AL1153" s="7" t="str">
        <f>IFERROR(HLOOKUP(AJ1153,'Calc|Weightings'!$K$5:$M$5,1,0),"Excl")</f>
        <v>Contracts</v>
      </c>
      <c r="AM1153" s="7" t="str">
        <f>VLOOKUP(AC1153,Mapping!$E$11:$I$96,5,0)</f>
        <v>SCS</v>
      </c>
      <c r="AO1153" s="134">
        <v>156</v>
      </c>
      <c r="AP1153" s="135" t="s">
        <v>2165</v>
      </c>
      <c r="AQ1153" s="135">
        <v>611900</v>
      </c>
      <c r="AR1153" s="135" t="s">
        <v>2079</v>
      </c>
      <c r="AS1153" s="136">
        <v>1.99336</v>
      </c>
      <c r="AU1153" s="7" t="str">
        <f>VLOOKUP($AO1153,Mapping!$E$11:$I$96,3,0)</f>
        <v>Replacement</v>
      </c>
      <c r="AV1153" s="7" t="str">
        <f>VLOOKUP($AQ1153,Mapping!$E$140:$K$2771,5,0)</f>
        <v>Contracts</v>
      </c>
      <c r="AW1153" s="7" t="str">
        <f>VLOOKUP($AQ1153,Mapping!$E$140:$K$2771,7,0)</f>
        <v>ENDirect</v>
      </c>
      <c r="AX1153" s="7" t="str">
        <f>IFERROR(HLOOKUP(AV1153,'Calc|Weightings'!$K$5:$M$5,1,0),"Excl")</f>
        <v>Contracts</v>
      </c>
      <c r="AY1153" s="7" t="str">
        <f>VLOOKUP(AO1153,Mapping!$E$11:$I$96,5,0)</f>
        <v>SCS</v>
      </c>
    </row>
    <row r="1154" spans="1:51" x14ac:dyDescent="0.2">
      <c r="A1154" s="7"/>
      <c r="B1154" s="7"/>
      <c r="C1154" s="7"/>
      <c r="D1154" s="7"/>
      <c r="E1154" s="36">
        <v>144</v>
      </c>
      <c r="F1154" s="36" t="s">
        <v>2154</v>
      </c>
      <c r="G1154" s="36">
        <v>591999</v>
      </c>
      <c r="H1154" s="36" t="s">
        <v>2195</v>
      </c>
      <c r="I1154" s="37">
        <v>-9.4473400000000005</v>
      </c>
      <c r="J1154" s="7"/>
      <c r="K1154" s="7" t="str">
        <f>VLOOKUP($E1154,Mapping!$E$11:$I$96,3,0)</f>
        <v>Replacement</v>
      </c>
      <c r="L1154" s="7" t="str">
        <f>VLOOKUP($G1154,Mapping!$E$140:$K$2771,5,0)</f>
        <v>Contracts</v>
      </c>
      <c r="M1154" s="7" t="str">
        <f>VLOOKUP($G1154,Mapping!$E$140:$K$2771,7,0)</f>
        <v>ENDirect</v>
      </c>
      <c r="N1154" s="7" t="str">
        <f>IFERROR(HLOOKUP(L1154,'Calc|Weightings'!$K$5:$M$5,1,0),"Excl")</f>
        <v>Contracts</v>
      </c>
      <c r="O1154" s="7" t="str">
        <f>VLOOKUP(E1154,Mapping!$E$11:$I$96,5,0)</f>
        <v>SCS</v>
      </c>
      <c r="Q1154" s="33">
        <v>148</v>
      </c>
      <c r="R1154" s="33" t="s">
        <v>2158</v>
      </c>
      <c r="S1154" s="33">
        <v>613441</v>
      </c>
      <c r="T1154" s="33" t="s">
        <v>2104</v>
      </c>
      <c r="U1154" s="34">
        <v>0.23735000000000001</v>
      </c>
      <c r="V1154" s="7"/>
      <c r="W1154" s="7" t="str">
        <f>VLOOKUP($Q1154,Mapping!$E$11:$I$96,3,0)</f>
        <v>Replacement</v>
      </c>
      <c r="X1154" s="7" t="str">
        <f>VLOOKUP($S1154,Mapping!$E$140:$K$2771,5,0)</f>
        <v>Labour</v>
      </c>
      <c r="Y1154" s="7" t="str">
        <f>VLOOKUP($S1154,Mapping!$E$140:$K$2771,7,0)</f>
        <v>ENDirect</v>
      </c>
      <c r="Z1154" s="7" t="str">
        <f>IFERROR(HLOOKUP(X1154,'Calc|Weightings'!$K$5:$M$5,1,0),"Excl")</f>
        <v>Labour</v>
      </c>
      <c r="AA1154" s="7" t="str">
        <f>VLOOKUP(Q1154,Mapping!$E$11:$I$96,5,0)</f>
        <v>SCS</v>
      </c>
      <c r="AC1154" s="111">
        <v>150</v>
      </c>
      <c r="AD1154" s="111" t="s">
        <v>2159</v>
      </c>
      <c r="AE1154" s="111">
        <v>591999</v>
      </c>
      <c r="AF1154" s="111" t="s">
        <v>2195</v>
      </c>
      <c r="AG1154" s="112">
        <v>-0.70281000000000005</v>
      </c>
      <c r="AI1154" s="7" t="str">
        <f>VLOOKUP($AC1154,Mapping!$E$11:$I$96,3,0)</f>
        <v>Replacement</v>
      </c>
      <c r="AJ1154" s="7" t="str">
        <f>VLOOKUP($AE1154,Mapping!$E$140:$K$2771,5,0)</f>
        <v>Contracts</v>
      </c>
      <c r="AK1154" s="7" t="str">
        <f>VLOOKUP($AE1154,Mapping!$E$140:$K$2771,7,0)</f>
        <v>ENDirect</v>
      </c>
      <c r="AL1154" s="7" t="str">
        <f>IFERROR(HLOOKUP(AJ1154,'Calc|Weightings'!$K$5:$M$5,1,0),"Excl")</f>
        <v>Contracts</v>
      </c>
      <c r="AM1154" s="7" t="str">
        <f>VLOOKUP(AC1154,Mapping!$E$11:$I$96,5,0)</f>
        <v>SCS</v>
      </c>
      <c r="AO1154" s="134">
        <v>156</v>
      </c>
      <c r="AP1154" s="135" t="s">
        <v>2165</v>
      </c>
      <c r="AQ1154" s="135">
        <v>611901</v>
      </c>
      <c r="AR1154" s="135" t="s">
        <v>2080</v>
      </c>
      <c r="AS1154" s="136">
        <v>15.17601</v>
      </c>
      <c r="AU1154" s="7" t="str">
        <f>VLOOKUP($AO1154,Mapping!$E$11:$I$96,3,0)</f>
        <v>Replacement</v>
      </c>
      <c r="AV1154" s="7" t="str">
        <f>VLOOKUP($AQ1154,Mapping!$E$140:$K$2771,5,0)</f>
        <v>Contracts</v>
      </c>
      <c r="AW1154" s="7" t="str">
        <f>VLOOKUP($AQ1154,Mapping!$E$140:$K$2771,7,0)</f>
        <v>ENDirect</v>
      </c>
      <c r="AX1154" s="7" t="str">
        <f>IFERROR(HLOOKUP(AV1154,'Calc|Weightings'!$K$5:$M$5,1,0),"Excl")</f>
        <v>Contracts</v>
      </c>
      <c r="AY1154" s="7" t="str">
        <f>VLOOKUP(AO1154,Mapping!$E$11:$I$96,5,0)</f>
        <v>SCS</v>
      </c>
    </row>
    <row r="1155" spans="1:51" x14ac:dyDescent="0.2">
      <c r="A1155" s="7"/>
      <c r="B1155" s="7"/>
      <c r="C1155" s="7"/>
      <c r="D1155" s="7"/>
      <c r="E1155" s="36">
        <v>144</v>
      </c>
      <c r="F1155" s="36" t="s">
        <v>2154</v>
      </c>
      <c r="G1155" s="36">
        <v>611860</v>
      </c>
      <c r="H1155" s="36" t="s">
        <v>2125</v>
      </c>
      <c r="I1155" s="37">
        <v>-4.2889499999999998</v>
      </c>
      <c r="J1155" s="7"/>
      <c r="K1155" s="7" t="str">
        <f>VLOOKUP($E1155,Mapping!$E$11:$I$96,3,0)</f>
        <v>Replacement</v>
      </c>
      <c r="L1155" s="7" t="str">
        <f>VLOOKUP($G1155,Mapping!$E$140:$K$2771,5,0)</f>
        <v>Labour</v>
      </c>
      <c r="M1155" s="7" t="str">
        <f>VLOOKUP($G1155,Mapping!$E$140:$K$2771,7,0)</f>
        <v>ENDirect</v>
      </c>
      <c r="N1155" s="7" t="str">
        <f>IFERROR(HLOOKUP(L1155,'Calc|Weightings'!$K$5:$M$5,1,0),"Excl")</f>
        <v>Labour</v>
      </c>
      <c r="O1155" s="7" t="str">
        <f>VLOOKUP(E1155,Mapping!$E$11:$I$96,5,0)</f>
        <v>SCS</v>
      </c>
      <c r="Q1155" s="33">
        <v>148</v>
      </c>
      <c r="R1155" s="33" t="s">
        <v>2158</v>
      </c>
      <c r="S1155" s="33">
        <v>613448</v>
      </c>
      <c r="T1155" s="33" t="s">
        <v>2105</v>
      </c>
      <c r="U1155" s="34">
        <v>0.26300000000000001</v>
      </c>
      <c r="V1155" s="7"/>
      <c r="W1155" s="7" t="str">
        <f>VLOOKUP($Q1155,Mapping!$E$11:$I$96,3,0)</f>
        <v>Replacement</v>
      </c>
      <c r="X1155" s="7" t="str">
        <f>VLOOKUP($S1155,Mapping!$E$140:$K$2771,5,0)</f>
        <v>Labour</v>
      </c>
      <c r="Y1155" s="7" t="str">
        <f>VLOOKUP($S1155,Mapping!$E$140:$K$2771,7,0)</f>
        <v>ENDirect</v>
      </c>
      <c r="Z1155" s="7" t="str">
        <f>IFERROR(HLOOKUP(X1155,'Calc|Weightings'!$K$5:$M$5,1,0),"Excl")</f>
        <v>Labour</v>
      </c>
      <c r="AA1155" s="7" t="str">
        <f>VLOOKUP(Q1155,Mapping!$E$11:$I$96,5,0)</f>
        <v>SCS</v>
      </c>
      <c r="AC1155" s="111">
        <v>150</v>
      </c>
      <c r="AD1155" s="111" t="s">
        <v>2159</v>
      </c>
      <c r="AE1155" s="111">
        <v>611900</v>
      </c>
      <c r="AF1155" s="111" t="s">
        <v>2079</v>
      </c>
      <c r="AG1155" s="112">
        <v>1.59921</v>
      </c>
      <c r="AI1155" s="7" t="str">
        <f>VLOOKUP($AC1155,Mapping!$E$11:$I$96,3,0)</f>
        <v>Replacement</v>
      </c>
      <c r="AJ1155" s="7" t="str">
        <f>VLOOKUP($AE1155,Mapping!$E$140:$K$2771,5,0)</f>
        <v>Contracts</v>
      </c>
      <c r="AK1155" s="7" t="str">
        <f>VLOOKUP($AE1155,Mapping!$E$140:$K$2771,7,0)</f>
        <v>ENDirect</v>
      </c>
      <c r="AL1155" s="7" t="str">
        <f>IFERROR(HLOOKUP(AJ1155,'Calc|Weightings'!$K$5:$M$5,1,0),"Excl")</f>
        <v>Contracts</v>
      </c>
      <c r="AM1155" s="7" t="str">
        <f>VLOOKUP(AC1155,Mapping!$E$11:$I$96,5,0)</f>
        <v>SCS</v>
      </c>
      <c r="AO1155" s="134">
        <v>156</v>
      </c>
      <c r="AP1155" s="135" t="s">
        <v>2165</v>
      </c>
      <c r="AQ1155" s="135">
        <v>611902</v>
      </c>
      <c r="AR1155" s="135" t="s">
        <v>2081</v>
      </c>
      <c r="AS1155" s="136">
        <v>11.34104</v>
      </c>
      <c r="AU1155" s="7" t="str">
        <f>VLOOKUP($AO1155,Mapping!$E$11:$I$96,3,0)</f>
        <v>Replacement</v>
      </c>
      <c r="AV1155" s="7" t="str">
        <f>VLOOKUP($AQ1155,Mapping!$E$140:$K$2771,5,0)</f>
        <v>Contracts</v>
      </c>
      <c r="AW1155" s="7" t="str">
        <f>VLOOKUP($AQ1155,Mapping!$E$140:$K$2771,7,0)</f>
        <v>ENDirect</v>
      </c>
      <c r="AX1155" s="7" t="str">
        <f>IFERROR(HLOOKUP(AV1155,'Calc|Weightings'!$K$5:$M$5,1,0),"Excl")</f>
        <v>Contracts</v>
      </c>
      <c r="AY1155" s="7" t="str">
        <f>VLOOKUP(AO1155,Mapping!$E$11:$I$96,5,0)</f>
        <v>SCS</v>
      </c>
    </row>
    <row r="1156" spans="1:51" x14ac:dyDescent="0.2">
      <c r="A1156" s="7"/>
      <c r="B1156" s="7"/>
      <c r="C1156" s="7"/>
      <c r="D1156" s="7"/>
      <c r="E1156" s="36">
        <v>144</v>
      </c>
      <c r="F1156" s="36" t="s">
        <v>2154</v>
      </c>
      <c r="G1156" s="36">
        <v>611901</v>
      </c>
      <c r="H1156" s="36" t="s">
        <v>2080</v>
      </c>
      <c r="I1156" s="37">
        <v>24.64761</v>
      </c>
      <c r="J1156" s="7"/>
      <c r="K1156" s="7" t="str">
        <f>VLOOKUP($E1156,Mapping!$E$11:$I$96,3,0)</f>
        <v>Replacement</v>
      </c>
      <c r="L1156" s="7" t="str">
        <f>VLOOKUP($G1156,Mapping!$E$140:$K$2771,5,0)</f>
        <v>Contracts</v>
      </c>
      <c r="M1156" s="7" t="str">
        <f>VLOOKUP($G1156,Mapping!$E$140:$K$2771,7,0)</f>
        <v>ENDirect</v>
      </c>
      <c r="N1156" s="7" t="str">
        <f>IFERROR(HLOOKUP(L1156,'Calc|Weightings'!$K$5:$M$5,1,0),"Excl")</f>
        <v>Contracts</v>
      </c>
      <c r="O1156" s="7" t="str">
        <f>VLOOKUP(E1156,Mapping!$E$11:$I$96,5,0)</f>
        <v>SCS</v>
      </c>
      <c r="Q1156" s="33">
        <v>148</v>
      </c>
      <c r="R1156" s="33" t="s">
        <v>2158</v>
      </c>
      <c r="S1156" s="33">
        <v>613566</v>
      </c>
      <c r="T1156" s="33" t="s">
        <v>1482</v>
      </c>
      <c r="U1156" s="34">
        <v>8.3244000000000007</v>
      </c>
      <c r="V1156" s="7"/>
      <c r="W1156" s="7" t="str">
        <f>VLOOKUP($Q1156,Mapping!$E$11:$I$96,3,0)</f>
        <v>Replacement</v>
      </c>
      <c r="X1156" s="7" t="str">
        <f>VLOOKUP($S1156,Mapping!$E$140:$K$2771,5,0)</f>
        <v>Labour</v>
      </c>
      <c r="Y1156" s="7" t="str">
        <f>VLOOKUP($S1156,Mapping!$E$140:$K$2771,7,0)</f>
        <v>ENDirect</v>
      </c>
      <c r="Z1156" s="7" t="str">
        <f>IFERROR(HLOOKUP(X1156,'Calc|Weightings'!$K$5:$M$5,1,0),"Excl")</f>
        <v>Labour</v>
      </c>
      <c r="AA1156" s="7" t="str">
        <f>VLOOKUP(Q1156,Mapping!$E$11:$I$96,5,0)</f>
        <v>SCS</v>
      </c>
      <c r="AC1156" s="111">
        <v>150</v>
      </c>
      <c r="AD1156" s="111" t="s">
        <v>2159</v>
      </c>
      <c r="AE1156" s="111">
        <v>611901</v>
      </c>
      <c r="AF1156" s="111" t="s">
        <v>2080</v>
      </c>
      <c r="AG1156" s="112">
        <v>3.5482999999999998</v>
      </c>
      <c r="AI1156" s="7" t="str">
        <f>VLOOKUP($AC1156,Mapping!$E$11:$I$96,3,0)</f>
        <v>Replacement</v>
      </c>
      <c r="AJ1156" s="7" t="str">
        <f>VLOOKUP($AE1156,Mapping!$E$140:$K$2771,5,0)</f>
        <v>Contracts</v>
      </c>
      <c r="AK1156" s="7" t="str">
        <f>VLOOKUP($AE1156,Mapping!$E$140:$K$2771,7,0)</f>
        <v>ENDirect</v>
      </c>
      <c r="AL1156" s="7" t="str">
        <f>IFERROR(HLOOKUP(AJ1156,'Calc|Weightings'!$K$5:$M$5,1,0),"Excl")</f>
        <v>Contracts</v>
      </c>
      <c r="AM1156" s="7" t="str">
        <f>VLOOKUP(AC1156,Mapping!$E$11:$I$96,5,0)</f>
        <v>SCS</v>
      </c>
      <c r="AO1156" s="134">
        <v>156</v>
      </c>
      <c r="AP1156" s="135" t="s">
        <v>2165</v>
      </c>
      <c r="AQ1156" s="135">
        <v>612210</v>
      </c>
      <c r="AR1156" s="135" t="s">
        <v>1184</v>
      </c>
      <c r="AS1156" s="136">
        <v>60.352330000000002</v>
      </c>
      <c r="AU1156" s="7" t="str">
        <f>VLOOKUP($AO1156,Mapping!$E$11:$I$96,3,0)</f>
        <v>Replacement</v>
      </c>
      <c r="AV1156" s="7" t="str">
        <f>VLOOKUP($AQ1156,Mapping!$E$140:$K$2771,5,0)</f>
        <v>Labour</v>
      </c>
      <c r="AW1156" s="7" t="str">
        <f>VLOOKUP($AQ1156,Mapping!$E$140:$K$2771,7,0)</f>
        <v>ENDirect</v>
      </c>
      <c r="AX1156" s="7" t="str">
        <f>IFERROR(HLOOKUP(AV1156,'Calc|Weightings'!$K$5:$M$5,1,0),"Excl")</f>
        <v>Labour</v>
      </c>
      <c r="AY1156" s="7" t="str">
        <f>VLOOKUP(AO1156,Mapping!$E$11:$I$96,5,0)</f>
        <v>SCS</v>
      </c>
    </row>
    <row r="1157" spans="1:51" x14ac:dyDescent="0.2">
      <c r="A1157" s="7"/>
      <c r="B1157" s="7"/>
      <c r="C1157" s="7"/>
      <c r="D1157" s="7"/>
      <c r="E1157" s="36">
        <v>144</v>
      </c>
      <c r="F1157" s="36" t="s">
        <v>2154</v>
      </c>
      <c r="G1157" s="36">
        <v>612210</v>
      </c>
      <c r="H1157" s="36" t="s">
        <v>1184</v>
      </c>
      <c r="I1157" s="37">
        <v>1.504E-2</v>
      </c>
      <c r="J1157" s="7"/>
      <c r="K1157" s="7" t="str">
        <f>VLOOKUP($E1157,Mapping!$E$11:$I$96,3,0)</f>
        <v>Replacement</v>
      </c>
      <c r="L1157" s="7" t="str">
        <f>VLOOKUP($G1157,Mapping!$E$140:$K$2771,5,0)</f>
        <v>Labour</v>
      </c>
      <c r="M1157" s="7" t="str">
        <f>VLOOKUP($G1157,Mapping!$E$140:$K$2771,7,0)</f>
        <v>ENDirect</v>
      </c>
      <c r="N1157" s="7" t="str">
        <f>IFERROR(HLOOKUP(L1157,'Calc|Weightings'!$K$5:$M$5,1,0),"Excl")</f>
        <v>Labour</v>
      </c>
      <c r="O1157" s="7" t="str">
        <f>VLOOKUP(E1157,Mapping!$E$11:$I$96,5,0)</f>
        <v>SCS</v>
      </c>
      <c r="Q1157" s="33">
        <v>148</v>
      </c>
      <c r="R1157" s="33" t="s">
        <v>2158</v>
      </c>
      <c r="S1157" s="33">
        <v>613567</v>
      </c>
      <c r="T1157" s="33" t="s">
        <v>1483</v>
      </c>
      <c r="U1157" s="34">
        <v>10.35342</v>
      </c>
      <c r="V1157" s="7"/>
      <c r="W1157" s="7" t="str">
        <f>VLOOKUP($Q1157,Mapping!$E$11:$I$96,3,0)</f>
        <v>Replacement</v>
      </c>
      <c r="X1157" s="7" t="str">
        <f>VLOOKUP($S1157,Mapping!$E$140:$K$2771,5,0)</f>
        <v>Labour</v>
      </c>
      <c r="Y1157" s="7" t="str">
        <f>VLOOKUP($S1157,Mapping!$E$140:$K$2771,7,0)</f>
        <v>ENDirect</v>
      </c>
      <c r="Z1157" s="7" t="str">
        <f>IFERROR(HLOOKUP(X1157,'Calc|Weightings'!$K$5:$M$5,1,0),"Excl")</f>
        <v>Labour</v>
      </c>
      <c r="AA1157" s="7" t="str">
        <f>VLOOKUP(Q1157,Mapping!$E$11:$I$96,5,0)</f>
        <v>SCS</v>
      </c>
      <c r="AC1157" s="111">
        <v>150</v>
      </c>
      <c r="AD1157" s="111" t="s">
        <v>2159</v>
      </c>
      <c r="AE1157" s="111">
        <v>613240</v>
      </c>
      <c r="AF1157" s="111" t="s">
        <v>2082</v>
      </c>
      <c r="AG1157" s="112">
        <v>6.5681599999999998</v>
      </c>
      <c r="AI1157" s="7" t="str">
        <f>VLOOKUP($AC1157,Mapping!$E$11:$I$96,3,0)</f>
        <v>Replacement</v>
      </c>
      <c r="AJ1157" s="7" t="str">
        <f>VLOOKUP($AE1157,Mapping!$E$140:$K$2771,5,0)</f>
        <v>Labour</v>
      </c>
      <c r="AK1157" s="7" t="str">
        <f>VLOOKUP($AE1157,Mapping!$E$140:$K$2771,7,0)</f>
        <v>ENDirect</v>
      </c>
      <c r="AL1157" s="7" t="str">
        <f>IFERROR(HLOOKUP(AJ1157,'Calc|Weightings'!$K$5:$M$5,1,0),"Excl")</f>
        <v>Labour</v>
      </c>
      <c r="AM1157" s="7" t="str">
        <f>VLOOKUP(AC1157,Mapping!$E$11:$I$96,5,0)</f>
        <v>SCS</v>
      </c>
      <c r="AO1157" s="134">
        <v>156</v>
      </c>
      <c r="AP1157" s="135" t="s">
        <v>2165</v>
      </c>
      <c r="AQ1157" s="135">
        <v>613260</v>
      </c>
      <c r="AR1157" s="135" t="s">
        <v>2090</v>
      </c>
      <c r="AS1157" s="136">
        <v>84.945070000000001</v>
      </c>
      <c r="AU1157" s="7" t="str">
        <f>VLOOKUP($AO1157,Mapping!$E$11:$I$96,3,0)</f>
        <v>Replacement</v>
      </c>
      <c r="AV1157" s="7" t="str">
        <f>VLOOKUP($AQ1157,Mapping!$E$140:$K$2771,5,0)</f>
        <v>Labour</v>
      </c>
      <c r="AW1157" s="7" t="str">
        <f>VLOOKUP($AQ1157,Mapping!$E$140:$K$2771,7,0)</f>
        <v>ENDirect</v>
      </c>
      <c r="AX1157" s="7" t="str">
        <f>IFERROR(HLOOKUP(AV1157,'Calc|Weightings'!$K$5:$M$5,1,0),"Excl")</f>
        <v>Labour</v>
      </c>
      <c r="AY1157" s="7" t="str">
        <f>VLOOKUP(AO1157,Mapping!$E$11:$I$96,5,0)</f>
        <v>SCS</v>
      </c>
    </row>
    <row r="1158" spans="1:51" x14ac:dyDescent="0.2">
      <c r="A1158" s="7"/>
      <c r="B1158" s="7"/>
      <c r="C1158" s="7"/>
      <c r="D1158" s="7"/>
      <c r="E1158" s="36">
        <v>144</v>
      </c>
      <c r="F1158" s="36" t="s">
        <v>2154</v>
      </c>
      <c r="G1158" s="36">
        <v>612462</v>
      </c>
      <c r="H1158" s="36" t="s">
        <v>1244</v>
      </c>
      <c r="I1158" s="37">
        <v>-3.9100000000000003E-2</v>
      </c>
      <c r="J1158" s="7"/>
      <c r="K1158" s="7" t="str">
        <f>VLOOKUP($E1158,Mapping!$E$11:$I$96,3,0)</f>
        <v>Replacement</v>
      </c>
      <c r="L1158" s="7" t="str">
        <f>VLOOKUP($G1158,Mapping!$E$140:$K$2771,5,0)</f>
        <v>Labour</v>
      </c>
      <c r="M1158" s="7" t="str">
        <f>VLOOKUP($G1158,Mapping!$E$140:$K$2771,7,0)</f>
        <v>ENDirect</v>
      </c>
      <c r="N1158" s="7" t="str">
        <f>IFERROR(HLOOKUP(L1158,'Calc|Weightings'!$K$5:$M$5,1,0),"Excl")</f>
        <v>Labour</v>
      </c>
      <c r="O1158" s="7" t="str">
        <f>VLOOKUP(E1158,Mapping!$E$11:$I$96,5,0)</f>
        <v>SCS</v>
      </c>
      <c r="Q1158" s="33">
        <v>148</v>
      </c>
      <c r="R1158" s="33" t="s">
        <v>2158</v>
      </c>
      <c r="S1158" s="33">
        <v>613570</v>
      </c>
      <c r="T1158" s="33" t="s">
        <v>1484</v>
      </c>
      <c r="U1158" s="34">
        <v>0.38238</v>
      </c>
      <c r="V1158" s="7"/>
      <c r="W1158" s="7" t="str">
        <f>VLOOKUP($Q1158,Mapping!$E$11:$I$96,3,0)</f>
        <v>Replacement</v>
      </c>
      <c r="X1158" s="7" t="str">
        <f>VLOOKUP($S1158,Mapping!$E$140:$K$2771,5,0)</f>
        <v>Labour</v>
      </c>
      <c r="Y1158" s="7" t="str">
        <f>VLOOKUP($S1158,Mapping!$E$140:$K$2771,7,0)</f>
        <v>ENDirect</v>
      </c>
      <c r="Z1158" s="7" t="str">
        <f>IFERROR(HLOOKUP(X1158,'Calc|Weightings'!$K$5:$M$5,1,0),"Excl")</f>
        <v>Labour</v>
      </c>
      <c r="AA1158" s="7" t="str">
        <f>VLOOKUP(Q1158,Mapping!$E$11:$I$96,5,0)</f>
        <v>SCS</v>
      </c>
      <c r="AC1158" s="111">
        <v>150</v>
      </c>
      <c r="AD1158" s="111" t="s">
        <v>2159</v>
      </c>
      <c r="AE1158" s="111">
        <v>613241</v>
      </c>
      <c r="AF1158" s="111" t="s">
        <v>2083</v>
      </c>
      <c r="AG1158" s="112">
        <v>0.61384000000000005</v>
      </c>
      <c r="AI1158" s="7" t="str">
        <f>VLOOKUP($AC1158,Mapping!$E$11:$I$96,3,0)</f>
        <v>Replacement</v>
      </c>
      <c r="AJ1158" s="7" t="str">
        <f>VLOOKUP($AE1158,Mapping!$E$140:$K$2771,5,0)</f>
        <v>Labour</v>
      </c>
      <c r="AK1158" s="7" t="str">
        <f>VLOOKUP($AE1158,Mapping!$E$140:$K$2771,7,0)</f>
        <v>ENDirect</v>
      </c>
      <c r="AL1158" s="7" t="str">
        <f>IFERROR(HLOOKUP(AJ1158,'Calc|Weightings'!$K$5:$M$5,1,0),"Excl")</f>
        <v>Labour</v>
      </c>
      <c r="AM1158" s="7" t="str">
        <f>VLOOKUP(AC1158,Mapping!$E$11:$I$96,5,0)</f>
        <v>SCS</v>
      </c>
      <c r="AO1158" s="134">
        <v>156</v>
      </c>
      <c r="AP1158" s="135" t="s">
        <v>2165</v>
      </c>
      <c r="AQ1158" s="135">
        <v>613261</v>
      </c>
      <c r="AR1158" s="135" t="s">
        <v>2091</v>
      </c>
      <c r="AS1158" s="136">
        <v>6.0026400000000004</v>
      </c>
      <c r="AU1158" s="7" t="str">
        <f>VLOOKUP($AO1158,Mapping!$E$11:$I$96,3,0)</f>
        <v>Replacement</v>
      </c>
      <c r="AV1158" s="7" t="str">
        <f>VLOOKUP($AQ1158,Mapping!$E$140:$K$2771,5,0)</f>
        <v>Labour</v>
      </c>
      <c r="AW1158" s="7" t="str">
        <f>VLOOKUP($AQ1158,Mapping!$E$140:$K$2771,7,0)</f>
        <v>ENDirect</v>
      </c>
      <c r="AX1158" s="7" t="str">
        <f>IFERROR(HLOOKUP(AV1158,'Calc|Weightings'!$K$5:$M$5,1,0),"Excl")</f>
        <v>Labour</v>
      </c>
      <c r="AY1158" s="7" t="str">
        <f>VLOOKUP(AO1158,Mapping!$E$11:$I$96,5,0)</f>
        <v>SCS</v>
      </c>
    </row>
    <row r="1159" spans="1:51" x14ac:dyDescent="0.2">
      <c r="A1159" s="7"/>
      <c r="B1159" s="7"/>
      <c r="C1159" s="7"/>
      <c r="D1159" s="7"/>
      <c r="E1159" s="36">
        <v>144</v>
      </c>
      <c r="F1159" s="36" t="s">
        <v>2154</v>
      </c>
      <c r="G1159" s="36">
        <v>613268</v>
      </c>
      <c r="H1159" s="36" t="s">
        <v>1335</v>
      </c>
      <c r="I1159" s="37">
        <v>43.612499999999997</v>
      </c>
      <c r="J1159" s="7"/>
      <c r="K1159" s="7" t="str">
        <f>VLOOKUP($E1159,Mapping!$E$11:$I$96,3,0)</f>
        <v>Replacement</v>
      </c>
      <c r="L1159" s="7" t="str">
        <f>VLOOKUP($G1159,Mapping!$E$140:$K$2771,5,0)</f>
        <v>Labour</v>
      </c>
      <c r="M1159" s="7" t="str">
        <f>VLOOKUP($G1159,Mapping!$E$140:$K$2771,7,0)</f>
        <v>ENDirect</v>
      </c>
      <c r="N1159" s="7" t="str">
        <f>IFERROR(HLOOKUP(L1159,'Calc|Weightings'!$K$5:$M$5,1,0),"Excl")</f>
        <v>Labour</v>
      </c>
      <c r="O1159" s="7" t="str">
        <f>VLOOKUP(E1159,Mapping!$E$11:$I$96,5,0)</f>
        <v>SCS</v>
      </c>
      <c r="Q1159" s="33">
        <v>148</v>
      </c>
      <c r="R1159" s="33" t="s">
        <v>2158</v>
      </c>
      <c r="S1159" s="33">
        <v>613574</v>
      </c>
      <c r="T1159" s="33" t="s">
        <v>1488</v>
      </c>
      <c r="U1159" s="34">
        <v>0.53251999999999999</v>
      </c>
      <c r="V1159" s="7"/>
      <c r="W1159" s="7" t="str">
        <f>VLOOKUP($Q1159,Mapping!$E$11:$I$96,3,0)</f>
        <v>Replacement</v>
      </c>
      <c r="X1159" s="7" t="str">
        <f>VLOOKUP($S1159,Mapping!$E$140:$K$2771,5,0)</f>
        <v>Labour</v>
      </c>
      <c r="Y1159" s="7" t="str">
        <f>VLOOKUP($S1159,Mapping!$E$140:$K$2771,7,0)</f>
        <v>ENDirect</v>
      </c>
      <c r="Z1159" s="7" t="str">
        <f>IFERROR(HLOOKUP(X1159,'Calc|Weightings'!$K$5:$M$5,1,0),"Excl")</f>
        <v>Labour</v>
      </c>
      <c r="AA1159" s="7" t="str">
        <f>VLOOKUP(Q1159,Mapping!$E$11:$I$96,5,0)</f>
        <v>SCS</v>
      </c>
      <c r="AC1159" s="111">
        <v>150</v>
      </c>
      <c r="AD1159" s="111" t="s">
        <v>2159</v>
      </c>
      <c r="AE1159" s="111">
        <v>613250</v>
      </c>
      <c r="AF1159" s="111" t="s">
        <v>2086</v>
      </c>
      <c r="AG1159" s="112">
        <v>15.1577</v>
      </c>
      <c r="AI1159" s="7" t="str">
        <f>VLOOKUP($AC1159,Mapping!$E$11:$I$96,3,0)</f>
        <v>Replacement</v>
      </c>
      <c r="AJ1159" s="7" t="str">
        <f>VLOOKUP($AE1159,Mapping!$E$140:$K$2771,5,0)</f>
        <v>Labour</v>
      </c>
      <c r="AK1159" s="7" t="str">
        <f>VLOOKUP($AE1159,Mapping!$E$140:$K$2771,7,0)</f>
        <v>ENDirect</v>
      </c>
      <c r="AL1159" s="7" t="str">
        <f>IFERROR(HLOOKUP(AJ1159,'Calc|Weightings'!$K$5:$M$5,1,0),"Excl")</f>
        <v>Labour</v>
      </c>
      <c r="AM1159" s="7" t="str">
        <f>VLOOKUP(AC1159,Mapping!$E$11:$I$96,5,0)</f>
        <v>SCS</v>
      </c>
      <c r="AO1159" s="134">
        <v>156</v>
      </c>
      <c r="AP1159" s="135" t="s">
        <v>2165</v>
      </c>
      <c r="AQ1159" s="135">
        <v>613280</v>
      </c>
      <c r="AR1159" s="135" t="s">
        <v>1342</v>
      </c>
      <c r="AS1159" s="136">
        <v>199.60193000000001</v>
      </c>
      <c r="AU1159" s="7" t="str">
        <f>VLOOKUP($AO1159,Mapping!$E$11:$I$96,3,0)</f>
        <v>Replacement</v>
      </c>
      <c r="AV1159" s="7" t="str">
        <f>VLOOKUP($AQ1159,Mapping!$E$140:$K$2771,5,0)</f>
        <v>Labour</v>
      </c>
      <c r="AW1159" s="7" t="str">
        <f>VLOOKUP($AQ1159,Mapping!$E$140:$K$2771,7,0)</f>
        <v>ENDirect</v>
      </c>
      <c r="AX1159" s="7" t="str">
        <f>IFERROR(HLOOKUP(AV1159,'Calc|Weightings'!$K$5:$M$5,1,0),"Excl")</f>
        <v>Labour</v>
      </c>
      <c r="AY1159" s="7" t="str">
        <f>VLOOKUP(AO1159,Mapping!$E$11:$I$96,5,0)</f>
        <v>SCS</v>
      </c>
    </row>
    <row r="1160" spans="1:51" x14ac:dyDescent="0.2">
      <c r="A1160" s="7"/>
      <c r="B1160" s="7"/>
      <c r="C1160" s="7"/>
      <c r="D1160" s="7"/>
      <c r="E1160" s="36">
        <v>144</v>
      </c>
      <c r="F1160" s="36" t="s">
        <v>2154</v>
      </c>
      <c r="G1160" s="36">
        <v>613269</v>
      </c>
      <c r="H1160" s="36" t="s">
        <v>1336</v>
      </c>
      <c r="I1160" s="37">
        <v>16.049399999999999</v>
      </c>
      <c r="J1160" s="7"/>
      <c r="K1160" s="7" t="str">
        <f>VLOOKUP($E1160,Mapping!$E$11:$I$96,3,0)</f>
        <v>Replacement</v>
      </c>
      <c r="L1160" s="7" t="str">
        <f>VLOOKUP($G1160,Mapping!$E$140:$K$2771,5,0)</f>
        <v>Labour</v>
      </c>
      <c r="M1160" s="7" t="str">
        <f>VLOOKUP($G1160,Mapping!$E$140:$K$2771,7,0)</f>
        <v>ENDirect</v>
      </c>
      <c r="N1160" s="7" t="str">
        <f>IFERROR(HLOOKUP(L1160,'Calc|Weightings'!$K$5:$M$5,1,0),"Excl")</f>
        <v>Labour</v>
      </c>
      <c r="O1160" s="7" t="str">
        <f>VLOOKUP(E1160,Mapping!$E$11:$I$96,5,0)</f>
        <v>SCS</v>
      </c>
      <c r="Q1160" s="33">
        <v>148</v>
      </c>
      <c r="R1160" s="33" t="s">
        <v>2158</v>
      </c>
      <c r="S1160" s="33">
        <v>613630</v>
      </c>
      <c r="T1160" s="33" t="s">
        <v>1498</v>
      </c>
      <c r="U1160" s="34">
        <v>1.1426400000000001</v>
      </c>
      <c r="V1160" s="7"/>
      <c r="W1160" s="7" t="str">
        <f>VLOOKUP($Q1160,Mapping!$E$11:$I$96,3,0)</f>
        <v>Replacement</v>
      </c>
      <c r="X1160" s="7" t="str">
        <f>VLOOKUP($S1160,Mapping!$E$140:$K$2771,5,0)</f>
        <v>Labour</v>
      </c>
      <c r="Y1160" s="7" t="str">
        <f>VLOOKUP($S1160,Mapping!$E$140:$K$2771,7,0)</f>
        <v>ENDirect</v>
      </c>
      <c r="Z1160" s="7" t="str">
        <f>IFERROR(HLOOKUP(X1160,'Calc|Weightings'!$K$5:$M$5,1,0),"Excl")</f>
        <v>Labour</v>
      </c>
      <c r="AA1160" s="7" t="str">
        <f>VLOOKUP(Q1160,Mapping!$E$11:$I$96,5,0)</f>
        <v>SCS</v>
      </c>
      <c r="AC1160" s="111">
        <v>150</v>
      </c>
      <c r="AD1160" s="111" t="s">
        <v>2159</v>
      </c>
      <c r="AE1160" s="111">
        <v>613251</v>
      </c>
      <c r="AF1160" s="111" t="s">
        <v>2087</v>
      </c>
      <c r="AG1160" s="112">
        <v>1.0175399999999999</v>
      </c>
      <c r="AI1160" s="7" t="str">
        <f>VLOOKUP($AC1160,Mapping!$E$11:$I$96,3,0)</f>
        <v>Replacement</v>
      </c>
      <c r="AJ1160" s="7" t="str">
        <f>VLOOKUP($AE1160,Mapping!$E$140:$K$2771,5,0)</f>
        <v>Labour</v>
      </c>
      <c r="AK1160" s="7" t="str">
        <f>VLOOKUP($AE1160,Mapping!$E$140:$K$2771,7,0)</f>
        <v>ENDirect</v>
      </c>
      <c r="AL1160" s="7" t="str">
        <f>IFERROR(HLOOKUP(AJ1160,'Calc|Weightings'!$K$5:$M$5,1,0),"Excl")</f>
        <v>Labour</v>
      </c>
      <c r="AM1160" s="7" t="str">
        <f>VLOOKUP(AC1160,Mapping!$E$11:$I$96,5,0)</f>
        <v>SCS</v>
      </c>
      <c r="AO1160" s="134">
        <v>156</v>
      </c>
      <c r="AP1160" s="135" t="s">
        <v>2165</v>
      </c>
      <c r="AQ1160" s="135">
        <v>613290</v>
      </c>
      <c r="AR1160" s="135" t="s">
        <v>2093</v>
      </c>
      <c r="AS1160" s="136">
        <v>213.76585</v>
      </c>
      <c r="AU1160" s="7" t="str">
        <f>VLOOKUP($AO1160,Mapping!$E$11:$I$96,3,0)</f>
        <v>Replacement</v>
      </c>
      <c r="AV1160" s="7" t="str">
        <f>VLOOKUP($AQ1160,Mapping!$E$140:$K$2771,5,0)</f>
        <v>Labour</v>
      </c>
      <c r="AW1160" s="7" t="str">
        <f>VLOOKUP($AQ1160,Mapping!$E$140:$K$2771,7,0)</f>
        <v>ENDirect</v>
      </c>
      <c r="AX1160" s="7" t="str">
        <f>IFERROR(HLOOKUP(AV1160,'Calc|Weightings'!$K$5:$M$5,1,0),"Excl")</f>
        <v>Labour</v>
      </c>
      <c r="AY1160" s="7" t="str">
        <f>VLOOKUP(AO1160,Mapping!$E$11:$I$96,5,0)</f>
        <v>SCS</v>
      </c>
    </row>
    <row r="1161" spans="1:51" x14ac:dyDescent="0.2">
      <c r="A1161" s="7"/>
      <c r="B1161" s="7"/>
      <c r="C1161" s="7"/>
      <c r="D1161" s="7"/>
      <c r="E1161" s="36">
        <v>144</v>
      </c>
      <c r="F1161" s="36" t="s">
        <v>2154</v>
      </c>
      <c r="G1161" s="36">
        <v>613280</v>
      </c>
      <c r="H1161" s="36" t="s">
        <v>1342</v>
      </c>
      <c r="I1161" s="37">
        <v>2.83</v>
      </c>
      <c r="J1161" s="7"/>
      <c r="K1161" s="7" t="str">
        <f>VLOOKUP($E1161,Mapping!$E$11:$I$96,3,0)</f>
        <v>Replacement</v>
      </c>
      <c r="L1161" s="7" t="str">
        <f>VLOOKUP($G1161,Mapping!$E$140:$K$2771,5,0)</f>
        <v>Labour</v>
      </c>
      <c r="M1161" s="7" t="str">
        <f>VLOOKUP($G1161,Mapping!$E$140:$K$2771,7,0)</f>
        <v>ENDirect</v>
      </c>
      <c r="N1161" s="7" t="str">
        <f>IFERROR(HLOOKUP(L1161,'Calc|Weightings'!$K$5:$M$5,1,0),"Excl")</f>
        <v>Labour</v>
      </c>
      <c r="O1161" s="7" t="str">
        <f>VLOOKUP(E1161,Mapping!$E$11:$I$96,5,0)</f>
        <v>SCS</v>
      </c>
      <c r="Q1161" s="33">
        <v>148</v>
      </c>
      <c r="R1161" s="33" t="s">
        <v>2158</v>
      </c>
      <c r="S1161" s="33">
        <v>613680</v>
      </c>
      <c r="T1161" s="33" t="s">
        <v>2107</v>
      </c>
      <c r="U1161" s="34">
        <v>0.48677999999999999</v>
      </c>
      <c r="V1161" s="7"/>
      <c r="W1161" s="7" t="str">
        <f>VLOOKUP($Q1161,Mapping!$E$11:$I$96,3,0)</f>
        <v>Replacement</v>
      </c>
      <c r="X1161" s="7" t="str">
        <f>VLOOKUP($S1161,Mapping!$E$140:$K$2771,5,0)</f>
        <v>Labour</v>
      </c>
      <c r="Y1161" s="7" t="str">
        <f>VLOOKUP($S1161,Mapping!$E$140:$K$2771,7,0)</f>
        <v>ENDirect</v>
      </c>
      <c r="Z1161" s="7" t="str">
        <f>IFERROR(HLOOKUP(X1161,'Calc|Weightings'!$K$5:$M$5,1,0),"Excl")</f>
        <v>Labour</v>
      </c>
      <c r="AA1161" s="7" t="str">
        <f>VLOOKUP(Q1161,Mapping!$E$11:$I$96,5,0)</f>
        <v>SCS</v>
      </c>
      <c r="AC1161" s="111">
        <v>150</v>
      </c>
      <c r="AD1161" s="111" t="s">
        <v>2159</v>
      </c>
      <c r="AE1161" s="111">
        <v>613280</v>
      </c>
      <c r="AF1161" s="111" t="s">
        <v>1342</v>
      </c>
      <c r="AG1161" s="112">
        <v>25.265989999999999</v>
      </c>
      <c r="AI1161" s="7" t="str">
        <f>VLOOKUP($AC1161,Mapping!$E$11:$I$96,3,0)</f>
        <v>Replacement</v>
      </c>
      <c r="AJ1161" s="7" t="str">
        <f>VLOOKUP($AE1161,Mapping!$E$140:$K$2771,5,0)</f>
        <v>Labour</v>
      </c>
      <c r="AK1161" s="7" t="str">
        <f>VLOOKUP($AE1161,Mapping!$E$140:$K$2771,7,0)</f>
        <v>ENDirect</v>
      </c>
      <c r="AL1161" s="7" t="str">
        <f>IFERROR(HLOOKUP(AJ1161,'Calc|Weightings'!$K$5:$M$5,1,0),"Excl")</f>
        <v>Labour</v>
      </c>
      <c r="AM1161" s="7" t="str">
        <f>VLOOKUP(AC1161,Mapping!$E$11:$I$96,5,0)</f>
        <v>SCS</v>
      </c>
      <c r="AO1161" s="134">
        <v>156</v>
      </c>
      <c r="AP1161" s="135" t="s">
        <v>2165</v>
      </c>
      <c r="AQ1161" s="135">
        <v>613310</v>
      </c>
      <c r="AR1161" s="135" t="s">
        <v>2095</v>
      </c>
      <c r="AS1161" s="136">
        <v>587.63319999999999</v>
      </c>
      <c r="AU1161" s="7" t="str">
        <f>VLOOKUP($AO1161,Mapping!$E$11:$I$96,3,0)</f>
        <v>Replacement</v>
      </c>
      <c r="AV1161" s="7" t="str">
        <f>VLOOKUP($AQ1161,Mapping!$E$140:$K$2771,5,0)</f>
        <v>Labour</v>
      </c>
      <c r="AW1161" s="7" t="str">
        <f>VLOOKUP($AQ1161,Mapping!$E$140:$K$2771,7,0)</f>
        <v>ENDirect</v>
      </c>
      <c r="AX1161" s="7" t="str">
        <f>IFERROR(HLOOKUP(AV1161,'Calc|Weightings'!$K$5:$M$5,1,0),"Excl")</f>
        <v>Labour</v>
      </c>
      <c r="AY1161" s="7" t="str">
        <f>VLOOKUP(AO1161,Mapping!$E$11:$I$96,5,0)</f>
        <v>SCS</v>
      </c>
    </row>
    <row r="1162" spans="1:51" x14ac:dyDescent="0.2">
      <c r="A1162" s="7"/>
      <c r="B1162" s="7"/>
      <c r="C1162" s="7"/>
      <c r="D1162" s="7"/>
      <c r="E1162" s="36">
        <v>144</v>
      </c>
      <c r="F1162" s="36" t="s">
        <v>2154</v>
      </c>
      <c r="G1162" s="36">
        <v>613290</v>
      </c>
      <c r="H1162" s="36" t="s">
        <v>2093</v>
      </c>
      <c r="I1162" s="37">
        <v>3.9995099999999999</v>
      </c>
      <c r="J1162" s="7"/>
      <c r="K1162" s="7" t="str">
        <f>VLOOKUP($E1162,Mapping!$E$11:$I$96,3,0)</f>
        <v>Replacement</v>
      </c>
      <c r="L1162" s="7" t="str">
        <f>VLOOKUP($G1162,Mapping!$E$140:$K$2771,5,0)</f>
        <v>Labour</v>
      </c>
      <c r="M1162" s="7" t="str">
        <f>VLOOKUP($G1162,Mapping!$E$140:$K$2771,7,0)</f>
        <v>ENDirect</v>
      </c>
      <c r="N1162" s="7" t="str">
        <f>IFERROR(HLOOKUP(L1162,'Calc|Weightings'!$K$5:$M$5,1,0),"Excl")</f>
        <v>Labour</v>
      </c>
      <c r="O1162" s="7" t="str">
        <f>VLOOKUP(E1162,Mapping!$E$11:$I$96,5,0)</f>
        <v>SCS</v>
      </c>
      <c r="Q1162" s="33">
        <v>148</v>
      </c>
      <c r="R1162" s="33" t="s">
        <v>2158</v>
      </c>
      <c r="S1162" s="33">
        <v>613681</v>
      </c>
      <c r="T1162" s="33" t="s">
        <v>2108</v>
      </c>
      <c r="U1162" s="34">
        <v>8.2650000000000001E-2</v>
      </c>
      <c r="V1162" s="7"/>
      <c r="W1162" s="7" t="str">
        <f>VLOOKUP($Q1162,Mapping!$E$11:$I$96,3,0)</f>
        <v>Replacement</v>
      </c>
      <c r="X1162" s="7" t="str">
        <f>VLOOKUP($S1162,Mapping!$E$140:$K$2771,5,0)</f>
        <v>Labour</v>
      </c>
      <c r="Y1162" s="7" t="str">
        <f>VLOOKUP($S1162,Mapping!$E$140:$K$2771,7,0)</f>
        <v>ENDirect</v>
      </c>
      <c r="Z1162" s="7" t="str">
        <f>IFERROR(HLOOKUP(X1162,'Calc|Weightings'!$K$5:$M$5,1,0),"Excl")</f>
        <v>Labour</v>
      </c>
      <c r="AA1162" s="7" t="str">
        <f>VLOOKUP(Q1162,Mapping!$E$11:$I$96,5,0)</f>
        <v>SCS</v>
      </c>
      <c r="AC1162" s="111">
        <v>150</v>
      </c>
      <c r="AD1162" s="111" t="s">
        <v>2159</v>
      </c>
      <c r="AE1162" s="111">
        <v>613290</v>
      </c>
      <c r="AF1162" s="111" t="s">
        <v>2093</v>
      </c>
      <c r="AG1162" s="112">
        <v>63.279269999999997</v>
      </c>
      <c r="AI1162" s="7" t="str">
        <f>VLOOKUP($AC1162,Mapping!$E$11:$I$96,3,0)</f>
        <v>Replacement</v>
      </c>
      <c r="AJ1162" s="7" t="str">
        <f>VLOOKUP($AE1162,Mapping!$E$140:$K$2771,5,0)</f>
        <v>Labour</v>
      </c>
      <c r="AK1162" s="7" t="str">
        <f>VLOOKUP($AE1162,Mapping!$E$140:$K$2771,7,0)</f>
        <v>ENDirect</v>
      </c>
      <c r="AL1162" s="7" t="str">
        <f>IFERROR(HLOOKUP(AJ1162,'Calc|Weightings'!$K$5:$M$5,1,0),"Excl")</f>
        <v>Labour</v>
      </c>
      <c r="AM1162" s="7" t="str">
        <f>VLOOKUP(AC1162,Mapping!$E$11:$I$96,5,0)</f>
        <v>SCS</v>
      </c>
      <c r="AO1162" s="134">
        <v>156</v>
      </c>
      <c r="AP1162" s="135" t="s">
        <v>2165</v>
      </c>
      <c r="AQ1162" s="135">
        <v>613311</v>
      </c>
      <c r="AR1162" s="135" t="s">
        <v>2116</v>
      </c>
      <c r="AS1162" s="136">
        <v>34.356450000000002</v>
      </c>
      <c r="AU1162" s="7" t="str">
        <f>VLOOKUP($AO1162,Mapping!$E$11:$I$96,3,0)</f>
        <v>Replacement</v>
      </c>
      <c r="AV1162" s="7" t="str">
        <f>VLOOKUP($AQ1162,Mapping!$E$140:$K$2771,5,0)</f>
        <v>Labour</v>
      </c>
      <c r="AW1162" s="7" t="str">
        <f>VLOOKUP($AQ1162,Mapping!$E$140:$K$2771,7,0)</f>
        <v>ENDirect</v>
      </c>
      <c r="AX1162" s="7" t="str">
        <f>IFERROR(HLOOKUP(AV1162,'Calc|Weightings'!$K$5:$M$5,1,0),"Excl")</f>
        <v>Labour</v>
      </c>
      <c r="AY1162" s="7" t="str">
        <f>VLOOKUP(AO1162,Mapping!$E$11:$I$96,5,0)</f>
        <v>SCS</v>
      </c>
    </row>
    <row r="1163" spans="1:51" x14ac:dyDescent="0.2">
      <c r="A1163" s="7"/>
      <c r="B1163" s="7"/>
      <c r="C1163" s="7"/>
      <c r="D1163" s="7"/>
      <c r="E1163" s="36">
        <v>144</v>
      </c>
      <c r="F1163" s="36" t="s">
        <v>2154</v>
      </c>
      <c r="G1163" s="36">
        <v>613298</v>
      </c>
      <c r="H1163" s="36" t="s">
        <v>2122</v>
      </c>
      <c r="I1163" s="37">
        <v>7.3546199999999997</v>
      </c>
      <c r="J1163" s="7"/>
      <c r="K1163" s="7" t="str">
        <f>VLOOKUP($E1163,Mapping!$E$11:$I$96,3,0)</f>
        <v>Replacement</v>
      </c>
      <c r="L1163" s="7" t="str">
        <f>VLOOKUP($G1163,Mapping!$E$140:$K$2771,5,0)</f>
        <v>Labour</v>
      </c>
      <c r="M1163" s="7" t="str">
        <f>VLOOKUP($G1163,Mapping!$E$140:$K$2771,7,0)</f>
        <v>ENDirect</v>
      </c>
      <c r="N1163" s="7" t="str">
        <f>IFERROR(HLOOKUP(L1163,'Calc|Weightings'!$K$5:$M$5,1,0),"Excl")</f>
        <v>Labour</v>
      </c>
      <c r="O1163" s="7" t="str">
        <f>VLOOKUP(E1163,Mapping!$E$11:$I$96,5,0)</f>
        <v>SCS</v>
      </c>
      <c r="Q1163" s="33">
        <v>148</v>
      </c>
      <c r="R1163" s="33" t="s">
        <v>2158</v>
      </c>
      <c r="S1163" s="33">
        <v>613800</v>
      </c>
      <c r="T1163" s="33" t="s">
        <v>2142</v>
      </c>
      <c r="U1163" s="34">
        <v>9.3140000000000001E-2</v>
      </c>
      <c r="V1163" s="7"/>
      <c r="W1163" s="7" t="str">
        <f>VLOOKUP($Q1163,Mapping!$E$11:$I$96,3,0)</f>
        <v>Replacement</v>
      </c>
      <c r="X1163" s="7" t="str">
        <f>VLOOKUP($S1163,Mapping!$E$140:$K$2771,5,0)</f>
        <v>Materials</v>
      </c>
      <c r="Y1163" s="7" t="str">
        <f>VLOOKUP($S1163,Mapping!$E$140:$K$2771,7,0)</f>
        <v>ENDirect</v>
      </c>
      <c r="Z1163" s="7" t="str">
        <f>IFERROR(HLOOKUP(X1163,'Calc|Weightings'!$K$5:$M$5,1,0),"Excl")</f>
        <v>Materials</v>
      </c>
      <c r="AA1163" s="7" t="str">
        <f>VLOOKUP(Q1163,Mapping!$E$11:$I$96,5,0)</f>
        <v>SCS</v>
      </c>
      <c r="AC1163" s="111">
        <v>150</v>
      </c>
      <c r="AD1163" s="111" t="s">
        <v>2159</v>
      </c>
      <c r="AE1163" s="111">
        <v>613360</v>
      </c>
      <c r="AF1163" s="111" t="s">
        <v>2097</v>
      </c>
      <c r="AG1163" s="112">
        <v>40.93338</v>
      </c>
      <c r="AI1163" s="7" t="str">
        <f>VLOOKUP($AC1163,Mapping!$E$11:$I$96,3,0)</f>
        <v>Replacement</v>
      </c>
      <c r="AJ1163" s="7" t="str">
        <f>VLOOKUP($AE1163,Mapping!$E$140:$K$2771,5,0)</f>
        <v>Labour</v>
      </c>
      <c r="AK1163" s="7" t="str">
        <f>VLOOKUP($AE1163,Mapping!$E$140:$K$2771,7,0)</f>
        <v>ENDirect</v>
      </c>
      <c r="AL1163" s="7" t="str">
        <f>IFERROR(HLOOKUP(AJ1163,'Calc|Weightings'!$K$5:$M$5,1,0),"Excl")</f>
        <v>Labour</v>
      </c>
      <c r="AM1163" s="7" t="str">
        <f>VLOOKUP(AC1163,Mapping!$E$11:$I$96,5,0)</f>
        <v>SCS</v>
      </c>
      <c r="AO1163" s="134">
        <v>156</v>
      </c>
      <c r="AP1163" s="135" t="s">
        <v>2165</v>
      </c>
      <c r="AQ1163" s="135">
        <v>613360</v>
      </c>
      <c r="AR1163" s="135" t="s">
        <v>2097</v>
      </c>
      <c r="AS1163" s="136">
        <v>2.1775099999999998</v>
      </c>
      <c r="AU1163" s="7" t="str">
        <f>VLOOKUP($AO1163,Mapping!$E$11:$I$96,3,0)</f>
        <v>Replacement</v>
      </c>
      <c r="AV1163" s="7" t="str">
        <f>VLOOKUP($AQ1163,Mapping!$E$140:$K$2771,5,0)</f>
        <v>Labour</v>
      </c>
      <c r="AW1163" s="7" t="str">
        <f>VLOOKUP($AQ1163,Mapping!$E$140:$K$2771,7,0)</f>
        <v>ENDirect</v>
      </c>
      <c r="AX1163" s="7" t="str">
        <f>IFERROR(HLOOKUP(AV1163,'Calc|Weightings'!$K$5:$M$5,1,0),"Excl")</f>
        <v>Labour</v>
      </c>
      <c r="AY1163" s="7" t="str">
        <f>VLOOKUP(AO1163,Mapping!$E$11:$I$96,5,0)</f>
        <v>SCS</v>
      </c>
    </row>
    <row r="1164" spans="1:51" x14ac:dyDescent="0.2">
      <c r="A1164" s="7"/>
      <c r="B1164" s="7"/>
      <c r="C1164" s="7"/>
      <c r="D1164" s="7"/>
      <c r="E1164" s="36">
        <v>144</v>
      </c>
      <c r="F1164" s="36" t="s">
        <v>2154</v>
      </c>
      <c r="G1164" s="36">
        <v>613310</v>
      </c>
      <c r="H1164" s="36" t="s">
        <v>2095</v>
      </c>
      <c r="I1164" s="37">
        <v>2.4655800000000001</v>
      </c>
      <c r="J1164" s="7"/>
      <c r="K1164" s="7" t="str">
        <f>VLOOKUP($E1164,Mapping!$E$11:$I$96,3,0)</f>
        <v>Replacement</v>
      </c>
      <c r="L1164" s="7" t="str">
        <f>VLOOKUP($G1164,Mapping!$E$140:$K$2771,5,0)</f>
        <v>Labour</v>
      </c>
      <c r="M1164" s="7" t="str">
        <f>VLOOKUP($G1164,Mapping!$E$140:$K$2771,7,0)</f>
        <v>ENDirect</v>
      </c>
      <c r="N1164" s="7" t="str">
        <f>IFERROR(HLOOKUP(L1164,'Calc|Weightings'!$K$5:$M$5,1,0),"Excl")</f>
        <v>Labour</v>
      </c>
      <c r="O1164" s="7" t="str">
        <f>VLOOKUP(E1164,Mapping!$E$11:$I$96,5,0)</f>
        <v>SCS</v>
      </c>
      <c r="Q1164" s="33">
        <v>148</v>
      </c>
      <c r="R1164" s="33" t="s">
        <v>2158</v>
      </c>
      <c r="S1164" s="33">
        <v>634001</v>
      </c>
      <c r="T1164" s="33" t="s">
        <v>2110</v>
      </c>
      <c r="U1164" s="34">
        <v>26.08146</v>
      </c>
      <c r="V1164" s="7"/>
      <c r="W1164" s="7" t="str">
        <f>VLOOKUP($Q1164,Mapping!$E$11:$I$96,3,0)</f>
        <v>Replacement</v>
      </c>
      <c r="X1164" s="7" t="str">
        <f>VLOOKUP($S1164,Mapping!$E$140:$K$2771,5,0)</f>
        <v>Local OH</v>
      </c>
      <c r="Y1164" s="7" t="str">
        <f>VLOOKUP($S1164,Mapping!$E$140:$K$2771,7,0)</f>
        <v>OH</v>
      </c>
      <c r="Z1164" s="7" t="str">
        <f>IFERROR(HLOOKUP(X1164,'Calc|Weightings'!$K$5:$M$5,1,0),"Excl")</f>
        <v>Excl</v>
      </c>
      <c r="AA1164" s="7" t="str">
        <f>VLOOKUP(Q1164,Mapping!$E$11:$I$96,5,0)</f>
        <v>SCS</v>
      </c>
      <c r="AC1164" s="111">
        <v>150</v>
      </c>
      <c r="AD1164" s="111" t="s">
        <v>2159</v>
      </c>
      <c r="AE1164" s="111">
        <v>613361</v>
      </c>
      <c r="AF1164" s="111" t="s">
        <v>2098</v>
      </c>
      <c r="AG1164" s="112">
        <v>0.44574000000000003</v>
      </c>
      <c r="AI1164" s="7" t="str">
        <f>VLOOKUP($AC1164,Mapping!$E$11:$I$96,3,0)</f>
        <v>Replacement</v>
      </c>
      <c r="AJ1164" s="7" t="str">
        <f>VLOOKUP($AE1164,Mapping!$E$140:$K$2771,5,0)</f>
        <v>Labour</v>
      </c>
      <c r="AK1164" s="7" t="str">
        <f>VLOOKUP($AE1164,Mapping!$E$140:$K$2771,7,0)</f>
        <v>ENDirect</v>
      </c>
      <c r="AL1164" s="7" t="str">
        <f>IFERROR(HLOOKUP(AJ1164,'Calc|Weightings'!$K$5:$M$5,1,0),"Excl")</f>
        <v>Labour</v>
      </c>
      <c r="AM1164" s="7" t="str">
        <f>VLOOKUP(AC1164,Mapping!$E$11:$I$96,5,0)</f>
        <v>SCS</v>
      </c>
      <c r="AO1164" s="134">
        <v>156</v>
      </c>
      <c r="AP1164" s="135" t="s">
        <v>2165</v>
      </c>
      <c r="AQ1164" s="135">
        <v>613420</v>
      </c>
      <c r="AR1164" s="135" t="s">
        <v>2393</v>
      </c>
      <c r="AS1164" s="136">
        <v>0.92225999999999997</v>
      </c>
      <c r="AU1164" s="7" t="str">
        <f>VLOOKUP($AO1164,Mapping!$E$11:$I$96,3,0)</f>
        <v>Replacement</v>
      </c>
      <c r="AV1164" s="7" t="str">
        <f>VLOOKUP($AQ1164,Mapping!$E$140:$K$2771,5,0)</f>
        <v>Labour</v>
      </c>
      <c r="AW1164" s="7" t="str">
        <f>VLOOKUP($AQ1164,Mapping!$E$140:$K$2771,7,0)</f>
        <v>ENDirect</v>
      </c>
      <c r="AX1164" s="7" t="str">
        <f>IFERROR(HLOOKUP(AV1164,'Calc|Weightings'!$K$5:$M$5,1,0),"Excl")</f>
        <v>Labour</v>
      </c>
      <c r="AY1164" s="7" t="str">
        <f>VLOOKUP(AO1164,Mapping!$E$11:$I$96,5,0)</f>
        <v>SCS</v>
      </c>
    </row>
    <row r="1165" spans="1:51" x14ac:dyDescent="0.2">
      <c r="A1165" s="7"/>
      <c r="B1165" s="7"/>
      <c r="C1165" s="7"/>
      <c r="D1165" s="7"/>
      <c r="E1165" s="36">
        <v>144</v>
      </c>
      <c r="F1165" s="36" t="s">
        <v>2154</v>
      </c>
      <c r="G1165" s="36">
        <v>613318</v>
      </c>
      <c r="H1165" s="36" t="s">
        <v>1360</v>
      </c>
      <c r="I1165" s="37">
        <v>2.0862599999999998</v>
      </c>
      <c r="J1165" s="7"/>
      <c r="K1165" s="7" t="str">
        <f>VLOOKUP($E1165,Mapping!$E$11:$I$96,3,0)</f>
        <v>Replacement</v>
      </c>
      <c r="L1165" s="7" t="str">
        <f>VLOOKUP($G1165,Mapping!$E$140:$K$2771,5,0)</f>
        <v>Labour</v>
      </c>
      <c r="M1165" s="7" t="str">
        <f>VLOOKUP($G1165,Mapping!$E$140:$K$2771,7,0)</f>
        <v>ENDirect</v>
      </c>
      <c r="N1165" s="7" t="str">
        <f>IFERROR(HLOOKUP(L1165,'Calc|Weightings'!$K$5:$M$5,1,0),"Excl")</f>
        <v>Labour</v>
      </c>
      <c r="O1165" s="7" t="str">
        <f>VLOOKUP(E1165,Mapping!$E$11:$I$96,5,0)</f>
        <v>SCS</v>
      </c>
      <c r="Q1165" s="33">
        <v>148</v>
      </c>
      <c r="R1165" s="33" t="s">
        <v>2158</v>
      </c>
      <c r="S1165" s="33">
        <v>635001</v>
      </c>
      <c r="T1165" s="33" t="s">
        <v>1929</v>
      </c>
      <c r="U1165" s="34">
        <v>18.86617</v>
      </c>
      <c r="V1165" s="7"/>
      <c r="W1165" s="7" t="str">
        <f>VLOOKUP($Q1165,Mapping!$E$11:$I$96,3,0)</f>
        <v>Replacement</v>
      </c>
      <c r="X1165" s="7" t="str">
        <f>VLOOKUP($S1165,Mapping!$E$140:$K$2771,5,0)</f>
        <v>PNS MG</v>
      </c>
      <c r="Y1165" s="7" t="str">
        <f>VLOOKUP($S1165,Mapping!$E$140:$K$2771,7,0)</f>
        <v>ENDirect</v>
      </c>
      <c r="Z1165" s="7" t="str">
        <f>IFERROR(HLOOKUP(X1165,'Calc|Weightings'!$K$5:$M$5,1,0),"Excl")</f>
        <v>Excl</v>
      </c>
      <c r="AA1165" s="7" t="str">
        <f>VLOOKUP(Q1165,Mapping!$E$11:$I$96,5,0)</f>
        <v>SCS</v>
      </c>
      <c r="AC1165" s="111">
        <v>150</v>
      </c>
      <c r="AD1165" s="111" t="s">
        <v>2159</v>
      </c>
      <c r="AE1165" s="111">
        <v>613370</v>
      </c>
      <c r="AF1165" s="111" t="s">
        <v>1402</v>
      </c>
      <c r="AG1165" s="112">
        <v>1.74996</v>
      </c>
      <c r="AI1165" s="7" t="str">
        <f>VLOOKUP($AC1165,Mapping!$E$11:$I$96,3,0)</f>
        <v>Replacement</v>
      </c>
      <c r="AJ1165" s="7" t="str">
        <f>VLOOKUP($AE1165,Mapping!$E$140:$K$2771,5,0)</f>
        <v>Labour</v>
      </c>
      <c r="AK1165" s="7" t="str">
        <f>VLOOKUP($AE1165,Mapping!$E$140:$K$2771,7,0)</f>
        <v>ENDirect</v>
      </c>
      <c r="AL1165" s="7" t="str">
        <f>IFERROR(HLOOKUP(AJ1165,'Calc|Weightings'!$K$5:$M$5,1,0),"Excl")</f>
        <v>Labour</v>
      </c>
      <c r="AM1165" s="7" t="str">
        <f>VLOOKUP(AC1165,Mapping!$E$11:$I$96,5,0)</f>
        <v>SCS</v>
      </c>
      <c r="AO1165" s="134">
        <v>156</v>
      </c>
      <c r="AP1165" s="135" t="s">
        <v>2165</v>
      </c>
      <c r="AQ1165" s="135">
        <v>613440</v>
      </c>
      <c r="AR1165" s="135" t="s">
        <v>2103</v>
      </c>
      <c r="AS1165" s="136">
        <v>12.53392</v>
      </c>
      <c r="AU1165" s="7" t="str">
        <f>VLOOKUP($AO1165,Mapping!$E$11:$I$96,3,0)</f>
        <v>Replacement</v>
      </c>
      <c r="AV1165" s="7" t="str">
        <f>VLOOKUP($AQ1165,Mapping!$E$140:$K$2771,5,0)</f>
        <v>Labour</v>
      </c>
      <c r="AW1165" s="7" t="str">
        <f>VLOOKUP($AQ1165,Mapping!$E$140:$K$2771,7,0)</f>
        <v>ENDirect</v>
      </c>
      <c r="AX1165" s="7" t="str">
        <f>IFERROR(HLOOKUP(AV1165,'Calc|Weightings'!$K$5:$M$5,1,0),"Excl")</f>
        <v>Labour</v>
      </c>
      <c r="AY1165" s="7" t="str">
        <f>VLOOKUP(AO1165,Mapping!$E$11:$I$96,5,0)</f>
        <v>SCS</v>
      </c>
    </row>
    <row r="1166" spans="1:51" x14ac:dyDescent="0.2">
      <c r="A1166" s="7"/>
      <c r="B1166" s="7"/>
      <c r="C1166" s="7"/>
      <c r="D1166" s="7"/>
      <c r="E1166" s="36">
        <v>144</v>
      </c>
      <c r="F1166" s="36" t="s">
        <v>2154</v>
      </c>
      <c r="G1166" s="36">
        <v>613350</v>
      </c>
      <c r="H1166" s="36" t="s">
        <v>2096</v>
      </c>
      <c r="I1166" s="37">
        <v>0.11237</v>
      </c>
      <c r="J1166" s="7"/>
      <c r="K1166" s="7" t="str">
        <f>VLOOKUP($E1166,Mapping!$E$11:$I$96,3,0)</f>
        <v>Replacement</v>
      </c>
      <c r="L1166" s="7" t="str">
        <f>VLOOKUP($G1166,Mapping!$E$140:$K$2771,5,0)</f>
        <v>Labour</v>
      </c>
      <c r="M1166" s="7" t="str">
        <f>VLOOKUP($G1166,Mapping!$E$140:$K$2771,7,0)</f>
        <v>ENDirect</v>
      </c>
      <c r="N1166" s="7" t="str">
        <f>IFERROR(HLOOKUP(L1166,'Calc|Weightings'!$K$5:$M$5,1,0),"Excl")</f>
        <v>Labour</v>
      </c>
      <c r="O1166" s="7" t="str">
        <f>VLOOKUP(E1166,Mapping!$E$11:$I$96,5,0)</f>
        <v>SCS</v>
      </c>
      <c r="Q1166" s="33">
        <v>148</v>
      </c>
      <c r="R1166" s="33" t="s">
        <v>2158</v>
      </c>
      <c r="S1166" s="33">
        <v>636001</v>
      </c>
      <c r="T1166" s="33" t="s">
        <v>2111</v>
      </c>
      <c r="U1166" s="34">
        <v>8.0521499999999993</v>
      </c>
      <c r="V1166" s="7"/>
      <c r="W1166" s="7" t="str">
        <f>VLOOKUP($Q1166,Mapping!$E$11:$I$96,3,0)</f>
        <v>Replacement</v>
      </c>
      <c r="X1166" s="7" t="str">
        <f>VLOOKUP($S1166,Mapping!$E$140:$K$2771,5,0)</f>
        <v>System Control OH</v>
      </c>
      <c r="Y1166" s="7" t="str">
        <f>VLOOKUP($S1166,Mapping!$E$140:$K$2771,7,0)</f>
        <v>OH</v>
      </c>
      <c r="Z1166" s="7" t="str">
        <f>IFERROR(HLOOKUP(X1166,'Calc|Weightings'!$K$5:$M$5,1,0),"Excl")</f>
        <v>Excl</v>
      </c>
      <c r="AA1166" s="7" t="str">
        <f>VLOOKUP(Q1166,Mapping!$E$11:$I$96,5,0)</f>
        <v>SCS</v>
      </c>
      <c r="AC1166" s="111">
        <v>150</v>
      </c>
      <c r="AD1166" s="111" t="s">
        <v>2159</v>
      </c>
      <c r="AE1166" s="111">
        <v>613400</v>
      </c>
      <c r="AF1166" s="111" t="s">
        <v>2099</v>
      </c>
      <c r="AG1166" s="112">
        <v>3.7153200000000002</v>
      </c>
      <c r="AI1166" s="7" t="str">
        <f>VLOOKUP($AC1166,Mapping!$E$11:$I$96,3,0)</f>
        <v>Replacement</v>
      </c>
      <c r="AJ1166" s="7" t="str">
        <f>VLOOKUP($AE1166,Mapping!$E$140:$K$2771,5,0)</f>
        <v>Labour</v>
      </c>
      <c r="AK1166" s="7" t="str">
        <f>VLOOKUP($AE1166,Mapping!$E$140:$K$2771,7,0)</f>
        <v>ENDirect</v>
      </c>
      <c r="AL1166" s="7" t="str">
        <f>IFERROR(HLOOKUP(AJ1166,'Calc|Weightings'!$K$5:$M$5,1,0),"Excl")</f>
        <v>Labour</v>
      </c>
      <c r="AM1166" s="7" t="str">
        <f>VLOOKUP(AC1166,Mapping!$E$11:$I$96,5,0)</f>
        <v>SCS</v>
      </c>
      <c r="AO1166" s="134">
        <v>156</v>
      </c>
      <c r="AP1166" s="135" t="s">
        <v>2165</v>
      </c>
      <c r="AQ1166" s="135">
        <v>613441</v>
      </c>
      <c r="AR1166" s="135" t="s">
        <v>2104</v>
      </c>
      <c r="AS1166" s="136">
        <v>1.6172800000000001</v>
      </c>
      <c r="AU1166" s="7" t="str">
        <f>VLOOKUP($AO1166,Mapping!$E$11:$I$96,3,0)</f>
        <v>Replacement</v>
      </c>
      <c r="AV1166" s="7" t="str">
        <f>VLOOKUP($AQ1166,Mapping!$E$140:$K$2771,5,0)</f>
        <v>Labour</v>
      </c>
      <c r="AW1166" s="7" t="str">
        <f>VLOOKUP($AQ1166,Mapping!$E$140:$K$2771,7,0)</f>
        <v>ENDirect</v>
      </c>
      <c r="AX1166" s="7" t="str">
        <f>IFERROR(HLOOKUP(AV1166,'Calc|Weightings'!$K$5:$M$5,1,0),"Excl")</f>
        <v>Labour</v>
      </c>
      <c r="AY1166" s="7" t="str">
        <f>VLOOKUP(AO1166,Mapping!$E$11:$I$96,5,0)</f>
        <v>SCS</v>
      </c>
    </row>
    <row r="1167" spans="1:51" x14ac:dyDescent="0.2">
      <c r="A1167" s="7"/>
      <c r="B1167" s="7"/>
      <c r="C1167" s="7"/>
      <c r="D1167" s="7"/>
      <c r="E1167" s="36">
        <v>144</v>
      </c>
      <c r="F1167" s="36" t="s">
        <v>2154</v>
      </c>
      <c r="G1167" s="36">
        <v>613360</v>
      </c>
      <c r="H1167" s="36" t="s">
        <v>2097</v>
      </c>
      <c r="I1167" s="37">
        <v>3.22309</v>
      </c>
      <c r="J1167" s="7"/>
      <c r="K1167" s="7" t="str">
        <f>VLOOKUP($E1167,Mapping!$E$11:$I$96,3,0)</f>
        <v>Replacement</v>
      </c>
      <c r="L1167" s="7" t="str">
        <f>VLOOKUP($G1167,Mapping!$E$140:$K$2771,5,0)</f>
        <v>Labour</v>
      </c>
      <c r="M1167" s="7" t="str">
        <f>VLOOKUP($G1167,Mapping!$E$140:$K$2771,7,0)</f>
        <v>ENDirect</v>
      </c>
      <c r="N1167" s="7" t="str">
        <f>IFERROR(HLOOKUP(L1167,'Calc|Weightings'!$K$5:$M$5,1,0),"Excl")</f>
        <v>Labour</v>
      </c>
      <c r="O1167" s="7" t="str">
        <f>VLOOKUP(E1167,Mapping!$E$11:$I$96,5,0)</f>
        <v>SCS</v>
      </c>
      <c r="Q1167" s="33">
        <v>148</v>
      </c>
      <c r="R1167" s="33" t="s">
        <v>2158</v>
      </c>
      <c r="S1167" s="33">
        <v>639000</v>
      </c>
      <c r="T1167" s="33" t="s">
        <v>2112</v>
      </c>
      <c r="U1167" s="34">
        <v>20.97927</v>
      </c>
      <c r="V1167" s="7"/>
      <c r="W1167" s="7" t="str">
        <f>VLOOKUP($Q1167,Mapping!$E$11:$I$96,3,0)</f>
        <v>Replacement</v>
      </c>
      <c r="X1167" s="7" t="str">
        <f>VLOOKUP($S1167,Mapping!$E$140:$K$2771,5,0)</f>
        <v>PNS Corporate OH</v>
      </c>
      <c r="Y1167" s="7" t="str">
        <f>VLOOKUP($S1167,Mapping!$E$140:$K$2771,7,0)</f>
        <v>OH</v>
      </c>
      <c r="Z1167" s="7" t="str">
        <f>IFERROR(HLOOKUP(X1167,'Calc|Weightings'!$K$5:$M$5,1,0),"Excl")</f>
        <v>Excl</v>
      </c>
      <c r="AA1167" s="7" t="str">
        <f>VLOOKUP(Q1167,Mapping!$E$11:$I$96,5,0)</f>
        <v>SCS</v>
      </c>
      <c r="AC1167" s="111">
        <v>150</v>
      </c>
      <c r="AD1167" s="111" t="s">
        <v>2159</v>
      </c>
      <c r="AE1167" s="111">
        <v>613401</v>
      </c>
      <c r="AF1167" s="111" t="s">
        <v>2117</v>
      </c>
      <c r="AG1167" s="112">
        <v>0.92076000000000002</v>
      </c>
      <c r="AI1167" s="7" t="str">
        <f>VLOOKUP($AC1167,Mapping!$E$11:$I$96,3,0)</f>
        <v>Replacement</v>
      </c>
      <c r="AJ1167" s="7" t="str">
        <f>VLOOKUP($AE1167,Mapping!$E$140:$K$2771,5,0)</f>
        <v>Labour</v>
      </c>
      <c r="AK1167" s="7" t="str">
        <f>VLOOKUP($AE1167,Mapping!$E$140:$K$2771,7,0)</f>
        <v>ENDirect</v>
      </c>
      <c r="AL1167" s="7" t="str">
        <f>IFERROR(HLOOKUP(AJ1167,'Calc|Weightings'!$K$5:$M$5,1,0),"Excl")</f>
        <v>Labour</v>
      </c>
      <c r="AM1167" s="7" t="str">
        <f>VLOOKUP(AC1167,Mapping!$E$11:$I$96,5,0)</f>
        <v>SCS</v>
      </c>
      <c r="AO1167" s="134">
        <v>156</v>
      </c>
      <c r="AP1167" s="135" t="s">
        <v>2165</v>
      </c>
      <c r="AQ1167" s="135">
        <v>613460</v>
      </c>
      <c r="AR1167" s="135" t="s">
        <v>2167</v>
      </c>
      <c r="AS1167" s="136">
        <v>176.2398</v>
      </c>
      <c r="AU1167" s="7" t="str">
        <f>VLOOKUP($AO1167,Mapping!$E$11:$I$96,3,0)</f>
        <v>Replacement</v>
      </c>
      <c r="AV1167" s="7" t="str">
        <f>VLOOKUP($AQ1167,Mapping!$E$140:$K$2771,5,0)</f>
        <v>Labour</v>
      </c>
      <c r="AW1167" s="7" t="str">
        <f>VLOOKUP($AQ1167,Mapping!$E$140:$K$2771,7,0)</f>
        <v>ENDirect</v>
      </c>
      <c r="AX1167" s="7" t="str">
        <f>IFERROR(HLOOKUP(AV1167,'Calc|Weightings'!$K$5:$M$5,1,0),"Excl")</f>
        <v>Labour</v>
      </c>
      <c r="AY1167" s="7" t="str">
        <f>VLOOKUP(AO1167,Mapping!$E$11:$I$96,5,0)</f>
        <v>SCS</v>
      </c>
    </row>
    <row r="1168" spans="1:51" x14ac:dyDescent="0.2">
      <c r="A1168" s="7"/>
      <c r="B1168" s="7"/>
      <c r="C1168" s="7"/>
      <c r="D1168" s="7"/>
      <c r="E1168" s="36">
        <v>144</v>
      </c>
      <c r="F1168" s="36" t="s">
        <v>2154</v>
      </c>
      <c r="G1168" s="36">
        <v>613390</v>
      </c>
      <c r="H1168" s="36" t="s">
        <v>2141</v>
      </c>
      <c r="I1168" s="37">
        <v>-0.66501999999999994</v>
      </c>
      <c r="J1168" s="7"/>
      <c r="K1168" s="7" t="str">
        <f>VLOOKUP($E1168,Mapping!$E$11:$I$96,3,0)</f>
        <v>Replacement</v>
      </c>
      <c r="L1168" s="7" t="str">
        <f>VLOOKUP($G1168,Mapping!$E$140:$K$2771,5,0)</f>
        <v>Contracts</v>
      </c>
      <c r="M1168" s="7" t="str">
        <f>VLOOKUP($G1168,Mapping!$E$140:$K$2771,7,0)</f>
        <v>ENDirect</v>
      </c>
      <c r="N1168" s="7" t="str">
        <f>IFERROR(HLOOKUP(L1168,'Calc|Weightings'!$K$5:$M$5,1,0),"Excl")</f>
        <v>Contracts</v>
      </c>
      <c r="O1168" s="7" t="str">
        <f>VLOOKUP(E1168,Mapping!$E$11:$I$96,5,0)</f>
        <v>SCS</v>
      </c>
      <c r="Q1168" s="33">
        <v>148</v>
      </c>
      <c r="R1168" s="33" t="s">
        <v>2158</v>
      </c>
      <c r="S1168" s="33">
        <v>639050</v>
      </c>
      <c r="T1168" s="33" t="s">
        <v>2113</v>
      </c>
      <c r="U1168" s="34">
        <v>3.0718299999999998</v>
      </c>
      <c r="V1168" s="7"/>
      <c r="W1168" s="7" t="str">
        <f>VLOOKUP($Q1168,Mapping!$E$11:$I$96,3,0)</f>
        <v>Replacement</v>
      </c>
      <c r="X1168" s="7" t="str">
        <f>VLOOKUP($S1168,Mapping!$E$140:$K$2771,5,0)</f>
        <v>PNS Fleet &amp; Property OH</v>
      </c>
      <c r="Y1168" s="7" t="str">
        <f>VLOOKUP($S1168,Mapping!$E$140:$K$2771,7,0)</f>
        <v>OH</v>
      </c>
      <c r="Z1168" s="7" t="str">
        <f>IFERROR(HLOOKUP(X1168,'Calc|Weightings'!$K$5:$M$5,1,0),"Excl")</f>
        <v>Excl</v>
      </c>
      <c r="AA1168" s="7" t="str">
        <f>VLOOKUP(Q1168,Mapping!$E$11:$I$96,5,0)</f>
        <v>SCS</v>
      </c>
      <c r="AC1168" s="111">
        <v>150</v>
      </c>
      <c r="AD1168" s="111" t="s">
        <v>2159</v>
      </c>
      <c r="AE1168" s="111">
        <v>613410</v>
      </c>
      <c r="AF1168" s="111" t="s">
        <v>2100</v>
      </c>
      <c r="AG1168" s="112">
        <v>5.1757999999999997</v>
      </c>
      <c r="AI1168" s="7" t="str">
        <f>VLOOKUP($AC1168,Mapping!$E$11:$I$96,3,0)</f>
        <v>Replacement</v>
      </c>
      <c r="AJ1168" s="7" t="str">
        <f>VLOOKUP($AE1168,Mapping!$E$140:$K$2771,5,0)</f>
        <v>Labour</v>
      </c>
      <c r="AK1168" s="7" t="str">
        <f>VLOOKUP($AE1168,Mapping!$E$140:$K$2771,7,0)</f>
        <v>ENDirect</v>
      </c>
      <c r="AL1168" s="7" t="str">
        <f>IFERROR(HLOOKUP(AJ1168,'Calc|Weightings'!$K$5:$M$5,1,0),"Excl")</f>
        <v>Labour</v>
      </c>
      <c r="AM1168" s="7" t="str">
        <f>VLOOKUP(AC1168,Mapping!$E$11:$I$96,5,0)</f>
        <v>SCS</v>
      </c>
      <c r="AO1168" s="134">
        <v>156</v>
      </c>
      <c r="AP1168" s="135" t="s">
        <v>2165</v>
      </c>
      <c r="AQ1168" s="135">
        <v>613461</v>
      </c>
      <c r="AR1168" s="135" t="s">
        <v>2168</v>
      </c>
      <c r="AS1168" s="136">
        <v>3.25143</v>
      </c>
      <c r="AU1168" s="7" t="str">
        <f>VLOOKUP($AO1168,Mapping!$E$11:$I$96,3,0)</f>
        <v>Replacement</v>
      </c>
      <c r="AV1168" s="7" t="str">
        <f>VLOOKUP($AQ1168,Mapping!$E$140:$K$2771,5,0)</f>
        <v>Labour</v>
      </c>
      <c r="AW1168" s="7" t="str">
        <f>VLOOKUP($AQ1168,Mapping!$E$140:$K$2771,7,0)</f>
        <v>ENDirect</v>
      </c>
      <c r="AX1168" s="7" t="str">
        <f>IFERROR(HLOOKUP(AV1168,'Calc|Weightings'!$K$5:$M$5,1,0),"Excl")</f>
        <v>Labour</v>
      </c>
      <c r="AY1168" s="7" t="str">
        <f>VLOOKUP(AO1168,Mapping!$E$11:$I$96,5,0)</f>
        <v>SCS</v>
      </c>
    </row>
    <row r="1169" spans="1:51" x14ac:dyDescent="0.2">
      <c r="A1169" s="7"/>
      <c r="B1169" s="7"/>
      <c r="C1169" s="7"/>
      <c r="D1169" s="7"/>
      <c r="E1169" s="36">
        <v>144</v>
      </c>
      <c r="F1169" s="36" t="s">
        <v>2154</v>
      </c>
      <c r="G1169" s="36">
        <v>613428</v>
      </c>
      <c r="H1169" s="36" t="s">
        <v>1430</v>
      </c>
      <c r="I1169" s="37">
        <v>0.63219999999999998</v>
      </c>
      <c r="J1169" s="7"/>
      <c r="K1169" s="7" t="str">
        <f>VLOOKUP($E1169,Mapping!$E$11:$I$96,3,0)</f>
        <v>Replacement</v>
      </c>
      <c r="L1169" s="7" t="str">
        <f>VLOOKUP($G1169,Mapping!$E$140:$K$2771,5,0)</f>
        <v>Labour</v>
      </c>
      <c r="M1169" s="7" t="str">
        <f>VLOOKUP($G1169,Mapping!$E$140:$K$2771,7,0)</f>
        <v>ENDirect</v>
      </c>
      <c r="N1169" s="7" t="str">
        <f>IFERROR(HLOOKUP(L1169,'Calc|Weightings'!$K$5:$M$5,1,0),"Excl")</f>
        <v>Labour</v>
      </c>
      <c r="O1169" s="7" t="str">
        <f>VLOOKUP(E1169,Mapping!$E$11:$I$96,5,0)</f>
        <v>SCS</v>
      </c>
      <c r="Q1169" s="33">
        <v>150</v>
      </c>
      <c r="R1169" s="33" t="s">
        <v>2159</v>
      </c>
      <c r="S1169" s="33">
        <v>520100</v>
      </c>
      <c r="T1169" s="33" t="s">
        <v>2072</v>
      </c>
      <c r="U1169" s="34">
        <v>60.634599999999999</v>
      </c>
      <c r="V1169" s="7"/>
      <c r="W1169" s="7" t="str">
        <f>VLOOKUP($Q1169,Mapping!$E$11:$I$96,3,0)</f>
        <v>Replacement</v>
      </c>
      <c r="X1169" s="7" t="str">
        <f>VLOOKUP($S1169,Mapping!$E$140:$K$2771,5,0)</f>
        <v>Materials</v>
      </c>
      <c r="Y1169" s="7" t="str">
        <f>VLOOKUP($S1169,Mapping!$E$140:$K$2771,7,0)</f>
        <v>ENDirect</v>
      </c>
      <c r="Z1169" s="7" t="str">
        <f>IFERROR(HLOOKUP(X1169,'Calc|Weightings'!$K$5:$M$5,1,0),"Excl")</f>
        <v>Materials</v>
      </c>
      <c r="AA1169" s="7" t="str">
        <f>VLOOKUP(Q1169,Mapping!$E$11:$I$96,5,0)</f>
        <v>SCS</v>
      </c>
      <c r="AC1169" s="111">
        <v>150</v>
      </c>
      <c r="AD1169" s="111" t="s">
        <v>2159</v>
      </c>
      <c r="AE1169" s="111">
        <v>613411</v>
      </c>
      <c r="AF1169" s="111" t="s">
        <v>2101</v>
      </c>
      <c r="AG1169" s="112">
        <v>1.5263100000000001</v>
      </c>
      <c r="AI1169" s="7" t="str">
        <f>VLOOKUP($AC1169,Mapping!$E$11:$I$96,3,0)</f>
        <v>Replacement</v>
      </c>
      <c r="AJ1169" s="7" t="str">
        <f>VLOOKUP($AE1169,Mapping!$E$140:$K$2771,5,0)</f>
        <v>Labour</v>
      </c>
      <c r="AK1169" s="7" t="str">
        <f>VLOOKUP($AE1169,Mapping!$E$140:$K$2771,7,0)</f>
        <v>ENDirect</v>
      </c>
      <c r="AL1169" s="7" t="str">
        <f>IFERROR(HLOOKUP(AJ1169,'Calc|Weightings'!$K$5:$M$5,1,0),"Excl")</f>
        <v>Labour</v>
      </c>
      <c r="AM1169" s="7" t="str">
        <f>VLOOKUP(AC1169,Mapping!$E$11:$I$96,5,0)</f>
        <v>SCS</v>
      </c>
      <c r="AO1169" s="134">
        <v>156</v>
      </c>
      <c r="AP1169" s="135" t="s">
        <v>2165</v>
      </c>
      <c r="AQ1169" s="135">
        <v>613566</v>
      </c>
      <c r="AR1169" s="135" t="s">
        <v>1482</v>
      </c>
      <c r="AS1169" s="136">
        <v>5.6054399999999998</v>
      </c>
      <c r="AU1169" s="7" t="str">
        <f>VLOOKUP($AO1169,Mapping!$E$11:$I$96,3,0)</f>
        <v>Replacement</v>
      </c>
      <c r="AV1169" s="7" t="str">
        <f>VLOOKUP($AQ1169,Mapping!$E$140:$K$2771,5,0)</f>
        <v>Labour</v>
      </c>
      <c r="AW1169" s="7" t="str">
        <f>VLOOKUP($AQ1169,Mapping!$E$140:$K$2771,7,0)</f>
        <v>ENDirect</v>
      </c>
      <c r="AX1169" s="7" t="str">
        <f>IFERROR(HLOOKUP(AV1169,'Calc|Weightings'!$K$5:$M$5,1,0),"Excl")</f>
        <v>Labour</v>
      </c>
      <c r="AY1169" s="7" t="str">
        <f>VLOOKUP(AO1169,Mapping!$E$11:$I$96,5,0)</f>
        <v>SCS</v>
      </c>
    </row>
    <row r="1170" spans="1:51" x14ac:dyDescent="0.2">
      <c r="A1170" s="7"/>
      <c r="B1170" s="7"/>
      <c r="C1170" s="7"/>
      <c r="D1170" s="7"/>
      <c r="E1170" s="36">
        <v>144</v>
      </c>
      <c r="F1170" s="36" t="s">
        <v>2154</v>
      </c>
      <c r="G1170" s="36">
        <v>613429</v>
      </c>
      <c r="H1170" s="36" t="s">
        <v>1431</v>
      </c>
      <c r="I1170" s="37">
        <v>4.2989600000000001</v>
      </c>
      <c r="J1170" s="7"/>
      <c r="K1170" s="7" t="str">
        <f>VLOOKUP($E1170,Mapping!$E$11:$I$96,3,0)</f>
        <v>Replacement</v>
      </c>
      <c r="L1170" s="7" t="str">
        <f>VLOOKUP($G1170,Mapping!$E$140:$K$2771,5,0)</f>
        <v>Labour</v>
      </c>
      <c r="M1170" s="7" t="str">
        <f>VLOOKUP($G1170,Mapping!$E$140:$K$2771,7,0)</f>
        <v>ENDirect</v>
      </c>
      <c r="N1170" s="7" t="str">
        <f>IFERROR(HLOOKUP(L1170,'Calc|Weightings'!$K$5:$M$5,1,0),"Excl")</f>
        <v>Labour</v>
      </c>
      <c r="O1170" s="7" t="str">
        <f>VLOOKUP(E1170,Mapping!$E$11:$I$96,5,0)</f>
        <v>SCS</v>
      </c>
      <c r="Q1170" s="33">
        <v>150</v>
      </c>
      <c r="R1170" s="33" t="s">
        <v>2159</v>
      </c>
      <c r="S1170" s="33">
        <v>523100</v>
      </c>
      <c r="T1170" s="33" t="s">
        <v>2074</v>
      </c>
      <c r="U1170" s="34">
        <v>0.48443999999999998</v>
      </c>
      <c r="V1170" s="7"/>
      <c r="W1170" s="7" t="str">
        <f>VLOOKUP($Q1170,Mapping!$E$11:$I$96,3,0)</f>
        <v>Replacement</v>
      </c>
      <c r="X1170" s="7" t="str">
        <f>VLOOKUP($S1170,Mapping!$E$140:$K$2771,5,0)</f>
        <v>Materials</v>
      </c>
      <c r="Y1170" s="7" t="str">
        <f>VLOOKUP($S1170,Mapping!$E$140:$K$2771,7,0)</f>
        <v>ENDirect</v>
      </c>
      <c r="Z1170" s="7" t="str">
        <f>IFERROR(HLOOKUP(X1170,'Calc|Weightings'!$K$5:$M$5,1,0),"Excl")</f>
        <v>Materials</v>
      </c>
      <c r="AA1170" s="7" t="str">
        <f>VLOOKUP(Q1170,Mapping!$E$11:$I$96,5,0)</f>
        <v>SCS</v>
      </c>
      <c r="AC1170" s="111">
        <v>150</v>
      </c>
      <c r="AD1170" s="111" t="s">
        <v>2159</v>
      </c>
      <c r="AE1170" s="111">
        <v>613434</v>
      </c>
      <c r="AF1170" s="111" t="s">
        <v>2102</v>
      </c>
      <c r="AG1170" s="112">
        <v>5.9391699999999998</v>
      </c>
      <c r="AI1170" s="7" t="str">
        <f>VLOOKUP($AC1170,Mapping!$E$11:$I$96,3,0)</f>
        <v>Replacement</v>
      </c>
      <c r="AJ1170" s="7" t="str">
        <f>VLOOKUP($AE1170,Mapping!$E$140:$K$2771,5,0)</f>
        <v>Labour</v>
      </c>
      <c r="AK1170" s="7" t="str">
        <f>VLOOKUP($AE1170,Mapping!$E$140:$K$2771,7,0)</f>
        <v>ENDirect</v>
      </c>
      <c r="AL1170" s="7" t="str">
        <f>IFERROR(HLOOKUP(AJ1170,'Calc|Weightings'!$K$5:$M$5,1,0),"Excl")</f>
        <v>Labour</v>
      </c>
      <c r="AM1170" s="7" t="str">
        <f>VLOOKUP(AC1170,Mapping!$E$11:$I$96,5,0)</f>
        <v>SCS</v>
      </c>
      <c r="AO1170" s="134">
        <v>156</v>
      </c>
      <c r="AP1170" s="135" t="s">
        <v>2165</v>
      </c>
      <c r="AQ1170" s="135">
        <v>613567</v>
      </c>
      <c r="AR1170" s="135" t="s">
        <v>1483</v>
      </c>
      <c r="AS1170" s="136">
        <v>0.37530000000000002</v>
      </c>
      <c r="AU1170" s="7" t="str">
        <f>VLOOKUP($AO1170,Mapping!$E$11:$I$96,3,0)</f>
        <v>Replacement</v>
      </c>
      <c r="AV1170" s="7" t="str">
        <f>VLOOKUP($AQ1170,Mapping!$E$140:$K$2771,5,0)</f>
        <v>Labour</v>
      </c>
      <c r="AW1170" s="7" t="str">
        <f>VLOOKUP($AQ1170,Mapping!$E$140:$K$2771,7,0)</f>
        <v>ENDirect</v>
      </c>
      <c r="AX1170" s="7" t="str">
        <f>IFERROR(HLOOKUP(AV1170,'Calc|Weightings'!$K$5:$M$5,1,0),"Excl")</f>
        <v>Labour</v>
      </c>
      <c r="AY1170" s="7" t="str">
        <f>VLOOKUP(AO1170,Mapping!$E$11:$I$96,5,0)</f>
        <v>SCS</v>
      </c>
    </row>
    <row r="1171" spans="1:51" x14ac:dyDescent="0.2">
      <c r="A1171" s="7"/>
      <c r="B1171" s="7"/>
      <c r="C1171" s="7"/>
      <c r="D1171" s="7"/>
      <c r="E1171" s="36">
        <v>144</v>
      </c>
      <c r="F1171" s="36" t="s">
        <v>2154</v>
      </c>
      <c r="G1171" s="36">
        <v>613566</v>
      </c>
      <c r="H1171" s="36" t="s">
        <v>1482</v>
      </c>
      <c r="I1171" s="37">
        <v>1.03454</v>
      </c>
      <c r="J1171" s="7"/>
      <c r="K1171" s="7" t="str">
        <f>VLOOKUP($E1171,Mapping!$E$11:$I$96,3,0)</f>
        <v>Replacement</v>
      </c>
      <c r="L1171" s="7" t="str">
        <f>VLOOKUP($G1171,Mapping!$E$140:$K$2771,5,0)</f>
        <v>Labour</v>
      </c>
      <c r="M1171" s="7" t="str">
        <f>VLOOKUP($G1171,Mapping!$E$140:$K$2771,7,0)</f>
        <v>ENDirect</v>
      </c>
      <c r="N1171" s="7" t="str">
        <f>IFERROR(HLOOKUP(L1171,'Calc|Weightings'!$K$5:$M$5,1,0),"Excl")</f>
        <v>Labour</v>
      </c>
      <c r="O1171" s="7" t="str">
        <f>VLOOKUP(E1171,Mapping!$E$11:$I$96,5,0)</f>
        <v>SCS</v>
      </c>
      <c r="Q1171" s="33">
        <v>150</v>
      </c>
      <c r="R1171" s="33" t="s">
        <v>2159</v>
      </c>
      <c r="S1171" s="33">
        <v>523300</v>
      </c>
      <c r="T1171" s="33" t="s">
        <v>2075</v>
      </c>
      <c r="U1171" s="34">
        <v>7.2000000000000005E-4</v>
      </c>
      <c r="V1171" s="7"/>
      <c r="W1171" s="7" t="str">
        <f>VLOOKUP($Q1171,Mapping!$E$11:$I$96,3,0)</f>
        <v>Replacement</v>
      </c>
      <c r="X1171" s="7" t="str">
        <f>VLOOKUP($S1171,Mapping!$E$140:$K$2771,5,0)</f>
        <v>Materials</v>
      </c>
      <c r="Y1171" s="7" t="str">
        <f>VLOOKUP($S1171,Mapping!$E$140:$K$2771,7,0)</f>
        <v>ENDirect</v>
      </c>
      <c r="Z1171" s="7" t="str">
        <f>IFERROR(HLOOKUP(X1171,'Calc|Weightings'!$K$5:$M$5,1,0),"Excl")</f>
        <v>Materials</v>
      </c>
      <c r="AA1171" s="7" t="str">
        <f>VLOOKUP(Q1171,Mapping!$E$11:$I$96,5,0)</f>
        <v>SCS</v>
      </c>
      <c r="AC1171" s="111">
        <v>150</v>
      </c>
      <c r="AD1171" s="111" t="s">
        <v>2159</v>
      </c>
      <c r="AE1171" s="111">
        <v>613440</v>
      </c>
      <c r="AF1171" s="111" t="s">
        <v>2103</v>
      </c>
      <c r="AG1171" s="112">
        <v>0.73938000000000004</v>
      </c>
      <c r="AI1171" s="7" t="str">
        <f>VLOOKUP($AC1171,Mapping!$E$11:$I$96,3,0)</f>
        <v>Replacement</v>
      </c>
      <c r="AJ1171" s="7" t="str">
        <f>VLOOKUP($AE1171,Mapping!$E$140:$K$2771,5,0)</f>
        <v>Labour</v>
      </c>
      <c r="AK1171" s="7" t="str">
        <f>VLOOKUP($AE1171,Mapping!$E$140:$K$2771,7,0)</f>
        <v>ENDirect</v>
      </c>
      <c r="AL1171" s="7" t="str">
        <f>IFERROR(HLOOKUP(AJ1171,'Calc|Weightings'!$K$5:$M$5,1,0),"Excl")</f>
        <v>Labour</v>
      </c>
      <c r="AM1171" s="7" t="str">
        <f>VLOOKUP(AC1171,Mapping!$E$11:$I$96,5,0)</f>
        <v>SCS</v>
      </c>
      <c r="AO1171" s="134">
        <v>156</v>
      </c>
      <c r="AP1171" s="135" t="s">
        <v>2165</v>
      </c>
      <c r="AQ1171" s="135">
        <v>613576</v>
      </c>
      <c r="AR1171" s="135" t="s">
        <v>1490</v>
      </c>
      <c r="AS1171" s="136">
        <v>1.11456</v>
      </c>
      <c r="AU1171" s="7" t="str">
        <f>VLOOKUP($AO1171,Mapping!$E$11:$I$96,3,0)</f>
        <v>Replacement</v>
      </c>
      <c r="AV1171" s="7" t="str">
        <f>VLOOKUP($AQ1171,Mapping!$E$140:$K$2771,5,0)</f>
        <v>Labour</v>
      </c>
      <c r="AW1171" s="7" t="str">
        <f>VLOOKUP($AQ1171,Mapping!$E$140:$K$2771,7,0)</f>
        <v>ENDirect</v>
      </c>
      <c r="AX1171" s="7" t="str">
        <f>IFERROR(HLOOKUP(AV1171,'Calc|Weightings'!$K$5:$M$5,1,0),"Excl")</f>
        <v>Labour</v>
      </c>
      <c r="AY1171" s="7" t="str">
        <f>VLOOKUP(AO1171,Mapping!$E$11:$I$96,5,0)</f>
        <v>SCS</v>
      </c>
    </row>
    <row r="1172" spans="1:51" x14ac:dyDescent="0.2">
      <c r="A1172" s="7"/>
      <c r="B1172" s="7"/>
      <c r="C1172" s="7"/>
      <c r="D1172" s="7"/>
      <c r="E1172" s="36">
        <v>144</v>
      </c>
      <c r="F1172" s="36" t="s">
        <v>2154</v>
      </c>
      <c r="G1172" s="36">
        <v>613567</v>
      </c>
      <c r="H1172" s="36" t="s">
        <v>1483</v>
      </c>
      <c r="I1172" s="37">
        <v>6.0859999999999997E-2</v>
      </c>
      <c r="J1172" s="7"/>
      <c r="K1172" s="7" t="str">
        <f>VLOOKUP($E1172,Mapping!$E$11:$I$96,3,0)</f>
        <v>Replacement</v>
      </c>
      <c r="L1172" s="7" t="str">
        <f>VLOOKUP($G1172,Mapping!$E$140:$K$2771,5,0)</f>
        <v>Labour</v>
      </c>
      <c r="M1172" s="7" t="str">
        <f>VLOOKUP($G1172,Mapping!$E$140:$K$2771,7,0)</f>
        <v>ENDirect</v>
      </c>
      <c r="N1172" s="7" t="str">
        <f>IFERROR(HLOOKUP(L1172,'Calc|Weightings'!$K$5:$M$5,1,0),"Excl")</f>
        <v>Labour</v>
      </c>
      <c r="O1172" s="7" t="str">
        <f>VLOOKUP(E1172,Mapping!$E$11:$I$96,5,0)</f>
        <v>SCS</v>
      </c>
      <c r="Q1172" s="33">
        <v>150</v>
      </c>
      <c r="R1172" s="33" t="s">
        <v>2159</v>
      </c>
      <c r="S1172" s="33">
        <v>531020</v>
      </c>
      <c r="T1172" s="33" t="s">
        <v>219</v>
      </c>
      <c r="U1172" s="34">
        <v>2.2999999999999998</v>
      </c>
      <c r="V1172" s="7"/>
      <c r="W1172" s="7" t="str">
        <f>VLOOKUP($Q1172,Mapping!$E$11:$I$96,3,0)</f>
        <v>Replacement</v>
      </c>
      <c r="X1172" s="7" t="str">
        <f>VLOOKUP($S1172,Mapping!$E$140:$K$2771,5,0)</f>
        <v>Labour</v>
      </c>
      <c r="Y1172" s="7" t="str">
        <f>VLOOKUP($S1172,Mapping!$E$140:$K$2771,7,0)</f>
        <v>ENDirect</v>
      </c>
      <c r="Z1172" s="7" t="str">
        <f>IFERROR(HLOOKUP(X1172,'Calc|Weightings'!$K$5:$M$5,1,0),"Excl")</f>
        <v>Labour</v>
      </c>
      <c r="AA1172" s="7" t="str">
        <f>VLOOKUP(Q1172,Mapping!$E$11:$I$96,5,0)</f>
        <v>SCS</v>
      </c>
      <c r="AC1172" s="111">
        <v>150</v>
      </c>
      <c r="AD1172" s="111" t="s">
        <v>2159</v>
      </c>
      <c r="AE1172" s="111">
        <v>613441</v>
      </c>
      <c r="AF1172" s="111" t="s">
        <v>2104</v>
      </c>
      <c r="AG1172" s="112">
        <v>0.17360999999999999</v>
      </c>
      <c r="AI1172" s="7" t="str">
        <f>VLOOKUP($AC1172,Mapping!$E$11:$I$96,3,0)</f>
        <v>Replacement</v>
      </c>
      <c r="AJ1172" s="7" t="str">
        <f>VLOOKUP($AE1172,Mapping!$E$140:$K$2771,5,0)</f>
        <v>Labour</v>
      </c>
      <c r="AK1172" s="7" t="str">
        <f>VLOOKUP($AE1172,Mapping!$E$140:$K$2771,7,0)</f>
        <v>ENDirect</v>
      </c>
      <c r="AL1172" s="7" t="str">
        <f>IFERROR(HLOOKUP(AJ1172,'Calc|Weightings'!$K$5:$M$5,1,0),"Excl")</f>
        <v>Labour</v>
      </c>
      <c r="AM1172" s="7" t="str">
        <f>VLOOKUP(AC1172,Mapping!$E$11:$I$96,5,0)</f>
        <v>SCS</v>
      </c>
      <c r="AO1172" s="134">
        <v>156</v>
      </c>
      <c r="AP1172" s="135" t="s">
        <v>2165</v>
      </c>
      <c r="AQ1172" s="135">
        <v>613602</v>
      </c>
      <c r="AR1172" s="135" t="s">
        <v>1494</v>
      </c>
      <c r="AS1172" s="136">
        <v>0.42813000000000001</v>
      </c>
      <c r="AU1172" s="7" t="str">
        <f>VLOOKUP($AO1172,Mapping!$E$11:$I$96,3,0)</f>
        <v>Replacement</v>
      </c>
      <c r="AV1172" s="7" t="str">
        <f>VLOOKUP($AQ1172,Mapping!$E$140:$K$2771,5,0)</f>
        <v>Labour</v>
      </c>
      <c r="AW1172" s="7" t="str">
        <f>VLOOKUP($AQ1172,Mapping!$E$140:$K$2771,7,0)</f>
        <v>ENDirect</v>
      </c>
      <c r="AX1172" s="7" t="str">
        <f>IFERROR(HLOOKUP(AV1172,'Calc|Weightings'!$K$5:$M$5,1,0),"Excl")</f>
        <v>Labour</v>
      </c>
      <c r="AY1172" s="7" t="str">
        <f>VLOOKUP(AO1172,Mapping!$E$11:$I$96,5,0)</f>
        <v>SCS</v>
      </c>
    </row>
    <row r="1173" spans="1:51" x14ac:dyDescent="0.2">
      <c r="A1173" s="7"/>
      <c r="B1173" s="7"/>
      <c r="C1173" s="7"/>
      <c r="D1173" s="7"/>
      <c r="E1173" s="36">
        <v>144</v>
      </c>
      <c r="F1173" s="36" t="s">
        <v>2154</v>
      </c>
      <c r="G1173" s="36">
        <v>613576</v>
      </c>
      <c r="H1173" s="36" t="s">
        <v>1490</v>
      </c>
      <c r="I1173" s="37">
        <v>19.4221</v>
      </c>
      <c r="J1173" s="7"/>
      <c r="K1173" s="7" t="str">
        <f>VLOOKUP($E1173,Mapping!$E$11:$I$96,3,0)</f>
        <v>Replacement</v>
      </c>
      <c r="L1173" s="7" t="str">
        <f>VLOOKUP($G1173,Mapping!$E$140:$K$2771,5,0)</f>
        <v>Labour</v>
      </c>
      <c r="M1173" s="7" t="str">
        <f>VLOOKUP($G1173,Mapping!$E$140:$K$2771,7,0)</f>
        <v>ENDirect</v>
      </c>
      <c r="N1173" s="7" t="str">
        <f>IFERROR(HLOOKUP(L1173,'Calc|Weightings'!$K$5:$M$5,1,0),"Excl")</f>
        <v>Labour</v>
      </c>
      <c r="O1173" s="7" t="str">
        <f>VLOOKUP(E1173,Mapping!$E$11:$I$96,5,0)</f>
        <v>SCS</v>
      </c>
      <c r="Q1173" s="33">
        <v>150</v>
      </c>
      <c r="R1173" s="33" t="s">
        <v>2159</v>
      </c>
      <c r="S1173" s="33">
        <v>531035</v>
      </c>
      <c r="T1173" s="33" t="s">
        <v>244</v>
      </c>
      <c r="U1173" s="34">
        <v>1.1000000000000001</v>
      </c>
      <c r="V1173" s="7"/>
      <c r="W1173" s="7" t="str">
        <f>VLOOKUP($Q1173,Mapping!$E$11:$I$96,3,0)</f>
        <v>Replacement</v>
      </c>
      <c r="X1173" s="7" t="str">
        <f>VLOOKUP($S1173,Mapping!$E$140:$K$2771,5,0)</f>
        <v>Labour</v>
      </c>
      <c r="Y1173" s="7" t="str">
        <f>VLOOKUP($S1173,Mapping!$E$140:$K$2771,7,0)</f>
        <v>ENDirect</v>
      </c>
      <c r="Z1173" s="7" t="str">
        <f>IFERROR(HLOOKUP(X1173,'Calc|Weightings'!$K$5:$M$5,1,0),"Excl")</f>
        <v>Labour</v>
      </c>
      <c r="AA1173" s="7" t="str">
        <f>VLOOKUP(Q1173,Mapping!$E$11:$I$96,5,0)</f>
        <v>SCS</v>
      </c>
      <c r="AC1173" s="111">
        <v>150</v>
      </c>
      <c r="AD1173" s="111" t="s">
        <v>2159</v>
      </c>
      <c r="AE1173" s="111">
        <v>613448</v>
      </c>
      <c r="AF1173" s="111" t="s">
        <v>2105</v>
      </c>
      <c r="AG1173" s="112">
        <v>5.15829</v>
      </c>
      <c r="AI1173" s="7" t="str">
        <f>VLOOKUP($AC1173,Mapping!$E$11:$I$96,3,0)</f>
        <v>Replacement</v>
      </c>
      <c r="AJ1173" s="7" t="str">
        <f>VLOOKUP($AE1173,Mapping!$E$140:$K$2771,5,0)</f>
        <v>Labour</v>
      </c>
      <c r="AK1173" s="7" t="str">
        <f>VLOOKUP($AE1173,Mapping!$E$140:$K$2771,7,0)</f>
        <v>ENDirect</v>
      </c>
      <c r="AL1173" s="7" t="str">
        <f>IFERROR(HLOOKUP(AJ1173,'Calc|Weightings'!$K$5:$M$5,1,0),"Excl")</f>
        <v>Labour</v>
      </c>
      <c r="AM1173" s="7" t="str">
        <f>VLOOKUP(AC1173,Mapping!$E$11:$I$96,5,0)</f>
        <v>SCS</v>
      </c>
      <c r="AO1173" s="134">
        <v>156</v>
      </c>
      <c r="AP1173" s="135" t="s">
        <v>2165</v>
      </c>
      <c r="AQ1173" s="135">
        <v>613630</v>
      </c>
      <c r="AR1173" s="135" t="s">
        <v>1498</v>
      </c>
      <c r="AS1173" s="136">
        <v>6.1407299999999996</v>
      </c>
      <c r="AU1173" s="7" t="str">
        <f>VLOOKUP($AO1173,Mapping!$E$11:$I$96,3,0)</f>
        <v>Replacement</v>
      </c>
      <c r="AV1173" s="7" t="str">
        <f>VLOOKUP($AQ1173,Mapping!$E$140:$K$2771,5,0)</f>
        <v>Labour</v>
      </c>
      <c r="AW1173" s="7" t="str">
        <f>VLOOKUP($AQ1173,Mapping!$E$140:$K$2771,7,0)</f>
        <v>ENDirect</v>
      </c>
      <c r="AX1173" s="7" t="str">
        <f>IFERROR(HLOOKUP(AV1173,'Calc|Weightings'!$K$5:$M$5,1,0),"Excl")</f>
        <v>Labour</v>
      </c>
      <c r="AY1173" s="7" t="str">
        <f>VLOOKUP(AO1173,Mapping!$E$11:$I$96,5,0)</f>
        <v>SCS</v>
      </c>
    </row>
    <row r="1174" spans="1:51" x14ac:dyDescent="0.2">
      <c r="A1174" s="7"/>
      <c r="B1174" s="7"/>
      <c r="C1174" s="7"/>
      <c r="D1174" s="7"/>
      <c r="E1174" s="36">
        <v>144</v>
      </c>
      <c r="F1174" s="36" t="s">
        <v>2154</v>
      </c>
      <c r="G1174" s="36">
        <v>613577</v>
      </c>
      <c r="H1174" s="36" t="s">
        <v>1491</v>
      </c>
      <c r="I1174" s="37">
        <v>0.29075000000000001</v>
      </c>
      <c r="J1174" s="7"/>
      <c r="K1174" s="7" t="str">
        <f>VLOOKUP($E1174,Mapping!$E$11:$I$96,3,0)</f>
        <v>Replacement</v>
      </c>
      <c r="L1174" s="7" t="str">
        <f>VLOOKUP($G1174,Mapping!$E$140:$K$2771,5,0)</f>
        <v>Labour</v>
      </c>
      <c r="M1174" s="7" t="str">
        <f>VLOOKUP($G1174,Mapping!$E$140:$K$2771,7,0)</f>
        <v>ENDirect</v>
      </c>
      <c r="N1174" s="7" t="str">
        <f>IFERROR(HLOOKUP(L1174,'Calc|Weightings'!$K$5:$M$5,1,0),"Excl")</f>
        <v>Labour</v>
      </c>
      <c r="O1174" s="7" t="str">
        <f>VLOOKUP(E1174,Mapping!$E$11:$I$96,5,0)</f>
        <v>SCS</v>
      </c>
      <c r="Q1174" s="33">
        <v>150</v>
      </c>
      <c r="R1174" s="33" t="s">
        <v>2159</v>
      </c>
      <c r="S1174" s="33">
        <v>531464</v>
      </c>
      <c r="T1174" s="33" t="s">
        <v>256</v>
      </c>
      <c r="U1174" s="34">
        <v>218.45814999999999</v>
      </c>
      <c r="V1174" s="7"/>
      <c r="W1174" s="7" t="str">
        <f>VLOOKUP($Q1174,Mapping!$E$11:$I$96,3,0)</f>
        <v>Replacement</v>
      </c>
      <c r="X1174" s="7" t="str">
        <f>VLOOKUP($S1174,Mapping!$E$140:$K$2771,5,0)</f>
        <v>Contracts</v>
      </c>
      <c r="Y1174" s="7" t="str">
        <f>VLOOKUP($S1174,Mapping!$E$140:$K$2771,7,0)</f>
        <v>ENDirect</v>
      </c>
      <c r="Z1174" s="7" t="str">
        <f>IFERROR(HLOOKUP(X1174,'Calc|Weightings'!$K$5:$M$5,1,0),"Excl")</f>
        <v>Contracts</v>
      </c>
      <c r="AA1174" s="7" t="str">
        <f>VLOOKUP(Q1174,Mapping!$E$11:$I$96,5,0)</f>
        <v>SCS</v>
      </c>
      <c r="AC1174" s="111">
        <v>150</v>
      </c>
      <c r="AD1174" s="111" t="s">
        <v>2159</v>
      </c>
      <c r="AE1174" s="111">
        <v>613449</v>
      </c>
      <c r="AF1174" s="111" t="s">
        <v>2106</v>
      </c>
      <c r="AG1174" s="112">
        <v>0.47204000000000002</v>
      </c>
      <c r="AI1174" s="7" t="str">
        <f>VLOOKUP($AC1174,Mapping!$E$11:$I$96,3,0)</f>
        <v>Replacement</v>
      </c>
      <c r="AJ1174" s="7" t="str">
        <f>VLOOKUP($AE1174,Mapping!$E$140:$K$2771,5,0)</f>
        <v>Labour</v>
      </c>
      <c r="AK1174" s="7" t="str">
        <f>VLOOKUP($AE1174,Mapping!$E$140:$K$2771,7,0)</f>
        <v>ENDirect</v>
      </c>
      <c r="AL1174" s="7" t="str">
        <f>IFERROR(HLOOKUP(AJ1174,'Calc|Weightings'!$K$5:$M$5,1,0),"Excl")</f>
        <v>Labour</v>
      </c>
      <c r="AM1174" s="7" t="str">
        <f>VLOOKUP(AC1174,Mapping!$E$11:$I$96,5,0)</f>
        <v>SCS</v>
      </c>
      <c r="AO1174" s="134">
        <v>156</v>
      </c>
      <c r="AP1174" s="135" t="s">
        <v>2165</v>
      </c>
      <c r="AQ1174" s="135">
        <v>613680</v>
      </c>
      <c r="AR1174" s="135" t="s">
        <v>2107</v>
      </c>
      <c r="AS1174" s="136">
        <v>135.35733999999999</v>
      </c>
      <c r="AU1174" s="7" t="str">
        <f>VLOOKUP($AO1174,Mapping!$E$11:$I$96,3,0)</f>
        <v>Replacement</v>
      </c>
      <c r="AV1174" s="7" t="str">
        <f>VLOOKUP($AQ1174,Mapping!$E$140:$K$2771,5,0)</f>
        <v>Labour</v>
      </c>
      <c r="AW1174" s="7" t="str">
        <f>VLOOKUP($AQ1174,Mapping!$E$140:$K$2771,7,0)</f>
        <v>ENDirect</v>
      </c>
      <c r="AX1174" s="7" t="str">
        <f>IFERROR(HLOOKUP(AV1174,'Calc|Weightings'!$K$5:$M$5,1,0),"Excl")</f>
        <v>Labour</v>
      </c>
      <c r="AY1174" s="7" t="str">
        <f>VLOOKUP(AO1174,Mapping!$E$11:$I$96,5,0)</f>
        <v>SCS</v>
      </c>
    </row>
    <row r="1175" spans="1:51" x14ac:dyDescent="0.2">
      <c r="A1175" s="7"/>
      <c r="B1175" s="7"/>
      <c r="C1175" s="7"/>
      <c r="D1175" s="7"/>
      <c r="E1175" s="36">
        <v>144</v>
      </c>
      <c r="F1175" s="36" t="s">
        <v>2154</v>
      </c>
      <c r="G1175" s="36">
        <v>613602</v>
      </c>
      <c r="H1175" s="36" t="s">
        <v>1494</v>
      </c>
      <c r="I1175" s="37">
        <v>2.7911999999999999</v>
      </c>
      <c r="J1175" s="7"/>
      <c r="K1175" s="7" t="str">
        <f>VLOOKUP($E1175,Mapping!$E$11:$I$96,3,0)</f>
        <v>Replacement</v>
      </c>
      <c r="L1175" s="7" t="str">
        <f>VLOOKUP($G1175,Mapping!$E$140:$K$2771,5,0)</f>
        <v>Labour</v>
      </c>
      <c r="M1175" s="7" t="str">
        <f>VLOOKUP($G1175,Mapping!$E$140:$K$2771,7,0)</f>
        <v>ENDirect</v>
      </c>
      <c r="N1175" s="7" t="str">
        <f>IFERROR(HLOOKUP(L1175,'Calc|Weightings'!$K$5:$M$5,1,0),"Excl")</f>
        <v>Labour</v>
      </c>
      <c r="O1175" s="7" t="str">
        <f>VLOOKUP(E1175,Mapping!$E$11:$I$96,5,0)</f>
        <v>SCS</v>
      </c>
      <c r="Q1175" s="33">
        <v>150</v>
      </c>
      <c r="R1175" s="33" t="s">
        <v>2159</v>
      </c>
      <c r="S1175" s="33">
        <v>531466</v>
      </c>
      <c r="T1175" s="33" t="s">
        <v>258</v>
      </c>
      <c r="U1175" s="34">
        <v>28.21576</v>
      </c>
      <c r="V1175" s="7"/>
      <c r="W1175" s="7" t="str">
        <f>VLOOKUP($Q1175,Mapping!$E$11:$I$96,3,0)</f>
        <v>Replacement</v>
      </c>
      <c r="X1175" s="7" t="str">
        <f>VLOOKUP($S1175,Mapping!$E$140:$K$2771,5,0)</f>
        <v>Contracts</v>
      </c>
      <c r="Y1175" s="7" t="str">
        <f>VLOOKUP($S1175,Mapping!$E$140:$K$2771,7,0)</f>
        <v>ENDirect</v>
      </c>
      <c r="Z1175" s="7" t="str">
        <f>IFERROR(HLOOKUP(X1175,'Calc|Weightings'!$K$5:$M$5,1,0),"Excl")</f>
        <v>Contracts</v>
      </c>
      <c r="AA1175" s="7" t="str">
        <f>VLOOKUP(Q1175,Mapping!$E$11:$I$96,5,0)</f>
        <v>SCS</v>
      </c>
      <c r="AC1175" s="111">
        <v>150</v>
      </c>
      <c r="AD1175" s="111" t="s">
        <v>2159</v>
      </c>
      <c r="AE1175" s="111">
        <v>613450</v>
      </c>
      <c r="AF1175" s="111" t="s">
        <v>2175</v>
      </c>
      <c r="AG1175" s="112">
        <v>4.5651000000000002</v>
      </c>
      <c r="AI1175" s="7" t="str">
        <f>VLOOKUP($AC1175,Mapping!$E$11:$I$96,3,0)</f>
        <v>Replacement</v>
      </c>
      <c r="AJ1175" s="7" t="str">
        <f>VLOOKUP($AE1175,Mapping!$E$140:$K$2771,5,0)</f>
        <v>Labour</v>
      </c>
      <c r="AK1175" s="7" t="str">
        <f>VLOOKUP($AE1175,Mapping!$E$140:$K$2771,7,0)</f>
        <v>ENDirect</v>
      </c>
      <c r="AL1175" s="7" t="str">
        <f>IFERROR(HLOOKUP(AJ1175,'Calc|Weightings'!$K$5:$M$5,1,0),"Excl")</f>
        <v>Labour</v>
      </c>
      <c r="AM1175" s="7" t="str">
        <f>VLOOKUP(AC1175,Mapping!$E$11:$I$96,5,0)</f>
        <v>SCS</v>
      </c>
      <c r="AO1175" s="134">
        <v>156</v>
      </c>
      <c r="AP1175" s="135" t="s">
        <v>2165</v>
      </c>
      <c r="AQ1175" s="135">
        <v>613681</v>
      </c>
      <c r="AR1175" s="135" t="s">
        <v>2108</v>
      </c>
      <c r="AS1175" s="136">
        <v>4.2789599999999997</v>
      </c>
      <c r="AU1175" s="7" t="str">
        <f>VLOOKUP($AO1175,Mapping!$E$11:$I$96,3,0)</f>
        <v>Replacement</v>
      </c>
      <c r="AV1175" s="7" t="str">
        <f>VLOOKUP($AQ1175,Mapping!$E$140:$K$2771,5,0)</f>
        <v>Labour</v>
      </c>
      <c r="AW1175" s="7" t="str">
        <f>VLOOKUP($AQ1175,Mapping!$E$140:$K$2771,7,0)</f>
        <v>ENDirect</v>
      </c>
      <c r="AX1175" s="7" t="str">
        <f>IFERROR(HLOOKUP(AV1175,'Calc|Weightings'!$K$5:$M$5,1,0),"Excl")</f>
        <v>Labour</v>
      </c>
      <c r="AY1175" s="7" t="str">
        <f>VLOOKUP(AO1175,Mapping!$E$11:$I$96,5,0)</f>
        <v>SCS</v>
      </c>
    </row>
    <row r="1176" spans="1:51" x14ac:dyDescent="0.2">
      <c r="A1176" s="7"/>
      <c r="B1176" s="7"/>
      <c r="C1176" s="7"/>
      <c r="D1176" s="7"/>
      <c r="E1176" s="36">
        <v>144</v>
      </c>
      <c r="F1176" s="36" t="s">
        <v>2154</v>
      </c>
      <c r="G1176" s="36">
        <v>613680</v>
      </c>
      <c r="H1176" s="36" t="s">
        <v>2107</v>
      </c>
      <c r="I1176" s="37">
        <v>0.12937000000000001</v>
      </c>
      <c r="J1176" s="7"/>
      <c r="K1176" s="7" t="str">
        <f>VLOOKUP($E1176,Mapping!$E$11:$I$96,3,0)</f>
        <v>Replacement</v>
      </c>
      <c r="L1176" s="7" t="str">
        <f>VLOOKUP($G1176,Mapping!$E$140:$K$2771,5,0)</f>
        <v>Labour</v>
      </c>
      <c r="M1176" s="7" t="str">
        <f>VLOOKUP($G1176,Mapping!$E$140:$K$2771,7,0)</f>
        <v>ENDirect</v>
      </c>
      <c r="N1176" s="7" t="str">
        <f>IFERROR(HLOOKUP(L1176,'Calc|Weightings'!$K$5:$M$5,1,0),"Excl")</f>
        <v>Labour</v>
      </c>
      <c r="O1176" s="7" t="str">
        <f>VLOOKUP(E1176,Mapping!$E$11:$I$96,5,0)</f>
        <v>SCS</v>
      </c>
      <c r="Q1176" s="33">
        <v>150</v>
      </c>
      <c r="R1176" s="33" t="s">
        <v>2159</v>
      </c>
      <c r="S1176" s="33">
        <v>531467</v>
      </c>
      <c r="T1176" s="33" t="s">
        <v>259</v>
      </c>
      <c r="U1176" s="34">
        <v>61.424810000000001</v>
      </c>
      <c r="V1176" s="7"/>
      <c r="W1176" s="7" t="str">
        <f>VLOOKUP($Q1176,Mapping!$E$11:$I$96,3,0)</f>
        <v>Replacement</v>
      </c>
      <c r="X1176" s="7" t="str">
        <f>VLOOKUP($S1176,Mapping!$E$140:$K$2771,5,0)</f>
        <v>Contracts</v>
      </c>
      <c r="Y1176" s="7" t="str">
        <f>VLOOKUP($S1176,Mapping!$E$140:$K$2771,7,0)</f>
        <v>ENDirect</v>
      </c>
      <c r="Z1176" s="7" t="str">
        <f>IFERROR(HLOOKUP(X1176,'Calc|Weightings'!$K$5:$M$5,1,0),"Excl")</f>
        <v>Contracts</v>
      </c>
      <c r="AA1176" s="7" t="str">
        <f>VLOOKUP(Q1176,Mapping!$E$11:$I$96,5,0)</f>
        <v>SCS</v>
      </c>
      <c r="AC1176" s="111">
        <v>150</v>
      </c>
      <c r="AD1176" s="111" t="s">
        <v>2159</v>
      </c>
      <c r="AE1176" s="111">
        <v>613566</v>
      </c>
      <c r="AF1176" s="111" t="s">
        <v>1482</v>
      </c>
      <c r="AG1176" s="112">
        <v>13.10741</v>
      </c>
      <c r="AI1176" s="7" t="str">
        <f>VLOOKUP($AC1176,Mapping!$E$11:$I$96,3,0)</f>
        <v>Replacement</v>
      </c>
      <c r="AJ1176" s="7" t="str">
        <f>VLOOKUP($AE1176,Mapping!$E$140:$K$2771,5,0)</f>
        <v>Labour</v>
      </c>
      <c r="AK1176" s="7" t="str">
        <f>VLOOKUP($AE1176,Mapping!$E$140:$K$2771,7,0)</f>
        <v>ENDirect</v>
      </c>
      <c r="AL1176" s="7" t="str">
        <f>IFERROR(HLOOKUP(AJ1176,'Calc|Weightings'!$K$5:$M$5,1,0),"Excl")</f>
        <v>Labour</v>
      </c>
      <c r="AM1176" s="7" t="str">
        <f>VLOOKUP(AC1176,Mapping!$E$11:$I$96,5,0)</f>
        <v>SCS</v>
      </c>
      <c r="AO1176" s="134">
        <v>156</v>
      </c>
      <c r="AP1176" s="135" t="s">
        <v>2165</v>
      </c>
      <c r="AQ1176" s="135">
        <v>615370</v>
      </c>
      <c r="AR1176" s="135" t="s">
        <v>2422</v>
      </c>
      <c r="AS1176" s="136">
        <v>0.71399999999999997</v>
      </c>
      <c r="AU1176" s="7" t="str">
        <f>VLOOKUP($AO1176,Mapping!$E$11:$I$96,3,0)</f>
        <v>Replacement</v>
      </c>
      <c r="AV1176" s="7" t="str">
        <f>VLOOKUP($AQ1176,Mapping!$E$140:$K$2771,5,0)</f>
        <v>Contracts</v>
      </c>
      <c r="AW1176" s="7" t="str">
        <f>VLOOKUP($AQ1176,Mapping!$E$140:$K$2771,7,0)</f>
        <v>ENDirect</v>
      </c>
      <c r="AX1176" s="7" t="str">
        <f>IFERROR(HLOOKUP(AV1176,'Calc|Weightings'!$K$5:$M$5,1,0),"Excl")</f>
        <v>Contracts</v>
      </c>
      <c r="AY1176" s="7" t="str">
        <f>VLOOKUP(AO1176,Mapping!$E$11:$I$96,5,0)</f>
        <v>SCS</v>
      </c>
    </row>
    <row r="1177" spans="1:51" x14ac:dyDescent="0.2">
      <c r="A1177" s="7"/>
      <c r="B1177" s="7"/>
      <c r="C1177" s="7"/>
      <c r="D1177" s="7"/>
      <c r="E1177" s="36">
        <v>144</v>
      </c>
      <c r="F1177" s="36" t="s">
        <v>2154</v>
      </c>
      <c r="G1177" s="36">
        <v>613800</v>
      </c>
      <c r="H1177" s="36" t="s">
        <v>2142</v>
      </c>
      <c r="I1177" s="37">
        <v>-0.60494999999999999</v>
      </c>
      <c r="J1177" s="7"/>
      <c r="K1177" s="7" t="str">
        <f>VLOOKUP($E1177,Mapping!$E$11:$I$96,3,0)</f>
        <v>Replacement</v>
      </c>
      <c r="L1177" s="7" t="str">
        <f>VLOOKUP($G1177,Mapping!$E$140:$K$2771,5,0)</f>
        <v>Materials</v>
      </c>
      <c r="M1177" s="7" t="str">
        <f>VLOOKUP($G1177,Mapping!$E$140:$K$2771,7,0)</f>
        <v>ENDirect</v>
      </c>
      <c r="N1177" s="7" t="str">
        <f>IFERROR(HLOOKUP(L1177,'Calc|Weightings'!$K$5:$M$5,1,0),"Excl")</f>
        <v>Materials</v>
      </c>
      <c r="O1177" s="7" t="str">
        <f>VLOOKUP(E1177,Mapping!$E$11:$I$96,5,0)</f>
        <v>SCS</v>
      </c>
      <c r="Q1177" s="33">
        <v>150</v>
      </c>
      <c r="R1177" s="33" t="s">
        <v>2159</v>
      </c>
      <c r="S1177" s="33">
        <v>531468</v>
      </c>
      <c r="T1177" s="33" t="s">
        <v>260</v>
      </c>
      <c r="U1177" s="34">
        <v>105.20726000000001</v>
      </c>
      <c r="V1177" s="7"/>
      <c r="W1177" s="7" t="str">
        <f>VLOOKUP($Q1177,Mapping!$E$11:$I$96,3,0)</f>
        <v>Replacement</v>
      </c>
      <c r="X1177" s="7" t="str">
        <f>VLOOKUP($S1177,Mapping!$E$140:$K$2771,5,0)</f>
        <v>Contracts</v>
      </c>
      <c r="Y1177" s="7" t="str">
        <f>VLOOKUP($S1177,Mapping!$E$140:$K$2771,7,0)</f>
        <v>ENDirect</v>
      </c>
      <c r="Z1177" s="7" t="str">
        <f>IFERROR(HLOOKUP(X1177,'Calc|Weightings'!$K$5:$M$5,1,0),"Excl")</f>
        <v>Contracts</v>
      </c>
      <c r="AA1177" s="7" t="str">
        <f>VLOOKUP(Q1177,Mapping!$E$11:$I$96,5,0)</f>
        <v>SCS</v>
      </c>
      <c r="AC1177" s="111">
        <v>150</v>
      </c>
      <c r="AD1177" s="111" t="s">
        <v>2159</v>
      </c>
      <c r="AE1177" s="111">
        <v>613567</v>
      </c>
      <c r="AF1177" s="111" t="s">
        <v>1483</v>
      </c>
      <c r="AG1177" s="112">
        <v>0.90720000000000001</v>
      </c>
      <c r="AI1177" s="7" t="str">
        <f>VLOOKUP($AC1177,Mapping!$E$11:$I$96,3,0)</f>
        <v>Replacement</v>
      </c>
      <c r="AJ1177" s="7" t="str">
        <f>VLOOKUP($AE1177,Mapping!$E$140:$K$2771,5,0)</f>
        <v>Labour</v>
      </c>
      <c r="AK1177" s="7" t="str">
        <f>VLOOKUP($AE1177,Mapping!$E$140:$K$2771,7,0)</f>
        <v>ENDirect</v>
      </c>
      <c r="AL1177" s="7" t="str">
        <f>IFERROR(HLOOKUP(AJ1177,'Calc|Weightings'!$K$5:$M$5,1,0),"Excl")</f>
        <v>Labour</v>
      </c>
      <c r="AM1177" s="7" t="str">
        <f>VLOOKUP(AC1177,Mapping!$E$11:$I$96,5,0)</f>
        <v>SCS</v>
      </c>
      <c r="AO1177" s="134">
        <v>156</v>
      </c>
      <c r="AP1177" s="135" t="s">
        <v>2165</v>
      </c>
      <c r="AQ1177" s="135">
        <v>615375</v>
      </c>
      <c r="AR1177" s="135" t="s">
        <v>1717</v>
      </c>
      <c r="AS1177" s="136">
        <v>2.8559999999999999</v>
      </c>
      <c r="AU1177" s="7" t="str">
        <f>VLOOKUP($AO1177,Mapping!$E$11:$I$96,3,0)</f>
        <v>Replacement</v>
      </c>
      <c r="AV1177" s="7" t="str">
        <f>VLOOKUP($AQ1177,Mapping!$E$140:$K$2771,5,0)</f>
        <v>Labour</v>
      </c>
      <c r="AW1177" s="7" t="str">
        <f>VLOOKUP($AQ1177,Mapping!$E$140:$K$2771,7,0)</f>
        <v>ENDirect</v>
      </c>
      <c r="AX1177" s="7" t="str">
        <f>IFERROR(HLOOKUP(AV1177,'Calc|Weightings'!$K$5:$M$5,1,0),"Excl")</f>
        <v>Labour</v>
      </c>
      <c r="AY1177" s="7" t="str">
        <f>VLOOKUP(AO1177,Mapping!$E$11:$I$96,5,0)</f>
        <v>SCS</v>
      </c>
    </row>
    <row r="1178" spans="1:51" x14ac:dyDescent="0.2">
      <c r="A1178" s="7"/>
      <c r="B1178" s="7"/>
      <c r="C1178" s="7"/>
      <c r="D1178" s="7"/>
      <c r="E1178" s="36">
        <v>144</v>
      </c>
      <c r="F1178" s="36" t="s">
        <v>2154</v>
      </c>
      <c r="G1178" s="36">
        <v>633000</v>
      </c>
      <c r="H1178" s="36" t="s">
        <v>2202</v>
      </c>
      <c r="I1178" s="37">
        <v>45.164400000000001</v>
      </c>
      <c r="J1178" s="7"/>
      <c r="K1178" s="7" t="str">
        <f>VLOOKUP($E1178,Mapping!$E$11:$I$96,3,0)</f>
        <v>Replacement</v>
      </c>
      <c r="L1178" s="7" t="str">
        <f>VLOOKUP($G1178,Mapping!$E$140:$K$2771,5,0)</f>
        <v>Contracts</v>
      </c>
      <c r="M1178" s="7" t="str">
        <f>VLOOKUP($G1178,Mapping!$E$140:$K$2771,7,0)</f>
        <v>OH</v>
      </c>
      <c r="N1178" s="7" t="str">
        <f>IFERROR(HLOOKUP(L1178,'Calc|Weightings'!$K$5:$M$5,1,0),"Excl")</f>
        <v>Contracts</v>
      </c>
      <c r="O1178" s="7" t="str">
        <f>VLOOKUP(E1178,Mapping!$E$11:$I$96,5,0)</f>
        <v>SCS</v>
      </c>
      <c r="Q1178" s="33">
        <v>150</v>
      </c>
      <c r="R1178" s="33" t="s">
        <v>2159</v>
      </c>
      <c r="S1178" s="33">
        <v>531469</v>
      </c>
      <c r="T1178" s="33" t="s">
        <v>261</v>
      </c>
      <c r="U1178" s="34">
        <v>201.66025999999999</v>
      </c>
      <c r="V1178" s="7"/>
      <c r="W1178" s="7" t="str">
        <f>VLOOKUP($Q1178,Mapping!$E$11:$I$96,3,0)</f>
        <v>Replacement</v>
      </c>
      <c r="X1178" s="7" t="str">
        <f>VLOOKUP($S1178,Mapping!$E$140:$K$2771,5,0)</f>
        <v>Labour</v>
      </c>
      <c r="Y1178" s="7" t="str">
        <f>VLOOKUP($S1178,Mapping!$E$140:$K$2771,7,0)</f>
        <v>ENDirect</v>
      </c>
      <c r="Z1178" s="7" t="str">
        <f>IFERROR(HLOOKUP(X1178,'Calc|Weightings'!$K$5:$M$5,1,0),"Excl")</f>
        <v>Labour</v>
      </c>
      <c r="AA1178" s="7" t="str">
        <f>VLOOKUP(Q1178,Mapping!$E$11:$I$96,5,0)</f>
        <v>SCS</v>
      </c>
      <c r="AC1178" s="111">
        <v>150</v>
      </c>
      <c r="AD1178" s="111" t="s">
        <v>2159</v>
      </c>
      <c r="AE1178" s="111">
        <v>613570</v>
      </c>
      <c r="AF1178" s="111" t="s">
        <v>1484</v>
      </c>
      <c r="AG1178" s="112">
        <v>4.2460800000000001</v>
      </c>
      <c r="AI1178" s="7" t="str">
        <f>VLOOKUP($AC1178,Mapping!$E$11:$I$96,3,0)</f>
        <v>Replacement</v>
      </c>
      <c r="AJ1178" s="7" t="str">
        <f>VLOOKUP($AE1178,Mapping!$E$140:$K$2771,5,0)</f>
        <v>Labour</v>
      </c>
      <c r="AK1178" s="7" t="str">
        <f>VLOOKUP($AE1178,Mapping!$E$140:$K$2771,7,0)</f>
        <v>ENDirect</v>
      </c>
      <c r="AL1178" s="7" t="str">
        <f>IFERROR(HLOOKUP(AJ1178,'Calc|Weightings'!$K$5:$M$5,1,0),"Excl")</f>
        <v>Labour</v>
      </c>
      <c r="AM1178" s="7" t="str">
        <f>VLOOKUP(AC1178,Mapping!$E$11:$I$96,5,0)</f>
        <v>SCS</v>
      </c>
      <c r="AO1178" s="134">
        <v>156</v>
      </c>
      <c r="AP1178" s="135" t="s">
        <v>2165</v>
      </c>
      <c r="AQ1178" s="135">
        <v>615395</v>
      </c>
      <c r="AR1178" s="135" t="s">
        <v>2196</v>
      </c>
      <c r="AS1178" s="136">
        <v>22.769500000000001</v>
      </c>
      <c r="AU1178" s="7" t="str">
        <f>VLOOKUP($AO1178,Mapping!$E$11:$I$96,3,0)</f>
        <v>Replacement</v>
      </c>
      <c r="AV1178" s="7" t="str">
        <f>VLOOKUP($AQ1178,Mapping!$E$140:$K$2771,5,0)</f>
        <v>Labour</v>
      </c>
      <c r="AW1178" s="7" t="str">
        <f>VLOOKUP($AQ1178,Mapping!$E$140:$K$2771,7,0)</f>
        <v>ENDirect</v>
      </c>
      <c r="AX1178" s="7" t="str">
        <f>IFERROR(HLOOKUP(AV1178,'Calc|Weightings'!$K$5:$M$5,1,0),"Excl")</f>
        <v>Labour</v>
      </c>
      <c r="AY1178" s="7" t="str">
        <f>VLOOKUP(AO1178,Mapping!$E$11:$I$96,5,0)</f>
        <v>SCS</v>
      </c>
    </row>
    <row r="1179" spans="1:51" x14ac:dyDescent="0.2">
      <c r="A1179" s="7"/>
      <c r="B1179" s="7"/>
      <c r="C1179" s="7"/>
      <c r="D1179" s="7"/>
      <c r="E1179" s="36">
        <v>144</v>
      </c>
      <c r="F1179" s="36" t="s">
        <v>2154</v>
      </c>
      <c r="G1179" s="36">
        <v>634001</v>
      </c>
      <c r="H1179" s="36" t="s">
        <v>2110</v>
      </c>
      <c r="I1179" s="37">
        <v>19.704329999999999</v>
      </c>
      <c r="J1179" s="7"/>
      <c r="K1179" s="7" t="str">
        <f>VLOOKUP($E1179,Mapping!$E$11:$I$96,3,0)</f>
        <v>Replacement</v>
      </c>
      <c r="L1179" s="7" t="str">
        <f>VLOOKUP($G1179,Mapping!$E$140:$K$2771,5,0)</f>
        <v>Local OH</v>
      </c>
      <c r="M1179" s="7" t="str">
        <f>VLOOKUP($G1179,Mapping!$E$140:$K$2771,7,0)</f>
        <v>OH</v>
      </c>
      <c r="N1179" s="7" t="str">
        <f>IFERROR(HLOOKUP(L1179,'Calc|Weightings'!$K$5:$M$5,1,0),"Excl")</f>
        <v>Excl</v>
      </c>
      <c r="O1179" s="7" t="str">
        <f>VLOOKUP(E1179,Mapping!$E$11:$I$96,5,0)</f>
        <v>SCS</v>
      </c>
      <c r="Q1179" s="33">
        <v>150</v>
      </c>
      <c r="R1179" s="33" t="s">
        <v>2159</v>
      </c>
      <c r="S1179" s="33">
        <v>591997</v>
      </c>
      <c r="T1179" s="33" t="s">
        <v>399</v>
      </c>
      <c r="U1179" s="34">
        <v>-0.74231999999999998</v>
      </c>
      <c r="V1179" s="7"/>
      <c r="W1179" s="7" t="str">
        <f>VLOOKUP($Q1179,Mapping!$E$11:$I$96,3,0)</f>
        <v>Replacement</v>
      </c>
      <c r="X1179" s="7" t="str">
        <f>VLOOKUP($S1179,Mapping!$E$140:$K$2771,5,0)</f>
        <v>Contracts</v>
      </c>
      <c r="Y1179" s="7" t="str">
        <f>VLOOKUP($S1179,Mapping!$E$140:$K$2771,7,0)</f>
        <v>ENDirect</v>
      </c>
      <c r="Z1179" s="7" t="str">
        <f>IFERROR(HLOOKUP(X1179,'Calc|Weightings'!$K$5:$M$5,1,0),"Excl")</f>
        <v>Contracts</v>
      </c>
      <c r="AA1179" s="7" t="str">
        <f>VLOOKUP(Q1179,Mapping!$E$11:$I$96,5,0)</f>
        <v>SCS</v>
      </c>
      <c r="AC1179" s="111">
        <v>150</v>
      </c>
      <c r="AD1179" s="111" t="s">
        <v>2159</v>
      </c>
      <c r="AE1179" s="111">
        <v>613571</v>
      </c>
      <c r="AF1179" s="111" t="s">
        <v>1485</v>
      </c>
      <c r="AG1179" s="112">
        <v>1.0680799999999999</v>
      </c>
      <c r="AI1179" s="7" t="str">
        <f>VLOOKUP($AC1179,Mapping!$E$11:$I$96,3,0)</f>
        <v>Replacement</v>
      </c>
      <c r="AJ1179" s="7" t="str">
        <f>VLOOKUP($AE1179,Mapping!$E$140:$K$2771,5,0)</f>
        <v>Labour</v>
      </c>
      <c r="AK1179" s="7" t="str">
        <f>VLOOKUP($AE1179,Mapping!$E$140:$K$2771,7,0)</f>
        <v>ENDirect</v>
      </c>
      <c r="AL1179" s="7" t="str">
        <f>IFERROR(HLOOKUP(AJ1179,'Calc|Weightings'!$K$5:$M$5,1,0),"Excl")</f>
        <v>Labour</v>
      </c>
      <c r="AM1179" s="7" t="str">
        <f>VLOOKUP(AC1179,Mapping!$E$11:$I$96,5,0)</f>
        <v>SCS</v>
      </c>
      <c r="AO1179" s="134">
        <v>156</v>
      </c>
      <c r="AP1179" s="135" t="s">
        <v>2165</v>
      </c>
      <c r="AQ1179" s="135">
        <v>634001</v>
      </c>
      <c r="AR1179" s="135" t="s">
        <v>2110</v>
      </c>
      <c r="AS1179" s="136">
        <v>147.03148999999999</v>
      </c>
      <c r="AU1179" s="7" t="str">
        <f>VLOOKUP($AO1179,Mapping!$E$11:$I$96,3,0)</f>
        <v>Replacement</v>
      </c>
      <c r="AV1179" s="7" t="str">
        <f>VLOOKUP($AQ1179,Mapping!$E$140:$K$2771,5,0)</f>
        <v>Local OH</v>
      </c>
      <c r="AW1179" s="7" t="str">
        <f>VLOOKUP($AQ1179,Mapping!$E$140:$K$2771,7,0)</f>
        <v>OH</v>
      </c>
      <c r="AX1179" s="7" t="str">
        <f>IFERROR(HLOOKUP(AV1179,'Calc|Weightings'!$K$5:$M$5,1,0),"Excl")</f>
        <v>Excl</v>
      </c>
      <c r="AY1179" s="7" t="str">
        <f>VLOOKUP(AO1179,Mapping!$E$11:$I$96,5,0)</f>
        <v>SCS</v>
      </c>
    </row>
    <row r="1180" spans="1:51" x14ac:dyDescent="0.2">
      <c r="A1180" s="7"/>
      <c r="B1180" s="7"/>
      <c r="C1180" s="7"/>
      <c r="D1180" s="7"/>
      <c r="E1180" s="36">
        <v>144</v>
      </c>
      <c r="F1180" s="36" t="s">
        <v>2154</v>
      </c>
      <c r="G1180" s="36">
        <v>635001</v>
      </c>
      <c r="H1180" s="36" t="s">
        <v>1929</v>
      </c>
      <c r="I1180" s="37">
        <v>6.7597899999999997</v>
      </c>
      <c r="J1180" s="7"/>
      <c r="K1180" s="7" t="str">
        <f>VLOOKUP($E1180,Mapping!$E$11:$I$96,3,0)</f>
        <v>Replacement</v>
      </c>
      <c r="L1180" s="7" t="str">
        <f>VLOOKUP($G1180,Mapping!$E$140:$K$2771,5,0)</f>
        <v>PNS MG</v>
      </c>
      <c r="M1180" s="7" t="str">
        <f>VLOOKUP($G1180,Mapping!$E$140:$K$2771,7,0)</f>
        <v>ENDirect</v>
      </c>
      <c r="N1180" s="7" t="str">
        <f>IFERROR(HLOOKUP(L1180,'Calc|Weightings'!$K$5:$M$5,1,0),"Excl")</f>
        <v>Excl</v>
      </c>
      <c r="O1180" s="7" t="str">
        <f>VLOOKUP(E1180,Mapping!$E$11:$I$96,5,0)</f>
        <v>SCS</v>
      </c>
      <c r="Q1180" s="33">
        <v>150</v>
      </c>
      <c r="R1180" s="33" t="s">
        <v>2159</v>
      </c>
      <c r="S1180" s="33">
        <v>591999</v>
      </c>
      <c r="T1180" s="33" t="s">
        <v>2078</v>
      </c>
      <c r="U1180" s="34">
        <v>-9.4516299999999998</v>
      </c>
      <c r="V1180" s="7"/>
      <c r="W1180" s="7" t="str">
        <f>VLOOKUP($Q1180,Mapping!$E$11:$I$96,3,0)</f>
        <v>Replacement</v>
      </c>
      <c r="X1180" s="7" t="str">
        <f>VLOOKUP($S1180,Mapping!$E$140:$K$2771,5,0)</f>
        <v>Contracts</v>
      </c>
      <c r="Y1180" s="7" t="str">
        <f>VLOOKUP($S1180,Mapping!$E$140:$K$2771,7,0)</f>
        <v>ENDirect</v>
      </c>
      <c r="Z1180" s="7" t="str">
        <f>IFERROR(HLOOKUP(X1180,'Calc|Weightings'!$K$5:$M$5,1,0),"Excl")</f>
        <v>Contracts</v>
      </c>
      <c r="AA1180" s="7" t="str">
        <f>VLOOKUP(Q1180,Mapping!$E$11:$I$96,5,0)</f>
        <v>SCS</v>
      </c>
      <c r="AC1180" s="111">
        <v>150</v>
      </c>
      <c r="AD1180" s="111" t="s">
        <v>2159</v>
      </c>
      <c r="AE1180" s="111">
        <v>613574</v>
      </c>
      <c r="AF1180" s="111" t="s">
        <v>1488</v>
      </c>
      <c r="AG1180" s="112">
        <v>63.037480000000002</v>
      </c>
      <c r="AI1180" s="7" t="str">
        <f>VLOOKUP($AC1180,Mapping!$E$11:$I$96,3,0)</f>
        <v>Replacement</v>
      </c>
      <c r="AJ1180" s="7" t="str">
        <f>VLOOKUP($AE1180,Mapping!$E$140:$K$2771,5,0)</f>
        <v>Labour</v>
      </c>
      <c r="AK1180" s="7" t="str">
        <f>VLOOKUP($AE1180,Mapping!$E$140:$K$2771,7,0)</f>
        <v>ENDirect</v>
      </c>
      <c r="AL1180" s="7" t="str">
        <f>IFERROR(HLOOKUP(AJ1180,'Calc|Weightings'!$K$5:$M$5,1,0),"Excl")</f>
        <v>Labour</v>
      </c>
      <c r="AM1180" s="7" t="str">
        <f>VLOOKUP(AC1180,Mapping!$E$11:$I$96,5,0)</f>
        <v>SCS</v>
      </c>
      <c r="AO1180" s="134">
        <v>156</v>
      </c>
      <c r="AP1180" s="135" t="s">
        <v>2165</v>
      </c>
      <c r="AQ1180" s="135">
        <v>635001</v>
      </c>
      <c r="AR1180" s="135" t="s">
        <v>1929</v>
      </c>
      <c r="AS1180" s="136">
        <v>105.26784000000001</v>
      </c>
      <c r="AU1180" s="7" t="str">
        <f>VLOOKUP($AO1180,Mapping!$E$11:$I$96,3,0)</f>
        <v>Replacement</v>
      </c>
      <c r="AV1180" s="7" t="str">
        <f>VLOOKUP($AQ1180,Mapping!$E$140:$K$2771,5,0)</f>
        <v>PNS MG</v>
      </c>
      <c r="AW1180" s="7" t="str">
        <f>VLOOKUP($AQ1180,Mapping!$E$140:$K$2771,7,0)</f>
        <v>ENDirect</v>
      </c>
      <c r="AX1180" s="7" t="str">
        <f>IFERROR(HLOOKUP(AV1180,'Calc|Weightings'!$K$5:$M$5,1,0),"Excl")</f>
        <v>Excl</v>
      </c>
      <c r="AY1180" s="7" t="str">
        <f>VLOOKUP(AO1180,Mapping!$E$11:$I$96,5,0)</f>
        <v>SCS</v>
      </c>
    </row>
    <row r="1181" spans="1:51" x14ac:dyDescent="0.2">
      <c r="A1181" s="7"/>
      <c r="B1181" s="7"/>
      <c r="C1181" s="7"/>
      <c r="D1181" s="7"/>
      <c r="E1181" s="36">
        <v>144</v>
      </c>
      <c r="F1181" s="36" t="s">
        <v>2154</v>
      </c>
      <c r="G1181" s="36">
        <v>636001</v>
      </c>
      <c r="H1181" s="36" t="s">
        <v>2111</v>
      </c>
      <c r="I1181" s="37">
        <v>5.8114999999999997</v>
      </c>
      <c r="J1181" s="7"/>
      <c r="K1181" s="7" t="str">
        <f>VLOOKUP($E1181,Mapping!$E$11:$I$96,3,0)</f>
        <v>Replacement</v>
      </c>
      <c r="L1181" s="7" t="str">
        <f>VLOOKUP($G1181,Mapping!$E$140:$K$2771,5,0)</f>
        <v>System Control OH</v>
      </c>
      <c r="M1181" s="7" t="str">
        <f>VLOOKUP($G1181,Mapping!$E$140:$K$2771,7,0)</f>
        <v>OH</v>
      </c>
      <c r="N1181" s="7" t="str">
        <f>IFERROR(HLOOKUP(L1181,'Calc|Weightings'!$K$5:$M$5,1,0),"Excl")</f>
        <v>Excl</v>
      </c>
      <c r="O1181" s="7" t="str">
        <f>VLOOKUP(E1181,Mapping!$E$11:$I$96,5,0)</f>
        <v>SCS</v>
      </c>
      <c r="Q1181" s="33">
        <v>150</v>
      </c>
      <c r="R1181" s="33" t="s">
        <v>2159</v>
      </c>
      <c r="S1181" s="33">
        <v>611900</v>
      </c>
      <c r="T1181" s="33" t="s">
        <v>2079</v>
      </c>
      <c r="U1181" s="34">
        <v>2.0400800000000001</v>
      </c>
      <c r="V1181" s="7"/>
      <c r="W1181" s="7" t="str">
        <f>VLOOKUP($Q1181,Mapping!$E$11:$I$96,3,0)</f>
        <v>Replacement</v>
      </c>
      <c r="X1181" s="7" t="str">
        <f>VLOOKUP($S1181,Mapping!$E$140:$K$2771,5,0)</f>
        <v>Contracts</v>
      </c>
      <c r="Y1181" s="7" t="str">
        <f>VLOOKUP($S1181,Mapping!$E$140:$K$2771,7,0)</f>
        <v>ENDirect</v>
      </c>
      <c r="Z1181" s="7" t="str">
        <f>IFERROR(HLOOKUP(X1181,'Calc|Weightings'!$K$5:$M$5,1,0),"Excl")</f>
        <v>Contracts</v>
      </c>
      <c r="AA1181" s="7" t="str">
        <f>VLOOKUP(Q1181,Mapping!$E$11:$I$96,5,0)</f>
        <v>SCS</v>
      </c>
      <c r="AC1181" s="111">
        <v>150</v>
      </c>
      <c r="AD1181" s="111" t="s">
        <v>2159</v>
      </c>
      <c r="AE1181" s="111">
        <v>613575</v>
      </c>
      <c r="AF1181" s="111" t="s">
        <v>1489</v>
      </c>
      <c r="AG1181" s="112">
        <v>2.4884200000000001</v>
      </c>
      <c r="AI1181" s="7" t="str">
        <f>VLOOKUP($AC1181,Mapping!$E$11:$I$96,3,0)</f>
        <v>Replacement</v>
      </c>
      <c r="AJ1181" s="7" t="str">
        <f>VLOOKUP($AE1181,Mapping!$E$140:$K$2771,5,0)</f>
        <v>Labour</v>
      </c>
      <c r="AK1181" s="7" t="str">
        <f>VLOOKUP($AE1181,Mapping!$E$140:$K$2771,7,0)</f>
        <v>ENDirect</v>
      </c>
      <c r="AL1181" s="7" t="str">
        <f>IFERROR(HLOOKUP(AJ1181,'Calc|Weightings'!$K$5:$M$5,1,0),"Excl")</f>
        <v>Labour</v>
      </c>
      <c r="AM1181" s="7" t="str">
        <f>VLOOKUP(AC1181,Mapping!$E$11:$I$96,5,0)</f>
        <v>SCS</v>
      </c>
      <c r="AO1181" s="134">
        <v>156</v>
      </c>
      <c r="AP1181" s="135" t="s">
        <v>2165</v>
      </c>
      <c r="AQ1181" s="135">
        <v>636001</v>
      </c>
      <c r="AR1181" s="135" t="s">
        <v>2111</v>
      </c>
      <c r="AS1181" s="136">
        <v>104.65194</v>
      </c>
      <c r="AU1181" s="7" t="str">
        <f>VLOOKUP($AO1181,Mapping!$E$11:$I$96,3,0)</f>
        <v>Replacement</v>
      </c>
      <c r="AV1181" s="7" t="str">
        <f>VLOOKUP($AQ1181,Mapping!$E$140:$K$2771,5,0)</f>
        <v>System Control OH</v>
      </c>
      <c r="AW1181" s="7" t="str">
        <f>VLOOKUP($AQ1181,Mapping!$E$140:$K$2771,7,0)</f>
        <v>OH</v>
      </c>
      <c r="AX1181" s="7" t="str">
        <f>IFERROR(HLOOKUP(AV1181,'Calc|Weightings'!$K$5:$M$5,1,0),"Excl")</f>
        <v>Excl</v>
      </c>
      <c r="AY1181" s="7" t="str">
        <f>VLOOKUP(AO1181,Mapping!$E$11:$I$96,5,0)</f>
        <v>SCS</v>
      </c>
    </row>
    <row r="1182" spans="1:51" x14ac:dyDescent="0.2">
      <c r="A1182" s="7"/>
      <c r="B1182" s="7"/>
      <c r="C1182" s="7"/>
      <c r="D1182" s="7"/>
      <c r="E1182" s="36">
        <v>144</v>
      </c>
      <c r="F1182" s="36" t="s">
        <v>2154</v>
      </c>
      <c r="G1182" s="36">
        <v>639000</v>
      </c>
      <c r="H1182" s="36" t="s">
        <v>2112</v>
      </c>
      <c r="I1182" s="37">
        <v>13.68417</v>
      </c>
      <c r="J1182" s="7"/>
      <c r="K1182" s="7" t="str">
        <f>VLOOKUP($E1182,Mapping!$E$11:$I$96,3,0)</f>
        <v>Replacement</v>
      </c>
      <c r="L1182" s="7" t="str">
        <f>VLOOKUP($G1182,Mapping!$E$140:$K$2771,5,0)</f>
        <v>PNS Corporate OH</v>
      </c>
      <c r="M1182" s="7" t="str">
        <f>VLOOKUP($G1182,Mapping!$E$140:$K$2771,7,0)</f>
        <v>OH</v>
      </c>
      <c r="N1182" s="7" t="str">
        <f>IFERROR(HLOOKUP(L1182,'Calc|Weightings'!$K$5:$M$5,1,0),"Excl")</f>
        <v>Excl</v>
      </c>
      <c r="O1182" s="7" t="str">
        <f>VLOOKUP(E1182,Mapping!$E$11:$I$96,5,0)</f>
        <v>SCS</v>
      </c>
      <c r="Q1182" s="33">
        <v>150</v>
      </c>
      <c r="R1182" s="33" t="s">
        <v>2159</v>
      </c>
      <c r="S1182" s="33">
        <v>611901</v>
      </c>
      <c r="T1182" s="33" t="s">
        <v>2080</v>
      </c>
      <c r="U1182" s="34">
        <v>1.59409</v>
      </c>
      <c r="V1182" s="7"/>
      <c r="W1182" s="7" t="str">
        <f>VLOOKUP($Q1182,Mapping!$E$11:$I$96,3,0)</f>
        <v>Replacement</v>
      </c>
      <c r="X1182" s="7" t="str">
        <f>VLOOKUP($S1182,Mapping!$E$140:$K$2771,5,0)</f>
        <v>Contracts</v>
      </c>
      <c r="Y1182" s="7" t="str">
        <f>VLOOKUP($S1182,Mapping!$E$140:$K$2771,7,0)</f>
        <v>ENDirect</v>
      </c>
      <c r="Z1182" s="7" t="str">
        <f>IFERROR(HLOOKUP(X1182,'Calc|Weightings'!$K$5:$M$5,1,0),"Excl")</f>
        <v>Contracts</v>
      </c>
      <c r="AA1182" s="7" t="str">
        <f>VLOOKUP(Q1182,Mapping!$E$11:$I$96,5,0)</f>
        <v>SCS</v>
      </c>
      <c r="AC1182" s="111">
        <v>150</v>
      </c>
      <c r="AD1182" s="111" t="s">
        <v>2159</v>
      </c>
      <c r="AE1182" s="111">
        <v>613577</v>
      </c>
      <c r="AF1182" s="111" t="s">
        <v>1491</v>
      </c>
      <c r="AG1182" s="112">
        <v>0.73780999999999997</v>
      </c>
      <c r="AI1182" s="7" t="str">
        <f>VLOOKUP($AC1182,Mapping!$E$11:$I$96,3,0)</f>
        <v>Replacement</v>
      </c>
      <c r="AJ1182" s="7" t="str">
        <f>VLOOKUP($AE1182,Mapping!$E$140:$K$2771,5,0)</f>
        <v>Labour</v>
      </c>
      <c r="AK1182" s="7" t="str">
        <f>VLOOKUP($AE1182,Mapping!$E$140:$K$2771,7,0)</f>
        <v>ENDirect</v>
      </c>
      <c r="AL1182" s="7" t="str">
        <f>IFERROR(HLOOKUP(AJ1182,'Calc|Weightings'!$K$5:$M$5,1,0),"Excl")</f>
        <v>Labour</v>
      </c>
      <c r="AM1182" s="7" t="str">
        <f>VLOOKUP(AC1182,Mapping!$E$11:$I$96,5,0)</f>
        <v>SCS</v>
      </c>
      <c r="AO1182" s="134">
        <v>156</v>
      </c>
      <c r="AP1182" s="135" t="s">
        <v>2165</v>
      </c>
      <c r="AQ1182" s="135">
        <v>639000</v>
      </c>
      <c r="AR1182" s="135" t="s">
        <v>2112</v>
      </c>
      <c r="AS1182" s="136">
        <v>93.592579999999998</v>
      </c>
      <c r="AU1182" s="7" t="str">
        <f>VLOOKUP($AO1182,Mapping!$E$11:$I$96,3,0)</f>
        <v>Replacement</v>
      </c>
      <c r="AV1182" s="7" t="str">
        <f>VLOOKUP($AQ1182,Mapping!$E$140:$K$2771,5,0)</f>
        <v>PNS Corporate OH</v>
      </c>
      <c r="AW1182" s="7" t="str">
        <f>VLOOKUP($AQ1182,Mapping!$E$140:$K$2771,7,0)</f>
        <v>OH</v>
      </c>
      <c r="AX1182" s="7" t="str">
        <f>IFERROR(HLOOKUP(AV1182,'Calc|Weightings'!$K$5:$M$5,1,0),"Excl")</f>
        <v>Excl</v>
      </c>
      <c r="AY1182" s="7" t="str">
        <f>VLOOKUP(AO1182,Mapping!$E$11:$I$96,5,0)</f>
        <v>SCS</v>
      </c>
    </row>
    <row r="1183" spans="1:51" x14ac:dyDescent="0.2">
      <c r="A1183" s="7"/>
      <c r="B1183" s="7"/>
      <c r="C1183" s="7"/>
      <c r="D1183" s="7"/>
      <c r="E1183" s="36">
        <v>144</v>
      </c>
      <c r="F1183" s="36" t="s">
        <v>2154</v>
      </c>
      <c r="G1183" s="36">
        <v>639050</v>
      </c>
      <c r="H1183" s="36" t="s">
        <v>2113</v>
      </c>
      <c r="I1183" s="37">
        <v>0.90288000000000002</v>
      </c>
      <c r="J1183" s="7"/>
      <c r="K1183" s="7" t="str">
        <f>VLOOKUP($E1183,Mapping!$E$11:$I$96,3,0)</f>
        <v>Replacement</v>
      </c>
      <c r="L1183" s="7" t="str">
        <f>VLOOKUP($G1183,Mapping!$E$140:$K$2771,5,0)</f>
        <v>PNS Fleet &amp; Property OH</v>
      </c>
      <c r="M1183" s="7" t="str">
        <f>VLOOKUP($G1183,Mapping!$E$140:$K$2771,7,0)</f>
        <v>OH</v>
      </c>
      <c r="N1183" s="7" t="str">
        <f>IFERROR(HLOOKUP(L1183,'Calc|Weightings'!$K$5:$M$5,1,0),"Excl")</f>
        <v>Excl</v>
      </c>
      <c r="O1183" s="7" t="str">
        <f>VLOOKUP(E1183,Mapping!$E$11:$I$96,5,0)</f>
        <v>SCS</v>
      </c>
      <c r="Q1183" s="33">
        <v>150</v>
      </c>
      <c r="R1183" s="33" t="s">
        <v>2159</v>
      </c>
      <c r="S1183" s="33">
        <v>611902</v>
      </c>
      <c r="T1183" s="33" t="s">
        <v>2081</v>
      </c>
      <c r="U1183" s="34">
        <v>0.25081999999999999</v>
      </c>
      <c r="V1183" s="7"/>
      <c r="W1183" s="7" t="str">
        <f>VLOOKUP($Q1183,Mapping!$E$11:$I$96,3,0)</f>
        <v>Replacement</v>
      </c>
      <c r="X1183" s="7" t="str">
        <f>VLOOKUP($S1183,Mapping!$E$140:$K$2771,5,0)</f>
        <v>Contracts</v>
      </c>
      <c r="Y1183" s="7" t="str">
        <f>VLOOKUP($S1183,Mapping!$E$140:$K$2771,7,0)</f>
        <v>ENDirect</v>
      </c>
      <c r="Z1183" s="7" t="str">
        <f>IFERROR(HLOOKUP(X1183,'Calc|Weightings'!$K$5:$M$5,1,0),"Excl")</f>
        <v>Contracts</v>
      </c>
      <c r="AA1183" s="7" t="str">
        <f>VLOOKUP(Q1183,Mapping!$E$11:$I$96,5,0)</f>
        <v>SCS</v>
      </c>
      <c r="AC1183" s="111">
        <v>150</v>
      </c>
      <c r="AD1183" s="111" t="s">
        <v>2159</v>
      </c>
      <c r="AE1183" s="111">
        <v>613630</v>
      </c>
      <c r="AF1183" s="111" t="s">
        <v>1498</v>
      </c>
      <c r="AG1183" s="112">
        <v>15.197520000000001</v>
      </c>
      <c r="AI1183" s="7" t="str">
        <f>VLOOKUP($AC1183,Mapping!$E$11:$I$96,3,0)</f>
        <v>Replacement</v>
      </c>
      <c r="AJ1183" s="7" t="str">
        <f>VLOOKUP($AE1183,Mapping!$E$140:$K$2771,5,0)</f>
        <v>Labour</v>
      </c>
      <c r="AK1183" s="7" t="str">
        <f>VLOOKUP($AE1183,Mapping!$E$140:$K$2771,7,0)</f>
        <v>ENDirect</v>
      </c>
      <c r="AL1183" s="7" t="str">
        <f>IFERROR(HLOOKUP(AJ1183,'Calc|Weightings'!$K$5:$M$5,1,0),"Excl")</f>
        <v>Labour</v>
      </c>
      <c r="AM1183" s="7" t="str">
        <f>VLOOKUP(AC1183,Mapping!$E$11:$I$96,5,0)</f>
        <v>SCS</v>
      </c>
      <c r="AO1183" s="134">
        <v>156</v>
      </c>
      <c r="AP1183" s="135" t="s">
        <v>2165</v>
      </c>
      <c r="AQ1183" s="135">
        <v>639050</v>
      </c>
      <c r="AR1183" s="135" t="s">
        <v>2113</v>
      </c>
      <c r="AS1183" s="136">
        <v>24.310919999999999</v>
      </c>
      <c r="AU1183" s="7" t="str">
        <f>VLOOKUP($AO1183,Mapping!$E$11:$I$96,3,0)</f>
        <v>Replacement</v>
      </c>
      <c r="AV1183" s="7" t="str">
        <f>VLOOKUP($AQ1183,Mapping!$E$140:$K$2771,5,0)</f>
        <v>PNS Fleet &amp; Property OH</v>
      </c>
      <c r="AW1183" s="7" t="str">
        <f>VLOOKUP($AQ1183,Mapping!$E$140:$K$2771,7,0)</f>
        <v>OH</v>
      </c>
      <c r="AX1183" s="7" t="str">
        <f>IFERROR(HLOOKUP(AV1183,'Calc|Weightings'!$K$5:$M$5,1,0),"Excl")</f>
        <v>Excl</v>
      </c>
      <c r="AY1183" s="7" t="str">
        <f>VLOOKUP(AO1183,Mapping!$E$11:$I$96,5,0)</f>
        <v>SCS</v>
      </c>
    </row>
    <row r="1184" spans="1:51" x14ac:dyDescent="0.2">
      <c r="A1184" s="7"/>
      <c r="B1184" s="7"/>
      <c r="C1184" s="7"/>
      <c r="D1184" s="7"/>
      <c r="E1184" s="36">
        <v>145</v>
      </c>
      <c r="F1184" s="36" t="s">
        <v>2155</v>
      </c>
      <c r="G1184" s="36">
        <v>520100</v>
      </c>
      <c r="H1184" s="36" t="s">
        <v>2072</v>
      </c>
      <c r="I1184" s="37">
        <v>15.91194</v>
      </c>
      <c r="J1184" s="7"/>
      <c r="K1184" s="7" t="str">
        <f>VLOOKUP($E1184,Mapping!$E$11:$I$96,3,0)</f>
        <v>Replacement</v>
      </c>
      <c r="L1184" s="7" t="str">
        <f>VLOOKUP($G1184,Mapping!$E$140:$K$2771,5,0)</f>
        <v>Materials</v>
      </c>
      <c r="M1184" s="7" t="str">
        <f>VLOOKUP($G1184,Mapping!$E$140:$K$2771,7,0)</f>
        <v>ENDirect</v>
      </c>
      <c r="N1184" s="7" t="str">
        <f>IFERROR(HLOOKUP(L1184,'Calc|Weightings'!$K$5:$M$5,1,0),"Excl")</f>
        <v>Materials</v>
      </c>
      <c r="O1184" s="7" t="str">
        <f>VLOOKUP(E1184,Mapping!$E$11:$I$96,5,0)</f>
        <v>SCS</v>
      </c>
      <c r="Q1184" s="33">
        <v>150</v>
      </c>
      <c r="R1184" s="33" t="s">
        <v>2159</v>
      </c>
      <c r="S1184" s="33">
        <v>612210</v>
      </c>
      <c r="T1184" s="33" t="s">
        <v>1184</v>
      </c>
      <c r="U1184" s="34">
        <v>4.0481100000000003</v>
      </c>
      <c r="V1184" s="7"/>
      <c r="W1184" s="7" t="str">
        <f>VLOOKUP($Q1184,Mapping!$E$11:$I$96,3,0)</f>
        <v>Replacement</v>
      </c>
      <c r="X1184" s="7" t="str">
        <f>VLOOKUP($S1184,Mapping!$E$140:$K$2771,5,0)</f>
        <v>Labour</v>
      </c>
      <c r="Y1184" s="7" t="str">
        <f>VLOOKUP($S1184,Mapping!$E$140:$K$2771,7,0)</f>
        <v>ENDirect</v>
      </c>
      <c r="Z1184" s="7" t="str">
        <f>IFERROR(HLOOKUP(X1184,'Calc|Weightings'!$K$5:$M$5,1,0),"Excl")</f>
        <v>Labour</v>
      </c>
      <c r="AA1184" s="7" t="str">
        <f>VLOOKUP(Q1184,Mapping!$E$11:$I$96,5,0)</f>
        <v>SCS</v>
      </c>
      <c r="AC1184" s="111">
        <v>150</v>
      </c>
      <c r="AD1184" s="111" t="s">
        <v>2159</v>
      </c>
      <c r="AE1184" s="111">
        <v>613640</v>
      </c>
      <c r="AF1184" s="111" t="s">
        <v>2201</v>
      </c>
      <c r="AG1184" s="112">
        <v>4.6985900000000003</v>
      </c>
      <c r="AI1184" s="7" t="str">
        <f>VLOOKUP($AC1184,Mapping!$E$11:$I$96,3,0)</f>
        <v>Replacement</v>
      </c>
      <c r="AJ1184" s="7" t="str">
        <f>VLOOKUP($AE1184,Mapping!$E$140:$K$2771,5,0)</f>
        <v>Labour</v>
      </c>
      <c r="AK1184" s="7" t="str">
        <f>VLOOKUP($AE1184,Mapping!$E$140:$K$2771,7,0)</f>
        <v>ENDirect</v>
      </c>
      <c r="AL1184" s="7" t="str">
        <f>IFERROR(HLOOKUP(AJ1184,'Calc|Weightings'!$K$5:$M$5,1,0),"Excl")</f>
        <v>Labour</v>
      </c>
      <c r="AM1184" s="7" t="str">
        <f>VLOOKUP(AC1184,Mapping!$E$11:$I$96,5,0)</f>
        <v>SCS</v>
      </c>
      <c r="AO1184" s="134">
        <v>157</v>
      </c>
      <c r="AP1184" s="135" t="s">
        <v>2166</v>
      </c>
      <c r="AQ1184" s="135">
        <v>503330</v>
      </c>
      <c r="AR1184" s="135" t="s">
        <v>180</v>
      </c>
      <c r="AS1184" s="136">
        <v>0.89315999999999995</v>
      </c>
      <c r="AU1184" s="7" t="str">
        <f>VLOOKUP($AO1184,Mapping!$E$11:$I$96,3,0)</f>
        <v>Replacement</v>
      </c>
      <c r="AV1184" s="7" t="str">
        <f>VLOOKUP($AQ1184,Mapping!$E$140:$K$2771,5,0)</f>
        <v>Contracts</v>
      </c>
      <c r="AW1184" s="7" t="str">
        <f>VLOOKUP($AQ1184,Mapping!$E$140:$K$2771,7,0)</f>
        <v>ENDirect</v>
      </c>
      <c r="AX1184" s="7" t="str">
        <f>IFERROR(HLOOKUP(AV1184,'Calc|Weightings'!$K$5:$M$5,1,0),"Excl")</f>
        <v>Contracts</v>
      </c>
      <c r="AY1184" s="7" t="str">
        <f>VLOOKUP(AO1184,Mapping!$E$11:$I$96,5,0)</f>
        <v>SCS</v>
      </c>
    </row>
    <row r="1185" spans="1:51" x14ac:dyDescent="0.2">
      <c r="A1185" s="7"/>
      <c r="B1185" s="7"/>
      <c r="C1185" s="7"/>
      <c r="D1185" s="7"/>
      <c r="E1185" s="36">
        <v>145</v>
      </c>
      <c r="F1185" s="36" t="s">
        <v>2155</v>
      </c>
      <c r="G1185" s="36">
        <v>523100</v>
      </c>
      <c r="H1185" s="36" t="s">
        <v>2074</v>
      </c>
      <c r="I1185" s="37">
        <v>0.20357</v>
      </c>
      <c r="J1185" s="7"/>
      <c r="K1185" s="7" t="str">
        <f>VLOOKUP($E1185,Mapping!$E$11:$I$96,3,0)</f>
        <v>Replacement</v>
      </c>
      <c r="L1185" s="7" t="str">
        <f>VLOOKUP($G1185,Mapping!$E$140:$K$2771,5,0)</f>
        <v>Materials</v>
      </c>
      <c r="M1185" s="7" t="str">
        <f>VLOOKUP($G1185,Mapping!$E$140:$K$2771,7,0)</f>
        <v>ENDirect</v>
      </c>
      <c r="N1185" s="7" t="str">
        <f>IFERROR(HLOOKUP(L1185,'Calc|Weightings'!$K$5:$M$5,1,0),"Excl")</f>
        <v>Materials</v>
      </c>
      <c r="O1185" s="7" t="str">
        <f>VLOOKUP(E1185,Mapping!$E$11:$I$96,5,0)</f>
        <v>SCS</v>
      </c>
      <c r="Q1185" s="33">
        <v>150</v>
      </c>
      <c r="R1185" s="33" t="s">
        <v>2159</v>
      </c>
      <c r="S1185" s="33">
        <v>613240</v>
      </c>
      <c r="T1185" s="33" t="s">
        <v>2082</v>
      </c>
      <c r="U1185" s="34">
        <v>7.2014899999999997</v>
      </c>
      <c r="V1185" s="7"/>
      <c r="W1185" s="7" t="str">
        <f>VLOOKUP($Q1185,Mapping!$E$11:$I$96,3,0)</f>
        <v>Replacement</v>
      </c>
      <c r="X1185" s="7" t="str">
        <f>VLOOKUP($S1185,Mapping!$E$140:$K$2771,5,0)</f>
        <v>Labour</v>
      </c>
      <c r="Y1185" s="7" t="str">
        <f>VLOOKUP($S1185,Mapping!$E$140:$K$2771,7,0)</f>
        <v>ENDirect</v>
      </c>
      <c r="Z1185" s="7" t="str">
        <f>IFERROR(HLOOKUP(X1185,'Calc|Weightings'!$K$5:$M$5,1,0),"Excl")</f>
        <v>Labour</v>
      </c>
      <c r="AA1185" s="7" t="str">
        <f>VLOOKUP(Q1185,Mapping!$E$11:$I$96,5,0)</f>
        <v>SCS</v>
      </c>
      <c r="AC1185" s="111">
        <v>150</v>
      </c>
      <c r="AD1185" s="111" t="s">
        <v>2159</v>
      </c>
      <c r="AE1185" s="111">
        <v>613680</v>
      </c>
      <c r="AF1185" s="111" t="s">
        <v>2107</v>
      </c>
      <c r="AG1185" s="112">
        <v>16.170960000000001</v>
      </c>
      <c r="AI1185" s="7" t="str">
        <f>VLOOKUP($AC1185,Mapping!$E$11:$I$96,3,0)</f>
        <v>Replacement</v>
      </c>
      <c r="AJ1185" s="7" t="str">
        <f>VLOOKUP($AE1185,Mapping!$E$140:$K$2771,5,0)</f>
        <v>Labour</v>
      </c>
      <c r="AK1185" s="7" t="str">
        <f>VLOOKUP($AE1185,Mapping!$E$140:$K$2771,7,0)</f>
        <v>ENDirect</v>
      </c>
      <c r="AL1185" s="7" t="str">
        <f>IFERROR(HLOOKUP(AJ1185,'Calc|Weightings'!$K$5:$M$5,1,0),"Excl")</f>
        <v>Labour</v>
      </c>
      <c r="AM1185" s="7" t="str">
        <f>VLOOKUP(AC1185,Mapping!$E$11:$I$96,5,0)</f>
        <v>SCS</v>
      </c>
      <c r="AO1185" s="134">
        <v>157</v>
      </c>
      <c r="AP1185" s="135" t="s">
        <v>2166</v>
      </c>
      <c r="AQ1185" s="135">
        <v>520100</v>
      </c>
      <c r="AR1185" s="135" t="s">
        <v>2072</v>
      </c>
      <c r="AS1185" s="136">
        <v>8.3966700000000003</v>
      </c>
      <c r="AU1185" s="7" t="str">
        <f>VLOOKUP($AO1185,Mapping!$E$11:$I$96,3,0)</f>
        <v>Replacement</v>
      </c>
      <c r="AV1185" s="7" t="str">
        <f>VLOOKUP($AQ1185,Mapping!$E$140:$K$2771,5,0)</f>
        <v>Materials</v>
      </c>
      <c r="AW1185" s="7" t="str">
        <f>VLOOKUP($AQ1185,Mapping!$E$140:$K$2771,7,0)</f>
        <v>ENDirect</v>
      </c>
      <c r="AX1185" s="7" t="str">
        <f>IFERROR(HLOOKUP(AV1185,'Calc|Weightings'!$K$5:$M$5,1,0),"Excl")</f>
        <v>Materials</v>
      </c>
      <c r="AY1185" s="7" t="str">
        <f>VLOOKUP(AO1185,Mapping!$E$11:$I$96,5,0)</f>
        <v>SCS</v>
      </c>
    </row>
    <row r="1186" spans="1:51" x14ac:dyDescent="0.2">
      <c r="A1186" s="7"/>
      <c r="B1186" s="7"/>
      <c r="C1186" s="7"/>
      <c r="D1186" s="7"/>
      <c r="E1186" s="36">
        <v>145</v>
      </c>
      <c r="F1186" s="36" t="s">
        <v>2155</v>
      </c>
      <c r="G1186" s="36">
        <v>523300</v>
      </c>
      <c r="H1186" s="36" t="s">
        <v>2075</v>
      </c>
      <c r="I1186" s="37">
        <v>2.1000000000000001E-4</v>
      </c>
      <c r="J1186" s="7"/>
      <c r="K1186" s="7" t="str">
        <f>VLOOKUP($E1186,Mapping!$E$11:$I$96,3,0)</f>
        <v>Replacement</v>
      </c>
      <c r="L1186" s="7" t="str">
        <f>VLOOKUP($G1186,Mapping!$E$140:$K$2771,5,0)</f>
        <v>Materials</v>
      </c>
      <c r="M1186" s="7" t="str">
        <f>VLOOKUP($G1186,Mapping!$E$140:$K$2771,7,0)</f>
        <v>ENDirect</v>
      </c>
      <c r="N1186" s="7" t="str">
        <f>IFERROR(HLOOKUP(L1186,'Calc|Weightings'!$K$5:$M$5,1,0),"Excl")</f>
        <v>Materials</v>
      </c>
      <c r="O1186" s="7" t="str">
        <f>VLOOKUP(E1186,Mapping!$E$11:$I$96,5,0)</f>
        <v>SCS</v>
      </c>
      <c r="Q1186" s="33">
        <v>150</v>
      </c>
      <c r="R1186" s="33" t="s">
        <v>2159</v>
      </c>
      <c r="S1186" s="33">
        <v>613241</v>
      </c>
      <c r="T1186" s="33" t="s">
        <v>2083</v>
      </c>
      <c r="U1186" s="34">
        <v>0.61651999999999996</v>
      </c>
      <c r="V1186" s="7"/>
      <c r="W1186" s="7" t="str">
        <f>VLOOKUP($Q1186,Mapping!$E$11:$I$96,3,0)</f>
        <v>Replacement</v>
      </c>
      <c r="X1186" s="7" t="str">
        <f>VLOOKUP($S1186,Mapping!$E$140:$K$2771,5,0)</f>
        <v>Labour</v>
      </c>
      <c r="Y1186" s="7" t="str">
        <f>VLOOKUP($S1186,Mapping!$E$140:$K$2771,7,0)</f>
        <v>ENDirect</v>
      </c>
      <c r="Z1186" s="7" t="str">
        <f>IFERROR(HLOOKUP(X1186,'Calc|Weightings'!$K$5:$M$5,1,0),"Excl")</f>
        <v>Labour</v>
      </c>
      <c r="AA1186" s="7" t="str">
        <f>VLOOKUP(Q1186,Mapping!$E$11:$I$96,5,0)</f>
        <v>SCS</v>
      </c>
      <c r="AC1186" s="111">
        <v>150</v>
      </c>
      <c r="AD1186" s="111" t="s">
        <v>2159</v>
      </c>
      <c r="AE1186" s="111">
        <v>634001</v>
      </c>
      <c r="AF1186" s="111" t="s">
        <v>2110</v>
      </c>
      <c r="AG1186" s="112">
        <v>103.03856</v>
      </c>
      <c r="AI1186" s="7" t="str">
        <f>VLOOKUP($AC1186,Mapping!$E$11:$I$96,3,0)</f>
        <v>Replacement</v>
      </c>
      <c r="AJ1186" s="7" t="str">
        <f>VLOOKUP($AE1186,Mapping!$E$140:$K$2771,5,0)</f>
        <v>Local OH</v>
      </c>
      <c r="AK1186" s="7" t="str">
        <f>VLOOKUP($AE1186,Mapping!$E$140:$K$2771,7,0)</f>
        <v>OH</v>
      </c>
      <c r="AL1186" s="7" t="str">
        <f>IFERROR(HLOOKUP(AJ1186,'Calc|Weightings'!$K$5:$M$5,1,0),"Excl")</f>
        <v>Excl</v>
      </c>
      <c r="AM1186" s="7" t="str">
        <f>VLOOKUP(AC1186,Mapping!$E$11:$I$96,5,0)</f>
        <v>SCS</v>
      </c>
      <c r="AO1186" s="134">
        <v>157</v>
      </c>
      <c r="AP1186" s="135" t="s">
        <v>2166</v>
      </c>
      <c r="AQ1186" s="135">
        <v>520200</v>
      </c>
      <c r="AR1186" s="135" t="s">
        <v>2073</v>
      </c>
      <c r="AS1186" s="136">
        <v>-0.67200000000000004</v>
      </c>
      <c r="AU1186" s="7" t="str">
        <f>VLOOKUP($AO1186,Mapping!$E$11:$I$96,3,0)</f>
        <v>Replacement</v>
      </c>
      <c r="AV1186" s="7" t="str">
        <f>VLOOKUP($AQ1186,Mapping!$E$140:$K$2771,5,0)</f>
        <v>Materials</v>
      </c>
      <c r="AW1186" s="7" t="str">
        <f>VLOOKUP($AQ1186,Mapping!$E$140:$K$2771,7,0)</f>
        <v>ENDirect</v>
      </c>
      <c r="AX1186" s="7" t="str">
        <f>IFERROR(HLOOKUP(AV1186,'Calc|Weightings'!$K$5:$M$5,1,0),"Excl")</f>
        <v>Materials</v>
      </c>
      <c r="AY1186" s="7" t="str">
        <f>VLOOKUP(AO1186,Mapping!$E$11:$I$96,5,0)</f>
        <v>SCS</v>
      </c>
    </row>
    <row r="1187" spans="1:51" x14ac:dyDescent="0.2">
      <c r="A1187" s="7"/>
      <c r="B1187" s="7"/>
      <c r="C1187" s="7"/>
      <c r="D1187" s="7"/>
      <c r="E1187" s="36">
        <v>145</v>
      </c>
      <c r="F1187" s="36" t="s">
        <v>2155</v>
      </c>
      <c r="G1187" s="36">
        <v>531020</v>
      </c>
      <c r="H1187" s="36" t="s">
        <v>219</v>
      </c>
      <c r="I1187" s="37">
        <v>-1.1248</v>
      </c>
      <c r="J1187" s="7"/>
      <c r="K1187" s="7" t="str">
        <f>VLOOKUP($E1187,Mapping!$E$11:$I$96,3,0)</f>
        <v>Replacement</v>
      </c>
      <c r="L1187" s="7" t="str">
        <f>VLOOKUP($G1187,Mapping!$E$140:$K$2771,5,0)</f>
        <v>Labour</v>
      </c>
      <c r="M1187" s="7" t="str">
        <f>VLOOKUP($G1187,Mapping!$E$140:$K$2771,7,0)</f>
        <v>ENDirect</v>
      </c>
      <c r="N1187" s="7" t="str">
        <f>IFERROR(HLOOKUP(L1187,'Calc|Weightings'!$K$5:$M$5,1,0),"Excl")</f>
        <v>Labour</v>
      </c>
      <c r="O1187" s="7" t="str">
        <f>VLOOKUP(E1187,Mapping!$E$11:$I$96,5,0)</f>
        <v>SCS</v>
      </c>
      <c r="Q1187" s="33">
        <v>150</v>
      </c>
      <c r="R1187" s="33" t="s">
        <v>2159</v>
      </c>
      <c r="S1187" s="33">
        <v>613250</v>
      </c>
      <c r="T1187" s="33" t="s">
        <v>2086</v>
      </c>
      <c r="U1187" s="34">
        <v>22.61918</v>
      </c>
      <c r="V1187" s="7"/>
      <c r="W1187" s="7" t="str">
        <f>VLOOKUP($Q1187,Mapping!$E$11:$I$96,3,0)</f>
        <v>Replacement</v>
      </c>
      <c r="X1187" s="7" t="str">
        <f>VLOOKUP($S1187,Mapping!$E$140:$K$2771,5,0)</f>
        <v>Labour</v>
      </c>
      <c r="Y1187" s="7" t="str">
        <f>VLOOKUP($S1187,Mapping!$E$140:$K$2771,7,0)</f>
        <v>ENDirect</v>
      </c>
      <c r="Z1187" s="7" t="str">
        <f>IFERROR(HLOOKUP(X1187,'Calc|Weightings'!$K$5:$M$5,1,0),"Excl")</f>
        <v>Labour</v>
      </c>
      <c r="AA1187" s="7" t="str">
        <f>VLOOKUP(Q1187,Mapping!$E$11:$I$96,5,0)</f>
        <v>SCS</v>
      </c>
      <c r="AC1187" s="111">
        <v>150</v>
      </c>
      <c r="AD1187" s="111" t="s">
        <v>2159</v>
      </c>
      <c r="AE1187" s="111">
        <v>635001</v>
      </c>
      <c r="AF1187" s="111" t="s">
        <v>1929</v>
      </c>
      <c r="AG1187" s="112">
        <v>65.93486</v>
      </c>
      <c r="AI1187" s="7" t="str">
        <f>VLOOKUP($AC1187,Mapping!$E$11:$I$96,3,0)</f>
        <v>Replacement</v>
      </c>
      <c r="AJ1187" s="7" t="str">
        <f>VLOOKUP($AE1187,Mapping!$E$140:$K$2771,5,0)</f>
        <v>PNS MG</v>
      </c>
      <c r="AK1187" s="7" t="str">
        <f>VLOOKUP($AE1187,Mapping!$E$140:$K$2771,7,0)</f>
        <v>ENDirect</v>
      </c>
      <c r="AL1187" s="7" t="str">
        <f>IFERROR(HLOOKUP(AJ1187,'Calc|Weightings'!$K$5:$M$5,1,0),"Excl")</f>
        <v>Excl</v>
      </c>
      <c r="AM1187" s="7" t="str">
        <f>VLOOKUP(AC1187,Mapping!$E$11:$I$96,5,0)</f>
        <v>SCS</v>
      </c>
      <c r="AO1187" s="134">
        <v>157</v>
      </c>
      <c r="AP1187" s="135" t="s">
        <v>2166</v>
      </c>
      <c r="AQ1187" s="135">
        <v>522300</v>
      </c>
      <c r="AR1187" s="135" t="s">
        <v>2191</v>
      </c>
      <c r="AS1187" s="136">
        <v>47.48</v>
      </c>
      <c r="AU1187" s="7" t="str">
        <f>VLOOKUP($AO1187,Mapping!$E$11:$I$96,3,0)</f>
        <v>Replacement</v>
      </c>
      <c r="AV1187" s="7" t="str">
        <f>VLOOKUP($AQ1187,Mapping!$E$140:$K$2771,5,0)</f>
        <v>Materials</v>
      </c>
      <c r="AW1187" s="7" t="str">
        <f>VLOOKUP($AQ1187,Mapping!$E$140:$K$2771,7,0)</f>
        <v>ENDirect</v>
      </c>
      <c r="AX1187" s="7" t="str">
        <f>IFERROR(HLOOKUP(AV1187,'Calc|Weightings'!$K$5:$M$5,1,0),"Excl")</f>
        <v>Materials</v>
      </c>
      <c r="AY1187" s="7" t="str">
        <f>VLOOKUP(AO1187,Mapping!$E$11:$I$96,5,0)</f>
        <v>SCS</v>
      </c>
    </row>
    <row r="1188" spans="1:51" x14ac:dyDescent="0.2">
      <c r="A1188" s="7"/>
      <c r="B1188" s="7"/>
      <c r="C1188" s="7"/>
      <c r="D1188" s="7"/>
      <c r="E1188" s="36">
        <v>145</v>
      </c>
      <c r="F1188" s="36" t="s">
        <v>2155</v>
      </c>
      <c r="G1188" s="36">
        <v>531035</v>
      </c>
      <c r="H1188" s="36" t="s">
        <v>244</v>
      </c>
      <c r="I1188" s="37">
        <v>1.41629</v>
      </c>
      <c r="J1188" s="7"/>
      <c r="K1188" s="7" t="str">
        <f>VLOOKUP($E1188,Mapping!$E$11:$I$96,3,0)</f>
        <v>Replacement</v>
      </c>
      <c r="L1188" s="7" t="str">
        <f>VLOOKUP($G1188,Mapping!$E$140:$K$2771,5,0)</f>
        <v>Labour</v>
      </c>
      <c r="M1188" s="7" t="str">
        <f>VLOOKUP($G1188,Mapping!$E$140:$K$2771,7,0)</f>
        <v>ENDirect</v>
      </c>
      <c r="N1188" s="7" t="str">
        <f>IFERROR(HLOOKUP(L1188,'Calc|Weightings'!$K$5:$M$5,1,0),"Excl")</f>
        <v>Labour</v>
      </c>
      <c r="O1188" s="7" t="str">
        <f>VLOOKUP(E1188,Mapping!$E$11:$I$96,5,0)</f>
        <v>SCS</v>
      </c>
      <c r="Q1188" s="33">
        <v>150</v>
      </c>
      <c r="R1188" s="33" t="s">
        <v>2159</v>
      </c>
      <c r="S1188" s="33">
        <v>613251</v>
      </c>
      <c r="T1188" s="33" t="s">
        <v>2087</v>
      </c>
      <c r="U1188" s="34">
        <v>0.64071999999999996</v>
      </c>
      <c r="V1188" s="7"/>
      <c r="W1188" s="7" t="str">
        <f>VLOOKUP($Q1188,Mapping!$E$11:$I$96,3,0)</f>
        <v>Replacement</v>
      </c>
      <c r="X1188" s="7" t="str">
        <f>VLOOKUP($S1188,Mapping!$E$140:$K$2771,5,0)</f>
        <v>Labour</v>
      </c>
      <c r="Y1188" s="7" t="str">
        <f>VLOOKUP($S1188,Mapping!$E$140:$K$2771,7,0)</f>
        <v>ENDirect</v>
      </c>
      <c r="Z1188" s="7" t="str">
        <f>IFERROR(HLOOKUP(X1188,'Calc|Weightings'!$K$5:$M$5,1,0),"Excl")</f>
        <v>Labour</v>
      </c>
      <c r="AA1188" s="7" t="str">
        <f>VLOOKUP(Q1188,Mapping!$E$11:$I$96,5,0)</f>
        <v>SCS</v>
      </c>
      <c r="AC1188" s="111">
        <v>150</v>
      </c>
      <c r="AD1188" s="111" t="s">
        <v>2159</v>
      </c>
      <c r="AE1188" s="111">
        <v>636001</v>
      </c>
      <c r="AF1188" s="111" t="s">
        <v>2111</v>
      </c>
      <c r="AG1188" s="112">
        <v>55.51173</v>
      </c>
      <c r="AI1188" s="7" t="str">
        <f>VLOOKUP($AC1188,Mapping!$E$11:$I$96,3,0)</f>
        <v>Replacement</v>
      </c>
      <c r="AJ1188" s="7" t="str">
        <f>VLOOKUP($AE1188,Mapping!$E$140:$K$2771,5,0)</f>
        <v>System Control OH</v>
      </c>
      <c r="AK1188" s="7" t="str">
        <f>VLOOKUP($AE1188,Mapping!$E$140:$K$2771,7,0)</f>
        <v>OH</v>
      </c>
      <c r="AL1188" s="7" t="str">
        <f>IFERROR(HLOOKUP(AJ1188,'Calc|Weightings'!$K$5:$M$5,1,0),"Excl")</f>
        <v>Excl</v>
      </c>
      <c r="AM1188" s="7" t="str">
        <f>VLOOKUP(AC1188,Mapping!$E$11:$I$96,5,0)</f>
        <v>SCS</v>
      </c>
      <c r="AO1188" s="134">
        <v>157</v>
      </c>
      <c r="AP1188" s="135" t="s">
        <v>2166</v>
      </c>
      <c r="AQ1188" s="135">
        <v>523100</v>
      </c>
      <c r="AR1188" s="135" t="s">
        <v>2074</v>
      </c>
      <c r="AS1188" s="136">
        <v>1.3964700000000001</v>
      </c>
      <c r="AU1188" s="7" t="str">
        <f>VLOOKUP($AO1188,Mapping!$E$11:$I$96,3,0)</f>
        <v>Replacement</v>
      </c>
      <c r="AV1188" s="7" t="str">
        <f>VLOOKUP($AQ1188,Mapping!$E$140:$K$2771,5,0)</f>
        <v>Materials</v>
      </c>
      <c r="AW1188" s="7" t="str">
        <f>VLOOKUP($AQ1188,Mapping!$E$140:$K$2771,7,0)</f>
        <v>ENDirect</v>
      </c>
      <c r="AX1188" s="7" t="str">
        <f>IFERROR(HLOOKUP(AV1188,'Calc|Weightings'!$K$5:$M$5,1,0),"Excl")</f>
        <v>Materials</v>
      </c>
      <c r="AY1188" s="7" t="str">
        <f>VLOOKUP(AO1188,Mapping!$E$11:$I$96,5,0)</f>
        <v>SCS</v>
      </c>
    </row>
    <row r="1189" spans="1:51" x14ac:dyDescent="0.2">
      <c r="A1189" s="7"/>
      <c r="B1189" s="7"/>
      <c r="C1189" s="7"/>
      <c r="D1189" s="7"/>
      <c r="E1189" s="36">
        <v>145</v>
      </c>
      <c r="F1189" s="36" t="s">
        <v>2155</v>
      </c>
      <c r="G1189" s="36">
        <v>531200</v>
      </c>
      <c r="H1189" s="36" t="s">
        <v>250</v>
      </c>
      <c r="I1189" s="37">
        <v>-6.22187</v>
      </c>
      <c r="J1189" s="7"/>
      <c r="K1189" s="7" t="str">
        <f>VLOOKUP($E1189,Mapping!$E$11:$I$96,3,0)</f>
        <v>Replacement</v>
      </c>
      <c r="L1189" s="7" t="str">
        <f>VLOOKUP($G1189,Mapping!$E$140:$K$2771,5,0)</f>
        <v>Contracts</v>
      </c>
      <c r="M1189" s="7" t="str">
        <f>VLOOKUP($G1189,Mapping!$E$140:$K$2771,7,0)</f>
        <v>ENDirect</v>
      </c>
      <c r="N1189" s="7" t="str">
        <f>IFERROR(HLOOKUP(L1189,'Calc|Weightings'!$K$5:$M$5,1,0),"Excl")</f>
        <v>Contracts</v>
      </c>
      <c r="O1189" s="7" t="str">
        <f>VLOOKUP(E1189,Mapping!$E$11:$I$96,5,0)</f>
        <v>SCS</v>
      </c>
      <c r="Q1189" s="33">
        <v>150</v>
      </c>
      <c r="R1189" s="33" t="s">
        <v>2159</v>
      </c>
      <c r="S1189" s="33">
        <v>613260</v>
      </c>
      <c r="T1189" s="33" t="s">
        <v>2090</v>
      </c>
      <c r="U1189" s="34">
        <v>0.76914000000000005</v>
      </c>
      <c r="V1189" s="7"/>
      <c r="W1189" s="7" t="str">
        <f>VLOOKUP($Q1189,Mapping!$E$11:$I$96,3,0)</f>
        <v>Replacement</v>
      </c>
      <c r="X1189" s="7" t="str">
        <f>VLOOKUP($S1189,Mapping!$E$140:$K$2771,5,0)</f>
        <v>Labour</v>
      </c>
      <c r="Y1189" s="7" t="str">
        <f>VLOOKUP($S1189,Mapping!$E$140:$K$2771,7,0)</f>
        <v>ENDirect</v>
      </c>
      <c r="Z1189" s="7" t="str">
        <f>IFERROR(HLOOKUP(X1189,'Calc|Weightings'!$K$5:$M$5,1,0),"Excl")</f>
        <v>Labour</v>
      </c>
      <c r="AA1189" s="7" t="str">
        <f>VLOOKUP(Q1189,Mapping!$E$11:$I$96,5,0)</f>
        <v>SCS</v>
      </c>
      <c r="AC1189" s="111">
        <v>150</v>
      </c>
      <c r="AD1189" s="111" t="s">
        <v>2159</v>
      </c>
      <c r="AE1189" s="111">
        <v>639000</v>
      </c>
      <c r="AF1189" s="111" t="s">
        <v>2112</v>
      </c>
      <c r="AG1189" s="112">
        <v>70.302899999999994</v>
      </c>
      <c r="AI1189" s="7" t="str">
        <f>VLOOKUP($AC1189,Mapping!$E$11:$I$96,3,0)</f>
        <v>Replacement</v>
      </c>
      <c r="AJ1189" s="7" t="str">
        <f>VLOOKUP($AE1189,Mapping!$E$140:$K$2771,5,0)</f>
        <v>PNS Corporate OH</v>
      </c>
      <c r="AK1189" s="7" t="str">
        <f>VLOOKUP($AE1189,Mapping!$E$140:$K$2771,7,0)</f>
        <v>OH</v>
      </c>
      <c r="AL1189" s="7" t="str">
        <f>IFERROR(HLOOKUP(AJ1189,'Calc|Weightings'!$K$5:$M$5,1,0),"Excl")</f>
        <v>Excl</v>
      </c>
      <c r="AM1189" s="7" t="str">
        <f>VLOOKUP(AC1189,Mapping!$E$11:$I$96,5,0)</f>
        <v>SCS</v>
      </c>
      <c r="AO1189" s="134">
        <v>157</v>
      </c>
      <c r="AP1189" s="135" t="s">
        <v>2166</v>
      </c>
      <c r="AQ1189" s="135">
        <v>523300</v>
      </c>
      <c r="AR1189" s="135" t="s">
        <v>2075</v>
      </c>
      <c r="AS1189" s="136">
        <v>63.115969999999997</v>
      </c>
      <c r="AU1189" s="7" t="str">
        <f>VLOOKUP($AO1189,Mapping!$E$11:$I$96,3,0)</f>
        <v>Replacement</v>
      </c>
      <c r="AV1189" s="7" t="str">
        <f>VLOOKUP($AQ1189,Mapping!$E$140:$K$2771,5,0)</f>
        <v>Materials</v>
      </c>
      <c r="AW1189" s="7" t="str">
        <f>VLOOKUP($AQ1189,Mapping!$E$140:$K$2771,7,0)</f>
        <v>ENDirect</v>
      </c>
      <c r="AX1189" s="7" t="str">
        <f>IFERROR(HLOOKUP(AV1189,'Calc|Weightings'!$K$5:$M$5,1,0),"Excl")</f>
        <v>Materials</v>
      </c>
      <c r="AY1189" s="7" t="str">
        <f>VLOOKUP(AO1189,Mapping!$E$11:$I$96,5,0)</f>
        <v>SCS</v>
      </c>
    </row>
    <row r="1190" spans="1:51" x14ac:dyDescent="0.2">
      <c r="A1190" s="7"/>
      <c r="B1190" s="7"/>
      <c r="C1190" s="7"/>
      <c r="D1190" s="7"/>
      <c r="E1190" s="36">
        <v>145</v>
      </c>
      <c r="F1190" s="36" t="s">
        <v>2155</v>
      </c>
      <c r="G1190" s="36">
        <v>531464</v>
      </c>
      <c r="H1190" s="36" t="s">
        <v>256</v>
      </c>
      <c r="I1190" s="37">
        <v>38.061660000000003</v>
      </c>
      <c r="J1190" s="7"/>
      <c r="K1190" s="7" t="str">
        <f>VLOOKUP($E1190,Mapping!$E$11:$I$96,3,0)</f>
        <v>Replacement</v>
      </c>
      <c r="L1190" s="7" t="str">
        <f>VLOOKUP($G1190,Mapping!$E$140:$K$2771,5,0)</f>
        <v>Contracts</v>
      </c>
      <c r="M1190" s="7" t="str">
        <f>VLOOKUP($G1190,Mapping!$E$140:$K$2771,7,0)</f>
        <v>ENDirect</v>
      </c>
      <c r="N1190" s="7" t="str">
        <f>IFERROR(HLOOKUP(L1190,'Calc|Weightings'!$K$5:$M$5,1,0),"Excl")</f>
        <v>Contracts</v>
      </c>
      <c r="O1190" s="7" t="str">
        <f>VLOOKUP(E1190,Mapping!$E$11:$I$96,5,0)</f>
        <v>SCS</v>
      </c>
      <c r="Q1190" s="33">
        <v>150</v>
      </c>
      <c r="R1190" s="33" t="s">
        <v>2159</v>
      </c>
      <c r="S1190" s="33">
        <v>613280</v>
      </c>
      <c r="T1190" s="33" t="s">
        <v>1342</v>
      </c>
      <c r="U1190" s="34">
        <v>20.156500000000001</v>
      </c>
      <c r="V1190" s="7"/>
      <c r="W1190" s="7" t="str">
        <f>VLOOKUP($Q1190,Mapping!$E$11:$I$96,3,0)</f>
        <v>Replacement</v>
      </c>
      <c r="X1190" s="7" t="str">
        <f>VLOOKUP($S1190,Mapping!$E$140:$K$2771,5,0)</f>
        <v>Labour</v>
      </c>
      <c r="Y1190" s="7" t="str">
        <f>VLOOKUP($S1190,Mapping!$E$140:$K$2771,7,0)</f>
        <v>ENDirect</v>
      </c>
      <c r="Z1190" s="7" t="str">
        <f>IFERROR(HLOOKUP(X1190,'Calc|Weightings'!$K$5:$M$5,1,0),"Excl")</f>
        <v>Labour</v>
      </c>
      <c r="AA1190" s="7" t="str">
        <f>VLOOKUP(Q1190,Mapping!$E$11:$I$96,5,0)</f>
        <v>SCS</v>
      </c>
      <c r="AC1190" s="111">
        <v>150</v>
      </c>
      <c r="AD1190" s="111" t="s">
        <v>2159</v>
      </c>
      <c r="AE1190" s="111">
        <v>639050</v>
      </c>
      <c r="AF1190" s="111" t="s">
        <v>2113</v>
      </c>
      <c r="AG1190" s="112">
        <v>9.9429200000000009</v>
      </c>
      <c r="AI1190" s="7" t="str">
        <f>VLOOKUP($AC1190,Mapping!$E$11:$I$96,3,0)</f>
        <v>Replacement</v>
      </c>
      <c r="AJ1190" s="7" t="str">
        <f>VLOOKUP($AE1190,Mapping!$E$140:$K$2771,5,0)</f>
        <v>PNS Fleet &amp; Property OH</v>
      </c>
      <c r="AK1190" s="7" t="str">
        <f>VLOOKUP($AE1190,Mapping!$E$140:$K$2771,7,0)</f>
        <v>OH</v>
      </c>
      <c r="AL1190" s="7" t="str">
        <f>IFERROR(HLOOKUP(AJ1190,'Calc|Weightings'!$K$5:$M$5,1,0),"Excl")</f>
        <v>Excl</v>
      </c>
      <c r="AM1190" s="7" t="str">
        <f>VLOOKUP(AC1190,Mapping!$E$11:$I$96,5,0)</f>
        <v>SCS</v>
      </c>
      <c r="AO1190" s="134">
        <v>157</v>
      </c>
      <c r="AP1190" s="135" t="s">
        <v>2166</v>
      </c>
      <c r="AQ1190" s="135">
        <v>531000</v>
      </c>
      <c r="AR1190" s="135" t="s">
        <v>242</v>
      </c>
      <c r="AS1190" s="136">
        <v>39.847790000000003</v>
      </c>
      <c r="AU1190" s="7" t="str">
        <f>VLOOKUP($AO1190,Mapping!$E$11:$I$96,3,0)</f>
        <v>Replacement</v>
      </c>
      <c r="AV1190" s="7" t="str">
        <f>VLOOKUP($AQ1190,Mapping!$E$140:$K$2771,5,0)</f>
        <v>Contracts</v>
      </c>
      <c r="AW1190" s="7" t="str">
        <f>VLOOKUP($AQ1190,Mapping!$E$140:$K$2771,7,0)</f>
        <v>ENDirect</v>
      </c>
      <c r="AX1190" s="7" t="str">
        <f>IFERROR(HLOOKUP(AV1190,'Calc|Weightings'!$K$5:$M$5,1,0),"Excl")</f>
        <v>Contracts</v>
      </c>
      <c r="AY1190" s="7" t="str">
        <f>VLOOKUP(AO1190,Mapping!$E$11:$I$96,5,0)</f>
        <v>SCS</v>
      </c>
    </row>
    <row r="1191" spans="1:51" x14ac:dyDescent="0.2">
      <c r="A1191" s="7"/>
      <c r="B1191" s="7"/>
      <c r="C1191" s="7"/>
      <c r="D1191" s="7"/>
      <c r="E1191" s="36">
        <v>145</v>
      </c>
      <c r="F1191" s="36" t="s">
        <v>2155</v>
      </c>
      <c r="G1191" s="36">
        <v>531466</v>
      </c>
      <c r="H1191" s="36" t="s">
        <v>258</v>
      </c>
      <c r="I1191" s="37">
        <v>9.7000000000000003E-2</v>
      </c>
      <c r="J1191" s="7"/>
      <c r="K1191" s="7" t="str">
        <f>VLOOKUP($E1191,Mapping!$E$11:$I$96,3,0)</f>
        <v>Replacement</v>
      </c>
      <c r="L1191" s="7" t="str">
        <f>VLOOKUP($G1191,Mapping!$E$140:$K$2771,5,0)</f>
        <v>Contracts</v>
      </c>
      <c r="M1191" s="7" t="str">
        <f>VLOOKUP($G1191,Mapping!$E$140:$K$2771,7,0)</f>
        <v>ENDirect</v>
      </c>
      <c r="N1191" s="7" t="str">
        <f>IFERROR(HLOOKUP(L1191,'Calc|Weightings'!$K$5:$M$5,1,0),"Excl")</f>
        <v>Contracts</v>
      </c>
      <c r="O1191" s="7" t="str">
        <f>VLOOKUP(E1191,Mapping!$E$11:$I$96,5,0)</f>
        <v>SCS</v>
      </c>
      <c r="Q1191" s="33">
        <v>150</v>
      </c>
      <c r="R1191" s="33" t="s">
        <v>2159</v>
      </c>
      <c r="S1191" s="33">
        <v>613290</v>
      </c>
      <c r="T1191" s="33" t="s">
        <v>2093</v>
      </c>
      <c r="U1191" s="34">
        <v>22.391999999999999</v>
      </c>
      <c r="V1191" s="7"/>
      <c r="W1191" s="7" t="str">
        <f>VLOOKUP($Q1191,Mapping!$E$11:$I$96,3,0)</f>
        <v>Replacement</v>
      </c>
      <c r="X1191" s="7" t="str">
        <f>VLOOKUP($S1191,Mapping!$E$140:$K$2771,5,0)</f>
        <v>Labour</v>
      </c>
      <c r="Y1191" s="7" t="str">
        <f>VLOOKUP($S1191,Mapping!$E$140:$K$2771,7,0)</f>
        <v>ENDirect</v>
      </c>
      <c r="Z1191" s="7" t="str">
        <f>IFERROR(HLOOKUP(X1191,'Calc|Weightings'!$K$5:$M$5,1,0),"Excl")</f>
        <v>Labour</v>
      </c>
      <c r="AA1191" s="7" t="str">
        <f>VLOOKUP(Q1191,Mapping!$E$11:$I$96,5,0)</f>
        <v>SCS</v>
      </c>
      <c r="AC1191" s="111">
        <v>151</v>
      </c>
      <c r="AD1191" s="111" t="s">
        <v>2160</v>
      </c>
      <c r="AE1191" s="111">
        <v>520100</v>
      </c>
      <c r="AF1191" s="111" t="s">
        <v>2072</v>
      </c>
      <c r="AG1191" s="112">
        <v>20.903379999999999</v>
      </c>
      <c r="AI1191" s="7" t="str">
        <f>VLOOKUP($AC1191,Mapping!$E$11:$I$96,3,0)</f>
        <v>Metering Capex</v>
      </c>
      <c r="AJ1191" s="7" t="str">
        <f>VLOOKUP($AE1191,Mapping!$E$140:$K$2771,5,0)</f>
        <v>Materials</v>
      </c>
      <c r="AK1191" s="7" t="str">
        <f>VLOOKUP($AE1191,Mapping!$E$140:$K$2771,7,0)</f>
        <v>ENDirect</v>
      </c>
      <c r="AL1191" s="7" t="str">
        <f>IFERROR(HLOOKUP(AJ1191,'Calc|Weightings'!$K$5:$M$5,1,0),"Excl")</f>
        <v>Materials</v>
      </c>
      <c r="AM1191" s="7" t="str">
        <f>VLOOKUP(AC1191,Mapping!$E$11:$I$96,5,0)</f>
        <v>Metering Services</v>
      </c>
      <c r="AO1191" s="134">
        <v>157</v>
      </c>
      <c r="AP1191" s="135" t="s">
        <v>2166</v>
      </c>
      <c r="AQ1191" s="135">
        <v>531464</v>
      </c>
      <c r="AR1191" s="135" t="s">
        <v>256</v>
      </c>
      <c r="AS1191" s="136">
        <v>0.75</v>
      </c>
      <c r="AU1191" s="7" t="str">
        <f>VLOOKUP($AO1191,Mapping!$E$11:$I$96,3,0)</f>
        <v>Replacement</v>
      </c>
      <c r="AV1191" s="7" t="str">
        <f>VLOOKUP($AQ1191,Mapping!$E$140:$K$2771,5,0)</f>
        <v>Contracts</v>
      </c>
      <c r="AW1191" s="7" t="str">
        <f>VLOOKUP($AQ1191,Mapping!$E$140:$K$2771,7,0)</f>
        <v>ENDirect</v>
      </c>
      <c r="AX1191" s="7" t="str">
        <f>IFERROR(HLOOKUP(AV1191,'Calc|Weightings'!$K$5:$M$5,1,0),"Excl")</f>
        <v>Contracts</v>
      </c>
      <c r="AY1191" s="7" t="str">
        <f>VLOOKUP(AO1191,Mapping!$E$11:$I$96,5,0)</f>
        <v>SCS</v>
      </c>
    </row>
    <row r="1192" spans="1:51" x14ac:dyDescent="0.2">
      <c r="A1192" s="7"/>
      <c r="B1192" s="7"/>
      <c r="C1192" s="7"/>
      <c r="D1192" s="7"/>
      <c r="E1192" s="36">
        <v>145</v>
      </c>
      <c r="F1192" s="36" t="s">
        <v>2155</v>
      </c>
      <c r="G1192" s="36">
        <v>531467</v>
      </c>
      <c r="H1192" s="36" t="s">
        <v>259</v>
      </c>
      <c r="I1192" s="37">
        <v>19.353590000000001</v>
      </c>
      <c r="J1192" s="7"/>
      <c r="K1192" s="7" t="str">
        <f>VLOOKUP($E1192,Mapping!$E$11:$I$96,3,0)</f>
        <v>Replacement</v>
      </c>
      <c r="L1192" s="7" t="str">
        <f>VLOOKUP($G1192,Mapping!$E$140:$K$2771,5,0)</f>
        <v>Contracts</v>
      </c>
      <c r="M1192" s="7" t="str">
        <f>VLOOKUP($G1192,Mapping!$E$140:$K$2771,7,0)</f>
        <v>ENDirect</v>
      </c>
      <c r="N1192" s="7" t="str">
        <f>IFERROR(HLOOKUP(L1192,'Calc|Weightings'!$K$5:$M$5,1,0),"Excl")</f>
        <v>Contracts</v>
      </c>
      <c r="O1192" s="7" t="str">
        <f>VLOOKUP(E1192,Mapping!$E$11:$I$96,5,0)</f>
        <v>SCS</v>
      </c>
      <c r="Q1192" s="33">
        <v>150</v>
      </c>
      <c r="R1192" s="33" t="s">
        <v>2159</v>
      </c>
      <c r="S1192" s="33">
        <v>613298</v>
      </c>
      <c r="T1192" s="33" t="s">
        <v>2122</v>
      </c>
      <c r="U1192" s="34">
        <v>18.100200000000001</v>
      </c>
      <c r="V1192" s="7"/>
      <c r="W1192" s="7" t="str">
        <f>VLOOKUP($Q1192,Mapping!$E$11:$I$96,3,0)</f>
        <v>Replacement</v>
      </c>
      <c r="X1192" s="7" t="str">
        <f>VLOOKUP($S1192,Mapping!$E$140:$K$2771,5,0)</f>
        <v>Labour</v>
      </c>
      <c r="Y1192" s="7" t="str">
        <f>VLOOKUP($S1192,Mapping!$E$140:$K$2771,7,0)</f>
        <v>ENDirect</v>
      </c>
      <c r="Z1192" s="7" t="str">
        <f>IFERROR(HLOOKUP(X1192,'Calc|Weightings'!$K$5:$M$5,1,0),"Excl")</f>
        <v>Labour</v>
      </c>
      <c r="AA1192" s="7" t="str">
        <f>VLOOKUP(Q1192,Mapping!$E$11:$I$96,5,0)</f>
        <v>SCS</v>
      </c>
      <c r="AC1192" s="111">
        <v>151</v>
      </c>
      <c r="AD1192" s="111" t="s">
        <v>2160</v>
      </c>
      <c r="AE1192" s="111">
        <v>611900</v>
      </c>
      <c r="AF1192" s="111" t="s">
        <v>2079</v>
      </c>
      <c r="AG1192" s="112">
        <v>1.25424</v>
      </c>
      <c r="AI1192" s="7" t="str">
        <f>VLOOKUP($AC1192,Mapping!$E$11:$I$96,3,0)</f>
        <v>Metering Capex</v>
      </c>
      <c r="AJ1192" s="7" t="str">
        <f>VLOOKUP($AE1192,Mapping!$E$140:$K$2771,5,0)</f>
        <v>Contracts</v>
      </c>
      <c r="AK1192" s="7" t="str">
        <f>VLOOKUP($AE1192,Mapping!$E$140:$K$2771,7,0)</f>
        <v>ENDirect</v>
      </c>
      <c r="AL1192" s="7" t="str">
        <f>IFERROR(HLOOKUP(AJ1192,'Calc|Weightings'!$K$5:$M$5,1,0),"Excl")</f>
        <v>Contracts</v>
      </c>
      <c r="AM1192" s="7" t="str">
        <f>VLOOKUP(AC1192,Mapping!$E$11:$I$96,5,0)</f>
        <v>Metering Services</v>
      </c>
      <c r="AO1192" s="134">
        <v>157</v>
      </c>
      <c r="AP1192" s="135" t="s">
        <v>2166</v>
      </c>
      <c r="AQ1192" s="135">
        <v>531468</v>
      </c>
      <c r="AR1192" s="135" t="s">
        <v>260</v>
      </c>
      <c r="AS1192" s="136">
        <v>2</v>
      </c>
      <c r="AU1192" s="7" t="str">
        <f>VLOOKUP($AO1192,Mapping!$E$11:$I$96,3,0)</f>
        <v>Replacement</v>
      </c>
      <c r="AV1192" s="7" t="str">
        <f>VLOOKUP($AQ1192,Mapping!$E$140:$K$2771,5,0)</f>
        <v>Contracts</v>
      </c>
      <c r="AW1192" s="7" t="str">
        <f>VLOOKUP($AQ1192,Mapping!$E$140:$K$2771,7,0)</f>
        <v>ENDirect</v>
      </c>
      <c r="AX1192" s="7" t="str">
        <f>IFERROR(HLOOKUP(AV1192,'Calc|Weightings'!$K$5:$M$5,1,0),"Excl")</f>
        <v>Contracts</v>
      </c>
      <c r="AY1192" s="7" t="str">
        <f>VLOOKUP(AO1192,Mapping!$E$11:$I$96,5,0)</f>
        <v>SCS</v>
      </c>
    </row>
    <row r="1193" spans="1:51" x14ac:dyDescent="0.2">
      <c r="A1193" s="7"/>
      <c r="B1193" s="7"/>
      <c r="C1193" s="7"/>
      <c r="D1193" s="7"/>
      <c r="E1193" s="36">
        <v>145</v>
      </c>
      <c r="F1193" s="36" t="s">
        <v>2155</v>
      </c>
      <c r="G1193" s="36">
        <v>531468</v>
      </c>
      <c r="H1193" s="36" t="s">
        <v>260</v>
      </c>
      <c r="I1193" s="37">
        <v>11.26385</v>
      </c>
      <c r="J1193" s="7"/>
      <c r="K1193" s="7" t="str">
        <f>VLOOKUP($E1193,Mapping!$E$11:$I$96,3,0)</f>
        <v>Replacement</v>
      </c>
      <c r="L1193" s="7" t="str">
        <f>VLOOKUP($G1193,Mapping!$E$140:$K$2771,5,0)</f>
        <v>Contracts</v>
      </c>
      <c r="M1193" s="7" t="str">
        <f>VLOOKUP($G1193,Mapping!$E$140:$K$2771,7,0)</f>
        <v>ENDirect</v>
      </c>
      <c r="N1193" s="7" t="str">
        <f>IFERROR(HLOOKUP(L1193,'Calc|Weightings'!$K$5:$M$5,1,0),"Excl")</f>
        <v>Contracts</v>
      </c>
      <c r="O1193" s="7" t="str">
        <f>VLOOKUP(E1193,Mapping!$E$11:$I$96,5,0)</f>
        <v>SCS</v>
      </c>
      <c r="Q1193" s="33">
        <v>150</v>
      </c>
      <c r="R1193" s="33" t="s">
        <v>2159</v>
      </c>
      <c r="S1193" s="33">
        <v>613310</v>
      </c>
      <c r="T1193" s="33" t="s">
        <v>2095</v>
      </c>
      <c r="U1193" s="34">
        <v>1.13161</v>
      </c>
      <c r="V1193" s="7"/>
      <c r="W1193" s="7" t="str">
        <f>VLOOKUP($Q1193,Mapping!$E$11:$I$96,3,0)</f>
        <v>Replacement</v>
      </c>
      <c r="X1193" s="7" t="str">
        <f>VLOOKUP($S1193,Mapping!$E$140:$K$2771,5,0)</f>
        <v>Labour</v>
      </c>
      <c r="Y1193" s="7" t="str">
        <f>VLOOKUP($S1193,Mapping!$E$140:$K$2771,7,0)</f>
        <v>ENDirect</v>
      </c>
      <c r="Z1193" s="7" t="str">
        <f>IFERROR(HLOOKUP(X1193,'Calc|Weightings'!$K$5:$M$5,1,0),"Excl")</f>
        <v>Labour</v>
      </c>
      <c r="AA1193" s="7" t="str">
        <f>VLOOKUP(Q1193,Mapping!$E$11:$I$96,5,0)</f>
        <v>SCS</v>
      </c>
      <c r="AC1193" s="111">
        <v>151</v>
      </c>
      <c r="AD1193" s="111" t="s">
        <v>2160</v>
      </c>
      <c r="AE1193" s="111">
        <v>613240</v>
      </c>
      <c r="AF1193" s="111" t="s">
        <v>2082</v>
      </c>
      <c r="AG1193" s="112">
        <v>8.0277799999999999</v>
      </c>
      <c r="AI1193" s="7" t="str">
        <f>VLOOKUP($AC1193,Mapping!$E$11:$I$96,3,0)</f>
        <v>Metering Capex</v>
      </c>
      <c r="AJ1193" s="7" t="str">
        <f>VLOOKUP($AE1193,Mapping!$E$140:$K$2771,5,0)</f>
        <v>Labour</v>
      </c>
      <c r="AK1193" s="7" t="str">
        <f>VLOOKUP($AE1193,Mapping!$E$140:$K$2771,7,0)</f>
        <v>ENDirect</v>
      </c>
      <c r="AL1193" s="7" t="str">
        <f>IFERROR(HLOOKUP(AJ1193,'Calc|Weightings'!$K$5:$M$5,1,0),"Excl")</f>
        <v>Labour</v>
      </c>
      <c r="AM1193" s="7" t="str">
        <f>VLOOKUP(AC1193,Mapping!$E$11:$I$96,5,0)</f>
        <v>Metering Services</v>
      </c>
      <c r="AO1193" s="134">
        <v>157</v>
      </c>
      <c r="AP1193" s="135" t="s">
        <v>2166</v>
      </c>
      <c r="AQ1193" s="135">
        <v>531469</v>
      </c>
      <c r="AR1193" s="135" t="s">
        <v>261</v>
      </c>
      <c r="AS1193" s="136">
        <v>2523.9544099999998</v>
      </c>
      <c r="AU1193" s="7" t="str">
        <f>VLOOKUP($AO1193,Mapping!$E$11:$I$96,3,0)</f>
        <v>Replacement</v>
      </c>
      <c r="AV1193" s="7" t="str">
        <f>VLOOKUP($AQ1193,Mapping!$E$140:$K$2771,5,0)</f>
        <v>Labour</v>
      </c>
      <c r="AW1193" s="7" t="str">
        <f>VLOOKUP($AQ1193,Mapping!$E$140:$K$2771,7,0)</f>
        <v>ENDirect</v>
      </c>
      <c r="AX1193" s="7" t="str">
        <f>IFERROR(HLOOKUP(AV1193,'Calc|Weightings'!$K$5:$M$5,1,0),"Excl")</f>
        <v>Labour</v>
      </c>
      <c r="AY1193" s="7" t="str">
        <f>VLOOKUP(AO1193,Mapping!$E$11:$I$96,5,0)</f>
        <v>SCS</v>
      </c>
    </row>
    <row r="1194" spans="1:51" x14ac:dyDescent="0.2">
      <c r="A1194" s="7"/>
      <c r="B1194" s="7"/>
      <c r="C1194" s="7"/>
      <c r="D1194" s="7"/>
      <c r="E1194" s="36">
        <v>145</v>
      </c>
      <c r="F1194" s="36" t="s">
        <v>2155</v>
      </c>
      <c r="G1194" s="36">
        <v>531480</v>
      </c>
      <c r="H1194" s="36" t="s">
        <v>2076</v>
      </c>
      <c r="I1194" s="37">
        <v>8.8319999999999996E-2</v>
      </c>
      <c r="J1194" s="7"/>
      <c r="K1194" s="7" t="str">
        <f>VLOOKUP($E1194,Mapping!$E$11:$I$96,3,0)</f>
        <v>Replacement</v>
      </c>
      <c r="L1194" s="7" t="str">
        <f>VLOOKUP($G1194,Mapping!$E$140:$K$2771,5,0)</f>
        <v>Labour</v>
      </c>
      <c r="M1194" s="7" t="str">
        <f>VLOOKUP($G1194,Mapping!$E$140:$K$2771,7,0)</f>
        <v>ENDirect</v>
      </c>
      <c r="N1194" s="7" t="str">
        <f>IFERROR(HLOOKUP(L1194,'Calc|Weightings'!$K$5:$M$5,1,0),"Excl")</f>
        <v>Labour</v>
      </c>
      <c r="O1194" s="7" t="str">
        <f>VLOOKUP(E1194,Mapping!$E$11:$I$96,5,0)</f>
        <v>SCS</v>
      </c>
      <c r="Q1194" s="33">
        <v>150</v>
      </c>
      <c r="R1194" s="33" t="s">
        <v>2159</v>
      </c>
      <c r="S1194" s="33">
        <v>613350</v>
      </c>
      <c r="T1194" s="33" t="s">
        <v>2096</v>
      </c>
      <c r="U1194" s="34">
        <v>2.6107</v>
      </c>
      <c r="V1194" s="7"/>
      <c r="W1194" s="7" t="str">
        <f>VLOOKUP($Q1194,Mapping!$E$11:$I$96,3,0)</f>
        <v>Replacement</v>
      </c>
      <c r="X1194" s="7" t="str">
        <f>VLOOKUP($S1194,Mapping!$E$140:$K$2771,5,0)</f>
        <v>Labour</v>
      </c>
      <c r="Y1194" s="7" t="str">
        <f>VLOOKUP($S1194,Mapping!$E$140:$K$2771,7,0)</f>
        <v>ENDirect</v>
      </c>
      <c r="Z1194" s="7" t="str">
        <f>IFERROR(HLOOKUP(X1194,'Calc|Weightings'!$K$5:$M$5,1,0),"Excl")</f>
        <v>Labour</v>
      </c>
      <c r="AA1194" s="7" t="str">
        <f>VLOOKUP(Q1194,Mapping!$E$11:$I$96,5,0)</f>
        <v>SCS</v>
      </c>
      <c r="AC1194" s="111">
        <v>151</v>
      </c>
      <c r="AD1194" s="111" t="s">
        <v>2160</v>
      </c>
      <c r="AE1194" s="111">
        <v>613250</v>
      </c>
      <c r="AF1194" s="111" t="s">
        <v>2086</v>
      </c>
      <c r="AG1194" s="112">
        <v>4.5842799999999997</v>
      </c>
      <c r="AI1194" s="7" t="str">
        <f>VLOOKUP($AC1194,Mapping!$E$11:$I$96,3,0)</f>
        <v>Metering Capex</v>
      </c>
      <c r="AJ1194" s="7" t="str">
        <f>VLOOKUP($AE1194,Mapping!$E$140:$K$2771,5,0)</f>
        <v>Labour</v>
      </c>
      <c r="AK1194" s="7" t="str">
        <f>VLOOKUP($AE1194,Mapping!$E$140:$K$2771,7,0)</f>
        <v>ENDirect</v>
      </c>
      <c r="AL1194" s="7" t="str">
        <f>IFERROR(HLOOKUP(AJ1194,'Calc|Weightings'!$K$5:$M$5,1,0),"Excl")</f>
        <v>Labour</v>
      </c>
      <c r="AM1194" s="7" t="str">
        <f>VLOOKUP(AC1194,Mapping!$E$11:$I$96,5,0)</f>
        <v>Metering Services</v>
      </c>
      <c r="AO1194" s="134">
        <v>157</v>
      </c>
      <c r="AP1194" s="135" t="s">
        <v>2166</v>
      </c>
      <c r="AQ1194" s="135">
        <v>532050</v>
      </c>
      <c r="AR1194" s="135" t="s">
        <v>279</v>
      </c>
      <c r="AS1194" s="136">
        <v>302.62</v>
      </c>
      <c r="AU1194" s="7" t="str">
        <f>VLOOKUP($AO1194,Mapping!$E$11:$I$96,3,0)</f>
        <v>Replacement</v>
      </c>
      <c r="AV1194" s="7" t="str">
        <f>VLOOKUP($AQ1194,Mapping!$E$140:$K$2771,5,0)</f>
        <v>Contracts</v>
      </c>
      <c r="AW1194" s="7" t="str">
        <f>VLOOKUP($AQ1194,Mapping!$E$140:$K$2771,7,0)</f>
        <v>ENDirect</v>
      </c>
      <c r="AX1194" s="7" t="str">
        <f>IFERROR(HLOOKUP(AV1194,'Calc|Weightings'!$K$5:$M$5,1,0),"Excl")</f>
        <v>Contracts</v>
      </c>
      <c r="AY1194" s="7" t="str">
        <f>VLOOKUP(AO1194,Mapping!$E$11:$I$96,5,0)</f>
        <v>SCS</v>
      </c>
    </row>
    <row r="1195" spans="1:51" x14ac:dyDescent="0.2">
      <c r="A1195" s="7"/>
      <c r="B1195" s="7"/>
      <c r="C1195" s="7"/>
      <c r="D1195" s="7"/>
      <c r="E1195" s="36">
        <v>145</v>
      </c>
      <c r="F1195" s="36" t="s">
        <v>2155</v>
      </c>
      <c r="G1195" s="36">
        <v>531485</v>
      </c>
      <c r="H1195" s="36" t="s">
        <v>2350</v>
      </c>
      <c r="I1195" s="37">
        <v>1.09E-3</v>
      </c>
      <c r="J1195" s="7"/>
      <c r="K1195" s="7" t="str">
        <f>VLOOKUP($E1195,Mapping!$E$11:$I$96,3,0)</f>
        <v>Replacement</v>
      </c>
      <c r="L1195" s="7" t="str">
        <f>VLOOKUP($G1195,Mapping!$E$140:$K$2771,5,0)</f>
        <v>Contracts</v>
      </c>
      <c r="M1195" s="7" t="str">
        <f>VLOOKUP($G1195,Mapping!$E$140:$K$2771,7,0)</f>
        <v>ENDirect</v>
      </c>
      <c r="N1195" s="7" t="str">
        <f>IFERROR(HLOOKUP(L1195,'Calc|Weightings'!$K$5:$M$5,1,0),"Excl")</f>
        <v>Contracts</v>
      </c>
      <c r="O1195" s="7" t="str">
        <f>VLOOKUP(E1195,Mapping!$E$11:$I$96,5,0)</f>
        <v>SCS</v>
      </c>
      <c r="Q1195" s="33">
        <v>150</v>
      </c>
      <c r="R1195" s="33" t="s">
        <v>2159</v>
      </c>
      <c r="S1195" s="33">
        <v>613360</v>
      </c>
      <c r="T1195" s="33" t="s">
        <v>2097</v>
      </c>
      <c r="U1195" s="34">
        <v>36.844790000000003</v>
      </c>
      <c r="V1195" s="7"/>
      <c r="W1195" s="7" t="str">
        <f>VLOOKUP($Q1195,Mapping!$E$11:$I$96,3,0)</f>
        <v>Replacement</v>
      </c>
      <c r="X1195" s="7" t="str">
        <f>VLOOKUP($S1195,Mapping!$E$140:$K$2771,5,0)</f>
        <v>Labour</v>
      </c>
      <c r="Y1195" s="7" t="str">
        <f>VLOOKUP($S1195,Mapping!$E$140:$K$2771,7,0)</f>
        <v>ENDirect</v>
      </c>
      <c r="Z1195" s="7" t="str">
        <f>IFERROR(HLOOKUP(X1195,'Calc|Weightings'!$K$5:$M$5,1,0),"Excl")</f>
        <v>Labour</v>
      </c>
      <c r="AA1195" s="7" t="str">
        <f>VLOOKUP(Q1195,Mapping!$E$11:$I$96,5,0)</f>
        <v>SCS</v>
      </c>
      <c r="AC1195" s="111">
        <v>151</v>
      </c>
      <c r="AD1195" s="111" t="s">
        <v>2160</v>
      </c>
      <c r="AE1195" s="111">
        <v>613566</v>
      </c>
      <c r="AF1195" s="111" t="s">
        <v>1482</v>
      </c>
      <c r="AG1195" s="112">
        <v>1.5922499999999999</v>
      </c>
      <c r="AI1195" s="7" t="str">
        <f>VLOOKUP($AC1195,Mapping!$E$11:$I$96,3,0)</f>
        <v>Metering Capex</v>
      </c>
      <c r="AJ1195" s="7" t="str">
        <f>VLOOKUP($AE1195,Mapping!$E$140:$K$2771,5,0)</f>
        <v>Labour</v>
      </c>
      <c r="AK1195" s="7" t="str">
        <f>VLOOKUP($AE1195,Mapping!$E$140:$K$2771,7,0)</f>
        <v>ENDirect</v>
      </c>
      <c r="AL1195" s="7" t="str">
        <f>IFERROR(HLOOKUP(AJ1195,'Calc|Weightings'!$K$5:$M$5,1,0),"Excl")</f>
        <v>Labour</v>
      </c>
      <c r="AM1195" s="7" t="str">
        <f>VLOOKUP(AC1195,Mapping!$E$11:$I$96,5,0)</f>
        <v>Metering Services</v>
      </c>
      <c r="AO1195" s="134">
        <v>157</v>
      </c>
      <c r="AP1195" s="135" t="s">
        <v>2166</v>
      </c>
      <c r="AQ1195" s="135">
        <v>532100</v>
      </c>
      <c r="AR1195" s="135" t="s">
        <v>286</v>
      </c>
      <c r="AS1195" s="136">
        <v>53.441600000000001</v>
      </c>
      <c r="AU1195" s="7" t="str">
        <f>VLOOKUP($AO1195,Mapping!$E$11:$I$96,3,0)</f>
        <v>Replacement</v>
      </c>
      <c r="AV1195" s="7" t="str">
        <f>VLOOKUP($AQ1195,Mapping!$E$140:$K$2771,5,0)</f>
        <v>Contracts</v>
      </c>
      <c r="AW1195" s="7" t="str">
        <f>VLOOKUP($AQ1195,Mapping!$E$140:$K$2771,7,0)</f>
        <v>ENDirect</v>
      </c>
      <c r="AX1195" s="7" t="str">
        <f>IFERROR(HLOOKUP(AV1195,'Calc|Weightings'!$K$5:$M$5,1,0),"Excl")</f>
        <v>Contracts</v>
      </c>
      <c r="AY1195" s="7" t="str">
        <f>VLOOKUP(AO1195,Mapping!$E$11:$I$96,5,0)</f>
        <v>SCS</v>
      </c>
    </row>
    <row r="1196" spans="1:51" x14ac:dyDescent="0.2">
      <c r="A1196" s="7"/>
      <c r="B1196" s="7"/>
      <c r="C1196" s="7"/>
      <c r="D1196" s="7"/>
      <c r="E1196" s="36">
        <v>145</v>
      </c>
      <c r="F1196" s="36" t="s">
        <v>2155</v>
      </c>
      <c r="G1196" s="36">
        <v>531495</v>
      </c>
      <c r="H1196" s="36" t="s">
        <v>2353</v>
      </c>
      <c r="I1196" s="37">
        <v>-0.80081000000000002</v>
      </c>
      <c r="J1196" s="7"/>
      <c r="K1196" s="7" t="str">
        <f>VLOOKUP($E1196,Mapping!$E$11:$I$96,3,0)</f>
        <v>Replacement</v>
      </c>
      <c r="L1196" s="7" t="str">
        <f>VLOOKUP($G1196,Mapping!$E$140:$K$2771,5,0)</f>
        <v>Contracts</v>
      </c>
      <c r="M1196" s="7" t="str">
        <f>VLOOKUP($G1196,Mapping!$E$140:$K$2771,7,0)</f>
        <v>ENDirect</v>
      </c>
      <c r="N1196" s="7" t="str">
        <f>IFERROR(HLOOKUP(L1196,'Calc|Weightings'!$K$5:$M$5,1,0),"Excl")</f>
        <v>Contracts</v>
      </c>
      <c r="O1196" s="7" t="str">
        <f>VLOOKUP(E1196,Mapping!$E$11:$I$96,5,0)</f>
        <v>SCS</v>
      </c>
      <c r="Q1196" s="33">
        <v>150</v>
      </c>
      <c r="R1196" s="33" t="s">
        <v>2159</v>
      </c>
      <c r="S1196" s="33">
        <v>613361</v>
      </c>
      <c r="T1196" s="33" t="s">
        <v>2098</v>
      </c>
      <c r="U1196" s="34">
        <v>0.36687999999999998</v>
      </c>
      <c r="V1196" s="7"/>
      <c r="W1196" s="7" t="str">
        <f>VLOOKUP($Q1196,Mapping!$E$11:$I$96,3,0)</f>
        <v>Replacement</v>
      </c>
      <c r="X1196" s="7" t="str">
        <f>VLOOKUP($S1196,Mapping!$E$140:$K$2771,5,0)</f>
        <v>Labour</v>
      </c>
      <c r="Y1196" s="7" t="str">
        <f>VLOOKUP($S1196,Mapping!$E$140:$K$2771,7,0)</f>
        <v>ENDirect</v>
      </c>
      <c r="Z1196" s="7" t="str">
        <f>IFERROR(HLOOKUP(X1196,'Calc|Weightings'!$K$5:$M$5,1,0),"Excl")</f>
        <v>Labour</v>
      </c>
      <c r="AA1196" s="7" t="str">
        <f>VLOOKUP(Q1196,Mapping!$E$11:$I$96,5,0)</f>
        <v>SCS</v>
      </c>
      <c r="AC1196" s="111">
        <v>151</v>
      </c>
      <c r="AD1196" s="111" t="s">
        <v>2160</v>
      </c>
      <c r="AE1196" s="111">
        <v>634001</v>
      </c>
      <c r="AF1196" s="111" t="s">
        <v>2110</v>
      </c>
      <c r="AG1196" s="112">
        <v>2.53349</v>
      </c>
      <c r="AI1196" s="7" t="str">
        <f>VLOOKUP($AC1196,Mapping!$E$11:$I$96,3,0)</f>
        <v>Metering Capex</v>
      </c>
      <c r="AJ1196" s="7" t="str">
        <f>VLOOKUP($AE1196,Mapping!$E$140:$K$2771,5,0)</f>
        <v>Local OH</v>
      </c>
      <c r="AK1196" s="7" t="str">
        <f>VLOOKUP($AE1196,Mapping!$E$140:$K$2771,7,0)</f>
        <v>OH</v>
      </c>
      <c r="AL1196" s="7" t="str">
        <f>IFERROR(HLOOKUP(AJ1196,'Calc|Weightings'!$K$5:$M$5,1,0),"Excl")</f>
        <v>Excl</v>
      </c>
      <c r="AM1196" s="7" t="str">
        <f>VLOOKUP(AC1196,Mapping!$E$11:$I$96,5,0)</f>
        <v>Metering Services</v>
      </c>
      <c r="AO1196" s="134">
        <v>157</v>
      </c>
      <c r="AP1196" s="135" t="s">
        <v>2166</v>
      </c>
      <c r="AQ1196" s="135">
        <v>532300</v>
      </c>
      <c r="AR1196" s="135" t="s">
        <v>297</v>
      </c>
      <c r="AS1196" s="136">
        <v>1.2</v>
      </c>
      <c r="AU1196" s="7" t="str">
        <f>VLOOKUP($AO1196,Mapping!$E$11:$I$96,3,0)</f>
        <v>Replacement</v>
      </c>
      <c r="AV1196" s="7" t="str">
        <f>VLOOKUP($AQ1196,Mapping!$E$140:$K$2771,5,0)</f>
        <v>Contracts</v>
      </c>
      <c r="AW1196" s="7" t="str">
        <f>VLOOKUP($AQ1196,Mapping!$E$140:$K$2771,7,0)</f>
        <v>ENDirect</v>
      </c>
      <c r="AX1196" s="7" t="str">
        <f>IFERROR(HLOOKUP(AV1196,'Calc|Weightings'!$K$5:$M$5,1,0),"Excl")</f>
        <v>Contracts</v>
      </c>
      <c r="AY1196" s="7" t="str">
        <f>VLOOKUP(AO1196,Mapping!$E$11:$I$96,5,0)</f>
        <v>SCS</v>
      </c>
    </row>
    <row r="1197" spans="1:51" x14ac:dyDescent="0.2">
      <c r="A1197" s="7"/>
      <c r="B1197" s="7"/>
      <c r="C1197" s="7"/>
      <c r="D1197" s="7"/>
      <c r="E1197" s="36">
        <v>145</v>
      </c>
      <c r="F1197" s="36" t="s">
        <v>2155</v>
      </c>
      <c r="G1197" s="36">
        <v>591200</v>
      </c>
      <c r="H1197" s="36" t="s">
        <v>398</v>
      </c>
      <c r="I1197" s="37">
        <v>0.05</v>
      </c>
      <c r="J1197" s="7"/>
      <c r="K1197" s="7" t="str">
        <f>VLOOKUP($E1197,Mapping!$E$11:$I$96,3,0)</f>
        <v>Replacement</v>
      </c>
      <c r="L1197" s="7" t="str">
        <f>VLOOKUP($G1197,Mapping!$E$140:$K$2771,5,0)</f>
        <v>Contracts</v>
      </c>
      <c r="M1197" s="7" t="str">
        <f>VLOOKUP($G1197,Mapping!$E$140:$K$2771,7,0)</f>
        <v>ENDirect</v>
      </c>
      <c r="N1197" s="7" t="str">
        <f>IFERROR(HLOOKUP(L1197,'Calc|Weightings'!$K$5:$M$5,1,0),"Excl")</f>
        <v>Contracts</v>
      </c>
      <c r="O1197" s="7" t="str">
        <f>VLOOKUP(E1197,Mapping!$E$11:$I$96,5,0)</f>
        <v>SCS</v>
      </c>
      <c r="Q1197" s="33">
        <v>150</v>
      </c>
      <c r="R1197" s="33" t="s">
        <v>2159</v>
      </c>
      <c r="S1197" s="33">
        <v>613410</v>
      </c>
      <c r="T1197" s="33" t="s">
        <v>2100</v>
      </c>
      <c r="U1197" s="34">
        <v>6.1329000000000002</v>
      </c>
      <c r="V1197" s="7"/>
      <c r="W1197" s="7" t="str">
        <f>VLOOKUP($Q1197,Mapping!$E$11:$I$96,3,0)</f>
        <v>Replacement</v>
      </c>
      <c r="X1197" s="7" t="str">
        <f>VLOOKUP($S1197,Mapping!$E$140:$K$2771,5,0)</f>
        <v>Labour</v>
      </c>
      <c r="Y1197" s="7" t="str">
        <f>VLOOKUP($S1197,Mapping!$E$140:$K$2771,7,0)</f>
        <v>ENDirect</v>
      </c>
      <c r="Z1197" s="7" t="str">
        <f>IFERROR(HLOOKUP(X1197,'Calc|Weightings'!$K$5:$M$5,1,0),"Excl")</f>
        <v>Labour</v>
      </c>
      <c r="AA1197" s="7" t="str">
        <f>VLOOKUP(Q1197,Mapping!$E$11:$I$96,5,0)</f>
        <v>SCS</v>
      </c>
      <c r="AC1197" s="111">
        <v>151</v>
      </c>
      <c r="AD1197" s="111" t="s">
        <v>2160</v>
      </c>
      <c r="AE1197" s="111">
        <v>635001</v>
      </c>
      <c r="AF1197" s="111" t="s">
        <v>1929</v>
      </c>
      <c r="AG1197" s="112">
        <v>0.91425999999999996</v>
      </c>
      <c r="AI1197" s="7" t="str">
        <f>VLOOKUP($AC1197,Mapping!$E$11:$I$96,3,0)</f>
        <v>Metering Capex</v>
      </c>
      <c r="AJ1197" s="7" t="str">
        <f>VLOOKUP($AE1197,Mapping!$E$140:$K$2771,5,0)</f>
        <v>PNS MG</v>
      </c>
      <c r="AK1197" s="7" t="str">
        <f>VLOOKUP($AE1197,Mapping!$E$140:$K$2771,7,0)</f>
        <v>ENDirect</v>
      </c>
      <c r="AL1197" s="7" t="str">
        <f>IFERROR(HLOOKUP(AJ1197,'Calc|Weightings'!$K$5:$M$5,1,0),"Excl")</f>
        <v>Excl</v>
      </c>
      <c r="AM1197" s="7" t="str">
        <f>VLOOKUP(AC1197,Mapping!$E$11:$I$96,5,0)</f>
        <v>Metering Services</v>
      </c>
      <c r="AO1197" s="134">
        <v>157</v>
      </c>
      <c r="AP1197" s="135" t="s">
        <v>2166</v>
      </c>
      <c r="AQ1197" s="135">
        <v>532500</v>
      </c>
      <c r="AR1197" s="135" t="s">
        <v>308</v>
      </c>
      <c r="AS1197" s="136">
        <v>50.083039999999997</v>
      </c>
      <c r="AU1197" s="7" t="str">
        <f>VLOOKUP($AO1197,Mapping!$E$11:$I$96,3,0)</f>
        <v>Replacement</v>
      </c>
      <c r="AV1197" s="7" t="str">
        <f>VLOOKUP($AQ1197,Mapping!$E$140:$K$2771,5,0)</f>
        <v>Contracts</v>
      </c>
      <c r="AW1197" s="7" t="str">
        <f>VLOOKUP($AQ1197,Mapping!$E$140:$K$2771,7,0)</f>
        <v>ENDirect</v>
      </c>
      <c r="AX1197" s="7" t="str">
        <f>IFERROR(HLOOKUP(AV1197,'Calc|Weightings'!$K$5:$M$5,1,0),"Excl")</f>
        <v>Contracts</v>
      </c>
      <c r="AY1197" s="7" t="str">
        <f>VLOOKUP(AO1197,Mapping!$E$11:$I$96,5,0)</f>
        <v>SCS</v>
      </c>
    </row>
    <row r="1198" spans="1:51" x14ac:dyDescent="0.2">
      <c r="A1198" s="7"/>
      <c r="B1198" s="7"/>
      <c r="C1198" s="7"/>
      <c r="D1198" s="7"/>
      <c r="E1198" s="36">
        <v>145</v>
      </c>
      <c r="F1198" s="36" t="s">
        <v>2155</v>
      </c>
      <c r="G1198" s="36">
        <v>611860</v>
      </c>
      <c r="H1198" s="36" t="s">
        <v>2125</v>
      </c>
      <c r="I1198" s="37">
        <v>239.98173</v>
      </c>
      <c r="J1198" s="7"/>
      <c r="K1198" s="7" t="str">
        <f>VLOOKUP($E1198,Mapping!$E$11:$I$96,3,0)</f>
        <v>Replacement</v>
      </c>
      <c r="L1198" s="7" t="str">
        <f>VLOOKUP($G1198,Mapping!$E$140:$K$2771,5,0)</f>
        <v>Labour</v>
      </c>
      <c r="M1198" s="7" t="str">
        <f>VLOOKUP($G1198,Mapping!$E$140:$K$2771,7,0)</f>
        <v>ENDirect</v>
      </c>
      <c r="N1198" s="7" t="str">
        <f>IFERROR(HLOOKUP(L1198,'Calc|Weightings'!$K$5:$M$5,1,0),"Excl")</f>
        <v>Labour</v>
      </c>
      <c r="O1198" s="7" t="str">
        <f>VLOOKUP(E1198,Mapping!$E$11:$I$96,5,0)</f>
        <v>SCS</v>
      </c>
      <c r="Q1198" s="33">
        <v>150</v>
      </c>
      <c r="R1198" s="33" t="s">
        <v>2159</v>
      </c>
      <c r="S1198" s="33">
        <v>613434</v>
      </c>
      <c r="T1198" s="33" t="s">
        <v>2102</v>
      </c>
      <c r="U1198" s="34">
        <v>5.2717000000000001</v>
      </c>
      <c r="V1198" s="7"/>
      <c r="W1198" s="7" t="str">
        <f>VLOOKUP($Q1198,Mapping!$E$11:$I$96,3,0)</f>
        <v>Replacement</v>
      </c>
      <c r="X1198" s="7" t="str">
        <f>VLOOKUP($S1198,Mapping!$E$140:$K$2771,5,0)</f>
        <v>Labour</v>
      </c>
      <c r="Y1198" s="7" t="str">
        <f>VLOOKUP($S1198,Mapping!$E$140:$K$2771,7,0)</f>
        <v>ENDirect</v>
      </c>
      <c r="Z1198" s="7" t="str">
        <f>IFERROR(HLOOKUP(X1198,'Calc|Weightings'!$K$5:$M$5,1,0),"Excl")</f>
        <v>Labour</v>
      </c>
      <c r="AA1198" s="7" t="str">
        <f>VLOOKUP(Q1198,Mapping!$E$11:$I$96,5,0)</f>
        <v>SCS</v>
      </c>
      <c r="AC1198" s="111">
        <v>151</v>
      </c>
      <c r="AD1198" s="111" t="s">
        <v>2160</v>
      </c>
      <c r="AE1198" s="111">
        <v>636001</v>
      </c>
      <c r="AF1198" s="111" t="s">
        <v>2111</v>
      </c>
      <c r="AG1198" s="112">
        <v>1.84422</v>
      </c>
      <c r="AI1198" s="7" t="str">
        <f>VLOOKUP($AC1198,Mapping!$E$11:$I$96,3,0)</f>
        <v>Metering Capex</v>
      </c>
      <c r="AJ1198" s="7" t="str">
        <f>VLOOKUP($AE1198,Mapping!$E$140:$K$2771,5,0)</f>
        <v>System Control OH</v>
      </c>
      <c r="AK1198" s="7" t="str">
        <f>VLOOKUP($AE1198,Mapping!$E$140:$K$2771,7,0)</f>
        <v>OH</v>
      </c>
      <c r="AL1198" s="7" t="str">
        <f>IFERROR(HLOOKUP(AJ1198,'Calc|Weightings'!$K$5:$M$5,1,0),"Excl")</f>
        <v>Excl</v>
      </c>
      <c r="AM1198" s="7" t="str">
        <f>VLOOKUP(AC1198,Mapping!$E$11:$I$96,5,0)</f>
        <v>Metering Services</v>
      </c>
      <c r="AO1198" s="134">
        <v>157</v>
      </c>
      <c r="AP1198" s="135" t="s">
        <v>2166</v>
      </c>
      <c r="AQ1198" s="135">
        <v>591997</v>
      </c>
      <c r="AR1198" s="135" t="s">
        <v>2194</v>
      </c>
      <c r="AS1198" s="136">
        <v>-16.177620000000001</v>
      </c>
      <c r="AU1198" s="7" t="str">
        <f>VLOOKUP($AO1198,Mapping!$E$11:$I$96,3,0)</f>
        <v>Replacement</v>
      </c>
      <c r="AV1198" s="7" t="str">
        <f>VLOOKUP($AQ1198,Mapping!$E$140:$K$2771,5,0)</f>
        <v>Contracts</v>
      </c>
      <c r="AW1198" s="7" t="str">
        <f>VLOOKUP($AQ1198,Mapping!$E$140:$K$2771,7,0)</f>
        <v>ENDirect</v>
      </c>
      <c r="AX1198" s="7" t="str">
        <f>IFERROR(HLOOKUP(AV1198,'Calc|Weightings'!$K$5:$M$5,1,0),"Excl")</f>
        <v>Contracts</v>
      </c>
      <c r="AY1198" s="7" t="str">
        <f>VLOOKUP(AO1198,Mapping!$E$11:$I$96,5,0)</f>
        <v>SCS</v>
      </c>
    </row>
    <row r="1199" spans="1:51" x14ac:dyDescent="0.2">
      <c r="A1199" s="7"/>
      <c r="B1199" s="7"/>
      <c r="C1199" s="7"/>
      <c r="D1199" s="7"/>
      <c r="E1199" s="36">
        <v>145</v>
      </c>
      <c r="F1199" s="36" t="s">
        <v>2155</v>
      </c>
      <c r="G1199" s="36">
        <v>611861</v>
      </c>
      <c r="H1199" s="36" t="s">
        <v>2140</v>
      </c>
      <c r="I1199" s="37">
        <v>-47.548580000000001</v>
      </c>
      <c r="J1199" s="7"/>
      <c r="K1199" s="7" t="str">
        <f>VLOOKUP($E1199,Mapping!$E$11:$I$96,3,0)</f>
        <v>Replacement</v>
      </c>
      <c r="L1199" s="7" t="str">
        <f>VLOOKUP($G1199,Mapping!$E$140:$K$2771,5,0)</f>
        <v>Labour</v>
      </c>
      <c r="M1199" s="7" t="str">
        <f>VLOOKUP($G1199,Mapping!$E$140:$K$2771,7,0)</f>
        <v>ENDirect</v>
      </c>
      <c r="N1199" s="7" t="str">
        <f>IFERROR(HLOOKUP(L1199,'Calc|Weightings'!$K$5:$M$5,1,0),"Excl")</f>
        <v>Labour</v>
      </c>
      <c r="O1199" s="7" t="str">
        <f>VLOOKUP(E1199,Mapping!$E$11:$I$96,5,0)</f>
        <v>SCS</v>
      </c>
      <c r="Q1199" s="33">
        <v>150</v>
      </c>
      <c r="R1199" s="33" t="s">
        <v>2159</v>
      </c>
      <c r="S1199" s="33">
        <v>613440</v>
      </c>
      <c r="T1199" s="33" t="s">
        <v>2103</v>
      </c>
      <c r="U1199" s="34">
        <v>1.1256699999999999</v>
      </c>
      <c r="V1199" s="7"/>
      <c r="W1199" s="7" t="str">
        <f>VLOOKUP($Q1199,Mapping!$E$11:$I$96,3,0)</f>
        <v>Replacement</v>
      </c>
      <c r="X1199" s="7" t="str">
        <f>VLOOKUP($S1199,Mapping!$E$140:$K$2771,5,0)</f>
        <v>Labour</v>
      </c>
      <c r="Y1199" s="7" t="str">
        <f>VLOOKUP($S1199,Mapping!$E$140:$K$2771,7,0)</f>
        <v>ENDirect</v>
      </c>
      <c r="Z1199" s="7" t="str">
        <f>IFERROR(HLOOKUP(X1199,'Calc|Weightings'!$K$5:$M$5,1,0),"Excl")</f>
        <v>Labour</v>
      </c>
      <c r="AA1199" s="7" t="str">
        <f>VLOOKUP(Q1199,Mapping!$E$11:$I$96,5,0)</f>
        <v>SCS</v>
      </c>
      <c r="AC1199" s="111">
        <v>151</v>
      </c>
      <c r="AD1199" s="111" t="s">
        <v>2160</v>
      </c>
      <c r="AE1199" s="111">
        <v>639000</v>
      </c>
      <c r="AF1199" s="111" t="s">
        <v>2112</v>
      </c>
      <c r="AG1199" s="112">
        <v>1.95987</v>
      </c>
      <c r="AI1199" s="7" t="str">
        <f>VLOOKUP($AC1199,Mapping!$E$11:$I$96,3,0)</f>
        <v>Metering Capex</v>
      </c>
      <c r="AJ1199" s="7" t="str">
        <f>VLOOKUP($AE1199,Mapping!$E$140:$K$2771,5,0)</f>
        <v>PNS Corporate OH</v>
      </c>
      <c r="AK1199" s="7" t="str">
        <f>VLOOKUP($AE1199,Mapping!$E$140:$K$2771,7,0)</f>
        <v>OH</v>
      </c>
      <c r="AL1199" s="7" t="str">
        <f>IFERROR(HLOOKUP(AJ1199,'Calc|Weightings'!$K$5:$M$5,1,0),"Excl")</f>
        <v>Excl</v>
      </c>
      <c r="AM1199" s="7" t="str">
        <f>VLOOKUP(AC1199,Mapping!$E$11:$I$96,5,0)</f>
        <v>Metering Services</v>
      </c>
      <c r="AO1199" s="134">
        <v>157</v>
      </c>
      <c r="AP1199" s="135" t="s">
        <v>2166</v>
      </c>
      <c r="AQ1199" s="135">
        <v>591999</v>
      </c>
      <c r="AR1199" s="135" t="s">
        <v>2195</v>
      </c>
      <c r="AS1199" s="136">
        <v>-63.750239999999998</v>
      </c>
      <c r="AU1199" s="7" t="str">
        <f>VLOOKUP($AO1199,Mapping!$E$11:$I$96,3,0)</f>
        <v>Replacement</v>
      </c>
      <c r="AV1199" s="7" t="str">
        <f>VLOOKUP($AQ1199,Mapping!$E$140:$K$2771,5,0)</f>
        <v>Contracts</v>
      </c>
      <c r="AW1199" s="7" t="str">
        <f>VLOOKUP($AQ1199,Mapping!$E$140:$K$2771,7,0)</f>
        <v>ENDirect</v>
      </c>
      <c r="AX1199" s="7" t="str">
        <f>IFERROR(HLOOKUP(AV1199,'Calc|Weightings'!$K$5:$M$5,1,0),"Excl")</f>
        <v>Contracts</v>
      </c>
      <c r="AY1199" s="7" t="str">
        <f>VLOOKUP(AO1199,Mapping!$E$11:$I$96,5,0)</f>
        <v>SCS</v>
      </c>
    </row>
    <row r="1200" spans="1:51" x14ac:dyDescent="0.2">
      <c r="A1200" s="7"/>
      <c r="B1200" s="7"/>
      <c r="C1200" s="7"/>
      <c r="D1200" s="7"/>
      <c r="E1200" s="36">
        <v>145</v>
      </c>
      <c r="F1200" s="36" t="s">
        <v>2155</v>
      </c>
      <c r="G1200" s="36">
        <v>611900</v>
      </c>
      <c r="H1200" s="36" t="s">
        <v>2079</v>
      </c>
      <c r="I1200" s="37">
        <v>0.85895999999999995</v>
      </c>
      <c r="J1200" s="7"/>
      <c r="K1200" s="7" t="str">
        <f>VLOOKUP($E1200,Mapping!$E$11:$I$96,3,0)</f>
        <v>Replacement</v>
      </c>
      <c r="L1200" s="7" t="str">
        <f>VLOOKUP($G1200,Mapping!$E$140:$K$2771,5,0)</f>
        <v>Contracts</v>
      </c>
      <c r="M1200" s="7" t="str">
        <f>VLOOKUP($G1200,Mapping!$E$140:$K$2771,7,0)</f>
        <v>ENDirect</v>
      </c>
      <c r="N1200" s="7" t="str">
        <f>IFERROR(HLOOKUP(L1200,'Calc|Weightings'!$K$5:$M$5,1,0),"Excl")</f>
        <v>Contracts</v>
      </c>
      <c r="O1200" s="7" t="str">
        <f>VLOOKUP(E1200,Mapping!$E$11:$I$96,5,0)</f>
        <v>SCS</v>
      </c>
      <c r="Q1200" s="33">
        <v>150</v>
      </c>
      <c r="R1200" s="33" t="s">
        <v>2159</v>
      </c>
      <c r="S1200" s="33">
        <v>613441</v>
      </c>
      <c r="T1200" s="33" t="s">
        <v>2104</v>
      </c>
      <c r="U1200" s="34">
        <v>2.7119999999999998E-2</v>
      </c>
      <c r="V1200" s="7"/>
      <c r="W1200" s="7" t="str">
        <f>VLOOKUP($Q1200,Mapping!$E$11:$I$96,3,0)</f>
        <v>Replacement</v>
      </c>
      <c r="X1200" s="7" t="str">
        <f>VLOOKUP($S1200,Mapping!$E$140:$K$2771,5,0)</f>
        <v>Labour</v>
      </c>
      <c r="Y1200" s="7" t="str">
        <f>VLOOKUP($S1200,Mapping!$E$140:$K$2771,7,0)</f>
        <v>ENDirect</v>
      </c>
      <c r="Z1200" s="7" t="str">
        <f>IFERROR(HLOOKUP(X1200,'Calc|Weightings'!$K$5:$M$5,1,0),"Excl")</f>
        <v>Labour</v>
      </c>
      <c r="AA1200" s="7" t="str">
        <f>VLOOKUP(Q1200,Mapping!$E$11:$I$96,5,0)</f>
        <v>SCS</v>
      </c>
      <c r="AC1200" s="111">
        <v>151</v>
      </c>
      <c r="AD1200" s="111" t="s">
        <v>2160</v>
      </c>
      <c r="AE1200" s="111">
        <v>639050</v>
      </c>
      <c r="AF1200" s="111" t="s">
        <v>2113</v>
      </c>
      <c r="AG1200" s="112">
        <v>0.22173000000000001</v>
      </c>
      <c r="AI1200" s="7" t="str">
        <f>VLOOKUP($AC1200,Mapping!$E$11:$I$96,3,0)</f>
        <v>Metering Capex</v>
      </c>
      <c r="AJ1200" s="7" t="str">
        <f>VLOOKUP($AE1200,Mapping!$E$140:$K$2771,5,0)</f>
        <v>PNS Fleet &amp; Property OH</v>
      </c>
      <c r="AK1200" s="7" t="str">
        <f>VLOOKUP($AE1200,Mapping!$E$140:$K$2771,7,0)</f>
        <v>OH</v>
      </c>
      <c r="AL1200" s="7" t="str">
        <f>IFERROR(HLOOKUP(AJ1200,'Calc|Weightings'!$K$5:$M$5,1,0),"Excl")</f>
        <v>Excl</v>
      </c>
      <c r="AM1200" s="7" t="str">
        <f>VLOOKUP(AC1200,Mapping!$E$11:$I$96,5,0)</f>
        <v>Metering Services</v>
      </c>
      <c r="AO1200" s="134">
        <v>157</v>
      </c>
      <c r="AP1200" s="135" t="s">
        <v>2166</v>
      </c>
      <c r="AQ1200" s="135">
        <v>611902</v>
      </c>
      <c r="AR1200" s="135" t="s">
        <v>2081</v>
      </c>
      <c r="AS1200" s="136">
        <v>3.1943999999999999</v>
      </c>
      <c r="AU1200" s="7" t="str">
        <f>VLOOKUP($AO1200,Mapping!$E$11:$I$96,3,0)</f>
        <v>Replacement</v>
      </c>
      <c r="AV1200" s="7" t="str">
        <f>VLOOKUP($AQ1200,Mapping!$E$140:$K$2771,5,0)</f>
        <v>Contracts</v>
      </c>
      <c r="AW1200" s="7" t="str">
        <f>VLOOKUP($AQ1200,Mapping!$E$140:$K$2771,7,0)</f>
        <v>ENDirect</v>
      </c>
      <c r="AX1200" s="7" t="str">
        <f>IFERROR(HLOOKUP(AV1200,'Calc|Weightings'!$K$5:$M$5,1,0),"Excl")</f>
        <v>Contracts</v>
      </c>
      <c r="AY1200" s="7" t="str">
        <f>VLOOKUP(AO1200,Mapping!$E$11:$I$96,5,0)</f>
        <v>SCS</v>
      </c>
    </row>
    <row r="1201" spans="1:51" x14ac:dyDescent="0.2">
      <c r="A1201" s="7"/>
      <c r="B1201" s="7"/>
      <c r="C1201" s="7"/>
      <c r="D1201" s="7"/>
      <c r="E1201" s="36">
        <v>145</v>
      </c>
      <c r="F1201" s="36" t="s">
        <v>2155</v>
      </c>
      <c r="G1201" s="36">
        <v>611901</v>
      </c>
      <c r="H1201" s="36" t="s">
        <v>2080</v>
      </c>
      <c r="I1201" s="37">
        <v>-0.64439000000000002</v>
      </c>
      <c r="J1201" s="7"/>
      <c r="K1201" s="7" t="str">
        <f>VLOOKUP($E1201,Mapping!$E$11:$I$96,3,0)</f>
        <v>Replacement</v>
      </c>
      <c r="L1201" s="7" t="str">
        <f>VLOOKUP($G1201,Mapping!$E$140:$K$2771,5,0)</f>
        <v>Contracts</v>
      </c>
      <c r="M1201" s="7" t="str">
        <f>VLOOKUP($G1201,Mapping!$E$140:$K$2771,7,0)</f>
        <v>ENDirect</v>
      </c>
      <c r="N1201" s="7" t="str">
        <f>IFERROR(HLOOKUP(L1201,'Calc|Weightings'!$K$5:$M$5,1,0),"Excl")</f>
        <v>Contracts</v>
      </c>
      <c r="O1201" s="7" t="str">
        <f>VLOOKUP(E1201,Mapping!$E$11:$I$96,5,0)</f>
        <v>SCS</v>
      </c>
      <c r="Q1201" s="33">
        <v>150</v>
      </c>
      <c r="R1201" s="33" t="s">
        <v>2159</v>
      </c>
      <c r="S1201" s="33">
        <v>613448</v>
      </c>
      <c r="T1201" s="33" t="s">
        <v>2105</v>
      </c>
      <c r="U1201" s="34">
        <v>3.7082999999999999</v>
      </c>
      <c r="V1201" s="7"/>
      <c r="W1201" s="7" t="str">
        <f>VLOOKUP($Q1201,Mapping!$E$11:$I$96,3,0)</f>
        <v>Replacement</v>
      </c>
      <c r="X1201" s="7" t="str">
        <f>VLOOKUP($S1201,Mapping!$E$140:$K$2771,5,0)</f>
        <v>Labour</v>
      </c>
      <c r="Y1201" s="7" t="str">
        <f>VLOOKUP($S1201,Mapping!$E$140:$K$2771,7,0)</f>
        <v>ENDirect</v>
      </c>
      <c r="Z1201" s="7" t="str">
        <f>IFERROR(HLOOKUP(X1201,'Calc|Weightings'!$K$5:$M$5,1,0),"Excl")</f>
        <v>Labour</v>
      </c>
      <c r="AA1201" s="7" t="str">
        <f>VLOOKUP(Q1201,Mapping!$E$11:$I$96,5,0)</f>
        <v>SCS</v>
      </c>
      <c r="AC1201" s="111">
        <v>152</v>
      </c>
      <c r="AD1201" s="111" t="s">
        <v>2161</v>
      </c>
      <c r="AE1201" s="111">
        <v>591999</v>
      </c>
      <c r="AF1201" s="111" t="s">
        <v>2195</v>
      </c>
      <c r="AG1201" s="112">
        <v>-0.74182999999999999</v>
      </c>
      <c r="AI1201" s="7" t="str">
        <f>VLOOKUP($AC1201,Mapping!$E$11:$I$96,3,0)</f>
        <v>Replacement</v>
      </c>
      <c r="AJ1201" s="7" t="str">
        <f>VLOOKUP($AE1201,Mapping!$E$140:$K$2771,5,0)</f>
        <v>Contracts</v>
      </c>
      <c r="AK1201" s="7" t="str">
        <f>VLOOKUP($AE1201,Mapping!$E$140:$K$2771,7,0)</f>
        <v>ENDirect</v>
      </c>
      <c r="AL1201" s="7" t="str">
        <f>IFERROR(HLOOKUP(AJ1201,'Calc|Weightings'!$K$5:$M$5,1,0),"Excl")</f>
        <v>Contracts</v>
      </c>
      <c r="AM1201" s="7" t="str">
        <f>VLOOKUP(AC1201,Mapping!$E$11:$I$96,5,0)</f>
        <v>SCS</v>
      </c>
      <c r="AO1201" s="134">
        <v>157</v>
      </c>
      <c r="AP1201" s="135" t="s">
        <v>2166</v>
      </c>
      <c r="AQ1201" s="135">
        <v>612210</v>
      </c>
      <c r="AR1201" s="135" t="s">
        <v>1184</v>
      </c>
      <c r="AS1201" s="136">
        <v>35.184530000000002</v>
      </c>
      <c r="AU1201" s="7" t="str">
        <f>VLOOKUP($AO1201,Mapping!$E$11:$I$96,3,0)</f>
        <v>Replacement</v>
      </c>
      <c r="AV1201" s="7" t="str">
        <f>VLOOKUP($AQ1201,Mapping!$E$140:$K$2771,5,0)</f>
        <v>Labour</v>
      </c>
      <c r="AW1201" s="7" t="str">
        <f>VLOOKUP($AQ1201,Mapping!$E$140:$K$2771,7,0)</f>
        <v>ENDirect</v>
      </c>
      <c r="AX1201" s="7" t="str">
        <f>IFERROR(HLOOKUP(AV1201,'Calc|Weightings'!$K$5:$M$5,1,0),"Excl")</f>
        <v>Labour</v>
      </c>
      <c r="AY1201" s="7" t="str">
        <f>VLOOKUP(AO1201,Mapping!$E$11:$I$96,5,0)</f>
        <v>SCS</v>
      </c>
    </row>
    <row r="1202" spans="1:51" x14ac:dyDescent="0.2">
      <c r="A1202" s="7"/>
      <c r="B1202" s="7"/>
      <c r="C1202" s="7"/>
      <c r="D1202" s="7"/>
      <c r="E1202" s="36">
        <v>145</v>
      </c>
      <c r="F1202" s="36" t="s">
        <v>2155</v>
      </c>
      <c r="G1202" s="36">
        <v>611902</v>
      </c>
      <c r="H1202" s="36" t="s">
        <v>2081</v>
      </c>
      <c r="I1202" s="37">
        <v>1.08E-3</v>
      </c>
      <c r="J1202" s="7"/>
      <c r="K1202" s="7" t="str">
        <f>VLOOKUP($E1202,Mapping!$E$11:$I$96,3,0)</f>
        <v>Replacement</v>
      </c>
      <c r="L1202" s="7" t="str">
        <f>VLOOKUP($G1202,Mapping!$E$140:$K$2771,5,0)</f>
        <v>Contracts</v>
      </c>
      <c r="M1202" s="7" t="str">
        <f>VLOOKUP($G1202,Mapping!$E$140:$K$2771,7,0)</f>
        <v>ENDirect</v>
      </c>
      <c r="N1202" s="7" t="str">
        <f>IFERROR(HLOOKUP(L1202,'Calc|Weightings'!$K$5:$M$5,1,0),"Excl")</f>
        <v>Contracts</v>
      </c>
      <c r="O1202" s="7" t="str">
        <f>VLOOKUP(E1202,Mapping!$E$11:$I$96,5,0)</f>
        <v>SCS</v>
      </c>
      <c r="Q1202" s="33">
        <v>150</v>
      </c>
      <c r="R1202" s="33" t="s">
        <v>2159</v>
      </c>
      <c r="S1202" s="33">
        <v>613449</v>
      </c>
      <c r="T1202" s="33" t="s">
        <v>2106</v>
      </c>
      <c r="U1202" s="34">
        <v>4.1758199999999999</v>
      </c>
      <c r="V1202" s="7"/>
      <c r="W1202" s="7" t="str">
        <f>VLOOKUP($Q1202,Mapping!$E$11:$I$96,3,0)</f>
        <v>Replacement</v>
      </c>
      <c r="X1202" s="7" t="str">
        <f>VLOOKUP($S1202,Mapping!$E$140:$K$2771,5,0)</f>
        <v>Labour</v>
      </c>
      <c r="Y1202" s="7" t="str">
        <f>VLOOKUP($S1202,Mapping!$E$140:$K$2771,7,0)</f>
        <v>ENDirect</v>
      </c>
      <c r="Z1202" s="7" t="str">
        <f>IFERROR(HLOOKUP(X1202,'Calc|Weightings'!$K$5:$M$5,1,0),"Excl")</f>
        <v>Labour</v>
      </c>
      <c r="AA1202" s="7" t="str">
        <f>VLOOKUP(Q1202,Mapping!$E$11:$I$96,5,0)</f>
        <v>SCS</v>
      </c>
      <c r="AC1202" s="111">
        <v>152</v>
      </c>
      <c r="AD1202" s="111" t="s">
        <v>2161</v>
      </c>
      <c r="AE1202" s="111">
        <v>633000</v>
      </c>
      <c r="AF1202" s="111" t="s">
        <v>2202</v>
      </c>
      <c r="AG1202" s="112">
        <v>-1.5640099999999999</v>
      </c>
      <c r="AI1202" s="7" t="str">
        <f>VLOOKUP($AC1202,Mapping!$E$11:$I$96,3,0)</f>
        <v>Replacement</v>
      </c>
      <c r="AJ1202" s="7" t="str">
        <f>VLOOKUP($AE1202,Mapping!$E$140:$K$2771,5,0)</f>
        <v>Contracts</v>
      </c>
      <c r="AK1202" s="7" t="str">
        <f>VLOOKUP($AE1202,Mapping!$E$140:$K$2771,7,0)</f>
        <v>OH</v>
      </c>
      <c r="AL1202" s="7" t="str">
        <f>IFERROR(HLOOKUP(AJ1202,'Calc|Weightings'!$K$5:$M$5,1,0),"Excl")</f>
        <v>Contracts</v>
      </c>
      <c r="AM1202" s="7" t="str">
        <f>VLOOKUP(AC1202,Mapping!$E$11:$I$96,5,0)</f>
        <v>SCS</v>
      </c>
      <c r="AO1202" s="134">
        <v>157</v>
      </c>
      <c r="AP1202" s="135" t="s">
        <v>2166</v>
      </c>
      <c r="AQ1202" s="135">
        <v>613260</v>
      </c>
      <c r="AR1202" s="135" t="s">
        <v>2090</v>
      </c>
      <c r="AS1202" s="136">
        <v>43.119540000000001</v>
      </c>
      <c r="AU1202" s="7" t="str">
        <f>VLOOKUP($AO1202,Mapping!$E$11:$I$96,3,0)</f>
        <v>Replacement</v>
      </c>
      <c r="AV1202" s="7" t="str">
        <f>VLOOKUP($AQ1202,Mapping!$E$140:$K$2771,5,0)</f>
        <v>Labour</v>
      </c>
      <c r="AW1202" s="7" t="str">
        <f>VLOOKUP($AQ1202,Mapping!$E$140:$K$2771,7,0)</f>
        <v>ENDirect</v>
      </c>
      <c r="AX1202" s="7" t="str">
        <f>IFERROR(HLOOKUP(AV1202,'Calc|Weightings'!$K$5:$M$5,1,0),"Excl")</f>
        <v>Labour</v>
      </c>
      <c r="AY1202" s="7" t="str">
        <f>VLOOKUP(AO1202,Mapping!$E$11:$I$96,5,0)</f>
        <v>SCS</v>
      </c>
    </row>
    <row r="1203" spans="1:51" x14ac:dyDescent="0.2">
      <c r="A1203" s="7"/>
      <c r="B1203" s="7"/>
      <c r="C1203" s="7"/>
      <c r="D1203" s="7"/>
      <c r="E1203" s="36">
        <v>145</v>
      </c>
      <c r="F1203" s="36" t="s">
        <v>2155</v>
      </c>
      <c r="G1203" s="36">
        <v>612210</v>
      </c>
      <c r="H1203" s="36" t="s">
        <v>1184</v>
      </c>
      <c r="I1203" s="37">
        <v>32.76979</v>
      </c>
      <c r="J1203" s="7"/>
      <c r="K1203" s="7" t="str">
        <f>VLOOKUP($E1203,Mapping!$E$11:$I$96,3,0)</f>
        <v>Replacement</v>
      </c>
      <c r="L1203" s="7" t="str">
        <f>VLOOKUP($G1203,Mapping!$E$140:$K$2771,5,0)</f>
        <v>Labour</v>
      </c>
      <c r="M1203" s="7" t="str">
        <f>VLOOKUP($G1203,Mapping!$E$140:$K$2771,7,0)</f>
        <v>ENDirect</v>
      </c>
      <c r="N1203" s="7" t="str">
        <f>IFERROR(HLOOKUP(L1203,'Calc|Weightings'!$K$5:$M$5,1,0),"Excl")</f>
        <v>Labour</v>
      </c>
      <c r="O1203" s="7" t="str">
        <f>VLOOKUP(E1203,Mapping!$E$11:$I$96,5,0)</f>
        <v>SCS</v>
      </c>
      <c r="Q1203" s="33">
        <v>150</v>
      </c>
      <c r="R1203" s="33" t="s">
        <v>2159</v>
      </c>
      <c r="S1203" s="33">
        <v>613566</v>
      </c>
      <c r="T1203" s="33" t="s">
        <v>1482</v>
      </c>
      <c r="U1203" s="34">
        <v>14.2704</v>
      </c>
      <c r="V1203" s="7"/>
      <c r="W1203" s="7" t="str">
        <f>VLOOKUP($Q1203,Mapping!$E$11:$I$96,3,0)</f>
        <v>Replacement</v>
      </c>
      <c r="X1203" s="7" t="str">
        <f>VLOOKUP($S1203,Mapping!$E$140:$K$2771,5,0)</f>
        <v>Labour</v>
      </c>
      <c r="Y1203" s="7" t="str">
        <f>VLOOKUP($S1203,Mapping!$E$140:$K$2771,7,0)</f>
        <v>ENDirect</v>
      </c>
      <c r="Z1203" s="7" t="str">
        <f>IFERROR(HLOOKUP(X1203,'Calc|Weightings'!$K$5:$M$5,1,0),"Excl")</f>
        <v>Labour</v>
      </c>
      <c r="AA1203" s="7" t="str">
        <f>VLOOKUP(Q1203,Mapping!$E$11:$I$96,5,0)</f>
        <v>SCS</v>
      </c>
      <c r="AC1203" s="111">
        <v>152</v>
      </c>
      <c r="AD1203" s="111" t="s">
        <v>2161</v>
      </c>
      <c r="AE1203" s="111">
        <v>634000</v>
      </c>
      <c r="AF1203" s="111" t="s">
        <v>2110</v>
      </c>
      <c r="AG1203" s="112">
        <v>0.44740000000000002</v>
      </c>
      <c r="AI1203" s="7" t="str">
        <f>VLOOKUP($AC1203,Mapping!$E$11:$I$96,3,0)</f>
        <v>Replacement</v>
      </c>
      <c r="AJ1203" s="7" t="str">
        <f>VLOOKUP($AE1203,Mapping!$E$140:$K$2771,5,0)</f>
        <v>Local OH</v>
      </c>
      <c r="AK1203" s="7" t="str">
        <f>VLOOKUP($AE1203,Mapping!$E$140:$K$2771,7,0)</f>
        <v>OH</v>
      </c>
      <c r="AL1203" s="7" t="str">
        <f>IFERROR(HLOOKUP(AJ1203,'Calc|Weightings'!$K$5:$M$5,1,0),"Excl")</f>
        <v>Excl</v>
      </c>
      <c r="AM1203" s="7" t="str">
        <f>VLOOKUP(AC1203,Mapping!$E$11:$I$96,5,0)</f>
        <v>SCS</v>
      </c>
      <c r="AO1203" s="134">
        <v>157</v>
      </c>
      <c r="AP1203" s="135" t="s">
        <v>2166</v>
      </c>
      <c r="AQ1203" s="135">
        <v>613261</v>
      </c>
      <c r="AR1203" s="135" t="s">
        <v>2091</v>
      </c>
      <c r="AS1203" s="136">
        <v>2.08426</v>
      </c>
      <c r="AU1203" s="7" t="str">
        <f>VLOOKUP($AO1203,Mapping!$E$11:$I$96,3,0)</f>
        <v>Replacement</v>
      </c>
      <c r="AV1203" s="7" t="str">
        <f>VLOOKUP($AQ1203,Mapping!$E$140:$K$2771,5,0)</f>
        <v>Labour</v>
      </c>
      <c r="AW1203" s="7" t="str">
        <f>VLOOKUP($AQ1203,Mapping!$E$140:$K$2771,7,0)</f>
        <v>ENDirect</v>
      </c>
      <c r="AX1203" s="7" t="str">
        <f>IFERROR(HLOOKUP(AV1203,'Calc|Weightings'!$K$5:$M$5,1,0),"Excl")</f>
        <v>Labour</v>
      </c>
      <c r="AY1203" s="7" t="str">
        <f>VLOOKUP(AO1203,Mapping!$E$11:$I$96,5,0)</f>
        <v>SCS</v>
      </c>
    </row>
    <row r="1204" spans="1:51" x14ac:dyDescent="0.2">
      <c r="A1204" s="7"/>
      <c r="B1204" s="7"/>
      <c r="C1204" s="7"/>
      <c r="D1204" s="7"/>
      <c r="E1204" s="36">
        <v>145</v>
      </c>
      <c r="F1204" s="36" t="s">
        <v>2155</v>
      </c>
      <c r="G1204" s="36">
        <v>612462</v>
      </c>
      <c r="H1204" s="36" t="s">
        <v>1244</v>
      </c>
      <c r="I1204" s="37">
        <v>-1.10653</v>
      </c>
      <c r="J1204" s="7"/>
      <c r="K1204" s="7" t="str">
        <f>VLOOKUP($E1204,Mapping!$E$11:$I$96,3,0)</f>
        <v>Replacement</v>
      </c>
      <c r="L1204" s="7" t="str">
        <f>VLOOKUP($G1204,Mapping!$E$140:$K$2771,5,0)</f>
        <v>Labour</v>
      </c>
      <c r="M1204" s="7" t="str">
        <f>VLOOKUP($G1204,Mapping!$E$140:$K$2771,7,0)</f>
        <v>ENDirect</v>
      </c>
      <c r="N1204" s="7" t="str">
        <f>IFERROR(HLOOKUP(L1204,'Calc|Weightings'!$K$5:$M$5,1,0),"Excl")</f>
        <v>Labour</v>
      </c>
      <c r="O1204" s="7" t="str">
        <f>VLOOKUP(E1204,Mapping!$E$11:$I$96,5,0)</f>
        <v>SCS</v>
      </c>
      <c r="Q1204" s="33">
        <v>150</v>
      </c>
      <c r="R1204" s="33" t="s">
        <v>2159</v>
      </c>
      <c r="S1204" s="33">
        <v>613567</v>
      </c>
      <c r="T1204" s="33" t="s">
        <v>1483</v>
      </c>
      <c r="U1204" s="34">
        <v>1.9922500000000001</v>
      </c>
      <c r="V1204" s="7"/>
      <c r="W1204" s="7" t="str">
        <f>VLOOKUP($Q1204,Mapping!$E$11:$I$96,3,0)</f>
        <v>Replacement</v>
      </c>
      <c r="X1204" s="7" t="str">
        <f>VLOOKUP($S1204,Mapping!$E$140:$K$2771,5,0)</f>
        <v>Labour</v>
      </c>
      <c r="Y1204" s="7" t="str">
        <f>VLOOKUP($S1204,Mapping!$E$140:$K$2771,7,0)</f>
        <v>ENDirect</v>
      </c>
      <c r="Z1204" s="7" t="str">
        <f>IFERROR(HLOOKUP(X1204,'Calc|Weightings'!$K$5:$M$5,1,0),"Excl")</f>
        <v>Labour</v>
      </c>
      <c r="AA1204" s="7" t="str">
        <f>VLOOKUP(Q1204,Mapping!$E$11:$I$96,5,0)</f>
        <v>SCS</v>
      </c>
      <c r="AC1204" s="111">
        <v>152</v>
      </c>
      <c r="AD1204" s="111" t="s">
        <v>2161</v>
      </c>
      <c r="AE1204" s="111">
        <v>634001</v>
      </c>
      <c r="AF1204" s="111" t="s">
        <v>2110</v>
      </c>
      <c r="AG1204" s="112">
        <v>1.2219500000000001</v>
      </c>
      <c r="AI1204" s="7" t="str">
        <f>VLOOKUP($AC1204,Mapping!$E$11:$I$96,3,0)</f>
        <v>Replacement</v>
      </c>
      <c r="AJ1204" s="7" t="str">
        <f>VLOOKUP($AE1204,Mapping!$E$140:$K$2771,5,0)</f>
        <v>Local OH</v>
      </c>
      <c r="AK1204" s="7" t="str">
        <f>VLOOKUP($AE1204,Mapping!$E$140:$K$2771,7,0)</f>
        <v>OH</v>
      </c>
      <c r="AL1204" s="7" t="str">
        <f>IFERROR(HLOOKUP(AJ1204,'Calc|Weightings'!$K$5:$M$5,1,0),"Excl")</f>
        <v>Excl</v>
      </c>
      <c r="AM1204" s="7" t="str">
        <f>VLOOKUP(AC1204,Mapping!$E$11:$I$96,5,0)</f>
        <v>SCS</v>
      </c>
      <c r="AO1204" s="134">
        <v>157</v>
      </c>
      <c r="AP1204" s="135" t="s">
        <v>2166</v>
      </c>
      <c r="AQ1204" s="135">
        <v>613280</v>
      </c>
      <c r="AR1204" s="135" t="s">
        <v>1342</v>
      </c>
      <c r="AS1204" s="136">
        <v>10.545450000000001</v>
      </c>
      <c r="AU1204" s="7" t="str">
        <f>VLOOKUP($AO1204,Mapping!$E$11:$I$96,3,0)</f>
        <v>Replacement</v>
      </c>
      <c r="AV1204" s="7" t="str">
        <f>VLOOKUP($AQ1204,Mapping!$E$140:$K$2771,5,0)</f>
        <v>Labour</v>
      </c>
      <c r="AW1204" s="7" t="str">
        <f>VLOOKUP($AQ1204,Mapping!$E$140:$K$2771,7,0)</f>
        <v>ENDirect</v>
      </c>
      <c r="AX1204" s="7" t="str">
        <f>IFERROR(HLOOKUP(AV1204,'Calc|Weightings'!$K$5:$M$5,1,0),"Excl")</f>
        <v>Labour</v>
      </c>
      <c r="AY1204" s="7" t="str">
        <f>VLOOKUP(AO1204,Mapping!$E$11:$I$96,5,0)</f>
        <v>SCS</v>
      </c>
    </row>
    <row r="1205" spans="1:51" x14ac:dyDescent="0.2">
      <c r="A1205" s="7"/>
      <c r="B1205" s="7"/>
      <c r="C1205" s="7"/>
      <c r="D1205" s="7"/>
      <c r="E1205" s="36">
        <v>145</v>
      </c>
      <c r="F1205" s="36" t="s">
        <v>2155</v>
      </c>
      <c r="G1205" s="36">
        <v>613248</v>
      </c>
      <c r="H1205" s="36" t="s">
        <v>2383</v>
      </c>
      <c r="I1205" s="37">
        <v>20.430219999999998</v>
      </c>
      <c r="J1205" s="7"/>
      <c r="K1205" s="7" t="str">
        <f>VLOOKUP($E1205,Mapping!$E$11:$I$96,3,0)</f>
        <v>Replacement</v>
      </c>
      <c r="L1205" s="7" t="str">
        <f>VLOOKUP($G1205,Mapping!$E$140:$K$2771,5,0)</f>
        <v>Labour</v>
      </c>
      <c r="M1205" s="7" t="str">
        <f>VLOOKUP($G1205,Mapping!$E$140:$K$2771,7,0)</f>
        <v>ENDirect</v>
      </c>
      <c r="N1205" s="7" t="str">
        <f>IFERROR(HLOOKUP(L1205,'Calc|Weightings'!$K$5:$M$5,1,0),"Excl")</f>
        <v>Labour</v>
      </c>
      <c r="O1205" s="7" t="str">
        <f>VLOOKUP(E1205,Mapping!$E$11:$I$96,5,0)</f>
        <v>SCS</v>
      </c>
      <c r="Q1205" s="33">
        <v>150</v>
      </c>
      <c r="R1205" s="33" t="s">
        <v>2159</v>
      </c>
      <c r="S1205" s="33">
        <v>613570</v>
      </c>
      <c r="T1205" s="33" t="s">
        <v>1484</v>
      </c>
      <c r="U1205" s="34">
        <v>3.05904</v>
      </c>
      <c r="V1205" s="7"/>
      <c r="W1205" s="7" t="str">
        <f>VLOOKUP($Q1205,Mapping!$E$11:$I$96,3,0)</f>
        <v>Replacement</v>
      </c>
      <c r="X1205" s="7" t="str">
        <f>VLOOKUP($S1205,Mapping!$E$140:$K$2771,5,0)</f>
        <v>Labour</v>
      </c>
      <c r="Y1205" s="7" t="str">
        <f>VLOOKUP($S1205,Mapping!$E$140:$K$2771,7,0)</f>
        <v>ENDirect</v>
      </c>
      <c r="Z1205" s="7" t="str">
        <f>IFERROR(HLOOKUP(X1205,'Calc|Weightings'!$K$5:$M$5,1,0),"Excl")</f>
        <v>Labour</v>
      </c>
      <c r="AA1205" s="7" t="str">
        <f>VLOOKUP(Q1205,Mapping!$E$11:$I$96,5,0)</f>
        <v>SCS</v>
      </c>
      <c r="AC1205" s="111">
        <v>152</v>
      </c>
      <c r="AD1205" s="111" t="s">
        <v>2161</v>
      </c>
      <c r="AE1205" s="111">
        <v>635000</v>
      </c>
      <c r="AF1205" s="111" t="s">
        <v>2128</v>
      </c>
      <c r="AG1205" s="112">
        <v>1.59853</v>
      </c>
      <c r="AI1205" s="7" t="str">
        <f>VLOOKUP($AC1205,Mapping!$E$11:$I$96,3,0)</f>
        <v>Replacement</v>
      </c>
      <c r="AJ1205" s="7" t="str">
        <f>VLOOKUP($AE1205,Mapping!$E$140:$K$2771,5,0)</f>
        <v>PNS MG</v>
      </c>
      <c r="AK1205" s="7" t="str">
        <f>VLOOKUP($AE1205,Mapping!$E$140:$K$2771,7,0)</f>
        <v>ENDirect</v>
      </c>
      <c r="AL1205" s="7" t="str">
        <f>IFERROR(HLOOKUP(AJ1205,'Calc|Weightings'!$K$5:$M$5,1,0),"Excl")</f>
        <v>Excl</v>
      </c>
      <c r="AM1205" s="7" t="str">
        <f>VLOOKUP(AC1205,Mapping!$E$11:$I$96,5,0)</f>
        <v>SCS</v>
      </c>
      <c r="AO1205" s="134">
        <v>157</v>
      </c>
      <c r="AP1205" s="135" t="s">
        <v>2166</v>
      </c>
      <c r="AQ1205" s="135">
        <v>613290</v>
      </c>
      <c r="AR1205" s="135" t="s">
        <v>2093</v>
      </c>
      <c r="AS1205" s="136">
        <v>62.248049999999999</v>
      </c>
      <c r="AU1205" s="7" t="str">
        <f>VLOOKUP($AO1205,Mapping!$E$11:$I$96,3,0)</f>
        <v>Replacement</v>
      </c>
      <c r="AV1205" s="7" t="str">
        <f>VLOOKUP($AQ1205,Mapping!$E$140:$K$2771,5,0)</f>
        <v>Labour</v>
      </c>
      <c r="AW1205" s="7" t="str">
        <f>VLOOKUP($AQ1205,Mapping!$E$140:$K$2771,7,0)</f>
        <v>ENDirect</v>
      </c>
      <c r="AX1205" s="7" t="str">
        <f>IFERROR(HLOOKUP(AV1205,'Calc|Weightings'!$K$5:$M$5,1,0),"Excl")</f>
        <v>Labour</v>
      </c>
      <c r="AY1205" s="7" t="str">
        <f>VLOOKUP(AO1205,Mapping!$E$11:$I$96,5,0)</f>
        <v>SCS</v>
      </c>
    </row>
    <row r="1206" spans="1:51" x14ac:dyDescent="0.2">
      <c r="A1206" s="7"/>
      <c r="B1206" s="7"/>
      <c r="C1206" s="7"/>
      <c r="D1206" s="7"/>
      <c r="E1206" s="36">
        <v>145</v>
      </c>
      <c r="F1206" s="36" t="s">
        <v>2155</v>
      </c>
      <c r="G1206" s="36">
        <v>613249</v>
      </c>
      <c r="H1206" s="36" t="s">
        <v>2384</v>
      </c>
      <c r="I1206" s="37">
        <v>1.9765699999999999</v>
      </c>
      <c r="J1206" s="7"/>
      <c r="K1206" s="7" t="str">
        <f>VLOOKUP($E1206,Mapping!$E$11:$I$96,3,0)</f>
        <v>Replacement</v>
      </c>
      <c r="L1206" s="7" t="str">
        <f>VLOOKUP($G1206,Mapping!$E$140:$K$2771,5,0)</f>
        <v>Labour</v>
      </c>
      <c r="M1206" s="7" t="str">
        <f>VLOOKUP($G1206,Mapping!$E$140:$K$2771,7,0)</f>
        <v>ENDirect</v>
      </c>
      <c r="N1206" s="7" t="str">
        <f>IFERROR(HLOOKUP(L1206,'Calc|Weightings'!$K$5:$M$5,1,0),"Excl")</f>
        <v>Labour</v>
      </c>
      <c r="O1206" s="7" t="str">
        <f>VLOOKUP(E1206,Mapping!$E$11:$I$96,5,0)</f>
        <v>SCS</v>
      </c>
      <c r="Q1206" s="33">
        <v>150</v>
      </c>
      <c r="R1206" s="33" t="s">
        <v>2159</v>
      </c>
      <c r="S1206" s="33">
        <v>613571</v>
      </c>
      <c r="T1206" s="33" t="s">
        <v>1485</v>
      </c>
      <c r="U1206" s="34">
        <v>0.61651999999999996</v>
      </c>
      <c r="V1206" s="7"/>
      <c r="W1206" s="7" t="str">
        <f>VLOOKUP($Q1206,Mapping!$E$11:$I$96,3,0)</f>
        <v>Replacement</v>
      </c>
      <c r="X1206" s="7" t="str">
        <f>VLOOKUP($S1206,Mapping!$E$140:$K$2771,5,0)</f>
        <v>Labour</v>
      </c>
      <c r="Y1206" s="7" t="str">
        <f>VLOOKUP($S1206,Mapping!$E$140:$K$2771,7,0)</f>
        <v>ENDirect</v>
      </c>
      <c r="Z1206" s="7" t="str">
        <f>IFERROR(HLOOKUP(X1206,'Calc|Weightings'!$K$5:$M$5,1,0),"Excl")</f>
        <v>Labour</v>
      </c>
      <c r="AA1206" s="7" t="str">
        <f>VLOOKUP(Q1206,Mapping!$E$11:$I$96,5,0)</f>
        <v>SCS</v>
      </c>
      <c r="AC1206" s="111">
        <v>152</v>
      </c>
      <c r="AD1206" s="111" t="s">
        <v>2161</v>
      </c>
      <c r="AE1206" s="111">
        <v>635001</v>
      </c>
      <c r="AF1206" s="111" t="s">
        <v>1929</v>
      </c>
      <c r="AG1206" s="112">
        <v>-2.8420700000000001</v>
      </c>
      <c r="AI1206" s="7" t="str">
        <f>VLOOKUP($AC1206,Mapping!$E$11:$I$96,3,0)</f>
        <v>Replacement</v>
      </c>
      <c r="AJ1206" s="7" t="str">
        <f>VLOOKUP($AE1206,Mapping!$E$140:$K$2771,5,0)</f>
        <v>PNS MG</v>
      </c>
      <c r="AK1206" s="7" t="str">
        <f>VLOOKUP($AE1206,Mapping!$E$140:$K$2771,7,0)</f>
        <v>ENDirect</v>
      </c>
      <c r="AL1206" s="7" t="str">
        <f>IFERROR(HLOOKUP(AJ1206,'Calc|Weightings'!$K$5:$M$5,1,0),"Excl")</f>
        <v>Excl</v>
      </c>
      <c r="AM1206" s="7" t="str">
        <f>VLOOKUP(AC1206,Mapping!$E$11:$I$96,5,0)</f>
        <v>SCS</v>
      </c>
      <c r="AO1206" s="134">
        <v>157</v>
      </c>
      <c r="AP1206" s="135" t="s">
        <v>2166</v>
      </c>
      <c r="AQ1206" s="135">
        <v>613291</v>
      </c>
      <c r="AR1206" s="135" t="s">
        <v>2094</v>
      </c>
      <c r="AS1206" s="136">
        <v>4.3239999999999998</v>
      </c>
      <c r="AU1206" s="7" t="str">
        <f>VLOOKUP($AO1206,Mapping!$E$11:$I$96,3,0)</f>
        <v>Replacement</v>
      </c>
      <c r="AV1206" s="7" t="str">
        <f>VLOOKUP($AQ1206,Mapping!$E$140:$K$2771,5,0)</f>
        <v>Labour</v>
      </c>
      <c r="AW1206" s="7" t="str">
        <f>VLOOKUP($AQ1206,Mapping!$E$140:$K$2771,7,0)</f>
        <v>ENDirect</v>
      </c>
      <c r="AX1206" s="7" t="str">
        <f>IFERROR(HLOOKUP(AV1206,'Calc|Weightings'!$K$5:$M$5,1,0),"Excl")</f>
        <v>Labour</v>
      </c>
      <c r="AY1206" s="7" t="str">
        <f>VLOOKUP(AO1206,Mapping!$E$11:$I$96,5,0)</f>
        <v>SCS</v>
      </c>
    </row>
    <row r="1207" spans="1:51" x14ac:dyDescent="0.2">
      <c r="A1207" s="7"/>
      <c r="B1207" s="7"/>
      <c r="C1207" s="7"/>
      <c r="D1207" s="7"/>
      <c r="E1207" s="36">
        <v>145</v>
      </c>
      <c r="F1207" s="36" t="s">
        <v>2155</v>
      </c>
      <c r="G1207" s="36">
        <v>613250</v>
      </c>
      <c r="H1207" s="36" t="s">
        <v>2086</v>
      </c>
      <c r="I1207" s="37">
        <v>4.3430299999999997</v>
      </c>
      <c r="J1207" s="7"/>
      <c r="K1207" s="7" t="str">
        <f>VLOOKUP($E1207,Mapping!$E$11:$I$96,3,0)</f>
        <v>Replacement</v>
      </c>
      <c r="L1207" s="7" t="str">
        <f>VLOOKUP($G1207,Mapping!$E$140:$K$2771,5,0)</f>
        <v>Labour</v>
      </c>
      <c r="M1207" s="7" t="str">
        <f>VLOOKUP($G1207,Mapping!$E$140:$K$2771,7,0)</f>
        <v>ENDirect</v>
      </c>
      <c r="N1207" s="7" t="str">
        <f>IFERROR(HLOOKUP(L1207,'Calc|Weightings'!$K$5:$M$5,1,0),"Excl")</f>
        <v>Labour</v>
      </c>
      <c r="O1207" s="7" t="str">
        <f>VLOOKUP(E1207,Mapping!$E$11:$I$96,5,0)</f>
        <v>SCS</v>
      </c>
      <c r="Q1207" s="33">
        <v>150</v>
      </c>
      <c r="R1207" s="33" t="s">
        <v>2159</v>
      </c>
      <c r="S1207" s="33">
        <v>613574</v>
      </c>
      <c r="T1207" s="33" t="s">
        <v>1488</v>
      </c>
      <c r="U1207" s="34">
        <v>21.966470000000001</v>
      </c>
      <c r="V1207" s="7"/>
      <c r="W1207" s="7" t="str">
        <f>VLOOKUP($Q1207,Mapping!$E$11:$I$96,3,0)</f>
        <v>Replacement</v>
      </c>
      <c r="X1207" s="7" t="str">
        <f>VLOOKUP($S1207,Mapping!$E$140:$K$2771,5,0)</f>
        <v>Labour</v>
      </c>
      <c r="Y1207" s="7" t="str">
        <f>VLOOKUP($S1207,Mapping!$E$140:$K$2771,7,0)</f>
        <v>ENDirect</v>
      </c>
      <c r="Z1207" s="7" t="str">
        <f>IFERROR(HLOOKUP(X1207,'Calc|Weightings'!$K$5:$M$5,1,0),"Excl")</f>
        <v>Labour</v>
      </c>
      <c r="AA1207" s="7" t="str">
        <f>VLOOKUP(Q1207,Mapping!$E$11:$I$96,5,0)</f>
        <v>SCS</v>
      </c>
      <c r="AC1207" s="111">
        <v>152</v>
      </c>
      <c r="AD1207" s="111" t="s">
        <v>2161</v>
      </c>
      <c r="AE1207" s="111">
        <v>636000</v>
      </c>
      <c r="AF1207" s="111" t="s">
        <v>2111</v>
      </c>
      <c r="AG1207" s="112">
        <v>9.0950000000000003E-2</v>
      </c>
      <c r="AI1207" s="7" t="str">
        <f>VLOOKUP($AC1207,Mapping!$E$11:$I$96,3,0)</f>
        <v>Replacement</v>
      </c>
      <c r="AJ1207" s="7" t="str">
        <f>VLOOKUP($AE1207,Mapping!$E$140:$K$2771,5,0)</f>
        <v>System Control OH</v>
      </c>
      <c r="AK1207" s="7" t="str">
        <f>VLOOKUP($AE1207,Mapping!$E$140:$K$2771,7,0)</f>
        <v>OH</v>
      </c>
      <c r="AL1207" s="7" t="str">
        <f>IFERROR(HLOOKUP(AJ1207,'Calc|Weightings'!$K$5:$M$5,1,0),"Excl")</f>
        <v>Excl</v>
      </c>
      <c r="AM1207" s="7" t="str">
        <f>VLOOKUP(AC1207,Mapping!$E$11:$I$96,5,0)</f>
        <v>SCS</v>
      </c>
      <c r="AO1207" s="134">
        <v>157</v>
      </c>
      <c r="AP1207" s="135" t="s">
        <v>2166</v>
      </c>
      <c r="AQ1207" s="135">
        <v>613310</v>
      </c>
      <c r="AR1207" s="135" t="s">
        <v>2095</v>
      </c>
      <c r="AS1207" s="136">
        <v>28.025950000000002</v>
      </c>
      <c r="AU1207" s="7" t="str">
        <f>VLOOKUP($AO1207,Mapping!$E$11:$I$96,3,0)</f>
        <v>Replacement</v>
      </c>
      <c r="AV1207" s="7" t="str">
        <f>VLOOKUP($AQ1207,Mapping!$E$140:$K$2771,5,0)</f>
        <v>Labour</v>
      </c>
      <c r="AW1207" s="7" t="str">
        <f>VLOOKUP($AQ1207,Mapping!$E$140:$K$2771,7,0)</f>
        <v>ENDirect</v>
      </c>
      <c r="AX1207" s="7" t="str">
        <f>IFERROR(HLOOKUP(AV1207,'Calc|Weightings'!$K$5:$M$5,1,0),"Excl")</f>
        <v>Labour</v>
      </c>
      <c r="AY1207" s="7" t="str">
        <f>VLOOKUP(AO1207,Mapping!$E$11:$I$96,5,0)</f>
        <v>SCS</v>
      </c>
    </row>
    <row r="1208" spans="1:51" x14ac:dyDescent="0.2">
      <c r="A1208" s="7"/>
      <c r="B1208" s="7"/>
      <c r="C1208" s="7"/>
      <c r="D1208" s="7"/>
      <c r="E1208" s="36">
        <v>145</v>
      </c>
      <c r="F1208" s="36" t="s">
        <v>2155</v>
      </c>
      <c r="G1208" s="36">
        <v>613258</v>
      </c>
      <c r="H1208" s="36" t="s">
        <v>2356</v>
      </c>
      <c r="I1208" s="37">
        <v>5.0240400000000003</v>
      </c>
      <c r="J1208" s="7"/>
      <c r="K1208" s="7" t="str">
        <f>VLOOKUP($E1208,Mapping!$E$11:$I$96,3,0)</f>
        <v>Replacement</v>
      </c>
      <c r="L1208" s="7" t="str">
        <f>VLOOKUP($G1208,Mapping!$E$140:$K$2771,5,0)</f>
        <v>Labour</v>
      </c>
      <c r="M1208" s="7" t="str">
        <f>VLOOKUP($G1208,Mapping!$E$140:$K$2771,7,0)</f>
        <v>ENDirect</v>
      </c>
      <c r="N1208" s="7" t="str">
        <f>IFERROR(HLOOKUP(L1208,'Calc|Weightings'!$K$5:$M$5,1,0),"Excl")</f>
        <v>Labour</v>
      </c>
      <c r="O1208" s="7" t="str">
        <f>VLOOKUP(E1208,Mapping!$E$11:$I$96,5,0)</f>
        <v>SCS</v>
      </c>
      <c r="Q1208" s="33">
        <v>150</v>
      </c>
      <c r="R1208" s="33" t="s">
        <v>2159</v>
      </c>
      <c r="S1208" s="33">
        <v>613575</v>
      </c>
      <c r="T1208" s="33" t="s">
        <v>1489</v>
      </c>
      <c r="U1208" s="34">
        <v>1.53298</v>
      </c>
      <c r="V1208" s="7"/>
      <c r="W1208" s="7" t="str">
        <f>VLOOKUP($Q1208,Mapping!$E$11:$I$96,3,0)</f>
        <v>Replacement</v>
      </c>
      <c r="X1208" s="7" t="str">
        <f>VLOOKUP($S1208,Mapping!$E$140:$K$2771,5,0)</f>
        <v>Labour</v>
      </c>
      <c r="Y1208" s="7" t="str">
        <f>VLOOKUP($S1208,Mapping!$E$140:$K$2771,7,0)</f>
        <v>ENDirect</v>
      </c>
      <c r="Z1208" s="7" t="str">
        <f>IFERROR(HLOOKUP(X1208,'Calc|Weightings'!$K$5:$M$5,1,0),"Excl")</f>
        <v>Labour</v>
      </c>
      <c r="AA1208" s="7" t="str">
        <f>VLOOKUP(Q1208,Mapping!$E$11:$I$96,5,0)</f>
        <v>SCS</v>
      </c>
      <c r="AC1208" s="111">
        <v>152</v>
      </c>
      <c r="AD1208" s="111" t="s">
        <v>2161</v>
      </c>
      <c r="AE1208" s="111">
        <v>636001</v>
      </c>
      <c r="AF1208" s="111" t="s">
        <v>2111</v>
      </c>
      <c r="AG1208" s="112">
        <v>-0.32301000000000002</v>
      </c>
      <c r="AI1208" s="7" t="str">
        <f>VLOOKUP($AC1208,Mapping!$E$11:$I$96,3,0)</f>
        <v>Replacement</v>
      </c>
      <c r="AJ1208" s="7" t="str">
        <f>VLOOKUP($AE1208,Mapping!$E$140:$K$2771,5,0)</f>
        <v>System Control OH</v>
      </c>
      <c r="AK1208" s="7" t="str">
        <f>VLOOKUP($AE1208,Mapping!$E$140:$K$2771,7,0)</f>
        <v>OH</v>
      </c>
      <c r="AL1208" s="7" t="str">
        <f>IFERROR(HLOOKUP(AJ1208,'Calc|Weightings'!$K$5:$M$5,1,0),"Excl")</f>
        <v>Excl</v>
      </c>
      <c r="AM1208" s="7" t="str">
        <f>VLOOKUP(AC1208,Mapping!$E$11:$I$96,5,0)</f>
        <v>SCS</v>
      </c>
      <c r="AO1208" s="134">
        <v>157</v>
      </c>
      <c r="AP1208" s="135" t="s">
        <v>2166</v>
      </c>
      <c r="AQ1208" s="135">
        <v>613311</v>
      </c>
      <c r="AR1208" s="135" t="s">
        <v>2116</v>
      </c>
      <c r="AS1208" s="136">
        <v>0.13724</v>
      </c>
      <c r="AU1208" s="7" t="str">
        <f>VLOOKUP($AO1208,Mapping!$E$11:$I$96,3,0)</f>
        <v>Replacement</v>
      </c>
      <c r="AV1208" s="7" t="str">
        <f>VLOOKUP($AQ1208,Mapping!$E$140:$K$2771,5,0)</f>
        <v>Labour</v>
      </c>
      <c r="AW1208" s="7" t="str">
        <f>VLOOKUP($AQ1208,Mapping!$E$140:$K$2771,7,0)</f>
        <v>ENDirect</v>
      </c>
      <c r="AX1208" s="7" t="str">
        <f>IFERROR(HLOOKUP(AV1208,'Calc|Weightings'!$K$5:$M$5,1,0),"Excl")</f>
        <v>Labour</v>
      </c>
      <c r="AY1208" s="7" t="str">
        <f>VLOOKUP(AO1208,Mapping!$E$11:$I$96,5,0)</f>
        <v>SCS</v>
      </c>
    </row>
    <row r="1209" spans="1:51" x14ac:dyDescent="0.2">
      <c r="A1209" s="7"/>
      <c r="B1209" s="7"/>
      <c r="C1209" s="7"/>
      <c r="D1209" s="7"/>
      <c r="E1209" s="36">
        <v>145</v>
      </c>
      <c r="F1209" s="36" t="s">
        <v>2155</v>
      </c>
      <c r="G1209" s="36">
        <v>613268</v>
      </c>
      <c r="H1209" s="36" t="s">
        <v>1335</v>
      </c>
      <c r="I1209" s="37">
        <v>0.42798000000000003</v>
      </c>
      <c r="J1209" s="7"/>
      <c r="K1209" s="7" t="str">
        <f>VLOOKUP($E1209,Mapping!$E$11:$I$96,3,0)</f>
        <v>Replacement</v>
      </c>
      <c r="L1209" s="7" t="str">
        <f>VLOOKUP($G1209,Mapping!$E$140:$K$2771,5,0)</f>
        <v>Labour</v>
      </c>
      <c r="M1209" s="7" t="str">
        <f>VLOOKUP($G1209,Mapping!$E$140:$K$2771,7,0)</f>
        <v>ENDirect</v>
      </c>
      <c r="N1209" s="7" t="str">
        <f>IFERROR(HLOOKUP(L1209,'Calc|Weightings'!$K$5:$M$5,1,0),"Excl")</f>
        <v>Labour</v>
      </c>
      <c r="O1209" s="7" t="str">
        <f>VLOOKUP(E1209,Mapping!$E$11:$I$96,5,0)</f>
        <v>SCS</v>
      </c>
      <c r="Q1209" s="33">
        <v>150</v>
      </c>
      <c r="R1209" s="33" t="s">
        <v>2159</v>
      </c>
      <c r="S1209" s="33">
        <v>613680</v>
      </c>
      <c r="T1209" s="33" t="s">
        <v>2107</v>
      </c>
      <c r="U1209" s="34">
        <v>12.29467</v>
      </c>
      <c r="V1209" s="7"/>
      <c r="W1209" s="7" t="str">
        <f>VLOOKUP($Q1209,Mapping!$E$11:$I$96,3,0)</f>
        <v>Replacement</v>
      </c>
      <c r="X1209" s="7" t="str">
        <f>VLOOKUP($S1209,Mapping!$E$140:$K$2771,5,0)</f>
        <v>Labour</v>
      </c>
      <c r="Y1209" s="7" t="str">
        <f>VLOOKUP($S1209,Mapping!$E$140:$K$2771,7,0)</f>
        <v>ENDirect</v>
      </c>
      <c r="Z1209" s="7" t="str">
        <f>IFERROR(HLOOKUP(X1209,'Calc|Weightings'!$K$5:$M$5,1,0),"Excl")</f>
        <v>Labour</v>
      </c>
      <c r="AA1209" s="7" t="str">
        <f>VLOOKUP(Q1209,Mapping!$E$11:$I$96,5,0)</f>
        <v>SCS</v>
      </c>
      <c r="AC1209" s="111">
        <v>152</v>
      </c>
      <c r="AD1209" s="111" t="s">
        <v>2161</v>
      </c>
      <c r="AE1209" s="111">
        <v>639000</v>
      </c>
      <c r="AF1209" s="111" t="s">
        <v>2112</v>
      </c>
      <c r="AG1209" s="112">
        <v>-0.17224</v>
      </c>
      <c r="AI1209" s="7" t="str">
        <f>VLOOKUP($AC1209,Mapping!$E$11:$I$96,3,0)</f>
        <v>Replacement</v>
      </c>
      <c r="AJ1209" s="7" t="str">
        <f>VLOOKUP($AE1209,Mapping!$E$140:$K$2771,5,0)</f>
        <v>PNS Corporate OH</v>
      </c>
      <c r="AK1209" s="7" t="str">
        <f>VLOOKUP($AE1209,Mapping!$E$140:$K$2771,7,0)</f>
        <v>OH</v>
      </c>
      <c r="AL1209" s="7" t="str">
        <f>IFERROR(HLOOKUP(AJ1209,'Calc|Weightings'!$K$5:$M$5,1,0),"Excl")</f>
        <v>Excl</v>
      </c>
      <c r="AM1209" s="7" t="str">
        <f>VLOOKUP(AC1209,Mapping!$E$11:$I$96,5,0)</f>
        <v>SCS</v>
      </c>
      <c r="AO1209" s="134">
        <v>157</v>
      </c>
      <c r="AP1209" s="135" t="s">
        <v>2166</v>
      </c>
      <c r="AQ1209" s="135">
        <v>613350</v>
      </c>
      <c r="AR1209" s="135" t="s">
        <v>2096</v>
      </c>
      <c r="AS1209" s="136">
        <v>11.386670000000001</v>
      </c>
      <c r="AU1209" s="7" t="str">
        <f>VLOOKUP($AO1209,Mapping!$E$11:$I$96,3,0)</f>
        <v>Replacement</v>
      </c>
      <c r="AV1209" s="7" t="str">
        <f>VLOOKUP($AQ1209,Mapping!$E$140:$K$2771,5,0)</f>
        <v>Labour</v>
      </c>
      <c r="AW1209" s="7" t="str">
        <f>VLOOKUP($AQ1209,Mapping!$E$140:$K$2771,7,0)</f>
        <v>ENDirect</v>
      </c>
      <c r="AX1209" s="7" t="str">
        <f>IFERROR(HLOOKUP(AV1209,'Calc|Weightings'!$K$5:$M$5,1,0),"Excl")</f>
        <v>Labour</v>
      </c>
      <c r="AY1209" s="7" t="str">
        <f>VLOOKUP(AO1209,Mapping!$E$11:$I$96,5,0)</f>
        <v>SCS</v>
      </c>
    </row>
    <row r="1210" spans="1:51" x14ac:dyDescent="0.2">
      <c r="A1210" s="7"/>
      <c r="B1210" s="7"/>
      <c r="C1210" s="7"/>
      <c r="D1210" s="7"/>
      <c r="E1210" s="36">
        <v>145</v>
      </c>
      <c r="F1210" s="36" t="s">
        <v>2155</v>
      </c>
      <c r="G1210" s="36">
        <v>613278</v>
      </c>
      <c r="H1210" s="36" t="s">
        <v>2357</v>
      </c>
      <c r="I1210" s="37">
        <v>7.80809</v>
      </c>
      <c r="J1210" s="7"/>
      <c r="K1210" s="7" t="str">
        <f>VLOOKUP($E1210,Mapping!$E$11:$I$96,3,0)</f>
        <v>Replacement</v>
      </c>
      <c r="L1210" s="7" t="str">
        <f>VLOOKUP($G1210,Mapping!$E$140:$K$2771,5,0)</f>
        <v>Labour</v>
      </c>
      <c r="M1210" s="7" t="str">
        <f>VLOOKUP($G1210,Mapping!$E$140:$K$2771,7,0)</f>
        <v>ENDirect</v>
      </c>
      <c r="N1210" s="7" t="str">
        <f>IFERROR(HLOOKUP(L1210,'Calc|Weightings'!$K$5:$M$5,1,0),"Excl")</f>
        <v>Labour</v>
      </c>
      <c r="O1210" s="7" t="str">
        <f>VLOOKUP(E1210,Mapping!$E$11:$I$96,5,0)</f>
        <v>SCS</v>
      </c>
      <c r="Q1210" s="33">
        <v>150</v>
      </c>
      <c r="R1210" s="33" t="s">
        <v>2159</v>
      </c>
      <c r="S1210" s="33">
        <v>634001</v>
      </c>
      <c r="T1210" s="33" t="s">
        <v>2110</v>
      </c>
      <c r="U1210" s="34">
        <v>61.448950000000004</v>
      </c>
      <c r="V1210" s="7"/>
      <c r="W1210" s="7" t="str">
        <f>VLOOKUP($Q1210,Mapping!$E$11:$I$96,3,0)</f>
        <v>Replacement</v>
      </c>
      <c r="X1210" s="7" t="str">
        <f>VLOOKUP($S1210,Mapping!$E$140:$K$2771,5,0)</f>
        <v>Local OH</v>
      </c>
      <c r="Y1210" s="7" t="str">
        <f>VLOOKUP($S1210,Mapping!$E$140:$K$2771,7,0)</f>
        <v>OH</v>
      </c>
      <c r="Z1210" s="7" t="str">
        <f>IFERROR(HLOOKUP(X1210,'Calc|Weightings'!$K$5:$M$5,1,0),"Excl")</f>
        <v>Excl</v>
      </c>
      <c r="AA1210" s="7" t="str">
        <f>VLOOKUP(Q1210,Mapping!$E$11:$I$96,5,0)</f>
        <v>SCS</v>
      </c>
      <c r="AC1210" s="111">
        <v>152</v>
      </c>
      <c r="AD1210" s="111" t="s">
        <v>2161</v>
      </c>
      <c r="AE1210" s="111">
        <v>639050</v>
      </c>
      <c r="AF1210" s="111" t="s">
        <v>2113</v>
      </c>
      <c r="AG1210" s="112">
        <v>4.555E-2</v>
      </c>
      <c r="AI1210" s="7" t="str">
        <f>VLOOKUP($AC1210,Mapping!$E$11:$I$96,3,0)</f>
        <v>Replacement</v>
      </c>
      <c r="AJ1210" s="7" t="str">
        <f>VLOOKUP($AE1210,Mapping!$E$140:$K$2771,5,0)</f>
        <v>PNS Fleet &amp; Property OH</v>
      </c>
      <c r="AK1210" s="7" t="str">
        <f>VLOOKUP($AE1210,Mapping!$E$140:$K$2771,7,0)</f>
        <v>OH</v>
      </c>
      <c r="AL1210" s="7" t="str">
        <f>IFERROR(HLOOKUP(AJ1210,'Calc|Weightings'!$K$5:$M$5,1,0),"Excl")</f>
        <v>Excl</v>
      </c>
      <c r="AM1210" s="7" t="str">
        <f>VLOOKUP(AC1210,Mapping!$E$11:$I$96,5,0)</f>
        <v>SCS</v>
      </c>
      <c r="AO1210" s="134">
        <v>157</v>
      </c>
      <c r="AP1210" s="135" t="s">
        <v>2166</v>
      </c>
      <c r="AQ1210" s="135">
        <v>613460</v>
      </c>
      <c r="AR1210" s="135" t="s">
        <v>2167</v>
      </c>
      <c r="AS1210" s="136">
        <v>1.11456</v>
      </c>
      <c r="AU1210" s="7" t="str">
        <f>VLOOKUP($AO1210,Mapping!$E$11:$I$96,3,0)</f>
        <v>Replacement</v>
      </c>
      <c r="AV1210" s="7" t="str">
        <f>VLOOKUP($AQ1210,Mapping!$E$140:$K$2771,5,0)</f>
        <v>Labour</v>
      </c>
      <c r="AW1210" s="7" t="str">
        <f>VLOOKUP($AQ1210,Mapping!$E$140:$K$2771,7,0)</f>
        <v>ENDirect</v>
      </c>
      <c r="AX1210" s="7" t="str">
        <f>IFERROR(HLOOKUP(AV1210,'Calc|Weightings'!$K$5:$M$5,1,0),"Excl")</f>
        <v>Labour</v>
      </c>
      <c r="AY1210" s="7" t="str">
        <f>VLOOKUP(AO1210,Mapping!$E$11:$I$96,5,0)</f>
        <v>SCS</v>
      </c>
    </row>
    <row r="1211" spans="1:51" x14ac:dyDescent="0.2">
      <c r="A1211" s="7"/>
      <c r="B1211" s="7"/>
      <c r="C1211" s="7"/>
      <c r="D1211" s="7"/>
      <c r="E1211" s="36">
        <v>145</v>
      </c>
      <c r="F1211" s="36" t="s">
        <v>2155</v>
      </c>
      <c r="G1211" s="36">
        <v>613279</v>
      </c>
      <c r="H1211" s="36" t="s">
        <v>2360</v>
      </c>
      <c r="I1211" s="37">
        <v>0.34577000000000002</v>
      </c>
      <c r="J1211" s="7"/>
      <c r="K1211" s="7" t="str">
        <f>VLOOKUP($E1211,Mapping!$E$11:$I$96,3,0)</f>
        <v>Replacement</v>
      </c>
      <c r="L1211" s="7" t="str">
        <f>VLOOKUP($G1211,Mapping!$E$140:$K$2771,5,0)</f>
        <v>Labour</v>
      </c>
      <c r="M1211" s="7" t="str">
        <f>VLOOKUP($G1211,Mapping!$E$140:$K$2771,7,0)</f>
        <v>ENDirect</v>
      </c>
      <c r="N1211" s="7" t="str">
        <f>IFERROR(HLOOKUP(L1211,'Calc|Weightings'!$K$5:$M$5,1,0),"Excl")</f>
        <v>Labour</v>
      </c>
      <c r="O1211" s="7" t="str">
        <f>VLOOKUP(E1211,Mapping!$E$11:$I$96,5,0)</f>
        <v>SCS</v>
      </c>
      <c r="Q1211" s="33">
        <v>150</v>
      </c>
      <c r="R1211" s="33" t="s">
        <v>2159</v>
      </c>
      <c r="S1211" s="33">
        <v>635001</v>
      </c>
      <c r="T1211" s="33" t="s">
        <v>1929</v>
      </c>
      <c r="U1211" s="34">
        <v>43.058259999999997</v>
      </c>
      <c r="V1211" s="7"/>
      <c r="W1211" s="7" t="str">
        <f>VLOOKUP($Q1211,Mapping!$E$11:$I$96,3,0)</f>
        <v>Replacement</v>
      </c>
      <c r="X1211" s="7" t="str">
        <f>VLOOKUP($S1211,Mapping!$E$140:$K$2771,5,0)</f>
        <v>PNS MG</v>
      </c>
      <c r="Y1211" s="7" t="str">
        <f>VLOOKUP($S1211,Mapping!$E$140:$K$2771,7,0)</f>
        <v>ENDirect</v>
      </c>
      <c r="Z1211" s="7" t="str">
        <f>IFERROR(HLOOKUP(X1211,'Calc|Weightings'!$K$5:$M$5,1,0),"Excl")</f>
        <v>Excl</v>
      </c>
      <c r="AA1211" s="7" t="str">
        <f>VLOOKUP(Q1211,Mapping!$E$11:$I$96,5,0)</f>
        <v>SCS</v>
      </c>
      <c r="AC1211" s="111">
        <v>153</v>
      </c>
      <c r="AD1211" s="111" t="s">
        <v>2162</v>
      </c>
      <c r="AE1211" s="111">
        <v>604600</v>
      </c>
      <c r="AF1211" s="111" t="s">
        <v>487</v>
      </c>
      <c r="AG1211" s="112">
        <v>20.417590000000001</v>
      </c>
      <c r="AI1211" s="7" t="str">
        <f>VLOOKUP($AC1211,Mapping!$E$11:$I$96,3,0)</f>
        <v>Fee Based Opex</v>
      </c>
      <c r="AJ1211" s="7" t="str">
        <f>VLOOKUP($AE1211,Mapping!$E$140:$K$2771,5,0)</f>
        <v>Corporate Services Fee</v>
      </c>
      <c r="AK1211" s="7" t="str">
        <f>VLOOKUP($AE1211,Mapping!$E$140:$K$2771,7,0)</f>
        <v>ENDirect</v>
      </c>
      <c r="AL1211" s="7" t="str">
        <f>IFERROR(HLOOKUP(AJ1211,'Calc|Weightings'!$K$5:$M$5,1,0),"Excl")</f>
        <v>Excl</v>
      </c>
      <c r="AM1211" s="7" t="str">
        <f>VLOOKUP(AC1211,Mapping!$E$11:$I$96,5,0)</f>
        <v>Ancillary Network Services</v>
      </c>
      <c r="AO1211" s="134">
        <v>157</v>
      </c>
      <c r="AP1211" s="135" t="s">
        <v>2166</v>
      </c>
      <c r="AQ1211" s="135">
        <v>613630</v>
      </c>
      <c r="AR1211" s="135" t="s">
        <v>1498</v>
      </c>
      <c r="AS1211" s="136">
        <v>2.69733</v>
      </c>
      <c r="AU1211" s="7" t="str">
        <f>VLOOKUP($AO1211,Mapping!$E$11:$I$96,3,0)</f>
        <v>Replacement</v>
      </c>
      <c r="AV1211" s="7" t="str">
        <f>VLOOKUP($AQ1211,Mapping!$E$140:$K$2771,5,0)</f>
        <v>Labour</v>
      </c>
      <c r="AW1211" s="7" t="str">
        <f>VLOOKUP($AQ1211,Mapping!$E$140:$K$2771,7,0)</f>
        <v>ENDirect</v>
      </c>
      <c r="AX1211" s="7" t="str">
        <f>IFERROR(HLOOKUP(AV1211,'Calc|Weightings'!$K$5:$M$5,1,0),"Excl")</f>
        <v>Labour</v>
      </c>
      <c r="AY1211" s="7" t="str">
        <f>VLOOKUP(AO1211,Mapping!$E$11:$I$96,5,0)</f>
        <v>SCS</v>
      </c>
    </row>
    <row r="1212" spans="1:51" x14ac:dyDescent="0.2">
      <c r="A1212" s="7"/>
      <c r="B1212" s="7"/>
      <c r="C1212" s="7"/>
      <c r="D1212" s="7"/>
      <c r="E1212" s="36">
        <v>145</v>
      </c>
      <c r="F1212" s="36" t="s">
        <v>2155</v>
      </c>
      <c r="G1212" s="36">
        <v>613280</v>
      </c>
      <c r="H1212" s="36" t="s">
        <v>1342</v>
      </c>
      <c r="I1212" s="37">
        <v>2.0700400000000001</v>
      </c>
      <c r="J1212" s="7"/>
      <c r="K1212" s="7" t="str">
        <f>VLOOKUP($E1212,Mapping!$E$11:$I$96,3,0)</f>
        <v>Replacement</v>
      </c>
      <c r="L1212" s="7" t="str">
        <f>VLOOKUP($G1212,Mapping!$E$140:$K$2771,5,0)</f>
        <v>Labour</v>
      </c>
      <c r="M1212" s="7" t="str">
        <f>VLOOKUP($G1212,Mapping!$E$140:$K$2771,7,0)</f>
        <v>ENDirect</v>
      </c>
      <c r="N1212" s="7" t="str">
        <f>IFERROR(HLOOKUP(L1212,'Calc|Weightings'!$K$5:$M$5,1,0),"Excl")</f>
        <v>Labour</v>
      </c>
      <c r="O1212" s="7" t="str">
        <f>VLOOKUP(E1212,Mapping!$E$11:$I$96,5,0)</f>
        <v>SCS</v>
      </c>
      <c r="Q1212" s="33">
        <v>150</v>
      </c>
      <c r="R1212" s="33" t="s">
        <v>2159</v>
      </c>
      <c r="S1212" s="33">
        <v>636001</v>
      </c>
      <c r="T1212" s="33" t="s">
        <v>2111</v>
      </c>
      <c r="U1212" s="34">
        <v>18.408259999999999</v>
      </c>
      <c r="V1212" s="7"/>
      <c r="W1212" s="7" t="str">
        <f>VLOOKUP($Q1212,Mapping!$E$11:$I$96,3,0)</f>
        <v>Replacement</v>
      </c>
      <c r="X1212" s="7" t="str">
        <f>VLOOKUP($S1212,Mapping!$E$140:$K$2771,5,0)</f>
        <v>System Control OH</v>
      </c>
      <c r="Y1212" s="7" t="str">
        <f>VLOOKUP($S1212,Mapping!$E$140:$K$2771,7,0)</f>
        <v>OH</v>
      </c>
      <c r="Z1212" s="7" t="str">
        <f>IFERROR(HLOOKUP(X1212,'Calc|Weightings'!$K$5:$M$5,1,0),"Excl")</f>
        <v>Excl</v>
      </c>
      <c r="AA1212" s="7" t="str">
        <f>VLOOKUP(Q1212,Mapping!$E$11:$I$96,5,0)</f>
        <v>SCS</v>
      </c>
      <c r="AC1212" s="111">
        <v>153</v>
      </c>
      <c r="AD1212" s="111" t="s">
        <v>2162</v>
      </c>
      <c r="AE1212" s="111">
        <v>613736</v>
      </c>
      <c r="AF1212" s="111" t="s">
        <v>1766</v>
      </c>
      <c r="AG1212" s="112">
        <v>540.06827999999996</v>
      </c>
      <c r="AI1212" s="7" t="str">
        <f>VLOOKUP($AC1212,Mapping!$E$11:$I$96,3,0)</f>
        <v>Fee Based Opex</v>
      </c>
      <c r="AJ1212" s="7" t="str">
        <f>VLOOKUP($AE1212,Mapping!$E$140:$K$2771,5,0)</f>
        <v>Labour (50%)/ Contracts (50%)</v>
      </c>
      <c r="AK1212" s="7" t="str">
        <f>VLOOKUP($AE1212,Mapping!$E$140:$K$2771,7,0)</f>
        <v>ENDirect</v>
      </c>
      <c r="AL1212" s="7" t="str">
        <f>IFERROR(HLOOKUP(AJ1212,'Calc|Weightings'!$K$5:$M$5,1,0),"Excl")</f>
        <v>Excl</v>
      </c>
      <c r="AM1212" s="7" t="str">
        <f>VLOOKUP(AC1212,Mapping!$E$11:$I$96,5,0)</f>
        <v>Ancillary Network Services</v>
      </c>
      <c r="AO1212" s="134">
        <v>157</v>
      </c>
      <c r="AP1212" s="135" t="s">
        <v>2166</v>
      </c>
      <c r="AQ1212" s="135">
        <v>613680</v>
      </c>
      <c r="AR1212" s="135" t="s">
        <v>2107</v>
      </c>
      <c r="AS1212" s="136">
        <v>20.351839999999999</v>
      </c>
      <c r="AU1212" s="7" t="str">
        <f>VLOOKUP($AO1212,Mapping!$E$11:$I$96,3,0)</f>
        <v>Replacement</v>
      </c>
      <c r="AV1212" s="7" t="str">
        <f>VLOOKUP($AQ1212,Mapping!$E$140:$K$2771,5,0)</f>
        <v>Labour</v>
      </c>
      <c r="AW1212" s="7" t="str">
        <f>VLOOKUP($AQ1212,Mapping!$E$140:$K$2771,7,0)</f>
        <v>ENDirect</v>
      </c>
      <c r="AX1212" s="7" t="str">
        <f>IFERROR(HLOOKUP(AV1212,'Calc|Weightings'!$K$5:$M$5,1,0),"Excl")</f>
        <v>Labour</v>
      </c>
      <c r="AY1212" s="7" t="str">
        <f>VLOOKUP(AO1212,Mapping!$E$11:$I$96,5,0)</f>
        <v>SCS</v>
      </c>
    </row>
    <row r="1213" spans="1:51" x14ac:dyDescent="0.2">
      <c r="A1213" s="7"/>
      <c r="B1213" s="7"/>
      <c r="C1213" s="7"/>
      <c r="D1213" s="7"/>
      <c r="E1213" s="36">
        <v>145</v>
      </c>
      <c r="F1213" s="36" t="s">
        <v>2155</v>
      </c>
      <c r="G1213" s="36">
        <v>613290</v>
      </c>
      <c r="H1213" s="36" t="s">
        <v>2093</v>
      </c>
      <c r="I1213" s="37">
        <v>1.0874299999999999</v>
      </c>
      <c r="J1213" s="7"/>
      <c r="K1213" s="7" t="str">
        <f>VLOOKUP($E1213,Mapping!$E$11:$I$96,3,0)</f>
        <v>Replacement</v>
      </c>
      <c r="L1213" s="7" t="str">
        <f>VLOOKUP($G1213,Mapping!$E$140:$K$2771,5,0)</f>
        <v>Labour</v>
      </c>
      <c r="M1213" s="7" t="str">
        <f>VLOOKUP($G1213,Mapping!$E$140:$K$2771,7,0)</f>
        <v>ENDirect</v>
      </c>
      <c r="N1213" s="7" t="str">
        <f>IFERROR(HLOOKUP(L1213,'Calc|Weightings'!$K$5:$M$5,1,0),"Excl")</f>
        <v>Labour</v>
      </c>
      <c r="O1213" s="7" t="str">
        <f>VLOOKUP(E1213,Mapping!$E$11:$I$96,5,0)</f>
        <v>SCS</v>
      </c>
      <c r="Q1213" s="33">
        <v>150</v>
      </c>
      <c r="R1213" s="33" t="s">
        <v>2159</v>
      </c>
      <c r="S1213" s="33">
        <v>639000</v>
      </c>
      <c r="T1213" s="33" t="s">
        <v>2112</v>
      </c>
      <c r="U1213" s="34">
        <v>50.714260000000003</v>
      </c>
      <c r="V1213" s="7"/>
      <c r="W1213" s="7" t="str">
        <f>VLOOKUP($Q1213,Mapping!$E$11:$I$96,3,0)</f>
        <v>Replacement</v>
      </c>
      <c r="X1213" s="7" t="str">
        <f>VLOOKUP($S1213,Mapping!$E$140:$K$2771,5,0)</f>
        <v>PNS Corporate OH</v>
      </c>
      <c r="Y1213" s="7" t="str">
        <f>VLOOKUP($S1213,Mapping!$E$140:$K$2771,7,0)</f>
        <v>OH</v>
      </c>
      <c r="Z1213" s="7" t="str">
        <f>IFERROR(HLOOKUP(X1213,'Calc|Weightings'!$K$5:$M$5,1,0),"Excl")</f>
        <v>Excl</v>
      </c>
      <c r="AA1213" s="7" t="str">
        <f>VLOOKUP(Q1213,Mapping!$E$11:$I$96,5,0)</f>
        <v>SCS</v>
      </c>
      <c r="AC1213" s="111">
        <v>153</v>
      </c>
      <c r="AD1213" s="111" t="s">
        <v>2162</v>
      </c>
      <c r="AE1213" s="111">
        <v>613739</v>
      </c>
      <c r="AF1213" s="111" t="s">
        <v>1767</v>
      </c>
      <c r="AG1213" s="112">
        <v>430.45657999999997</v>
      </c>
      <c r="AI1213" s="7" t="str">
        <f>VLOOKUP($AC1213,Mapping!$E$11:$I$96,3,0)</f>
        <v>Fee Based Opex</v>
      </c>
      <c r="AJ1213" s="7" t="str">
        <f>VLOOKUP($AE1213,Mapping!$E$140:$K$2771,5,0)</f>
        <v>Labour (50%)/ Contracts (50%)</v>
      </c>
      <c r="AK1213" s="7" t="str">
        <f>VLOOKUP($AE1213,Mapping!$E$140:$K$2771,7,0)</f>
        <v>ENDirect</v>
      </c>
      <c r="AL1213" s="7" t="str">
        <f>IFERROR(HLOOKUP(AJ1213,'Calc|Weightings'!$K$5:$M$5,1,0),"Excl")</f>
        <v>Excl</v>
      </c>
      <c r="AM1213" s="7" t="str">
        <f>VLOOKUP(AC1213,Mapping!$E$11:$I$96,5,0)</f>
        <v>Ancillary Network Services</v>
      </c>
      <c r="AO1213" s="134">
        <v>157</v>
      </c>
      <c r="AP1213" s="135" t="s">
        <v>2166</v>
      </c>
      <c r="AQ1213" s="135">
        <v>634001</v>
      </c>
      <c r="AR1213" s="135" t="s">
        <v>2110</v>
      </c>
      <c r="AS1213" s="136">
        <v>198.71224000000001</v>
      </c>
      <c r="AU1213" s="7" t="str">
        <f>VLOOKUP($AO1213,Mapping!$E$11:$I$96,3,0)</f>
        <v>Replacement</v>
      </c>
      <c r="AV1213" s="7" t="str">
        <f>VLOOKUP($AQ1213,Mapping!$E$140:$K$2771,5,0)</f>
        <v>Local OH</v>
      </c>
      <c r="AW1213" s="7" t="str">
        <f>VLOOKUP($AQ1213,Mapping!$E$140:$K$2771,7,0)</f>
        <v>OH</v>
      </c>
      <c r="AX1213" s="7" t="str">
        <f>IFERROR(HLOOKUP(AV1213,'Calc|Weightings'!$K$5:$M$5,1,0),"Excl")</f>
        <v>Excl</v>
      </c>
      <c r="AY1213" s="7" t="str">
        <f>VLOOKUP(AO1213,Mapping!$E$11:$I$96,5,0)</f>
        <v>SCS</v>
      </c>
    </row>
    <row r="1214" spans="1:51" x14ac:dyDescent="0.2">
      <c r="A1214" s="7"/>
      <c r="B1214" s="7"/>
      <c r="C1214" s="7"/>
      <c r="D1214" s="7"/>
      <c r="E1214" s="36">
        <v>145</v>
      </c>
      <c r="F1214" s="36" t="s">
        <v>2155</v>
      </c>
      <c r="G1214" s="36">
        <v>613318</v>
      </c>
      <c r="H1214" s="36" t="s">
        <v>1360</v>
      </c>
      <c r="I1214" s="37">
        <v>1.4224399999999999</v>
      </c>
      <c r="J1214" s="7"/>
      <c r="K1214" s="7" t="str">
        <f>VLOOKUP($E1214,Mapping!$E$11:$I$96,3,0)</f>
        <v>Replacement</v>
      </c>
      <c r="L1214" s="7" t="str">
        <f>VLOOKUP($G1214,Mapping!$E$140:$K$2771,5,0)</f>
        <v>Labour</v>
      </c>
      <c r="M1214" s="7" t="str">
        <f>VLOOKUP($G1214,Mapping!$E$140:$K$2771,7,0)</f>
        <v>ENDirect</v>
      </c>
      <c r="N1214" s="7" t="str">
        <f>IFERROR(HLOOKUP(L1214,'Calc|Weightings'!$K$5:$M$5,1,0),"Excl")</f>
        <v>Labour</v>
      </c>
      <c r="O1214" s="7" t="str">
        <f>VLOOKUP(E1214,Mapping!$E$11:$I$96,5,0)</f>
        <v>SCS</v>
      </c>
      <c r="Q1214" s="33">
        <v>150</v>
      </c>
      <c r="R1214" s="33" t="s">
        <v>2159</v>
      </c>
      <c r="S1214" s="33">
        <v>639050</v>
      </c>
      <c r="T1214" s="33" t="s">
        <v>2113</v>
      </c>
      <c r="U1214" s="34">
        <v>7.3787000000000003</v>
      </c>
      <c r="V1214" s="7"/>
      <c r="W1214" s="7" t="str">
        <f>VLOOKUP($Q1214,Mapping!$E$11:$I$96,3,0)</f>
        <v>Replacement</v>
      </c>
      <c r="X1214" s="7" t="str">
        <f>VLOOKUP($S1214,Mapping!$E$140:$K$2771,5,0)</f>
        <v>PNS Fleet &amp; Property OH</v>
      </c>
      <c r="Y1214" s="7" t="str">
        <f>VLOOKUP($S1214,Mapping!$E$140:$K$2771,7,0)</f>
        <v>OH</v>
      </c>
      <c r="Z1214" s="7" t="str">
        <f>IFERROR(HLOOKUP(X1214,'Calc|Weightings'!$K$5:$M$5,1,0),"Excl")</f>
        <v>Excl</v>
      </c>
      <c r="AA1214" s="7" t="str">
        <f>VLOOKUP(Q1214,Mapping!$E$11:$I$96,5,0)</f>
        <v>SCS</v>
      </c>
      <c r="AC1214" s="111">
        <v>153</v>
      </c>
      <c r="AD1214" s="111" t="s">
        <v>2162</v>
      </c>
      <c r="AE1214" s="111">
        <v>613805</v>
      </c>
      <c r="AF1214" s="111" t="s">
        <v>1594</v>
      </c>
      <c r="AG1214" s="112">
        <v>-49.607100000000003</v>
      </c>
      <c r="AI1214" s="7" t="str">
        <f>VLOOKUP($AC1214,Mapping!$E$11:$I$96,3,0)</f>
        <v>Fee Based Opex</v>
      </c>
      <c r="AJ1214" s="7" t="str">
        <f>VLOOKUP($AE1214,Mapping!$E$140:$K$2771,5,0)</f>
        <v>Contracts</v>
      </c>
      <c r="AK1214" s="7" t="str">
        <f>VLOOKUP($AE1214,Mapping!$E$140:$K$2771,7,0)</f>
        <v>ENDirect</v>
      </c>
      <c r="AL1214" s="7" t="str">
        <f>IFERROR(HLOOKUP(AJ1214,'Calc|Weightings'!$K$5:$M$5,1,0),"Excl")</f>
        <v>Contracts</v>
      </c>
      <c r="AM1214" s="7" t="str">
        <f>VLOOKUP(AC1214,Mapping!$E$11:$I$96,5,0)</f>
        <v>Ancillary Network Services</v>
      </c>
      <c r="AO1214" s="134">
        <v>157</v>
      </c>
      <c r="AP1214" s="135" t="s">
        <v>2166</v>
      </c>
      <c r="AQ1214" s="135">
        <v>635001</v>
      </c>
      <c r="AR1214" s="135" t="s">
        <v>1929</v>
      </c>
      <c r="AS1214" s="136">
        <v>161.26659000000001</v>
      </c>
      <c r="AU1214" s="7" t="str">
        <f>VLOOKUP($AO1214,Mapping!$E$11:$I$96,3,0)</f>
        <v>Replacement</v>
      </c>
      <c r="AV1214" s="7" t="str">
        <f>VLOOKUP($AQ1214,Mapping!$E$140:$K$2771,5,0)</f>
        <v>PNS MG</v>
      </c>
      <c r="AW1214" s="7" t="str">
        <f>VLOOKUP($AQ1214,Mapping!$E$140:$K$2771,7,0)</f>
        <v>ENDirect</v>
      </c>
      <c r="AX1214" s="7" t="str">
        <f>IFERROR(HLOOKUP(AV1214,'Calc|Weightings'!$K$5:$M$5,1,0),"Excl")</f>
        <v>Excl</v>
      </c>
      <c r="AY1214" s="7" t="str">
        <f>VLOOKUP(AO1214,Mapping!$E$11:$I$96,5,0)</f>
        <v>SCS</v>
      </c>
    </row>
    <row r="1215" spans="1:51" x14ac:dyDescent="0.2">
      <c r="A1215" s="7"/>
      <c r="B1215" s="7"/>
      <c r="C1215" s="7"/>
      <c r="D1215" s="7"/>
      <c r="E1215" s="36">
        <v>145</v>
      </c>
      <c r="F1215" s="36" t="s">
        <v>2155</v>
      </c>
      <c r="G1215" s="36">
        <v>613350</v>
      </c>
      <c r="H1215" s="36" t="s">
        <v>2096</v>
      </c>
      <c r="I1215" s="37">
        <v>0.40349000000000002</v>
      </c>
      <c r="J1215" s="7"/>
      <c r="K1215" s="7" t="str">
        <f>VLOOKUP($E1215,Mapping!$E$11:$I$96,3,0)</f>
        <v>Replacement</v>
      </c>
      <c r="L1215" s="7" t="str">
        <f>VLOOKUP($G1215,Mapping!$E$140:$K$2771,5,0)</f>
        <v>Labour</v>
      </c>
      <c r="M1215" s="7" t="str">
        <f>VLOOKUP($G1215,Mapping!$E$140:$K$2771,7,0)</f>
        <v>ENDirect</v>
      </c>
      <c r="N1215" s="7" t="str">
        <f>IFERROR(HLOOKUP(L1215,'Calc|Weightings'!$K$5:$M$5,1,0),"Excl")</f>
        <v>Labour</v>
      </c>
      <c r="O1215" s="7" t="str">
        <f>VLOOKUP(E1215,Mapping!$E$11:$I$96,5,0)</f>
        <v>SCS</v>
      </c>
      <c r="Q1215" s="33">
        <v>152</v>
      </c>
      <c r="R1215" s="33" t="s">
        <v>2161</v>
      </c>
      <c r="S1215" s="33">
        <v>611860</v>
      </c>
      <c r="T1215" s="33" t="s">
        <v>2125</v>
      </c>
      <c r="U1215" s="34">
        <v>0.26257999999999998</v>
      </c>
      <c r="V1215" s="7"/>
      <c r="W1215" s="7" t="str">
        <f>VLOOKUP($Q1215,Mapping!$E$11:$I$96,3,0)</f>
        <v>Replacement</v>
      </c>
      <c r="X1215" s="7" t="str">
        <f>VLOOKUP($S1215,Mapping!$E$140:$K$2771,5,0)</f>
        <v>Labour</v>
      </c>
      <c r="Y1215" s="7" t="str">
        <f>VLOOKUP($S1215,Mapping!$E$140:$K$2771,7,0)</f>
        <v>ENDirect</v>
      </c>
      <c r="Z1215" s="7" t="str">
        <f>IFERROR(HLOOKUP(X1215,'Calc|Weightings'!$K$5:$M$5,1,0),"Excl")</f>
        <v>Labour</v>
      </c>
      <c r="AA1215" s="7" t="str">
        <f>VLOOKUP(Q1215,Mapping!$E$11:$I$96,5,0)</f>
        <v>SCS</v>
      </c>
      <c r="AC1215" s="111">
        <v>153</v>
      </c>
      <c r="AD1215" s="111" t="s">
        <v>2162</v>
      </c>
      <c r="AE1215" s="111">
        <v>613807</v>
      </c>
      <c r="AF1215" s="111" t="s">
        <v>662</v>
      </c>
      <c r="AG1215" s="112">
        <v>-18.782779999999999</v>
      </c>
      <c r="AI1215" s="7" t="str">
        <f>VLOOKUP($AC1215,Mapping!$E$11:$I$96,3,0)</f>
        <v>Fee Based Opex</v>
      </c>
      <c r="AJ1215" s="7" t="str">
        <f>VLOOKUP($AE1215,Mapping!$E$140:$K$2771,5,0)</f>
        <v>Contracts</v>
      </c>
      <c r="AK1215" s="7" t="str">
        <f>VLOOKUP($AE1215,Mapping!$E$140:$K$2771,7,0)</f>
        <v>ENDirect</v>
      </c>
      <c r="AL1215" s="7" t="str">
        <f>IFERROR(HLOOKUP(AJ1215,'Calc|Weightings'!$K$5:$M$5,1,0),"Excl")</f>
        <v>Contracts</v>
      </c>
      <c r="AM1215" s="7" t="str">
        <f>VLOOKUP(AC1215,Mapping!$E$11:$I$96,5,0)</f>
        <v>Ancillary Network Services</v>
      </c>
      <c r="AO1215" s="134">
        <v>157</v>
      </c>
      <c r="AP1215" s="135" t="s">
        <v>2166</v>
      </c>
      <c r="AQ1215" s="135">
        <v>636001</v>
      </c>
      <c r="AR1215" s="135" t="s">
        <v>2111</v>
      </c>
      <c r="AS1215" s="136">
        <v>133.08242999999999</v>
      </c>
      <c r="AU1215" s="7" t="str">
        <f>VLOOKUP($AO1215,Mapping!$E$11:$I$96,3,0)</f>
        <v>Replacement</v>
      </c>
      <c r="AV1215" s="7" t="str">
        <f>VLOOKUP($AQ1215,Mapping!$E$140:$K$2771,5,0)</f>
        <v>System Control OH</v>
      </c>
      <c r="AW1215" s="7" t="str">
        <f>VLOOKUP($AQ1215,Mapping!$E$140:$K$2771,7,0)</f>
        <v>OH</v>
      </c>
      <c r="AX1215" s="7" t="str">
        <f>IFERROR(HLOOKUP(AV1215,'Calc|Weightings'!$K$5:$M$5,1,0),"Excl")</f>
        <v>Excl</v>
      </c>
      <c r="AY1215" s="7" t="str">
        <f>VLOOKUP(AO1215,Mapping!$E$11:$I$96,5,0)</f>
        <v>SCS</v>
      </c>
    </row>
    <row r="1216" spans="1:51" x14ac:dyDescent="0.2">
      <c r="A1216" s="7"/>
      <c r="B1216" s="7"/>
      <c r="C1216" s="7"/>
      <c r="D1216" s="7"/>
      <c r="E1216" s="36">
        <v>145</v>
      </c>
      <c r="F1216" s="36" t="s">
        <v>2155</v>
      </c>
      <c r="G1216" s="36">
        <v>613351</v>
      </c>
      <c r="H1216" s="36" t="s">
        <v>2151</v>
      </c>
      <c r="I1216" s="37">
        <v>0.10738</v>
      </c>
      <c r="J1216" s="7"/>
      <c r="K1216" s="7" t="str">
        <f>VLOOKUP($E1216,Mapping!$E$11:$I$96,3,0)</f>
        <v>Replacement</v>
      </c>
      <c r="L1216" s="7" t="str">
        <f>VLOOKUP($G1216,Mapping!$E$140:$K$2771,5,0)</f>
        <v>Labour</v>
      </c>
      <c r="M1216" s="7" t="str">
        <f>VLOOKUP($G1216,Mapping!$E$140:$K$2771,7,0)</f>
        <v>ENDirect</v>
      </c>
      <c r="N1216" s="7" t="str">
        <f>IFERROR(HLOOKUP(L1216,'Calc|Weightings'!$K$5:$M$5,1,0),"Excl")</f>
        <v>Labour</v>
      </c>
      <c r="O1216" s="7" t="str">
        <f>VLOOKUP(E1216,Mapping!$E$11:$I$96,5,0)</f>
        <v>SCS</v>
      </c>
      <c r="Q1216" s="33">
        <v>152</v>
      </c>
      <c r="R1216" s="33" t="s">
        <v>2161</v>
      </c>
      <c r="S1216" s="33">
        <v>611861</v>
      </c>
      <c r="T1216" s="33" t="s">
        <v>2140</v>
      </c>
      <c r="U1216" s="34">
        <v>0.66929000000000005</v>
      </c>
      <c r="V1216" s="7"/>
      <c r="W1216" s="7" t="str">
        <f>VLOOKUP($Q1216,Mapping!$E$11:$I$96,3,0)</f>
        <v>Replacement</v>
      </c>
      <c r="X1216" s="7" t="str">
        <f>VLOOKUP($S1216,Mapping!$E$140:$K$2771,5,0)</f>
        <v>Labour</v>
      </c>
      <c r="Y1216" s="7" t="str">
        <f>VLOOKUP($S1216,Mapping!$E$140:$K$2771,7,0)</f>
        <v>ENDirect</v>
      </c>
      <c r="Z1216" s="7" t="str">
        <f>IFERROR(HLOOKUP(X1216,'Calc|Weightings'!$K$5:$M$5,1,0),"Excl")</f>
        <v>Labour</v>
      </c>
      <c r="AA1216" s="7" t="str">
        <f>VLOOKUP(Q1216,Mapping!$E$11:$I$96,5,0)</f>
        <v>SCS</v>
      </c>
      <c r="AC1216" s="111">
        <v>153</v>
      </c>
      <c r="AD1216" s="111" t="s">
        <v>2162</v>
      </c>
      <c r="AE1216" s="111">
        <v>634001</v>
      </c>
      <c r="AF1216" s="111" t="s">
        <v>2110</v>
      </c>
      <c r="AG1216" s="112">
        <v>7.1049499999999997</v>
      </c>
      <c r="AI1216" s="7" t="str">
        <f>VLOOKUP($AC1216,Mapping!$E$11:$I$96,3,0)</f>
        <v>Fee Based Opex</v>
      </c>
      <c r="AJ1216" s="7" t="str">
        <f>VLOOKUP($AE1216,Mapping!$E$140:$K$2771,5,0)</f>
        <v>Local OH</v>
      </c>
      <c r="AK1216" s="7" t="str">
        <f>VLOOKUP($AE1216,Mapping!$E$140:$K$2771,7,0)</f>
        <v>OH</v>
      </c>
      <c r="AL1216" s="7" t="str">
        <f>IFERROR(HLOOKUP(AJ1216,'Calc|Weightings'!$K$5:$M$5,1,0),"Excl")</f>
        <v>Excl</v>
      </c>
      <c r="AM1216" s="7" t="str">
        <f>VLOOKUP(AC1216,Mapping!$E$11:$I$96,5,0)</f>
        <v>Ancillary Network Services</v>
      </c>
      <c r="AO1216" s="134">
        <v>157</v>
      </c>
      <c r="AP1216" s="135" t="s">
        <v>2166</v>
      </c>
      <c r="AQ1216" s="135">
        <v>639000</v>
      </c>
      <c r="AR1216" s="135" t="s">
        <v>2112</v>
      </c>
      <c r="AS1216" s="136">
        <v>113.30417</v>
      </c>
      <c r="AU1216" s="7" t="str">
        <f>VLOOKUP($AO1216,Mapping!$E$11:$I$96,3,0)</f>
        <v>Replacement</v>
      </c>
      <c r="AV1216" s="7" t="str">
        <f>VLOOKUP($AQ1216,Mapping!$E$140:$K$2771,5,0)</f>
        <v>PNS Corporate OH</v>
      </c>
      <c r="AW1216" s="7" t="str">
        <f>VLOOKUP($AQ1216,Mapping!$E$140:$K$2771,7,0)</f>
        <v>OH</v>
      </c>
      <c r="AX1216" s="7" t="str">
        <f>IFERROR(HLOOKUP(AV1216,'Calc|Weightings'!$K$5:$M$5,1,0),"Excl")</f>
        <v>Excl</v>
      </c>
      <c r="AY1216" s="7" t="str">
        <f>VLOOKUP(AO1216,Mapping!$E$11:$I$96,5,0)</f>
        <v>SCS</v>
      </c>
    </row>
    <row r="1217" spans="1:51" x14ac:dyDescent="0.2">
      <c r="A1217" s="7"/>
      <c r="B1217" s="7"/>
      <c r="C1217" s="7"/>
      <c r="D1217" s="7"/>
      <c r="E1217" s="36">
        <v>145</v>
      </c>
      <c r="F1217" s="36" t="s">
        <v>2155</v>
      </c>
      <c r="G1217" s="36">
        <v>613360</v>
      </c>
      <c r="H1217" s="36" t="s">
        <v>2097</v>
      </c>
      <c r="I1217" s="37">
        <v>0.83111999999999997</v>
      </c>
      <c r="J1217" s="7"/>
      <c r="K1217" s="7" t="str">
        <f>VLOOKUP($E1217,Mapping!$E$11:$I$96,3,0)</f>
        <v>Replacement</v>
      </c>
      <c r="L1217" s="7" t="str">
        <f>VLOOKUP($G1217,Mapping!$E$140:$K$2771,5,0)</f>
        <v>Labour</v>
      </c>
      <c r="M1217" s="7" t="str">
        <f>VLOOKUP($G1217,Mapping!$E$140:$K$2771,7,0)</f>
        <v>ENDirect</v>
      </c>
      <c r="N1217" s="7" t="str">
        <f>IFERROR(HLOOKUP(L1217,'Calc|Weightings'!$K$5:$M$5,1,0),"Excl")</f>
        <v>Labour</v>
      </c>
      <c r="O1217" s="7" t="str">
        <f>VLOOKUP(E1217,Mapping!$E$11:$I$96,5,0)</f>
        <v>SCS</v>
      </c>
      <c r="Q1217" s="33">
        <v>152</v>
      </c>
      <c r="R1217" s="33" t="s">
        <v>2161</v>
      </c>
      <c r="S1217" s="33">
        <v>612210</v>
      </c>
      <c r="T1217" s="33" t="s">
        <v>1184</v>
      </c>
      <c r="U1217" s="34">
        <v>2.5400000000000002E-3</v>
      </c>
      <c r="V1217" s="7"/>
      <c r="W1217" s="7" t="str">
        <f>VLOOKUP($Q1217,Mapping!$E$11:$I$96,3,0)</f>
        <v>Replacement</v>
      </c>
      <c r="X1217" s="7" t="str">
        <f>VLOOKUP($S1217,Mapping!$E$140:$K$2771,5,0)</f>
        <v>Labour</v>
      </c>
      <c r="Y1217" s="7" t="str">
        <f>VLOOKUP($S1217,Mapping!$E$140:$K$2771,7,0)</f>
        <v>ENDirect</v>
      </c>
      <c r="Z1217" s="7" t="str">
        <f>IFERROR(HLOOKUP(X1217,'Calc|Weightings'!$K$5:$M$5,1,0),"Excl")</f>
        <v>Labour</v>
      </c>
      <c r="AA1217" s="7" t="str">
        <f>VLOOKUP(Q1217,Mapping!$E$11:$I$96,5,0)</f>
        <v>SCS</v>
      </c>
      <c r="AC1217" s="111">
        <v>153</v>
      </c>
      <c r="AD1217" s="111" t="s">
        <v>2162</v>
      </c>
      <c r="AE1217" s="111">
        <v>635001</v>
      </c>
      <c r="AF1217" s="111" t="s">
        <v>1929</v>
      </c>
      <c r="AG1217" s="112">
        <v>54.19332</v>
      </c>
      <c r="AI1217" s="7" t="str">
        <f>VLOOKUP($AC1217,Mapping!$E$11:$I$96,3,0)</f>
        <v>Fee Based Opex</v>
      </c>
      <c r="AJ1217" s="7" t="str">
        <f>VLOOKUP($AE1217,Mapping!$E$140:$K$2771,5,0)</f>
        <v>PNS MG</v>
      </c>
      <c r="AK1217" s="7" t="str">
        <f>VLOOKUP($AE1217,Mapping!$E$140:$K$2771,7,0)</f>
        <v>ENDirect</v>
      </c>
      <c r="AL1217" s="7" t="str">
        <f>IFERROR(HLOOKUP(AJ1217,'Calc|Weightings'!$K$5:$M$5,1,0),"Excl")</f>
        <v>Excl</v>
      </c>
      <c r="AM1217" s="7" t="str">
        <f>VLOOKUP(AC1217,Mapping!$E$11:$I$96,5,0)</f>
        <v>Ancillary Network Services</v>
      </c>
      <c r="AO1217" s="134">
        <v>157</v>
      </c>
      <c r="AP1217" s="135" t="s">
        <v>2166</v>
      </c>
      <c r="AQ1217" s="135">
        <v>639050</v>
      </c>
      <c r="AR1217" s="135" t="s">
        <v>2113</v>
      </c>
      <c r="AS1217" s="136">
        <v>32.89555</v>
      </c>
      <c r="AU1217" s="7" t="str">
        <f>VLOOKUP($AO1217,Mapping!$E$11:$I$96,3,0)</f>
        <v>Replacement</v>
      </c>
      <c r="AV1217" s="7" t="str">
        <f>VLOOKUP($AQ1217,Mapping!$E$140:$K$2771,5,0)</f>
        <v>PNS Fleet &amp; Property OH</v>
      </c>
      <c r="AW1217" s="7" t="str">
        <f>VLOOKUP($AQ1217,Mapping!$E$140:$K$2771,7,0)</f>
        <v>OH</v>
      </c>
      <c r="AX1217" s="7" t="str">
        <f>IFERROR(HLOOKUP(AV1217,'Calc|Weightings'!$K$5:$M$5,1,0),"Excl")</f>
        <v>Excl</v>
      </c>
      <c r="AY1217" s="7" t="str">
        <f>VLOOKUP(AO1217,Mapping!$E$11:$I$96,5,0)</f>
        <v>SCS</v>
      </c>
    </row>
    <row r="1218" spans="1:51" x14ac:dyDescent="0.2">
      <c r="A1218" s="7"/>
      <c r="B1218" s="7"/>
      <c r="C1218" s="7"/>
      <c r="D1218" s="7"/>
      <c r="E1218" s="36">
        <v>145</v>
      </c>
      <c r="F1218" s="36" t="s">
        <v>2155</v>
      </c>
      <c r="G1218" s="36">
        <v>613370</v>
      </c>
      <c r="H1218" s="36" t="s">
        <v>1402</v>
      </c>
      <c r="I1218" s="37">
        <v>1.5200000000000001E-3</v>
      </c>
      <c r="J1218" s="7"/>
      <c r="K1218" s="7" t="str">
        <f>VLOOKUP($E1218,Mapping!$E$11:$I$96,3,0)</f>
        <v>Replacement</v>
      </c>
      <c r="L1218" s="7" t="str">
        <f>VLOOKUP($G1218,Mapping!$E$140:$K$2771,5,0)</f>
        <v>Labour</v>
      </c>
      <c r="M1218" s="7" t="str">
        <f>VLOOKUP($G1218,Mapping!$E$140:$K$2771,7,0)</f>
        <v>ENDirect</v>
      </c>
      <c r="N1218" s="7" t="str">
        <f>IFERROR(HLOOKUP(L1218,'Calc|Weightings'!$K$5:$M$5,1,0),"Excl")</f>
        <v>Labour</v>
      </c>
      <c r="O1218" s="7" t="str">
        <f>VLOOKUP(E1218,Mapping!$E$11:$I$96,5,0)</f>
        <v>SCS</v>
      </c>
      <c r="Q1218" s="33">
        <v>152</v>
      </c>
      <c r="R1218" s="33" t="s">
        <v>2161</v>
      </c>
      <c r="S1218" s="33">
        <v>613390</v>
      </c>
      <c r="T1218" s="33" t="s">
        <v>2141</v>
      </c>
      <c r="U1218" s="34">
        <v>0.17116000000000001</v>
      </c>
      <c r="V1218" s="7"/>
      <c r="W1218" s="7" t="str">
        <f>VLOOKUP($Q1218,Mapping!$E$11:$I$96,3,0)</f>
        <v>Replacement</v>
      </c>
      <c r="X1218" s="7" t="str">
        <f>VLOOKUP($S1218,Mapping!$E$140:$K$2771,5,0)</f>
        <v>Contracts</v>
      </c>
      <c r="Y1218" s="7" t="str">
        <f>VLOOKUP($S1218,Mapping!$E$140:$K$2771,7,0)</f>
        <v>ENDirect</v>
      </c>
      <c r="Z1218" s="7" t="str">
        <f>IFERROR(HLOOKUP(X1218,'Calc|Weightings'!$K$5:$M$5,1,0),"Excl")</f>
        <v>Contracts</v>
      </c>
      <c r="AA1218" s="7" t="str">
        <f>VLOOKUP(Q1218,Mapping!$E$11:$I$96,5,0)</f>
        <v>SCS</v>
      </c>
      <c r="AC1218" s="111">
        <v>153</v>
      </c>
      <c r="AD1218" s="111" t="s">
        <v>2162</v>
      </c>
      <c r="AE1218" s="111">
        <v>636001</v>
      </c>
      <c r="AF1218" s="111" t="s">
        <v>2111</v>
      </c>
      <c r="AG1218" s="112">
        <v>3.8508599999999999</v>
      </c>
      <c r="AI1218" s="7" t="str">
        <f>VLOOKUP($AC1218,Mapping!$E$11:$I$96,3,0)</f>
        <v>Fee Based Opex</v>
      </c>
      <c r="AJ1218" s="7" t="str">
        <f>VLOOKUP($AE1218,Mapping!$E$140:$K$2771,5,0)</f>
        <v>System Control OH</v>
      </c>
      <c r="AK1218" s="7" t="str">
        <f>VLOOKUP($AE1218,Mapping!$E$140:$K$2771,7,0)</f>
        <v>OH</v>
      </c>
      <c r="AL1218" s="7" t="str">
        <f>IFERROR(HLOOKUP(AJ1218,'Calc|Weightings'!$K$5:$M$5,1,0),"Excl")</f>
        <v>Excl</v>
      </c>
      <c r="AM1218" s="7" t="str">
        <f>VLOOKUP(AC1218,Mapping!$E$11:$I$96,5,0)</f>
        <v>Ancillary Network Services</v>
      </c>
      <c r="AO1218" s="134">
        <v>160</v>
      </c>
      <c r="AP1218" s="135" t="s">
        <v>2170</v>
      </c>
      <c r="AQ1218" s="135">
        <v>520100</v>
      </c>
      <c r="AR1218" s="135" t="s">
        <v>2072</v>
      </c>
      <c r="AS1218" s="136">
        <v>569.41039000000001</v>
      </c>
      <c r="AU1218" s="7" t="str">
        <f>VLOOKUP($AO1218,Mapping!$E$11:$I$96,3,0)</f>
        <v>Augmentation</v>
      </c>
      <c r="AV1218" s="7" t="str">
        <f>VLOOKUP($AQ1218,Mapping!$E$140:$K$2771,5,0)</f>
        <v>Materials</v>
      </c>
      <c r="AW1218" s="7" t="str">
        <f>VLOOKUP($AQ1218,Mapping!$E$140:$K$2771,7,0)</f>
        <v>ENDirect</v>
      </c>
      <c r="AX1218" s="7" t="str">
        <f>IFERROR(HLOOKUP(AV1218,'Calc|Weightings'!$K$5:$M$5,1,0),"Excl")</f>
        <v>Materials</v>
      </c>
      <c r="AY1218" s="7" t="str">
        <f>VLOOKUP(AO1218,Mapping!$E$11:$I$96,5,0)</f>
        <v>SCS</v>
      </c>
    </row>
    <row r="1219" spans="1:51" x14ac:dyDescent="0.2">
      <c r="A1219" s="7"/>
      <c r="B1219" s="7"/>
      <c r="C1219" s="7"/>
      <c r="D1219" s="7"/>
      <c r="E1219" s="36">
        <v>145</v>
      </c>
      <c r="F1219" s="36" t="s">
        <v>2155</v>
      </c>
      <c r="G1219" s="36">
        <v>613390</v>
      </c>
      <c r="H1219" s="36" t="s">
        <v>2141</v>
      </c>
      <c r="I1219" s="37">
        <v>122.37362</v>
      </c>
      <c r="J1219" s="7"/>
      <c r="K1219" s="7" t="str">
        <f>VLOOKUP($E1219,Mapping!$E$11:$I$96,3,0)</f>
        <v>Replacement</v>
      </c>
      <c r="L1219" s="7" t="str">
        <f>VLOOKUP($G1219,Mapping!$E$140:$K$2771,5,0)</f>
        <v>Contracts</v>
      </c>
      <c r="M1219" s="7" t="str">
        <f>VLOOKUP($G1219,Mapping!$E$140:$K$2771,7,0)</f>
        <v>ENDirect</v>
      </c>
      <c r="N1219" s="7" t="str">
        <f>IFERROR(HLOOKUP(L1219,'Calc|Weightings'!$K$5:$M$5,1,0),"Excl")</f>
        <v>Contracts</v>
      </c>
      <c r="O1219" s="7" t="str">
        <f>VLOOKUP(E1219,Mapping!$E$11:$I$96,5,0)</f>
        <v>SCS</v>
      </c>
      <c r="Q1219" s="33">
        <v>152</v>
      </c>
      <c r="R1219" s="33" t="s">
        <v>2161</v>
      </c>
      <c r="S1219" s="33">
        <v>613800</v>
      </c>
      <c r="T1219" s="33" t="s">
        <v>2142</v>
      </c>
      <c r="U1219" s="34">
        <v>9.3140000000000001E-2</v>
      </c>
      <c r="V1219" s="7"/>
      <c r="W1219" s="7" t="str">
        <f>VLOOKUP($Q1219,Mapping!$E$11:$I$96,3,0)</f>
        <v>Replacement</v>
      </c>
      <c r="X1219" s="7" t="str">
        <f>VLOOKUP($S1219,Mapping!$E$140:$K$2771,5,0)</f>
        <v>Materials</v>
      </c>
      <c r="Y1219" s="7" t="str">
        <f>VLOOKUP($S1219,Mapping!$E$140:$K$2771,7,0)</f>
        <v>ENDirect</v>
      </c>
      <c r="Z1219" s="7" t="str">
        <f>IFERROR(HLOOKUP(X1219,'Calc|Weightings'!$K$5:$M$5,1,0),"Excl")</f>
        <v>Materials</v>
      </c>
      <c r="AA1219" s="7" t="str">
        <f>VLOOKUP(Q1219,Mapping!$E$11:$I$96,5,0)</f>
        <v>SCS</v>
      </c>
      <c r="AC1219" s="111">
        <v>153</v>
      </c>
      <c r="AD1219" s="111" t="s">
        <v>2162</v>
      </c>
      <c r="AE1219" s="111">
        <v>639000</v>
      </c>
      <c r="AF1219" s="111" t="s">
        <v>2112</v>
      </c>
      <c r="AG1219" s="112">
        <v>48.625079999999997</v>
      </c>
      <c r="AI1219" s="7" t="str">
        <f>VLOOKUP($AC1219,Mapping!$E$11:$I$96,3,0)</f>
        <v>Fee Based Opex</v>
      </c>
      <c r="AJ1219" s="7" t="str">
        <f>VLOOKUP($AE1219,Mapping!$E$140:$K$2771,5,0)</f>
        <v>PNS Corporate OH</v>
      </c>
      <c r="AK1219" s="7" t="str">
        <f>VLOOKUP($AE1219,Mapping!$E$140:$K$2771,7,0)</f>
        <v>OH</v>
      </c>
      <c r="AL1219" s="7" t="str">
        <f>IFERROR(HLOOKUP(AJ1219,'Calc|Weightings'!$K$5:$M$5,1,0),"Excl")</f>
        <v>Excl</v>
      </c>
      <c r="AM1219" s="7" t="str">
        <f>VLOOKUP(AC1219,Mapping!$E$11:$I$96,5,0)</f>
        <v>Ancillary Network Services</v>
      </c>
      <c r="AO1219" s="134">
        <v>160</v>
      </c>
      <c r="AP1219" s="135" t="s">
        <v>2170</v>
      </c>
      <c r="AQ1219" s="135">
        <v>520200</v>
      </c>
      <c r="AR1219" s="135" t="s">
        <v>2073</v>
      </c>
      <c r="AS1219" s="136">
        <v>0.3024</v>
      </c>
      <c r="AU1219" s="7" t="str">
        <f>VLOOKUP($AO1219,Mapping!$E$11:$I$96,3,0)</f>
        <v>Augmentation</v>
      </c>
      <c r="AV1219" s="7" t="str">
        <f>VLOOKUP($AQ1219,Mapping!$E$140:$K$2771,5,0)</f>
        <v>Materials</v>
      </c>
      <c r="AW1219" s="7" t="str">
        <f>VLOOKUP($AQ1219,Mapping!$E$140:$K$2771,7,0)</f>
        <v>ENDirect</v>
      </c>
      <c r="AX1219" s="7" t="str">
        <f>IFERROR(HLOOKUP(AV1219,'Calc|Weightings'!$K$5:$M$5,1,0),"Excl")</f>
        <v>Materials</v>
      </c>
      <c r="AY1219" s="7" t="str">
        <f>VLOOKUP(AO1219,Mapping!$E$11:$I$96,5,0)</f>
        <v>SCS</v>
      </c>
    </row>
    <row r="1220" spans="1:51" x14ac:dyDescent="0.2">
      <c r="A1220" s="7"/>
      <c r="B1220" s="7"/>
      <c r="C1220" s="7"/>
      <c r="D1220" s="7"/>
      <c r="E1220" s="36">
        <v>145</v>
      </c>
      <c r="F1220" s="36" t="s">
        <v>2155</v>
      </c>
      <c r="G1220" s="36">
        <v>613400</v>
      </c>
      <c r="H1220" s="36" t="s">
        <v>2099</v>
      </c>
      <c r="I1220" s="37">
        <v>1.46052</v>
      </c>
      <c r="J1220" s="7"/>
      <c r="K1220" s="7" t="str">
        <f>VLOOKUP($E1220,Mapping!$E$11:$I$96,3,0)</f>
        <v>Replacement</v>
      </c>
      <c r="L1220" s="7" t="str">
        <f>VLOOKUP($G1220,Mapping!$E$140:$K$2771,5,0)</f>
        <v>Labour</v>
      </c>
      <c r="M1220" s="7" t="str">
        <f>VLOOKUP($G1220,Mapping!$E$140:$K$2771,7,0)</f>
        <v>ENDirect</v>
      </c>
      <c r="N1220" s="7" t="str">
        <f>IFERROR(HLOOKUP(L1220,'Calc|Weightings'!$K$5:$M$5,1,0),"Excl")</f>
        <v>Labour</v>
      </c>
      <c r="O1220" s="7" t="str">
        <f>VLOOKUP(E1220,Mapping!$E$11:$I$96,5,0)</f>
        <v>SCS</v>
      </c>
      <c r="Q1220" s="33">
        <v>152</v>
      </c>
      <c r="R1220" s="33" t="s">
        <v>2161</v>
      </c>
      <c r="S1220" s="33">
        <v>634001</v>
      </c>
      <c r="T1220" s="33" t="s">
        <v>2110</v>
      </c>
      <c r="U1220" s="34">
        <v>7.2940000000000005E-2</v>
      </c>
      <c r="V1220" s="7"/>
      <c r="W1220" s="7" t="str">
        <f>VLOOKUP($Q1220,Mapping!$E$11:$I$96,3,0)</f>
        <v>Replacement</v>
      </c>
      <c r="X1220" s="7" t="str">
        <f>VLOOKUP($S1220,Mapping!$E$140:$K$2771,5,0)</f>
        <v>Local OH</v>
      </c>
      <c r="Y1220" s="7" t="str">
        <f>VLOOKUP($S1220,Mapping!$E$140:$K$2771,7,0)</f>
        <v>OH</v>
      </c>
      <c r="Z1220" s="7" t="str">
        <f>IFERROR(HLOOKUP(X1220,'Calc|Weightings'!$K$5:$M$5,1,0),"Excl")</f>
        <v>Excl</v>
      </c>
      <c r="AA1220" s="7" t="str">
        <f>VLOOKUP(Q1220,Mapping!$E$11:$I$96,5,0)</f>
        <v>SCS</v>
      </c>
      <c r="AC1220" s="111">
        <v>153</v>
      </c>
      <c r="AD1220" s="111" t="s">
        <v>2162</v>
      </c>
      <c r="AE1220" s="111">
        <v>639050</v>
      </c>
      <c r="AF1220" s="111" t="s">
        <v>2113</v>
      </c>
      <c r="AG1220" s="112">
        <v>0.78139999999999998</v>
      </c>
      <c r="AI1220" s="7" t="str">
        <f>VLOOKUP($AC1220,Mapping!$E$11:$I$96,3,0)</f>
        <v>Fee Based Opex</v>
      </c>
      <c r="AJ1220" s="7" t="str">
        <f>VLOOKUP($AE1220,Mapping!$E$140:$K$2771,5,0)</f>
        <v>PNS Fleet &amp; Property OH</v>
      </c>
      <c r="AK1220" s="7" t="str">
        <f>VLOOKUP($AE1220,Mapping!$E$140:$K$2771,7,0)</f>
        <v>OH</v>
      </c>
      <c r="AL1220" s="7" t="str">
        <f>IFERROR(HLOOKUP(AJ1220,'Calc|Weightings'!$K$5:$M$5,1,0),"Excl")</f>
        <v>Excl</v>
      </c>
      <c r="AM1220" s="7" t="str">
        <f>VLOOKUP(AC1220,Mapping!$E$11:$I$96,5,0)</f>
        <v>Ancillary Network Services</v>
      </c>
      <c r="AO1220" s="134">
        <v>160</v>
      </c>
      <c r="AP1220" s="135" t="s">
        <v>2170</v>
      </c>
      <c r="AQ1220" s="135">
        <v>523100</v>
      </c>
      <c r="AR1220" s="135" t="s">
        <v>2074</v>
      </c>
      <c r="AS1220" s="136">
        <v>1.1160699999999999</v>
      </c>
      <c r="AU1220" s="7" t="str">
        <f>VLOOKUP($AO1220,Mapping!$E$11:$I$96,3,0)</f>
        <v>Augmentation</v>
      </c>
      <c r="AV1220" s="7" t="str">
        <f>VLOOKUP($AQ1220,Mapping!$E$140:$K$2771,5,0)</f>
        <v>Materials</v>
      </c>
      <c r="AW1220" s="7" t="str">
        <f>VLOOKUP($AQ1220,Mapping!$E$140:$K$2771,7,0)</f>
        <v>ENDirect</v>
      </c>
      <c r="AX1220" s="7" t="str">
        <f>IFERROR(HLOOKUP(AV1220,'Calc|Weightings'!$K$5:$M$5,1,0),"Excl")</f>
        <v>Materials</v>
      </c>
      <c r="AY1220" s="7" t="str">
        <f>VLOOKUP(AO1220,Mapping!$E$11:$I$96,5,0)</f>
        <v>SCS</v>
      </c>
    </row>
    <row r="1221" spans="1:51" x14ac:dyDescent="0.2">
      <c r="A1221" s="7"/>
      <c r="B1221" s="7"/>
      <c r="C1221" s="7"/>
      <c r="D1221" s="7"/>
      <c r="E1221" s="36">
        <v>145</v>
      </c>
      <c r="F1221" s="36" t="s">
        <v>2155</v>
      </c>
      <c r="G1221" s="36">
        <v>613408</v>
      </c>
      <c r="H1221" s="36" t="s">
        <v>1418</v>
      </c>
      <c r="I1221" s="37">
        <v>36.703490000000002</v>
      </c>
      <c r="J1221" s="7"/>
      <c r="K1221" s="7" t="str">
        <f>VLOOKUP($E1221,Mapping!$E$11:$I$96,3,0)</f>
        <v>Replacement</v>
      </c>
      <c r="L1221" s="7" t="str">
        <f>VLOOKUP($G1221,Mapping!$E$140:$K$2771,5,0)</f>
        <v>Labour</v>
      </c>
      <c r="M1221" s="7" t="str">
        <f>VLOOKUP($G1221,Mapping!$E$140:$K$2771,7,0)</f>
        <v>ENDirect</v>
      </c>
      <c r="N1221" s="7" t="str">
        <f>IFERROR(HLOOKUP(L1221,'Calc|Weightings'!$K$5:$M$5,1,0),"Excl")</f>
        <v>Labour</v>
      </c>
      <c r="O1221" s="7" t="str">
        <f>VLOOKUP(E1221,Mapping!$E$11:$I$96,5,0)</f>
        <v>SCS</v>
      </c>
      <c r="Q1221" s="33">
        <v>152</v>
      </c>
      <c r="R1221" s="33" t="s">
        <v>2161</v>
      </c>
      <c r="S1221" s="33">
        <v>635001</v>
      </c>
      <c r="T1221" s="33" t="s">
        <v>1929</v>
      </c>
      <c r="U1221" s="34">
        <v>6.1679999999999999E-2</v>
      </c>
      <c r="V1221" s="7"/>
      <c r="W1221" s="7" t="str">
        <f>VLOOKUP($Q1221,Mapping!$E$11:$I$96,3,0)</f>
        <v>Replacement</v>
      </c>
      <c r="X1221" s="7" t="str">
        <f>VLOOKUP($S1221,Mapping!$E$140:$K$2771,5,0)</f>
        <v>PNS MG</v>
      </c>
      <c r="Y1221" s="7" t="str">
        <f>VLOOKUP($S1221,Mapping!$E$140:$K$2771,7,0)</f>
        <v>ENDirect</v>
      </c>
      <c r="Z1221" s="7" t="str">
        <f>IFERROR(HLOOKUP(X1221,'Calc|Weightings'!$K$5:$M$5,1,0),"Excl")</f>
        <v>Excl</v>
      </c>
      <c r="AA1221" s="7" t="str">
        <f>VLOOKUP(Q1221,Mapping!$E$11:$I$96,5,0)</f>
        <v>SCS</v>
      </c>
      <c r="AC1221" s="111">
        <v>155</v>
      </c>
      <c r="AD1221" s="111" t="s">
        <v>2164</v>
      </c>
      <c r="AE1221" s="111">
        <v>591999</v>
      </c>
      <c r="AF1221" s="111" t="s">
        <v>2195</v>
      </c>
      <c r="AG1221" s="112">
        <v>-45.993760000000002</v>
      </c>
      <c r="AI1221" s="7" t="str">
        <f>VLOOKUP($AC1221,Mapping!$E$11:$I$96,3,0)</f>
        <v>Replacement</v>
      </c>
      <c r="AJ1221" s="7" t="str">
        <f>VLOOKUP($AE1221,Mapping!$E$140:$K$2771,5,0)</f>
        <v>Contracts</v>
      </c>
      <c r="AK1221" s="7" t="str">
        <f>VLOOKUP($AE1221,Mapping!$E$140:$K$2771,7,0)</f>
        <v>ENDirect</v>
      </c>
      <c r="AL1221" s="7" t="str">
        <f>IFERROR(HLOOKUP(AJ1221,'Calc|Weightings'!$K$5:$M$5,1,0),"Excl")</f>
        <v>Contracts</v>
      </c>
      <c r="AM1221" s="7" t="str">
        <f>VLOOKUP(AC1221,Mapping!$E$11:$I$96,5,0)</f>
        <v>SCS</v>
      </c>
      <c r="AO1221" s="134">
        <v>160</v>
      </c>
      <c r="AP1221" s="135" t="s">
        <v>2170</v>
      </c>
      <c r="AQ1221" s="135">
        <v>523300</v>
      </c>
      <c r="AR1221" s="135" t="s">
        <v>2075</v>
      </c>
      <c r="AS1221" s="136">
        <v>0.26767999999999997</v>
      </c>
      <c r="AU1221" s="7" t="str">
        <f>VLOOKUP($AO1221,Mapping!$E$11:$I$96,3,0)</f>
        <v>Augmentation</v>
      </c>
      <c r="AV1221" s="7" t="str">
        <f>VLOOKUP($AQ1221,Mapping!$E$140:$K$2771,5,0)</f>
        <v>Materials</v>
      </c>
      <c r="AW1221" s="7" t="str">
        <f>VLOOKUP($AQ1221,Mapping!$E$140:$K$2771,7,0)</f>
        <v>ENDirect</v>
      </c>
      <c r="AX1221" s="7" t="str">
        <f>IFERROR(HLOOKUP(AV1221,'Calc|Weightings'!$K$5:$M$5,1,0),"Excl")</f>
        <v>Materials</v>
      </c>
      <c r="AY1221" s="7" t="str">
        <f>VLOOKUP(AO1221,Mapping!$E$11:$I$96,5,0)</f>
        <v>SCS</v>
      </c>
    </row>
    <row r="1222" spans="1:51" x14ac:dyDescent="0.2">
      <c r="A1222" s="7"/>
      <c r="B1222" s="7"/>
      <c r="C1222" s="7"/>
      <c r="D1222" s="7"/>
      <c r="E1222" s="36">
        <v>145</v>
      </c>
      <c r="F1222" s="36" t="s">
        <v>2155</v>
      </c>
      <c r="G1222" s="36">
        <v>613409</v>
      </c>
      <c r="H1222" s="36" t="s">
        <v>1419</v>
      </c>
      <c r="I1222" s="37">
        <v>3.03789</v>
      </c>
      <c r="J1222" s="7"/>
      <c r="K1222" s="7" t="str">
        <f>VLOOKUP($E1222,Mapping!$E$11:$I$96,3,0)</f>
        <v>Replacement</v>
      </c>
      <c r="L1222" s="7" t="str">
        <f>VLOOKUP($G1222,Mapping!$E$140:$K$2771,5,0)</f>
        <v>Labour</v>
      </c>
      <c r="M1222" s="7" t="str">
        <f>VLOOKUP($G1222,Mapping!$E$140:$K$2771,7,0)</f>
        <v>ENDirect</v>
      </c>
      <c r="N1222" s="7" t="str">
        <f>IFERROR(HLOOKUP(L1222,'Calc|Weightings'!$K$5:$M$5,1,0),"Excl")</f>
        <v>Labour</v>
      </c>
      <c r="O1222" s="7" t="str">
        <f>VLOOKUP(E1222,Mapping!$E$11:$I$96,5,0)</f>
        <v>SCS</v>
      </c>
      <c r="Q1222" s="33">
        <v>152</v>
      </c>
      <c r="R1222" s="33" t="s">
        <v>2161</v>
      </c>
      <c r="S1222" s="33">
        <v>636001</v>
      </c>
      <c r="T1222" s="33" t="s">
        <v>2111</v>
      </c>
      <c r="U1222" s="34">
        <v>2.2849999999999999E-2</v>
      </c>
      <c r="V1222" s="7"/>
      <c r="W1222" s="7" t="str">
        <f>VLOOKUP($Q1222,Mapping!$E$11:$I$96,3,0)</f>
        <v>Replacement</v>
      </c>
      <c r="X1222" s="7" t="str">
        <f>VLOOKUP($S1222,Mapping!$E$140:$K$2771,5,0)</f>
        <v>System Control OH</v>
      </c>
      <c r="Y1222" s="7" t="str">
        <f>VLOOKUP($S1222,Mapping!$E$140:$K$2771,7,0)</f>
        <v>OH</v>
      </c>
      <c r="Z1222" s="7" t="str">
        <f>IFERROR(HLOOKUP(X1222,'Calc|Weightings'!$K$5:$M$5,1,0),"Excl")</f>
        <v>Excl</v>
      </c>
      <c r="AA1222" s="7" t="str">
        <f>VLOOKUP(Q1222,Mapping!$E$11:$I$96,5,0)</f>
        <v>SCS</v>
      </c>
      <c r="AC1222" s="111">
        <v>155</v>
      </c>
      <c r="AD1222" s="111" t="s">
        <v>2164</v>
      </c>
      <c r="AE1222" s="111">
        <v>633000</v>
      </c>
      <c r="AF1222" s="111" t="s">
        <v>2202</v>
      </c>
      <c r="AG1222" s="112">
        <v>-96.968400000000003</v>
      </c>
      <c r="AI1222" s="7" t="str">
        <f>VLOOKUP($AC1222,Mapping!$E$11:$I$96,3,0)</f>
        <v>Replacement</v>
      </c>
      <c r="AJ1222" s="7" t="str">
        <f>VLOOKUP($AE1222,Mapping!$E$140:$K$2771,5,0)</f>
        <v>Contracts</v>
      </c>
      <c r="AK1222" s="7" t="str">
        <f>VLOOKUP($AE1222,Mapping!$E$140:$K$2771,7,0)</f>
        <v>OH</v>
      </c>
      <c r="AL1222" s="7" t="str">
        <f>IFERROR(HLOOKUP(AJ1222,'Calc|Weightings'!$K$5:$M$5,1,0),"Excl")</f>
        <v>Contracts</v>
      </c>
      <c r="AM1222" s="7" t="str">
        <f>VLOOKUP(AC1222,Mapping!$E$11:$I$96,5,0)</f>
        <v>SCS</v>
      </c>
      <c r="AO1222" s="134">
        <v>160</v>
      </c>
      <c r="AP1222" s="135" t="s">
        <v>2170</v>
      </c>
      <c r="AQ1222" s="135">
        <v>531020</v>
      </c>
      <c r="AR1222" s="135" t="s">
        <v>219</v>
      </c>
      <c r="AS1222" s="136">
        <v>50.439439999999998</v>
      </c>
      <c r="AU1222" s="7" t="str">
        <f>VLOOKUP($AO1222,Mapping!$E$11:$I$96,3,0)</f>
        <v>Augmentation</v>
      </c>
      <c r="AV1222" s="7" t="str">
        <f>VLOOKUP($AQ1222,Mapping!$E$140:$K$2771,5,0)</f>
        <v>Labour</v>
      </c>
      <c r="AW1222" s="7" t="str">
        <f>VLOOKUP($AQ1222,Mapping!$E$140:$K$2771,7,0)</f>
        <v>ENDirect</v>
      </c>
      <c r="AX1222" s="7" t="str">
        <f>IFERROR(HLOOKUP(AV1222,'Calc|Weightings'!$K$5:$M$5,1,0),"Excl")</f>
        <v>Labour</v>
      </c>
      <c r="AY1222" s="7" t="str">
        <f>VLOOKUP(AO1222,Mapping!$E$11:$I$96,5,0)</f>
        <v>SCS</v>
      </c>
    </row>
    <row r="1223" spans="1:51" x14ac:dyDescent="0.2">
      <c r="A1223" s="7"/>
      <c r="B1223" s="7"/>
      <c r="C1223" s="7"/>
      <c r="D1223" s="7"/>
      <c r="E1223" s="36">
        <v>145</v>
      </c>
      <c r="F1223" s="36" t="s">
        <v>2155</v>
      </c>
      <c r="G1223" s="36">
        <v>613418</v>
      </c>
      <c r="H1223" s="36" t="s">
        <v>1424</v>
      </c>
      <c r="I1223" s="37">
        <v>9.9974900000000009</v>
      </c>
      <c r="J1223" s="7"/>
      <c r="K1223" s="7" t="str">
        <f>VLOOKUP($E1223,Mapping!$E$11:$I$96,3,0)</f>
        <v>Replacement</v>
      </c>
      <c r="L1223" s="7" t="str">
        <f>VLOOKUP($G1223,Mapping!$E$140:$K$2771,5,0)</f>
        <v>Labour</v>
      </c>
      <c r="M1223" s="7" t="str">
        <f>VLOOKUP($G1223,Mapping!$E$140:$K$2771,7,0)</f>
        <v>ENDirect</v>
      </c>
      <c r="N1223" s="7" t="str">
        <f>IFERROR(HLOOKUP(L1223,'Calc|Weightings'!$K$5:$M$5,1,0),"Excl")</f>
        <v>Labour</v>
      </c>
      <c r="O1223" s="7" t="str">
        <f>VLOOKUP(E1223,Mapping!$E$11:$I$96,5,0)</f>
        <v>SCS</v>
      </c>
      <c r="Q1223" s="33">
        <v>152</v>
      </c>
      <c r="R1223" s="33" t="s">
        <v>2161</v>
      </c>
      <c r="S1223" s="33">
        <v>639000</v>
      </c>
      <c r="T1223" s="33" t="s">
        <v>2112</v>
      </c>
      <c r="U1223" s="34">
        <v>6.0769999999999998E-2</v>
      </c>
      <c r="V1223" s="7"/>
      <c r="W1223" s="7" t="str">
        <f>VLOOKUP($Q1223,Mapping!$E$11:$I$96,3,0)</f>
        <v>Replacement</v>
      </c>
      <c r="X1223" s="7" t="str">
        <f>VLOOKUP($S1223,Mapping!$E$140:$K$2771,5,0)</f>
        <v>PNS Corporate OH</v>
      </c>
      <c r="Y1223" s="7" t="str">
        <f>VLOOKUP($S1223,Mapping!$E$140:$K$2771,7,0)</f>
        <v>OH</v>
      </c>
      <c r="Z1223" s="7" t="str">
        <f>IFERROR(HLOOKUP(X1223,'Calc|Weightings'!$K$5:$M$5,1,0),"Excl")</f>
        <v>Excl</v>
      </c>
      <c r="AA1223" s="7" t="str">
        <f>VLOOKUP(Q1223,Mapping!$E$11:$I$96,5,0)</f>
        <v>SCS</v>
      </c>
      <c r="AC1223" s="111">
        <v>155</v>
      </c>
      <c r="AD1223" s="111" t="s">
        <v>2164</v>
      </c>
      <c r="AE1223" s="111">
        <v>634000</v>
      </c>
      <c r="AF1223" s="111" t="s">
        <v>2110</v>
      </c>
      <c r="AG1223" s="112">
        <v>27.73884</v>
      </c>
      <c r="AI1223" s="7" t="str">
        <f>VLOOKUP($AC1223,Mapping!$E$11:$I$96,3,0)</f>
        <v>Replacement</v>
      </c>
      <c r="AJ1223" s="7" t="str">
        <f>VLOOKUP($AE1223,Mapping!$E$140:$K$2771,5,0)</f>
        <v>Local OH</v>
      </c>
      <c r="AK1223" s="7" t="str">
        <f>VLOOKUP($AE1223,Mapping!$E$140:$K$2771,7,0)</f>
        <v>OH</v>
      </c>
      <c r="AL1223" s="7" t="str">
        <f>IFERROR(HLOOKUP(AJ1223,'Calc|Weightings'!$K$5:$M$5,1,0),"Excl")</f>
        <v>Excl</v>
      </c>
      <c r="AM1223" s="7" t="str">
        <f>VLOOKUP(AC1223,Mapping!$E$11:$I$96,5,0)</f>
        <v>SCS</v>
      </c>
      <c r="AO1223" s="134">
        <v>160</v>
      </c>
      <c r="AP1223" s="135" t="s">
        <v>2170</v>
      </c>
      <c r="AQ1223" s="135">
        <v>531200</v>
      </c>
      <c r="AR1223" s="135" t="s">
        <v>250</v>
      </c>
      <c r="AS1223" s="136">
        <v>48.672669999999997</v>
      </c>
      <c r="AU1223" s="7" t="str">
        <f>VLOOKUP($AO1223,Mapping!$E$11:$I$96,3,0)</f>
        <v>Augmentation</v>
      </c>
      <c r="AV1223" s="7" t="str">
        <f>VLOOKUP($AQ1223,Mapping!$E$140:$K$2771,5,0)</f>
        <v>Contracts</v>
      </c>
      <c r="AW1223" s="7" t="str">
        <f>VLOOKUP($AQ1223,Mapping!$E$140:$K$2771,7,0)</f>
        <v>ENDirect</v>
      </c>
      <c r="AX1223" s="7" t="str">
        <f>IFERROR(HLOOKUP(AV1223,'Calc|Weightings'!$K$5:$M$5,1,0),"Excl")</f>
        <v>Contracts</v>
      </c>
      <c r="AY1223" s="7" t="str">
        <f>VLOOKUP(AO1223,Mapping!$E$11:$I$96,5,0)</f>
        <v>SCS</v>
      </c>
    </row>
    <row r="1224" spans="1:51" x14ac:dyDescent="0.2">
      <c r="A1224" s="7"/>
      <c r="B1224" s="7"/>
      <c r="C1224" s="7"/>
      <c r="D1224" s="7"/>
      <c r="E1224" s="36">
        <v>145</v>
      </c>
      <c r="F1224" s="36" t="s">
        <v>2155</v>
      </c>
      <c r="G1224" s="36">
        <v>613419</v>
      </c>
      <c r="H1224" s="36" t="s">
        <v>1425</v>
      </c>
      <c r="I1224" s="37">
        <v>1.60168</v>
      </c>
      <c r="J1224" s="7"/>
      <c r="K1224" s="7" t="str">
        <f>VLOOKUP($E1224,Mapping!$E$11:$I$96,3,0)</f>
        <v>Replacement</v>
      </c>
      <c r="L1224" s="7" t="str">
        <f>VLOOKUP($G1224,Mapping!$E$140:$K$2771,5,0)</f>
        <v>Labour</v>
      </c>
      <c r="M1224" s="7" t="str">
        <f>VLOOKUP($G1224,Mapping!$E$140:$K$2771,7,0)</f>
        <v>ENDirect</v>
      </c>
      <c r="N1224" s="7" t="str">
        <f>IFERROR(HLOOKUP(L1224,'Calc|Weightings'!$K$5:$M$5,1,0),"Excl")</f>
        <v>Labour</v>
      </c>
      <c r="O1224" s="7" t="str">
        <f>VLOOKUP(E1224,Mapping!$E$11:$I$96,5,0)</f>
        <v>SCS</v>
      </c>
      <c r="Q1224" s="33">
        <v>152</v>
      </c>
      <c r="R1224" s="33" t="s">
        <v>2161</v>
      </c>
      <c r="S1224" s="33">
        <v>639050</v>
      </c>
      <c r="T1224" s="33" t="s">
        <v>2113</v>
      </c>
      <c r="U1224" s="34">
        <v>7.3499999999999998E-3</v>
      </c>
      <c r="V1224" s="7"/>
      <c r="W1224" s="7" t="str">
        <f>VLOOKUP($Q1224,Mapping!$E$11:$I$96,3,0)</f>
        <v>Replacement</v>
      </c>
      <c r="X1224" s="7" t="str">
        <f>VLOOKUP($S1224,Mapping!$E$140:$K$2771,5,0)</f>
        <v>PNS Fleet &amp; Property OH</v>
      </c>
      <c r="Y1224" s="7" t="str">
        <f>VLOOKUP($S1224,Mapping!$E$140:$K$2771,7,0)</f>
        <v>OH</v>
      </c>
      <c r="Z1224" s="7" t="str">
        <f>IFERROR(HLOOKUP(X1224,'Calc|Weightings'!$K$5:$M$5,1,0),"Excl")</f>
        <v>Excl</v>
      </c>
      <c r="AA1224" s="7" t="str">
        <f>VLOOKUP(Q1224,Mapping!$E$11:$I$96,5,0)</f>
        <v>SCS</v>
      </c>
      <c r="AC1224" s="111">
        <v>155</v>
      </c>
      <c r="AD1224" s="111" t="s">
        <v>2164</v>
      </c>
      <c r="AE1224" s="111">
        <v>634001</v>
      </c>
      <c r="AF1224" s="111" t="s">
        <v>2110</v>
      </c>
      <c r="AG1224" s="112">
        <v>75.761179999999996</v>
      </c>
      <c r="AI1224" s="7" t="str">
        <f>VLOOKUP($AC1224,Mapping!$E$11:$I$96,3,0)</f>
        <v>Replacement</v>
      </c>
      <c r="AJ1224" s="7" t="str">
        <f>VLOOKUP($AE1224,Mapping!$E$140:$K$2771,5,0)</f>
        <v>Local OH</v>
      </c>
      <c r="AK1224" s="7" t="str">
        <f>VLOOKUP($AE1224,Mapping!$E$140:$K$2771,7,0)</f>
        <v>OH</v>
      </c>
      <c r="AL1224" s="7" t="str">
        <f>IFERROR(HLOOKUP(AJ1224,'Calc|Weightings'!$K$5:$M$5,1,0),"Excl")</f>
        <v>Excl</v>
      </c>
      <c r="AM1224" s="7" t="str">
        <f>VLOOKUP(AC1224,Mapping!$E$11:$I$96,5,0)</f>
        <v>SCS</v>
      </c>
      <c r="AO1224" s="134">
        <v>160</v>
      </c>
      <c r="AP1224" s="135" t="s">
        <v>2170</v>
      </c>
      <c r="AQ1224" s="135">
        <v>531464</v>
      </c>
      <c r="AR1224" s="135" t="s">
        <v>256</v>
      </c>
      <c r="AS1224" s="136">
        <v>245.37836999999999</v>
      </c>
      <c r="AU1224" s="7" t="str">
        <f>VLOOKUP($AO1224,Mapping!$E$11:$I$96,3,0)</f>
        <v>Augmentation</v>
      </c>
      <c r="AV1224" s="7" t="str">
        <f>VLOOKUP($AQ1224,Mapping!$E$140:$K$2771,5,0)</f>
        <v>Contracts</v>
      </c>
      <c r="AW1224" s="7" t="str">
        <f>VLOOKUP($AQ1224,Mapping!$E$140:$K$2771,7,0)</f>
        <v>ENDirect</v>
      </c>
      <c r="AX1224" s="7" t="str">
        <f>IFERROR(HLOOKUP(AV1224,'Calc|Weightings'!$K$5:$M$5,1,0),"Excl")</f>
        <v>Contracts</v>
      </c>
      <c r="AY1224" s="7" t="str">
        <f>VLOOKUP(AO1224,Mapping!$E$11:$I$96,5,0)</f>
        <v>SCS</v>
      </c>
    </row>
    <row r="1225" spans="1:51" x14ac:dyDescent="0.2">
      <c r="A1225" s="7"/>
      <c r="B1225" s="7"/>
      <c r="C1225" s="7"/>
      <c r="D1225" s="7"/>
      <c r="E1225" s="36">
        <v>145</v>
      </c>
      <c r="F1225" s="36" t="s">
        <v>2155</v>
      </c>
      <c r="G1225" s="36">
        <v>613428</v>
      </c>
      <c r="H1225" s="36" t="s">
        <v>1430</v>
      </c>
      <c r="I1225" s="37">
        <v>0.89646000000000003</v>
      </c>
      <c r="J1225" s="7"/>
      <c r="K1225" s="7" t="str">
        <f>VLOOKUP($E1225,Mapping!$E$11:$I$96,3,0)</f>
        <v>Replacement</v>
      </c>
      <c r="L1225" s="7" t="str">
        <f>VLOOKUP($G1225,Mapping!$E$140:$K$2771,5,0)</f>
        <v>Labour</v>
      </c>
      <c r="M1225" s="7" t="str">
        <f>VLOOKUP($G1225,Mapping!$E$140:$K$2771,7,0)</f>
        <v>ENDirect</v>
      </c>
      <c r="N1225" s="7" t="str">
        <f>IFERROR(HLOOKUP(L1225,'Calc|Weightings'!$K$5:$M$5,1,0),"Excl")</f>
        <v>Labour</v>
      </c>
      <c r="O1225" s="7" t="str">
        <f>VLOOKUP(E1225,Mapping!$E$11:$I$96,5,0)</f>
        <v>SCS</v>
      </c>
      <c r="Q1225" s="33">
        <v>153</v>
      </c>
      <c r="R1225" s="33" t="s">
        <v>2162</v>
      </c>
      <c r="S1225" s="33">
        <v>604149</v>
      </c>
      <c r="T1225" s="33" t="s">
        <v>485</v>
      </c>
      <c r="U1225" s="34">
        <v>7.3642300000000001</v>
      </c>
      <c r="V1225" s="7"/>
      <c r="W1225" s="7" t="str">
        <f>VLOOKUP($Q1225,Mapping!$E$11:$I$96,3,0)</f>
        <v>Fee Based Opex</v>
      </c>
      <c r="X1225" s="7" t="str">
        <f>VLOOKUP($S1225,Mapping!$E$140:$K$2771,5,0)</f>
        <v>Contracts</v>
      </c>
      <c r="Y1225" s="7" t="str">
        <f>VLOOKUP($S1225,Mapping!$E$140:$K$2771,7,0)</f>
        <v>ENDirect</v>
      </c>
      <c r="Z1225" s="7" t="str">
        <f>IFERROR(HLOOKUP(X1225,'Calc|Weightings'!$K$5:$M$5,1,0),"Excl")</f>
        <v>Contracts</v>
      </c>
      <c r="AA1225" s="7" t="str">
        <f>VLOOKUP(Q1225,Mapping!$E$11:$I$96,5,0)</f>
        <v>Ancillary Network Services</v>
      </c>
      <c r="AC1225" s="111">
        <v>155</v>
      </c>
      <c r="AD1225" s="111" t="s">
        <v>2164</v>
      </c>
      <c r="AE1225" s="111">
        <v>635000</v>
      </c>
      <c r="AF1225" s="111" t="s">
        <v>2128</v>
      </c>
      <c r="AG1225" s="112">
        <v>99.108860000000007</v>
      </c>
      <c r="AI1225" s="7" t="str">
        <f>VLOOKUP($AC1225,Mapping!$E$11:$I$96,3,0)</f>
        <v>Replacement</v>
      </c>
      <c r="AJ1225" s="7" t="str">
        <f>VLOOKUP($AE1225,Mapping!$E$140:$K$2771,5,0)</f>
        <v>PNS MG</v>
      </c>
      <c r="AK1225" s="7" t="str">
        <f>VLOOKUP($AE1225,Mapping!$E$140:$K$2771,7,0)</f>
        <v>ENDirect</v>
      </c>
      <c r="AL1225" s="7" t="str">
        <f>IFERROR(HLOOKUP(AJ1225,'Calc|Weightings'!$K$5:$M$5,1,0),"Excl")</f>
        <v>Excl</v>
      </c>
      <c r="AM1225" s="7" t="str">
        <f>VLOOKUP(AC1225,Mapping!$E$11:$I$96,5,0)</f>
        <v>SCS</v>
      </c>
      <c r="AO1225" s="134">
        <v>160</v>
      </c>
      <c r="AP1225" s="135" t="s">
        <v>2170</v>
      </c>
      <c r="AQ1225" s="135">
        <v>531466</v>
      </c>
      <c r="AR1225" s="135" t="s">
        <v>258</v>
      </c>
      <c r="AS1225" s="136">
        <v>22.487950000000001</v>
      </c>
      <c r="AU1225" s="7" t="str">
        <f>VLOOKUP($AO1225,Mapping!$E$11:$I$96,3,0)</f>
        <v>Augmentation</v>
      </c>
      <c r="AV1225" s="7" t="str">
        <f>VLOOKUP($AQ1225,Mapping!$E$140:$K$2771,5,0)</f>
        <v>Contracts</v>
      </c>
      <c r="AW1225" s="7" t="str">
        <f>VLOOKUP($AQ1225,Mapping!$E$140:$K$2771,7,0)</f>
        <v>ENDirect</v>
      </c>
      <c r="AX1225" s="7" t="str">
        <f>IFERROR(HLOOKUP(AV1225,'Calc|Weightings'!$K$5:$M$5,1,0),"Excl")</f>
        <v>Contracts</v>
      </c>
      <c r="AY1225" s="7" t="str">
        <f>VLOOKUP(AO1225,Mapping!$E$11:$I$96,5,0)</f>
        <v>SCS</v>
      </c>
    </row>
    <row r="1226" spans="1:51" x14ac:dyDescent="0.2">
      <c r="A1226" s="7"/>
      <c r="B1226" s="7"/>
      <c r="C1226" s="7"/>
      <c r="D1226" s="7"/>
      <c r="E1226" s="36">
        <v>145</v>
      </c>
      <c r="F1226" s="36" t="s">
        <v>2155</v>
      </c>
      <c r="G1226" s="36">
        <v>613429</v>
      </c>
      <c r="H1226" s="36" t="s">
        <v>1431</v>
      </c>
      <c r="I1226" s="37">
        <v>6.8279999999999993E-2</v>
      </c>
      <c r="J1226" s="7"/>
      <c r="K1226" s="7" t="str">
        <f>VLOOKUP($E1226,Mapping!$E$11:$I$96,3,0)</f>
        <v>Replacement</v>
      </c>
      <c r="L1226" s="7" t="str">
        <f>VLOOKUP($G1226,Mapping!$E$140:$K$2771,5,0)</f>
        <v>Labour</v>
      </c>
      <c r="M1226" s="7" t="str">
        <f>VLOOKUP($G1226,Mapping!$E$140:$K$2771,7,0)</f>
        <v>ENDirect</v>
      </c>
      <c r="N1226" s="7" t="str">
        <f>IFERROR(HLOOKUP(L1226,'Calc|Weightings'!$K$5:$M$5,1,0),"Excl")</f>
        <v>Labour</v>
      </c>
      <c r="O1226" s="7" t="str">
        <f>VLOOKUP(E1226,Mapping!$E$11:$I$96,5,0)</f>
        <v>SCS</v>
      </c>
      <c r="Q1226" s="33">
        <v>153</v>
      </c>
      <c r="R1226" s="33" t="s">
        <v>2162</v>
      </c>
      <c r="S1226" s="33">
        <v>604152</v>
      </c>
      <c r="T1226" s="33" t="s">
        <v>486</v>
      </c>
      <c r="U1226" s="34">
        <v>91.223759999999999</v>
      </c>
      <c r="V1226" s="7"/>
      <c r="W1226" s="7" t="str">
        <f>VLOOKUP($Q1226,Mapping!$E$11:$I$96,3,0)</f>
        <v>Fee Based Opex</v>
      </c>
      <c r="X1226" s="7" t="str">
        <f>VLOOKUP($S1226,Mapping!$E$140:$K$2771,5,0)</f>
        <v>Contracts</v>
      </c>
      <c r="Y1226" s="7" t="str">
        <f>VLOOKUP($S1226,Mapping!$E$140:$K$2771,7,0)</f>
        <v>ENDirect</v>
      </c>
      <c r="Z1226" s="7" t="str">
        <f>IFERROR(HLOOKUP(X1226,'Calc|Weightings'!$K$5:$M$5,1,0),"Excl")</f>
        <v>Contracts</v>
      </c>
      <c r="AA1226" s="7" t="str">
        <f>VLOOKUP(Q1226,Mapping!$E$11:$I$96,5,0)</f>
        <v>Ancillary Network Services</v>
      </c>
      <c r="AC1226" s="111">
        <v>155</v>
      </c>
      <c r="AD1226" s="111" t="s">
        <v>2164</v>
      </c>
      <c r="AE1226" s="111">
        <v>635001</v>
      </c>
      <c r="AF1226" s="111" t="s">
        <v>1929</v>
      </c>
      <c r="AG1226" s="112">
        <v>-176.20854</v>
      </c>
      <c r="AI1226" s="7" t="str">
        <f>VLOOKUP($AC1226,Mapping!$E$11:$I$96,3,0)</f>
        <v>Replacement</v>
      </c>
      <c r="AJ1226" s="7" t="str">
        <f>VLOOKUP($AE1226,Mapping!$E$140:$K$2771,5,0)</f>
        <v>PNS MG</v>
      </c>
      <c r="AK1226" s="7" t="str">
        <f>VLOOKUP($AE1226,Mapping!$E$140:$K$2771,7,0)</f>
        <v>ENDirect</v>
      </c>
      <c r="AL1226" s="7" t="str">
        <f>IFERROR(HLOOKUP(AJ1226,'Calc|Weightings'!$K$5:$M$5,1,0),"Excl")</f>
        <v>Excl</v>
      </c>
      <c r="AM1226" s="7" t="str">
        <f>VLOOKUP(AC1226,Mapping!$E$11:$I$96,5,0)</f>
        <v>SCS</v>
      </c>
      <c r="AO1226" s="134">
        <v>160</v>
      </c>
      <c r="AP1226" s="135" t="s">
        <v>2170</v>
      </c>
      <c r="AQ1226" s="135">
        <v>531467</v>
      </c>
      <c r="AR1226" s="135" t="s">
        <v>259</v>
      </c>
      <c r="AS1226" s="136">
        <v>134.4504</v>
      </c>
      <c r="AU1226" s="7" t="str">
        <f>VLOOKUP($AO1226,Mapping!$E$11:$I$96,3,0)</f>
        <v>Augmentation</v>
      </c>
      <c r="AV1226" s="7" t="str">
        <f>VLOOKUP($AQ1226,Mapping!$E$140:$K$2771,5,0)</f>
        <v>Contracts</v>
      </c>
      <c r="AW1226" s="7" t="str">
        <f>VLOOKUP($AQ1226,Mapping!$E$140:$K$2771,7,0)</f>
        <v>ENDirect</v>
      </c>
      <c r="AX1226" s="7" t="str">
        <f>IFERROR(HLOOKUP(AV1226,'Calc|Weightings'!$K$5:$M$5,1,0),"Excl")</f>
        <v>Contracts</v>
      </c>
      <c r="AY1226" s="7" t="str">
        <f>VLOOKUP(AO1226,Mapping!$E$11:$I$96,5,0)</f>
        <v>SCS</v>
      </c>
    </row>
    <row r="1227" spans="1:51" x14ac:dyDescent="0.2">
      <c r="A1227" s="7"/>
      <c r="B1227" s="7"/>
      <c r="C1227" s="7"/>
      <c r="D1227" s="7"/>
      <c r="E1227" s="36">
        <v>145</v>
      </c>
      <c r="F1227" s="36" t="s">
        <v>2155</v>
      </c>
      <c r="G1227" s="36">
        <v>613438</v>
      </c>
      <c r="H1227" s="36" t="s">
        <v>1436</v>
      </c>
      <c r="I1227" s="37">
        <v>1.2557199999999999</v>
      </c>
      <c r="J1227" s="7"/>
      <c r="K1227" s="7" t="str">
        <f>VLOOKUP($E1227,Mapping!$E$11:$I$96,3,0)</f>
        <v>Replacement</v>
      </c>
      <c r="L1227" s="7" t="str">
        <f>VLOOKUP($G1227,Mapping!$E$140:$K$2771,5,0)</f>
        <v>Labour</v>
      </c>
      <c r="M1227" s="7" t="str">
        <f>VLOOKUP($G1227,Mapping!$E$140:$K$2771,7,0)</f>
        <v>ENDirect</v>
      </c>
      <c r="N1227" s="7" t="str">
        <f>IFERROR(HLOOKUP(L1227,'Calc|Weightings'!$K$5:$M$5,1,0),"Excl")</f>
        <v>Labour</v>
      </c>
      <c r="O1227" s="7" t="str">
        <f>VLOOKUP(E1227,Mapping!$E$11:$I$96,5,0)</f>
        <v>SCS</v>
      </c>
      <c r="Q1227" s="33">
        <v>153</v>
      </c>
      <c r="R1227" s="33" t="s">
        <v>2162</v>
      </c>
      <c r="S1227" s="33">
        <v>613736</v>
      </c>
      <c r="T1227" s="33" t="s">
        <v>1766</v>
      </c>
      <c r="U1227" s="34">
        <v>753.80223000000001</v>
      </c>
      <c r="V1227" s="7"/>
      <c r="W1227" s="7" t="str">
        <f>VLOOKUP($Q1227,Mapping!$E$11:$I$96,3,0)</f>
        <v>Fee Based Opex</v>
      </c>
      <c r="X1227" s="7" t="str">
        <f>VLOOKUP($S1227,Mapping!$E$140:$K$2771,5,0)</f>
        <v>Labour (50%)/ Contracts (50%)</v>
      </c>
      <c r="Y1227" s="7" t="str">
        <f>VLOOKUP($S1227,Mapping!$E$140:$K$2771,7,0)</f>
        <v>ENDirect</v>
      </c>
      <c r="Z1227" s="7" t="str">
        <f>IFERROR(HLOOKUP(X1227,'Calc|Weightings'!$K$5:$M$5,1,0),"Excl")</f>
        <v>Excl</v>
      </c>
      <c r="AA1227" s="7" t="str">
        <f>VLOOKUP(Q1227,Mapping!$E$11:$I$96,5,0)</f>
        <v>Ancillary Network Services</v>
      </c>
      <c r="AC1227" s="111">
        <v>155</v>
      </c>
      <c r="AD1227" s="111" t="s">
        <v>2164</v>
      </c>
      <c r="AE1227" s="111">
        <v>636000</v>
      </c>
      <c r="AF1227" s="111" t="s">
        <v>2111</v>
      </c>
      <c r="AG1227" s="112">
        <v>5.6386500000000002</v>
      </c>
      <c r="AI1227" s="7" t="str">
        <f>VLOOKUP($AC1227,Mapping!$E$11:$I$96,3,0)</f>
        <v>Replacement</v>
      </c>
      <c r="AJ1227" s="7" t="str">
        <f>VLOOKUP($AE1227,Mapping!$E$140:$K$2771,5,0)</f>
        <v>System Control OH</v>
      </c>
      <c r="AK1227" s="7" t="str">
        <f>VLOOKUP($AE1227,Mapping!$E$140:$K$2771,7,0)</f>
        <v>OH</v>
      </c>
      <c r="AL1227" s="7" t="str">
        <f>IFERROR(HLOOKUP(AJ1227,'Calc|Weightings'!$K$5:$M$5,1,0),"Excl")</f>
        <v>Excl</v>
      </c>
      <c r="AM1227" s="7" t="str">
        <f>VLOOKUP(AC1227,Mapping!$E$11:$I$96,5,0)</f>
        <v>SCS</v>
      </c>
      <c r="AO1227" s="134">
        <v>160</v>
      </c>
      <c r="AP1227" s="135" t="s">
        <v>2170</v>
      </c>
      <c r="AQ1227" s="135">
        <v>531468</v>
      </c>
      <c r="AR1227" s="135" t="s">
        <v>260</v>
      </c>
      <c r="AS1227" s="136">
        <v>189.75058000000001</v>
      </c>
      <c r="AU1227" s="7" t="str">
        <f>VLOOKUP($AO1227,Mapping!$E$11:$I$96,3,0)</f>
        <v>Augmentation</v>
      </c>
      <c r="AV1227" s="7" t="str">
        <f>VLOOKUP($AQ1227,Mapping!$E$140:$K$2771,5,0)</f>
        <v>Contracts</v>
      </c>
      <c r="AW1227" s="7" t="str">
        <f>VLOOKUP($AQ1227,Mapping!$E$140:$K$2771,7,0)</f>
        <v>ENDirect</v>
      </c>
      <c r="AX1227" s="7" t="str">
        <f>IFERROR(HLOOKUP(AV1227,'Calc|Weightings'!$K$5:$M$5,1,0),"Excl")</f>
        <v>Contracts</v>
      </c>
      <c r="AY1227" s="7" t="str">
        <f>VLOOKUP(AO1227,Mapping!$E$11:$I$96,5,0)</f>
        <v>SCS</v>
      </c>
    </row>
    <row r="1228" spans="1:51" x14ac:dyDescent="0.2">
      <c r="A1228" s="7"/>
      <c r="B1228" s="7"/>
      <c r="C1228" s="7"/>
      <c r="D1228" s="7"/>
      <c r="E1228" s="36">
        <v>145</v>
      </c>
      <c r="F1228" s="36" t="s">
        <v>2155</v>
      </c>
      <c r="G1228" s="36">
        <v>613439</v>
      </c>
      <c r="H1228" s="36" t="s">
        <v>1437</v>
      </c>
      <c r="I1228" s="37">
        <v>0.78815000000000002</v>
      </c>
      <c r="J1228" s="7"/>
      <c r="K1228" s="7" t="str">
        <f>VLOOKUP($E1228,Mapping!$E$11:$I$96,3,0)</f>
        <v>Replacement</v>
      </c>
      <c r="L1228" s="7" t="str">
        <f>VLOOKUP($G1228,Mapping!$E$140:$K$2771,5,0)</f>
        <v>Labour</v>
      </c>
      <c r="M1228" s="7" t="str">
        <f>VLOOKUP($G1228,Mapping!$E$140:$K$2771,7,0)</f>
        <v>ENDirect</v>
      </c>
      <c r="N1228" s="7" t="str">
        <f>IFERROR(HLOOKUP(L1228,'Calc|Weightings'!$K$5:$M$5,1,0),"Excl")</f>
        <v>Labour</v>
      </c>
      <c r="O1228" s="7" t="str">
        <f>VLOOKUP(E1228,Mapping!$E$11:$I$96,5,0)</f>
        <v>SCS</v>
      </c>
      <c r="Q1228" s="33">
        <v>153</v>
      </c>
      <c r="R1228" s="33" t="s">
        <v>2162</v>
      </c>
      <c r="S1228" s="33">
        <v>613738</v>
      </c>
      <c r="T1228" s="33" t="s">
        <v>1835</v>
      </c>
      <c r="U1228" s="34">
        <v>72.301649999999995</v>
      </c>
      <c r="V1228" s="7"/>
      <c r="W1228" s="7" t="str">
        <f>VLOOKUP($Q1228,Mapping!$E$11:$I$96,3,0)</f>
        <v>Fee Based Opex</v>
      </c>
      <c r="X1228" s="7" t="str">
        <f>VLOOKUP($S1228,Mapping!$E$140:$K$2771,5,0)</f>
        <v>Contracts</v>
      </c>
      <c r="Y1228" s="7" t="str">
        <f>VLOOKUP($S1228,Mapping!$E$140:$K$2771,7,0)</f>
        <v>ENDirect</v>
      </c>
      <c r="Z1228" s="7" t="str">
        <f>IFERROR(HLOOKUP(X1228,'Calc|Weightings'!$K$5:$M$5,1,0),"Excl")</f>
        <v>Contracts</v>
      </c>
      <c r="AA1228" s="7" t="str">
        <f>VLOOKUP(Q1228,Mapping!$E$11:$I$96,5,0)</f>
        <v>Ancillary Network Services</v>
      </c>
      <c r="AC1228" s="111">
        <v>155</v>
      </c>
      <c r="AD1228" s="111" t="s">
        <v>2164</v>
      </c>
      <c r="AE1228" s="111">
        <v>636001</v>
      </c>
      <c r="AF1228" s="111" t="s">
        <v>2111</v>
      </c>
      <c r="AG1228" s="112">
        <v>-20.026620000000001</v>
      </c>
      <c r="AI1228" s="7" t="str">
        <f>VLOOKUP($AC1228,Mapping!$E$11:$I$96,3,0)</f>
        <v>Replacement</v>
      </c>
      <c r="AJ1228" s="7" t="str">
        <f>VLOOKUP($AE1228,Mapping!$E$140:$K$2771,5,0)</f>
        <v>System Control OH</v>
      </c>
      <c r="AK1228" s="7" t="str">
        <f>VLOOKUP($AE1228,Mapping!$E$140:$K$2771,7,0)</f>
        <v>OH</v>
      </c>
      <c r="AL1228" s="7" t="str">
        <f>IFERROR(HLOOKUP(AJ1228,'Calc|Weightings'!$K$5:$M$5,1,0),"Excl")</f>
        <v>Excl</v>
      </c>
      <c r="AM1228" s="7" t="str">
        <f>VLOOKUP(AC1228,Mapping!$E$11:$I$96,5,0)</f>
        <v>SCS</v>
      </c>
      <c r="AO1228" s="134">
        <v>160</v>
      </c>
      <c r="AP1228" s="135" t="s">
        <v>2170</v>
      </c>
      <c r="AQ1228" s="135">
        <v>531469</v>
      </c>
      <c r="AR1228" s="135" t="s">
        <v>261</v>
      </c>
      <c r="AS1228" s="136">
        <v>8.56</v>
      </c>
      <c r="AU1228" s="7" t="str">
        <f>VLOOKUP($AO1228,Mapping!$E$11:$I$96,3,0)</f>
        <v>Augmentation</v>
      </c>
      <c r="AV1228" s="7" t="str">
        <f>VLOOKUP($AQ1228,Mapping!$E$140:$K$2771,5,0)</f>
        <v>Labour</v>
      </c>
      <c r="AW1228" s="7" t="str">
        <f>VLOOKUP($AQ1228,Mapping!$E$140:$K$2771,7,0)</f>
        <v>ENDirect</v>
      </c>
      <c r="AX1228" s="7" t="str">
        <f>IFERROR(HLOOKUP(AV1228,'Calc|Weightings'!$K$5:$M$5,1,0),"Excl")</f>
        <v>Labour</v>
      </c>
      <c r="AY1228" s="7" t="str">
        <f>VLOOKUP(AO1228,Mapping!$E$11:$I$96,5,0)</f>
        <v>SCS</v>
      </c>
    </row>
    <row r="1229" spans="1:51" x14ac:dyDescent="0.2">
      <c r="A1229" s="7"/>
      <c r="B1229" s="7"/>
      <c r="C1229" s="7"/>
      <c r="D1229" s="7"/>
      <c r="E1229" s="36">
        <v>145</v>
      </c>
      <c r="F1229" s="36" t="s">
        <v>2155</v>
      </c>
      <c r="G1229" s="36">
        <v>613566</v>
      </c>
      <c r="H1229" s="36" t="s">
        <v>1482</v>
      </c>
      <c r="I1229" s="37">
        <v>0.48683999999999999</v>
      </c>
      <c r="J1229" s="7"/>
      <c r="K1229" s="7" t="str">
        <f>VLOOKUP($E1229,Mapping!$E$11:$I$96,3,0)</f>
        <v>Replacement</v>
      </c>
      <c r="L1229" s="7" t="str">
        <f>VLOOKUP($G1229,Mapping!$E$140:$K$2771,5,0)</f>
        <v>Labour</v>
      </c>
      <c r="M1229" s="7" t="str">
        <f>VLOOKUP($G1229,Mapping!$E$140:$K$2771,7,0)</f>
        <v>ENDirect</v>
      </c>
      <c r="N1229" s="7" t="str">
        <f>IFERROR(HLOOKUP(L1229,'Calc|Weightings'!$K$5:$M$5,1,0),"Excl")</f>
        <v>Labour</v>
      </c>
      <c r="O1229" s="7" t="str">
        <f>VLOOKUP(E1229,Mapping!$E$11:$I$96,5,0)</f>
        <v>SCS</v>
      </c>
      <c r="Q1229" s="33">
        <v>153</v>
      </c>
      <c r="R1229" s="33" t="s">
        <v>2162</v>
      </c>
      <c r="S1229" s="33">
        <v>613739</v>
      </c>
      <c r="T1229" s="33" t="s">
        <v>1767</v>
      </c>
      <c r="U1229" s="34">
        <v>373.43952000000002</v>
      </c>
      <c r="V1229" s="7"/>
      <c r="W1229" s="7" t="str">
        <f>VLOOKUP($Q1229,Mapping!$E$11:$I$96,3,0)</f>
        <v>Fee Based Opex</v>
      </c>
      <c r="X1229" s="7" t="str">
        <f>VLOOKUP($S1229,Mapping!$E$140:$K$2771,5,0)</f>
        <v>Labour (50%)/ Contracts (50%)</v>
      </c>
      <c r="Y1229" s="7" t="str">
        <f>VLOOKUP($S1229,Mapping!$E$140:$K$2771,7,0)</f>
        <v>ENDirect</v>
      </c>
      <c r="Z1229" s="7" t="str">
        <f>IFERROR(HLOOKUP(X1229,'Calc|Weightings'!$K$5:$M$5,1,0),"Excl")</f>
        <v>Excl</v>
      </c>
      <c r="AA1229" s="7" t="str">
        <f>VLOOKUP(Q1229,Mapping!$E$11:$I$96,5,0)</f>
        <v>Ancillary Network Services</v>
      </c>
      <c r="AC1229" s="111">
        <v>155</v>
      </c>
      <c r="AD1229" s="111" t="s">
        <v>2164</v>
      </c>
      <c r="AE1229" s="111">
        <v>639000</v>
      </c>
      <c r="AF1229" s="111" t="s">
        <v>2112</v>
      </c>
      <c r="AG1229" s="112">
        <v>-10.67914</v>
      </c>
      <c r="AI1229" s="7" t="str">
        <f>VLOOKUP($AC1229,Mapping!$E$11:$I$96,3,0)</f>
        <v>Replacement</v>
      </c>
      <c r="AJ1229" s="7" t="str">
        <f>VLOOKUP($AE1229,Mapping!$E$140:$K$2771,5,0)</f>
        <v>PNS Corporate OH</v>
      </c>
      <c r="AK1229" s="7" t="str">
        <f>VLOOKUP($AE1229,Mapping!$E$140:$K$2771,7,0)</f>
        <v>OH</v>
      </c>
      <c r="AL1229" s="7" t="str">
        <f>IFERROR(HLOOKUP(AJ1229,'Calc|Weightings'!$K$5:$M$5,1,0),"Excl")</f>
        <v>Excl</v>
      </c>
      <c r="AM1229" s="7" t="str">
        <f>VLOOKUP(AC1229,Mapping!$E$11:$I$96,5,0)</f>
        <v>SCS</v>
      </c>
      <c r="AO1229" s="134">
        <v>160</v>
      </c>
      <c r="AP1229" s="135" t="s">
        <v>2170</v>
      </c>
      <c r="AQ1229" s="135">
        <v>532200</v>
      </c>
      <c r="AR1229" s="135" t="s">
        <v>291</v>
      </c>
      <c r="AS1229" s="136">
        <v>0.67200000000000004</v>
      </c>
      <c r="AU1229" s="7" t="str">
        <f>VLOOKUP($AO1229,Mapping!$E$11:$I$96,3,0)</f>
        <v>Augmentation</v>
      </c>
      <c r="AV1229" s="7" t="str">
        <f>VLOOKUP($AQ1229,Mapping!$E$140:$K$2771,5,0)</f>
        <v>Contracts</v>
      </c>
      <c r="AW1229" s="7" t="str">
        <f>VLOOKUP($AQ1229,Mapping!$E$140:$K$2771,7,0)</f>
        <v>ENDirect</v>
      </c>
      <c r="AX1229" s="7" t="str">
        <f>IFERROR(HLOOKUP(AV1229,'Calc|Weightings'!$K$5:$M$5,1,0),"Excl")</f>
        <v>Contracts</v>
      </c>
      <c r="AY1229" s="7" t="str">
        <f>VLOOKUP(AO1229,Mapping!$E$11:$I$96,5,0)</f>
        <v>SCS</v>
      </c>
    </row>
    <row r="1230" spans="1:51" x14ac:dyDescent="0.2">
      <c r="A1230" s="7"/>
      <c r="B1230" s="7"/>
      <c r="C1230" s="7"/>
      <c r="D1230" s="7"/>
      <c r="E1230" s="36">
        <v>145</v>
      </c>
      <c r="F1230" s="36" t="s">
        <v>2155</v>
      </c>
      <c r="G1230" s="36">
        <v>613680</v>
      </c>
      <c r="H1230" s="36" t="s">
        <v>2107</v>
      </c>
      <c r="I1230" s="37">
        <v>0.50129999999999997</v>
      </c>
      <c r="J1230" s="7"/>
      <c r="K1230" s="7" t="str">
        <f>VLOOKUP($E1230,Mapping!$E$11:$I$96,3,0)</f>
        <v>Replacement</v>
      </c>
      <c r="L1230" s="7" t="str">
        <f>VLOOKUP($G1230,Mapping!$E$140:$K$2771,5,0)</f>
        <v>Labour</v>
      </c>
      <c r="M1230" s="7" t="str">
        <f>VLOOKUP($G1230,Mapping!$E$140:$K$2771,7,0)</f>
        <v>ENDirect</v>
      </c>
      <c r="N1230" s="7" t="str">
        <f>IFERROR(HLOOKUP(L1230,'Calc|Weightings'!$K$5:$M$5,1,0),"Excl")</f>
        <v>Labour</v>
      </c>
      <c r="O1230" s="7" t="str">
        <f>VLOOKUP(E1230,Mapping!$E$11:$I$96,5,0)</f>
        <v>SCS</v>
      </c>
      <c r="Q1230" s="33">
        <v>153</v>
      </c>
      <c r="R1230" s="33" t="s">
        <v>2162</v>
      </c>
      <c r="S1230" s="33">
        <v>634001</v>
      </c>
      <c r="T1230" s="33" t="s">
        <v>2110</v>
      </c>
      <c r="U1230" s="34">
        <v>9.7123299999999997</v>
      </c>
      <c r="V1230" s="7"/>
      <c r="W1230" s="7" t="str">
        <f>VLOOKUP($Q1230,Mapping!$E$11:$I$96,3,0)</f>
        <v>Fee Based Opex</v>
      </c>
      <c r="X1230" s="7" t="str">
        <f>VLOOKUP($S1230,Mapping!$E$140:$K$2771,5,0)</f>
        <v>Local OH</v>
      </c>
      <c r="Y1230" s="7" t="str">
        <f>VLOOKUP($S1230,Mapping!$E$140:$K$2771,7,0)</f>
        <v>OH</v>
      </c>
      <c r="Z1230" s="7" t="str">
        <f>IFERROR(HLOOKUP(X1230,'Calc|Weightings'!$K$5:$M$5,1,0),"Excl")</f>
        <v>Excl</v>
      </c>
      <c r="AA1230" s="7" t="str">
        <f>VLOOKUP(Q1230,Mapping!$E$11:$I$96,5,0)</f>
        <v>Ancillary Network Services</v>
      </c>
      <c r="AC1230" s="111">
        <v>155</v>
      </c>
      <c r="AD1230" s="111" t="s">
        <v>2164</v>
      </c>
      <c r="AE1230" s="111">
        <v>639050</v>
      </c>
      <c r="AF1230" s="111" t="s">
        <v>2113</v>
      </c>
      <c r="AG1230" s="112">
        <v>2.8239399999999999</v>
      </c>
      <c r="AI1230" s="7" t="str">
        <f>VLOOKUP($AC1230,Mapping!$E$11:$I$96,3,0)</f>
        <v>Replacement</v>
      </c>
      <c r="AJ1230" s="7" t="str">
        <f>VLOOKUP($AE1230,Mapping!$E$140:$K$2771,5,0)</f>
        <v>PNS Fleet &amp; Property OH</v>
      </c>
      <c r="AK1230" s="7" t="str">
        <f>VLOOKUP($AE1230,Mapping!$E$140:$K$2771,7,0)</f>
        <v>OH</v>
      </c>
      <c r="AL1230" s="7" t="str">
        <f>IFERROR(HLOOKUP(AJ1230,'Calc|Weightings'!$K$5:$M$5,1,0),"Excl")</f>
        <v>Excl</v>
      </c>
      <c r="AM1230" s="7" t="str">
        <f>VLOOKUP(AC1230,Mapping!$E$11:$I$96,5,0)</f>
        <v>SCS</v>
      </c>
      <c r="AO1230" s="134">
        <v>160</v>
      </c>
      <c r="AP1230" s="135" t="s">
        <v>2170</v>
      </c>
      <c r="AQ1230" s="135">
        <v>591200</v>
      </c>
      <c r="AR1230" s="135" t="s">
        <v>398</v>
      </c>
      <c r="AS1230" s="136">
        <v>0.45085999999999998</v>
      </c>
      <c r="AU1230" s="7" t="str">
        <f>VLOOKUP($AO1230,Mapping!$E$11:$I$96,3,0)</f>
        <v>Augmentation</v>
      </c>
      <c r="AV1230" s="7" t="str">
        <f>VLOOKUP($AQ1230,Mapping!$E$140:$K$2771,5,0)</f>
        <v>Contracts</v>
      </c>
      <c r="AW1230" s="7" t="str">
        <f>VLOOKUP($AQ1230,Mapping!$E$140:$K$2771,7,0)</f>
        <v>ENDirect</v>
      </c>
      <c r="AX1230" s="7" t="str">
        <f>IFERROR(HLOOKUP(AV1230,'Calc|Weightings'!$K$5:$M$5,1,0),"Excl")</f>
        <v>Contracts</v>
      </c>
      <c r="AY1230" s="7" t="str">
        <f>VLOOKUP(AO1230,Mapping!$E$11:$I$96,5,0)</f>
        <v>SCS</v>
      </c>
    </row>
    <row r="1231" spans="1:51" x14ac:dyDescent="0.2">
      <c r="A1231" s="7"/>
      <c r="B1231" s="7"/>
      <c r="C1231" s="7"/>
      <c r="D1231" s="7"/>
      <c r="E1231" s="36">
        <v>145</v>
      </c>
      <c r="F1231" s="36" t="s">
        <v>2155</v>
      </c>
      <c r="G1231" s="36">
        <v>613800</v>
      </c>
      <c r="H1231" s="36" t="s">
        <v>2142</v>
      </c>
      <c r="I1231" s="37">
        <v>33.807690000000001</v>
      </c>
      <c r="J1231" s="7"/>
      <c r="K1231" s="7" t="str">
        <f>VLOOKUP($E1231,Mapping!$E$11:$I$96,3,0)</f>
        <v>Replacement</v>
      </c>
      <c r="L1231" s="7" t="str">
        <f>VLOOKUP($G1231,Mapping!$E$140:$K$2771,5,0)</f>
        <v>Materials</v>
      </c>
      <c r="M1231" s="7" t="str">
        <f>VLOOKUP($G1231,Mapping!$E$140:$K$2771,7,0)</f>
        <v>ENDirect</v>
      </c>
      <c r="N1231" s="7" t="str">
        <f>IFERROR(HLOOKUP(L1231,'Calc|Weightings'!$K$5:$M$5,1,0),"Excl")</f>
        <v>Materials</v>
      </c>
      <c r="O1231" s="7" t="str">
        <f>VLOOKUP(E1231,Mapping!$E$11:$I$96,5,0)</f>
        <v>SCS</v>
      </c>
      <c r="Q1231" s="33">
        <v>153</v>
      </c>
      <c r="R1231" s="33" t="s">
        <v>2162</v>
      </c>
      <c r="S1231" s="33">
        <v>635001</v>
      </c>
      <c r="T1231" s="33" t="s">
        <v>1929</v>
      </c>
      <c r="U1231" s="34">
        <v>67.479150000000004</v>
      </c>
      <c r="V1231" s="7"/>
      <c r="W1231" s="7" t="str">
        <f>VLOOKUP($Q1231,Mapping!$E$11:$I$96,3,0)</f>
        <v>Fee Based Opex</v>
      </c>
      <c r="X1231" s="7" t="str">
        <f>VLOOKUP($S1231,Mapping!$E$140:$K$2771,5,0)</f>
        <v>PNS MG</v>
      </c>
      <c r="Y1231" s="7" t="str">
        <f>VLOOKUP($S1231,Mapping!$E$140:$K$2771,7,0)</f>
        <v>ENDirect</v>
      </c>
      <c r="Z1231" s="7" t="str">
        <f>IFERROR(HLOOKUP(X1231,'Calc|Weightings'!$K$5:$M$5,1,0),"Excl")</f>
        <v>Excl</v>
      </c>
      <c r="AA1231" s="7" t="str">
        <f>VLOOKUP(Q1231,Mapping!$E$11:$I$96,5,0)</f>
        <v>Ancillary Network Services</v>
      </c>
      <c r="AC1231" s="111">
        <v>156</v>
      </c>
      <c r="AD1231" s="111" t="s">
        <v>2165</v>
      </c>
      <c r="AE1231" s="111">
        <v>520100</v>
      </c>
      <c r="AF1231" s="111" t="s">
        <v>2072</v>
      </c>
      <c r="AG1231" s="112">
        <v>192.25738999999999</v>
      </c>
      <c r="AI1231" s="7" t="str">
        <f>VLOOKUP($AC1231,Mapping!$E$11:$I$96,3,0)</f>
        <v>Replacement</v>
      </c>
      <c r="AJ1231" s="7" t="str">
        <f>VLOOKUP($AE1231,Mapping!$E$140:$K$2771,5,0)</f>
        <v>Materials</v>
      </c>
      <c r="AK1231" s="7" t="str">
        <f>VLOOKUP($AE1231,Mapping!$E$140:$K$2771,7,0)</f>
        <v>ENDirect</v>
      </c>
      <c r="AL1231" s="7" t="str">
        <f>IFERROR(HLOOKUP(AJ1231,'Calc|Weightings'!$K$5:$M$5,1,0),"Excl")</f>
        <v>Materials</v>
      </c>
      <c r="AM1231" s="7" t="str">
        <f>VLOOKUP(AC1231,Mapping!$E$11:$I$96,5,0)</f>
        <v>SCS</v>
      </c>
      <c r="AO1231" s="134">
        <v>160</v>
      </c>
      <c r="AP1231" s="135" t="s">
        <v>2170</v>
      </c>
      <c r="AQ1231" s="135">
        <v>591997</v>
      </c>
      <c r="AR1231" s="135" t="s">
        <v>2194</v>
      </c>
      <c r="AS1231" s="136">
        <v>-0.19112000000000001</v>
      </c>
      <c r="AU1231" s="7" t="str">
        <f>VLOOKUP($AO1231,Mapping!$E$11:$I$96,3,0)</f>
        <v>Augmentation</v>
      </c>
      <c r="AV1231" s="7" t="str">
        <f>VLOOKUP($AQ1231,Mapping!$E$140:$K$2771,5,0)</f>
        <v>Contracts</v>
      </c>
      <c r="AW1231" s="7" t="str">
        <f>VLOOKUP($AQ1231,Mapping!$E$140:$K$2771,7,0)</f>
        <v>ENDirect</v>
      </c>
      <c r="AX1231" s="7" t="str">
        <f>IFERROR(HLOOKUP(AV1231,'Calc|Weightings'!$K$5:$M$5,1,0),"Excl")</f>
        <v>Contracts</v>
      </c>
      <c r="AY1231" s="7" t="str">
        <f>VLOOKUP(AO1231,Mapping!$E$11:$I$96,5,0)</f>
        <v>SCS</v>
      </c>
    </row>
    <row r="1232" spans="1:51" x14ac:dyDescent="0.2">
      <c r="A1232" s="7"/>
      <c r="B1232" s="7"/>
      <c r="C1232" s="7"/>
      <c r="D1232" s="7"/>
      <c r="E1232" s="36">
        <v>145</v>
      </c>
      <c r="F1232" s="36" t="s">
        <v>2155</v>
      </c>
      <c r="G1232" s="36">
        <v>633000</v>
      </c>
      <c r="H1232" s="36" t="s">
        <v>2202</v>
      </c>
      <c r="I1232" s="37">
        <v>128.02374</v>
      </c>
      <c r="J1232" s="7"/>
      <c r="K1232" s="7" t="str">
        <f>VLOOKUP($E1232,Mapping!$E$11:$I$96,3,0)</f>
        <v>Replacement</v>
      </c>
      <c r="L1232" s="7" t="str">
        <f>VLOOKUP($G1232,Mapping!$E$140:$K$2771,5,0)</f>
        <v>Contracts</v>
      </c>
      <c r="M1232" s="7" t="str">
        <f>VLOOKUP($G1232,Mapping!$E$140:$K$2771,7,0)</f>
        <v>OH</v>
      </c>
      <c r="N1232" s="7" t="str">
        <f>IFERROR(HLOOKUP(L1232,'Calc|Weightings'!$K$5:$M$5,1,0),"Excl")</f>
        <v>Contracts</v>
      </c>
      <c r="O1232" s="7" t="str">
        <f>VLOOKUP(E1232,Mapping!$E$11:$I$96,5,0)</f>
        <v>SCS</v>
      </c>
      <c r="Q1232" s="33">
        <v>153</v>
      </c>
      <c r="R1232" s="33" t="s">
        <v>2162</v>
      </c>
      <c r="S1232" s="33">
        <v>636001</v>
      </c>
      <c r="T1232" s="33" t="s">
        <v>2111</v>
      </c>
      <c r="U1232" s="34">
        <v>2.8433299999999999</v>
      </c>
      <c r="V1232" s="7"/>
      <c r="W1232" s="7" t="str">
        <f>VLOOKUP($Q1232,Mapping!$E$11:$I$96,3,0)</f>
        <v>Fee Based Opex</v>
      </c>
      <c r="X1232" s="7" t="str">
        <f>VLOOKUP($S1232,Mapping!$E$140:$K$2771,5,0)</f>
        <v>System Control OH</v>
      </c>
      <c r="Y1232" s="7" t="str">
        <f>VLOOKUP($S1232,Mapping!$E$140:$K$2771,7,0)</f>
        <v>OH</v>
      </c>
      <c r="Z1232" s="7" t="str">
        <f>IFERROR(HLOOKUP(X1232,'Calc|Weightings'!$K$5:$M$5,1,0),"Excl")</f>
        <v>Excl</v>
      </c>
      <c r="AA1232" s="7" t="str">
        <f>VLOOKUP(Q1232,Mapping!$E$11:$I$96,5,0)</f>
        <v>Ancillary Network Services</v>
      </c>
      <c r="AC1232" s="111">
        <v>156</v>
      </c>
      <c r="AD1232" s="111" t="s">
        <v>2165</v>
      </c>
      <c r="AE1232" s="111">
        <v>520150</v>
      </c>
      <c r="AF1232" s="111" t="s">
        <v>2205</v>
      </c>
      <c r="AG1232" s="112">
        <v>1.7250000000000001E-2</v>
      </c>
      <c r="AI1232" s="7" t="str">
        <f>VLOOKUP($AC1232,Mapping!$E$11:$I$96,3,0)</f>
        <v>Replacement</v>
      </c>
      <c r="AJ1232" s="7" t="str">
        <f>VLOOKUP($AE1232,Mapping!$E$140:$K$2771,5,0)</f>
        <v>Materials</v>
      </c>
      <c r="AK1232" s="7" t="str">
        <f>VLOOKUP($AE1232,Mapping!$E$140:$K$2771,7,0)</f>
        <v>ENDirect</v>
      </c>
      <c r="AL1232" s="7" t="str">
        <f>IFERROR(HLOOKUP(AJ1232,'Calc|Weightings'!$K$5:$M$5,1,0),"Excl")</f>
        <v>Materials</v>
      </c>
      <c r="AM1232" s="7" t="str">
        <f>VLOOKUP(AC1232,Mapping!$E$11:$I$96,5,0)</f>
        <v>SCS</v>
      </c>
      <c r="AO1232" s="134">
        <v>160</v>
      </c>
      <c r="AP1232" s="135" t="s">
        <v>2170</v>
      </c>
      <c r="AQ1232" s="135">
        <v>591999</v>
      </c>
      <c r="AR1232" s="135" t="s">
        <v>2195</v>
      </c>
      <c r="AS1232" s="136">
        <v>-1.6942200000000001</v>
      </c>
      <c r="AU1232" s="7" t="str">
        <f>VLOOKUP($AO1232,Mapping!$E$11:$I$96,3,0)</f>
        <v>Augmentation</v>
      </c>
      <c r="AV1232" s="7" t="str">
        <f>VLOOKUP($AQ1232,Mapping!$E$140:$K$2771,5,0)</f>
        <v>Contracts</v>
      </c>
      <c r="AW1232" s="7" t="str">
        <f>VLOOKUP($AQ1232,Mapping!$E$140:$K$2771,7,0)</f>
        <v>ENDirect</v>
      </c>
      <c r="AX1232" s="7" t="str">
        <f>IFERROR(HLOOKUP(AV1232,'Calc|Weightings'!$K$5:$M$5,1,0),"Excl")</f>
        <v>Contracts</v>
      </c>
      <c r="AY1232" s="7" t="str">
        <f>VLOOKUP(AO1232,Mapping!$E$11:$I$96,5,0)</f>
        <v>SCS</v>
      </c>
    </row>
    <row r="1233" spans="1:51" x14ac:dyDescent="0.2">
      <c r="A1233" s="7"/>
      <c r="B1233" s="7"/>
      <c r="C1233" s="7"/>
      <c r="D1233" s="7"/>
      <c r="E1233" s="36">
        <v>145</v>
      </c>
      <c r="F1233" s="36" t="s">
        <v>2155</v>
      </c>
      <c r="G1233" s="36">
        <v>634001</v>
      </c>
      <c r="H1233" s="36" t="s">
        <v>2110</v>
      </c>
      <c r="I1233" s="37">
        <v>19.502140000000001</v>
      </c>
      <c r="J1233" s="7"/>
      <c r="K1233" s="7" t="str">
        <f>VLOOKUP($E1233,Mapping!$E$11:$I$96,3,0)</f>
        <v>Replacement</v>
      </c>
      <c r="L1233" s="7" t="str">
        <f>VLOOKUP($G1233,Mapping!$E$140:$K$2771,5,0)</f>
        <v>Local OH</v>
      </c>
      <c r="M1233" s="7" t="str">
        <f>VLOOKUP($G1233,Mapping!$E$140:$K$2771,7,0)</f>
        <v>OH</v>
      </c>
      <c r="N1233" s="7" t="str">
        <f>IFERROR(HLOOKUP(L1233,'Calc|Weightings'!$K$5:$M$5,1,0),"Excl")</f>
        <v>Excl</v>
      </c>
      <c r="O1233" s="7" t="str">
        <f>VLOOKUP(E1233,Mapping!$E$11:$I$96,5,0)</f>
        <v>SCS</v>
      </c>
      <c r="Q1233" s="33">
        <v>153</v>
      </c>
      <c r="R1233" s="33" t="s">
        <v>2162</v>
      </c>
      <c r="S1233" s="33">
        <v>636105</v>
      </c>
      <c r="T1233" s="33" t="s">
        <v>1937</v>
      </c>
      <c r="U1233" s="34">
        <v>9.1654900000000001</v>
      </c>
      <c r="V1233" s="7"/>
      <c r="W1233" s="7" t="str">
        <f>VLOOKUP($Q1233,Mapping!$E$11:$I$96,3,0)</f>
        <v>Fee Based Opex</v>
      </c>
      <c r="X1233" s="7" t="str">
        <f>VLOOKUP($S1233,Mapping!$E$140:$K$2771,5,0)</f>
        <v>CSG MG</v>
      </c>
      <c r="Y1233" s="7" t="str">
        <f>VLOOKUP($S1233,Mapping!$E$140:$K$2771,7,0)</f>
        <v>ENDirect</v>
      </c>
      <c r="Z1233" s="7" t="str">
        <f>IFERROR(HLOOKUP(X1233,'Calc|Weightings'!$K$5:$M$5,1,0),"Excl")</f>
        <v>Excl</v>
      </c>
      <c r="AA1233" s="7" t="str">
        <f>VLOOKUP(Q1233,Mapping!$E$11:$I$96,5,0)</f>
        <v>Ancillary Network Services</v>
      </c>
      <c r="AC1233" s="111">
        <v>156</v>
      </c>
      <c r="AD1233" s="111" t="s">
        <v>2165</v>
      </c>
      <c r="AE1233" s="111">
        <v>520200</v>
      </c>
      <c r="AF1233" s="111" t="s">
        <v>2073</v>
      </c>
      <c r="AG1233" s="112">
        <v>274.45357000000001</v>
      </c>
      <c r="AI1233" s="7" t="str">
        <f>VLOOKUP($AC1233,Mapping!$E$11:$I$96,3,0)</f>
        <v>Replacement</v>
      </c>
      <c r="AJ1233" s="7" t="str">
        <f>VLOOKUP($AE1233,Mapping!$E$140:$K$2771,5,0)</f>
        <v>Materials</v>
      </c>
      <c r="AK1233" s="7" t="str">
        <f>VLOOKUP($AE1233,Mapping!$E$140:$K$2771,7,0)</f>
        <v>ENDirect</v>
      </c>
      <c r="AL1233" s="7" t="str">
        <f>IFERROR(HLOOKUP(AJ1233,'Calc|Weightings'!$K$5:$M$5,1,0),"Excl")</f>
        <v>Materials</v>
      </c>
      <c r="AM1233" s="7" t="str">
        <f>VLOOKUP(AC1233,Mapping!$E$11:$I$96,5,0)</f>
        <v>SCS</v>
      </c>
      <c r="AO1233" s="134">
        <v>160</v>
      </c>
      <c r="AP1233" s="135" t="s">
        <v>2170</v>
      </c>
      <c r="AQ1233" s="135">
        <v>611900</v>
      </c>
      <c r="AR1233" s="135" t="s">
        <v>2079</v>
      </c>
      <c r="AS1233" s="136">
        <v>9.7902799999999992</v>
      </c>
      <c r="AU1233" s="7" t="str">
        <f>VLOOKUP($AO1233,Mapping!$E$11:$I$96,3,0)</f>
        <v>Augmentation</v>
      </c>
      <c r="AV1233" s="7" t="str">
        <f>VLOOKUP($AQ1233,Mapping!$E$140:$K$2771,5,0)</f>
        <v>Contracts</v>
      </c>
      <c r="AW1233" s="7" t="str">
        <f>VLOOKUP($AQ1233,Mapping!$E$140:$K$2771,7,0)</f>
        <v>ENDirect</v>
      </c>
      <c r="AX1233" s="7" t="str">
        <f>IFERROR(HLOOKUP(AV1233,'Calc|Weightings'!$K$5:$M$5,1,0),"Excl")</f>
        <v>Contracts</v>
      </c>
      <c r="AY1233" s="7" t="str">
        <f>VLOOKUP(AO1233,Mapping!$E$11:$I$96,5,0)</f>
        <v>SCS</v>
      </c>
    </row>
    <row r="1234" spans="1:51" x14ac:dyDescent="0.2">
      <c r="A1234" s="7"/>
      <c r="B1234" s="7"/>
      <c r="C1234" s="7"/>
      <c r="D1234" s="7"/>
      <c r="E1234" s="36">
        <v>145</v>
      </c>
      <c r="F1234" s="36" t="s">
        <v>2155</v>
      </c>
      <c r="G1234" s="36">
        <v>635001</v>
      </c>
      <c r="H1234" s="36" t="s">
        <v>1929</v>
      </c>
      <c r="I1234" s="37">
        <v>58.978760000000001</v>
      </c>
      <c r="J1234" s="7"/>
      <c r="K1234" s="7" t="str">
        <f>VLOOKUP($E1234,Mapping!$E$11:$I$96,3,0)</f>
        <v>Replacement</v>
      </c>
      <c r="L1234" s="7" t="str">
        <f>VLOOKUP($G1234,Mapping!$E$140:$K$2771,5,0)</f>
        <v>PNS MG</v>
      </c>
      <c r="M1234" s="7" t="str">
        <f>VLOOKUP($G1234,Mapping!$E$140:$K$2771,7,0)</f>
        <v>ENDirect</v>
      </c>
      <c r="N1234" s="7" t="str">
        <f>IFERROR(HLOOKUP(L1234,'Calc|Weightings'!$K$5:$M$5,1,0),"Excl")</f>
        <v>Excl</v>
      </c>
      <c r="O1234" s="7" t="str">
        <f>VLOOKUP(E1234,Mapping!$E$11:$I$96,5,0)</f>
        <v>SCS</v>
      </c>
      <c r="Q1234" s="33">
        <v>153</v>
      </c>
      <c r="R1234" s="33" t="s">
        <v>2162</v>
      </c>
      <c r="S1234" s="33">
        <v>639000</v>
      </c>
      <c r="T1234" s="33" t="s">
        <v>2112</v>
      </c>
      <c r="U1234" s="34">
        <v>73.648309999999995</v>
      </c>
      <c r="V1234" s="7"/>
      <c r="W1234" s="7" t="str">
        <f>VLOOKUP($Q1234,Mapping!$E$11:$I$96,3,0)</f>
        <v>Fee Based Opex</v>
      </c>
      <c r="X1234" s="7" t="str">
        <f>VLOOKUP($S1234,Mapping!$E$140:$K$2771,5,0)</f>
        <v>PNS Corporate OH</v>
      </c>
      <c r="Y1234" s="7" t="str">
        <f>VLOOKUP($S1234,Mapping!$E$140:$K$2771,7,0)</f>
        <v>OH</v>
      </c>
      <c r="Z1234" s="7" t="str">
        <f>IFERROR(HLOOKUP(X1234,'Calc|Weightings'!$K$5:$M$5,1,0),"Excl")</f>
        <v>Excl</v>
      </c>
      <c r="AA1234" s="7" t="str">
        <f>VLOOKUP(Q1234,Mapping!$E$11:$I$96,5,0)</f>
        <v>Ancillary Network Services</v>
      </c>
      <c r="AC1234" s="111">
        <v>156</v>
      </c>
      <c r="AD1234" s="111" t="s">
        <v>2165</v>
      </c>
      <c r="AE1234" s="111">
        <v>523100</v>
      </c>
      <c r="AF1234" s="111" t="s">
        <v>2074</v>
      </c>
      <c r="AG1234" s="112">
        <v>11.77022</v>
      </c>
      <c r="AI1234" s="7" t="str">
        <f>VLOOKUP($AC1234,Mapping!$E$11:$I$96,3,0)</f>
        <v>Replacement</v>
      </c>
      <c r="AJ1234" s="7" t="str">
        <f>VLOOKUP($AE1234,Mapping!$E$140:$K$2771,5,0)</f>
        <v>Materials</v>
      </c>
      <c r="AK1234" s="7" t="str">
        <f>VLOOKUP($AE1234,Mapping!$E$140:$K$2771,7,0)</f>
        <v>ENDirect</v>
      </c>
      <c r="AL1234" s="7" t="str">
        <f>IFERROR(HLOOKUP(AJ1234,'Calc|Weightings'!$K$5:$M$5,1,0),"Excl")</f>
        <v>Materials</v>
      </c>
      <c r="AM1234" s="7" t="str">
        <f>VLOOKUP(AC1234,Mapping!$E$11:$I$96,5,0)</f>
        <v>SCS</v>
      </c>
      <c r="AO1234" s="134">
        <v>160</v>
      </c>
      <c r="AP1234" s="135" t="s">
        <v>2170</v>
      </c>
      <c r="AQ1234" s="135">
        <v>611901</v>
      </c>
      <c r="AR1234" s="135" t="s">
        <v>2080</v>
      </c>
      <c r="AS1234" s="136">
        <v>10.71583</v>
      </c>
      <c r="AU1234" s="7" t="str">
        <f>VLOOKUP($AO1234,Mapping!$E$11:$I$96,3,0)</f>
        <v>Augmentation</v>
      </c>
      <c r="AV1234" s="7" t="str">
        <f>VLOOKUP($AQ1234,Mapping!$E$140:$K$2771,5,0)</f>
        <v>Contracts</v>
      </c>
      <c r="AW1234" s="7" t="str">
        <f>VLOOKUP($AQ1234,Mapping!$E$140:$K$2771,7,0)</f>
        <v>ENDirect</v>
      </c>
      <c r="AX1234" s="7" t="str">
        <f>IFERROR(HLOOKUP(AV1234,'Calc|Weightings'!$K$5:$M$5,1,0),"Excl")</f>
        <v>Contracts</v>
      </c>
      <c r="AY1234" s="7" t="str">
        <f>VLOOKUP(AO1234,Mapping!$E$11:$I$96,5,0)</f>
        <v>SCS</v>
      </c>
    </row>
    <row r="1235" spans="1:51" x14ac:dyDescent="0.2">
      <c r="A1235" s="7"/>
      <c r="B1235" s="7"/>
      <c r="C1235" s="7"/>
      <c r="D1235" s="7"/>
      <c r="E1235" s="36">
        <v>145</v>
      </c>
      <c r="F1235" s="36" t="s">
        <v>2155</v>
      </c>
      <c r="G1235" s="36">
        <v>636001</v>
      </c>
      <c r="H1235" s="36" t="s">
        <v>2111</v>
      </c>
      <c r="I1235" s="37">
        <v>14.221500000000001</v>
      </c>
      <c r="J1235" s="7"/>
      <c r="K1235" s="7" t="str">
        <f>VLOOKUP($E1235,Mapping!$E$11:$I$96,3,0)</f>
        <v>Replacement</v>
      </c>
      <c r="L1235" s="7" t="str">
        <f>VLOOKUP($G1235,Mapping!$E$140:$K$2771,5,0)</f>
        <v>System Control OH</v>
      </c>
      <c r="M1235" s="7" t="str">
        <f>VLOOKUP($G1235,Mapping!$E$140:$K$2771,7,0)</f>
        <v>OH</v>
      </c>
      <c r="N1235" s="7" t="str">
        <f>IFERROR(HLOOKUP(L1235,'Calc|Weightings'!$K$5:$M$5,1,0),"Excl")</f>
        <v>Excl</v>
      </c>
      <c r="O1235" s="7" t="str">
        <f>VLOOKUP(E1235,Mapping!$E$11:$I$96,5,0)</f>
        <v>SCS</v>
      </c>
      <c r="Q1235" s="33">
        <v>153</v>
      </c>
      <c r="R1235" s="33" t="s">
        <v>2162</v>
      </c>
      <c r="S1235" s="33">
        <v>639050</v>
      </c>
      <c r="T1235" s="33" t="s">
        <v>2113</v>
      </c>
      <c r="U1235" s="34">
        <v>1.3867</v>
      </c>
      <c r="V1235" s="7"/>
      <c r="W1235" s="7" t="str">
        <f>VLOOKUP($Q1235,Mapping!$E$11:$I$96,3,0)</f>
        <v>Fee Based Opex</v>
      </c>
      <c r="X1235" s="7" t="str">
        <f>VLOOKUP($S1235,Mapping!$E$140:$K$2771,5,0)</f>
        <v>PNS Fleet &amp; Property OH</v>
      </c>
      <c r="Y1235" s="7" t="str">
        <f>VLOOKUP($S1235,Mapping!$E$140:$K$2771,7,0)</f>
        <v>OH</v>
      </c>
      <c r="Z1235" s="7" t="str">
        <f>IFERROR(HLOOKUP(X1235,'Calc|Weightings'!$K$5:$M$5,1,0),"Excl")</f>
        <v>Excl</v>
      </c>
      <c r="AA1235" s="7" t="str">
        <f>VLOOKUP(Q1235,Mapping!$E$11:$I$96,5,0)</f>
        <v>Ancillary Network Services</v>
      </c>
      <c r="AC1235" s="111">
        <v>156</v>
      </c>
      <c r="AD1235" s="111" t="s">
        <v>2165</v>
      </c>
      <c r="AE1235" s="111">
        <v>531000</v>
      </c>
      <c r="AF1235" s="111" t="s">
        <v>242</v>
      </c>
      <c r="AG1235" s="112">
        <v>9.0637699999999999</v>
      </c>
      <c r="AI1235" s="7" t="str">
        <f>VLOOKUP($AC1235,Mapping!$E$11:$I$96,3,0)</f>
        <v>Replacement</v>
      </c>
      <c r="AJ1235" s="7" t="str">
        <f>VLOOKUP($AE1235,Mapping!$E$140:$K$2771,5,0)</f>
        <v>Contracts</v>
      </c>
      <c r="AK1235" s="7" t="str">
        <f>VLOOKUP($AE1235,Mapping!$E$140:$K$2771,7,0)</f>
        <v>ENDirect</v>
      </c>
      <c r="AL1235" s="7" t="str">
        <f>IFERROR(HLOOKUP(AJ1235,'Calc|Weightings'!$K$5:$M$5,1,0),"Excl")</f>
        <v>Contracts</v>
      </c>
      <c r="AM1235" s="7" t="str">
        <f>VLOOKUP(AC1235,Mapping!$E$11:$I$96,5,0)</f>
        <v>SCS</v>
      </c>
      <c r="AO1235" s="134">
        <v>160</v>
      </c>
      <c r="AP1235" s="135" t="s">
        <v>2170</v>
      </c>
      <c r="AQ1235" s="135">
        <v>611902</v>
      </c>
      <c r="AR1235" s="135" t="s">
        <v>2081</v>
      </c>
      <c r="AS1235" s="136">
        <v>2.6177800000000002</v>
      </c>
      <c r="AU1235" s="7" t="str">
        <f>VLOOKUP($AO1235,Mapping!$E$11:$I$96,3,0)</f>
        <v>Augmentation</v>
      </c>
      <c r="AV1235" s="7" t="str">
        <f>VLOOKUP($AQ1235,Mapping!$E$140:$K$2771,5,0)</f>
        <v>Contracts</v>
      </c>
      <c r="AW1235" s="7" t="str">
        <f>VLOOKUP($AQ1235,Mapping!$E$140:$K$2771,7,0)</f>
        <v>ENDirect</v>
      </c>
      <c r="AX1235" s="7" t="str">
        <f>IFERROR(HLOOKUP(AV1235,'Calc|Weightings'!$K$5:$M$5,1,0),"Excl")</f>
        <v>Contracts</v>
      </c>
      <c r="AY1235" s="7" t="str">
        <f>VLOOKUP(AO1235,Mapping!$E$11:$I$96,5,0)</f>
        <v>SCS</v>
      </c>
    </row>
    <row r="1236" spans="1:51" x14ac:dyDescent="0.2">
      <c r="A1236" s="7"/>
      <c r="B1236" s="7"/>
      <c r="C1236" s="7"/>
      <c r="D1236" s="7"/>
      <c r="E1236" s="36">
        <v>145</v>
      </c>
      <c r="F1236" s="36" t="s">
        <v>2155</v>
      </c>
      <c r="G1236" s="36">
        <v>639000</v>
      </c>
      <c r="H1236" s="36" t="s">
        <v>2112</v>
      </c>
      <c r="I1236" s="37">
        <v>25.237819999999999</v>
      </c>
      <c r="J1236" s="7"/>
      <c r="K1236" s="7" t="str">
        <f>VLOOKUP($E1236,Mapping!$E$11:$I$96,3,0)</f>
        <v>Replacement</v>
      </c>
      <c r="L1236" s="7" t="str">
        <f>VLOOKUP($G1236,Mapping!$E$140:$K$2771,5,0)</f>
        <v>PNS Corporate OH</v>
      </c>
      <c r="M1236" s="7" t="str">
        <f>VLOOKUP($G1236,Mapping!$E$140:$K$2771,7,0)</f>
        <v>OH</v>
      </c>
      <c r="N1236" s="7" t="str">
        <f>IFERROR(HLOOKUP(L1236,'Calc|Weightings'!$K$5:$M$5,1,0),"Excl")</f>
        <v>Excl</v>
      </c>
      <c r="O1236" s="7" t="str">
        <f>VLOOKUP(E1236,Mapping!$E$11:$I$96,5,0)</f>
        <v>SCS</v>
      </c>
      <c r="Q1236" s="33">
        <v>155</v>
      </c>
      <c r="R1236" s="33" t="s">
        <v>2164</v>
      </c>
      <c r="S1236" s="33">
        <v>611860</v>
      </c>
      <c r="T1236" s="33" t="s">
        <v>2125</v>
      </c>
      <c r="U1236" s="34">
        <v>16.280169999999998</v>
      </c>
      <c r="V1236" s="7"/>
      <c r="W1236" s="7" t="str">
        <f>VLOOKUP($Q1236,Mapping!$E$11:$I$96,3,0)</f>
        <v>Replacement</v>
      </c>
      <c r="X1236" s="7" t="str">
        <f>VLOOKUP($S1236,Mapping!$E$140:$K$2771,5,0)</f>
        <v>Labour</v>
      </c>
      <c r="Y1236" s="7" t="str">
        <f>VLOOKUP($S1236,Mapping!$E$140:$K$2771,7,0)</f>
        <v>ENDirect</v>
      </c>
      <c r="Z1236" s="7" t="str">
        <f>IFERROR(HLOOKUP(X1236,'Calc|Weightings'!$K$5:$M$5,1,0),"Excl")</f>
        <v>Labour</v>
      </c>
      <c r="AA1236" s="7" t="str">
        <f>VLOOKUP(Q1236,Mapping!$E$11:$I$96,5,0)</f>
        <v>SCS</v>
      </c>
      <c r="AC1236" s="111">
        <v>156</v>
      </c>
      <c r="AD1236" s="111" t="s">
        <v>2165</v>
      </c>
      <c r="AE1236" s="111">
        <v>531201</v>
      </c>
      <c r="AF1236" s="111" t="s">
        <v>251</v>
      </c>
      <c r="AG1236" s="112">
        <v>3.7250000000000001</v>
      </c>
      <c r="AI1236" s="7" t="str">
        <f>VLOOKUP($AC1236,Mapping!$E$11:$I$96,3,0)</f>
        <v>Replacement</v>
      </c>
      <c r="AJ1236" s="7" t="str">
        <f>VLOOKUP($AE1236,Mapping!$E$140:$K$2771,5,0)</f>
        <v>Contracts</v>
      </c>
      <c r="AK1236" s="7" t="str">
        <f>VLOOKUP($AE1236,Mapping!$E$140:$K$2771,7,0)</f>
        <v>ENDirect</v>
      </c>
      <c r="AL1236" s="7" t="str">
        <f>IFERROR(HLOOKUP(AJ1236,'Calc|Weightings'!$K$5:$M$5,1,0),"Excl")</f>
        <v>Contracts</v>
      </c>
      <c r="AM1236" s="7" t="str">
        <f>VLOOKUP(AC1236,Mapping!$E$11:$I$96,5,0)</f>
        <v>SCS</v>
      </c>
      <c r="AO1236" s="134">
        <v>160</v>
      </c>
      <c r="AP1236" s="135" t="s">
        <v>2170</v>
      </c>
      <c r="AQ1236" s="135">
        <v>612210</v>
      </c>
      <c r="AR1236" s="135" t="s">
        <v>1184</v>
      </c>
      <c r="AS1236" s="136">
        <v>0.13807</v>
      </c>
      <c r="AU1236" s="7" t="str">
        <f>VLOOKUP($AO1236,Mapping!$E$11:$I$96,3,0)</f>
        <v>Augmentation</v>
      </c>
      <c r="AV1236" s="7" t="str">
        <f>VLOOKUP($AQ1236,Mapping!$E$140:$K$2771,5,0)</f>
        <v>Labour</v>
      </c>
      <c r="AW1236" s="7" t="str">
        <f>VLOOKUP($AQ1236,Mapping!$E$140:$K$2771,7,0)</f>
        <v>ENDirect</v>
      </c>
      <c r="AX1236" s="7" t="str">
        <f>IFERROR(HLOOKUP(AV1236,'Calc|Weightings'!$K$5:$M$5,1,0),"Excl")</f>
        <v>Labour</v>
      </c>
      <c r="AY1236" s="7" t="str">
        <f>VLOOKUP(AO1236,Mapping!$E$11:$I$96,5,0)</f>
        <v>SCS</v>
      </c>
    </row>
    <row r="1237" spans="1:51" x14ac:dyDescent="0.2">
      <c r="A1237" s="7"/>
      <c r="B1237" s="7"/>
      <c r="C1237" s="7"/>
      <c r="D1237" s="7"/>
      <c r="E1237" s="36">
        <v>145</v>
      </c>
      <c r="F1237" s="36" t="s">
        <v>2155</v>
      </c>
      <c r="G1237" s="36">
        <v>639050</v>
      </c>
      <c r="H1237" s="36" t="s">
        <v>2113</v>
      </c>
      <c r="I1237" s="37">
        <v>3.5860599999999998</v>
      </c>
      <c r="J1237" s="7"/>
      <c r="K1237" s="7" t="str">
        <f>VLOOKUP($E1237,Mapping!$E$11:$I$96,3,0)</f>
        <v>Replacement</v>
      </c>
      <c r="L1237" s="7" t="str">
        <f>VLOOKUP($G1237,Mapping!$E$140:$K$2771,5,0)</f>
        <v>PNS Fleet &amp; Property OH</v>
      </c>
      <c r="M1237" s="7" t="str">
        <f>VLOOKUP($G1237,Mapping!$E$140:$K$2771,7,0)</f>
        <v>OH</v>
      </c>
      <c r="N1237" s="7" t="str">
        <f>IFERROR(HLOOKUP(L1237,'Calc|Weightings'!$K$5:$M$5,1,0),"Excl")</f>
        <v>Excl</v>
      </c>
      <c r="O1237" s="7" t="str">
        <f>VLOOKUP(E1237,Mapping!$E$11:$I$96,5,0)</f>
        <v>SCS</v>
      </c>
      <c r="Q1237" s="33">
        <v>155</v>
      </c>
      <c r="R1237" s="33" t="s">
        <v>2164</v>
      </c>
      <c r="S1237" s="33">
        <v>611861</v>
      </c>
      <c r="T1237" s="33" t="s">
        <v>2140</v>
      </c>
      <c r="U1237" s="34">
        <v>41.496259999999999</v>
      </c>
      <c r="V1237" s="7"/>
      <c r="W1237" s="7" t="str">
        <f>VLOOKUP($Q1237,Mapping!$E$11:$I$96,3,0)</f>
        <v>Replacement</v>
      </c>
      <c r="X1237" s="7" t="str">
        <f>VLOOKUP($S1237,Mapping!$E$140:$K$2771,5,0)</f>
        <v>Labour</v>
      </c>
      <c r="Y1237" s="7" t="str">
        <f>VLOOKUP($S1237,Mapping!$E$140:$K$2771,7,0)</f>
        <v>ENDirect</v>
      </c>
      <c r="Z1237" s="7" t="str">
        <f>IFERROR(HLOOKUP(X1237,'Calc|Weightings'!$K$5:$M$5,1,0),"Excl")</f>
        <v>Labour</v>
      </c>
      <c r="AA1237" s="7" t="str">
        <f>VLOOKUP(Q1237,Mapping!$E$11:$I$96,5,0)</f>
        <v>SCS</v>
      </c>
      <c r="AC1237" s="111">
        <v>156</v>
      </c>
      <c r="AD1237" s="111" t="s">
        <v>2165</v>
      </c>
      <c r="AE1237" s="111">
        <v>531210</v>
      </c>
      <c r="AF1237" s="111" t="s">
        <v>252</v>
      </c>
      <c r="AG1237" s="112">
        <v>-3.2563200000000001</v>
      </c>
      <c r="AI1237" s="7" t="str">
        <f>VLOOKUP($AC1237,Mapping!$E$11:$I$96,3,0)</f>
        <v>Replacement</v>
      </c>
      <c r="AJ1237" s="7" t="str">
        <f>VLOOKUP($AE1237,Mapping!$E$140:$K$2771,5,0)</f>
        <v>Labour</v>
      </c>
      <c r="AK1237" s="7" t="str">
        <f>VLOOKUP($AE1237,Mapping!$E$140:$K$2771,7,0)</f>
        <v>ENDirect</v>
      </c>
      <c r="AL1237" s="7" t="str">
        <f>IFERROR(HLOOKUP(AJ1237,'Calc|Weightings'!$K$5:$M$5,1,0),"Excl")</f>
        <v>Labour</v>
      </c>
      <c r="AM1237" s="7" t="str">
        <f>VLOOKUP(AC1237,Mapping!$E$11:$I$96,5,0)</f>
        <v>SCS</v>
      </c>
      <c r="AO1237" s="134">
        <v>160</v>
      </c>
      <c r="AP1237" s="135" t="s">
        <v>2170</v>
      </c>
      <c r="AQ1237" s="135">
        <v>613240</v>
      </c>
      <c r="AR1237" s="135" t="s">
        <v>2082</v>
      </c>
      <c r="AS1237" s="136">
        <v>175.47716</v>
      </c>
      <c r="AU1237" s="7" t="str">
        <f>VLOOKUP($AO1237,Mapping!$E$11:$I$96,3,0)</f>
        <v>Augmentation</v>
      </c>
      <c r="AV1237" s="7" t="str">
        <f>VLOOKUP($AQ1237,Mapping!$E$140:$K$2771,5,0)</f>
        <v>Labour</v>
      </c>
      <c r="AW1237" s="7" t="str">
        <f>VLOOKUP($AQ1237,Mapping!$E$140:$K$2771,7,0)</f>
        <v>ENDirect</v>
      </c>
      <c r="AX1237" s="7" t="str">
        <f>IFERROR(HLOOKUP(AV1237,'Calc|Weightings'!$K$5:$M$5,1,0),"Excl")</f>
        <v>Labour</v>
      </c>
      <c r="AY1237" s="7" t="str">
        <f>VLOOKUP(AO1237,Mapping!$E$11:$I$96,5,0)</f>
        <v>SCS</v>
      </c>
    </row>
    <row r="1238" spans="1:51" x14ac:dyDescent="0.2">
      <c r="A1238" s="7"/>
      <c r="B1238" s="7"/>
      <c r="C1238" s="7"/>
      <c r="D1238" s="7"/>
      <c r="E1238" s="36">
        <v>146</v>
      </c>
      <c r="F1238" s="36" t="s">
        <v>2156</v>
      </c>
      <c r="G1238" s="36">
        <v>520100</v>
      </c>
      <c r="H1238" s="36" t="s">
        <v>2072</v>
      </c>
      <c r="I1238" s="37">
        <v>68.273399999999995</v>
      </c>
      <c r="J1238" s="7"/>
      <c r="K1238" s="7" t="str">
        <f>VLOOKUP($E1238,Mapping!$E$11:$I$96,3,0)</f>
        <v>Quoted Opex</v>
      </c>
      <c r="L1238" s="7" t="str">
        <f>VLOOKUP($G1238,Mapping!$E$140:$K$2771,5,0)</f>
        <v>Materials</v>
      </c>
      <c r="M1238" s="7" t="str">
        <f>VLOOKUP($G1238,Mapping!$E$140:$K$2771,7,0)</f>
        <v>ENDirect</v>
      </c>
      <c r="N1238" s="7" t="str">
        <f>IFERROR(HLOOKUP(L1238,'Calc|Weightings'!$K$5:$M$5,1,0),"Excl")</f>
        <v>Materials</v>
      </c>
      <c r="O1238" s="7" t="str">
        <f>VLOOKUP(E1238,Mapping!$E$11:$I$96,5,0)</f>
        <v>Ancillary Network Services</v>
      </c>
      <c r="Q1238" s="33">
        <v>155</v>
      </c>
      <c r="R1238" s="33" t="s">
        <v>2164</v>
      </c>
      <c r="S1238" s="33">
        <v>612210</v>
      </c>
      <c r="T1238" s="33" t="s">
        <v>1184</v>
      </c>
      <c r="U1238" s="34">
        <v>0.15779000000000001</v>
      </c>
      <c r="V1238" s="7"/>
      <c r="W1238" s="7" t="str">
        <f>VLOOKUP($Q1238,Mapping!$E$11:$I$96,3,0)</f>
        <v>Replacement</v>
      </c>
      <c r="X1238" s="7" t="str">
        <f>VLOOKUP($S1238,Mapping!$E$140:$K$2771,5,0)</f>
        <v>Labour</v>
      </c>
      <c r="Y1238" s="7" t="str">
        <f>VLOOKUP($S1238,Mapping!$E$140:$K$2771,7,0)</f>
        <v>ENDirect</v>
      </c>
      <c r="Z1238" s="7" t="str">
        <f>IFERROR(HLOOKUP(X1238,'Calc|Weightings'!$K$5:$M$5,1,0),"Excl")</f>
        <v>Labour</v>
      </c>
      <c r="AA1238" s="7" t="str">
        <f>VLOOKUP(Q1238,Mapping!$E$11:$I$96,5,0)</f>
        <v>SCS</v>
      </c>
      <c r="AC1238" s="111">
        <v>156</v>
      </c>
      <c r="AD1238" s="111" t="s">
        <v>2165</v>
      </c>
      <c r="AE1238" s="111">
        <v>531464</v>
      </c>
      <c r="AF1238" s="111" t="s">
        <v>256</v>
      </c>
      <c r="AG1238" s="112">
        <v>60.738</v>
      </c>
      <c r="AI1238" s="7" t="str">
        <f>VLOOKUP($AC1238,Mapping!$E$11:$I$96,3,0)</f>
        <v>Replacement</v>
      </c>
      <c r="AJ1238" s="7" t="str">
        <f>VLOOKUP($AE1238,Mapping!$E$140:$K$2771,5,0)</f>
        <v>Contracts</v>
      </c>
      <c r="AK1238" s="7" t="str">
        <f>VLOOKUP($AE1238,Mapping!$E$140:$K$2771,7,0)</f>
        <v>ENDirect</v>
      </c>
      <c r="AL1238" s="7" t="str">
        <f>IFERROR(HLOOKUP(AJ1238,'Calc|Weightings'!$K$5:$M$5,1,0),"Excl")</f>
        <v>Contracts</v>
      </c>
      <c r="AM1238" s="7" t="str">
        <f>VLOOKUP(AC1238,Mapping!$E$11:$I$96,5,0)</f>
        <v>SCS</v>
      </c>
      <c r="AO1238" s="134">
        <v>160</v>
      </c>
      <c r="AP1238" s="135" t="s">
        <v>2170</v>
      </c>
      <c r="AQ1238" s="135">
        <v>613241</v>
      </c>
      <c r="AR1238" s="135" t="s">
        <v>2083</v>
      </c>
      <c r="AS1238" s="136">
        <v>22.083680000000001</v>
      </c>
      <c r="AU1238" s="7" t="str">
        <f>VLOOKUP($AO1238,Mapping!$E$11:$I$96,3,0)</f>
        <v>Augmentation</v>
      </c>
      <c r="AV1238" s="7" t="str">
        <f>VLOOKUP($AQ1238,Mapping!$E$140:$K$2771,5,0)</f>
        <v>Labour</v>
      </c>
      <c r="AW1238" s="7" t="str">
        <f>VLOOKUP($AQ1238,Mapping!$E$140:$K$2771,7,0)</f>
        <v>ENDirect</v>
      </c>
      <c r="AX1238" s="7" t="str">
        <f>IFERROR(HLOOKUP(AV1238,'Calc|Weightings'!$K$5:$M$5,1,0),"Excl")</f>
        <v>Labour</v>
      </c>
      <c r="AY1238" s="7" t="str">
        <f>VLOOKUP(AO1238,Mapping!$E$11:$I$96,5,0)</f>
        <v>SCS</v>
      </c>
    </row>
    <row r="1239" spans="1:51" x14ac:dyDescent="0.2">
      <c r="A1239" s="7"/>
      <c r="B1239" s="7"/>
      <c r="C1239" s="7"/>
      <c r="D1239" s="7"/>
      <c r="E1239" s="36">
        <v>146</v>
      </c>
      <c r="F1239" s="36" t="s">
        <v>2156</v>
      </c>
      <c r="G1239" s="36">
        <v>523100</v>
      </c>
      <c r="H1239" s="36" t="s">
        <v>2074</v>
      </c>
      <c r="I1239" s="37">
        <v>2.1158999999999999</v>
      </c>
      <c r="J1239" s="7"/>
      <c r="K1239" s="7" t="str">
        <f>VLOOKUP($E1239,Mapping!$E$11:$I$96,3,0)</f>
        <v>Quoted Opex</v>
      </c>
      <c r="L1239" s="7" t="str">
        <f>VLOOKUP($G1239,Mapping!$E$140:$K$2771,5,0)</f>
        <v>Materials</v>
      </c>
      <c r="M1239" s="7" t="str">
        <f>VLOOKUP($G1239,Mapping!$E$140:$K$2771,7,0)</f>
        <v>ENDirect</v>
      </c>
      <c r="N1239" s="7" t="str">
        <f>IFERROR(HLOOKUP(L1239,'Calc|Weightings'!$K$5:$M$5,1,0),"Excl")</f>
        <v>Materials</v>
      </c>
      <c r="O1239" s="7" t="str">
        <f>VLOOKUP(E1239,Mapping!$E$11:$I$96,5,0)</f>
        <v>Ancillary Network Services</v>
      </c>
      <c r="Q1239" s="33">
        <v>155</v>
      </c>
      <c r="R1239" s="33" t="s">
        <v>2164</v>
      </c>
      <c r="S1239" s="33">
        <v>613390</v>
      </c>
      <c r="T1239" s="33" t="s">
        <v>2141</v>
      </c>
      <c r="U1239" s="34">
        <v>10.61185</v>
      </c>
      <c r="V1239" s="7"/>
      <c r="W1239" s="7" t="str">
        <f>VLOOKUP($Q1239,Mapping!$E$11:$I$96,3,0)</f>
        <v>Replacement</v>
      </c>
      <c r="X1239" s="7" t="str">
        <f>VLOOKUP($S1239,Mapping!$E$140:$K$2771,5,0)</f>
        <v>Contracts</v>
      </c>
      <c r="Y1239" s="7" t="str">
        <f>VLOOKUP($S1239,Mapping!$E$140:$K$2771,7,0)</f>
        <v>ENDirect</v>
      </c>
      <c r="Z1239" s="7" t="str">
        <f>IFERROR(HLOOKUP(X1239,'Calc|Weightings'!$K$5:$M$5,1,0),"Excl")</f>
        <v>Contracts</v>
      </c>
      <c r="AA1239" s="7" t="str">
        <f>VLOOKUP(Q1239,Mapping!$E$11:$I$96,5,0)</f>
        <v>SCS</v>
      </c>
      <c r="AC1239" s="111">
        <v>156</v>
      </c>
      <c r="AD1239" s="111" t="s">
        <v>2165</v>
      </c>
      <c r="AE1239" s="111">
        <v>531469</v>
      </c>
      <c r="AF1239" s="111" t="s">
        <v>261</v>
      </c>
      <c r="AG1239" s="112">
        <v>236.52415999999999</v>
      </c>
      <c r="AI1239" s="7" t="str">
        <f>VLOOKUP($AC1239,Mapping!$E$11:$I$96,3,0)</f>
        <v>Replacement</v>
      </c>
      <c r="AJ1239" s="7" t="str">
        <f>VLOOKUP($AE1239,Mapping!$E$140:$K$2771,5,0)</f>
        <v>Labour</v>
      </c>
      <c r="AK1239" s="7" t="str">
        <f>VLOOKUP($AE1239,Mapping!$E$140:$K$2771,7,0)</f>
        <v>ENDirect</v>
      </c>
      <c r="AL1239" s="7" t="str">
        <f>IFERROR(HLOOKUP(AJ1239,'Calc|Weightings'!$K$5:$M$5,1,0),"Excl")</f>
        <v>Labour</v>
      </c>
      <c r="AM1239" s="7" t="str">
        <f>VLOOKUP(AC1239,Mapping!$E$11:$I$96,5,0)</f>
        <v>SCS</v>
      </c>
      <c r="AO1239" s="134">
        <v>160</v>
      </c>
      <c r="AP1239" s="135" t="s">
        <v>2170</v>
      </c>
      <c r="AQ1239" s="135">
        <v>613250</v>
      </c>
      <c r="AR1239" s="135" t="s">
        <v>2086</v>
      </c>
      <c r="AS1239" s="136">
        <v>240.88921999999999</v>
      </c>
      <c r="AU1239" s="7" t="str">
        <f>VLOOKUP($AO1239,Mapping!$E$11:$I$96,3,0)</f>
        <v>Augmentation</v>
      </c>
      <c r="AV1239" s="7" t="str">
        <f>VLOOKUP($AQ1239,Mapping!$E$140:$K$2771,5,0)</f>
        <v>Labour</v>
      </c>
      <c r="AW1239" s="7" t="str">
        <f>VLOOKUP($AQ1239,Mapping!$E$140:$K$2771,7,0)</f>
        <v>ENDirect</v>
      </c>
      <c r="AX1239" s="7" t="str">
        <f>IFERROR(HLOOKUP(AV1239,'Calc|Weightings'!$K$5:$M$5,1,0),"Excl")</f>
        <v>Labour</v>
      </c>
      <c r="AY1239" s="7" t="str">
        <f>VLOOKUP(AO1239,Mapping!$E$11:$I$96,5,0)</f>
        <v>SCS</v>
      </c>
    </row>
    <row r="1240" spans="1:51" x14ac:dyDescent="0.2">
      <c r="A1240" s="7"/>
      <c r="B1240" s="7"/>
      <c r="C1240" s="7"/>
      <c r="D1240" s="7"/>
      <c r="E1240" s="36">
        <v>146</v>
      </c>
      <c r="F1240" s="36" t="s">
        <v>2156</v>
      </c>
      <c r="G1240" s="36">
        <v>523300</v>
      </c>
      <c r="H1240" s="36" t="s">
        <v>2075</v>
      </c>
      <c r="I1240" s="37">
        <v>8.3199999999999996E-2</v>
      </c>
      <c r="J1240" s="7"/>
      <c r="K1240" s="7" t="str">
        <f>VLOOKUP($E1240,Mapping!$E$11:$I$96,3,0)</f>
        <v>Quoted Opex</v>
      </c>
      <c r="L1240" s="7" t="str">
        <f>VLOOKUP($G1240,Mapping!$E$140:$K$2771,5,0)</f>
        <v>Materials</v>
      </c>
      <c r="M1240" s="7" t="str">
        <f>VLOOKUP($G1240,Mapping!$E$140:$K$2771,7,0)</f>
        <v>ENDirect</v>
      </c>
      <c r="N1240" s="7" t="str">
        <f>IFERROR(HLOOKUP(L1240,'Calc|Weightings'!$K$5:$M$5,1,0),"Excl")</f>
        <v>Materials</v>
      </c>
      <c r="O1240" s="7" t="str">
        <f>VLOOKUP(E1240,Mapping!$E$11:$I$96,5,0)</f>
        <v>Ancillary Network Services</v>
      </c>
      <c r="Q1240" s="33">
        <v>155</v>
      </c>
      <c r="R1240" s="33" t="s">
        <v>2164</v>
      </c>
      <c r="S1240" s="33">
        <v>613800</v>
      </c>
      <c r="T1240" s="33" t="s">
        <v>2142</v>
      </c>
      <c r="U1240" s="34">
        <v>5.7745800000000003</v>
      </c>
      <c r="V1240" s="7"/>
      <c r="W1240" s="7" t="str">
        <f>VLOOKUP($Q1240,Mapping!$E$11:$I$96,3,0)</f>
        <v>Replacement</v>
      </c>
      <c r="X1240" s="7" t="str">
        <f>VLOOKUP($S1240,Mapping!$E$140:$K$2771,5,0)</f>
        <v>Materials</v>
      </c>
      <c r="Y1240" s="7" t="str">
        <f>VLOOKUP($S1240,Mapping!$E$140:$K$2771,7,0)</f>
        <v>ENDirect</v>
      </c>
      <c r="Z1240" s="7" t="str">
        <f>IFERROR(HLOOKUP(X1240,'Calc|Weightings'!$K$5:$M$5,1,0),"Excl")</f>
        <v>Materials</v>
      </c>
      <c r="AA1240" s="7" t="str">
        <f>VLOOKUP(Q1240,Mapping!$E$11:$I$96,5,0)</f>
        <v>SCS</v>
      </c>
      <c r="AC1240" s="111">
        <v>156</v>
      </c>
      <c r="AD1240" s="111" t="s">
        <v>2165</v>
      </c>
      <c r="AE1240" s="111">
        <v>532160</v>
      </c>
      <c r="AF1240" s="111" t="s">
        <v>289</v>
      </c>
      <c r="AG1240" s="112">
        <v>0.42357</v>
      </c>
      <c r="AI1240" s="7" t="str">
        <f>VLOOKUP($AC1240,Mapping!$E$11:$I$96,3,0)</f>
        <v>Replacement</v>
      </c>
      <c r="AJ1240" s="7" t="str">
        <f>VLOOKUP($AE1240,Mapping!$E$140:$K$2771,5,0)</f>
        <v>Contracts</v>
      </c>
      <c r="AK1240" s="7" t="str">
        <f>VLOOKUP($AE1240,Mapping!$E$140:$K$2771,7,0)</f>
        <v>ENDirect</v>
      </c>
      <c r="AL1240" s="7" t="str">
        <f>IFERROR(HLOOKUP(AJ1240,'Calc|Weightings'!$K$5:$M$5,1,0),"Excl")</f>
        <v>Contracts</v>
      </c>
      <c r="AM1240" s="7" t="str">
        <f>VLOOKUP(AC1240,Mapping!$E$11:$I$96,5,0)</f>
        <v>SCS</v>
      </c>
      <c r="AO1240" s="134">
        <v>160</v>
      </c>
      <c r="AP1240" s="135" t="s">
        <v>2170</v>
      </c>
      <c r="AQ1240" s="135">
        <v>613251</v>
      </c>
      <c r="AR1240" s="135" t="s">
        <v>2087</v>
      </c>
      <c r="AS1240" s="136">
        <v>31.483830000000001</v>
      </c>
      <c r="AU1240" s="7" t="str">
        <f>VLOOKUP($AO1240,Mapping!$E$11:$I$96,3,0)</f>
        <v>Augmentation</v>
      </c>
      <c r="AV1240" s="7" t="str">
        <f>VLOOKUP($AQ1240,Mapping!$E$140:$K$2771,5,0)</f>
        <v>Labour</v>
      </c>
      <c r="AW1240" s="7" t="str">
        <f>VLOOKUP($AQ1240,Mapping!$E$140:$K$2771,7,0)</f>
        <v>ENDirect</v>
      </c>
      <c r="AX1240" s="7" t="str">
        <f>IFERROR(HLOOKUP(AV1240,'Calc|Weightings'!$K$5:$M$5,1,0),"Excl")</f>
        <v>Labour</v>
      </c>
      <c r="AY1240" s="7" t="str">
        <f>VLOOKUP(AO1240,Mapping!$E$11:$I$96,5,0)</f>
        <v>SCS</v>
      </c>
    </row>
    <row r="1241" spans="1:51" x14ac:dyDescent="0.2">
      <c r="A1241" s="7"/>
      <c r="B1241" s="7"/>
      <c r="C1241" s="7"/>
      <c r="D1241" s="7"/>
      <c r="E1241" s="36">
        <v>146</v>
      </c>
      <c r="F1241" s="36" t="s">
        <v>2156</v>
      </c>
      <c r="G1241" s="36">
        <v>531035</v>
      </c>
      <c r="H1241" s="36" t="s">
        <v>244</v>
      </c>
      <c r="I1241" s="37">
        <v>5.7335000000000003</v>
      </c>
      <c r="J1241" s="7"/>
      <c r="K1241" s="7" t="str">
        <f>VLOOKUP($E1241,Mapping!$E$11:$I$96,3,0)</f>
        <v>Quoted Opex</v>
      </c>
      <c r="L1241" s="7" t="str">
        <f>VLOOKUP($G1241,Mapping!$E$140:$K$2771,5,0)</f>
        <v>Labour</v>
      </c>
      <c r="M1241" s="7" t="str">
        <f>VLOOKUP($G1241,Mapping!$E$140:$K$2771,7,0)</f>
        <v>ENDirect</v>
      </c>
      <c r="N1241" s="7" t="str">
        <f>IFERROR(HLOOKUP(L1241,'Calc|Weightings'!$K$5:$M$5,1,0),"Excl")</f>
        <v>Labour</v>
      </c>
      <c r="O1241" s="7" t="str">
        <f>VLOOKUP(E1241,Mapping!$E$11:$I$96,5,0)</f>
        <v>Ancillary Network Services</v>
      </c>
      <c r="Q1241" s="33">
        <v>155</v>
      </c>
      <c r="R1241" s="33" t="s">
        <v>2164</v>
      </c>
      <c r="S1241" s="33">
        <v>634001</v>
      </c>
      <c r="T1241" s="33" t="s">
        <v>2110</v>
      </c>
      <c r="U1241" s="34">
        <v>4.5220099999999999</v>
      </c>
      <c r="V1241" s="7"/>
      <c r="W1241" s="7" t="str">
        <f>VLOOKUP($Q1241,Mapping!$E$11:$I$96,3,0)</f>
        <v>Replacement</v>
      </c>
      <c r="X1241" s="7" t="str">
        <f>VLOOKUP($S1241,Mapping!$E$140:$K$2771,5,0)</f>
        <v>Local OH</v>
      </c>
      <c r="Y1241" s="7" t="str">
        <f>VLOOKUP($S1241,Mapping!$E$140:$K$2771,7,0)</f>
        <v>OH</v>
      </c>
      <c r="Z1241" s="7" t="str">
        <f>IFERROR(HLOOKUP(X1241,'Calc|Weightings'!$K$5:$M$5,1,0),"Excl")</f>
        <v>Excl</v>
      </c>
      <c r="AA1241" s="7" t="str">
        <f>VLOOKUP(Q1241,Mapping!$E$11:$I$96,5,0)</f>
        <v>SCS</v>
      </c>
      <c r="AC1241" s="111">
        <v>156</v>
      </c>
      <c r="AD1241" s="111" t="s">
        <v>2165</v>
      </c>
      <c r="AE1241" s="111">
        <v>532200</v>
      </c>
      <c r="AF1241" s="111" t="s">
        <v>291</v>
      </c>
      <c r="AG1241" s="112">
        <v>0.65356999999999998</v>
      </c>
      <c r="AI1241" s="7" t="str">
        <f>VLOOKUP($AC1241,Mapping!$E$11:$I$96,3,0)</f>
        <v>Replacement</v>
      </c>
      <c r="AJ1241" s="7" t="str">
        <f>VLOOKUP($AE1241,Mapping!$E$140:$K$2771,5,0)</f>
        <v>Contracts</v>
      </c>
      <c r="AK1241" s="7" t="str">
        <f>VLOOKUP($AE1241,Mapping!$E$140:$K$2771,7,0)</f>
        <v>ENDirect</v>
      </c>
      <c r="AL1241" s="7" t="str">
        <f>IFERROR(HLOOKUP(AJ1241,'Calc|Weightings'!$K$5:$M$5,1,0),"Excl")</f>
        <v>Contracts</v>
      </c>
      <c r="AM1241" s="7" t="str">
        <f>VLOOKUP(AC1241,Mapping!$E$11:$I$96,5,0)</f>
        <v>SCS</v>
      </c>
      <c r="AO1241" s="134">
        <v>160</v>
      </c>
      <c r="AP1241" s="135" t="s">
        <v>2170</v>
      </c>
      <c r="AQ1241" s="135">
        <v>613260</v>
      </c>
      <c r="AR1241" s="135" t="s">
        <v>2090</v>
      </c>
      <c r="AS1241" s="136">
        <v>4.7368800000000002</v>
      </c>
      <c r="AU1241" s="7" t="str">
        <f>VLOOKUP($AO1241,Mapping!$E$11:$I$96,3,0)</f>
        <v>Augmentation</v>
      </c>
      <c r="AV1241" s="7" t="str">
        <f>VLOOKUP($AQ1241,Mapping!$E$140:$K$2771,5,0)</f>
        <v>Labour</v>
      </c>
      <c r="AW1241" s="7" t="str">
        <f>VLOOKUP($AQ1241,Mapping!$E$140:$K$2771,7,0)</f>
        <v>ENDirect</v>
      </c>
      <c r="AX1241" s="7" t="str">
        <f>IFERROR(HLOOKUP(AV1241,'Calc|Weightings'!$K$5:$M$5,1,0),"Excl")</f>
        <v>Labour</v>
      </c>
      <c r="AY1241" s="7" t="str">
        <f>VLOOKUP(AO1241,Mapping!$E$11:$I$96,5,0)</f>
        <v>SCS</v>
      </c>
    </row>
    <row r="1242" spans="1:51" x14ac:dyDescent="0.2">
      <c r="A1242" s="7"/>
      <c r="B1242" s="7"/>
      <c r="C1242" s="7"/>
      <c r="D1242" s="7"/>
      <c r="E1242" s="36">
        <v>146</v>
      </c>
      <c r="F1242" s="36" t="s">
        <v>2156</v>
      </c>
      <c r="G1242" s="36">
        <v>531464</v>
      </c>
      <c r="H1242" s="36" t="s">
        <v>256</v>
      </c>
      <c r="I1242" s="37">
        <v>141.87421000000001</v>
      </c>
      <c r="J1242" s="7"/>
      <c r="K1242" s="7" t="str">
        <f>VLOOKUP($E1242,Mapping!$E$11:$I$96,3,0)</f>
        <v>Quoted Opex</v>
      </c>
      <c r="L1242" s="7" t="str">
        <f>VLOOKUP($G1242,Mapping!$E$140:$K$2771,5,0)</f>
        <v>Contracts</v>
      </c>
      <c r="M1242" s="7" t="str">
        <f>VLOOKUP($G1242,Mapping!$E$140:$K$2771,7,0)</f>
        <v>ENDirect</v>
      </c>
      <c r="N1242" s="7" t="str">
        <f>IFERROR(HLOOKUP(L1242,'Calc|Weightings'!$K$5:$M$5,1,0),"Excl")</f>
        <v>Contracts</v>
      </c>
      <c r="O1242" s="7" t="str">
        <f>VLOOKUP(E1242,Mapping!$E$11:$I$96,5,0)</f>
        <v>Ancillary Network Services</v>
      </c>
      <c r="Q1242" s="33">
        <v>155</v>
      </c>
      <c r="R1242" s="33" t="s">
        <v>2164</v>
      </c>
      <c r="S1242" s="33">
        <v>635001</v>
      </c>
      <c r="T1242" s="33" t="s">
        <v>1929</v>
      </c>
      <c r="U1242" s="34">
        <v>3.8242500000000001</v>
      </c>
      <c r="V1242" s="7"/>
      <c r="W1242" s="7" t="str">
        <f>VLOOKUP($Q1242,Mapping!$E$11:$I$96,3,0)</f>
        <v>Replacement</v>
      </c>
      <c r="X1242" s="7" t="str">
        <f>VLOOKUP($S1242,Mapping!$E$140:$K$2771,5,0)</f>
        <v>PNS MG</v>
      </c>
      <c r="Y1242" s="7" t="str">
        <f>VLOOKUP($S1242,Mapping!$E$140:$K$2771,7,0)</f>
        <v>ENDirect</v>
      </c>
      <c r="Z1242" s="7" t="str">
        <f>IFERROR(HLOOKUP(X1242,'Calc|Weightings'!$K$5:$M$5,1,0),"Excl")</f>
        <v>Excl</v>
      </c>
      <c r="AA1242" s="7" t="str">
        <f>VLOOKUP(Q1242,Mapping!$E$11:$I$96,5,0)</f>
        <v>SCS</v>
      </c>
      <c r="AC1242" s="111">
        <v>156</v>
      </c>
      <c r="AD1242" s="111" t="s">
        <v>2165</v>
      </c>
      <c r="AE1242" s="111">
        <v>532420</v>
      </c>
      <c r="AF1242" s="111" t="s">
        <v>307</v>
      </c>
      <c r="AG1242" s="112">
        <v>0.29399999999999998</v>
      </c>
      <c r="AI1242" s="7" t="str">
        <f>VLOOKUP($AC1242,Mapping!$E$11:$I$96,3,0)</f>
        <v>Replacement</v>
      </c>
      <c r="AJ1242" s="7" t="str">
        <f>VLOOKUP($AE1242,Mapping!$E$140:$K$2771,5,0)</f>
        <v>Contracts</v>
      </c>
      <c r="AK1242" s="7" t="str">
        <f>VLOOKUP($AE1242,Mapping!$E$140:$K$2771,7,0)</f>
        <v>ENDirect</v>
      </c>
      <c r="AL1242" s="7" t="str">
        <f>IFERROR(HLOOKUP(AJ1242,'Calc|Weightings'!$K$5:$M$5,1,0),"Excl")</f>
        <v>Contracts</v>
      </c>
      <c r="AM1242" s="7" t="str">
        <f>VLOOKUP(AC1242,Mapping!$E$11:$I$96,5,0)</f>
        <v>SCS</v>
      </c>
      <c r="AO1242" s="134">
        <v>160</v>
      </c>
      <c r="AP1242" s="135" t="s">
        <v>2170</v>
      </c>
      <c r="AQ1242" s="135">
        <v>613261</v>
      </c>
      <c r="AR1242" s="135" t="s">
        <v>2091</v>
      </c>
      <c r="AS1242" s="136">
        <v>3.5015399999999999</v>
      </c>
      <c r="AU1242" s="7" t="str">
        <f>VLOOKUP($AO1242,Mapping!$E$11:$I$96,3,0)</f>
        <v>Augmentation</v>
      </c>
      <c r="AV1242" s="7" t="str">
        <f>VLOOKUP($AQ1242,Mapping!$E$140:$K$2771,5,0)</f>
        <v>Labour</v>
      </c>
      <c r="AW1242" s="7" t="str">
        <f>VLOOKUP($AQ1242,Mapping!$E$140:$K$2771,7,0)</f>
        <v>ENDirect</v>
      </c>
      <c r="AX1242" s="7" t="str">
        <f>IFERROR(HLOOKUP(AV1242,'Calc|Weightings'!$K$5:$M$5,1,0),"Excl")</f>
        <v>Labour</v>
      </c>
      <c r="AY1242" s="7" t="str">
        <f>VLOOKUP(AO1242,Mapping!$E$11:$I$96,5,0)</f>
        <v>SCS</v>
      </c>
    </row>
    <row r="1243" spans="1:51" x14ac:dyDescent="0.2">
      <c r="A1243" s="7"/>
      <c r="B1243" s="7"/>
      <c r="C1243" s="7"/>
      <c r="D1243" s="7"/>
      <c r="E1243" s="36">
        <v>146</v>
      </c>
      <c r="F1243" s="36" t="s">
        <v>2156</v>
      </c>
      <c r="G1243" s="36">
        <v>531466</v>
      </c>
      <c r="H1243" s="36" t="s">
        <v>258</v>
      </c>
      <c r="I1243" s="37">
        <v>38.78951</v>
      </c>
      <c r="J1243" s="7"/>
      <c r="K1243" s="7" t="str">
        <f>VLOOKUP($E1243,Mapping!$E$11:$I$96,3,0)</f>
        <v>Quoted Opex</v>
      </c>
      <c r="L1243" s="7" t="str">
        <f>VLOOKUP($G1243,Mapping!$E$140:$K$2771,5,0)</f>
        <v>Contracts</v>
      </c>
      <c r="M1243" s="7" t="str">
        <f>VLOOKUP($G1243,Mapping!$E$140:$K$2771,7,0)</f>
        <v>ENDirect</v>
      </c>
      <c r="N1243" s="7" t="str">
        <f>IFERROR(HLOOKUP(L1243,'Calc|Weightings'!$K$5:$M$5,1,0),"Excl")</f>
        <v>Contracts</v>
      </c>
      <c r="O1243" s="7" t="str">
        <f>VLOOKUP(E1243,Mapping!$E$11:$I$96,5,0)</f>
        <v>Ancillary Network Services</v>
      </c>
      <c r="Q1243" s="33">
        <v>155</v>
      </c>
      <c r="R1243" s="33" t="s">
        <v>2164</v>
      </c>
      <c r="S1243" s="33">
        <v>636001</v>
      </c>
      <c r="T1243" s="33" t="s">
        <v>2111</v>
      </c>
      <c r="U1243" s="34">
        <v>1.41673</v>
      </c>
      <c r="V1243" s="7"/>
      <c r="W1243" s="7" t="str">
        <f>VLOOKUP($Q1243,Mapping!$E$11:$I$96,3,0)</f>
        <v>Replacement</v>
      </c>
      <c r="X1243" s="7" t="str">
        <f>VLOOKUP($S1243,Mapping!$E$140:$K$2771,5,0)</f>
        <v>System Control OH</v>
      </c>
      <c r="Y1243" s="7" t="str">
        <f>VLOOKUP($S1243,Mapping!$E$140:$K$2771,7,0)</f>
        <v>OH</v>
      </c>
      <c r="Z1243" s="7" t="str">
        <f>IFERROR(HLOOKUP(X1243,'Calc|Weightings'!$K$5:$M$5,1,0),"Excl")</f>
        <v>Excl</v>
      </c>
      <c r="AA1243" s="7" t="str">
        <f>VLOOKUP(Q1243,Mapping!$E$11:$I$96,5,0)</f>
        <v>SCS</v>
      </c>
      <c r="AC1243" s="111">
        <v>156</v>
      </c>
      <c r="AD1243" s="111" t="s">
        <v>2165</v>
      </c>
      <c r="AE1243" s="111">
        <v>545150</v>
      </c>
      <c r="AF1243" s="111" t="s">
        <v>345</v>
      </c>
      <c r="AG1243" s="112">
        <v>1.055E-2</v>
      </c>
      <c r="AI1243" s="7" t="str">
        <f>VLOOKUP($AC1243,Mapping!$E$11:$I$96,3,0)</f>
        <v>Replacement</v>
      </c>
      <c r="AJ1243" s="7" t="str">
        <f>VLOOKUP($AE1243,Mapping!$E$140:$K$2771,5,0)</f>
        <v>Contracts</v>
      </c>
      <c r="AK1243" s="7" t="str">
        <f>VLOOKUP($AE1243,Mapping!$E$140:$K$2771,7,0)</f>
        <v>ENDirect</v>
      </c>
      <c r="AL1243" s="7" t="str">
        <f>IFERROR(HLOOKUP(AJ1243,'Calc|Weightings'!$K$5:$M$5,1,0),"Excl")</f>
        <v>Contracts</v>
      </c>
      <c r="AM1243" s="7" t="str">
        <f>VLOOKUP(AC1243,Mapping!$E$11:$I$96,5,0)</f>
        <v>SCS</v>
      </c>
      <c r="AO1243" s="134">
        <v>160</v>
      </c>
      <c r="AP1243" s="135" t="s">
        <v>2170</v>
      </c>
      <c r="AQ1243" s="135">
        <v>613280</v>
      </c>
      <c r="AR1243" s="135" t="s">
        <v>1342</v>
      </c>
      <c r="AS1243" s="136">
        <v>74.008139999999997</v>
      </c>
      <c r="AU1243" s="7" t="str">
        <f>VLOOKUP($AO1243,Mapping!$E$11:$I$96,3,0)</f>
        <v>Augmentation</v>
      </c>
      <c r="AV1243" s="7" t="str">
        <f>VLOOKUP($AQ1243,Mapping!$E$140:$K$2771,5,0)</f>
        <v>Labour</v>
      </c>
      <c r="AW1243" s="7" t="str">
        <f>VLOOKUP($AQ1243,Mapping!$E$140:$K$2771,7,0)</f>
        <v>ENDirect</v>
      </c>
      <c r="AX1243" s="7" t="str">
        <f>IFERROR(HLOOKUP(AV1243,'Calc|Weightings'!$K$5:$M$5,1,0),"Excl")</f>
        <v>Labour</v>
      </c>
      <c r="AY1243" s="7" t="str">
        <f>VLOOKUP(AO1243,Mapping!$E$11:$I$96,5,0)</f>
        <v>SCS</v>
      </c>
    </row>
    <row r="1244" spans="1:51" x14ac:dyDescent="0.2">
      <c r="A1244" s="7"/>
      <c r="B1244" s="7"/>
      <c r="C1244" s="7"/>
      <c r="D1244" s="7"/>
      <c r="E1244" s="36">
        <v>146</v>
      </c>
      <c r="F1244" s="36" t="s">
        <v>2156</v>
      </c>
      <c r="G1244" s="36">
        <v>531467</v>
      </c>
      <c r="H1244" s="36" t="s">
        <v>259</v>
      </c>
      <c r="I1244" s="37">
        <v>28.266999999999999</v>
      </c>
      <c r="J1244" s="7"/>
      <c r="K1244" s="7" t="str">
        <f>VLOOKUP($E1244,Mapping!$E$11:$I$96,3,0)</f>
        <v>Quoted Opex</v>
      </c>
      <c r="L1244" s="7" t="str">
        <f>VLOOKUP($G1244,Mapping!$E$140:$K$2771,5,0)</f>
        <v>Contracts</v>
      </c>
      <c r="M1244" s="7" t="str">
        <f>VLOOKUP($G1244,Mapping!$E$140:$K$2771,7,0)</f>
        <v>ENDirect</v>
      </c>
      <c r="N1244" s="7" t="str">
        <f>IFERROR(HLOOKUP(L1244,'Calc|Weightings'!$K$5:$M$5,1,0),"Excl")</f>
        <v>Contracts</v>
      </c>
      <c r="O1244" s="7" t="str">
        <f>VLOOKUP(E1244,Mapping!$E$11:$I$96,5,0)</f>
        <v>Ancillary Network Services</v>
      </c>
      <c r="Q1244" s="33">
        <v>155</v>
      </c>
      <c r="R1244" s="33" t="s">
        <v>2164</v>
      </c>
      <c r="S1244" s="33">
        <v>639000</v>
      </c>
      <c r="T1244" s="33" t="s">
        <v>2112</v>
      </c>
      <c r="U1244" s="34">
        <v>3.7674699999999999</v>
      </c>
      <c r="V1244" s="7"/>
      <c r="W1244" s="7" t="str">
        <f>VLOOKUP($Q1244,Mapping!$E$11:$I$96,3,0)</f>
        <v>Replacement</v>
      </c>
      <c r="X1244" s="7" t="str">
        <f>VLOOKUP($S1244,Mapping!$E$140:$K$2771,5,0)</f>
        <v>PNS Corporate OH</v>
      </c>
      <c r="Y1244" s="7" t="str">
        <f>VLOOKUP($S1244,Mapping!$E$140:$K$2771,7,0)</f>
        <v>OH</v>
      </c>
      <c r="Z1244" s="7" t="str">
        <f>IFERROR(HLOOKUP(X1244,'Calc|Weightings'!$K$5:$M$5,1,0),"Excl")</f>
        <v>Excl</v>
      </c>
      <c r="AA1244" s="7" t="str">
        <f>VLOOKUP(Q1244,Mapping!$E$11:$I$96,5,0)</f>
        <v>SCS</v>
      </c>
      <c r="AC1244" s="111">
        <v>156</v>
      </c>
      <c r="AD1244" s="111" t="s">
        <v>2165</v>
      </c>
      <c r="AE1244" s="111">
        <v>591997</v>
      </c>
      <c r="AF1244" s="111" t="s">
        <v>2194</v>
      </c>
      <c r="AG1244" s="112">
        <v>-5.6528499999999999</v>
      </c>
      <c r="AI1244" s="7" t="str">
        <f>VLOOKUP($AC1244,Mapping!$E$11:$I$96,3,0)</f>
        <v>Replacement</v>
      </c>
      <c r="AJ1244" s="7" t="str">
        <f>VLOOKUP($AE1244,Mapping!$E$140:$K$2771,5,0)</f>
        <v>Contracts</v>
      </c>
      <c r="AK1244" s="7" t="str">
        <f>VLOOKUP($AE1244,Mapping!$E$140:$K$2771,7,0)</f>
        <v>ENDirect</v>
      </c>
      <c r="AL1244" s="7" t="str">
        <f>IFERROR(HLOOKUP(AJ1244,'Calc|Weightings'!$K$5:$M$5,1,0),"Excl")</f>
        <v>Contracts</v>
      </c>
      <c r="AM1244" s="7" t="str">
        <f>VLOOKUP(AC1244,Mapping!$E$11:$I$96,5,0)</f>
        <v>SCS</v>
      </c>
      <c r="AO1244" s="134">
        <v>160</v>
      </c>
      <c r="AP1244" s="135" t="s">
        <v>2170</v>
      </c>
      <c r="AQ1244" s="135">
        <v>613281</v>
      </c>
      <c r="AR1244" s="135" t="s">
        <v>1343</v>
      </c>
      <c r="AS1244" s="136">
        <v>1.5217400000000001</v>
      </c>
      <c r="AU1244" s="7" t="str">
        <f>VLOOKUP($AO1244,Mapping!$E$11:$I$96,3,0)</f>
        <v>Augmentation</v>
      </c>
      <c r="AV1244" s="7" t="str">
        <f>VLOOKUP($AQ1244,Mapping!$E$140:$K$2771,5,0)</f>
        <v>Labour</v>
      </c>
      <c r="AW1244" s="7" t="str">
        <f>VLOOKUP($AQ1244,Mapping!$E$140:$K$2771,7,0)</f>
        <v>ENDirect</v>
      </c>
      <c r="AX1244" s="7" t="str">
        <f>IFERROR(HLOOKUP(AV1244,'Calc|Weightings'!$K$5:$M$5,1,0),"Excl")</f>
        <v>Labour</v>
      </c>
      <c r="AY1244" s="7" t="str">
        <f>VLOOKUP(AO1244,Mapping!$E$11:$I$96,5,0)</f>
        <v>SCS</v>
      </c>
    </row>
    <row r="1245" spans="1:51" x14ac:dyDescent="0.2">
      <c r="A1245" s="7"/>
      <c r="B1245" s="7"/>
      <c r="C1245" s="7"/>
      <c r="D1245" s="7"/>
      <c r="E1245" s="36">
        <v>146</v>
      </c>
      <c r="F1245" s="36" t="s">
        <v>2156</v>
      </c>
      <c r="G1245" s="36">
        <v>531468</v>
      </c>
      <c r="H1245" s="36" t="s">
        <v>260</v>
      </c>
      <c r="I1245" s="37">
        <v>14.416930000000001</v>
      </c>
      <c r="J1245" s="7"/>
      <c r="K1245" s="7" t="str">
        <f>VLOOKUP($E1245,Mapping!$E$11:$I$96,3,0)</f>
        <v>Quoted Opex</v>
      </c>
      <c r="L1245" s="7" t="str">
        <f>VLOOKUP($G1245,Mapping!$E$140:$K$2771,5,0)</f>
        <v>Contracts</v>
      </c>
      <c r="M1245" s="7" t="str">
        <f>VLOOKUP($G1245,Mapping!$E$140:$K$2771,7,0)</f>
        <v>ENDirect</v>
      </c>
      <c r="N1245" s="7" t="str">
        <f>IFERROR(HLOOKUP(L1245,'Calc|Weightings'!$K$5:$M$5,1,0),"Excl")</f>
        <v>Contracts</v>
      </c>
      <c r="O1245" s="7" t="str">
        <f>VLOOKUP(E1245,Mapping!$E$11:$I$96,5,0)</f>
        <v>Ancillary Network Services</v>
      </c>
      <c r="Q1245" s="33">
        <v>155</v>
      </c>
      <c r="R1245" s="33" t="s">
        <v>2164</v>
      </c>
      <c r="S1245" s="33">
        <v>639050</v>
      </c>
      <c r="T1245" s="33" t="s">
        <v>2113</v>
      </c>
      <c r="U1245" s="34">
        <v>0.45588000000000001</v>
      </c>
      <c r="V1245" s="7"/>
      <c r="W1245" s="7" t="str">
        <f>VLOOKUP($Q1245,Mapping!$E$11:$I$96,3,0)</f>
        <v>Replacement</v>
      </c>
      <c r="X1245" s="7" t="str">
        <f>VLOOKUP($S1245,Mapping!$E$140:$K$2771,5,0)</f>
        <v>PNS Fleet &amp; Property OH</v>
      </c>
      <c r="Y1245" s="7" t="str">
        <f>VLOOKUP($S1245,Mapping!$E$140:$K$2771,7,0)</f>
        <v>OH</v>
      </c>
      <c r="Z1245" s="7" t="str">
        <f>IFERROR(HLOOKUP(X1245,'Calc|Weightings'!$K$5:$M$5,1,0),"Excl")</f>
        <v>Excl</v>
      </c>
      <c r="AA1245" s="7" t="str">
        <f>VLOOKUP(Q1245,Mapping!$E$11:$I$96,5,0)</f>
        <v>SCS</v>
      </c>
      <c r="AC1245" s="111">
        <v>156</v>
      </c>
      <c r="AD1245" s="111" t="s">
        <v>2165</v>
      </c>
      <c r="AE1245" s="111">
        <v>591999</v>
      </c>
      <c r="AF1245" s="111" t="s">
        <v>2195</v>
      </c>
      <c r="AG1245" s="112">
        <v>-34.53463</v>
      </c>
      <c r="AI1245" s="7" t="str">
        <f>VLOOKUP($AC1245,Mapping!$E$11:$I$96,3,0)</f>
        <v>Replacement</v>
      </c>
      <c r="AJ1245" s="7" t="str">
        <f>VLOOKUP($AE1245,Mapping!$E$140:$K$2771,5,0)</f>
        <v>Contracts</v>
      </c>
      <c r="AK1245" s="7" t="str">
        <f>VLOOKUP($AE1245,Mapping!$E$140:$K$2771,7,0)</f>
        <v>ENDirect</v>
      </c>
      <c r="AL1245" s="7" t="str">
        <f>IFERROR(HLOOKUP(AJ1245,'Calc|Weightings'!$K$5:$M$5,1,0),"Excl")</f>
        <v>Contracts</v>
      </c>
      <c r="AM1245" s="7" t="str">
        <f>VLOOKUP(AC1245,Mapping!$E$11:$I$96,5,0)</f>
        <v>SCS</v>
      </c>
      <c r="AO1245" s="134">
        <v>160</v>
      </c>
      <c r="AP1245" s="135" t="s">
        <v>2170</v>
      </c>
      <c r="AQ1245" s="135">
        <v>613290</v>
      </c>
      <c r="AR1245" s="135" t="s">
        <v>2093</v>
      </c>
      <c r="AS1245" s="136">
        <v>11.549799999999999</v>
      </c>
      <c r="AU1245" s="7" t="str">
        <f>VLOOKUP($AO1245,Mapping!$E$11:$I$96,3,0)</f>
        <v>Augmentation</v>
      </c>
      <c r="AV1245" s="7" t="str">
        <f>VLOOKUP($AQ1245,Mapping!$E$140:$K$2771,5,0)</f>
        <v>Labour</v>
      </c>
      <c r="AW1245" s="7" t="str">
        <f>VLOOKUP($AQ1245,Mapping!$E$140:$K$2771,7,0)</f>
        <v>ENDirect</v>
      </c>
      <c r="AX1245" s="7" t="str">
        <f>IFERROR(HLOOKUP(AV1245,'Calc|Weightings'!$K$5:$M$5,1,0),"Excl")</f>
        <v>Labour</v>
      </c>
      <c r="AY1245" s="7" t="str">
        <f>VLOOKUP(AO1245,Mapping!$E$11:$I$96,5,0)</f>
        <v>SCS</v>
      </c>
    </row>
    <row r="1246" spans="1:51" x14ac:dyDescent="0.2">
      <c r="A1246" s="7"/>
      <c r="B1246" s="7"/>
      <c r="C1246" s="7"/>
      <c r="D1246" s="7"/>
      <c r="E1246" s="36">
        <v>146</v>
      </c>
      <c r="F1246" s="36" t="s">
        <v>2156</v>
      </c>
      <c r="G1246" s="36">
        <v>531495</v>
      </c>
      <c r="H1246" s="36" t="s">
        <v>2353</v>
      </c>
      <c r="I1246" s="37">
        <v>26.51688</v>
      </c>
      <c r="J1246" s="7"/>
      <c r="K1246" s="7" t="str">
        <f>VLOOKUP($E1246,Mapping!$E$11:$I$96,3,0)</f>
        <v>Quoted Opex</v>
      </c>
      <c r="L1246" s="7" t="str">
        <f>VLOOKUP($G1246,Mapping!$E$140:$K$2771,5,0)</f>
        <v>Contracts</v>
      </c>
      <c r="M1246" s="7" t="str">
        <f>VLOOKUP($G1246,Mapping!$E$140:$K$2771,7,0)</f>
        <v>ENDirect</v>
      </c>
      <c r="N1246" s="7" t="str">
        <f>IFERROR(HLOOKUP(L1246,'Calc|Weightings'!$K$5:$M$5,1,0),"Excl")</f>
        <v>Contracts</v>
      </c>
      <c r="O1246" s="7" t="str">
        <f>VLOOKUP(E1246,Mapping!$E$11:$I$96,5,0)</f>
        <v>Ancillary Network Services</v>
      </c>
      <c r="Q1246" s="33">
        <v>156</v>
      </c>
      <c r="R1246" s="33" t="s">
        <v>2165</v>
      </c>
      <c r="S1246" s="33">
        <v>500200</v>
      </c>
      <c r="T1246" s="33" t="s">
        <v>136</v>
      </c>
      <c r="U1246" s="34">
        <v>3.3000000000000002E-2</v>
      </c>
      <c r="V1246" s="7"/>
      <c r="W1246" s="7" t="str">
        <f>VLOOKUP($Q1246,Mapping!$E$11:$I$96,3,0)</f>
        <v>Replacement</v>
      </c>
      <c r="X1246" s="7" t="str">
        <f>VLOOKUP($S1246,Mapping!$E$140:$K$2771,5,0)</f>
        <v>Labour</v>
      </c>
      <c r="Y1246" s="7" t="str">
        <f>VLOOKUP($S1246,Mapping!$E$140:$K$2771,7,0)</f>
        <v>ENDirect</v>
      </c>
      <c r="Z1246" s="7" t="str">
        <f>IFERROR(HLOOKUP(X1246,'Calc|Weightings'!$K$5:$M$5,1,0),"Excl")</f>
        <v>Labour</v>
      </c>
      <c r="AA1246" s="7" t="str">
        <f>VLOOKUP(Q1246,Mapping!$E$11:$I$96,5,0)</f>
        <v>SCS</v>
      </c>
      <c r="AC1246" s="111">
        <v>156</v>
      </c>
      <c r="AD1246" s="111" t="s">
        <v>2165</v>
      </c>
      <c r="AE1246" s="111">
        <v>611900</v>
      </c>
      <c r="AF1246" s="111" t="s">
        <v>2079</v>
      </c>
      <c r="AG1246" s="112">
        <v>2.0622799999999999</v>
      </c>
      <c r="AI1246" s="7" t="str">
        <f>VLOOKUP($AC1246,Mapping!$E$11:$I$96,3,0)</f>
        <v>Replacement</v>
      </c>
      <c r="AJ1246" s="7" t="str">
        <f>VLOOKUP($AE1246,Mapping!$E$140:$K$2771,5,0)</f>
        <v>Contracts</v>
      </c>
      <c r="AK1246" s="7" t="str">
        <f>VLOOKUP($AE1246,Mapping!$E$140:$K$2771,7,0)</f>
        <v>ENDirect</v>
      </c>
      <c r="AL1246" s="7" t="str">
        <f>IFERROR(HLOOKUP(AJ1246,'Calc|Weightings'!$K$5:$M$5,1,0),"Excl")</f>
        <v>Contracts</v>
      </c>
      <c r="AM1246" s="7" t="str">
        <f>VLOOKUP(AC1246,Mapping!$E$11:$I$96,5,0)</f>
        <v>SCS</v>
      </c>
      <c r="AO1246" s="134">
        <v>160</v>
      </c>
      <c r="AP1246" s="135" t="s">
        <v>2170</v>
      </c>
      <c r="AQ1246" s="135">
        <v>613291</v>
      </c>
      <c r="AR1246" s="135" t="s">
        <v>2094</v>
      </c>
      <c r="AS1246" s="136">
        <v>0.86480000000000001</v>
      </c>
      <c r="AU1246" s="7" t="str">
        <f>VLOOKUP($AO1246,Mapping!$E$11:$I$96,3,0)</f>
        <v>Augmentation</v>
      </c>
      <c r="AV1246" s="7" t="str">
        <f>VLOOKUP($AQ1246,Mapping!$E$140:$K$2771,5,0)</f>
        <v>Labour</v>
      </c>
      <c r="AW1246" s="7" t="str">
        <f>VLOOKUP($AQ1246,Mapping!$E$140:$K$2771,7,0)</f>
        <v>ENDirect</v>
      </c>
      <c r="AX1246" s="7" t="str">
        <f>IFERROR(HLOOKUP(AV1246,'Calc|Weightings'!$K$5:$M$5,1,0),"Excl")</f>
        <v>Labour</v>
      </c>
      <c r="AY1246" s="7" t="str">
        <f>VLOOKUP(AO1246,Mapping!$E$11:$I$96,5,0)</f>
        <v>SCS</v>
      </c>
    </row>
    <row r="1247" spans="1:51" x14ac:dyDescent="0.2">
      <c r="A1247" s="7"/>
      <c r="B1247" s="7"/>
      <c r="C1247" s="7"/>
      <c r="D1247" s="7"/>
      <c r="E1247" s="36">
        <v>146</v>
      </c>
      <c r="F1247" s="36" t="s">
        <v>2156</v>
      </c>
      <c r="G1247" s="36">
        <v>591997</v>
      </c>
      <c r="H1247" s="36" t="s">
        <v>2194</v>
      </c>
      <c r="I1247" s="37">
        <v>4.0362900000000002</v>
      </c>
      <c r="J1247" s="7"/>
      <c r="K1247" s="7" t="str">
        <f>VLOOKUP($E1247,Mapping!$E$11:$I$96,3,0)</f>
        <v>Quoted Opex</v>
      </c>
      <c r="L1247" s="7" t="str">
        <f>VLOOKUP($G1247,Mapping!$E$140:$K$2771,5,0)</f>
        <v>Contracts</v>
      </c>
      <c r="M1247" s="7" t="str">
        <f>VLOOKUP($G1247,Mapping!$E$140:$K$2771,7,0)</f>
        <v>ENDirect</v>
      </c>
      <c r="N1247" s="7" t="str">
        <f>IFERROR(HLOOKUP(L1247,'Calc|Weightings'!$K$5:$M$5,1,0),"Excl")</f>
        <v>Contracts</v>
      </c>
      <c r="O1247" s="7" t="str">
        <f>VLOOKUP(E1247,Mapping!$E$11:$I$96,5,0)</f>
        <v>Ancillary Network Services</v>
      </c>
      <c r="Q1247" s="33">
        <v>156</v>
      </c>
      <c r="R1247" s="33" t="s">
        <v>2165</v>
      </c>
      <c r="S1247" s="33">
        <v>503281</v>
      </c>
      <c r="T1247" s="33" t="s">
        <v>174</v>
      </c>
      <c r="U1247" s="34">
        <v>0.11337</v>
      </c>
      <c r="V1247" s="7"/>
      <c r="W1247" s="7" t="str">
        <f>VLOOKUP($Q1247,Mapping!$E$11:$I$96,3,0)</f>
        <v>Replacement</v>
      </c>
      <c r="X1247" s="7" t="str">
        <f>VLOOKUP($S1247,Mapping!$E$140:$K$2771,5,0)</f>
        <v>Contracts</v>
      </c>
      <c r="Y1247" s="7" t="str">
        <f>VLOOKUP($S1247,Mapping!$E$140:$K$2771,7,0)</f>
        <v>ENDirect</v>
      </c>
      <c r="Z1247" s="7" t="str">
        <f>IFERROR(HLOOKUP(X1247,'Calc|Weightings'!$K$5:$M$5,1,0),"Excl")</f>
        <v>Contracts</v>
      </c>
      <c r="AA1247" s="7" t="str">
        <f>VLOOKUP(Q1247,Mapping!$E$11:$I$96,5,0)</f>
        <v>SCS</v>
      </c>
      <c r="AC1247" s="111">
        <v>156</v>
      </c>
      <c r="AD1247" s="111" t="s">
        <v>2165</v>
      </c>
      <c r="AE1247" s="111">
        <v>611901</v>
      </c>
      <c r="AF1247" s="111" t="s">
        <v>2080</v>
      </c>
      <c r="AG1247" s="112">
        <v>8.5645100000000003</v>
      </c>
      <c r="AI1247" s="7" t="str">
        <f>VLOOKUP($AC1247,Mapping!$E$11:$I$96,3,0)</f>
        <v>Replacement</v>
      </c>
      <c r="AJ1247" s="7" t="str">
        <f>VLOOKUP($AE1247,Mapping!$E$140:$K$2771,5,0)</f>
        <v>Contracts</v>
      </c>
      <c r="AK1247" s="7" t="str">
        <f>VLOOKUP($AE1247,Mapping!$E$140:$K$2771,7,0)</f>
        <v>ENDirect</v>
      </c>
      <c r="AL1247" s="7" t="str">
        <f>IFERROR(HLOOKUP(AJ1247,'Calc|Weightings'!$K$5:$M$5,1,0),"Excl")</f>
        <v>Contracts</v>
      </c>
      <c r="AM1247" s="7" t="str">
        <f>VLOOKUP(AC1247,Mapping!$E$11:$I$96,5,0)</f>
        <v>SCS</v>
      </c>
      <c r="AO1247" s="134">
        <v>160</v>
      </c>
      <c r="AP1247" s="135" t="s">
        <v>2170</v>
      </c>
      <c r="AQ1247" s="135">
        <v>613310</v>
      </c>
      <c r="AR1247" s="135" t="s">
        <v>2095</v>
      </c>
      <c r="AS1247" s="136">
        <v>0.38428000000000001</v>
      </c>
      <c r="AU1247" s="7" t="str">
        <f>VLOOKUP($AO1247,Mapping!$E$11:$I$96,3,0)</f>
        <v>Augmentation</v>
      </c>
      <c r="AV1247" s="7" t="str">
        <f>VLOOKUP($AQ1247,Mapping!$E$140:$K$2771,5,0)</f>
        <v>Labour</v>
      </c>
      <c r="AW1247" s="7" t="str">
        <f>VLOOKUP($AQ1247,Mapping!$E$140:$K$2771,7,0)</f>
        <v>ENDirect</v>
      </c>
      <c r="AX1247" s="7" t="str">
        <f>IFERROR(HLOOKUP(AV1247,'Calc|Weightings'!$K$5:$M$5,1,0),"Excl")</f>
        <v>Labour</v>
      </c>
      <c r="AY1247" s="7" t="str">
        <f>VLOOKUP(AO1247,Mapping!$E$11:$I$96,5,0)</f>
        <v>SCS</v>
      </c>
    </row>
    <row r="1248" spans="1:51" x14ac:dyDescent="0.2">
      <c r="A1248" s="7"/>
      <c r="B1248" s="7"/>
      <c r="C1248" s="7"/>
      <c r="D1248" s="7"/>
      <c r="E1248" s="36">
        <v>146</v>
      </c>
      <c r="F1248" s="36" t="s">
        <v>2156</v>
      </c>
      <c r="G1248" s="36">
        <v>591999</v>
      </c>
      <c r="H1248" s="36" t="s">
        <v>2195</v>
      </c>
      <c r="I1248" s="37">
        <v>-7.1175699999999997</v>
      </c>
      <c r="J1248" s="7"/>
      <c r="K1248" s="7" t="str">
        <f>VLOOKUP($E1248,Mapping!$E$11:$I$96,3,0)</f>
        <v>Quoted Opex</v>
      </c>
      <c r="L1248" s="7" t="str">
        <f>VLOOKUP($G1248,Mapping!$E$140:$K$2771,5,0)</f>
        <v>Contracts</v>
      </c>
      <c r="M1248" s="7" t="str">
        <f>VLOOKUP($G1248,Mapping!$E$140:$K$2771,7,0)</f>
        <v>ENDirect</v>
      </c>
      <c r="N1248" s="7" t="str">
        <f>IFERROR(HLOOKUP(L1248,'Calc|Weightings'!$K$5:$M$5,1,0),"Excl")</f>
        <v>Contracts</v>
      </c>
      <c r="O1248" s="7" t="str">
        <f>VLOOKUP(E1248,Mapping!$E$11:$I$96,5,0)</f>
        <v>Ancillary Network Services</v>
      </c>
      <c r="Q1248" s="33">
        <v>156</v>
      </c>
      <c r="R1248" s="33" t="s">
        <v>2165</v>
      </c>
      <c r="S1248" s="33">
        <v>503330</v>
      </c>
      <c r="T1248" s="33" t="s">
        <v>180</v>
      </c>
      <c r="U1248" s="34">
        <v>2.477E-2</v>
      </c>
      <c r="V1248" s="7"/>
      <c r="W1248" s="7" t="str">
        <f>VLOOKUP($Q1248,Mapping!$E$11:$I$96,3,0)</f>
        <v>Replacement</v>
      </c>
      <c r="X1248" s="7" t="str">
        <f>VLOOKUP($S1248,Mapping!$E$140:$K$2771,5,0)</f>
        <v>Contracts</v>
      </c>
      <c r="Y1248" s="7" t="str">
        <f>VLOOKUP($S1248,Mapping!$E$140:$K$2771,7,0)</f>
        <v>ENDirect</v>
      </c>
      <c r="Z1248" s="7" t="str">
        <f>IFERROR(HLOOKUP(X1248,'Calc|Weightings'!$K$5:$M$5,1,0),"Excl")</f>
        <v>Contracts</v>
      </c>
      <c r="AA1248" s="7" t="str">
        <f>VLOOKUP(Q1248,Mapping!$E$11:$I$96,5,0)</f>
        <v>SCS</v>
      </c>
      <c r="AC1248" s="111">
        <v>156</v>
      </c>
      <c r="AD1248" s="111" t="s">
        <v>2165</v>
      </c>
      <c r="AE1248" s="111">
        <v>611902</v>
      </c>
      <c r="AF1248" s="111" t="s">
        <v>2081</v>
      </c>
      <c r="AG1248" s="112">
        <v>9.2712699999999995</v>
      </c>
      <c r="AI1248" s="7" t="str">
        <f>VLOOKUP($AC1248,Mapping!$E$11:$I$96,3,0)</f>
        <v>Replacement</v>
      </c>
      <c r="AJ1248" s="7" t="str">
        <f>VLOOKUP($AE1248,Mapping!$E$140:$K$2771,5,0)</f>
        <v>Contracts</v>
      </c>
      <c r="AK1248" s="7" t="str">
        <f>VLOOKUP($AE1248,Mapping!$E$140:$K$2771,7,0)</f>
        <v>ENDirect</v>
      </c>
      <c r="AL1248" s="7" t="str">
        <f>IFERROR(HLOOKUP(AJ1248,'Calc|Weightings'!$K$5:$M$5,1,0),"Excl")</f>
        <v>Contracts</v>
      </c>
      <c r="AM1248" s="7" t="str">
        <f>VLOOKUP(AC1248,Mapping!$E$11:$I$96,5,0)</f>
        <v>SCS</v>
      </c>
      <c r="AO1248" s="134">
        <v>160</v>
      </c>
      <c r="AP1248" s="135" t="s">
        <v>2170</v>
      </c>
      <c r="AQ1248" s="135">
        <v>613360</v>
      </c>
      <c r="AR1248" s="135" t="s">
        <v>2097</v>
      </c>
      <c r="AS1248" s="136">
        <v>15.49728</v>
      </c>
      <c r="AU1248" s="7" t="str">
        <f>VLOOKUP($AO1248,Mapping!$E$11:$I$96,3,0)</f>
        <v>Augmentation</v>
      </c>
      <c r="AV1248" s="7" t="str">
        <f>VLOOKUP($AQ1248,Mapping!$E$140:$K$2771,5,0)</f>
        <v>Labour</v>
      </c>
      <c r="AW1248" s="7" t="str">
        <f>VLOOKUP($AQ1248,Mapping!$E$140:$K$2771,7,0)</f>
        <v>ENDirect</v>
      </c>
      <c r="AX1248" s="7" t="str">
        <f>IFERROR(HLOOKUP(AV1248,'Calc|Weightings'!$K$5:$M$5,1,0),"Excl")</f>
        <v>Labour</v>
      </c>
      <c r="AY1248" s="7" t="str">
        <f>VLOOKUP(AO1248,Mapping!$E$11:$I$96,5,0)</f>
        <v>SCS</v>
      </c>
    </row>
    <row r="1249" spans="1:51" x14ac:dyDescent="0.2">
      <c r="A1249" s="7"/>
      <c r="B1249" s="7"/>
      <c r="C1249" s="7"/>
      <c r="D1249" s="7"/>
      <c r="E1249" s="36">
        <v>146</v>
      </c>
      <c r="F1249" s="36" t="s">
        <v>2156</v>
      </c>
      <c r="G1249" s="36">
        <v>611860</v>
      </c>
      <c r="H1249" s="36" t="s">
        <v>2125</v>
      </c>
      <c r="I1249" s="37">
        <v>4.7730000000000002E-2</v>
      </c>
      <c r="J1249" s="7"/>
      <c r="K1249" s="7" t="str">
        <f>VLOOKUP($E1249,Mapping!$E$11:$I$96,3,0)</f>
        <v>Quoted Opex</v>
      </c>
      <c r="L1249" s="7" t="str">
        <f>VLOOKUP($G1249,Mapping!$E$140:$K$2771,5,0)</f>
        <v>Labour</v>
      </c>
      <c r="M1249" s="7" t="str">
        <f>VLOOKUP($G1249,Mapping!$E$140:$K$2771,7,0)</f>
        <v>ENDirect</v>
      </c>
      <c r="N1249" s="7" t="str">
        <f>IFERROR(HLOOKUP(L1249,'Calc|Weightings'!$K$5:$M$5,1,0),"Excl")</f>
        <v>Labour</v>
      </c>
      <c r="O1249" s="7" t="str">
        <f>VLOOKUP(E1249,Mapping!$E$11:$I$96,5,0)</f>
        <v>Ancillary Network Services</v>
      </c>
      <c r="Q1249" s="33">
        <v>156</v>
      </c>
      <c r="R1249" s="33" t="s">
        <v>2165</v>
      </c>
      <c r="S1249" s="33">
        <v>503350</v>
      </c>
      <c r="T1249" s="33" t="s">
        <v>182</v>
      </c>
      <c r="U1249" s="34">
        <v>5.6050000000000003E-2</v>
      </c>
      <c r="V1249" s="7"/>
      <c r="W1249" s="7" t="str">
        <f>VLOOKUP($Q1249,Mapping!$E$11:$I$96,3,0)</f>
        <v>Replacement</v>
      </c>
      <c r="X1249" s="7" t="str">
        <f>VLOOKUP($S1249,Mapping!$E$140:$K$2771,5,0)</f>
        <v>Contracts</v>
      </c>
      <c r="Y1249" s="7" t="str">
        <f>VLOOKUP($S1249,Mapping!$E$140:$K$2771,7,0)</f>
        <v>ENDirect</v>
      </c>
      <c r="Z1249" s="7" t="str">
        <f>IFERROR(HLOOKUP(X1249,'Calc|Weightings'!$K$5:$M$5,1,0),"Excl")</f>
        <v>Contracts</v>
      </c>
      <c r="AA1249" s="7" t="str">
        <f>VLOOKUP(Q1249,Mapping!$E$11:$I$96,5,0)</f>
        <v>SCS</v>
      </c>
      <c r="AC1249" s="111">
        <v>156</v>
      </c>
      <c r="AD1249" s="111" t="s">
        <v>2165</v>
      </c>
      <c r="AE1249" s="111">
        <v>612210</v>
      </c>
      <c r="AF1249" s="111" t="s">
        <v>1184</v>
      </c>
      <c r="AG1249" s="112">
        <v>9.0498700000000003</v>
      </c>
      <c r="AI1249" s="7" t="str">
        <f>VLOOKUP($AC1249,Mapping!$E$11:$I$96,3,0)</f>
        <v>Replacement</v>
      </c>
      <c r="AJ1249" s="7" t="str">
        <f>VLOOKUP($AE1249,Mapping!$E$140:$K$2771,5,0)</f>
        <v>Labour</v>
      </c>
      <c r="AK1249" s="7" t="str">
        <f>VLOOKUP($AE1249,Mapping!$E$140:$K$2771,7,0)</f>
        <v>ENDirect</v>
      </c>
      <c r="AL1249" s="7" t="str">
        <f>IFERROR(HLOOKUP(AJ1249,'Calc|Weightings'!$K$5:$M$5,1,0),"Excl")</f>
        <v>Labour</v>
      </c>
      <c r="AM1249" s="7" t="str">
        <f>VLOOKUP(AC1249,Mapping!$E$11:$I$96,5,0)</f>
        <v>SCS</v>
      </c>
      <c r="AO1249" s="134">
        <v>160</v>
      </c>
      <c r="AP1249" s="135" t="s">
        <v>2170</v>
      </c>
      <c r="AQ1249" s="135">
        <v>613370</v>
      </c>
      <c r="AR1249" s="135" t="s">
        <v>1402</v>
      </c>
      <c r="AS1249" s="136">
        <v>6.3649999999999998E-2</v>
      </c>
      <c r="AU1249" s="7" t="str">
        <f>VLOOKUP($AO1249,Mapping!$E$11:$I$96,3,0)</f>
        <v>Augmentation</v>
      </c>
      <c r="AV1249" s="7" t="str">
        <f>VLOOKUP($AQ1249,Mapping!$E$140:$K$2771,5,0)</f>
        <v>Labour</v>
      </c>
      <c r="AW1249" s="7" t="str">
        <f>VLOOKUP($AQ1249,Mapping!$E$140:$K$2771,7,0)</f>
        <v>ENDirect</v>
      </c>
      <c r="AX1249" s="7" t="str">
        <f>IFERROR(HLOOKUP(AV1249,'Calc|Weightings'!$K$5:$M$5,1,0),"Excl")</f>
        <v>Labour</v>
      </c>
      <c r="AY1249" s="7" t="str">
        <f>VLOOKUP(AO1249,Mapping!$E$11:$I$96,5,0)</f>
        <v>SCS</v>
      </c>
    </row>
    <row r="1250" spans="1:51" x14ac:dyDescent="0.2">
      <c r="A1250" s="7"/>
      <c r="B1250" s="7"/>
      <c r="C1250" s="7"/>
      <c r="D1250" s="7"/>
      <c r="E1250" s="36">
        <v>146</v>
      </c>
      <c r="F1250" s="36" t="s">
        <v>2156</v>
      </c>
      <c r="G1250" s="36">
        <v>611900</v>
      </c>
      <c r="H1250" s="36" t="s">
        <v>2079</v>
      </c>
      <c r="I1250" s="37">
        <v>1.16231</v>
      </c>
      <c r="J1250" s="7"/>
      <c r="K1250" s="7" t="str">
        <f>VLOOKUP($E1250,Mapping!$E$11:$I$96,3,0)</f>
        <v>Quoted Opex</v>
      </c>
      <c r="L1250" s="7" t="str">
        <f>VLOOKUP($G1250,Mapping!$E$140:$K$2771,5,0)</f>
        <v>Contracts</v>
      </c>
      <c r="M1250" s="7" t="str">
        <f>VLOOKUP($G1250,Mapping!$E$140:$K$2771,7,0)</f>
        <v>ENDirect</v>
      </c>
      <c r="N1250" s="7" t="str">
        <f>IFERROR(HLOOKUP(L1250,'Calc|Weightings'!$K$5:$M$5,1,0),"Excl")</f>
        <v>Contracts</v>
      </c>
      <c r="O1250" s="7" t="str">
        <f>VLOOKUP(E1250,Mapping!$E$11:$I$96,5,0)</f>
        <v>Ancillary Network Services</v>
      </c>
      <c r="Q1250" s="33">
        <v>156</v>
      </c>
      <c r="R1250" s="33" t="s">
        <v>2165</v>
      </c>
      <c r="S1250" s="33">
        <v>520100</v>
      </c>
      <c r="T1250" s="33" t="s">
        <v>2072</v>
      </c>
      <c r="U1250" s="34">
        <v>125.74329</v>
      </c>
      <c r="V1250" s="7"/>
      <c r="W1250" s="7" t="str">
        <f>VLOOKUP($Q1250,Mapping!$E$11:$I$96,3,0)</f>
        <v>Replacement</v>
      </c>
      <c r="X1250" s="7" t="str">
        <f>VLOOKUP($S1250,Mapping!$E$140:$K$2771,5,0)</f>
        <v>Materials</v>
      </c>
      <c r="Y1250" s="7" t="str">
        <f>VLOOKUP($S1250,Mapping!$E$140:$K$2771,7,0)</f>
        <v>ENDirect</v>
      </c>
      <c r="Z1250" s="7" t="str">
        <f>IFERROR(HLOOKUP(X1250,'Calc|Weightings'!$K$5:$M$5,1,0),"Excl")</f>
        <v>Materials</v>
      </c>
      <c r="AA1250" s="7" t="str">
        <f>VLOOKUP(Q1250,Mapping!$E$11:$I$96,5,0)</f>
        <v>SCS</v>
      </c>
      <c r="AC1250" s="111">
        <v>156</v>
      </c>
      <c r="AD1250" s="111" t="s">
        <v>2165</v>
      </c>
      <c r="AE1250" s="111">
        <v>613260</v>
      </c>
      <c r="AF1250" s="111" t="s">
        <v>2090</v>
      </c>
      <c r="AG1250" s="112">
        <v>370.45690999999999</v>
      </c>
      <c r="AI1250" s="7" t="str">
        <f>VLOOKUP($AC1250,Mapping!$E$11:$I$96,3,0)</f>
        <v>Replacement</v>
      </c>
      <c r="AJ1250" s="7" t="str">
        <f>VLOOKUP($AE1250,Mapping!$E$140:$K$2771,5,0)</f>
        <v>Labour</v>
      </c>
      <c r="AK1250" s="7" t="str">
        <f>VLOOKUP($AE1250,Mapping!$E$140:$K$2771,7,0)</f>
        <v>ENDirect</v>
      </c>
      <c r="AL1250" s="7" t="str">
        <f>IFERROR(HLOOKUP(AJ1250,'Calc|Weightings'!$K$5:$M$5,1,0),"Excl")</f>
        <v>Labour</v>
      </c>
      <c r="AM1250" s="7" t="str">
        <f>VLOOKUP(AC1250,Mapping!$E$11:$I$96,5,0)</f>
        <v>SCS</v>
      </c>
      <c r="AO1250" s="134">
        <v>160</v>
      </c>
      <c r="AP1250" s="135" t="s">
        <v>2170</v>
      </c>
      <c r="AQ1250" s="135">
        <v>613400</v>
      </c>
      <c r="AR1250" s="135" t="s">
        <v>2099</v>
      </c>
      <c r="AS1250" s="136">
        <v>13.936999999999999</v>
      </c>
      <c r="AU1250" s="7" t="str">
        <f>VLOOKUP($AO1250,Mapping!$E$11:$I$96,3,0)</f>
        <v>Augmentation</v>
      </c>
      <c r="AV1250" s="7" t="str">
        <f>VLOOKUP($AQ1250,Mapping!$E$140:$K$2771,5,0)</f>
        <v>Labour</v>
      </c>
      <c r="AW1250" s="7" t="str">
        <f>VLOOKUP($AQ1250,Mapping!$E$140:$K$2771,7,0)</f>
        <v>ENDirect</v>
      </c>
      <c r="AX1250" s="7" t="str">
        <f>IFERROR(HLOOKUP(AV1250,'Calc|Weightings'!$K$5:$M$5,1,0),"Excl")</f>
        <v>Labour</v>
      </c>
      <c r="AY1250" s="7" t="str">
        <f>VLOOKUP(AO1250,Mapping!$E$11:$I$96,5,0)</f>
        <v>SCS</v>
      </c>
    </row>
    <row r="1251" spans="1:51" x14ac:dyDescent="0.2">
      <c r="A1251" s="7"/>
      <c r="B1251" s="7"/>
      <c r="C1251" s="7"/>
      <c r="D1251" s="7"/>
      <c r="E1251" s="36">
        <v>146</v>
      </c>
      <c r="F1251" s="36" t="s">
        <v>2156</v>
      </c>
      <c r="G1251" s="36">
        <v>611901</v>
      </c>
      <c r="H1251" s="36" t="s">
        <v>2080</v>
      </c>
      <c r="I1251" s="37">
        <v>7.4825999999999997</v>
      </c>
      <c r="J1251" s="7"/>
      <c r="K1251" s="7" t="str">
        <f>VLOOKUP($E1251,Mapping!$E$11:$I$96,3,0)</f>
        <v>Quoted Opex</v>
      </c>
      <c r="L1251" s="7" t="str">
        <f>VLOOKUP($G1251,Mapping!$E$140:$K$2771,5,0)</f>
        <v>Contracts</v>
      </c>
      <c r="M1251" s="7" t="str">
        <f>VLOOKUP($G1251,Mapping!$E$140:$K$2771,7,0)</f>
        <v>ENDirect</v>
      </c>
      <c r="N1251" s="7" t="str">
        <f>IFERROR(HLOOKUP(L1251,'Calc|Weightings'!$K$5:$M$5,1,0),"Excl")</f>
        <v>Contracts</v>
      </c>
      <c r="O1251" s="7" t="str">
        <f>VLOOKUP(E1251,Mapping!$E$11:$I$96,5,0)</f>
        <v>Ancillary Network Services</v>
      </c>
      <c r="Q1251" s="33">
        <v>156</v>
      </c>
      <c r="R1251" s="33" t="s">
        <v>2165</v>
      </c>
      <c r="S1251" s="33">
        <v>520200</v>
      </c>
      <c r="T1251" s="33" t="s">
        <v>2073</v>
      </c>
      <c r="U1251" s="34">
        <v>261.2038</v>
      </c>
      <c r="V1251" s="7"/>
      <c r="W1251" s="7" t="str">
        <f>VLOOKUP($Q1251,Mapping!$E$11:$I$96,3,0)</f>
        <v>Replacement</v>
      </c>
      <c r="X1251" s="7" t="str">
        <f>VLOOKUP($S1251,Mapping!$E$140:$K$2771,5,0)</f>
        <v>Materials</v>
      </c>
      <c r="Y1251" s="7" t="str">
        <f>VLOOKUP($S1251,Mapping!$E$140:$K$2771,7,0)</f>
        <v>ENDirect</v>
      </c>
      <c r="Z1251" s="7" t="str">
        <f>IFERROR(HLOOKUP(X1251,'Calc|Weightings'!$K$5:$M$5,1,0),"Excl")</f>
        <v>Materials</v>
      </c>
      <c r="AA1251" s="7" t="str">
        <f>VLOOKUP(Q1251,Mapping!$E$11:$I$96,5,0)</f>
        <v>SCS</v>
      </c>
      <c r="AC1251" s="111">
        <v>156</v>
      </c>
      <c r="AD1251" s="111" t="s">
        <v>2165</v>
      </c>
      <c r="AE1251" s="111">
        <v>613261</v>
      </c>
      <c r="AF1251" s="111" t="s">
        <v>2091</v>
      </c>
      <c r="AG1251" s="112">
        <v>26.590050000000002</v>
      </c>
      <c r="AI1251" s="7" t="str">
        <f>VLOOKUP($AC1251,Mapping!$E$11:$I$96,3,0)</f>
        <v>Replacement</v>
      </c>
      <c r="AJ1251" s="7" t="str">
        <f>VLOOKUP($AE1251,Mapping!$E$140:$K$2771,5,0)</f>
        <v>Labour</v>
      </c>
      <c r="AK1251" s="7" t="str">
        <f>VLOOKUP($AE1251,Mapping!$E$140:$K$2771,7,0)</f>
        <v>ENDirect</v>
      </c>
      <c r="AL1251" s="7" t="str">
        <f>IFERROR(HLOOKUP(AJ1251,'Calc|Weightings'!$K$5:$M$5,1,0),"Excl")</f>
        <v>Labour</v>
      </c>
      <c r="AM1251" s="7" t="str">
        <f>VLOOKUP(AC1251,Mapping!$E$11:$I$96,5,0)</f>
        <v>SCS</v>
      </c>
      <c r="AO1251" s="134">
        <v>160</v>
      </c>
      <c r="AP1251" s="135" t="s">
        <v>2170</v>
      </c>
      <c r="AQ1251" s="135">
        <v>613401</v>
      </c>
      <c r="AR1251" s="135" t="s">
        <v>2117</v>
      </c>
      <c r="AS1251" s="136">
        <v>8.3625699999999998</v>
      </c>
      <c r="AU1251" s="7" t="str">
        <f>VLOOKUP($AO1251,Mapping!$E$11:$I$96,3,0)</f>
        <v>Augmentation</v>
      </c>
      <c r="AV1251" s="7" t="str">
        <f>VLOOKUP($AQ1251,Mapping!$E$140:$K$2771,5,0)</f>
        <v>Labour</v>
      </c>
      <c r="AW1251" s="7" t="str">
        <f>VLOOKUP($AQ1251,Mapping!$E$140:$K$2771,7,0)</f>
        <v>ENDirect</v>
      </c>
      <c r="AX1251" s="7" t="str">
        <f>IFERROR(HLOOKUP(AV1251,'Calc|Weightings'!$K$5:$M$5,1,0),"Excl")</f>
        <v>Labour</v>
      </c>
      <c r="AY1251" s="7" t="str">
        <f>VLOOKUP(AO1251,Mapping!$E$11:$I$96,5,0)</f>
        <v>SCS</v>
      </c>
    </row>
    <row r="1252" spans="1:51" x14ac:dyDescent="0.2">
      <c r="A1252" s="7"/>
      <c r="B1252" s="7"/>
      <c r="C1252" s="7"/>
      <c r="D1252" s="7"/>
      <c r="E1252" s="36">
        <v>146</v>
      </c>
      <c r="F1252" s="36" t="s">
        <v>2156</v>
      </c>
      <c r="G1252" s="36">
        <v>611902</v>
      </c>
      <c r="H1252" s="36" t="s">
        <v>2081</v>
      </c>
      <c r="I1252" s="37">
        <v>0.11879000000000001</v>
      </c>
      <c r="J1252" s="7"/>
      <c r="K1252" s="7" t="str">
        <f>VLOOKUP($E1252,Mapping!$E$11:$I$96,3,0)</f>
        <v>Quoted Opex</v>
      </c>
      <c r="L1252" s="7" t="str">
        <f>VLOOKUP($G1252,Mapping!$E$140:$K$2771,5,0)</f>
        <v>Contracts</v>
      </c>
      <c r="M1252" s="7" t="str">
        <f>VLOOKUP($G1252,Mapping!$E$140:$K$2771,7,0)</f>
        <v>ENDirect</v>
      </c>
      <c r="N1252" s="7" t="str">
        <f>IFERROR(HLOOKUP(L1252,'Calc|Weightings'!$K$5:$M$5,1,0),"Excl")</f>
        <v>Contracts</v>
      </c>
      <c r="O1252" s="7" t="str">
        <f>VLOOKUP(E1252,Mapping!$E$11:$I$96,5,0)</f>
        <v>Ancillary Network Services</v>
      </c>
      <c r="Q1252" s="33">
        <v>156</v>
      </c>
      <c r="R1252" s="33" t="s">
        <v>2165</v>
      </c>
      <c r="S1252" s="33">
        <v>522100</v>
      </c>
      <c r="T1252" s="33" t="s">
        <v>2115</v>
      </c>
      <c r="U1252" s="34">
        <v>2.1870000000000001E-2</v>
      </c>
      <c r="V1252" s="7"/>
      <c r="W1252" s="7" t="str">
        <f>VLOOKUP($Q1252,Mapping!$E$11:$I$96,3,0)</f>
        <v>Replacement</v>
      </c>
      <c r="X1252" s="7" t="str">
        <f>VLOOKUP($S1252,Mapping!$E$140:$K$2771,5,0)</f>
        <v>Materials</v>
      </c>
      <c r="Y1252" s="7" t="str">
        <f>VLOOKUP($S1252,Mapping!$E$140:$K$2771,7,0)</f>
        <v>ENDirect</v>
      </c>
      <c r="Z1252" s="7" t="str">
        <f>IFERROR(HLOOKUP(X1252,'Calc|Weightings'!$K$5:$M$5,1,0),"Excl")</f>
        <v>Materials</v>
      </c>
      <c r="AA1252" s="7" t="str">
        <f>VLOOKUP(Q1252,Mapping!$E$11:$I$96,5,0)</f>
        <v>SCS</v>
      </c>
      <c r="AC1252" s="111">
        <v>156</v>
      </c>
      <c r="AD1252" s="111" t="s">
        <v>2165</v>
      </c>
      <c r="AE1252" s="111">
        <v>613280</v>
      </c>
      <c r="AF1252" s="111" t="s">
        <v>1342</v>
      </c>
      <c r="AG1252" s="112">
        <v>201.57666</v>
      </c>
      <c r="AI1252" s="7" t="str">
        <f>VLOOKUP($AC1252,Mapping!$E$11:$I$96,3,0)</f>
        <v>Replacement</v>
      </c>
      <c r="AJ1252" s="7" t="str">
        <f>VLOOKUP($AE1252,Mapping!$E$140:$K$2771,5,0)</f>
        <v>Labour</v>
      </c>
      <c r="AK1252" s="7" t="str">
        <f>VLOOKUP($AE1252,Mapping!$E$140:$K$2771,7,0)</f>
        <v>ENDirect</v>
      </c>
      <c r="AL1252" s="7" t="str">
        <f>IFERROR(HLOOKUP(AJ1252,'Calc|Weightings'!$K$5:$M$5,1,0),"Excl")</f>
        <v>Labour</v>
      </c>
      <c r="AM1252" s="7" t="str">
        <f>VLOOKUP(AC1252,Mapping!$E$11:$I$96,5,0)</f>
        <v>SCS</v>
      </c>
      <c r="AO1252" s="134">
        <v>160</v>
      </c>
      <c r="AP1252" s="135" t="s">
        <v>2170</v>
      </c>
      <c r="AQ1252" s="135">
        <v>613410</v>
      </c>
      <c r="AR1252" s="135" t="s">
        <v>2100</v>
      </c>
      <c r="AS1252" s="136">
        <v>81.700190000000006</v>
      </c>
      <c r="AU1252" s="7" t="str">
        <f>VLOOKUP($AO1252,Mapping!$E$11:$I$96,3,0)</f>
        <v>Augmentation</v>
      </c>
      <c r="AV1252" s="7" t="str">
        <f>VLOOKUP($AQ1252,Mapping!$E$140:$K$2771,5,0)</f>
        <v>Labour</v>
      </c>
      <c r="AW1252" s="7" t="str">
        <f>VLOOKUP($AQ1252,Mapping!$E$140:$K$2771,7,0)</f>
        <v>ENDirect</v>
      </c>
      <c r="AX1252" s="7" t="str">
        <f>IFERROR(HLOOKUP(AV1252,'Calc|Weightings'!$K$5:$M$5,1,0),"Excl")</f>
        <v>Labour</v>
      </c>
      <c r="AY1252" s="7" t="str">
        <f>VLOOKUP(AO1252,Mapping!$E$11:$I$96,5,0)</f>
        <v>SCS</v>
      </c>
    </row>
    <row r="1253" spans="1:51" x14ac:dyDescent="0.2">
      <c r="A1253" s="7"/>
      <c r="B1253" s="7"/>
      <c r="C1253" s="7"/>
      <c r="D1253" s="7"/>
      <c r="E1253" s="36">
        <v>146</v>
      </c>
      <c r="F1253" s="36" t="s">
        <v>2156</v>
      </c>
      <c r="G1253" s="36">
        <v>612211</v>
      </c>
      <c r="H1253" s="36" t="s">
        <v>1185</v>
      </c>
      <c r="I1253" s="37">
        <v>3.653E-2</v>
      </c>
      <c r="J1253" s="7"/>
      <c r="K1253" s="7" t="str">
        <f>VLOOKUP($E1253,Mapping!$E$11:$I$96,3,0)</f>
        <v>Quoted Opex</v>
      </c>
      <c r="L1253" s="7" t="str">
        <f>VLOOKUP($G1253,Mapping!$E$140:$K$2771,5,0)</f>
        <v>Labour</v>
      </c>
      <c r="M1253" s="7" t="str">
        <f>VLOOKUP($G1253,Mapping!$E$140:$K$2771,7,0)</f>
        <v>ENDirect</v>
      </c>
      <c r="N1253" s="7" t="str">
        <f>IFERROR(HLOOKUP(L1253,'Calc|Weightings'!$K$5:$M$5,1,0),"Excl")</f>
        <v>Labour</v>
      </c>
      <c r="O1253" s="7" t="str">
        <f>VLOOKUP(E1253,Mapping!$E$11:$I$96,5,0)</f>
        <v>Ancillary Network Services</v>
      </c>
      <c r="Q1253" s="33">
        <v>156</v>
      </c>
      <c r="R1253" s="33" t="s">
        <v>2165</v>
      </c>
      <c r="S1253" s="33">
        <v>523100</v>
      </c>
      <c r="T1253" s="33" t="s">
        <v>2074</v>
      </c>
      <c r="U1253" s="34">
        <v>10.45083</v>
      </c>
      <c r="V1253" s="7"/>
      <c r="W1253" s="7" t="str">
        <f>VLOOKUP($Q1253,Mapping!$E$11:$I$96,3,0)</f>
        <v>Replacement</v>
      </c>
      <c r="X1253" s="7" t="str">
        <f>VLOOKUP($S1253,Mapping!$E$140:$K$2771,5,0)</f>
        <v>Materials</v>
      </c>
      <c r="Y1253" s="7" t="str">
        <f>VLOOKUP($S1253,Mapping!$E$140:$K$2771,7,0)</f>
        <v>ENDirect</v>
      </c>
      <c r="Z1253" s="7" t="str">
        <f>IFERROR(HLOOKUP(X1253,'Calc|Weightings'!$K$5:$M$5,1,0),"Excl")</f>
        <v>Materials</v>
      </c>
      <c r="AA1253" s="7" t="str">
        <f>VLOOKUP(Q1253,Mapping!$E$11:$I$96,5,0)</f>
        <v>SCS</v>
      </c>
      <c r="AC1253" s="111">
        <v>156</v>
      </c>
      <c r="AD1253" s="111" t="s">
        <v>2165</v>
      </c>
      <c r="AE1253" s="111">
        <v>613290</v>
      </c>
      <c r="AF1253" s="111" t="s">
        <v>2093</v>
      </c>
      <c r="AG1253" s="112">
        <v>189.45977999999999</v>
      </c>
      <c r="AI1253" s="7" t="str">
        <f>VLOOKUP($AC1253,Mapping!$E$11:$I$96,3,0)</f>
        <v>Replacement</v>
      </c>
      <c r="AJ1253" s="7" t="str">
        <f>VLOOKUP($AE1253,Mapping!$E$140:$K$2771,5,0)</f>
        <v>Labour</v>
      </c>
      <c r="AK1253" s="7" t="str">
        <f>VLOOKUP($AE1253,Mapping!$E$140:$K$2771,7,0)</f>
        <v>ENDirect</v>
      </c>
      <c r="AL1253" s="7" t="str">
        <f>IFERROR(HLOOKUP(AJ1253,'Calc|Weightings'!$K$5:$M$5,1,0),"Excl")</f>
        <v>Labour</v>
      </c>
      <c r="AM1253" s="7" t="str">
        <f>VLOOKUP(AC1253,Mapping!$E$11:$I$96,5,0)</f>
        <v>SCS</v>
      </c>
      <c r="AO1253" s="134">
        <v>160</v>
      </c>
      <c r="AP1253" s="135" t="s">
        <v>2170</v>
      </c>
      <c r="AQ1253" s="135">
        <v>613411</v>
      </c>
      <c r="AR1253" s="135" t="s">
        <v>2101</v>
      </c>
      <c r="AS1253" s="136">
        <v>23.105779999999999</v>
      </c>
      <c r="AU1253" s="7" t="str">
        <f>VLOOKUP($AO1253,Mapping!$E$11:$I$96,3,0)</f>
        <v>Augmentation</v>
      </c>
      <c r="AV1253" s="7" t="str">
        <f>VLOOKUP($AQ1253,Mapping!$E$140:$K$2771,5,0)</f>
        <v>Labour</v>
      </c>
      <c r="AW1253" s="7" t="str">
        <f>VLOOKUP($AQ1253,Mapping!$E$140:$K$2771,7,0)</f>
        <v>ENDirect</v>
      </c>
      <c r="AX1253" s="7" t="str">
        <f>IFERROR(HLOOKUP(AV1253,'Calc|Weightings'!$K$5:$M$5,1,0),"Excl")</f>
        <v>Labour</v>
      </c>
      <c r="AY1253" s="7" t="str">
        <f>VLOOKUP(AO1253,Mapping!$E$11:$I$96,5,0)</f>
        <v>SCS</v>
      </c>
    </row>
    <row r="1254" spans="1:51" x14ac:dyDescent="0.2">
      <c r="A1254" s="7"/>
      <c r="B1254" s="7"/>
      <c r="C1254" s="7"/>
      <c r="D1254" s="7"/>
      <c r="E1254" s="36">
        <v>146</v>
      </c>
      <c r="F1254" s="36" t="s">
        <v>2156</v>
      </c>
      <c r="G1254" s="36">
        <v>612460</v>
      </c>
      <c r="H1254" s="36" t="s">
        <v>1243</v>
      </c>
      <c r="I1254" s="37">
        <v>0.47197</v>
      </c>
      <c r="J1254" s="7"/>
      <c r="K1254" s="7" t="str">
        <f>VLOOKUP($E1254,Mapping!$E$11:$I$96,3,0)</f>
        <v>Quoted Opex</v>
      </c>
      <c r="L1254" s="7" t="str">
        <f>VLOOKUP($G1254,Mapping!$E$140:$K$2771,5,0)</f>
        <v>Labour</v>
      </c>
      <c r="M1254" s="7" t="str">
        <f>VLOOKUP($G1254,Mapping!$E$140:$K$2771,7,0)</f>
        <v>ENDirect</v>
      </c>
      <c r="N1254" s="7" t="str">
        <f>IFERROR(HLOOKUP(L1254,'Calc|Weightings'!$K$5:$M$5,1,0),"Excl")</f>
        <v>Labour</v>
      </c>
      <c r="O1254" s="7" t="str">
        <f>VLOOKUP(E1254,Mapping!$E$11:$I$96,5,0)</f>
        <v>Ancillary Network Services</v>
      </c>
      <c r="Q1254" s="33">
        <v>156</v>
      </c>
      <c r="R1254" s="33" t="s">
        <v>2165</v>
      </c>
      <c r="S1254" s="33">
        <v>531000</v>
      </c>
      <c r="T1254" s="33" t="s">
        <v>242</v>
      </c>
      <c r="U1254" s="34">
        <v>5.3791399999999996</v>
      </c>
      <c r="V1254" s="7"/>
      <c r="W1254" s="7" t="str">
        <f>VLOOKUP($Q1254,Mapping!$E$11:$I$96,3,0)</f>
        <v>Replacement</v>
      </c>
      <c r="X1254" s="7" t="str">
        <f>VLOOKUP($S1254,Mapping!$E$140:$K$2771,5,0)</f>
        <v>Contracts</v>
      </c>
      <c r="Y1254" s="7" t="str">
        <f>VLOOKUP($S1254,Mapping!$E$140:$K$2771,7,0)</f>
        <v>ENDirect</v>
      </c>
      <c r="Z1254" s="7" t="str">
        <f>IFERROR(HLOOKUP(X1254,'Calc|Weightings'!$K$5:$M$5,1,0),"Excl")</f>
        <v>Contracts</v>
      </c>
      <c r="AA1254" s="7" t="str">
        <f>VLOOKUP(Q1254,Mapping!$E$11:$I$96,5,0)</f>
        <v>SCS</v>
      </c>
      <c r="AC1254" s="111">
        <v>156</v>
      </c>
      <c r="AD1254" s="111" t="s">
        <v>2165</v>
      </c>
      <c r="AE1254" s="111">
        <v>613310</v>
      </c>
      <c r="AF1254" s="111" t="s">
        <v>2095</v>
      </c>
      <c r="AG1254" s="112">
        <v>522.01292000000001</v>
      </c>
      <c r="AI1254" s="7" t="str">
        <f>VLOOKUP($AC1254,Mapping!$E$11:$I$96,3,0)</f>
        <v>Replacement</v>
      </c>
      <c r="AJ1254" s="7" t="str">
        <f>VLOOKUP($AE1254,Mapping!$E$140:$K$2771,5,0)</f>
        <v>Labour</v>
      </c>
      <c r="AK1254" s="7" t="str">
        <f>VLOOKUP($AE1254,Mapping!$E$140:$K$2771,7,0)</f>
        <v>ENDirect</v>
      </c>
      <c r="AL1254" s="7" t="str">
        <f>IFERROR(HLOOKUP(AJ1254,'Calc|Weightings'!$K$5:$M$5,1,0),"Excl")</f>
        <v>Labour</v>
      </c>
      <c r="AM1254" s="7" t="str">
        <f>VLOOKUP(AC1254,Mapping!$E$11:$I$96,5,0)</f>
        <v>SCS</v>
      </c>
      <c r="AO1254" s="134">
        <v>160</v>
      </c>
      <c r="AP1254" s="135" t="s">
        <v>2170</v>
      </c>
      <c r="AQ1254" s="135">
        <v>613434</v>
      </c>
      <c r="AR1254" s="135" t="s">
        <v>2102</v>
      </c>
      <c r="AS1254" s="136">
        <v>1.41273</v>
      </c>
      <c r="AU1254" s="7" t="str">
        <f>VLOOKUP($AO1254,Mapping!$E$11:$I$96,3,0)</f>
        <v>Augmentation</v>
      </c>
      <c r="AV1254" s="7" t="str">
        <f>VLOOKUP($AQ1254,Mapping!$E$140:$K$2771,5,0)</f>
        <v>Labour</v>
      </c>
      <c r="AW1254" s="7" t="str">
        <f>VLOOKUP($AQ1254,Mapping!$E$140:$K$2771,7,0)</f>
        <v>ENDirect</v>
      </c>
      <c r="AX1254" s="7" t="str">
        <f>IFERROR(HLOOKUP(AV1254,'Calc|Weightings'!$K$5:$M$5,1,0),"Excl")</f>
        <v>Labour</v>
      </c>
      <c r="AY1254" s="7" t="str">
        <f>VLOOKUP(AO1254,Mapping!$E$11:$I$96,5,0)</f>
        <v>SCS</v>
      </c>
    </row>
    <row r="1255" spans="1:51" x14ac:dyDescent="0.2">
      <c r="A1255" s="7"/>
      <c r="B1255" s="7"/>
      <c r="C1255" s="7"/>
      <c r="D1255" s="7"/>
      <c r="E1255" s="36">
        <v>146</v>
      </c>
      <c r="F1255" s="36" t="s">
        <v>2156</v>
      </c>
      <c r="G1255" s="36">
        <v>613240</v>
      </c>
      <c r="H1255" s="36" t="s">
        <v>2082</v>
      </c>
      <c r="I1255" s="37">
        <v>0.79112000000000005</v>
      </c>
      <c r="J1255" s="7"/>
      <c r="K1255" s="7" t="str">
        <f>VLOOKUP($E1255,Mapping!$E$11:$I$96,3,0)</f>
        <v>Quoted Opex</v>
      </c>
      <c r="L1255" s="7" t="str">
        <f>VLOOKUP($G1255,Mapping!$E$140:$K$2771,5,0)</f>
        <v>Labour</v>
      </c>
      <c r="M1255" s="7" t="str">
        <f>VLOOKUP($G1255,Mapping!$E$140:$K$2771,7,0)</f>
        <v>ENDirect</v>
      </c>
      <c r="N1255" s="7" t="str">
        <f>IFERROR(HLOOKUP(L1255,'Calc|Weightings'!$K$5:$M$5,1,0),"Excl")</f>
        <v>Labour</v>
      </c>
      <c r="O1255" s="7" t="str">
        <f>VLOOKUP(E1255,Mapping!$E$11:$I$96,5,0)</f>
        <v>Ancillary Network Services</v>
      </c>
      <c r="Q1255" s="33">
        <v>156</v>
      </c>
      <c r="R1255" s="33" t="s">
        <v>2165</v>
      </c>
      <c r="S1255" s="33">
        <v>531020</v>
      </c>
      <c r="T1255" s="33" t="s">
        <v>219</v>
      </c>
      <c r="U1255" s="34">
        <v>4.6937600000000002</v>
      </c>
      <c r="V1255" s="7"/>
      <c r="W1255" s="7" t="str">
        <f>VLOOKUP($Q1255,Mapping!$E$11:$I$96,3,0)</f>
        <v>Replacement</v>
      </c>
      <c r="X1255" s="7" t="str">
        <f>VLOOKUP($S1255,Mapping!$E$140:$K$2771,5,0)</f>
        <v>Labour</v>
      </c>
      <c r="Y1255" s="7" t="str">
        <f>VLOOKUP($S1255,Mapping!$E$140:$K$2771,7,0)</f>
        <v>ENDirect</v>
      </c>
      <c r="Z1255" s="7" t="str">
        <f>IFERROR(HLOOKUP(X1255,'Calc|Weightings'!$K$5:$M$5,1,0),"Excl")</f>
        <v>Labour</v>
      </c>
      <c r="AA1255" s="7" t="str">
        <f>VLOOKUP(Q1255,Mapping!$E$11:$I$96,5,0)</f>
        <v>SCS</v>
      </c>
      <c r="AC1255" s="111">
        <v>156</v>
      </c>
      <c r="AD1255" s="111" t="s">
        <v>2165</v>
      </c>
      <c r="AE1255" s="111">
        <v>613311</v>
      </c>
      <c r="AF1255" s="111" t="s">
        <v>2116</v>
      </c>
      <c r="AG1255" s="112">
        <v>28.35116</v>
      </c>
      <c r="AI1255" s="7" t="str">
        <f>VLOOKUP($AC1255,Mapping!$E$11:$I$96,3,0)</f>
        <v>Replacement</v>
      </c>
      <c r="AJ1255" s="7" t="str">
        <f>VLOOKUP($AE1255,Mapping!$E$140:$K$2771,5,0)</f>
        <v>Labour</v>
      </c>
      <c r="AK1255" s="7" t="str">
        <f>VLOOKUP($AE1255,Mapping!$E$140:$K$2771,7,0)</f>
        <v>ENDirect</v>
      </c>
      <c r="AL1255" s="7" t="str">
        <f>IFERROR(HLOOKUP(AJ1255,'Calc|Weightings'!$K$5:$M$5,1,0),"Excl")</f>
        <v>Labour</v>
      </c>
      <c r="AM1255" s="7" t="str">
        <f>VLOOKUP(AC1255,Mapping!$E$11:$I$96,5,0)</f>
        <v>SCS</v>
      </c>
      <c r="AO1255" s="134">
        <v>160</v>
      </c>
      <c r="AP1255" s="135" t="s">
        <v>2170</v>
      </c>
      <c r="AQ1255" s="135">
        <v>613440</v>
      </c>
      <c r="AR1255" s="135" t="s">
        <v>2103</v>
      </c>
      <c r="AS1255" s="136">
        <v>4.3565500000000004</v>
      </c>
      <c r="AU1255" s="7" t="str">
        <f>VLOOKUP($AO1255,Mapping!$E$11:$I$96,3,0)</f>
        <v>Augmentation</v>
      </c>
      <c r="AV1255" s="7" t="str">
        <f>VLOOKUP($AQ1255,Mapping!$E$140:$K$2771,5,0)</f>
        <v>Labour</v>
      </c>
      <c r="AW1255" s="7" t="str">
        <f>VLOOKUP($AQ1255,Mapping!$E$140:$K$2771,7,0)</f>
        <v>ENDirect</v>
      </c>
      <c r="AX1255" s="7" t="str">
        <f>IFERROR(HLOOKUP(AV1255,'Calc|Weightings'!$K$5:$M$5,1,0),"Excl")</f>
        <v>Labour</v>
      </c>
      <c r="AY1255" s="7" t="str">
        <f>VLOOKUP(AO1255,Mapping!$E$11:$I$96,5,0)</f>
        <v>SCS</v>
      </c>
    </row>
    <row r="1256" spans="1:51" x14ac:dyDescent="0.2">
      <c r="A1256" s="7"/>
      <c r="B1256" s="7"/>
      <c r="C1256" s="7"/>
      <c r="D1256" s="7"/>
      <c r="E1256" s="36">
        <v>146</v>
      </c>
      <c r="F1256" s="36" t="s">
        <v>2156</v>
      </c>
      <c r="G1256" s="36">
        <v>613241</v>
      </c>
      <c r="H1256" s="36" t="s">
        <v>2083</v>
      </c>
      <c r="I1256" s="37">
        <v>0.54769999999999996</v>
      </c>
      <c r="J1256" s="7"/>
      <c r="K1256" s="7" t="str">
        <f>VLOOKUP($E1256,Mapping!$E$11:$I$96,3,0)</f>
        <v>Quoted Opex</v>
      </c>
      <c r="L1256" s="7" t="str">
        <f>VLOOKUP($G1256,Mapping!$E$140:$K$2771,5,0)</f>
        <v>Labour</v>
      </c>
      <c r="M1256" s="7" t="str">
        <f>VLOOKUP($G1256,Mapping!$E$140:$K$2771,7,0)</f>
        <v>ENDirect</v>
      </c>
      <c r="N1256" s="7" t="str">
        <f>IFERROR(HLOOKUP(L1256,'Calc|Weightings'!$K$5:$M$5,1,0),"Excl")</f>
        <v>Labour</v>
      </c>
      <c r="O1256" s="7" t="str">
        <f>VLOOKUP(E1256,Mapping!$E$11:$I$96,5,0)</f>
        <v>Ancillary Network Services</v>
      </c>
      <c r="Q1256" s="33">
        <v>156</v>
      </c>
      <c r="R1256" s="33" t="s">
        <v>2165</v>
      </c>
      <c r="S1256" s="33">
        <v>531200</v>
      </c>
      <c r="T1256" s="33" t="s">
        <v>250</v>
      </c>
      <c r="U1256" s="34">
        <v>2.34</v>
      </c>
      <c r="V1256" s="7"/>
      <c r="W1256" s="7" t="str">
        <f>VLOOKUP($Q1256,Mapping!$E$11:$I$96,3,0)</f>
        <v>Replacement</v>
      </c>
      <c r="X1256" s="7" t="str">
        <f>VLOOKUP($S1256,Mapping!$E$140:$K$2771,5,0)</f>
        <v>Contracts</v>
      </c>
      <c r="Y1256" s="7" t="str">
        <f>VLOOKUP($S1256,Mapping!$E$140:$K$2771,7,0)</f>
        <v>ENDirect</v>
      </c>
      <c r="Z1256" s="7" t="str">
        <f>IFERROR(HLOOKUP(X1256,'Calc|Weightings'!$K$5:$M$5,1,0),"Excl")</f>
        <v>Contracts</v>
      </c>
      <c r="AA1256" s="7" t="str">
        <f>VLOOKUP(Q1256,Mapping!$E$11:$I$96,5,0)</f>
        <v>SCS</v>
      </c>
      <c r="AC1256" s="111">
        <v>156</v>
      </c>
      <c r="AD1256" s="111" t="s">
        <v>2165</v>
      </c>
      <c r="AE1256" s="111">
        <v>613350</v>
      </c>
      <c r="AF1256" s="111" t="s">
        <v>2096</v>
      </c>
      <c r="AG1256" s="112">
        <v>2.0616300000000001</v>
      </c>
      <c r="AI1256" s="7" t="str">
        <f>VLOOKUP($AC1256,Mapping!$E$11:$I$96,3,0)</f>
        <v>Replacement</v>
      </c>
      <c r="AJ1256" s="7" t="str">
        <f>VLOOKUP($AE1256,Mapping!$E$140:$K$2771,5,0)</f>
        <v>Labour</v>
      </c>
      <c r="AK1256" s="7" t="str">
        <f>VLOOKUP($AE1256,Mapping!$E$140:$K$2771,7,0)</f>
        <v>ENDirect</v>
      </c>
      <c r="AL1256" s="7" t="str">
        <f>IFERROR(HLOOKUP(AJ1256,'Calc|Weightings'!$K$5:$M$5,1,0),"Excl")</f>
        <v>Labour</v>
      </c>
      <c r="AM1256" s="7" t="str">
        <f>VLOOKUP(AC1256,Mapping!$E$11:$I$96,5,0)</f>
        <v>SCS</v>
      </c>
      <c r="AO1256" s="134">
        <v>160</v>
      </c>
      <c r="AP1256" s="135" t="s">
        <v>2170</v>
      </c>
      <c r="AQ1256" s="135">
        <v>613441</v>
      </c>
      <c r="AR1256" s="135" t="s">
        <v>2104</v>
      </c>
      <c r="AS1256" s="136">
        <v>0.50539000000000001</v>
      </c>
      <c r="AU1256" s="7" t="str">
        <f>VLOOKUP($AO1256,Mapping!$E$11:$I$96,3,0)</f>
        <v>Augmentation</v>
      </c>
      <c r="AV1256" s="7" t="str">
        <f>VLOOKUP($AQ1256,Mapping!$E$140:$K$2771,5,0)</f>
        <v>Labour</v>
      </c>
      <c r="AW1256" s="7" t="str">
        <f>VLOOKUP($AQ1256,Mapping!$E$140:$K$2771,7,0)</f>
        <v>ENDirect</v>
      </c>
      <c r="AX1256" s="7" t="str">
        <f>IFERROR(HLOOKUP(AV1256,'Calc|Weightings'!$K$5:$M$5,1,0),"Excl")</f>
        <v>Labour</v>
      </c>
      <c r="AY1256" s="7" t="str">
        <f>VLOOKUP(AO1256,Mapping!$E$11:$I$96,5,0)</f>
        <v>SCS</v>
      </c>
    </row>
    <row r="1257" spans="1:51" x14ac:dyDescent="0.2">
      <c r="A1257" s="7"/>
      <c r="B1257" s="7"/>
      <c r="C1257" s="7"/>
      <c r="D1257" s="7"/>
      <c r="E1257" s="36">
        <v>146</v>
      </c>
      <c r="F1257" s="36" t="s">
        <v>2156</v>
      </c>
      <c r="G1257" s="36">
        <v>613248</v>
      </c>
      <c r="H1257" s="36" t="s">
        <v>2383</v>
      </c>
      <c r="I1257" s="37">
        <v>18.74334</v>
      </c>
      <c r="J1257" s="7"/>
      <c r="K1257" s="7" t="str">
        <f>VLOOKUP($E1257,Mapping!$E$11:$I$96,3,0)</f>
        <v>Quoted Opex</v>
      </c>
      <c r="L1257" s="7" t="str">
        <f>VLOOKUP($G1257,Mapping!$E$140:$K$2771,5,0)</f>
        <v>Labour</v>
      </c>
      <c r="M1257" s="7" t="str">
        <f>VLOOKUP($G1257,Mapping!$E$140:$K$2771,7,0)</f>
        <v>ENDirect</v>
      </c>
      <c r="N1257" s="7" t="str">
        <f>IFERROR(HLOOKUP(L1257,'Calc|Weightings'!$K$5:$M$5,1,0),"Excl")</f>
        <v>Labour</v>
      </c>
      <c r="O1257" s="7" t="str">
        <f>VLOOKUP(E1257,Mapping!$E$11:$I$96,5,0)</f>
        <v>Ancillary Network Services</v>
      </c>
      <c r="Q1257" s="33">
        <v>156</v>
      </c>
      <c r="R1257" s="33" t="s">
        <v>2165</v>
      </c>
      <c r="S1257" s="33">
        <v>531210</v>
      </c>
      <c r="T1257" s="33" t="s">
        <v>252</v>
      </c>
      <c r="U1257" s="34">
        <v>3.2563200000000001</v>
      </c>
      <c r="V1257" s="7"/>
      <c r="W1257" s="7" t="str">
        <f>VLOOKUP($Q1257,Mapping!$E$11:$I$96,3,0)</f>
        <v>Replacement</v>
      </c>
      <c r="X1257" s="7" t="str">
        <f>VLOOKUP($S1257,Mapping!$E$140:$K$2771,5,0)</f>
        <v>Labour</v>
      </c>
      <c r="Y1257" s="7" t="str">
        <f>VLOOKUP($S1257,Mapping!$E$140:$K$2771,7,0)</f>
        <v>ENDirect</v>
      </c>
      <c r="Z1257" s="7" t="str">
        <f>IFERROR(HLOOKUP(X1257,'Calc|Weightings'!$K$5:$M$5,1,0),"Excl")</f>
        <v>Labour</v>
      </c>
      <c r="AA1257" s="7" t="str">
        <f>VLOOKUP(Q1257,Mapping!$E$11:$I$96,5,0)</f>
        <v>SCS</v>
      </c>
      <c r="AC1257" s="111">
        <v>156</v>
      </c>
      <c r="AD1257" s="111" t="s">
        <v>2165</v>
      </c>
      <c r="AE1257" s="111">
        <v>613360</v>
      </c>
      <c r="AF1257" s="111" t="s">
        <v>2097</v>
      </c>
      <c r="AG1257" s="112">
        <v>17.59468</v>
      </c>
      <c r="AI1257" s="7" t="str">
        <f>VLOOKUP($AC1257,Mapping!$E$11:$I$96,3,0)</f>
        <v>Replacement</v>
      </c>
      <c r="AJ1257" s="7" t="str">
        <f>VLOOKUP($AE1257,Mapping!$E$140:$K$2771,5,0)</f>
        <v>Labour</v>
      </c>
      <c r="AK1257" s="7" t="str">
        <f>VLOOKUP($AE1257,Mapping!$E$140:$K$2771,7,0)</f>
        <v>ENDirect</v>
      </c>
      <c r="AL1257" s="7" t="str">
        <f>IFERROR(HLOOKUP(AJ1257,'Calc|Weightings'!$K$5:$M$5,1,0),"Excl")</f>
        <v>Labour</v>
      </c>
      <c r="AM1257" s="7" t="str">
        <f>VLOOKUP(AC1257,Mapping!$E$11:$I$96,5,0)</f>
        <v>SCS</v>
      </c>
      <c r="AO1257" s="134">
        <v>160</v>
      </c>
      <c r="AP1257" s="135" t="s">
        <v>2170</v>
      </c>
      <c r="AQ1257" s="135">
        <v>613450</v>
      </c>
      <c r="AR1257" s="135" t="s">
        <v>2175</v>
      </c>
      <c r="AS1257" s="136">
        <v>1.41303</v>
      </c>
      <c r="AU1257" s="7" t="str">
        <f>VLOOKUP($AO1257,Mapping!$E$11:$I$96,3,0)</f>
        <v>Augmentation</v>
      </c>
      <c r="AV1257" s="7" t="str">
        <f>VLOOKUP($AQ1257,Mapping!$E$140:$K$2771,5,0)</f>
        <v>Labour</v>
      </c>
      <c r="AW1257" s="7" t="str">
        <f>VLOOKUP($AQ1257,Mapping!$E$140:$K$2771,7,0)</f>
        <v>ENDirect</v>
      </c>
      <c r="AX1257" s="7" t="str">
        <f>IFERROR(HLOOKUP(AV1257,'Calc|Weightings'!$K$5:$M$5,1,0),"Excl")</f>
        <v>Labour</v>
      </c>
      <c r="AY1257" s="7" t="str">
        <f>VLOOKUP(AO1257,Mapping!$E$11:$I$96,5,0)</f>
        <v>SCS</v>
      </c>
    </row>
    <row r="1258" spans="1:51" x14ac:dyDescent="0.2">
      <c r="A1258" s="7"/>
      <c r="B1258" s="7"/>
      <c r="C1258" s="7"/>
      <c r="D1258" s="7"/>
      <c r="E1258" s="36">
        <v>146</v>
      </c>
      <c r="F1258" s="36" t="s">
        <v>2156</v>
      </c>
      <c r="G1258" s="36">
        <v>613249</v>
      </c>
      <c r="H1258" s="36" t="s">
        <v>2384</v>
      </c>
      <c r="I1258" s="37">
        <v>10.38189</v>
      </c>
      <c r="J1258" s="7"/>
      <c r="K1258" s="7" t="str">
        <f>VLOOKUP($E1258,Mapping!$E$11:$I$96,3,0)</f>
        <v>Quoted Opex</v>
      </c>
      <c r="L1258" s="7" t="str">
        <f>VLOOKUP($G1258,Mapping!$E$140:$K$2771,5,0)</f>
        <v>Labour</v>
      </c>
      <c r="M1258" s="7" t="str">
        <f>VLOOKUP($G1258,Mapping!$E$140:$K$2771,7,0)</f>
        <v>ENDirect</v>
      </c>
      <c r="N1258" s="7" t="str">
        <f>IFERROR(HLOOKUP(L1258,'Calc|Weightings'!$K$5:$M$5,1,0),"Excl")</f>
        <v>Labour</v>
      </c>
      <c r="O1258" s="7" t="str">
        <f>VLOOKUP(E1258,Mapping!$E$11:$I$96,5,0)</f>
        <v>Ancillary Network Services</v>
      </c>
      <c r="Q1258" s="33">
        <v>156</v>
      </c>
      <c r="R1258" s="33" t="s">
        <v>2165</v>
      </c>
      <c r="S1258" s="33">
        <v>531464</v>
      </c>
      <c r="T1258" s="33" t="s">
        <v>256</v>
      </c>
      <c r="U1258" s="34">
        <v>31.27</v>
      </c>
      <c r="V1258" s="7"/>
      <c r="W1258" s="7" t="str">
        <f>VLOOKUP($Q1258,Mapping!$E$11:$I$96,3,0)</f>
        <v>Replacement</v>
      </c>
      <c r="X1258" s="7" t="str">
        <f>VLOOKUP($S1258,Mapping!$E$140:$K$2771,5,0)</f>
        <v>Contracts</v>
      </c>
      <c r="Y1258" s="7" t="str">
        <f>VLOOKUP($S1258,Mapping!$E$140:$K$2771,7,0)</f>
        <v>ENDirect</v>
      </c>
      <c r="Z1258" s="7" t="str">
        <f>IFERROR(HLOOKUP(X1258,'Calc|Weightings'!$K$5:$M$5,1,0),"Excl")</f>
        <v>Contracts</v>
      </c>
      <c r="AA1258" s="7" t="str">
        <f>VLOOKUP(Q1258,Mapping!$E$11:$I$96,5,0)</f>
        <v>SCS</v>
      </c>
      <c r="AC1258" s="111">
        <v>156</v>
      </c>
      <c r="AD1258" s="111" t="s">
        <v>2165</v>
      </c>
      <c r="AE1258" s="111">
        <v>613370</v>
      </c>
      <c r="AF1258" s="111" t="s">
        <v>1402</v>
      </c>
      <c r="AG1258" s="112">
        <v>2.0543</v>
      </c>
      <c r="AI1258" s="7" t="str">
        <f>VLOOKUP($AC1258,Mapping!$E$11:$I$96,3,0)</f>
        <v>Replacement</v>
      </c>
      <c r="AJ1258" s="7" t="str">
        <f>VLOOKUP($AE1258,Mapping!$E$140:$K$2771,5,0)</f>
        <v>Labour</v>
      </c>
      <c r="AK1258" s="7" t="str">
        <f>VLOOKUP($AE1258,Mapping!$E$140:$K$2771,7,0)</f>
        <v>ENDirect</v>
      </c>
      <c r="AL1258" s="7" t="str">
        <f>IFERROR(HLOOKUP(AJ1258,'Calc|Weightings'!$K$5:$M$5,1,0),"Excl")</f>
        <v>Labour</v>
      </c>
      <c r="AM1258" s="7" t="str">
        <f>VLOOKUP(AC1258,Mapping!$E$11:$I$96,5,0)</f>
        <v>SCS</v>
      </c>
      <c r="AO1258" s="134">
        <v>160</v>
      </c>
      <c r="AP1258" s="135" t="s">
        <v>2170</v>
      </c>
      <c r="AQ1258" s="135">
        <v>613566</v>
      </c>
      <c r="AR1258" s="135" t="s">
        <v>1482</v>
      </c>
      <c r="AS1258" s="136">
        <v>32.931959999999997</v>
      </c>
      <c r="AU1258" s="7" t="str">
        <f>VLOOKUP($AO1258,Mapping!$E$11:$I$96,3,0)</f>
        <v>Augmentation</v>
      </c>
      <c r="AV1258" s="7" t="str">
        <f>VLOOKUP($AQ1258,Mapping!$E$140:$K$2771,5,0)</f>
        <v>Labour</v>
      </c>
      <c r="AW1258" s="7" t="str">
        <f>VLOOKUP($AQ1258,Mapping!$E$140:$K$2771,7,0)</f>
        <v>ENDirect</v>
      </c>
      <c r="AX1258" s="7" t="str">
        <f>IFERROR(HLOOKUP(AV1258,'Calc|Weightings'!$K$5:$M$5,1,0),"Excl")</f>
        <v>Labour</v>
      </c>
      <c r="AY1258" s="7" t="str">
        <f>VLOOKUP(AO1258,Mapping!$E$11:$I$96,5,0)</f>
        <v>SCS</v>
      </c>
    </row>
    <row r="1259" spans="1:51" x14ac:dyDescent="0.2">
      <c r="A1259" s="7"/>
      <c r="B1259" s="7"/>
      <c r="C1259" s="7"/>
      <c r="D1259" s="7"/>
      <c r="E1259" s="36">
        <v>146</v>
      </c>
      <c r="F1259" s="36" t="s">
        <v>2156</v>
      </c>
      <c r="G1259" s="36">
        <v>613250</v>
      </c>
      <c r="H1259" s="36" t="s">
        <v>2086</v>
      </c>
      <c r="I1259" s="37">
        <v>2.3965200000000002</v>
      </c>
      <c r="J1259" s="7"/>
      <c r="K1259" s="7" t="str">
        <f>VLOOKUP($E1259,Mapping!$E$11:$I$96,3,0)</f>
        <v>Quoted Opex</v>
      </c>
      <c r="L1259" s="7" t="str">
        <f>VLOOKUP($G1259,Mapping!$E$140:$K$2771,5,0)</f>
        <v>Labour</v>
      </c>
      <c r="M1259" s="7" t="str">
        <f>VLOOKUP($G1259,Mapping!$E$140:$K$2771,7,0)</f>
        <v>ENDirect</v>
      </c>
      <c r="N1259" s="7" t="str">
        <f>IFERROR(HLOOKUP(L1259,'Calc|Weightings'!$K$5:$M$5,1,0),"Excl")</f>
        <v>Labour</v>
      </c>
      <c r="O1259" s="7" t="str">
        <f>VLOOKUP(E1259,Mapping!$E$11:$I$96,5,0)</f>
        <v>Ancillary Network Services</v>
      </c>
      <c r="Q1259" s="33">
        <v>156</v>
      </c>
      <c r="R1259" s="33" t="s">
        <v>2165</v>
      </c>
      <c r="S1259" s="33">
        <v>531467</v>
      </c>
      <c r="T1259" s="33" t="s">
        <v>259</v>
      </c>
      <c r="U1259" s="34">
        <v>0.91942999999999997</v>
      </c>
      <c r="V1259" s="7"/>
      <c r="W1259" s="7" t="str">
        <f>VLOOKUP($Q1259,Mapping!$E$11:$I$96,3,0)</f>
        <v>Replacement</v>
      </c>
      <c r="X1259" s="7" t="str">
        <f>VLOOKUP($S1259,Mapping!$E$140:$K$2771,5,0)</f>
        <v>Contracts</v>
      </c>
      <c r="Y1259" s="7" t="str">
        <f>VLOOKUP($S1259,Mapping!$E$140:$K$2771,7,0)</f>
        <v>ENDirect</v>
      </c>
      <c r="Z1259" s="7" t="str">
        <f>IFERROR(HLOOKUP(X1259,'Calc|Weightings'!$K$5:$M$5,1,0),"Excl")</f>
        <v>Contracts</v>
      </c>
      <c r="AA1259" s="7" t="str">
        <f>VLOOKUP(Q1259,Mapping!$E$11:$I$96,5,0)</f>
        <v>SCS</v>
      </c>
      <c r="AC1259" s="111">
        <v>156</v>
      </c>
      <c r="AD1259" s="111" t="s">
        <v>2165</v>
      </c>
      <c r="AE1259" s="111">
        <v>613420</v>
      </c>
      <c r="AF1259" s="111" t="s">
        <v>2393</v>
      </c>
      <c r="AG1259" s="112">
        <v>5.6243800000000004</v>
      </c>
      <c r="AI1259" s="7" t="str">
        <f>VLOOKUP($AC1259,Mapping!$E$11:$I$96,3,0)</f>
        <v>Replacement</v>
      </c>
      <c r="AJ1259" s="7" t="str">
        <f>VLOOKUP($AE1259,Mapping!$E$140:$K$2771,5,0)</f>
        <v>Labour</v>
      </c>
      <c r="AK1259" s="7" t="str">
        <f>VLOOKUP($AE1259,Mapping!$E$140:$K$2771,7,0)</f>
        <v>ENDirect</v>
      </c>
      <c r="AL1259" s="7" t="str">
        <f>IFERROR(HLOOKUP(AJ1259,'Calc|Weightings'!$K$5:$M$5,1,0),"Excl")</f>
        <v>Labour</v>
      </c>
      <c r="AM1259" s="7" t="str">
        <f>VLOOKUP(AC1259,Mapping!$E$11:$I$96,5,0)</f>
        <v>SCS</v>
      </c>
      <c r="AO1259" s="134">
        <v>160</v>
      </c>
      <c r="AP1259" s="135" t="s">
        <v>2170</v>
      </c>
      <c r="AQ1259" s="135">
        <v>613567</v>
      </c>
      <c r="AR1259" s="135" t="s">
        <v>1483</v>
      </c>
      <c r="AS1259" s="136">
        <v>3.0649500000000001</v>
      </c>
      <c r="AU1259" s="7" t="str">
        <f>VLOOKUP($AO1259,Mapping!$E$11:$I$96,3,0)</f>
        <v>Augmentation</v>
      </c>
      <c r="AV1259" s="7" t="str">
        <f>VLOOKUP($AQ1259,Mapping!$E$140:$K$2771,5,0)</f>
        <v>Labour</v>
      </c>
      <c r="AW1259" s="7" t="str">
        <f>VLOOKUP($AQ1259,Mapping!$E$140:$K$2771,7,0)</f>
        <v>ENDirect</v>
      </c>
      <c r="AX1259" s="7" t="str">
        <f>IFERROR(HLOOKUP(AV1259,'Calc|Weightings'!$K$5:$M$5,1,0),"Excl")</f>
        <v>Labour</v>
      </c>
      <c r="AY1259" s="7" t="str">
        <f>VLOOKUP(AO1259,Mapping!$E$11:$I$96,5,0)</f>
        <v>SCS</v>
      </c>
    </row>
    <row r="1260" spans="1:51" x14ac:dyDescent="0.2">
      <c r="A1260" s="7"/>
      <c r="B1260" s="7"/>
      <c r="C1260" s="7"/>
      <c r="D1260" s="7"/>
      <c r="E1260" s="36">
        <v>146</v>
      </c>
      <c r="F1260" s="36" t="s">
        <v>2156</v>
      </c>
      <c r="G1260" s="36">
        <v>613251</v>
      </c>
      <c r="H1260" s="36" t="s">
        <v>2087</v>
      </c>
      <c r="I1260" s="37">
        <v>5.0992600000000001</v>
      </c>
      <c r="J1260" s="7"/>
      <c r="K1260" s="7" t="str">
        <f>VLOOKUP($E1260,Mapping!$E$11:$I$96,3,0)</f>
        <v>Quoted Opex</v>
      </c>
      <c r="L1260" s="7" t="str">
        <f>VLOOKUP($G1260,Mapping!$E$140:$K$2771,5,0)</f>
        <v>Labour</v>
      </c>
      <c r="M1260" s="7" t="str">
        <f>VLOOKUP($G1260,Mapping!$E$140:$K$2771,7,0)</f>
        <v>ENDirect</v>
      </c>
      <c r="N1260" s="7" t="str">
        <f>IFERROR(HLOOKUP(L1260,'Calc|Weightings'!$K$5:$M$5,1,0),"Excl")</f>
        <v>Labour</v>
      </c>
      <c r="O1260" s="7" t="str">
        <f>VLOOKUP(E1260,Mapping!$E$11:$I$96,5,0)</f>
        <v>Ancillary Network Services</v>
      </c>
      <c r="Q1260" s="33">
        <v>156</v>
      </c>
      <c r="R1260" s="33" t="s">
        <v>2165</v>
      </c>
      <c r="S1260" s="33">
        <v>531469</v>
      </c>
      <c r="T1260" s="33" t="s">
        <v>261</v>
      </c>
      <c r="U1260" s="34">
        <v>24.689170000000001</v>
      </c>
      <c r="V1260" s="7"/>
      <c r="W1260" s="7" t="str">
        <f>VLOOKUP($Q1260,Mapping!$E$11:$I$96,3,0)</f>
        <v>Replacement</v>
      </c>
      <c r="X1260" s="7" t="str">
        <f>VLOOKUP($S1260,Mapping!$E$140:$K$2771,5,0)</f>
        <v>Labour</v>
      </c>
      <c r="Y1260" s="7" t="str">
        <f>VLOOKUP($S1260,Mapping!$E$140:$K$2771,7,0)</f>
        <v>ENDirect</v>
      </c>
      <c r="Z1260" s="7" t="str">
        <f>IFERROR(HLOOKUP(X1260,'Calc|Weightings'!$K$5:$M$5,1,0),"Excl")</f>
        <v>Labour</v>
      </c>
      <c r="AA1260" s="7" t="str">
        <f>VLOOKUP(Q1260,Mapping!$E$11:$I$96,5,0)</f>
        <v>SCS</v>
      </c>
      <c r="AC1260" s="111">
        <v>156</v>
      </c>
      <c r="AD1260" s="111" t="s">
        <v>2165</v>
      </c>
      <c r="AE1260" s="111">
        <v>613440</v>
      </c>
      <c r="AF1260" s="111" t="s">
        <v>2103</v>
      </c>
      <c r="AG1260" s="112">
        <v>13.400510000000001</v>
      </c>
      <c r="AI1260" s="7" t="str">
        <f>VLOOKUP($AC1260,Mapping!$E$11:$I$96,3,0)</f>
        <v>Replacement</v>
      </c>
      <c r="AJ1260" s="7" t="str">
        <f>VLOOKUP($AE1260,Mapping!$E$140:$K$2771,5,0)</f>
        <v>Labour</v>
      </c>
      <c r="AK1260" s="7" t="str">
        <f>VLOOKUP($AE1260,Mapping!$E$140:$K$2771,7,0)</f>
        <v>ENDirect</v>
      </c>
      <c r="AL1260" s="7" t="str">
        <f>IFERROR(HLOOKUP(AJ1260,'Calc|Weightings'!$K$5:$M$5,1,0),"Excl")</f>
        <v>Labour</v>
      </c>
      <c r="AM1260" s="7" t="str">
        <f>VLOOKUP(AC1260,Mapping!$E$11:$I$96,5,0)</f>
        <v>SCS</v>
      </c>
      <c r="AO1260" s="134">
        <v>160</v>
      </c>
      <c r="AP1260" s="135" t="s">
        <v>2170</v>
      </c>
      <c r="AQ1260" s="135">
        <v>613574</v>
      </c>
      <c r="AR1260" s="135" t="s">
        <v>1488</v>
      </c>
      <c r="AS1260" s="136">
        <v>3.9964599999999999</v>
      </c>
      <c r="AU1260" s="7" t="str">
        <f>VLOOKUP($AO1260,Mapping!$E$11:$I$96,3,0)</f>
        <v>Augmentation</v>
      </c>
      <c r="AV1260" s="7" t="str">
        <f>VLOOKUP($AQ1260,Mapping!$E$140:$K$2771,5,0)</f>
        <v>Labour</v>
      </c>
      <c r="AW1260" s="7" t="str">
        <f>VLOOKUP($AQ1260,Mapping!$E$140:$K$2771,7,0)</f>
        <v>ENDirect</v>
      </c>
      <c r="AX1260" s="7" t="str">
        <f>IFERROR(HLOOKUP(AV1260,'Calc|Weightings'!$K$5:$M$5,1,0),"Excl")</f>
        <v>Labour</v>
      </c>
      <c r="AY1260" s="7" t="str">
        <f>VLOOKUP(AO1260,Mapping!$E$11:$I$96,5,0)</f>
        <v>SCS</v>
      </c>
    </row>
    <row r="1261" spans="1:51" x14ac:dyDescent="0.2">
      <c r="A1261" s="7"/>
      <c r="B1261" s="7"/>
      <c r="C1261" s="7"/>
      <c r="D1261" s="7"/>
      <c r="E1261" s="36">
        <v>146</v>
      </c>
      <c r="F1261" s="36" t="s">
        <v>2156</v>
      </c>
      <c r="G1261" s="36">
        <v>613258</v>
      </c>
      <c r="H1261" s="36" t="s">
        <v>2356</v>
      </c>
      <c r="I1261" s="37">
        <v>8.2813099999999995</v>
      </c>
      <c r="J1261" s="7"/>
      <c r="K1261" s="7" t="str">
        <f>VLOOKUP($E1261,Mapping!$E$11:$I$96,3,0)</f>
        <v>Quoted Opex</v>
      </c>
      <c r="L1261" s="7" t="str">
        <f>VLOOKUP($G1261,Mapping!$E$140:$K$2771,5,0)</f>
        <v>Labour</v>
      </c>
      <c r="M1261" s="7" t="str">
        <f>VLOOKUP($G1261,Mapping!$E$140:$K$2771,7,0)</f>
        <v>ENDirect</v>
      </c>
      <c r="N1261" s="7" t="str">
        <f>IFERROR(HLOOKUP(L1261,'Calc|Weightings'!$K$5:$M$5,1,0),"Excl")</f>
        <v>Labour</v>
      </c>
      <c r="O1261" s="7" t="str">
        <f>VLOOKUP(E1261,Mapping!$E$11:$I$96,5,0)</f>
        <v>Ancillary Network Services</v>
      </c>
      <c r="Q1261" s="33">
        <v>156</v>
      </c>
      <c r="R1261" s="33" t="s">
        <v>2165</v>
      </c>
      <c r="S1261" s="33">
        <v>532200</v>
      </c>
      <c r="T1261" s="33" t="s">
        <v>291</v>
      </c>
      <c r="U1261" s="34">
        <v>3.5844399999999998</v>
      </c>
      <c r="V1261" s="7"/>
      <c r="W1261" s="7" t="str">
        <f>VLOOKUP($Q1261,Mapping!$E$11:$I$96,3,0)</f>
        <v>Replacement</v>
      </c>
      <c r="X1261" s="7" t="str">
        <f>VLOOKUP($S1261,Mapping!$E$140:$K$2771,5,0)</f>
        <v>Contracts</v>
      </c>
      <c r="Y1261" s="7" t="str">
        <f>VLOOKUP($S1261,Mapping!$E$140:$K$2771,7,0)</f>
        <v>ENDirect</v>
      </c>
      <c r="Z1261" s="7" t="str">
        <f>IFERROR(HLOOKUP(X1261,'Calc|Weightings'!$K$5:$M$5,1,0),"Excl")</f>
        <v>Contracts</v>
      </c>
      <c r="AA1261" s="7" t="str">
        <f>VLOOKUP(Q1261,Mapping!$E$11:$I$96,5,0)</f>
        <v>SCS</v>
      </c>
      <c r="AC1261" s="111">
        <v>156</v>
      </c>
      <c r="AD1261" s="111" t="s">
        <v>2165</v>
      </c>
      <c r="AE1261" s="111">
        <v>613460</v>
      </c>
      <c r="AF1261" s="111" t="s">
        <v>2167</v>
      </c>
      <c r="AG1261" s="112">
        <v>106.87392</v>
      </c>
      <c r="AI1261" s="7" t="str">
        <f>VLOOKUP($AC1261,Mapping!$E$11:$I$96,3,0)</f>
        <v>Replacement</v>
      </c>
      <c r="AJ1261" s="7" t="str">
        <f>VLOOKUP($AE1261,Mapping!$E$140:$K$2771,5,0)</f>
        <v>Labour</v>
      </c>
      <c r="AK1261" s="7" t="str">
        <f>VLOOKUP($AE1261,Mapping!$E$140:$K$2771,7,0)</f>
        <v>ENDirect</v>
      </c>
      <c r="AL1261" s="7" t="str">
        <f>IFERROR(HLOOKUP(AJ1261,'Calc|Weightings'!$K$5:$M$5,1,0),"Excl")</f>
        <v>Labour</v>
      </c>
      <c r="AM1261" s="7" t="str">
        <f>VLOOKUP(AC1261,Mapping!$E$11:$I$96,5,0)</f>
        <v>SCS</v>
      </c>
      <c r="AO1261" s="134">
        <v>160</v>
      </c>
      <c r="AP1261" s="135" t="s">
        <v>2170</v>
      </c>
      <c r="AQ1261" s="135">
        <v>613575</v>
      </c>
      <c r="AR1261" s="135" t="s">
        <v>1489</v>
      </c>
      <c r="AS1261" s="136">
        <v>2.5618599999999998</v>
      </c>
      <c r="AU1261" s="7" t="str">
        <f>VLOOKUP($AO1261,Mapping!$E$11:$I$96,3,0)</f>
        <v>Augmentation</v>
      </c>
      <c r="AV1261" s="7" t="str">
        <f>VLOOKUP($AQ1261,Mapping!$E$140:$K$2771,5,0)</f>
        <v>Labour</v>
      </c>
      <c r="AW1261" s="7" t="str">
        <f>VLOOKUP($AQ1261,Mapping!$E$140:$K$2771,7,0)</f>
        <v>ENDirect</v>
      </c>
      <c r="AX1261" s="7" t="str">
        <f>IFERROR(HLOOKUP(AV1261,'Calc|Weightings'!$K$5:$M$5,1,0),"Excl")</f>
        <v>Labour</v>
      </c>
      <c r="AY1261" s="7" t="str">
        <f>VLOOKUP(AO1261,Mapping!$E$11:$I$96,5,0)</f>
        <v>SCS</v>
      </c>
    </row>
    <row r="1262" spans="1:51" x14ac:dyDescent="0.2">
      <c r="A1262" s="7"/>
      <c r="B1262" s="7"/>
      <c r="C1262" s="7"/>
      <c r="D1262" s="7"/>
      <c r="E1262" s="36">
        <v>146</v>
      </c>
      <c r="F1262" s="36" t="s">
        <v>2156</v>
      </c>
      <c r="G1262" s="36">
        <v>613259</v>
      </c>
      <c r="H1262" s="36" t="s">
        <v>2359</v>
      </c>
      <c r="I1262" s="37">
        <v>4.7397799999999997</v>
      </c>
      <c r="J1262" s="7"/>
      <c r="K1262" s="7" t="str">
        <f>VLOOKUP($E1262,Mapping!$E$11:$I$96,3,0)</f>
        <v>Quoted Opex</v>
      </c>
      <c r="L1262" s="7" t="str">
        <f>VLOOKUP($G1262,Mapping!$E$140:$K$2771,5,0)</f>
        <v>Labour</v>
      </c>
      <c r="M1262" s="7" t="str">
        <f>VLOOKUP($G1262,Mapping!$E$140:$K$2771,7,0)</f>
        <v>ENDirect</v>
      </c>
      <c r="N1262" s="7" t="str">
        <f>IFERROR(HLOOKUP(L1262,'Calc|Weightings'!$K$5:$M$5,1,0),"Excl")</f>
        <v>Labour</v>
      </c>
      <c r="O1262" s="7" t="str">
        <f>VLOOKUP(E1262,Mapping!$E$11:$I$96,5,0)</f>
        <v>Ancillary Network Services</v>
      </c>
      <c r="Q1262" s="33">
        <v>156</v>
      </c>
      <c r="R1262" s="33" t="s">
        <v>2165</v>
      </c>
      <c r="S1262" s="33">
        <v>532220</v>
      </c>
      <c r="T1262" s="33" t="s">
        <v>292</v>
      </c>
      <c r="U1262" s="34">
        <v>1.31978</v>
      </c>
      <c r="V1262" s="7"/>
      <c r="W1262" s="7" t="str">
        <f>VLOOKUP($Q1262,Mapping!$E$11:$I$96,3,0)</f>
        <v>Replacement</v>
      </c>
      <c r="X1262" s="7" t="str">
        <f>VLOOKUP($S1262,Mapping!$E$140:$K$2771,5,0)</f>
        <v>Contracts</v>
      </c>
      <c r="Y1262" s="7" t="str">
        <f>VLOOKUP($S1262,Mapping!$E$140:$K$2771,7,0)</f>
        <v>ENDirect</v>
      </c>
      <c r="Z1262" s="7" t="str">
        <f>IFERROR(HLOOKUP(X1262,'Calc|Weightings'!$K$5:$M$5,1,0),"Excl")</f>
        <v>Contracts</v>
      </c>
      <c r="AA1262" s="7" t="str">
        <f>VLOOKUP(Q1262,Mapping!$E$11:$I$96,5,0)</f>
        <v>SCS</v>
      </c>
      <c r="AC1262" s="111">
        <v>156</v>
      </c>
      <c r="AD1262" s="111" t="s">
        <v>2165</v>
      </c>
      <c r="AE1262" s="111">
        <v>613461</v>
      </c>
      <c r="AF1262" s="111" t="s">
        <v>2168</v>
      </c>
      <c r="AG1262" s="112">
        <v>3.8328000000000002</v>
      </c>
      <c r="AI1262" s="7" t="str">
        <f>VLOOKUP($AC1262,Mapping!$E$11:$I$96,3,0)</f>
        <v>Replacement</v>
      </c>
      <c r="AJ1262" s="7" t="str">
        <f>VLOOKUP($AE1262,Mapping!$E$140:$K$2771,5,0)</f>
        <v>Labour</v>
      </c>
      <c r="AK1262" s="7" t="str">
        <f>VLOOKUP($AE1262,Mapping!$E$140:$K$2771,7,0)</f>
        <v>ENDirect</v>
      </c>
      <c r="AL1262" s="7" t="str">
        <f>IFERROR(HLOOKUP(AJ1262,'Calc|Weightings'!$K$5:$M$5,1,0),"Excl")</f>
        <v>Labour</v>
      </c>
      <c r="AM1262" s="7" t="str">
        <f>VLOOKUP(AC1262,Mapping!$E$11:$I$96,5,0)</f>
        <v>SCS</v>
      </c>
      <c r="AO1262" s="134">
        <v>160</v>
      </c>
      <c r="AP1262" s="135" t="s">
        <v>2170</v>
      </c>
      <c r="AQ1262" s="135">
        <v>613576</v>
      </c>
      <c r="AR1262" s="135" t="s">
        <v>1490</v>
      </c>
      <c r="AS1262" s="136">
        <v>0.27864</v>
      </c>
      <c r="AU1262" s="7" t="str">
        <f>VLOOKUP($AO1262,Mapping!$E$11:$I$96,3,0)</f>
        <v>Augmentation</v>
      </c>
      <c r="AV1262" s="7" t="str">
        <f>VLOOKUP($AQ1262,Mapping!$E$140:$K$2771,5,0)</f>
        <v>Labour</v>
      </c>
      <c r="AW1262" s="7" t="str">
        <f>VLOOKUP($AQ1262,Mapping!$E$140:$K$2771,7,0)</f>
        <v>ENDirect</v>
      </c>
      <c r="AX1262" s="7" t="str">
        <f>IFERROR(HLOOKUP(AV1262,'Calc|Weightings'!$K$5:$M$5,1,0),"Excl")</f>
        <v>Labour</v>
      </c>
      <c r="AY1262" s="7" t="str">
        <f>VLOOKUP(AO1262,Mapping!$E$11:$I$96,5,0)</f>
        <v>SCS</v>
      </c>
    </row>
    <row r="1263" spans="1:51" x14ac:dyDescent="0.2">
      <c r="A1263" s="7"/>
      <c r="B1263" s="7"/>
      <c r="C1263" s="7"/>
      <c r="D1263" s="7"/>
      <c r="E1263" s="36">
        <v>146</v>
      </c>
      <c r="F1263" s="36" t="s">
        <v>2156</v>
      </c>
      <c r="G1263" s="36">
        <v>613268</v>
      </c>
      <c r="H1263" s="36" t="s">
        <v>1335</v>
      </c>
      <c r="I1263" s="37">
        <v>0.98855000000000004</v>
      </c>
      <c r="J1263" s="7"/>
      <c r="K1263" s="7" t="str">
        <f>VLOOKUP($E1263,Mapping!$E$11:$I$96,3,0)</f>
        <v>Quoted Opex</v>
      </c>
      <c r="L1263" s="7" t="str">
        <f>VLOOKUP($G1263,Mapping!$E$140:$K$2771,5,0)</f>
        <v>Labour</v>
      </c>
      <c r="M1263" s="7" t="str">
        <f>VLOOKUP($G1263,Mapping!$E$140:$K$2771,7,0)</f>
        <v>ENDirect</v>
      </c>
      <c r="N1263" s="7" t="str">
        <f>IFERROR(HLOOKUP(L1263,'Calc|Weightings'!$K$5:$M$5,1,0),"Excl")</f>
        <v>Labour</v>
      </c>
      <c r="O1263" s="7" t="str">
        <f>VLOOKUP(E1263,Mapping!$E$11:$I$96,5,0)</f>
        <v>Ancillary Network Services</v>
      </c>
      <c r="Q1263" s="33">
        <v>156</v>
      </c>
      <c r="R1263" s="33" t="s">
        <v>2165</v>
      </c>
      <c r="S1263" s="33">
        <v>532420</v>
      </c>
      <c r="T1263" s="33" t="s">
        <v>307</v>
      </c>
      <c r="U1263" s="34">
        <v>0.22505</v>
      </c>
      <c r="V1263" s="7"/>
      <c r="W1263" s="7" t="str">
        <f>VLOOKUP($Q1263,Mapping!$E$11:$I$96,3,0)</f>
        <v>Replacement</v>
      </c>
      <c r="X1263" s="7" t="str">
        <f>VLOOKUP($S1263,Mapping!$E$140:$K$2771,5,0)</f>
        <v>Contracts</v>
      </c>
      <c r="Y1263" s="7" t="str">
        <f>VLOOKUP($S1263,Mapping!$E$140:$K$2771,7,0)</f>
        <v>ENDirect</v>
      </c>
      <c r="Z1263" s="7" t="str">
        <f>IFERROR(HLOOKUP(X1263,'Calc|Weightings'!$K$5:$M$5,1,0),"Excl")</f>
        <v>Contracts</v>
      </c>
      <c r="AA1263" s="7" t="str">
        <f>VLOOKUP(Q1263,Mapping!$E$11:$I$96,5,0)</f>
        <v>SCS</v>
      </c>
      <c r="AC1263" s="111">
        <v>156</v>
      </c>
      <c r="AD1263" s="111" t="s">
        <v>2165</v>
      </c>
      <c r="AE1263" s="111">
        <v>613566</v>
      </c>
      <c r="AF1263" s="111" t="s">
        <v>1482</v>
      </c>
      <c r="AG1263" s="112">
        <v>58.064050000000002</v>
      </c>
      <c r="AI1263" s="7" t="str">
        <f>VLOOKUP($AC1263,Mapping!$E$11:$I$96,3,0)</f>
        <v>Replacement</v>
      </c>
      <c r="AJ1263" s="7" t="str">
        <f>VLOOKUP($AE1263,Mapping!$E$140:$K$2771,5,0)</f>
        <v>Labour</v>
      </c>
      <c r="AK1263" s="7" t="str">
        <f>VLOOKUP($AE1263,Mapping!$E$140:$K$2771,7,0)</f>
        <v>ENDirect</v>
      </c>
      <c r="AL1263" s="7" t="str">
        <f>IFERROR(HLOOKUP(AJ1263,'Calc|Weightings'!$K$5:$M$5,1,0),"Excl")</f>
        <v>Labour</v>
      </c>
      <c r="AM1263" s="7" t="str">
        <f>VLOOKUP(AC1263,Mapping!$E$11:$I$96,5,0)</f>
        <v>SCS</v>
      </c>
      <c r="AO1263" s="134">
        <v>160</v>
      </c>
      <c r="AP1263" s="135" t="s">
        <v>2170</v>
      </c>
      <c r="AQ1263" s="135">
        <v>613603</v>
      </c>
      <c r="AR1263" s="135" t="s">
        <v>1495</v>
      </c>
      <c r="AS1263" s="136">
        <v>1.4984599999999999</v>
      </c>
      <c r="AU1263" s="7" t="str">
        <f>VLOOKUP($AO1263,Mapping!$E$11:$I$96,3,0)</f>
        <v>Augmentation</v>
      </c>
      <c r="AV1263" s="7" t="str">
        <f>VLOOKUP($AQ1263,Mapping!$E$140:$K$2771,5,0)</f>
        <v>Labour</v>
      </c>
      <c r="AW1263" s="7" t="str">
        <f>VLOOKUP($AQ1263,Mapping!$E$140:$K$2771,7,0)</f>
        <v>ENDirect</v>
      </c>
      <c r="AX1263" s="7" t="str">
        <f>IFERROR(HLOOKUP(AV1263,'Calc|Weightings'!$K$5:$M$5,1,0),"Excl")</f>
        <v>Labour</v>
      </c>
      <c r="AY1263" s="7" t="str">
        <f>VLOOKUP(AO1263,Mapping!$E$11:$I$96,5,0)</f>
        <v>SCS</v>
      </c>
    </row>
    <row r="1264" spans="1:51" x14ac:dyDescent="0.2">
      <c r="A1264" s="7"/>
      <c r="B1264" s="7"/>
      <c r="C1264" s="7"/>
      <c r="D1264" s="7"/>
      <c r="E1264" s="36">
        <v>146</v>
      </c>
      <c r="F1264" s="36" t="s">
        <v>2156</v>
      </c>
      <c r="G1264" s="36">
        <v>613269</v>
      </c>
      <c r="H1264" s="36" t="s">
        <v>1336</v>
      </c>
      <c r="I1264" s="37">
        <v>1.163</v>
      </c>
      <c r="J1264" s="7"/>
      <c r="K1264" s="7" t="str">
        <f>VLOOKUP($E1264,Mapping!$E$11:$I$96,3,0)</f>
        <v>Quoted Opex</v>
      </c>
      <c r="L1264" s="7" t="str">
        <f>VLOOKUP($G1264,Mapping!$E$140:$K$2771,5,0)</f>
        <v>Labour</v>
      </c>
      <c r="M1264" s="7" t="str">
        <f>VLOOKUP($G1264,Mapping!$E$140:$K$2771,7,0)</f>
        <v>ENDirect</v>
      </c>
      <c r="N1264" s="7" t="str">
        <f>IFERROR(HLOOKUP(L1264,'Calc|Weightings'!$K$5:$M$5,1,0),"Excl")</f>
        <v>Labour</v>
      </c>
      <c r="O1264" s="7" t="str">
        <f>VLOOKUP(E1264,Mapping!$E$11:$I$96,5,0)</f>
        <v>Ancillary Network Services</v>
      </c>
      <c r="Q1264" s="33">
        <v>156</v>
      </c>
      <c r="R1264" s="33" t="s">
        <v>2165</v>
      </c>
      <c r="S1264" s="33">
        <v>533000</v>
      </c>
      <c r="T1264" s="33" t="s">
        <v>312</v>
      </c>
      <c r="U1264" s="34">
        <v>6.8928599999999998</v>
      </c>
      <c r="V1264" s="7"/>
      <c r="W1264" s="7" t="str">
        <f>VLOOKUP($Q1264,Mapping!$E$11:$I$96,3,0)</f>
        <v>Replacement</v>
      </c>
      <c r="X1264" s="7" t="str">
        <f>VLOOKUP($S1264,Mapping!$E$140:$K$2771,5,0)</f>
        <v>Contracts</v>
      </c>
      <c r="Y1264" s="7" t="str">
        <f>VLOOKUP($S1264,Mapping!$E$140:$K$2771,7,0)</f>
        <v>ENDirect</v>
      </c>
      <c r="Z1264" s="7" t="str">
        <f>IFERROR(HLOOKUP(X1264,'Calc|Weightings'!$K$5:$M$5,1,0),"Excl")</f>
        <v>Contracts</v>
      </c>
      <c r="AA1264" s="7" t="str">
        <f>VLOOKUP(Q1264,Mapping!$E$11:$I$96,5,0)</f>
        <v>SCS</v>
      </c>
      <c r="AC1264" s="111">
        <v>156</v>
      </c>
      <c r="AD1264" s="111" t="s">
        <v>2165</v>
      </c>
      <c r="AE1264" s="111">
        <v>613576</v>
      </c>
      <c r="AF1264" s="111" t="s">
        <v>1490</v>
      </c>
      <c r="AG1264" s="112">
        <v>56.681840000000001</v>
      </c>
      <c r="AI1264" s="7" t="str">
        <f>VLOOKUP($AC1264,Mapping!$E$11:$I$96,3,0)</f>
        <v>Replacement</v>
      </c>
      <c r="AJ1264" s="7" t="str">
        <f>VLOOKUP($AE1264,Mapping!$E$140:$K$2771,5,0)</f>
        <v>Labour</v>
      </c>
      <c r="AK1264" s="7" t="str">
        <f>VLOOKUP($AE1264,Mapping!$E$140:$K$2771,7,0)</f>
        <v>ENDirect</v>
      </c>
      <c r="AL1264" s="7" t="str">
        <f>IFERROR(HLOOKUP(AJ1264,'Calc|Weightings'!$K$5:$M$5,1,0),"Excl")</f>
        <v>Labour</v>
      </c>
      <c r="AM1264" s="7" t="str">
        <f>VLOOKUP(AC1264,Mapping!$E$11:$I$96,5,0)</f>
        <v>SCS</v>
      </c>
      <c r="AO1264" s="134">
        <v>160</v>
      </c>
      <c r="AP1264" s="135" t="s">
        <v>2170</v>
      </c>
      <c r="AQ1264" s="135">
        <v>613630</v>
      </c>
      <c r="AR1264" s="135" t="s">
        <v>1498</v>
      </c>
      <c r="AS1264" s="136">
        <v>2.1999499999999999</v>
      </c>
      <c r="AU1264" s="7" t="str">
        <f>VLOOKUP($AO1264,Mapping!$E$11:$I$96,3,0)</f>
        <v>Augmentation</v>
      </c>
      <c r="AV1264" s="7" t="str">
        <f>VLOOKUP($AQ1264,Mapping!$E$140:$K$2771,5,0)</f>
        <v>Labour</v>
      </c>
      <c r="AW1264" s="7" t="str">
        <f>VLOOKUP($AQ1264,Mapping!$E$140:$K$2771,7,0)</f>
        <v>ENDirect</v>
      </c>
      <c r="AX1264" s="7" t="str">
        <f>IFERROR(HLOOKUP(AV1264,'Calc|Weightings'!$K$5:$M$5,1,0),"Excl")</f>
        <v>Labour</v>
      </c>
      <c r="AY1264" s="7" t="str">
        <f>VLOOKUP(AO1264,Mapping!$E$11:$I$96,5,0)</f>
        <v>SCS</v>
      </c>
    </row>
    <row r="1265" spans="1:51" x14ac:dyDescent="0.2">
      <c r="A1265" s="7"/>
      <c r="B1265" s="7"/>
      <c r="C1265" s="7"/>
      <c r="D1265" s="7"/>
      <c r="E1265" s="36">
        <v>146</v>
      </c>
      <c r="F1265" s="36" t="s">
        <v>2156</v>
      </c>
      <c r="G1265" s="36">
        <v>613278</v>
      </c>
      <c r="H1265" s="36" t="s">
        <v>2357</v>
      </c>
      <c r="I1265" s="37">
        <v>3.2197800000000001</v>
      </c>
      <c r="J1265" s="7"/>
      <c r="K1265" s="7" t="str">
        <f>VLOOKUP($E1265,Mapping!$E$11:$I$96,3,0)</f>
        <v>Quoted Opex</v>
      </c>
      <c r="L1265" s="7" t="str">
        <f>VLOOKUP($G1265,Mapping!$E$140:$K$2771,5,0)</f>
        <v>Labour</v>
      </c>
      <c r="M1265" s="7" t="str">
        <f>VLOOKUP($G1265,Mapping!$E$140:$K$2771,7,0)</f>
        <v>ENDirect</v>
      </c>
      <c r="N1265" s="7" t="str">
        <f>IFERROR(HLOOKUP(L1265,'Calc|Weightings'!$K$5:$M$5,1,0),"Excl")</f>
        <v>Labour</v>
      </c>
      <c r="O1265" s="7" t="str">
        <f>VLOOKUP(E1265,Mapping!$E$11:$I$96,5,0)</f>
        <v>Ancillary Network Services</v>
      </c>
      <c r="Q1265" s="33">
        <v>156</v>
      </c>
      <c r="R1265" s="33" t="s">
        <v>2165</v>
      </c>
      <c r="S1265" s="33">
        <v>591997</v>
      </c>
      <c r="T1265" s="33" t="s">
        <v>399</v>
      </c>
      <c r="U1265" s="34">
        <v>-19.250699999999998</v>
      </c>
      <c r="V1265" s="7"/>
      <c r="W1265" s="7" t="str">
        <f>VLOOKUP($Q1265,Mapping!$E$11:$I$96,3,0)</f>
        <v>Replacement</v>
      </c>
      <c r="X1265" s="7" t="str">
        <f>VLOOKUP($S1265,Mapping!$E$140:$K$2771,5,0)</f>
        <v>Contracts</v>
      </c>
      <c r="Y1265" s="7" t="str">
        <f>VLOOKUP($S1265,Mapping!$E$140:$K$2771,7,0)</f>
        <v>ENDirect</v>
      </c>
      <c r="Z1265" s="7" t="str">
        <f>IFERROR(HLOOKUP(X1265,'Calc|Weightings'!$K$5:$M$5,1,0),"Excl")</f>
        <v>Contracts</v>
      </c>
      <c r="AA1265" s="7" t="str">
        <f>VLOOKUP(Q1265,Mapping!$E$11:$I$96,5,0)</f>
        <v>SCS</v>
      </c>
      <c r="AC1265" s="111">
        <v>156</v>
      </c>
      <c r="AD1265" s="111" t="s">
        <v>2165</v>
      </c>
      <c r="AE1265" s="111">
        <v>613577</v>
      </c>
      <c r="AF1265" s="111" t="s">
        <v>1491</v>
      </c>
      <c r="AG1265" s="112">
        <v>4.8708499999999999</v>
      </c>
      <c r="AI1265" s="7" t="str">
        <f>VLOOKUP($AC1265,Mapping!$E$11:$I$96,3,0)</f>
        <v>Replacement</v>
      </c>
      <c r="AJ1265" s="7" t="str">
        <f>VLOOKUP($AE1265,Mapping!$E$140:$K$2771,5,0)</f>
        <v>Labour</v>
      </c>
      <c r="AK1265" s="7" t="str">
        <f>VLOOKUP($AE1265,Mapping!$E$140:$K$2771,7,0)</f>
        <v>ENDirect</v>
      </c>
      <c r="AL1265" s="7" t="str">
        <f>IFERROR(HLOOKUP(AJ1265,'Calc|Weightings'!$K$5:$M$5,1,0),"Excl")</f>
        <v>Labour</v>
      </c>
      <c r="AM1265" s="7" t="str">
        <f>VLOOKUP(AC1265,Mapping!$E$11:$I$96,5,0)</f>
        <v>SCS</v>
      </c>
      <c r="AO1265" s="134">
        <v>160</v>
      </c>
      <c r="AP1265" s="135" t="s">
        <v>2170</v>
      </c>
      <c r="AQ1265" s="135">
        <v>613680</v>
      </c>
      <c r="AR1265" s="135" t="s">
        <v>2107</v>
      </c>
      <c r="AS1265" s="136">
        <v>49.936549999999997</v>
      </c>
      <c r="AU1265" s="7" t="str">
        <f>VLOOKUP($AO1265,Mapping!$E$11:$I$96,3,0)</f>
        <v>Augmentation</v>
      </c>
      <c r="AV1265" s="7" t="str">
        <f>VLOOKUP($AQ1265,Mapping!$E$140:$K$2771,5,0)</f>
        <v>Labour</v>
      </c>
      <c r="AW1265" s="7" t="str">
        <f>VLOOKUP($AQ1265,Mapping!$E$140:$K$2771,7,0)</f>
        <v>ENDirect</v>
      </c>
      <c r="AX1265" s="7" t="str">
        <f>IFERROR(HLOOKUP(AV1265,'Calc|Weightings'!$K$5:$M$5,1,0),"Excl")</f>
        <v>Labour</v>
      </c>
      <c r="AY1265" s="7" t="str">
        <f>VLOOKUP(AO1265,Mapping!$E$11:$I$96,5,0)</f>
        <v>SCS</v>
      </c>
    </row>
    <row r="1266" spans="1:51" x14ac:dyDescent="0.2">
      <c r="A1266" s="7"/>
      <c r="B1266" s="7"/>
      <c r="C1266" s="7"/>
      <c r="D1266" s="7"/>
      <c r="E1266" s="36">
        <v>146</v>
      </c>
      <c r="F1266" s="36" t="s">
        <v>2156</v>
      </c>
      <c r="G1266" s="36">
        <v>613279</v>
      </c>
      <c r="H1266" s="36" t="s">
        <v>2360</v>
      </c>
      <c r="I1266" s="37">
        <v>3.2197900000000002</v>
      </c>
      <c r="J1266" s="7"/>
      <c r="K1266" s="7" t="str">
        <f>VLOOKUP($E1266,Mapping!$E$11:$I$96,3,0)</f>
        <v>Quoted Opex</v>
      </c>
      <c r="L1266" s="7" t="str">
        <f>VLOOKUP($G1266,Mapping!$E$140:$K$2771,5,0)</f>
        <v>Labour</v>
      </c>
      <c r="M1266" s="7" t="str">
        <f>VLOOKUP($G1266,Mapping!$E$140:$K$2771,7,0)</f>
        <v>ENDirect</v>
      </c>
      <c r="N1266" s="7" t="str">
        <f>IFERROR(HLOOKUP(L1266,'Calc|Weightings'!$K$5:$M$5,1,0),"Excl")</f>
        <v>Labour</v>
      </c>
      <c r="O1266" s="7" t="str">
        <f>VLOOKUP(E1266,Mapping!$E$11:$I$96,5,0)</f>
        <v>Ancillary Network Services</v>
      </c>
      <c r="Q1266" s="33">
        <v>156</v>
      </c>
      <c r="R1266" s="33" t="s">
        <v>2165</v>
      </c>
      <c r="S1266" s="33">
        <v>591999</v>
      </c>
      <c r="T1266" s="33" t="s">
        <v>2078</v>
      </c>
      <c r="U1266" s="34">
        <v>-99.63176</v>
      </c>
      <c r="V1266" s="7"/>
      <c r="W1266" s="7" t="str">
        <f>VLOOKUP($Q1266,Mapping!$E$11:$I$96,3,0)</f>
        <v>Replacement</v>
      </c>
      <c r="X1266" s="7" t="str">
        <f>VLOOKUP($S1266,Mapping!$E$140:$K$2771,5,0)</f>
        <v>Contracts</v>
      </c>
      <c r="Y1266" s="7" t="str">
        <f>VLOOKUP($S1266,Mapping!$E$140:$K$2771,7,0)</f>
        <v>ENDirect</v>
      </c>
      <c r="Z1266" s="7" t="str">
        <f>IFERROR(HLOOKUP(X1266,'Calc|Weightings'!$K$5:$M$5,1,0),"Excl")</f>
        <v>Contracts</v>
      </c>
      <c r="AA1266" s="7" t="str">
        <f>VLOOKUP(Q1266,Mapping!$E$11:$I$96,5,0)</f>
        <v>SCS</v>
      </c>
      <c r="AC1266" s="111">
        <v>156</v>
      </c>
      <c r="AD1266" s="111" t="s">
        <v>2165</v>
      </c>
      <c r="AE1266" s="111">
        <v>613602</v>
      </c>
      <c r="AF1266" s="111" t="s">
        <v>1494</v>
      </c>
      <c r="AG1266" s="112">
        <v>0.27616000000000002</v>
      </c>
      <c r="AI1266" s="7" t="str">
        <f>VLOOKUP($AC1266,Mapping!$E$11:$I$96,3,0)</f>
        <v>Replacement</v>
      </c>
      <c r="AJ1266" s="7" t="str">
        <f>VLOOKUP($AE1266,Mapping!$E$140:$K$2771,5,0)</f>
        <v>Labour</v>
      </c>
      <c r="AK1266" s="7" t="str">
        <f>VLOOKUP($AE1266,Mapping!$E$140:$K$2771,7,0)</f>
        <v>ENDirect</v>
      </c>
      <c r="AL1266" s="7" t="str">
        <f>IFERROR(HLOOKUP(AJ1266,'Calc|Weightings'!$K$5:$M$5,1,0),"Excl")</f>
        <v>Labour</v>
      </c>
      <c r="AM1266" s="7" t="str">
        <f>VLOOKUP(AC1266,Mapping!$E$11:$I$96,5,0)</f>
        <v>SCS</v>
      </c>
      <c r="AO1266" s="134">
        <v>160</v>
      </c>
      <c r="AP1266" s="135" t="s">
        <v>2170</v>
      </c>
      <c r="AQ1266" s="135">
        <v>634001</v>
      </c>
      <c r="AR1266" s="135" t="s">
        <v>2110</v>
      </c>
      <c r="AS1266" s="136">
        <v>128.27715000000001</v>
      </c>
      <c r="AU1266" s="7" t="str">
        <f>VLOOKUP($AO1266,Mapping!$E$11:$I$96,3,0)</f>
        <v>Augmentation</v>
      </c>
      <c r="AV1266" s="7" t="str">
        <f>VLOOKUP($AQ1266,Mapping!$E$140:$K$2771,5,0)</f>
        <v>Local OH</v>
      </c>
      <c r="AW1266" s="7" t="str">
        <f>VLOOKUP($AQ1266,Mapping!$E$140:$K$2771,7,0)</f>
        <v>OH</v>
      </c>
      <c r="AX1266" s="7" t="str">
        <f>IFERROR(HLOOKUP(AV1266,'Calc|Weightings'!$K$5:$M$5,1,0),"Excl")</f>
        <v>Excl</v>
      </c>
      <c r="AY1266" s="7" t="str">
        <f>VLOOKUP(AO1266,Mapping!$E$11:$I$96,5,0)</f>
        <v>SCS</v>
      </c>
    </row>
    <row r="1267" spans="1:51" x14ac:dyDescent="0.2">
      <c r="A1267" s="7"/>
      <c r="B1267" s="7"/>
      <c r="C1267" s="7"/>
      <c r="D1267" s="7"/>
      <c r="E1267" s="36">
        <v>146</v>
      </c>
      <c r="F1267" s="36" t="s">
        <v>2156</v>
      </c>
      <c r="G1267" s="36">
        <v>613280</v>
      </c>
      <c r="H1267" s="36" t="s">
        <v>1342</v>
      </c>
      <c r="I1267" s="37">
        <v>5.6599999999999998E-2</v>
      </c>
      <c r="J1267" s="7"/>
      <c r="K1267" s="7" t="str">
        <f>VLOOKUP($E1267,Mapping!$E$11:$I$96,3,0)</f>
        <v>Quoted Opex</v>
      </c>
      <c r="L1267" s="7" t="str">
        <f>VLOOKUP($G1267,Mapping!$E$140:$K$2771,5,0)</f>
        <v>Labour</v>
      </c>
      <c r="M1267" s="7" t="str">
        <f>VLOOKUP($G1267,Mapping!$E$140:$K$2771,7,0)</f>
        <v>ENDirect</v>
      </c>
      <c r="N1267" s="7" t="str">
        <f>IFERROR(HLOOKUP(L1267,'Calc|Weightings'!$K$5:$M$5,1,0),"Excl")</f>
        <v>Labour</v>
      </c>
      <c r="O1267" s="7" t="str">
        <f>VLOOKUP(E1267,Mapping!$E$11:$I$96,5,0)</f>
        <v>Ancillary Network Services</v>
      </c>
      <c r="Q1267" s="33">
        <v>156</v>
      </c>
      <c r="R1267" s="33" t="s">
        <v>2165</v>
      </c>
      <c r="S1267" s="33">
        <v>611900</v>
      </c>
      <c r="T1267" s="33" t="s">
        <v>2079</v>
      </c>
      <c r="U1267" s="34">
        <v>3.6326100000000001</v>
      </c>
      <c r="V1267" s="7"/>
      <c r="W1267" s="7" t="str">
        <f>VLOOKUP($Q1267,Mapping!$E$11:$I$96,3,0)</f>
        <v>Replacement</v>
      </c>
      <c r="X1267" s="7" t="str">
        <f>VLOOKUP($S1267,Mapping!$E$140:$K$2771,5,0)</f>
        <v>Contracts</v>
      </c>
      <c r="Y1267" s="7" t="str">
        <f>VLOOKUP($S1267,Mapping!$E$140:$K$2771,7,0)</f>
        <v>ENDirect</v>
      </c>
      <c r="Z1267" s="7" t="str">
        <f>IFERROR(HLOOKUP(X1267,'Calc|Weightings'!$K$5:$M$5,1,0),"Excl")</f>
        <v>Contracts</v>
      </c>
      <c r="AA1267" s="7" t="str">
        <f>VLOOKUP(Q1267,Mapping!$E$11:$I$96,5,0)</f>
        <v>SCS</v>
      </c>
      <c r="AC1267" s="111">
        <v>156</v>
      </c>
      <c r="AD1267" s="111" t="s">
        <v>2165</v>
      </c>
      <c r="AE1267" s="111">
        <v>613680</v>
      </c>
      <c r="AF1267" s="111" t="s">
        <v>2107</v>
      </c>
      <c r="AG1267" s="112">
        <v>78.669139999999999</v>
      </c>
      <c r="AI1267" s="7" t="str">
        <f>VLOOKUP($AC1267,Mapping!$E$11:$I$96,3,0)</f>
        <v>Replacement</v>
      </c>
      <c r="AJ1267" s="7" t="str">
        <f>VLOOKUP($AE1267,Mapping!$E$140:$K$2771,5,0)</f>
        <v>Labour</v>
      </c>
      <c r="AK1267" s="7" t="str">
        <f>VLOOKUP($AE1267,Mapping!$E$140:$K$2771,7,0)</f>
        <v>ENDirect</v>
      </c>
      <c r="AL1267" s="7" t="str">
        <f>IFERROR(HLOOKUP(AJ1267,'Calc|Weightings'!$K$5:$M$5,1,0),"Excl")</f>
        <v>Labour</v>
      </c>
      <c r="AM1267" s="7" t="str">
        <f>VLOOKUP(AC1267,Mapping!$E$11:$I$96,5,0)</f>
        <v>SCS</v>
      </c>
      <c r="AO1267" s="134">
        <v>160</v>
      </c>
      <c r="AP1267" s="135" t="s">
        <v>2170</v>
      </c>
      <c r="AQ1267" s="135">
        <v>635001</v>
      </c>
      <c r="AR1267" s="135" t="s">
        <v>1929</v>
      </c>
      <c r="AS1267" s="136">
        <v>84.23048</v>
      </c>
      <c r="AU1267" s="7" t="str">
        <f>VLOOKUP($AO1267,Mapping!$E$11:$I$96,3,0)</f>
        <v>Augmentation</v>
      </c>
      <c r="AV1267" s="7" t="str">
        <f>VLOOKUP($AQ1267,Mapping!$E$140:$K$2771,5,0)</f>
        <v>PNS MG</v>
      </c>
      <c r="AW1267" s="7" t="str">
        <f>VLOOKUP($AQ1267,Mapping!$E$140:$K$2771,7,0)</f>
        <v>ENDirect</v>
      </c>
      <c r="AX1267" s="7" t="str">
        <f>IFERROR(HLOOKUP(AV1267,'Calc|Weightings'!$K$5:$M$5,1,0),"Excl")</f>
        <v>Excl</v>
      </c>
      <c r="AY1267" s="7" t="str">
        <f>VLOOKUP(AO1267,Mapping!$E$11:$I$96,5,0)</f>
        <v>SCS</v>
      </c>
    </row>
    <row r="1268" spans="1:51" x14ac:dyDescent="0.2">
      <c r="A1268" s="7"/>
      <c r="B1268" s="7"/>
      <c r="C1268" s="7"/>
      <c r="D1268" s="7"/>
      <c r="E1268" s="36">
        <v>146</v>
      </c>
      <c r="F1268" s="36" t="s">
        <v>2156</v>
      </c>
      <c r="G1268" s="36">
        <v>613299</v>
      </c>
      <c r="H1268" s="36" t="s">
        <v>2385</v>
      </c>
      <c r="I1268" s="37">
        <v>0.37941000000000003</v>
      </c>
      <c r="J1268" s="7"/>
      <c r="K1268" s="7" t="str">
        <f>VLOOKUP($E1268,Mapping!$E$11:$I$96,3,0)</f>
        <v>Quoted Opex</v>
      </c>
      <c r="L1268" s="7" t="str">
        <f>VLOOKUP($G1268,Mapping!$E$140:$K$2771,5,0)</f>
        <v>Labour</v>
      </c>
      <c r="M1268" s="7" t="str">
        <f>VLOOKUP($G1268,Mapping!$E$140:$K$2771,7,0)</f>
        <v>ENDirect</v>
      </c>
      <c r="N1268" s="7" t="str">
        <f>IFERROR(HLOOKUP(L1268,'Calc|Weightings'!$K$5:$M$5,1,0),"Excl")</f>
        <v>Labour</v>
      </c>
      <c r="O1268" s="7" t="str">
        <f>VLOOKUP(E1268,Mapping!$E$11:$I$96,5,0)</f>
        <v>Ancillary Network Services</v>
      </c>
      <c r="Q1268" s="33">
        <v>156</v>
      </c>
      <c r="R1268" s="33" t="s">
        <v>2165</v>
      </c>
      <c r="S1268" s="33">
        <v>611901</v>
      </c>
      <c r="T1268" s="33" t="s">
        <v>2080</v>
      </c>
      <c r="U1268" s="34">
        <v>8.7196200000000008</v>
      </c>
      <c r="V1268" s="7"/>
      <c r="W1268" s="7" t="str">
        <f>VLOOKUP($Q1268,Mapping!$E$11:$I$96,3,0)</f>
        <v>Replacement</v>
      </c>
      <c r="X1268" s="7" t="str">
        <f>VLOOKUP($S1268,Mapping!$E$140:$K$2771,5,0)</f>
        <v>Contracts</v>
      </c>
      <c r="Y1268" s="7" t="str">
        <f>VLOOKUP($S1268,Mapping!$E$140:$K$2771,7,0)</f>
        <v>ENDirect</v>
      </c>
      <c r="Z1268" s="7" t="str">
        <f>IFERROR(HLOOKUP(X1268,'Calc|Weightings'!$K$5:$M$5,1,0),"Excl")</f>
        <v>Contracts</v>
      </c>
      <c r="AA1268" s="7" t="str">
        <f>VLOOKUP(Q1268,Mapping!$E$11:$I$96,5,0)</f>
        <v>SCS</v>
      </c>
      <c r="AC1268" s="111">
        <v>156</v>
      </c>
      <c r="AD1268" s="111" t="s">
        <v>2165</v>
      </c>
      <c r="AE1268" s="111">
        <v>615375</v>
      </c>
      <c r="AF1268" s="111" t="s">
        <v>1717</v>
      </c>
      <c r="AG1268" s="112">
        <v>4.3</v>
      </c>
      <c r="AI1268" s="7" t="str">
        <f>VLOOKUP($AC1268,Mapping!$E$11:$I$96,3,0)</f>
        <v>Replacement</v>
      </c>
      <c r="AJ1268" s="7" t="str">
        <f>VLOOKUP($AE1268,Mapping!$E$140:$K$2771,5,0)</f>
        <v>Labour</v>
      </c>
      <c r="AK1268" s="7" t="str">
        <f>VLOOKUP($AE1268,Mapping!$E$140:$K$2771,7,0)</f>
        <v>ENDirect</v>
      </c>
      <c r="AL1268" s="7" t="str">
        <f>IFERROR(HLOOKUP(AJ1268,'Calc|Weightings'!$K$5:$M$5,1,0),"Excl")</f>
        <v>Labour</v>
      </c>
      <c r="AM1268" s="7" t="str">
        <f>VLOOKUP(AC1268,Mapping!$E$11:$I$96,5,0)</f>
        <v>SCS</v>
      </c>
      <c r="AO1268" s="134">
        <v>160</v>
      </c>
      <c r="AP1268" s="135" t="s">
        <v>2170</v>
      </c>
      <c r="AQ1268" s="135">
        <v>636001</v>
      </c>
      <c r="AR1268" s="135" t="s">
        <v>2111</v>
      </c>
      <c r="AS1268" s="136">
        <v>96.940790000000007</v>
      </c>
      <c r="AU1268" s="7" t="str">
        <f>VLOOKUP($AO1268,Mapping!$E$11:$I$96,3,0)</f>
        <v>Augmentation</v>
      </c>
      <c r="AV1268" s="7" t="str">
        <f>VLOOKUP($AQ1268,Mapping!$E$140:$K$2771,5,0)</f>
        <v>System Control OH</v>
      </c>
      <c r="AW1268" s="7" t="str">
        <f>VLOOKUP($AQ1268,Mapping!$E$140:$K$2771,7,0)</f>
        <v>OH</v>
      </c>
      <c r="AX1268" s="7" t="str">
        <f>IFERROR(HLOOKUP(AV1268,'Calc|Weightings'!$K$5:$M$5,1,0),"Excl")</f>
        <v>Excl</v>
      </c>
      <c r="AY1268" s="7" t="str">
        <f>VLOOKUP(AO1268,Mapping!$E$11:$I$96,5,0)</f>
        <v>SCS</v>
      </c>
    </row>
    <row r="1269" spans="1:51" x14ac:dyDescent="0.2">
      <c r="A1269" s="7"/>
      <c r="B1269" s="7"/>
      <c r="C1269" s="7"/>
      <c r="D1269" s="7"/>
      <c r="E1269" s="36">
        <v>146</v>
      </c>
      <c r="F1269" s="36" t="s">
        <v>2156</v>
      </c>
      <c r="G1269" s="36">
        <v>613318</v>
      </c>
      <c r="H1269" s="36" t="s">
        <v>1360</v>
      </c>
      <c r="I1269" s="37">
        <v>14.686</v>
      </c>
      <c r="J1269" s="7"/>
      <c r="K1269" s="7" t="str">
        <f>VLOOKUP($E1269,Mapping!$E$11:$I$96,3,0)</f>
        <v>Quoted Opex</v>
      </c>
      <c r="L1269" s="7" t="str">
        <f>VLOOKUP($G1269,Mapping!$E$140:$K$2771,5,0)</f>
        <v>Labour</v>
      </c>
      <c r="M1269" s="7" t="str">
        <f>VLOOKUP($G1269,Mapping!$E$140:$K$2771,7,0)</f>
        <v>ENDirect</v>
      </c>
      <c r="N1269" s="7" t="str">
        <f>IFERROR(HLOOKUP(L1269,'Calc|Weightings'!$K$5:$M$5,1,0),"Excl")</f>
        <v>Labour</v>
      </c>
      <c r="O1269" s="7" t="str">
        <f>VLOOKUP(E1269,Mapping!$E$11:$I$96,5,0)</f>
        <v>Ancillary Network Services</v>
      </c>
      <c r="Q1269" s="33">
        <v>156</v>
      </c>
      <c r="R1269" s="33" t="s">
        <v>2165</v>
      </c>
      <c r="S1269" s="33">
        <v>611902</v>
      </c>
      <c r="T1269" s="33" t="s">
        <v>2081</v>
      </c>
      <c r="U1269" s="34">
        <v>3.2898000000000001</v>
      </c>
      <c r="V1269" s="7"/>
      <c r="W1269" s="7" t="str">
        <f>VLOOKUP($Q1269,Mapping!$E$11:$I$96,3,0)</f>
        <v>Replacement</v>
      </c>
      <c r="X1269" s="7" t="str">
        <f>VLOOKUP($S1269,Mapping!$E$140:$K$2771,5,0)</f>
        <v>Contracts</v>
      </c>
      <c r="Y1269" s="7" t="str">
        <f>VLOOKUP($S1269,Mapping!$E$140:$K$2771,7,0)</f>
        <v>ENDirect</v>
      </c>
      <c r="Z1269" s="7" t="str">
        <f>IFERROR(HLOOKUP(X1269,'Calc|Weightings'!$K$5:$M$5,1,0),"Excl")</f>
        <v>Contracts</v>
      </c>
      <c r="AA1269" s="7" t="str">
        <f>VLOOKUP(Q1269,Mapping!$E$11:$I$96,5,0)</f>
        <v>SCS</v>
      </c>
      <c r="AC1269" s="111">
        <v>156</v>
      </c>
      <c r="AD1269" s="111" t="s">
        <v>2165</v>
      </c>
      <c r="AE1269" s="111">
        <v>615395</v>
      </c>
      <c r="AF1269" s="111" t="s">
        <v>2196</v>
      </c>
      <c r="AG1269" s="112">
        <v>49.292879999999997</v>
      </c>
      <c r="AI1269" s="7" t="str">
        <f>VLOOKUP($AC1269,Mapping!$E$11:$I$96,3,0)</f>
        <v>Replacement</v>
      </c>
      <c r="AJ1269" s="7" t="str">
        <f>VLOOKUP($AE1269,Mapping!$E$140:$K$2771,5,0)</f>
        <v>Labour</v>
      </c>
      <c r="AK1269" s="7" t="str">
        <f>VLOOKUP($AE1269,Mapping!$E$140:$K$2771,7,0)</f>
        <v>ENDirect</v>
      </c>
      <c r="AL1269" s="7" t="str">
        <f>IFERROR(HLOOKUP(AJ1269,'Calc|Weightings'!$K$5:$M$5,1,0),"Excl")</f>
        <v>Labour</v>
      </c>
      <c r="AM1269" s="7" t="str">
        <f>VLOOKUP(AC1269,Mapping!$E$11:$I$96,5,0)</f>
        <v>SCS</v>
      </c>
      <c r="AO1269" s="134">
        <v>160</v>
      </c>
      <c r="AP1269" s="135" t="s">
        <v>2170</v>
      </c>
      <c r="AQ1269" s="135">
        <v>639000</v>
      </c>
      <c r="AR1269" s="135" t="s">
        <v>2112</v>
      </c>
      <c r="AS1269" s="136">
        <v>83.482050000000001</v>
      </c>
      <c r="AU1269" s="7" t="str">
        <f>VLOOKUP($AO1269,Mapping!$E$11:$I$96,3,0)</f>
        <v>Augmentation</v>
      </c>
      <c r="AV1269" s="7" t="str">
        <f>VLOOKUP($AQ1269,Mapping!$E$140:$K$2771,5,0)</f>
        <v>PNS Corporate OH</v>
      </c>
      <c r="AW1269" s="7" t="str">
        <f>VLOOKUP($AQ1269,Mapping!$E$140:$K$2771,7,0)</f>
        <v>OH</v>
      </c>
      <c r="AX1269" s="7" t="str">
        <f>IFERROR(HLOOKUP(AV1269,'Calc|Weightings'!$K$5:$M$5,1,0),"Excl")</f>
        <v>Excl</v>
      </c>
      <c r="AY1269" s="7" t="str">
        <f>VLOOKUP(AO1269,Mapping!$E$11:$I$96,5,0)</f>
        <v>SCS</v>
      </c>
    </row>
    <row r="1270" spans="1:51" x14ac:dyDescent="0.2">
      <c r="A1270" s="7"/>
      <c r="B1270" s="7"/>
      <c r="C1270" s="7"/>
      <c r="D1270" s="7"/>
      <c r="E1270" s="36">
        <v>146</v>
      </c>
      <c r="F1270" s="36" t="s">
        <v>2156</v>
      </c>
      <c r="G1270" s="36">
        <v>613319</v>
      </c>
      <c r="H1270" s="36" t="s">
        <v>2358</v>
      </c>
      <c r="I1270" s="37">
        <v>3.1790400000000001</v>
      </c>
      <c r="J1270" s="7"/>
      <c r="K1270" s="7" t="str">
        <f>VLOOKUP($E1270,Mapping!$E$11:$I$96,3,0)</f>
        <v>Quoted Opex</v>
      </c>
      <c r="L1270" s="7" t="str">
        <f>VLOOKUP($G1270,Mapping!$E$140:$K$2771,5,0)</f>
        <v>Labour</v>
      </c>
      <c r="M1270" s="7" t="str">
        <f>VLOOKUP($G1270,Mapping!$E$140:$K$2771,7,0)</f>
        <v>ENDirect</v>
      </c>
      <c r="N1270" s="7" t="str">
        <f>IFERROR(HLOOKUP(L1270,'Calc|Weightings'!$K$5:$M$5,1,0),"Excl")</f>
        <v>Labour</v>
      </c>
      <c r="O1270" s="7" t="str">
        <f>VLOOKUP(E1270,Mapping!$E$11:$I$96,5,0)</f>
        <v>Ancillary Network Services</v>
      </c>
      <c r="Q1270" s="33">
        <v>156</v>
      </c>
      <c r="R1270" s="33" t="s">
        <v>2165</v>
      </c>
      <c r="S1270" s="33">
        <v>612210</v>
      </c>
      <c r="T1270" s="33" t="s">
        <v>1184</v>
      </c>
      <c r="U1270" s="34">
        <v>23.263770000000001</v>
      </c>
      <c r="V1270" s="7"/>
      <c r="W1270" s="7" t="str">
        <f>VLOOKUP($Q1270,Mapping!$E$11:$I$96,3,0)</f>
        <v>Replacement</v>
      </c>
      <c r="X1270" s="7" t="str">
        <f>VLOOKUP($S1270,Mapping!$E$140:$K$2771,5,0)</f>
        <v>Labour</v>
      </c>
      <c r="Y1270" s="7" t="str">
        <f>VLOOKUP($S1270,Mapping!$E$140:$K$2771,7,0)</f>
        <v>ENDirect</v>
      </c>
      <c r="Z1270" s="7" t="str">
        <f>IFERROR(HLOOKUP(X1270,'Calc|Weightings'!$K$5:$M$5,1,0),"Excl")</f>
        <v>Labour</v>
      </c>
      <c r="AA1270" s="7" t="str">
        <f>VLOOKUP(Q1270,Mapping!$E$11:$I$96,5,0)</f>
        <v>SCS</v>
      </c>
      <c r="AC1270" s="111">
        <v>156</v>
      </c>
      <c r="AD1270" s="111" t="s">
        <v>2165</v>
      </c>
      <c r="AE1270" s="111">
        <v>634001</v>
      </c>
      <c r="AF1270" s="111" t="s">
        <v>2110</v>
      </c>
      <c r="AG1270" s="112">
        <v>190.61358999999999</v>
      </c>
      <c r="AI1270" s="7" t="str">
        <f>VLOOKUP($AC1270,Mapping!$E$11:$I$96,3,0)</f>
        <v>Replacement</v>
      </c>
      <c r="AJ1270" s="7" t="str">
        <f>VLOOKUP($AE1270,Mapping!$E$140:$K$2771,5,0)</f>
        <v>Local OH</v>
      </c>
      <c r="AK1270" s="7" t="str">
        <f>VLOOKUP($AE1270,Mapping!$E$140:$K$2771,7,0)</f>
        <v>OH</v>
      </c>
      <c r="AL1270" s="7" t="str">
        <f>IFERROR(HLOOKUP(AJ1270,'Calc|Weightings'!$K$5:$M$5,1,0),"Excl")</f>
        <v>Excl</v>
      </c>
      <c r="AM1270" s="7" t="str">
        <f>VLOOKUP(AC1270,Mapping!$E$11:$I$96,5,0)</f>
        <v>SCS</v>
      </c>
      <c r="AO1270" s="134">
        <v>160</v>
      </c>
      <c r="AP1270" s="135" t="s">
        <v>2170</v>
      </c>
      <c r="AQ1270" s="135">
        <v>639050</v>
      </c>
      <c r="AR1270" s="135" t="s">
        <v>2113</v>
      </c>
      <c r="AS1270" s="136">
        <v>18.251300000000001</v>
      </c>
      <c r="AU1270" s="7" t="str">
        <f>VLOOKUP($AO1270,Mapping!$E$11:$I$96,3,0)</f>
        <v>Augmentation</v>
      </c>
      <c r="AV1270" s="7" t="str">
        <f>VLOOKUP($AQ1270,Mapping!$E$140:$K$2771,5,0)</f>
        <v>PNS Fleet &amp; Property OH</v>
      </c>
      <c r="AW1270" s="7" t="str">
        <f>VLOOKUP($AQ1270,Mapping!$E$140:$K$2771,7,0)</f>
        <v>OH</v>
      </c>
      <c r="AX1270" s="7" t="str">
        <f>IFERROR(HLOOKUP(AV1270,'Calc|Weightings'!$K$5:$M$5,1,0),"Excl")</f>
        <v>Excl</v>
      </c>
      <c r="AY1270" s="7" t="str">
        <f>VLOOKUP(AO1270,Mapping!$E$11:$I$96,5,0)</f>
        <v>SCS</v>
      </c>
    </row>
    <row r="1271" spans="1:51" x14ac:dyDescent="0.2">
      <c r="A1271" s="7"/>
      <c r="B1271" s="7"/>
      <c r="C1271" s="7"/>
      <c r="D1271" s="7"/>
      <c r="E1271" s="36">
        <v>146</v>
      </c>
      <c r="F1271" s="36" t="s">
        <v>2156</v>
      </c>
      <c r="G1271" s="36">
        <v>613350</v>
      </c>
      <c r="H1271" s="36" t="s">
        <v>2096</v>
      </c>
      <c r="I1271" s="37">
        <v>1.5357799999999999</v>
      </c>
      <c r="J1271" s="7"/>
      <c r="K1271" s="7" t="str">
        <f>VLOOKUP($E1271,Mapping!$E$11:$I$96,3,0)</f>
        <v>Quoted Opex</v>
      </c>
      <c r="L1271" s="7" t="str">
        <f>VLOOKUP($G1271,Mapping!$E$140:$K$2771,5,0)</f>
        <v>Labour</v>
      </c>
      <c r="M1271" s="7" t="str">
        <f>VLOOKUP($G1271,Mapping!$E$140:$K$2771,7,0)</f>
        <v>ENDirect</v>
      </c>
      <c r="N1271" s="7" t="str">
        <f>IFERROR(HLOOKUP(L1271,'Calc|Weightings'!$K$5:$M$5,1,0),"Excl")</f>
        <v>Labour</v>
      </c>
      <c r="O1271" s="7" t="str">
        <f>VLOOKUP(E1271,Mapping!$E$11:$I$96,5,0)</f>
        <v>Ancillary Network Services</v>
      </c>
      <c r="Q1271" s="33">
        <v>156</v>
      </c>
      <c r="R1271" s="33" t="s">
        <v>2165</v>
      </c>
      <c r="S1271" s="33">
        <v>612460</v>
      </c>
      <c r="T1271" s="33" t="s">
        <v>1243</v>
      </c>
      <c r="U1271" s="34">
        <v>-0.83509999999999995</v>
      </c>
      <c r="V1271" s="7"/>
      <c r="W1271" s="7" t="str">
        <f>VLOOKUP($Q1271,Mapping!$E$11:$I$96,3,0)</f>
        <v>Replacement</v>
      </c>
      <c r="X1271" s="7" t="str">
        <f>VLOOKUP($S1271,Mapping!$E$140:$K$2771,5,0)</f>
        <v>Labour</v>
      </c>
      <c r="Y1271" s="7" t="str">
        <f>VLOOKUP($S1271,Mapping!$E$140:$K$2771,7,0)</f>
        <v>ENDirect</v>
      </c>
      <c r="Z1271" s="7" t="str">
        <f>IFERROR(HLOOKUP(X1271,'Calc|Weightings'!$K$5:$M$5,1,0),"Excl")</f>
        <v>Labour</v>
      </c>
      <c r="AA1271" s="7" t="str">
        <f>VLOOKUP(Q1271,Mapping!$E$11:$I$96,5,0)</f>
        <v>SCS</v>
      </c>
      <c r="AC1271" s="111">
        <v>156</v>
      </c>
      <c r="AD1271" s="111" t="s">
        <v>2165</v>
      </c>
      <c r="AE1271" s="111">
        <v>635001</v>
      </c>
      <c r="AF1271" s="111" t="s">
        <v>1929</v>
      </c>
      <c r="AG1271" s="112">
        <v>116.46216</v>
      </c>
      <c r="AI1271" s="7" t="str">
        <f>VLOOKUP($AC1271,Mapping!$E$11:$I$96,3,0)</f>
        <v>Replacement</v>
      </c>
      <c r="AJ1271" s="7" t="str">
        <f>VLOOKUP($AE1271,Mapping!$E$140:$K$2771,5,0)</f>
        <v>PNS MG</v>
      </c>
      <c r="AK1271" s="7" t="str">
        <f>VLOOKUP($AE1271,Mapping!$E$140:$K$2771,7,0)</f>
        <v>ENDirect</v>
      </c>
      <c r="AL1271" s="7" t="str">
        <f>IFERROR(HLOOKUP(AJ1271,'Calc|Weightings'!$K$5:$M$5,1,0),"Excl")</f>
        <v>Excl</v>
      </c>
      <c r="AM1271" s="7" t="str">
        <f>VLOOKUP(AC1271,Mapping!$E$11:$I$96,5,0)</f>
        <v>SCS</v>
      </c>
      <c r="AO1271" s="134">
        <v>161</v>
      </c>
      <c r="AP1271" s="135" t="s">
        <v>2171</v>
      </c>
      <c r="AQ1271" s="135">
        <v>500200</v>
      </c>
      <c r="AR1271" s="135" t="s">
        <v>136</v>
      </c>
      <c r="AS1271" s="136">
        <v>3.6420000000000001E-2</v>
      </c>
      <c r="AU1271" s="7" t="str">
        <f>VLOOKUP($AO1271,Mapping!$E$11:$I$96,3,0)</f>
        <v>Augmentation</v>
      </c>
      <c r="AV1271" s="7" t="str">
        <f>VLOOKUP($AQ1271,Mapping!$E$140:$K$2771,5,0)</f>
        <v>Labour</v>
      </c>
      <c r="AW1271" s="7" t="str">
        <f>VLOOKUP($AQ1271,Mapping!$E$140:$K$2771,7,0)</f>
        <v>ENDirect</v>
      </c>
      <c r="AX1271" s="7" t="str">
        <f>IFERROR(HLOOKUP(AV1271,'Calc|Weightings'!$K$5:$M$5,1,0),"Excl")</f>
        <v>Labour</v>
      </c>
      <c r="AY1271" s="7" t="str">
        <f>VLOOKUP(AO1271,Mapping!$E$11:$I$96,5,0)</f>
        <v>SCS</v>
      </c>
    </row>
    <row r="1272" spans="1:51" x14ac:dyDescent="0.2">
      <c r="A1272" s="7"/>
      <c r="B1272" s="7"/>
      <c r="C1272" s="7"/>
      <c r="D1272" s="7"/>
      <c r="E1272" s="36">
        <v>146</v>
      </c>
      <c r="F1272" s="36" t="s">
        <v>2156</v>
      </c>
      <c r="G1272" s="36">
        <v>613360</v>
      </c>
      <c r="H1272" s="36" t="s">
        <v>2097</v>
      </c>
      <c r="I1272" s="37">
        <v>0.39584000000000003</v>
      </c>
      <c r="J1272" s="7"/>
      <c r="K1272" s="7" t="str">
        <f>VLOOKUP($E1272,Mapping!$E$11:$I$96,3,0)</f>
        <v>Quoted Opex</v>
      </c>
      <c r="L1272" s="7" t="str">
        <f>VLOOKUP($G1272,Mapping!$E$140:$K$2771,5,0)</f>
        <v>Labour</v>
      </c>
      <c r="M1272" s="7" t="str">
        <f>VLOOKUP($G1272,Mapping!$E$140:$K$2771,7,0)</f>
        <v>ENDirect</v>
      </c>
      <c r="N1272" s="7" t="str">
        <f>IFERROR(HLOOKUP(L1272,'Calc|Weightings'!$K$5:$M$5,1,0),"Excl")</f>
        <v>Labour</v>
      </c>
      <c r="O1272" s="7" t="str">
        <f>VLOOKUP(E1272,Mapping!$E$11:$I$96,5,0)</f>
        <v>Ancillary Network Services</v>
      </c>
      <c r="Q1272" s="33">
        <v>156</v>
      </c>
      <c r="R1272" s="33" t="s">
        <v>2165</v>
      </c>
      <c r="S1272" s="33">
        <v>613260</v>
      </c>
      <c r="T1272" s="33" t="s">
        <v>2090</v>
      </c>
      <c r="U1272" s="34">
        <v>458.00801999999999</v>
      </c>
      <c r="V1272" s="7"/>
      <c r="W1272" s="7" t="str">
        <f>VLOOKUP($Q1272,Mapping!$E$11:$I$96,3,0)</f>
        <v>Replacement</v>
      </c>
      <c r="X1272" s="7" t="str">
        <f>VLOOKUP($S1272,Mapping!$E$140:$K$2771,5,0)</f>
        <v>Labour</v>
      </c>
      <c r="Y1272" s="7" t="str">
        <f>VLOOKUP($S1272,Mapping!$E$140:$K$2771,7,0)</f>
        <v>ENDirect</v>
      </c>
      <c r="Z1272" s="7" t="str">
        <f>IFERROR(HLOOKUP(X1272,'Calc|Weightings'!$K$5:$M$5,1,0),"Excl")</f>
        <v>Labour</v>
      </c>
      <c r="AA1272" s="7" t="str">
        <f>VLOOKUP(Q1272,Mapping!$E$11:$I$96,5,0)</f>
        <v>SCS</v>
      </c>
      <c r="AC1272" s="111">
        <v>156</v>
      </c>
      <c r="AD1272" s="111" t="s">
        <v>2165</v>
      </c>
      <c r="AE1272" s="111">
        <v>636001</v>
      </c>
      <c r="AF1272" s="111" t="s">
        <v>2111</v>
      </c>
      <c r="AG1272" s="112">
        <v>103.14699</v>
      </c>
      <c r="AI1272" s="7" t="str">
        <f>VLOOKUP($AC1272,Mapping!$E$11:$I$96,3,0)</f>
        <v>Replacement</v>
      </c>
      <c r="AJ1272" s="7" t="str">
        <f>VLOOKUP($AE1272,Mapping!$E$140:$K$2771,5,0)</f>
        <v>System Control OH</v>
      </c>
      <c r="AK1272" s="7" t="str">
        <f>VLOOKUP($AE1272,Mapping!$E$140:$K$2771,7,0)</f>
        <v>OH</v>
      </c>
      <c r="AL1272" s="7" t="str">
        <f>IFERROR(HLOOKUP(AJ1272,'Calc|Weightings'!$K$5:$M$5,1,0),"Excl")</f>
        <v>Excl</v>
      </c>
      <c r="AM1272" s="7" t="str">
        <f>VLOOKUP(AC1272,Mapping!$E$11:$I$96,5,0)</f>
        <v>SCS</v>
      </c>
      <c r="AO1272" s="134">
        <v>161</v>
      </c>
      <c r="AP1272" s="135" t="s">
        <v>2171</v>
      </c>
      <c r="AQ1272" s="135">
        <v>500810</v>
      </c>
      <c r="AR1272" s="135" t="s">
        <v>2071</v>
      </c>
      <c r="AS1272" s="136">
        <v>12.14546</v>
      </c>
      <c r="AU1272" s="7" t="str">
        <f>VLOOKUP($AO1272,Mapping!$E$11:$I$96,3,0)</f>
        <v>Augmentation</v>
      </c>
      <c r="AV1272" s="7" t="str">
        <f>VLOOKUP($AQ1272,Mapping!$E$140:$K$2771,5,0)</f>
        <v>Labour</v>
      </c>
      <c r="AW1272" s="7" t="str">
        <f>VLOOKUP($AQ1272,Mapping!$E$140:$K$2771,7,0)</f>
        <v>ENDirect</v>
      </c>
      <c r="AX1272" s="7" t="str">
        <f>IFERROR(HLOOKUP(AV1272,'Calc|Weightings'!$K$5:$M$5,1,0),"Excl")</f>
        <v>Labour</v>
      </c>
      <c r="AY1272" s="7" t="str">
        <f>VLOOKUP(AO1272,Mapping!$E$11:$I$96,5,0)</f>
        <v>SCS</v>
      </c>
    </row>
    <row r="1273" spans="1:51" x14ac:dyDescent="0.2">
      <c r="A1273" s="7"/>
      <c r="B1273" s="7"/>
      <c r="C1273" s="7"/>
      <c r="D1273" s="7"/>
      <c r="E1273" s="36">
        <v>146</v>
      </c>
      <c r="F1273" s="36" t="s">
        <v>2156</v>
      </c>
      <c r="G1273" s="36">
        <v>613400</v>
      </c>
      <c r="H1273" s="36" t="s">
        <v>2099</v>
      </c>
      <c r="I1273" s="37">
        <v>1.46052</v>
      </c>
      <c r="J1273" s="7"/>
      <c r="K1273" s="7" t="str">
        <f>VLOOKUP($E1273,Mapping!$E$11:$I$96,3,0)</f>
        <v>Quoted Opex</v>
      </c>
      <c r="L1273" s="7" t="str">
        <f>VLOOKUP($G1273,Mapping!$E$140:$K$2771,5,0)</f>
        <v>Labour</v>
      </c>
      <c r="M1273" s="7" t="str">
        <f>VLOOKUP($G1273,Mapping!$E$140:$K$2771,7,0)</f>
        <v>ENDirect</v>
      </c>
      <c r="N1273" s="7" t="str">
        <f>IFERROR(HLOOKUP(L1273,'Calc|Weightings'!$K$5:$M$5,1,0),"Excl")</f>
        <v>Labour</v>
      </c>
      <c r="O1273" s="7" t="str">
        <f>VLOOKUP(E1273,Mapping!$E$11:$I$96,5,0)</f>
        <v>Ancillary Network Services</v>
      </c>
      <c r="Q1273" s="33">
        <v>156</v>
      </c>
      <c r="R1273" s="33" t="s">
        <v>2165</v>
      </c>
      <c r="S1273" s="33">
        <v>613261</v>
      </c>
      <c r="T1273" s="33" t="s">
        <v>2091</v>
      </c>
      <c r="U1273" s="34">
        <v>51.418149999999997</v>
      </c>
      <c r="V1273" s="7"/>
      <c r="W1273" s="7" t="str">
        <f>VLOOKUP($Q1273,Mapping!$E$11:$I$96,3,0)</f>
        <v>Replacement</v>
      </c>
      <c r="X1273" s="7" t="str">
        <f>VLOOKUP($S1273,Mapping!$E$140:$K$2771,5,0)</f>
        <v>Labour</v>
      </c>
      <c r="Y1273" s="7" t="str">
        <f>VLOOKUP($S1273,Mapping!$E$140:$K$2771,7,0)</f>
        <v>ENDirect</v>
      </c>
      <c r="Z1273" s="7" t="str">
        <f>IFERROR(HLOOKUP(X1273,'Calc|Weightings'!$K$5:$M$5,1,0),"Excl")</f>
        <v>Labour</v>
      </c>
      <c r="AA1273" s="7" t="str">
        <f>VLOOKUP(Q1273,Mapping!$E$11:$I$96,5,0)</f>
        <v>SCS</v>
      </c>
      <c r="AC1273" s="111">
        <v>156</v>
      </c>
      <c r="AD1273" s="111" t="s">
        <v>2165</v>
      </c>
      <c r="AE1273" s="111">
        <v>639000</v>
      </c>
      <c r="AF1273" s="111" t="s">
        <v>2112</v>
      </c>
      <c r="AG1273" s="112">
        <v>132.07729</v>
      </c>
      <c r="AI1273" s="7" t="str">
        <f>VLOOKUP($AC1273,Mapping!$E$11:$I$96,3,0)</f>
        <v>Replacement</v>
      </c>
      <c r="AJ1273" s="7" t="str">
        <f>VLOOKUP($AE1273,Mapping!$E$140:$K$2771,5,0)</f>
        <v>PNS Corporate OH</v>
      </c>
      <c r="AK1273" s="7" t="str">
        <f>VLOOKUP($AE1273,Mapping!$E$140:$K$2771,7,0)</f>
        <v>OH</v>
      </c>
      <c r="AL1273" s="7" t="str">
        <f>IFERROR(HLOOKUP(AJ1273,'Calc|Weightings'!$K$5:$M$5,1,0),"Excl")</f>
        <v>Excl</v>
      </c>
      <c r="AM1273" s="7" t="str">
        <f>VLOOKUP(AC1273,Mapping!$E$11:$I$96,5,0)</f>
        <v>SCS</v>
      </c>
      <c r="AO1273" s="134">
        <v>161</v>
      </c>
      <c r="AP1273" s="135" t="s">
        <v>2171</v>
      </c>
      <c r="AQ1273" s="135">
        <v>503193</v>
      </c>
      <c r="AR1273" s="135" t="s">
        <v>161</v>
      </c>
      <c r="AS1273" s="136">
        <v>0.40262999999999999</v>
      </c>
      <c r="AU1273" s="7" t="str">
        <f>VLOOKUP($AO1273,Mapping!$E$11:$I$96,3,0)</f>
        <v>Augmentation</v>
      </c>
      <c r="AV1273" s="7" t="str">
        <f>VLOOKUP($AQ1273,Mapping!$E$140:$K$2771,5,0)</f>
        <v>Contracts</v>
      </c>
      <c r="AW1273" s="7" t="str">
        <f>VLOOKUP($AQ1273,Mapping!$E$140:$K$2771,7,0)</f>
        <v>ENDirect</v>
      </c>
      <c r="AX1273" s="7" t="str">
        <f>IFERROR(HLOOKUP(AV1273,'Calc|Weightings'!$K$5:$M$5,1,0),"Excl")</f>
        <v>Contracts</v>
      </c>
      <c r="AY1273" s="7" t="str">
        <f>VLOOKUP(AO1273,Mapping!$E$11:$I$96,5,0)</f>
        <v>SCS</v>
      </c>
    </row>
    <row r="1274" spans="1:51" x14ac:dyDescent="0.2">
      <c r="A1274" s="7"/>
      <c r="B1274" s="7"/>
      <c r="C1274" s="7"/>
      <c r="D1274" s="7"/>
      <c r="E1274" s="36">
        <v>146</v>
      </c>
      <c r="F1274" s="36" t="s">
        <v>2156</v>
      </c>
      <c r="G1274" s="36">
        <v>613408</v>
      </c>
      <c r="H1274" s="36" t="s">
        <v>1418</v>
      </c>
      <c r="I1274" s="37">
        <v>13.8141</v>
      </c>
      <c r="J1274" s="7"/>
      <c r="K1274" s="7" t="str">
        <f>VLOOKUP($E1274,Mapping!$E$11:$I$96,3,0)</f>
        <v>Quoted Opex</v>
      </c>
      <c r="L1274" s="7" t="str">
        <f>VLOOKUP($G1274,Mapping!$E$140:$K$2771,5,0)</f>
        <v>Labour</v>
      </c>
      <c r="M1274" s="7" t="str">
        <f>VLOOKUP($G1274,Mapping!$E$140:$K$2771,7,0)</f>
        <v>ENDirect</v>
      </c>
      <c r="N1274" s="7" t="str">
        <f>IFERROR(HLOOKUP(L1274,'Calc|Weightings'!$K$5:$M$5,1,0),"Excl")</f>
        <v>Labour</v>
      </c>
      <c r="O1274" s="7" t="str">
        <f>VLOOKUP(E1274,Mapping!$E$11:$I$96,5,0)</f>
        <v>Ancillary Network Services</v>
      </c>
      <c r="Q1274" s="33">
        <v>156</v>
      </c>
      <c r="R1274" s="33" t="s">
        <v>2165</v>
      </c>
      <c r="S1274" s="33">
        <v>613280</v>
      </c>
      <c r="T1274" s="33" t="s">
        <v>1342</v>
      </c>
      <c r="U1274" s="34">
        <v>210.74902</v>
      </c>
      <c r="V1274" s="7"/>
      <c r="W1274" s="7" t="str">
        <f>VLOOKUP($Q1274,Mapping!$E$11:$I$96,3,0)</f>
        <v>Replacement</v>
      </c>
      <c r="X1274" s="7" t="str">
        <f>VLOOKUP($S1274,Mapping!$E$140:$K$2771,5,0)</f>
        <v>Labour</v>
      </c>
      <c r="Y1274" s="7" t="str">
        <f>VLOOKUP($S1274,Mapping!$E$140:$K$2771,7,0)</f>
        <v>ENDirect</v>
      </c>
      <c r="Z1274" s="7" t="str">
        <f>IFERROR(HLOOKUP(X1274,'Calc|Weightings'!$K$5:$M$5,1,0),"Excl")</f>
        <v>Labour</v>
      </c>
      <c r="AA1274" s="7" t="str">
        <f>VLOOKUP(Q1274,Mapping!$E$11:$I$96,5,0)</f>
        <v>SCS</v>
      </c>
      <c r="AC1274" s="111">
        <v>156</v>
      </c>
      <c r="AD1274" s="111" t="s">
        <v>2165</v>
      </c>
      <c r="AE1274" s="111">
        <v>639050</v>
      </c>
      <c r="AF1274" s="111" t="s">
        <v>2113</v>
      </c>
      <c r="AG1274" s="112">
        <v>17.13842</v>
      </c>
      <c r="AI1274" s="7" t="str">
        <f>VLOOKUP($AC1274,Mapping!$E$11:$I$96,3,0)</f>
        <v>Replacement</v>
      </c>
      <c r="AJ1274" s="7" t="str">
        <f>VLOOKUP($AE1274,Mapping!$E$140:$K$2771,5,0)</f>
        <v>PNS Fleet &amp; Property OH</v>
      </c>
      <c r="AK1274" s="7" t="str">
        <f>VLOOKUP($AE1274,Mapping!$E$140:$K$2771,7,0)</f>
        <v>OH</v>
      </c>
      <c r="AL1274" s="7" t="str">
        <f>IFERROR(HLOOKUP(AJ1274,'Calc|Weightings'!$K$5:$M$5,1,0),"Excl")</f>
        <v>Excl</v>
      </c>
      <c r="AM1274" s="7" t="str">
        <f>VLOOKUP(AC1274,Mapping!$E$11:$I$96,5,0)</f>
        <v>SCS</v>
      </c>
      <c r="AO1274" s="134">
        <v>161</v>
      </c>
      <c r="AP1274" s="135" t="s">
        <v>2171</v>
      </c>
      <c r="AQ1274" s="135">
        <v>503194</v>
      </c>
      <c r="AR1274" s="135" t="s">
        <v>162</v>
      </c>
      <c r="AS1274" s="136">
        <v>0.31095</v>
      </c>
      <c r="AU1274" s="7" t="str">
        <f>VLOOKUP($AO1274,Mapping!$E$11:$I$96,3,0)</f>
        <v>Augmentation</v>
      </c>
      <c r="AV1274" s="7" t="str">
        <f>VLOOKUP($AQ1274,Mapping!$E$140:$K$2771,5,0)</f>
        <v>Contracts</v>
      </c>
      <c r="AW1274" s="7" t="str">
        <f>VLOOKUP($AQ1274,Mapping!$E$140:$K$2771,7,0)</f>
        <v>ENDirect</v>
      </c>
      <c r="AX1274" s="7" t="str">
        <f>IFERROR(HLOOKUP(AV1274,'Calc|Weightings'!$K$5:$M$5,1,0),"Excl")</f>
        <v>Contracts</v>
      </c>
      <c r="AY1274" s="7" t="str">
        <f>VLOOKUP(AO1274,Mapping!$E$11:$I$96,5,0)</f>
        <v>SCS</v>
      </c>
    </row>
    <row r="1275" spans="1:51" x14ac:dyDescent="0.2">
      <c r="A1275" s="7"/>
      <c r="B1275" s="7"/>
      <c r="C1275" s="7"/>
      <c r="D1275" s="7"/>
      <c r="E1275" s="36">
        <v>146</v>
      </c>
      <c r="F1275" s="36" t="s">
        <v>2156</v>
      </c>
      <c r="G1275" s="36">
        <v>613409</v>
      </c>
      <c r="H1275" s="36" t="s">
        <v>1419</v>
      </c>
      <c r="I1275" s="37">
        <v>7.0592300000000003</v>
      </c>
      <c r="J1275" s="7"/>
      <c r="K1275" s="7" t="str">
        <f>VLOOKUP($E1275,Mapping!$E$11:$I$96,3,0)</f>
        <v>Quoted Opex</v>
      </c>
      <c r="L1275" s="7" t="str">
        <f>VLOOKUP($G1275,Mapping!$E$140:$K$2771,5,0)</f>
        <v>Labour</v>
      </c>
      <c r="M1275" s="7" t="str">
        <f>VLOOKUP($G1275,Mapping!$E$140:$K$2771,7,0)</f>
        <v>ENDirect</v>
      </c>
      <c r="N1275" s="7" t="str">
        <f>IFERROR(HLOOKUP(L1275,'Calc|Weightings'!$K$5:$M$5,1,0),"Excl")</f>
        <v>Labour</v>
      </c>
      <c r="O1275" s="7" t="str">
        <f>VLOOKUP(E1275,Mapping!$E$11:$I$96,5,0)</f>
        <v>Ancillary Network Services</v>
      </c>
      <c r="Q1275" s="33">
        <v>156</v>
      </c>
      <c r="R1275" s="33" t="s">
        <v>2165</v>
      </c>
      <c r="S1275" s="33">
        <v>613290</v>
      </c>
      <c r="T1275" s="33" t="s">
        <v>2093</v>
      </c>
      <c r="U1275" s="34">
        <v>101.2616</v>
      </c>
      <c r="V1275" s="7"/>
      <c r="W1275" s="7" t="str">
        <f>VLOOKUP($Q1275,Mapping!$E$11:$I$96,3,0)</f>
        <v>Replacement</v>
      </c>
      <c r="X1275" s="7" t="str">
        <f>VLOOKUP($S1275,Mapping!$E$140:$K$2771,5,0)</f>
        <v>Labour</v>
      </c>
      <c r="Y1275" s="7" t="str">
        <f>VLOOKUP($S1275,Mapping!$E$140:$K$2771,7,0)</f>
        <v>ENDirect</v>
      </c>
      <c r="Z1275" s="7" t="str">
        <f>IFERROR(HLOOKUP(X1275,'Calc|Weightings'!$K$5:$M$5,1,0),"Excl")</f>
        <v>Labour</v>
      </c>
      <c r="AA1275" s="7" t="str">
        <f>VLOOKUP(Q1275,Mapping!$E$11:$I$96,5,0)</f>
        <v>SCS</v>
      </c>
      <c r="AC1275" s="111">
        <v>157</v>
      </c>
      <c r="AD1275" s="111" t="s">
        <v>2166</v>
      </c>
      <c r="AE1275" s="111">
        <v>503281</v>
      </c>
      <c r="AF1275" s="111" t="s">
        <v>2198</v>
      </c>
      <c r="AG1275" s="112">
        <v>0.55993999999999999</v>
      </c>
      <c r="AI1275" s="7" t="str">
        <f>VLOOKUP($AC1275,Mapping!$E$11:$I$96,3,0)</f>
        <v>Replacement</v>
      </c>
      <c r="AJ1275" s="7" t="str">
        <f>VLOOKUP($AE1275,Mapping!$E$140:$K$2771,5,0)</f>
        <v>Contracts</v>
      </c>
      <c r="AK1275" s="7" t="str">
        <f>VLOOKUP($AE1275,Mapping!$E$140:$K$2771,7,0)</f>
        <v>ENDirect</v>
      </c>
      <c r="AL1275" s="7" t="str">
        <f>IFERROR(HLOOKUP(AJ1275,'Calc|Weightings'!$K$5:$M$5,1,0),"Excl")</f>
        <v>Contracts</v>
      </c>
      <c r="AM1275" s="7" t="str">
        <f>VLOOKUP(AC1275,Mapping!$E$11:$I$96,5,0)</f>
        <v>SCS</v>
      </c>
      <c r="AO1275" s="134">
        <v>161</v>
      </c>
      <c r="AP1275" s="135" t="s">
        <v>2171</v>
      </c>
      <c r="AQ1275" s="135">
        <v>503197</v>
      </c>
      <c r="AR1275" s="135" t="s">
        <v>163</v>
      </c>
      <c r="AS1275" s="136">
        <v>4.5690000000000001E-2</v>
      </c>
      <c r="AU1275" s="7" t="str">
        <f>VLOOKUP($AO1275,Mapping!$E$11:$I$96,3,0)</f>
        <v>Augmentation</v>
      </c>
      <c r="AV1275" s="7" t="str">
        <f>VLOOKUP($AQ1275,Mapping!$E$140:$K$2771,5,0)</f>
        <v>Contracts</v>
      </c>
      <c r="AW1275" s="7" t="str">
        <f>VLOOKUP($AQ1275,Mapping!$E$140:$K$2771,7,0)</f>
        <v>ENDirect</v>
      </c>
      <c r="AX1275" s="7" t="str">
        <f>IFERROR(HLOOKUP(AV1275,'Calc|Weightings'!$K$5:$M$5,1,0),"Excl")</f>
        <v>Contracts</v>
      </c>
      <c r="AY1275" s="7" t="str">
        <f>VLOOKUP(AO1275,Mapping!$E$11:$I$96,5,0)</f>
        <v>SCS</v>
      </c>
    </row>
    <row r="1276" spans="1:51" x14ac:dyDescent="0.2">
      <c r="A1276" s="7"/>
      <c r="B1276" s="7"/>
      <c r="C1276" s="7"/>
      <c r="D1276" s="7"/>
      <c r="E1276" s="36">
        <v>146</v>
      </c>
      <c r="F1276" s="36" t="s">
        <v>2156</v>
      </c>
      <c r="G1276" s="36">
        <v>613418</v>
      </c>
      <c r="H1276" s="36" t="s">
        <v>1424</v>
      </c>
      <c r="I1276" s="37">
        <v>2.1302400000000001</v>
      </c>
      <c r="J1276" s="7"/>
      <c r="K1276" s="7" t="str">
        <f>VLOOKUP($E1276,Mapping!$E$11:$I$96,3,0)</f>
        <v>Quoted Opex</v>
      </c>
      <c r="L1276" s="7" t="str">
        <f>VLOOKUP($G1276,Mapping!$E$140:$K$2771,5,0)</f>
        <v>Labour</v>
      </c>
      <c r="M1276" s="7" t="str">
        <f>VLOOKUP($G1276,Mapping!$E$140:$K$2771,7,0)</f>
        <v>ENDirect</v>
      </c>
      <c r="N1276" s="7" t="str">
        <f>IFERROR(HLOOKUP(L1276,'Calc|Weightings'!$K$5:$M$5,1,0),"Excl")</f>
        <v>Labour</v>
      </c>
      <c r="O1276" s="7" t="str">
        <f>VLOOKUP(E1276,Mapping!$E$11:$I$96,5,0)</f>
        <v>Ancillary Network Services</v>
      </c>
      <c r="Q1276" s="33">
        <v>156</v>
      </c>
      <c r="R1276" s="33" t="s">
        <v>2165</v>
      </c>
      <c r="S1276" s="33">
        <v>613298</v>
      </c>
      <c r="T1276" s="33" t="s">
        <v>2122</v>
      </c>
      <c r="U1276" s="34">
        <v>37.942</v>
      </c>
      <c r="V1276" s="7"/>
      <c r="W1276" s="7" t="str">
        <f>VLOOKUP($Q1276,Mapping!$E$11:$I$96,3,0)</f>
        <v>Replacement</v>
      </c>
      <c r="X1276" s="7" t="str">
        <f>VLOOKUP($S1276,Mapping!$E$140:$K$2771,5,0)</f>
        <v>Labour</v>
      </c>
      <c r="Y1276" s="7" t="str">
        <f>VLOOKUP($S1276,Mapping!$E$140:$K$2771,7,0)</f>
        <v>ENDirect</v>
      </c>
      <c r="Z1276" s="7" t="str">
        <f>IFERROR(HLOOKUP(X1276,'Calc|Weightings'!$K$5:$M$5,1,0),"Excl")</f>
        <v>Labour</v>
      </c>
      <c r="AA1276" s="7" t="str">
        <f>VLOOKUP(Q1276,Mapping!$E$11:$I$96,5,0)</f>
        <v>SCS</v>
      </c>
      <c r="AC1276" s="111">
        <v>157</v>
      </c>
      <c r="AD1276" s="111" t="s">
        <v>2166</v>
      </c>
      <c r="AE1276" s="111">
        <v>503330</v>
      </c>
      <c r="AF1276" s="111" t="s">
        <v>180</v>
      </c>
      <c r="AG1276" s="112">
        <v>0.19137999999999999</v>
      </c>
      <c r="AI1276" s="7" t="str">
        <f>VLOOKUP($AC1276,Mapping!$E$11:$I$96,3,0)</f>
        <v>Replacement</v>
      </c>
      <c r="AJ1276" s="7" t="str">
        <f>VLOOKUP($AE1276,Mapping!$E$140:$K$2771,5,0)</f>
        <v>Contracts</v>
      </c>
      <c r="AK1276" s="7" t="str">
        <f>VLOOKUP($AE1276,Mapping!$E$140:$K$2771,7,0)</f>
        <v>ENDirect</v>
      </c>
      <c r="AL1276" s="7" t="str">
        <f>IFERROR(HLOOKUP(AJ1276,'Calc|Weightings'!$K$5:$M$5,1,0),"Excl")</f>
        <v>Contracts</v>
      </c>
      <c r="AM1276" s="7" t="str">
        <f>VLOOKUP(AC1276,Mapping!$E$11:$I$96,5,0)</f>
        <v>SCS</v>
      </c>
      <c r="AO1276" s="134">
        <v>161</v>
      </c>
      <c r="AP1276" s="135" t="s">
        <v>2171</v>
      </c>
      <c r="AQ1276" s="135">
        <v>503210</v>
      </c>
      <c r="AR1276" s="135" t="s">
        <v>166</v>
      </c>
      <c r="AS1276" s="136">
        <v>2.70661</v>
      </c>
      <c r="AU1276" s="7" t="str">
        <f>VLOOKUP($AO1276,Mapping!$E$11:$I$96,3,0)</f>
        <v>Augmentation</v>
      </c>
      <c r="AV1276" s="7" t="str">
        <f>VLOOKUP($AQ1276,Mapping!$E$140:$K$2771,5,0)</f>
        <v>Contracts</v>
      </c>
      <c r="AW1276" s="7" t="str">
        <f>VLOOKUP($AQ1276,Mapping!$E$140:$K$2771,7,0)</f>
        <v>ENDirect</v>
      </c>
      <c r="AX1276" s="7" t="str">
        <f>IFERROR(HLOOKUP(AV1276,'Calc|Weightings'!$K$5:$M$5,1,0),"Excl")</f>
        <v>Contracts</v>
      </c>
      <c r="AY1276" s="7" t="str">
        <f>VLOOKUP(AO1276,Mapping!$E$11:$I$96,5,0)</f>
        <v>SCS</v>
      </c>
    </row>
    <row r="1277" spans="1:51" x14ac:dyDescent="0.2">
      <c r="A1277" s="7"/>
      <c r="B1277" s="7"/>
      <c r="C1277" s="7"/>
      <c r="D1277" s="7"/>
      <c r="E1277" s="36">
        <v>146</v>
      </c>
      <c r="F1277" s="36" t="s">
        <v>2156</v>
      </c>
      <c r="G1277" s="36">
        <v>613419</v>
      </c>
      <c r="H1277" s="36" t="s">
        <v>1425</v>
      </c>
      <c r="I1277" s="37">
        <v>0.46599000000000002</v>
      </c>
      <c r="J1277" s="7"/>
      <c r="K1277" s="7" t="str">
        <f>VLOOKUP($E1277,Mapping!$E$11:$I$96,3,0)</f>
        <v>Quoted Opex</v>
      </c>
      <c r="L1277" s="7" t="str">
        <f>VLOOKUP($G1277,Mapping!$E$140:$K$2771,5,0)</f>
        <v>Labour</v>
      </c>
      <c r="M1277" s="7" t="str">
        <f>VLOOKUP($G1277,Mapping!$E$140:$K$2771,7,0)</f>
        <v>ENDirect</v>
      </c>
      <c r="N1277" s="7" t="str">
        <f>IFERROR(HLOOKUP(L1277,'Calc|Weightings'!$K$5:$M$5,1,0),"Excl")</f>
        <v>Labour</v>
      </c>
      <c r="O1277" s="7" t="str">
        <f>VLOOKUP(E1277,Mapping!$E$11:$I$96,5,0)</f>
        <v>Ancillary Network Services</v>
      </c>
      <c r="Q1277" s="33">
        <v>156</v>
      </c>
      <c r="R1277" s="33" t="s">
        <v>2165</v>
      </c>
      <c r="S1277" s="33">
        <v>613300</v>
      </c>
      <c r="T1277" s="33" t="s">
        <v>2197</v>
      </c>
      <c r="U1277" s="34">
        <v>1.4927999999999999</v>
      </c>
      <c r="V1277" s="7"/>
      <c r="W1277" s="7" t="str">
        <f>VLOOKUP($Q1277,Mapping!$E$11:$I$96,3,0)</f>
        <v>Replacement</v>
      </c>
      <c r="X1277" s="7" t="str">
        <f>VLOOKUP($S1277,Mapping!$E$140:$K$2771,5,0)</f>
        <v>Labour</v>
      </c>
      <c r="Y1277" s="7" t="str">
        <f>VLOOKUP($S1277,Mapping!$E$140:$K$2771,7,0)</f>
        <v>ENDirect</v>
      </c>
      <c r="Z1277" s="7" t="str">
        <f>IFERROR(HLOOKUP(X1277,'Calc|Weightings'!$K$5:$M$5,1,0),"Excl")</f>
        <v>Labour</v>
      </c>
      <c r="AA1277" s="7" t="str">
        <f>VLOOKUP(Q1277,Mapping!$E$11:$I$96,5,0)</f>
        <v>SCS</v>
      </c>
      <c r="AC1277" s="111">
        <v>157</v>
      </c>
      <c r="AD1277" s="111" t="s">
        <v>2166</v>
      </c>
      <c r="AE1277" s="111">
        <v>503350</v>
      </c>
      <c r="AF1277" s="111" t="s">
        <v>182</v>
      </c>
      <c r="AG1277" s="112">
        <v>0.11618000000000001</v>
      </c>
      <c r="AI1277" s="7" t="str">
        <f>VLOOKUP($AC1277,Mapping!$E$11:$I$96,3,0)</f>
        <v>Replacement</v>
      </c>
      <c r="AJ1277" s="7" t="str">
        <f>VLOOKUP($AE1277,Mapping!$E$140:$K$2771,5,0)</f>
        <v>Contracts</v>
      </c>
      <c r="AK1277" s="7" t="str">
        <f>VLOOKUP($AE1277,Mapping!$E$140:$K$2771,7,0)</f>
        <v>ENDirect</v>
      </c>
      <c r="AL1277" s="7" t="str">
        <f>IFERROR(HLOOKUP(AJ1277,'Calc|Weightings'!$K$5:$M$5,1,0),"Excl")</f>
        <v>Contracts</v>
      </c>
      <c r="AM1277" s="7" t="str">
        <f>VLOOKUP(AC1277,Mapping!$E$11:$I$96,5,0)</f>
        <v>SCS</v>
      </c>
      <c r="AO1277" s="134">
        <v>161</v>
      </c>
      <c r="AP1277" s="135" t="s">
        <v>2171</v>
      </c>
      <c r="AQ1277" s="135">
        <v>503240</v>
      </c>
      <c r="AR1277" s="135" t="s">
        <v>169</v>
      </c>
      <c r="AS1277" s="136">
        <v>5.2300000000000003E-3</v>
      </c>
      <c r="AU1277" s="7" t="str">
        <f>VLOOKUP($AO1277,Mapping!$E$11:$I$96,3,0)</f>
        <v>Augmentation</v>
      </c>
      <c r="AV1277" s="7" t="str">
        <f>VLOOKUP($AQ1277,Mapping!$E$140:$K$2771,5,0)</f>
        <v>Contracts</v>
      </c>
      <c r="AW1277" s="7" t="str">
        <f>VLOOKUP($AQ1277,Mapping!$E$140:$K$2771,7,0)</f>
        <v>ENDirect</v>
      </c>
      <c r="AX1277" s="7" t="str">
        <f>IFERROR(HLOOKUP(AV1277,'Calc|Weightings'!$K$5:$M$5,1,0),"Excl")</f>
        <v>Contracts</v>
      </c>
      <c r="AY1277" s="7" t="str">
        <f>VLOOKUP(AO1277,Mapping!$E$11:$I$96,5,0)</f>
        <v>SCS</v>
      </c>
    </row>
    <row r="1278" spans="1:51" x14ac:dyDescent="0.2">
      <c r="A1278" s="7"/>
      <c r="B1278" s="7"/>
      <c r="C1278" s="7"/>
      <c r="D1278" s="7"/>
      <c r="E1278" s="36">
        <v>146</v>
      </c>
      <c r="F1278" s="36" t="s">
        <v>2156</v>
      </c>
      <c r="G1278" s="36">
        <v>613428</v>
      </c>
      <c r="H1278" s="36" t="s">
        <v>1430</v>
      </c>
      <c r="I1278" s="37">
        <v>29.55593</v>
      </c>
      <c r="J1278" s="7"/>
      <c r="K1278" s="7" t="str">
        <f>VLOOKUP($E1278,Mapping!$E$11:$I$96,3,0)</f>
        <v>Quoted Opex</v>
      </c>
      <c r="L1278" s="7" t="str">
        <f>VLOOKUP($G1278,Mapping!$E$140:$K$2771,5,0)</f>
        <v>Labour</v>
      </c>
      <c r="M1278" s="7" t="str">
        <f>VLOOKUP($G1278,Mapping!$E$140:$K$2771,7,0)</f>
        <v>ENDirect</v>
      </c>
      <c r="N1278" s="7" t="str">
        <f>IFERROR(HLOOKUP(L1278,'Calc|Weightings'!$K$5:$M$5,1,0),"Excl")</f>
        <v>Labour</v>
      </c>
      <c r="O1278" s="7" t="str">
        <f>VLOOKUP(E1278,Mapping!$E$11:$I$96,5,0)</f>
        <v>Ancillary Network Services</v>
      </c>
      <c r="Q1278" s="33">
        <v>156</v>
      </c>
      <c r="R1278" s="33" t="s">
        <v>2165</v>
      </c>
      <c r="S1278" s="33">
        <v>613310</v>
      </c>
      <c r="T1278" s="33" t="s">
        <v>2095</v>
      </c>
      <c r="U1278" s="34">
        <v>686.44564000000003</v>
      </c>
      <c r="V1278" s="7"/>
      <c r="W1278" s="7" t="str">
        <f>VLOOKUP($Q1278,Mapping!$E$11:$I$96,3,0)</f>
        <v>Replacement</v>
      </c>
      <c r="X1278" s="7" t="str">
        <f>VLOOKUP($S1278,Mapping!$E$140:$K$2771,5,0)</f>
        <v>Labour</v>
      </c>
      <c r="Y1278" s="7" t="str">
        <f>VLOOKUP($S1278,Mapping!$E$140:$K$2771,7,0)</f>
        <v>ENDirect</v>
      </c>
      <c r="Z1278" s="7" t="str">
        <f>IFERROR(HLOOKUP(X1278,'Calc|Weightings'!$K$5:$M$5,1,0),"Excl")</f>
        <v>Labour</v>
      </c>
      <c r="AA1278" s="7" t="str">
        <f>VLOOKUP(Q1278,Mapping!$E$11:$I$96,5,0)</f>
        <v>SCS</v>
      </c>
      <c r="AC1278" s="111">
        <v>157</v>
      </c>
      <c r="AD1278" s="111" t="s">
        <v>2166</v>
      </c>
      <c r="AE1278" s="111">
        <v>520100</v>
      </c>
      <c r="AF1278" s="111" t="s">
        <v>2072</v>
      </c>
      <c r="AG1278" s="112">
        <v>341.22268000000003</v>
      </c>
      <c r="AI1278" s="7" t="str">
        <f>VLOOKUP($AC1278,Mapping!$E$11:$I$96,3,0)</f>
        <v>Replacement</v>
      </c>
      <c r="AJ1278" s="7" t="str">
        <f>VLOOKUP($AE1278,Mapping!$E$140:$K$2771,5,0)</f>
        <v>Materials</v>
      </c>
      <c r="AK1278" s="7" t="str">
        <f>VLOOKUP($AE1278,Mapping!$E$140:$K$2771,7,0)</f>
        <v>ENDirect</v>
      </c>
      <c r="AL1278" s="7" t="str">
        <f>IFERROR(HLOOKUP(AJ1278,'Calc|Weightings'!$K$5:$M$5,1,0),"Excl")</f>
        <v>Materials</v>
      </c>
      <c r="AM1278" s="7" t="str">
        <f>VLOOKUP(AC1278,Mapping!$E$11:$I$96,5,0)</f>
        <v>SCS</v>
      </c>
      <c r="AO1278" s="134">
        <v>161</v>
      </c>
      <c r="AP1278" s="135" t="s">
        <v>2171</v>
      </c>
      <c r="AQ1278" s="135">
        <v>503250</v>
      </c>
      <c r="AR1278" s="135" t="s">
        <v>170</v>
      </c>
      <c r="AS1278" s="136">
        <v>5.4149999999999997E-2</v>
      </c>
      <c r="AU1278" s="7" t="str">
        <f>VLOOKUP($AO1278,Mapping!$E$11:$I$96,3,0)</f>
        <v>Augmentation</v>
      </c>
      <c r="AV1278" s="7" t="str">
        <f>VLOOKUP($AQ1278,Mapping!$E$140:$K$2771,5,0)</f>
        <v>Contracts</v>
      </c>
      <c r="AW1278" s="7" t="str">
        <f>VLOOKUP($AQ1278,Mapping!$E$140:$K$2771,7,0)</f>
        <v>ENDirect</v>
      </c>
      <c r="AX1278" s="7" t="str">
        <f>IFERROR(HLOOKUP(AV1278,'Calc|Weightings'!$K$5:$M$5,1,0),"Excl")</f>
        <v>Contracts</v>
      </c>
      <c r="AY1278" s="7" t="str">
        <f>VLOOKUP(AO1278,Mapping!$E$11:$I$96,5,0)</f>
        <v>SCS</v>
      </c>
    </row>
    <row r="1279" spans="1:51" x14ac:dyDescent="0.2">
      <c r="A1279" s="7"/>
      <c r="B1279" s="7"/>
      <c r="C1279" s="7"/>
      <c r="D1279" s="7"/>
      <c r="E1279" s="36">
        <v>146</v>
      </c>
      <c r="F1279" s="36" t="s">
        <v>2156</v>
      </c>
      <c r="G1279" s="36">
        <v>613429</v>
      </c>
      <c r="H1279" s="36" t="s">
        <v>1431</v>
      </c>
      <c r="I1279" s="37">
        <v>7.0361200000000004</v>
      </c>
      <c r="J1279" s="7"/>
      <c r="K1279" s="7" t="str">
        <f>VLOOKUP($E1279,Mapping!$E$11:$I$96,3,0)</f>
        <v>Quoted Opex</v>
      </c>
      <c r="L1279" s="7" t="str">
        <f>VLOOKUP($G1279,Mapping!$E$140:$K$2771,5,0)</f>
        <v>Labour</v>
      </c>
      <c r="M1279" s="7" t="str">
        <f>VLOOKUP($G1279,Mapping!$E$140:$K$2771,7,0)</f>
        <v>ENDirect</v>
      </c>
      <c r="N1279" s="7" t="str">
        <f>IFERROR(HLOOKUP(L1279,'Calc|Weightings'!$K$5:$M$5,1,0),"Excl")</f>
        <v>Labour</v>
      </c>
      <c r="O1279" s="7" t="str">
        <f>VLOOKUP(E1279,Mapping!$E$11:$I$96,5,0)</f>
        <v>Ancillary Network Services</v>
      </c>
      <c r="Q1279" s="33">
        <v>156</v>
      </c>
      <c r="R1279" s="33" t="s">
        <v>2165</v>
      </c>
      <c r="S1279" s="33">
        <v>613311</v>
      </c>
      <c r="T1279" s="33" t="s">
        <v>2116</v>
      </c>
      <c r="U1279" s="34">
        <v>87.809700000000007</v>
      </c>
      <c r="V1279" s="7"/>
      <c r="W1279" s="7" t="str">
        <f>VLOOKUP($Q1279,Mapping!$E$11:$I$96,3,0)</f>
        <v>Replacement</v>
      </c>
      <c r="X1279" s="7" t="str">
        <f>VLOOKUP($S1279,Mapping!$E$140:$K$2771,5,0)</f>
        <v>Labour</v>
      </c>
      <c r="Y1279" s="7" t="str">
        <f>VLOOKUP($S1279,Mapping!$E$140:$K$2771,7,0)</f>
        <v>ENDirect</v>
      </c>
      <c r="Z1279" s="7" t="str">
        <f>IFERROR(HLOOKUP(X1279,'Calc|Weightings'!$K$5:$M$5,1,0),"Excl")</f>
        <v>Labour</v>
      </c>
      <c r="AA1279" s="7" t="str">
        <f>VLOOKUP(Q1279,Mapping!$E$11:$I$96,5,0)</f>
        <v>SCS</v>
      </c>
      <c r="AC1279" s="111">
        <v>157</v>
      </c>
      <c r="AD1279" s="111" t="s">
        <v>2166</v>
      </c>
      <c r="AE1279" s="111">
        <v>520200</v>
      </c>
      <c r="AF1279" s="111" t="s">
        <v>2073</v>
      </c>
      <c r="AG1279" s="112">
        <v>526.32033000000001</v>
      </c>
      <c r="AI1279" s="7" t="str">
        <f>VLOOKUP($AC1279,Mapping!$E$11:$I$96,3,0)</f>
        <v>Replacement</v>
      </c>
      <c r="AJ1279" s="7" t="str">
        <f>VLOOKUP($AE1279,Mapping!$E$140:$K$2771,5,0)</f>
        <v>Materials</v>
      </c>
      <c r="AK1279" s="7" t="str">
        <f>VLOOKUP($AE1279,Mapping!$E$140:$K$2771,7,0)</f>
        <v>ENDirect</v>
      </c>
      <c r="AL1279" s="7" t="str">
        <f>IFERROR(HLOOKUP(AJ1279,'Calc|Weightings'!$K$5:$M$5,1,0),"Excl")</f>
        <v>Materials</v>
      </c>
      <c r="AM1279" s="7" t="str">
        <f>VLOOKUP(AC1279,Mapping!$E$11:$I$96,5,0)</f>
        <v>SCS</v>
      </c>
      <c r="AO1279" s="134">
        <v>161</v>
      </c>
      <c r="AP1279" s="135" t="s">
        <v>2171</v>
      </c>
      <c r="AQ1279" s="135">
        <v>503281</v>
      </c>
      <c r="AR1279" s="135" t="s">
        <v>2198</v>
      </c>
      <c r="AS1279" s="136">
        <v>0.33005000000000001</v>
      </c>
      <c r="AU1279" s="7" t="str">
        <f>VLOOKUP($AO1279,Mapping!$E$11:$I$96,3,0)</f>
        <v>Augmentation</v>
      </c>
      <c r="AV1279" s="7" t="str">
        <f>VLOOKUP($AQ1279,Mapping!$E$140:$K$2771,5,0)</f>
        <v>Contracts</v>
      </c>
      <c r="AW1279" s="7" t="str">
        <f>VLOOKUP($AQ1279,Mapping!$E$140:$K$2771,7,0)</f>
        <v>ENDirect</v>
      </c>
      <c r="AX1279" s="7" t="str">
        <f>IFERROR(HLOOKUP(AV1279,'Calc|Weightings'!$K$5:$M$5,1,0),"Excl")</f>
        <v>Contracts</v>
      </c>
      <c r="AY1279" s="7" t="str">
        <f>VLOOKUP(AO1279,Mapping!$E$11:$I$96,5,0)</f>
        <v>SCS</v>
      </c>
    </row>
    <row r="1280" spans="1:51" x14ac:dyDescent="0.2">
      <c r="A1280" s="7"/>
      <c r="B1280" s="7"/>
      <c r="C1280" s="7"/>
      <c r="D1280" s="7"/>
      <c r="E1280" s="36">
        <v>146</v>
      </c>
      <c r="F1280" s="36" t="s">
        <v>2156</v>
      </c>
      <c r="G1280" s="36">
        <v>613438</v>
      </c>
      <c r="H1280" s="36" t="s">
        <v>1436</v>
      </c>
      <c r="I1280" s="37">
        <v>1.95987</v>
      </c>
      <c r="J1280" s="7"/>
      <c r="K1280" s="7" t="str">
        <f>VLOOKUP($E1280,Mapping!$E$11:$I$96,3,0)</f>
        <v>Quoted Opex</v>
      </c>
      <c r="L1280" s="7" t="str">
        <f>VLOOKUP($G1280,Mapping!$E$140:$K$2771,5,0)</f>
        <v>Labour</v>
      </c>
      <c r="M1280" s="7" t="str">
        <f>VLOOKUP($G1280,Mapping!$E$140:$K$2771,7,0)</f>
        <v>ENDirect</v>
      </c>
      <c r="N1280" s="7" t="str">
        <f>IFERROR(HLOOKUP(L1280,'Calc|Weightings'!$K$5:$M$5,1,0),"Excl")</f>
        <v>Labour</v>
      </c>
      <c r="O1280" s="7" t="str">
        <f>VLOOKUP(E1280,Mapping!$E$11:$I$96,5,0)</f>
        <v>Ancillary Network Services</v>
      </c>
      <c r="Q1280" s="33">
        <v>156</v>
      </c>
      <c r="R1280" s="33" t="s">
        <v>2165</v>
      </c>
      <c r="S1280" s="33">
        <v>613350</v>
      </c>
      <c r="T1280" s="33" t="s">
        <v>2096</v>
      </c>
      <c r="U1280" s="34">
        <v>6.3741500000000002</v>
      </c>
      <c r="V1280" s="7"/>
      <c r="W1280" s="7" t="str">
        <f>VLOOKUP($Q1280,Mapping!$E$11:$I$96,3,0)</f>
        <v>Replacement</v>
      </c>
      <c r="X1280" s="7" t="str">
        <f>VLOOKUP($S1280,Mapping!$E$140:$K$2771,5,0)</f>
        <v>Labour</v>
      </c>
      <c r="Y1280" s="7" t="str">
        <f>VLOOKUP($S1280,Mapping!$E$140:$K$2771,7,0)</f>
        <v>ENDirect</v>
      </c>
      <c r="Z1280" s="7" t="str">
        <f>IFERROR(HLOOKUP(X1280,'Calc|Weightings'!$K$5:$M$5,1,0),"Excl")</f>
        <v>Labour</v>
      </c>
      <c r="AA1280" s="7" t="str">
        <f>VLOOKUP(Q1280,Mapping!$E$11:$I$96,5,0)</f>
        <v>SCS</v>
      </c>
      <c r="AC1280" s="111">
        <v>157</v>
      </c>
      <c r="AD1280" s="111" t="s">
        <v>2166</v>
      </c>
      <c r="AE1280" s="111">
        <v>522100</v>
      </c>
      <c r="AF1280" s="111" t="s">
        <v>2115</v>
      </c>
      <c r="AG1280" s="112">
        <v>3.8539999999999998E-2</v>
      </c>
      <c r="AI1280" s="7" t="str">
        <f>VLOOKUP($AC1280,Mapping!$E$11:$I$96,3,0)</f>
        <v>Replacement</v>
      </c>
      <c r="AJ1280" s="7" t="str">
        <f>VLOOKUP($AE1280,Mapping!$E$140:$K$2771,5,0)</f>
        <v>Materials</v>
      </c>
      <c r="AK1280" s="7" t="str">
        <f>VLOOKUP($AE1280,Mapping!$E$140:$K$2771,7,0)</f>
        <v>ENDirect</v>
      </c>
      <c r="AL1280" s="7" t="str">
        <f>IFERROR(HLOOKUP(AJ1280,'Calc|Weightings'!$K$5:$M$5,1,0),"Excl")</f>
        <v>Materials</v>
      </c>
      <c r="AM1280" s="7" t="str">
        <f>VLOOKUP(AC1280,Mapping!$E$11:$I$96,5,0)</f>
        <v>SCS</v>
      </c>
      <c r="AO1280" s="134">
        <v>161</v>
      </c>
      <c r="AP1280" s="135" t="s">
        <v>2171</v>
      </c>
      <c r="AQ1280" s="135">
        <v>503290</v>
      </c>
      <c r="AR1280" s="135" t="s">
        <v>175</v>
      </c>
      <c r="AS1280" s="136">
        <v>0.13375999999999999</v>
      </c>
      <c r="AU1280" s="7" t="str">
        <f>VLOOKUP($AO1280,Mapping!$E$11:$I$96,3,0)</f>
        <v>Augmentation</v>
      </c>
      <c r="AV1280" s="7" t="str">
        <f>VLOOKUP($AQ1280,Mapping!$E$140:$K$2771,5,0)</f>
        <v>Contracts</v>
      </c>
      <c r="AW1280" s="7" t="str">
        <f>VLOOKUP($AQ1280,Mapping!$E$140:$K$2771,7,0)</f>
        <v>ENDirect</v>
      </c>
      <c r="AX1280" s="7" t="str">
        <f>IFERROR(HLOOKUP(AV1280,'Calc|Weightings'!$K$5:$M$5,1,0),"Excl")</f>
        <v>Contracts</v>
      </c>
      <c r="AY1280" s="7" t="str">
        <f>VLOOKUP(AO1280,Mapping!$E$11:$I$96,5,0)</f>
        <v>SCS</v>
      </c>
    </row>
    <row r="1281" spans="1:51" x14ac:dyDescent="0.2">
      <c r="A1281" s="7"/>
      <c r="B1281" s="7"/>
      <c r="C1281" s="7"/>
      <c r="D1281" s="7"/>
      <c r="E1281" s="36">
        <v>146</v>
      </c>
      <c r="F1281" s="36" t="s">
        <v>2156</v>
      </c>
      <c r="G1281" s="36">
        <v>613439</v>
      </c>
      <c r="H1281" s="36" t="s">
        <v>1437</v>
      </c>
      <c r="I1281" s="37">
        <v>7.0000000000000007E-2</v>
      </c>
      <c r="J1281" s="7"/>
      <c r="K1281" s="7" t="str">
        <f>VLOOKUP($E1281,Mapping!$E$11:$I$96,3,0)</f>
        <v>Quoted Opex</v>
      </c>
      <c r="L1281" s="7" t="str">
        <f>VLOOKUP($G1281,Mapping!$E$140:$K$2771,5,0)</f>
        <v>Labour</v>
      </c>
      <c r="M1281" s="7" t="str">
        <f>VLOOKUP($G1281,Mapping!$E$140:$K$2771,7,0)</f>
        <v>ENDirect</v>
      </c>
      <c r="N1281" s="7" t="str">
        <f>IFERROR(HLOOKUP(L1281,'Calc|Weightings'!$K$5:$M$5,1,0),"Excl")</f>
        <v>Labour</v>
      </c>
      <c r="O1281" s="7" t="str">
        <f>VLOOKUP(E1281,Mapping!$E$11:$I$96,5,0)</f>
        <v>Ancillary Network Services</v>
      </c>
      <c r="Q1281" s="33">
        <v>156</v>
      </c>
      <c r="R1281" s="33" t="s">
        <v>2165</v>
      </c>
      <c r="S1281" s="33">
        <v>613360</v>
      </c>
      <c r="T1281" s="33" t="s">
        <v>2097</v>
      </c>
      <c r="U1281" s="34">
        <v>12.28571</v>
      </c>
      <c r="V1281" s="7"/>
      <c r="W1281" s="7" t="str">
        <f>VLOOKUP($Q1281,Mapping!$E$11:$I$96,3,0)</f>
        <v>Replacement</v>
      </c>
      <c r="X1281" s="7" t="str">
        <f>VLOOKUP($S1281,Mapping!$E$140:$K$2771,5,0)</f>
        <v>Labour</v>
      </c>
      <c r="Y1281" s="7" t="str">
        <f>VLOOKUP($S1281,Mapping!$E$140:$K$2771,7,0)</f>
        <v>ENDirect</v>
      </c>
      <c r="Z1281" s="7" t="str">
        <f>IFERROR(HLOOKUP(X1281,'Calc|Weightings'!$K$5:$M$5,1,0),"Excl")</f>
        <v>Labour</v>
      </c>
      <c r="AA1281" s="7" t="str">
        <f>VLOOKUP(Q1281,Mapping!$E$11:$I$96,5,0)</f>
        <v>SCS</v>
      </c>
      <c r="AC1281" s="111">
        <v>157</v>
      </c>
      <c r="AD1281" s="111" t="s">
        <v>2166</v>
      </c>
      <c r="AE1281" s="111">
        <v>523100</v>
      </c>
      <c r="AF1281" s="111" t="s">
        <v>2074</v>
      </c>
      <c r="AG1281" s="112">
        <v>6.6865899999999998</v>
      </c>
      <c r="AI1281" s="7" t="str">
        <f>VLOOKUP($AC1281,Mapping!$E$11:$I$96,3,0)</f>
        <v>Replacement</v>
      </c>
      <c r="AJ1281" s="7" t="str">
        <f>VLOOKUP($AE1281,Mapping!$E$140:$K$2771,5,0)</f>
        <v>Materials</v>
      </c>
      <c r="AK1281" s="7" t="str">
        <f>VLOOKUP($AE1281,Mapping!$E$140:$K$2771,7,0)</f>
        <v>ENDirect</v>
      </c>
      <c r="AL1281" s="7" t="str">
        <f>IFERROR(HLOOKUP(AJ1281,'Calc|Weightings'!$K$5:$M$5,1,0),"Excl")</f>
        <v>Materials</v>
      </c>
      <c r="AM1281" s="7" t="str">
        <f>VLOOKUP(AC1281,Mapping!$E$11:$I$96,5,0)</f>
        <v>SCS</v>
      </c>
      <c r="AO1281" s="134">
        <v>161</v>
      </c>
      <c r="AP1281" s="135" t="s">
        <v>2171</v>
      </c>
      <c r="AQ1281" s="135">
        <v>503300</v>
      </c>
      <c r="AR1281" s="135" t="s">
        <v>176</v>
      </c>
      <c r="AS1281" s="136">
        <v>0.74819999999999998</v>
      </c>
      <c r="AU1281" s="7" t="str">
        <f>VLOOKUP($AO1281,Mapping!$E$11:$I$96,3,0)</f>
        <v>Augmentation</v>
      </c>
      <c r="AV1281" s="7" t="str">
        <f>VLOOKUP($AQ1281,Mapping!$E$140:$K$2771,5,0)</f>
        <v>Contracts</v>
      </c>
      <c r="AW1281" s="7" t="str">
        <f>VLOOKUP($AQ1281,Mapping!$E$140:$K$2771,7,0)</f>
        <v>ENDirect</v>
      </c>
      <c r="AX1281" s="7" t="str">
        <f>IFERROR(HLOOKUP(AV1281,'Calc|Weightings'!$K$5:$M$5,1,0),"Excl")</f>
        <v>Contracts</v>
      </c>
      <c r="AY1281" s="7" t="str">
        <f>VLOOKUP(AO1281,Mapping!$E$11:$I$96,5,0)</f>
        <v>SCS</v>
      </c>
    </row>
    <row r="1282" spans="1:51" x14ac:dyDescent="0.2">
      <c r="A1282" s="7"/>
      <c r="B1282" s="7"/>
      <c r="C1282" s="7"/>
      <c r="D1282" s="7"/>
      <c r="E1282" s="36">
        <v>146</v>
      </c>
      <c r="F1282" s="36" t="s">
        <v>2156</v>
      </c>
      <c r="G1282" s="36">
        <v>613566</v>
      </c>
      <c r="H1282" s="36" t="s">
        <v>1482</v>
      </c>
      <c r="I1282" s="37">
        <v>1.94736</v>
      </c>
      <c r="J1282" s="7"/>
      <c r="K1282" s="7" t="str">
        <f>VLOOKUP($E1282,Mapping!$E$11:$I$96,3,0)</f>
        <v>Quoted Opex</v>
      </c>
      <c r="L1282" s="7" t="str">
        <f>VLOOKUP($G1282,Mapping!$E$140:$K$2771,5,0)</f>
        <v>Labour</v>
      </c>
      <c r="M1282" s="7" t="str">
        <f>VLOOKUP($G1282,Mapping!$E$140:$K$2771,7,0)</f>
        <v>ENDirect</v>
      </c>
      <c r="N1282" s="7" t="str">
        <f>IFERROR(HLOOKUP(L1282,'Calc|Weightings'!$K$5:$M$5,1,0),"Excl")</f>
        <v>Labour</v>
      </c>
      <c r="O1282" s="7" t="str">
        <f>VLOOKUP(E1282,Mapping!$E$11:$I$96,5,0)</f>
        <v>Ancillary Network Services</v>
      </c>
      <c r="Q1282" s="33">
        <v>156</v>
      </c>
      <c r="R1282" s="33" t="s">
        <v>2165</v>
      </c>
      <c r="S1282" s="33">
        <v>613370</v>
      </c>
      <c r="T1282" s="33" t="s">
        <v>1402</v>
      </c>
      <c r="U1282" s="34">
        <v>9.2050000000000001</v>
      </c>
      <c r="V1282" s="7"/>
      <c r="W1282" s="7" t="str">
        <f>VLOOKUP($Q1282,Mapping!$E$11:$I$96,3,0)</f>
        <v>Replacement</v>
      </c>
      <c r="X1282" s="7" t="str">
        <f>VLOOKUP($S1282,Mapping!$E$140:$K$2771,5,0)</f>
        <v>Labour</v>
      </c>
      <c r="Y1282" s="7" t="str">
        <f>VLOOKUP($S1282,Mapping!$E$140:$K$2771,7,0)</f>
        <v>ENDirect</v>
      </c>
      <c r="Z1282" s="7" t="str">
        <f>IFERROR(HLOOKUP(X1282,'Calc|Weightings'!$K$5:$M$5,1,0),"Excl")</f>
        <v>Labour</v>
      </c>
      <c r="AA1282" s="7" t="str">
        <f>VLOOKUP(Q1282,Mapping!$E$11:$I$96,5,0)</f>
        <v>SCS</v>
      </c>
      <c r="AC1282" s="111">
        <v>157</v>
      </c>
      <c r="AD1282" s="111" t="s">
        <v>2166</v>
      </c>
      <c r="AE1282" s="111">
        <v>523300</v>
      </c>
      <c r="AF1282" s="111" t="s">
        <v>2075</v>
      </c>
      <c r="AG1282" s="112">
        <v>24.15</v>
      </c>
      <c r="AI1282" s="7" t="str">
        <f>VLOOKUP($AC1282,Mapping!$E$11:$I$96,3,0)</f>
        <v>Replacement</v>
      </c>
      <c r="AJ1282" s="7" t="str">
        <f>VLOOKUP($AE1282,Mapping!$E$140:$K$2771,5,0)</f>
        <v>Materials</v>
      </c>
      <c r="AK1282" s="7" t="str">
        <f>VLOOKUP($AE1282,Mapping!$E$140:$K$2771,7,0)</f>
        <v>ENDirect</v>
      </c>
      <c r="AL1282" s="7" t="str">
        <f>IFERROR(HLOOKUP(AJ1282,'Calc|Weightings'!$K$5:$M$5,1,0),"Excl")</f>
        <v>Materials</v>
      </c>
      <c r="AM1282" s="7" t="str">
        <f>VLOOKUP(AC1282,Mapping!$E$11:$I$96,5,0)</f>
        <v>SCS</v>
      </c>
      <c r="AO1282" s="134">
        <v>161</v>
      </c>
      <c r="AP1282" s="135" t="s">
        <v>2171</v>
      </c>
      <c r="AQ1282" s="135">
        <v>503330</v>
      </c>
      <c r="AR1282" s="135" t="s">
        <v>180</v>
      </c>
      <c r="AS1282" s="136">
        <v>0.54910000000000003</v>
      </c>
      <c r="AU1282" s="7" t="str">
        <f>VLOOKUP($AO1282,Mapping!$E$11:$I$96,3,0)</f>
        <v>Augmentation</v>
      </c>
      <c r="AV1282" s="7" t="str">
        <f>VLOOKUP($AQ1282,Mapping!$E$140:$K$2771,5,0)</f>
        <v>Contracts</v>
      </c>
      <c r="AW1282" s="7" t="str">
        <f>VLOOKUP($AQ1282,Mapping!$E$140:$K$2771,7,0)</f>
        <v>ENDirect</v>
      </c>
      <c r="AX1282" s="7" t="str">
        <f>IFERROR(HLOOKUP(AV1282,'Calc|Weightings'!$K$5:$M$5,1,0),"Excl")</f>
        <v>Contracts</v>
      </c>
      <c r="AY1282" s="7" t="str">
        <f>VLOOKUP(AO1282,Mapping!$E$11:$I$96,5,0)</f>
        <v>SCS</v>
      </c>
    </row>
    <row r="1283" spans="1:51" x14ac:dyDescent="0.2">
      <c r="A1283" s="7"/>
      <c r="B1283" s="7"/>
      <c r="C1283" s="7"/>
      <c r="D1283" s="7"/>
      <c r="E1283" s="36">
        <v>146</v>
      </c>
      <c r="F1283" s="36" t="s">
        <v>2156</v>
      </c>
      <c r="G1283" s="36">
        <v>613567</v>
      </c>
      <c r="H1283" s="36" t="s">
        <v>1483</v>
      </c>
      <c r="I1283" s="37">
        <v>0.12171</v>
      </c>
      <c r="J1283" s="7"/>
      <c r="K1283" s="7" t="str">
        <f>VLOOKUP($E1283,Mapping!$E$11:$I$96,3,0)</f>
        <v>Quoted Opex</v>
      </c>
      <c r="L1283" s="7" t="str">
        <f>VLOOKUP($G1283,Mapping!$E$140:$K$2771,5,0)</f>
        <v>Labour</v>
      </c>
      <c r="M1283" s="7" t="str">
        <f>VLOOKUP($G1283,Mapping!$E$140:$K$2771,7,0)</f>
        <v>ENDirect</v>
      </c>
      <c r="N1283" s="7" t="str">
        <f>IFERROR(HLOOKUP(L1283,'Calc|Weightings'!$K$5:$M$5,1,0),"Excl")</f>
        <v>Labour</v>
      </c>
      <c r="O1283" s="7" t="str">
        <f>VLOOKUP(E1283,Mapping!$E$11:$I$96,5,0)</f>
        <v>Ancillary Network Services</v>
      </c>
      <c r="Q1283" s="33">
        <v>156</v>
      </c>
      <c r="R1283" s="33" t="s">
        <v>2165</v>
      </c>
      <c r="S1283" s="33">
        <v>613440</v>
      </c>
      <c r="T1283" s="33" t="s">
        <v>2103</v>
      </c>
      <c r="U1283" s="34">
        <v>21.86196</v>
      </c>
      <c r="V1283" s="7"/>
      <c r="W1283" s="7" t="str">
        <f>VLOOKUP($Q1283,Mapping!$E$11:$I$96,3,0)</f>
        <v>Replacement</v>
      </c>
      <c r="X1283" s="7" t="str">
        <f>VLOOKUP($S1283,Mapping!$E$140:$K$2771,5,0)</f>
        <v>Labour</v>
      </c>
      <c r="Y1283" s="7" t="str">
        <f>VLOOKUP($S1283,Mapping!$E$140:$K$2771,7,0)</f>
        <v>ENDirect</v>
      </c>
      <c r="Z1283" s="7" t="str">
        <f>IFERROR(HLOOKUP(X1283,'Calc|Weightings'!$K$5:$M$5,1,0),"Excl")</f>
        <v>Labour</v>
      </c>
      <c r="AA1283" s="7" t="str">
        <f>VLOOKUP(Q1283,Mapping!$E$11:$I$96,5,0)</f>
        <v>SCS</v>
      </c>
      <c r="AC1283" s="111">
        <v>157</v>
      </c>
      <c r="AD1283" s="111" t="s">
        <v>2166</v>
      </c>
      <c r="AE1283" s="111">
        <v>531000</v>
      </c>
      <c r="AF1283" s="111" t="s">
        <v>242</v>
      </c>
      <c r="AG1283" s="112">
        <v>182.78153</v>
      </c>
      <c r="AI1283" s="7" t="str">
        <f>VLOOKUP($AC1283,Mapping!$E$11:$I$96,3,0)</f>
        <v>Replacement</v>
      </c>
      <c r="AJ1283" s="7" t="str">
        <f>VLOOKUP($AE1283,Mapping!$E$140:$K$2771,5,0)</f>
        <v>Contracts</v>
      </c>
      <c r="AK1283" s="7" t="str">
        <f>VLOOKUP($AE1283,Mapping!$E$140:$K$2771,7,0)</f>
        <v>ENDirect</v>
      </c>
      <c r="AL1283" s="7" t="str">
        <f>IFERROR(HLOOKUP(AJ1283,'Calc|Weightings'!$K$5:$M$5,1,0),"Excl")</f>
        <v>Contracts</v>
      </c>
      <c r="AM1283" s="7" t="str">
        <f>VLOOKUP(AC1283,Mapping!$E$11:$I$96,5,0)</f>
        <v>SCS</v>
      </c>
      <c r="AO1283" s="134">
        <v>161</v>
      </c>
      <c r="AP1283" s="135" t="s">
        <v>2171</v>
      </c>
      <c r="AQ1283" s="135">
        <v>503350</v>
      </c>
      <c r="AR1283" s="135" t="s">
        <v>182</v>
      </c>
      <c r="AS1283" s="136">
        <v>0.82742000000000004</v>
      </c>
      <c r="AU1283" s="7" t="str">
        <f>VLOOKUP($AO1283,Mapping!$E$11:$I$96,3,0)</f>
        <v>Augmentation</v>
      </c>
      <c r="AV1283" s="7" t="str">
        <f>VLOOKUP($AQ1283,Mapping!$E$140:$K$2771,5,0)</f>
        <v>Contracts</v>
      </c>
      <c r="AW1283" s="7" t="str">
        <f>VLOOKUP($AQ1283,Mapping!$E$140:$K$2771,7,0)</f>
        <v>ENDirect</v>
      </c>
      <c r="AX1283" s="7" t="str">
        <f>IFERROR(HLOOKUP(AV1283,'Calc|Weightings'!$K$5:$M$5,1,0),"Excl")</f>
        <v>Contracts</v>
      </c>
      <c r="AY1283" s="7" t="str">
        <f>VLOOKUP(AO1283,Mapping!$E$11:$I$96,5,0)</f>
        <v>SCS</v>
      </c>
    </row>
    <row r="1284" spans="1:51" x14ac:dyDescent="0.2">
      <c r="A1284" s="7"/>
      <c r="B1284" s="7"/>
      <c r="C1284" s="7"/>
      <c r="D1284" s="7"/>
      <c r="E1284" s="36">
        <v>146</v>
      </c>
      <c r="F1284" s="36" t="s">
        <v>2156</v>
      </c>
      <c r="G1284" s="36">
        <v>613570</v>
      </c>
      <c r="H1284" s="36" t="s">
        <v>1484</v>
      </c>
      <c r="I1284" s="37">
        <v>0.97367999999999999</v>
      </c>
      <c r="J1284" s="7"/>
      <c r="K1284" s="7" t="str">
        <f>VLOOKUP($E1284,Mapping!$E$11:$I$96,3,0)</f>
        <v>Quoted Opex</v>
      </c>
      <c r="L1284" s="7" t="str">
        <f>VLOOKUP($G1284,Mapping!$E$140:$K$2771,5,0)</f>
        <v>Labour</v>
      </c>
      <c r="M1284" s="7" t="str">
        <f>VLOOKUP($G1284,Mapping!$E$140:$K$2771,7,0)</f>
        <v>ENDirect</v>
      </c>
      <c r="N1284" s="7" t="str">
        <f>IFERROR(HLOOKUP(L1284,'Calc|Weightings'!$K$5:$M$5,1,0),"Excl")</f>
        <v>Labour</v>
      </c>
      <c r="O1284" s="7" t="str">
        <f>VLOOKUP(E1284,Mapping!$E$11:$I$96,5,0)</f>
        <v>Ancillary Network Services</v>
      </c>
      <c r="Q1284" s="33">
        <v>156</v>
      </c>
      <c r="R1284" s="33" t="s">
        <v>2165</v>
      </c>
      <c r="S1284" s="33">
        <v>613460</v>
      </c>
      <c r="T1284" s="33" t="s">
        <v>2167</v>
      </c>
      <c r="U1284" s="34">
        <v>23.586960000000001</v>
      </c>
      <c r="V1284" s="7"/>
      <c r="W1284" s="7" t="str">
        <f>VLOOKUP($Q1284,Mapping!$E$11:$I$96,3,0)</f>
        <v>Replacement</v>
      </c>
      <c r="X1284" s="7" t="str">
        <f>VLOOKUP($S1284,Mapping!$E$140:$K$2771,5,0)</f>
        <v>Labour</v>
      </c>
      <c r="Y1284" s="7" t="str">
        <f>VLOOKUP($S1284,Mapping!$E$140:$K$2771,7,0)</f>
        <v>ENDirect</v>
      </c>
      <c r="Z1284" s="7" t="str">
        <f>IFERROR(HLOOKUP(X1284,'Calc|Weightings'!$K$5:$M$5,1,0),"Excl")</f>
        <v>Labour</v>
      </c>
      <c r="AA1284" s="7" t="str">
        <f>VLOOKUP(Q1284,Mapping!$E$11:$I$96,5,0)</f>
        <v>SCS</v>
      </c>
      <c r="AC1284" s="111">
        <v>157</v>
      </c>
      <c r="AD1284" s="111" t="s">
        <v>2166</v>
      </c>
      <c r="AE1284" s="111">
        <v>531020</v>
      </c>
      <c r="AF1284" s="111" t="s">
        <v>219</v>
      </c>
      <c r="AG1284" s="112">
        <v>15.65141</v>
      </c>
      <c r="AI1284" s="7" t="str">
        <f>VLOOKUP($AC1284,Mapping!$E$11:$I$96,3,0)</f>
        <v>Replacement</v>
      </c>
      <c r="AJ1284" s="7" t="str">
        <f>VLOOKUP($AE1284,Mapping!$E$140:$K$2771,5,0)</f>
        <v>Labour</v>
      </c>
      <c r="AK1284" s="7" t="str">
        <f>VLOOKUP($AE1284,Mapping!$E$140:$K$2771,7,0)</f>
        <v>ENDirect</v>
      </c>
      <c r="AL1284" s="7" t="str">
        <f>IFERROR(HLOOKUP(AJ1284,'Calc|Weightings'!$K$5:$M$5,1,0),"Excl")</f>
        <v>Labour</v>
      </c>
      <c r="AM1284" s="7" t="str">
        <f>VLOOKUP(AC1284,Mapping!$E$11:$I$96,5,0)</f>
        <v>SCS</v>
      </c>
      <c r="AO1284" s="134">
        <v>161</v>
      </c>
      <c r="AP1284" s="135" t="s">
        <v>2171</v>
      </c>
      <c r="AQ1284" s="135">
        <v>520100</v>
      </c>
      <c r="AR1284" s="135" t="s">
        <v>2072</v>
      </c>
      <c r="AS1284" s="136">
        <v>803.88919999999996</v>
      </c>
      <c r="AU1284" s="7" t="str">
        <f>VLOOKUP($AO1284,Mapping!$E$11:$I$96,3,0)</f>
        <v>Augmentation</v>
      </c>
      <c r="AV1284" s="7" t="str">
        <f>VLOOKUP($AQ1284,Mapping!$E$140:$K$2771,5,0)</f>
        <v>Materials</v>
      </c>
      <c r="AW1284" s="7" t="str">
        <f>VLOOKUP($AQ1284,Mapping!$E$140:$K$2771,7,0)</f>
        <v>ENDirect</v>
      </c>
      <c r="AX1284" s="7" t="str">
        <f>IFERROR(HLOOKUP(AV1284,'Calc|Weightings'!$K$5:$M$5,1,0),"Excl")</f>
        <v>Materials</v>
      </c>
      <c r="AY1284" s="7" t="str">
        <f>VLOOKUP(AO1284,Mapping!$E$11:$I$96,5,0)</f>
        <v>SCS</v>
      </c>
    </row>
    <row r="1285" spans="1:51" x14ac:dyDescent="0.2">
      <c r="A1285" s="7"/>
      <c r="B1285" s="7"/>
      <c r="C1285" s="7"/>
      <c r="D1285" s="7"/>
      <c r="E1285" s="36">
        <v>146</v>
      </c>
      <c r="F1285" s="36" t="s">
        <v>2156</v>
      </c>
      <c r="G1285" s="36">
        <v>613574</v>
      </c>
      <c r="H1285" s="36" t="s">
        <v>1488</v>
      </c>
      <c r="I1285" s="37">
        <v>5.9426800000000002</v>
      </c>
      <c r="J1285" s="7"/>
      <c r="K1285" s="7" t="str">
        <f>VLOOKUP($E1285,Mapping!$E$11:$I$96,3,0)</f>
        <v>Quoted Opex</v>
      </c>
      <c r="L1285" s="7" t="str">
        <f>VLOOKUP($G1285,Mapping!$E$140:$K$2771,5,0)</f>
        <v>Labour</v>
      </c>
      <c r="M1285" s="7" t="str">
        <f>VLOOKUP($G1285,Mapping!$E$140:$K$2771,7,0)</f>
        <v>ENDirect</v>
      </c>
      <c r="N1285" s="7" t="str">
        <f>IFERROR(HLOOKUP(L1285,'Calc|Weightings'!$K$5:$M$5,1,0),"Excl")</f>
        <v>Labour</v>
      </c>
      <c r="O1285" s="7" t="str">
        <f>VLOOKUP(E1285,Mapping!$E$11:$I$96,5,0)</f>
        <v>Ancillary Network Services</v>
      </c>
      <c r="Q1285" s="33">
        <v>156</v>
      </c>
      <c r="R1285" s="33" t="s">
        <v>2165</v>
      </c>
      <c r="S1285" s="33">
        <v>613566</v>
      </c>
      <c r="T1285" s="33" t="s">
        <v>1482</v>
      </c>
      <c r="U1285" s="34">
        <v>183.94942</v>
      </c>
      <c r="V1285" s="7"/>
      <c r="W1285" s="7" t="str">
        <f>VLOOKUP($Q1285,Mapping!$E$11:$I$96,3,0)</f>
        <v>Replacement</v>
      </c>
      <c r="X1285" s="7" t="str">
        <f>VLOOKUP($S1285,Mapping!$E$140:$K$2771,5,0)</f>
        <v>Labour</v>
      </c>
      <c r="Y1285" s="7" t="str">
        <f>VLOOKUP($S1285,Mapping!$E$140:$K$2771,7,0)</f>
        <v>ENDirect</v>
      </c>
      <c r="Z1285" s="7" t="str">
        <f>IFERROR(HLOOKUP(X1285,'Calc|Weightings'!$K$5:$M$5,1,0),"Excl")</f>
        <v>Labour</v>
      </c>
      <c r="AA1285" s="7" t="str">
        <f>VLOOKUP(Q1285,Mapping!$E$11:$I$96,5,0)</f>
        <v>SCS</v>
      </c>
      <c r="AC1285" s="111">
        <v>157</v>
      </c>
      <c r="AD1285" s="111" t="s">
        <v>2166</v>
      </c>
      <c r="AE1285" s="111">
        <v>531200</v>
      </c>
      <c r="AF1285" s="111" t="s">
        <v>250</v>
      </c>
      <c r="AG1285" s="112">
        <v>45.919910000000002</v>
      </c>
      <c r="AI1285" s="7" t="str">
        <f>VLOOKUP($AC1285,Mapping!$E$11:$I$96,3,0)</f>
        <v>Replacement</v>
      </c>
      <c r="AJ1285" s="7" t="str">
        <f>VLOOKUP($AE1285,Mapping!$E$140:$K$2771,5,0)</f>
        <v>Contracts</v>
      </c>
      <c r="AK1285" s="7" t="str">
        <f>VLOOKUP($AE1285,Mapping!$E$140:$K$2771,7,0)</f>
        <v>ENDirect</v>
      </c>
      <c r="AL1285" s="7" t="str">
        <f>IFERROR(HLOOKUP(AJ1285,'Calc|Weightings'!$K$5:$M$5,1,0),"Excl")</f>
        <v>Contracts</v>
      </c>
      <c r="AM1285" s="7" t="str">
        <f>VLOOKUP(AC1285,Mapping!$E$11:$I$96,5,0)</f>
        <v>SCS</v>
      </c>
      <c r="AO1285" s="134">
        <v>161</v>
      </c>
      <c r="AP1285" s="135" t="s">
        <v>2171</v>
      </c>
      <c r="AQ1285" s="135">
        <v>520200</v>
      </c>
      <c r="AR1285" s="135" t="s">
        <v>2073</v>
      </c>
      <c r="AS1285" s="136">
        <v>41.048459999999999</v>
      </c>
      <c r="AU1285" s="7" t="str">
        <f>VLOOKUP($AO1285,Mapping!$E$11:$I$96,3,0)</f>
        <v>Augmentation</v>
      </c>
      <c r="AV1285" s="7" t="str">
        <f>VLOOKUP($AQ1285,Mapping!$E$140:$K$2771,5,0)</f>
        <v>Materials</v>
      </c>
      <c r="AW1285" s="7" t="str">
        <f>VLOOKUP($AQ1285,Mapping!$E$140:$K$2771,7,0)</f>
        <v>ENDirect</v>
      </c>
      <c r="AX1285" s="7" t="str">
        <f>IFERROR(HLOOKUP(AV1285,'Calc|Weightings'!$K$5:$M$5,1,0),"Excl")</f>
        <v>Materials</v>
      </c>
      <c r="AY1285" s="7" t="str">
        <f>VLOOKUP(AO1285,Mapping!$E$11:$I$96,5,0)</f>
        <v>SCS</v>
      </c>
    </row>
    <row r="1286" spans="1:51" x14ac:dyDescent="0.2">
      <c r="A1286" s="7"/>
      <c r="B1286" s="7"/>
      <c r="C1286" s="7"/>
      <c r="D1286" s="7"/>
      <c r="E1286" s="36">
        <v>146</v>
      </c>
      <c r="F1286" s="36" t="s">
        <v>2156</v>
      </c>
      <c r="G1286" s="36">
        <v>613630</v>
      </c>
      <c r="H1286" s="36" t="s">
        <v>1498</v>
      </c>
      <c r="I1286" s="37">
        <v>0.15851000000000001</v>
      </c>
      <c r="J1286" s="7"/>
      <c r="K1286" s="7" t="str">
        <f>VLOOKUP($E1286,Mapping!$E$11:$I$96,3,0)</f>
        <v>Quoted Opex</v>
      </c>
      <c r="L1286" s="7" t="str">
        <f>VLOOKUP($G1286,Mapping!$E$140:$K$2771,5,0)</f>
        <v>Labour</v>
      </c>
      <c r="M1286" s="7" t="str">
        <f>VLOOKUP($G1286,Mapping!$E$140:$K$2771,7,0)</f>
        <v>ENDirect</v>
      </c>
      <c r="N1286" s="7" t="str">
        <f>IFERROR(HLOOKUP(L1286,'Calc|Weightings'!$K$5:$M$5,1,0),"Excl")</f>
        <v>Labour</v>
      </c>
      <c r="O1286" s="7" t="str">
        <f>VLOOKUP(E1286,Mapping!$E$11:$I$96,5,0)</f>
        <v>Ancillary Network Services</v>
      </c>
      <c r="Q1286" s="33">
        <v>156</v>
      </c>
      <c r="R1286" s="33" t="s">
        <v>2165</v>
      </c>
      <c r="S1286" s="33">
        <v>613567</v>
      </c>
      <c r="T1286" s="33" t="s">
        <v>1483</v>
      </c>
      <c r="U1286" s="34">
        <v>10.928610000000001</v>
      </c>
      <c r="V1286" s="7"/>
      <c r="W1286" s="7" t="str">
        <f>VLOOKUP($Q1286,Mapping!$E$11:$I$96,3,0)</f>
        <v>Replacement</v>
      </c>
      <c r="X1286" s="7" t="str">
        <f>VLOOKUP($S1286,Mapping!$E$140:$K$2771,5,0)</f>
        <v>Labour</v>
      </c>
      <c r="Y1286" s="7" t="str">
        <f>VLOOKUP($S1286,Mapping!$E$140:$K$2771,7,0)</f>
        <v>ENDirect</v>
      </c>
      <c r="Z1286" s="7" t="str">
        <f>IFERROR(HLOOKUP(X1286,'Calc|Weightings'!$K$5:$M$5,1,0),"Excl")</f>
        <v>Labour</v>
      </c>
      <c r="AA1286" s="7" t="str">
        <f>VLOOKUP(Q1286,Mapping!$E$11:$I$96,5,0)</f>
        <v>SCS</v>
      </c>
      <c r="AC1286" s="111">
        <v>157</v>
      </c>
      <c r="AD1286" s="111" t="s">
        <v>2166</v>
      </c>
      <c r="AE1286" s="111">
        <v>531201</v>
      </c>
      <c r="AF1286" s="111" t="s">
        <v>251</v>
      </c>
      <c r="AG1286" s="112">
        <v>1.3788499999999999</v>
      </c>
      <c r="AI1286" s="7" t="str">
        <f>VLOOKUP($AC1286,Mapping!$E$11:$I$96,3,0)</f>
        <v>Replacement</v>
      </c>
      <c r="AJ1286" s="7" t="str">
        <f>VLOOKUP($AE1286,Mapping!$E$140:$K$2771,5,0)</f>
        <v>Contracts</v>
      </c>
      <c r="AK1286" s="7" t="str">
        <f>VLOOKUP($AE1286,Mapping!$E$140:$K$2771,7,0)</f>
        <v>ENDirect</v>
      </c>
      <c r="AL1286" s="7" t="str">
        <f>IFERROR(HLOOKUP(AJ1286,'Calc|Weightings'!$K$5:$M$5,1,0),"Excl")</f>
        <v>Contracts</v>
      </c>
      <c r="AM1286" s="7" t="str">
        <f>VLOOKUP(AC1286,Mapping!$E$11:$I$96,5,0)</f>
        <v>SCS</v>
      </c>
      <c r="AO1286" s="134">
        <v>161</v>
      </c>
      <c r="AP1286" s="135" t="s">
        <v>2171</v>
      </c>
      <c r="AQ1286" s="135">
        <v>522100</v>
      </c>
      <c r="AR1286" s="135" t="s">
        <v>2115</v>
      </c>
      <c r="AS1286" s="136">
        <v>3.5049999999999998E-2</v>
      </c>
      <c r="AU1286" s="7" t="str">
        <f>VLOOKUP($AO1286,Mapping!$E$11:$I$96,3,0)</f>
        <v>Augmentation</v>
      </c>
      <c r="AV1286" s="7" t="str">
        <f>VLOOKUP($AQ1286,Mapping!$E$140:$K$2771,5,0)</f>
        <v>Materials</v>
      </c>
      <c r="AW1286" s="7" t="str">
        <f>VLOOKUP($AQ1286,Mapping!$E$140:$K$2771,7,0)</f>
        <v>ENDirect</v>
      </c>
      <c r="AX1286" s="7" t="str">
        <f>IFERROR(HLOOKUP(AV1286,'Calc|Weightings'!$K$5:$M$5,1,0),"Excl")</f>
        <v>Materials</v>
      </c>
      <c r="AY1286" s="7" t="str">
        <f>VLOOKUP(AO1286,Mapping!$E$11:$I$96,5,0)</f>
        <v>SCS</v>
      </c>
    </row>
    <row r="1287" spans="1:51" x14ac:dyDescent="0.2">
      <c r="A1287" s="7"/>
      <c r="B1287" s="7"/>
      <c r="C1287" s="7"/>
      <c r="D1287" s="7"/>
      <c r="E1287" s="36">
        <v>146</v>
      </c>
      <c r="F1287" s="36" t="s">
        <v>2156</v>
      </c>
      <c r="G1287" s="36">
        <v>633000</v>
      </c>
      <c r="H1287" s="36" t="s">
        <v>2202</v>
      </c>
      <c r="I1287" s="37">
        <v>83.307149999999993</v>
      </c>
      <c r="J1287" s="7"/>
      <c r="K1287" s="7" t="str">
        <f>VLOOKUP($E1287,Mapping!$E$11:$I$96,3,0)</f>
        <v>Quoted Opex</v>
      </c>
      <c r="L1287" s="7" t="str">
        <f>VLOOKUP($G1287,Mapping!$E$140:$K$2771,5,0)</f>
        <v>Contracts</v>
      </c>
      <c r="M1287" s="7" t="str">
        <f>VLOOKUP($G1287,Mapping!$E$140:$K$2771,7,0)</f>
        <v>OH</v>
      </c>
      <c r="N1287" s="7" t="str">
        <f>IFERROR(HLOOKUP(L1287,'Calc|Weightings'!$K$5:$M$5,1,0),"Excl")</f>
        <v>Contracts</v>
      </c>
      <c r="O1287" s="7" t="str">
        <f>VLOOKUP(E1287,Mapping!$E$11:$I$96,5,0)</f>
        <v>Ancillary Network Services</v>
      </c>
      <c r="Q1287" s="33">
        <v>156</v>
      </c>
      <c r="R1287" s="33" t="s">
        <v>2165</v>
      </c>
      <c r="S1287" s="33">
        <v>613576</v>
      </c>
      <c r="T1287" s="33" t="s">
        <v>1490</v>
      </c>
      <c r="U1287" s="34">
        <v>93.065939999999998</v>
      </c>
      <c r="V1287" s="7"/>
      <c r="W1287" s="7" t="str">
        <f>VLOOKUP($Q1287,Mapping!$E$11:$I$96,3,0)</f>
        <v>Replacement</v>
      </c>
      <c r="X1287" s="7" t="str">
        <f>VLOOKUP($S1287,Mapping!$E$140:$K$2771,5,0)</f>
        <v>Labour</v>
      </c>
      <c r="Y1287" s="7" t="str">
        <f>VLOOKUP($S1287,Mapping!$E$140:$K$2771,7,0)</f>
        <v>ENDirect</v>
      </c>
      <c r="Z1287" s="7" t="str">
        <f>IFERROR(HLOOKUP(X1287,'Calc|Weightings'!$K$5:$M$5,1,0),"Excl")</f>
        <v>Labour</v>
      </c>
      <c r="AA1287" s="7" t="str">
        <f>VLOOKUP(Q1287,Mapping!$E$11:$I$96,5,0)</f>
        <v>SCS</v>
      </c>
      <c r="AC1287" s="111">
        <v>157</v>
      </c>
      <c r="AD1287" s="111" t="s">
        <v>2166</v>
      </c>
      <c r="AE1287" s="111">
        <v>531464</v>
      </c>
      <c r="AF1287" s="111" t="s">
        <v>256</v>
      </c>
      <c r="AG1287" s="112">
        <v>2.5869800000000001</v>
      </c>
      <c r="AI1287" s="7" t="str">
        <f>VLOOKUP($AC1287,Mapping!$E$11:$I$96,3,0)</f>
        <v>Replacement</v>
      </c>
      <c r="AJ1287" s="7" t="str">
        <f>VLOOKUP($AE1287,Mapping!$E$140:$K$2771,5,0)</f>
        <v>Contracts</v>
      </c>
      <c r="AK1287" s="7" t="str">
        <f>VLOOKUP($AE1287,Mapping!$E$140:$K$2771,7,0)</f>
        <v>ENDirect</v>
      </c>
      <c r="AL1287" s="7" t="str">
        <f>IFERROR(HLOOKUP(AJ1287,'Calc|Weightings'!$K$5:$M$5,1,0),"Excl")</f>
        <v>Contracts</v>
      </c>
      <c r="AM1287" s="7" t="str">
        <f>VLOOKUP(AC1287,Mapping!$E$11:$I$96,5,0)</f>
        <v>SCS</v>
      </c>
      <c r="AO1287" s="134">
        <v>161</v>
      </c>
      <c r="AP1287" s="135" t="s">
        <v>2171</v>
      </c>
      <c r="AQ1287" s="135">
        <v>522200</v>
      </c>
      <c r="AR1287" s="135" t="s">
        <v>2121</v>
      </c>
      <c r="AS1287" s="136">
        <v>-1.8159999999999999E-2</v>
      </c>
      <c r="AU1287" s="7" t="str">
        <f>VLOOKUP($AO1287,Mapping!$E$11:$I$96,3,0)</f>
        <v>Augmentation</v>
      </c>
      <c r="AV1287" s="7" t="str">
        <f>VLOOKUP($AQ1287,Mapping!$E$140:$K$2771,5,0)</f>
        <v>Materials</v>
      </c>
      <c r="AW1287" s="7" t="str">
        <f>VLOOKUP($AQ1287,Mapping!$E$140:$K$2771,7,0)</f>
        <v>ENDirect</v>
      </c>
      <c r="AX1287" s="7" t="str">
        <f>IFERROR(HLOOKUP(AV1287,'Calc|Weightings'!$K$5:$M$5,1,0),"Excl")</f>
        <v>Materials</v>
      </c>
      <c r="AY1287" s="7" t="str">
        <f>VLOOKUP(AO1287,Mapping!$E$11:$I$96,5,0)</f>
        <v>SCS</v>
      </c>
    </row>
    <row r="1288" spans="1:51" x14ac:dyDescent="0.2">
      <c r="A1288" s="7"/>
      <c r="B1288" s="7"/>
      <c r="C1288" s="7"/>
      <c r="D1288" s="7"/>
      <c r="E1288" s="36">
        <v>146</v>
      </c>
      <c r="F1288" s="36" t="s">
        <v>2156</v>
      </c>
      <c r="G1288" s="36">
        <v>634001</v>
      </c>
      <c r="H1288" s="36" t="s">
        <v>2110</v>
      </c>
      <c r="I1288" s="37">
        <v>33.775390000000002</v>
      </c>
      <c r="J1288" s="7"/>
      <c r="K1288" s="7" t="str">
        <f>VLOOKUP($E1288,Mapping!$E$11:$I$96,3,0)</f>
        <v>Quoted Opex</v>
      </c>
      <c r="L1288" s="7" t="str">
        <f>VLOOKUP($G1288,Mapping!$E$140:$K$2771,5,0)</f>
        <v>Local OH</v>
      </c>
      <c r="M1288" s="7" t="str">
        <f>VLOOKUP($G1288,Mapping!$E$140:$K$2771,7,0)</f>
        <v>OH</v>
      </c>
      <c r="N1288" s="7" t="str">
        <f>IFERROR(HLOOKUP(L1288,'Calc|Weightings'!$K$5:$M$5,1,0),"Excl")</f>
        <v>Excl</v>
      </c>
      <c r="O1288" s="7" t="str">
        <f>VLOOKUP(E1288,Mapping!$E$11:$I$96,5,0)</f>
        <v>Ancillary Network Services</v>
      </c>
      <c r="Q1288" s="33">
        <v>156</v>
      </c>
      <c r="R1288" s="33" t="s">
        <v>2165</v>
      </c>
      <c r="S1288" s="33">
        <v>613577</v>
      </c>
      <c r="T1288" s="33" t="s">
        <v>1491</v>
      </c>
      <c r="U1288" s="34">
        <v>7.2911999999999999</v>
      </c>
      <c r="V1288" s="7"/>
      <c r="W1288" s="7" t="str">
        <f>VLOOKUP($Q1288,Mapping!$E$11:$I$96,3,0)</f>
        <v>Replacement</v>
      </c>
      <c r="X1288" s="7" t="str">
        <f>VLOOKUP($S1288,Mapping!$E$140:$K$2771,5,0)</f>
        <v>Labour</v>
      </c>
      <c r="Y1288" s="7" t="str">
        <f>VLOOKUP($S1288,Mapping!$E$140:$K$2771,7,0)</f>
        <v>ENDirect</v>
      </c>
      <c r="Z1288" s="7" t="str">
        <f>IFERROR(HLOOKUP(X1288,'Calc|Weightings'!$K$5:$M$5,1,0),"Excl")</f>
        <v>Labour</v>
      </c>
      <c r="AA1288" s="7" t="str">
        <f>VLOOKUP(Q1288,Mapping!$E$11:$I$96,5,0)</f>
        <v>SCS</v>
      </c>
      <c r="AC1288" s="111">
        <v>157</v>
      </c>
      <c r="AD1288" s="111" t="s">
        <v>2166</v>
      </c>
      <c r="AE1288" s="111">
        <v>531467</v>
      </c>
      <c r="AF1288" s="111" t="s">
        <v>259</v>
      </c>
      <c r="AG1288" s="112">
        <v>5.0369599999999997</v>
      </c>
      <c r="AI1288" s="7" t="str">
        <f>VLOOKUP($AC1288,Mapping!$E$11:$I$96,3,0)</f>
        <v>Replacement</v>
      </c>
      <c r="AJ1288" s="7" t="str">
        <f>VLOOKUP($AE1288,Mapping!$E$140:$K$2771,5,0)</f>
        <v>Contracts</v>
      </c>
      <c r="AK1288" s="7" t="str">
        <f>VLOOKUP($AE1288,Mapping!$E$140:$K$2771,7,0)</f>
        <v>ENDirect</v>
      </c>
      <c r="AL1288" s="7" t="str">
        <f>IFERROR(HLOOKUP(AJ1288,'Calc|Weightings'!$K$5:$M$5,1,0),"Excl")</f>
        <v>Contracts</v>
      </c>
      <c r="AM1288" s="7" t="str">
        <f>VLOOKUP(AC1288,Mapping!$E$11:$I$96,5,0)</f>
        <v>SCS</v>
      </c>
      <c r="AO1288" s="134">
        <v>161</v>
      </c>
      <c r="AP1288" s="135" t="s">
        <v>2171</v>
      </c>
      <c r="AQ1288" s="135">
        <v>523100</v>
      </c>
      <c r="AR1288" s="135" t="s">
        <v>2074</v>
      </c>
      <c r="AS1288" s="136">
        <v>13.251709999999999</v>
      </c>
      <c r="AU1288" s="7" t="str">
        <f>VLOOKUP($AO1288,Mapping!$E$11:$I$96,3,0)</f>
        <v>Augmentation</v>
      </c>
      <c r="AV1288" s="7" t="str">
        <f>VLOOKUP($AQ1288,Mapping!$E$140:$K$2771,5,0)</f>
        <v>Materials</v>
      </c>
      <c r="AW1288" s="7" t="str">
        <f>VLOOKUP($AQ1288,Mapping!$E$140:$K$2771,7,0)</f>
        <v>ENDirect</v>
      </c>
      <c r="AX1288" s="7" t="str">
        <f>IFERROR(HLOOKUP(AV1288,'Calc|Weightings'!$K$5:$M$5,1,0),"Excl")</f>
        <v>Materials</v>
      </c>
      <c r="AY1288" s="7" t="str">
        <f>VLOOKUP(AO1288,Mapping!$E$11:$I$96,5,0)</f>
        <v>SCS</v>
      </c>
    </row>
    <row r="1289" spans="1:51" x14ac:dyDescent="0.2">
      <c r="A1289" s="7"/>
      <c r="B1289" s="7"/>
      <c r="C1289" s="7"/>
      <c r="D1289" s="7"/>
      <c r="E1289" s="36">
        <v>146</v>
      </c>
      <c r="F1289" s="36" t="s">
        <v>2156</v>
      </c>
      <c r="G1289" s="36">
        <v>635001</v>
      </c>
      <c r="H1289" s="36" t="s">
        <v>1929</v>
      </c>
      <c r="I1289" s="37">
        <v>22.49183</v>
      </c>
      <c r="J1289" s="7"/>
      <c r="K1289" s="7" t="str">
        <f>VLOOKUP($E1289,Mapping!$E$11:$I$96,3,0)</f>
        <v>Quoted Opex</v>
      </c>
      <c r="L1289" s="7" t="str">
        <f>VLOOKUP($G1289,Mapping!$E$140:$K$2771,5,0)</f>
        <v>PNS MG</v>
      </c>
      <c r="M1289" s="7" t="str">
        <f>VLOOKUP($G1289,Mapping!$E$140:$K$2771,7,0)</f>
        <v>ENDirect</v>
      </c>
      <c r="N1289" s="7" t="str">
        <f>IFERROR(HLOOKUP(L1289,'Calc|Weightings'!$K$5:$M$5,1,0),"Excl")</f>
        <v>Excl</v>
      </c>
      <c r="O1289" s="7" t="str">
        <f>VLOOKUP(E1289,Mapping!$E$11:$I$96,5,0)</f>
        <v>Ancillary Network Services</v>
      </c>
      <c r="Q1289" s="33">
        <v>156</v>
      </c>
      <c r="R1289" s="33" t="s">
        <v>2165</v>
      </c>
      <c r="S1289" s="33">
        <v>613602</v>
      </c>
      <c r="T1289" s="33" t="s">
        <v>1494</v>
      </c>
      <c r="U1289" s="34">
        <v>2.05104</v>
      </c>
      <c r="V1289" s="7"/>
      <c r="W1289" s="7" t="str">
        <f>VLOOKUP($Q1289,Mapping!$E$11:$I$96,3,0)</f>
        <v>Replacement</v>
      </c>
      <c r="X1289" s="7" t="str">
        <f>VLOOKUP($S1289,Mapping!$E$140:$K$2771,5,0)</f>
        <v>Labour</v>
      </c>
      <c r="Y1289" s="7" t="str">
        <f>VLOOKUP($S1289,Mapping!$E$140:$K$2771,7,0)</f>
        <v>ENDirect</v>
      </c>
      <c r="Z1289" s="7" t="str">
        <f>IFERROR(HLOOKUP(X1289,'Calc|Weightings'!$K$5:$M$5,1,0),"Excl")</f>
        <v>Labour</v>
      </c>
      <c r="AA1289" s="7" t="str">
        <f>VLOOKUP(Q1289,Mapping!$E$11:$I$96,5,0)</f>
        <v>SCS</v>
      </c>
      <c r="AC1289" s="111">
        <v>157</v>
      </c>
      <c r="AD1289" s="111" t="s">
        <v>2166</v>
      </c>
      <c r="AE1289" s="111">
        <v>531468</v>
      </c>
      <c r="AF1289" s="111" t="s">
        <v>260</v>
      </c>
      <c r="AG1289" s="112">
        <v>23.685980000000001</v>
      </c>
      <c r="AI1289" s="7" t="str">
        <f>VLOOKUP($AC1289,Mapping!$E$11:$I$96,3,0)</f>
        <v>Replacement</v>
      </c>
      <c r="AJ1289" s="7" t="str">
        <f>VLOOKUP($AE1289,Mapping!$E$140:$K$2771,5,0)</f>
        <v>Contracts</v>
      </c>
      <c r="AK1289" s="7" t="str">
        <f>VLOOKUP($AE1289,Mapping!$E$140:$K$2771,7,0)</f>
        <v>ENDirect</v>
      </c>
      <c r="AL1289" s="7" t="str">
        <f>IFERROR(HLOOKUP(AJ1289,'Calc|Weightings'!$K$5:$M$5,1,0),"Excl")</f>
        <v>Contracts</v>
      </c>
      <c r="AM1289" s="7" t="str">
        <f>VLOOKUP(AC1289,Mapping!$E$11:$I$96,5,0)</f>
        <v>SCS</v>
      </c>
      <c r="AO1289" s="134">
        <v>161</v>
      </c>
      <c r="AP1289" s="135" t="s">
        <v>2171</v>
      </c>
      <c r="AQ1289" s="135">
        <v>523300</v>
      </c>
      <c r="AR1289" s="135" t="s">
        <v>2075</v>
      </c>
      <c r="AS1289" s="136">
        <v>0.14005999999999999</v>
      </c>
      <c r="AU1289" s="7" t="str">
        <f>VLOOKUP($AO1289,Mapping!$E$11:$I$96,3,0)</f>
        <v>Augmentation</v>
      </c>
      <c r="AV1289" s="7" t="str">
        <f>VLOOKUP($AQ1289,Mapping!$E$140:$K$2771,5,0)</f>
        <v>Materials</v>
      </c>
      <c r="AW1289" s="7" t="str">
        <f>VLOOKUP($AQ1289,Mapping!$E$140:$K$2771,7,0)</f>
        <v>ENDirect</v>
      </c>
      <c r="AX1289" s="7" t="str">
        <f>IFERROR(HLOOKUP(AV1289,'Calc|Weightings'!$K$5:$M$5,1,0),"Excl")</f>
        <v>Materials</v>
      </c>
      <c r="AY1289" s="7" t="str">
        <f>VLOOKUP(AO1289,Mapping!$E$11:$I$96,5,0)</f>
        <v>SCS</v>
      </c>
    </row>
    <row r="1290" spans="1:51" x14ac:dyDescent="0.2">
      <c r="A1290" s="7"/>
      <c r="B1290" s="7"/>
      <c r="C1290" s="7"/>
      <c r="D1290" s="7"/>
      <c r="E1290" s="36">
        <v>146</v>
      </c>
      <c r="F1290" s="36" t="s">
        <v>2156</v>
      </c>
      <c r="G1290" s="36">
        <v>636001</v>
      </c>
      <c r="H1290" s="36" t="s">
        <v>2111</v>
      </c>
      <c r="I1290" s="37">
        <v>10.902329999999999</v>
      </c>
      <c r="J1290" s="7"/>
      <c r="K1290" s="7" t="str">
        <f>VLOOKUP($E1290,Mapping!$E$11:$I$96,3,0)</f>
        <v>Quoted Opex</v>
      </c>
      <c r="L1290" s="7" t="str">
        <f>VLOOKUP($G1290,Mapping!$E$140:$K$2771,5,0)</f>
        <v>System Control OH</v>
      </c>
      <c r="M1290" s="7" t="str">
        <f>VLOOKUP($G1290,Mapping!$E$140:$K$2771,7,0)</f>
        <v>OH</v>
      </c>
      <c r="N1290" s="7" t="str">
        <f>IFERROR(HLOOKUP(L1290,'Calc|Weightings'!$K$5:$M$5,1,0),"Excl")</f>
        <v>Excl</v>
      </c>
      <c r="O1290" s="7" t="str">
        <f>VLOOKUP(E1290,Mapping!$E$11:$I$96,5,0)</f>
        <v>Ancillary Network Services</v>
      </c>
      <c r="Q1290" s="33">
        <v>156</v>
      </c>
      <c r="R1290" s="33" t="s">
        <v>2165</v>
      </c>
      <c r="S1290" s="33">
        <v>613680</v>
      </c>
      <c r="T1290" s="33" t="s">
        <v>2107</v>
      </c>
      <c r="U1290" s="34">
        <v>127.50855</v>
      </c>
      <c r="V1290" s="7"/>
      <c r="W1290" s="7" t="str">
        <f>VLOOKUP($Q1290,Mapping!$E$11:$I$96,3,0)</f>
        <v>Replacement</v>
      </c>
      <c r="X1290" s="7" t="str">
        <f>VLOOKUP($S1290,Mapping!$E$140:$K$2771,5,0)</f>
        <v>Labour</v>
      </c>
      <c r="Y1290" s="7" t="str">
        <f>VLOOKUP($S1290,Mapping!$E$140:$K$2771,7,0)</f>
        <v>ENDirect</v>
      </c>
      <c r="Z1290" s="7" t="str">
        <f>IFERROR(HLOOKUP(X1290,'Calc|Weightings'!$K$5:$M$5,1,0),"Excl")</f>
        <v>Labour</v>
      </c>
      <c r="AA1290" s="7" t="str">
        <f>VLOOKUP(Q1290,Mapping!$E$11:$I$96,5,0)</f>
        <v>SCS</v>
      </c>
      <c r="AC1290" s="111">
        <v>157</v>
      </c>
      <c r="AD1290" s="111" t="s">
        <v>2166</v>
      </c>
      <c r="AE1290" s="111">
        <v>531469</v>
      </c>
      <c r="AF1290" s="111" t="s">
        <v>261</v>
      </c>
      <c r="AG1290" s="112">
        <v>2489.9240599999998</v>
      </c>
      <c r="AI1290" s="7" t="str">
        <f>VLOOKUP($AC1290,Mapping!$E$11:$I$96,3,0)</f>
        <v>Replacement</v>
      </c>
      <c r="AJ1290" s="7" t="str">
        <f>VLOOKUP($AE1290,Mapping!$E$140:$K$2771,5,0)</f>
        <v>Labour</v>
      </c>
      <c r="AK1290" s="7" t="str">
        <f>VLOOKUP($AE1290,Mapping!$E$140:$K$2771,7,0)</f>
        <v>ENDirect</v>
      </c>
      <c r="AL1290" s="7" t="str">
        <f>IFERROR(HLOOKUP(AJ1290,'Calc|Weightings'!$K$5:$M$5,1,0),"Excl")</f>
        <v>Labour</v>
      </c>
      <c r="AM1290" s="7" t="str">
        <f>VLOOKUP(AC1290,Mapping!$E$11:$I$96,5,0)</f>
        <v>SCS</v>
      </c>
      <c r="AO1290" s="134">
        <v>161</v>
      </c>
      <c r="AP1290" s="135" t="s">
        <v>2171</v>
      </c>
      <c r="AQ1290" s="135">
        <v>531000</v>
      </c>
      <c r="AR1290" s="135" t="s">
        <v>242</v>
      </c>
      <c r="AS1290" s="136">
        <v>11.78242</v>
      </c>
      <c r="AU1290" s="7" t="str">
        <f>VLOOKUP($AO1290,Mapping!$E$11:$I$96,3,0)</f>
        <v>Augmentation</v>
      </c>
      <c r="AV1290" s="7" t="str">
        <f>VLOOKUP($AQ1290,Mapping!$E$140:$K$2771,5,0)</f>
        <v>Contracts</v>
      </c>
      <c r="AW1290" s="7" t="str">
        <f>VLOOKUP($AQ1290,Mapping!$E$140:$K$2771,7,0)</f>
        <v>ENDirect</v>
      </c>
      <c r="AX1290" s="7" t="str">
        <f>IFERROR(HLOOKUP(AV1290,'Calc|Weightings'!$K$5:$M$5,1,0),"Excl")</f>
        <v>Contracts</v>
      </c>
      <c r="AY1290" s="7" t="str">
        <f>VLOOKUP(AO1290,Mapping!$E$11:$I$96,5,0)</f>
        <v>SCS</v>
      </c>
    </row>
    <row r="1291" spans="1:51" x14ac:dyDescent="0.2">
      <c r="A1291" s="7"/>
      <c r="B1291" s="7"/>
      <c r="C1291" s="7"/>
      <c r="D1291" s="7"/>
      <c r="E1291" s="36">
        <v>146</v>
      </c>
      <c r="F1291" s="36" t="s">
        <v>2156</v>
      </c>
      <c r="G1291" s="36">
        <v>639000</v>
      </c>
      <c r="H1291" s="36" t="s">
        <v>2112</v>
      </c>
      <c r="I1291" s="37">
        <v>22.51088</v>
      </c>
      <c r="J1291" s="7"/>
      <c r="K1291" s="7" t="str">
        <f>VLOOKUP($E1291,Mapping!$E$11:$I$96,3,0)</f>
        <v>Quoted Opex</v>
      </c>
      <c r="L1291" s="7" t="str">
        <f>VLOOKUP($G1291,Mapping!$E$140:$K$2771,5,0)</f>
        <v>PNS Corporate OH</v>
      </c>
      <c r="M1291" s="7" t="str">
        <f>VLOOKUP($G1291,Mapping!$E$140:$K$2771,7,0)</f>
        <v>OH</v>
      </c>
      <c r="N1291" s="7" t="str">
        <f>IFERROR(HLOOKUP(L1291,'Calc|Weightings'!$K$5:$M$5,1,0),"Excl")</f>
        <v>Excl</v>
      </c>
      <c r="O1291" s="7" t="str">
        <f>VLOOKUP(E1291,Mapping!$E$11:$I$96,5,0)</f>
        <v>Ancillary Network Services</v>
      </c>
      <c r="Q1291" s="33">
        <v>156</v>
      </c>
      <c r="R1291" s="33" t="s">
        <v>2165</v>
      </c>
      <c r="S1291" s="33">
        <v>613681</v>
      </c>
      <c r="T1291" s="33" t="s">
        <v>2108</v>
      </c>
      <c r="U1291" s="34">
        <v>4.1322599999999996</v>
      </c>
      <c r="V1291" s="7"/>
      <c r="W1291" s="7" t="str">
        <f>VLOOKUP($Q1291,Mapping!$E$11:$I$96,3,0)</f>
        <v>Replacement</v>
      </c>
      <c r="X1291" s="7" t="str">
        <f>VLOOKUP($S1291,Mapping!$E$140:$K$2771,5,0)</f>
        <v>Labour</v>
      </c>
      <c r="Y1291" s="7" t="str">
        <f>VLOOKUP($S1291,Mapping!$E$140:$K$2771,7,0)</f>
        <v>ENDirect</v>
      </c>
      <c r="Z1291" s="7" t="str">
        <f>IFERROR(HLOOKUP(X1291,'Calc|Weightings'!$K$5:$M$5,1,0),"Excl")</f>
        <v>Labour</v>
      </c>
      <c r="AA1291" s="7" t="str">
        <f>VLOOKUP(Q1291,Mapping!$E$11:$I$96,5,0)</f>
        <v>SCS</v>
      </c>
      <c r="AC1291" s="111">
        <v>157</v>
      </c>
      <c r="AD1291" s="111" t="s">
        <v>2166</v>
      </c>
      <c r="AE1291" s="111">
        <v>531480</v>
      </c>
      <c r="AF1291" s="111" t="s">
        <v>2076</v>
      </c>
      <c r="AG1291" s="112">
        <v>0.13577</v>
      </c>
      <c r="AI1291" s="7" t="str">
        <f>VLOOKUP($AC1291,Mapping!$E$11:$I$96,3,0)</f>
        <v>Replacement</v>
      </c>
      <c r="AJ1291" s="7" t="str">
        <f>VLOOKUP($AE1291,Mapping!$E$140:$K$2771,5,0)</f>
        <v>Labour</v>
      </c>
      <c r="AK1291" s="7" t="str">
        <f>VLOOKUP($AE1291,Mapping!$E$140:$K$2771,7,0)</f>
        <v>ENDirect</v>
      </c>
      <c r="AL1291" s="7" t="str">
        <f>IFERROR(HLOOKUP(AJ1291,'Calc|Weightings'!$K$5:$M$5,1,0),"Excl")</f>
        <v>Labour</v>
      </c>
      <c r="AM1291" s="7" t="str">
        <f>VLOOKUP(AC1291,Mapping!$E$11:$I$96,5,0)</f>
        <v>SCS</v>
      </c>
      <c r="AO1291" s="134">
        <v>161</v>
      </c>
      <c r="AP1291" s="135" t="s">
        <v>2171</v>
      </c>
      <c r="AQ1291" s="135">
        <v>531020</v>
      </c>
      <c r="AR1291" s="135" t="s">
        <v>219</v>
      </c>
      <c r="AS1291" s="136">
        <v>1.32639</v>
      </c>
      <c r="AU1291" s="7" t="str">
        <f>VLOOKUP($AO1291,Mapping!$E$11:$I$96,3,0)</f>
        <v>Augmentation</v>
      </c>
      <c r="AV1291" s="7" t="str">
        <f>VLOOKUP($AQ1291,Mapping!$E$140:$K$2771,5,0)</f>
        <v>Labour</v>
      </c>
      <c r="AW1291" s="7" t="str">
        <f>VLOOKUP($AQ1291,Mapping!$E$140:$K$2771,7,0)</f>
        <v>ENDirect</v>
      </c>
      <c r="AX1291" s="7" t="str">
        <f>IFERROR(HLOOKUP(AV1291,'Calc|Weightings'!$K$5:$M$5,1,0),"Excl")</f>
        <v>Labour</v>
      </c>
      <c r="AY1291" s="7" t="str">
        <f>VLOOKUP(AO1291,Mapping!$E$11:$I$96,5,0)</f>
        <v>SCS</v>
      </c>
    </row>
    <row r="1292" spans="1:51" x14ac:dyDescent="0.2">
      <c r="A1292" s="7"/>
      <c r="B1292" s="7"/>
      <c r="C1292" s="7"/>
      <c r="D1292" s="7"/>
      <c r="E1292" s="36">
        <v>146</v>
      </c>
      <c r="F1292" s="36" t="s">
        <v>2156</v>
      </c>
      <c r="G1292" s="36">
        <v>639050</v>
      </c>
      <c r="H1292" s="36" t="s">
        <v>2113</v>
      </c>
      <c r="I1292" s="37">
        <v>3.0493600000000001</v>
      </c>
      <c r="J1292" s="7"/>
      <c r="K1292" s="7" t="str">
        <f>VLOOKUP($E1292,Mapping!$E$11:$I$96,3,0)</f>
        <v>Quoted Opex</v>
      </c>
      <c r="L1292" s="7" t="str">
        <f>VLOOKUP($G1292,Mapping!$E$140:$K$2771,5,0)</f>
        <v>PNS Fleet &amp; Property OH</v>
      </c>
      <c r="M1292" s="7" t="str">
        <f>VLOOKUP($G1292,Mapping!$E$140:$K$2771,7,0)</f>
        <v>OH</v>
      </c>
      <c r="N1292" s="7" t="str">
        <f>IFERROR(HLOOKUP(L1292,'Calc|Weightings'!$K$5:$M$5,1,0),"Excl")</f>
        <v>Excl</v>
      </c>
      <c r="O1292" s="7" t="str">
        <f>VLOOKUP(E1292,Mapping!$E$11:$I$96,5,0)</f>
        <v>Ancillary Network Services</v>
      </c>
      <c r="Q1292" s="33">
        <v>156</v>
      </c>
      <c r="R1292" s="33" t="s">
        <v>2165</v>
      </c>
      <c r="S1292" s="33">
        <v>615375</v>
      </c>
      <c r="T1292" s="33" t="s">
        <v>1717</v>
      </c>
      <c r="U1292" s="34">
        <v>23.555</v>
      </c>
      <c r="V1292" s="7"/>
      <c r="W1292" s="7" t="str">
        <f>VLOOKUP($Q1292,Mapping!$E$11:$I$96,3,0)</f>
        <v>Replacement</v>
      </c>
      <c r="X1292" s="7" t="str">
        <f>VLOOKUP($S1292,Mapping!$E$140:$K$2771,5,0)</f>
        <v>Labour</v>
      </c>
      <c r="Y1292" s="7" t="str">
        <f>VLOOKUP($S1292,Mapping!$E$140:$K$2771,7,0)</f>
        <v>ENDirect</v>
      </c>
      <c r="Z1292" s="7" t="str">
        <f>IFERROR(HLOOKUP(X1292,'Calc|Weightings'!$K$5:$M$5,1,0),"Excl")</f>
        <v>Labour</v>
      </c>
      <c r="AA1292" s="7" t="str">
        <f>VLOOKUP(Q1292,Mapping!$E$11:$I$96,5,0)</f>
        <v>SCS</v>
      </c>
      <c r="AC1292" s="111">
        <v>157</v>
      </c>
      <c r="AD1292" s="111" t="s">
        <v>2166</v>
      </c>
      <c r="AE1292" s="111">
        <v>532061</v>
      </c>
      <c r="AF1292" s="111" t="s">
        <v>282</v>
      </c>
      <c r="AG1292" s="112">
        <v>37</v>
      </c>
      <c r="AI1292" s="7" t="str">
        <f>VLOOKUP($AC1292,Mapping!$E$11:$I$96,3,0)</f>
        <v>Replacement</v>
      </c>
      <c r="AJ1292" s="7" t="str">
        <f>VLOOKUP($AE1292,Mapping!$E$140:$K$2771,5,0)</f>
        <v>Contracts</v>
      </c>
      <c r="AK1292" s="7" t="str">
        <f>VLOOKUP($AE1292,Mapping!$E$140:$K$2771,7,0)</f>
        <v>ENDirect</v>
      </c>
      <c r="AL1292" s="7" t="str">
        <f>IFERROR(HLOOKUP(AJ1292,'Calc|Weightings'!$K$5:$M$5,1,0),"Excl")</f>
        <v>Contracts</v>
      </c>
      <c r="AM1292" s="7" t="str">
        <f>VLOOKUP(AC1292,Mapping!$E$11:$I$96,5,0)</f>
        <v>SCS</v>
      </c>
      <c r="AO1292" s="134">
        <v>161</v>
      </c>
      <c r="AP1292" s="135" t="s">
        <v>2171</v>
      </c>
      <c r="AQ1292" s="135">
        <v>531035</v>
      </c>
      <c r="AR1292" s="135" t="s">
        <v>244</v>
      </c>
      <c r="AS1292" s="136">
        <v>10.35</v>
      </c>
      <c r="AU1292" s="7" t="str">
        <f>VLOOKUP($AO1292,Mapping!$E$11:$I$96,3,0)</f>
        <v>Augmentation</v>
      </c>
      <c r="AV1292" s="7" t="str">
        <f>VLOOKUP($AQ1292,Mapping!$E$140:$K$2771,5,0)</f>
        <v>Labour</v>
      </c>
      <c r="AW1292" s="7" t="str">
        <f>VLOOKUP($AQ1292,Mapping!$E$140:$K$2771,7,0)</f>
        <v>ENDirect</v>
      </c>
      <c r="AX1292" s="7" t="str">
        <f>IFERROR(HLOOKUP(AV1292,'Calc|Weightings'!$K$5:$M$5,1,0),"Excl")</f>
        <v>Labour</v>
      </c>
      <c r="AY1292" s="7" t="str">
        <f>VLOOKUP(AO1292,Mapping!$E$11:$I$96,5,0)</f>
        <v>SCS</v>
      </c>
    </row>
    <row r="1293" spans="1:51" x14ac:dyDescent="0.2">
      <c r="A1293" s="7"/>
      <c r="B1293" s="7"/>
      <c r="C1293" s="7"/>
      <c r="D1293" s="7"/>
      <c r="E1293" s="36">
        <v>147</v>
      </c>
      <c r="F1293" s="36" t="s">
        <v>2157</v>
      </c>
      <c r="G1293" s="36">
        <v>531030</v>
      </c>
      <c r="H1293" s="36" t="s">
        <v>243</v>
      </c>
      <c r="I1293" s="37">
        <v>209.11799999999999</v>
      </c>
      <c r="J1293" s="7"/>
      <c r="K1293" s="7" t="str">
        <f>VLOOKUP($E1293,Mapping!$E$11:$I$96,3,0)</f>
        <v>Replacement</v>
      </c>
      <c r="L1293" s="7" t="str">
        <f>VLOOKUP($G1293,Mapping!$E$140:$K$2771,5,0)</f>
        <v>Contracts</v>
      </c>
      <c r="M1293" s="7" t="str">
        <f>VLOOKUP($G1293,Mapping!$E$140:$K$2771,7,0)</f>
        <v>ENDirect</v>
      </c>
      <c r="N1293" s="7" t="str">
        <f>IFERROR(HLOOKUP(L1293,'Calc|Weightings'!$K$5:$M$5,1,0),"Excl")</f>
        <v>Contracts</v>
      </c>
      <c r="O1293" s="7" t="str">
        <f>VLOOKUP(E1293,Mapping!$E$11:$I$96,5,0)</f>
        <v>SCS</v>
      </c>
      <c r="Q1293" s="33">
        <v>156</v>
      </c>
      <c r="R1293" s="33" t="s">
        <v>2165</v>
      </c>
      <c r="S1293" s="33">
        <v>615395</v>
      </c>
      <c r="T1293" s="33" t="s">
        <v>1718</v>
      </c>
      <c r="U1293" s="34">
        <v>17.2438</v>
      </c>
      <c r="V1293" s="7"/>
      <c r="W1293" s="7" t="str">
        <f>VLOOKUP($Q1293,Mapping!$E$11:$I$96,3,0)</f>
        <v>Replacement</v>
      </c>
      <c r="X1293" s="7" t="str">
        <f>VLOOKUP($S1293,Mapping!$E$140:$K$2771,5,0)</f>
        <v>Labour</v>
      </c>
      <c r="Y1293" s="7" t="str">
        <f>VLOOKUP($S1293,Mapping!$E$140:$K$2771,7,0)</f>
        <v>ENDirect</v>
      </c>
      <c r="Z1293" s="7" t="str">
        <f>IFERROR(HLOOKUP(X1293,'Calc|Weightings'!$K$5:$M$5,1,0),"Excl")</f>
        <v>Labour</v>
      </c>
      <c r="AA1293" s="7" t="str">
        <f>VLOOKUP(Q1293,Mapping!$E$11:$I$96,5,0)</f>
        <v>SCS</v>
      </c>
      <c r="AC1293" s="111">
        <v>157</v>
      </c>
      <c r="AD1293" s="111" t="s">
        <v>2166</v>
      </c>
      <c r="AE1293" s="111">
        <v>532140</v>
      </c>
      <c r="AF1293" s="111" t="s">
        <v>288</v>
      </c>
      <c r="AG1293" s="112">
        <v>304.35000000000002</v>
      </c>
      <c r="AI1293" s="7" t="str">
        <f>VLOOKUP($AC1293,Mapping!$E$11:$I$96,3,0)</f>
        <v>Replacement</v>
      </c>
      <c r="AJ1293" s="7" t="str">
        <f>VLOOKUP($AE1293,Mapping!$E$140:$K$2771,5,0)</f>
        <v>Contracts</v>
      </c>
      <c r="AK1293" s="7" t="str">
        <f>VLOOKUP($AE1293,Mapping!$E$140:$K$2771,7,0)</f>
        <v>ENDirect</v>
      </c>
      <c r="AL1293" s="7" t="str">
        <f>IFERROR(HLOOKUP(AJ1293,'Calc|Weightings'!$K$5:$M$5,1,0),"Excl")</f>
        <v>Contracts</v>
      </c>
      <c r="AM1293" s="7" t="str">
        <f>VLOOKUP(AC1293,Mapping!$E$11:$I$96,5,0)</f>
        <v>SCS</v>
      </c>
      <c r="AO1293" s="134">
        <v>161</v>
      </c>
      <c r="AP1293" s="135" t="s">
        <v>2171</v>
      </c>
      <c r="AQ1293" s="135">
        <v>531464</v>
      </c>
      <c r="AR1293" s="135" t="s">
        <v>256</v>
      </c>
      <c r="AS1293" s="136">
        <v>177.35274000000001</v>
      </c>
      <c r="AU1293" s="7" t="str">
        <f>VLOOKUP($AO1293,Mapping!$E$11:$I$96,3,0)</f>
        <v>Augmentation</v>
      </c>
      <c r="AV1293" s="7" t="str">
        <f>VLOOKUP($AQ1293,Mapping!$E$140:$K$2771,5,0)</f>
        <v>Contracts</v>
      </c>
      <c r="AW1293" s="7" t="str">
        <f>VLOOKUP($AQ1293,Mapping!$E$140:$K$2771,7,0)</f>
        <v>ENDirect</v>
      </c>
      <c r="AX1293" s="7" t="str">
        <f>IFERROR(HLOOKUP(AV1293,'Calc|Weightings'!$K$5:$M$5,1,0),"Excl")</f>
        <v>Contracts</v>
      </c>
      <c r="AY1293" s="7" t="str">
        <f>VLOOKUP(AO1293,Mapping!$E$11:$I$96,5,0)</f>
        <v>SCS</v>
      </c>
    </row>
    <row r="1294" spans="1:51" x14ac:dyDescent="0.2">
      <c r="A1294" s="7"/>
      <c r="B1294" s="7"/>
      <c r="C1294" s="7"/>
      <c r="D1294" s="7"/>
      <c r="E1294" s="36">
        <v>147</v>
      </c>
      <c r="F1294" s="36" t="s">
        <v>2157</v>
      </c>
      <c r="G1294" s="36">
        <v>531466</v>
      </c>
      <c r="H1294" s="36" t="s">
        <v>258</v>
      </c>
      <c r="I1294" s="37">
        <v>1.2447999999999999</v>
      </c>
      <c r="J1294" s="7"/>
      <c r="K1294" s="7" t="str">
        <f>VLOOKUP($E1294,Mapping!$E$11:$I$96,3,0)</f>
        <v>Replacement</v>
      </c>
      <c r="L1294" s="7" t="str">
        <f>VLOOKUP($G1294,Mapping!$E$140:$K$2771,5,0)</f>
        <v>Contracts</v>
      </c>
      <c r="M1294" s="7" t="str">
        <f>VLOOKUP($G1294,Mapping!$E$140:$K$2771,7,0)</f>
        <v>ENDirect</v>
      </c>
      <c r="N1294" s="7" t="str">
        <f>IFERROR(HLOOKUP(L1294,'Calc|Weightings'!$K$5:$M$5,1,0),"Excl")</f>
        <v>Contracts</v>
      </c>
      <c r="O1294" s="7" t="str">
        <f>VLOOKUP(E1294,Mapping!$E$11:$I$96,5,0)</f>
        <v>SCS</v>
      </c>
      <c r="Q1294" s="33">
        <v>156</v>
      </c>
      <c r="R1294" s="33" t="s">
        <v>2165</v>
      </c>
      <c r="S1294" s="33">
        <v>634001</v>
      </c>
      <c r="T1294" s="33" t="s">
        <v>2110</v>
      </c>
      <c r="U1294" s="34">
        <v>197.76953</v>
      </c>
      <c r="V1294" s="7"/>
      <c r="W1294" s="7" t="str">
        <f>VLOOKUP($Q1294,Mapping!$E$11:$I$96,3,0)</f>
        <v>Replacement</v>
      </c>
      <c r="X1294" s="7" t="str">
        <f>VLOOKUP($S1294,Mapping!$E$140:$K$2771,5,0)</f>
        <v>Local OH</v>
      </c>
      <c r="Y1294" s="7" t="str">
        <f>VLOOKUP($S1294,Mapping!$E$140:$K$2771,7,0)</f>
        <v>OH</v>
      </c>
      <c r="Z1294" s="7" t="str">
        <f>IFERROR(HLOOKUP(X1294,'Calc|Weightings'!$K$5:$M$5,1,0),"Excl")</f>
        <v>Excl</v>
      </c>
      <c r="AA1294" s="7" t="str">
        <f>VLOOKUP(Q1294,Mapping!$E$11:$I$96,5,0)</f>
        <v>SCS</v>
      </c>
      <c r="AC1294" s="111">
        <v>157</v>
      </c>
      <c r="AD1294" s="111" t="s">
        <v>2166</v>
      </c>
      <c r="AE1294" s="111">
        <v>532200</v>
      </c>
      <c r="AF1294" s="111" t="s">
        <v>291</v>
      </c>
      <c r="AG1294" s="112">
        <v>1.3888100000000001</v>
      </c>
      <c r="AI1294" s="7" t="str">
        <f>VLOOKUP($AC1294,Mapping!$E$11:$I$96,3,0)</f>
        <v>Replacement</v>
      </c>
      <c r="AJ1294" s="7" t="str">
        <f>VLOOKUP($AE1294,Mapping!$E$140:$K$2771,5,0)</f>
        <v>Contracts</v>
      </c>
      <c r="AK1294" s="7" t="str">
        <f>VLOOKUP($AE1294,Mapping!$E$140:$K$2771,7,0)</f>
        <v>ENDirect</v>
      </c>
      <c r="AL1294" s="7" t="str">
        <f>IFERROR(HLOOKUP(AJ1294,'Calc|Weightings'!$K$5:$M$5,1,0),"Excl")</f>
        <v>Contracts</v>
      </c>
      <c r="AM1294" s="7" t="str">
        <f>VLOOKUP(AC1294,Mapping!$E$11:$I$96,5,0)</f>
        <v>SCS</v>
      </c>
      <c r="AO1294" s="134">
        <v>161</v>
      </c>
      <c r="AP1294" s="135" t="s">
        <v>2171</v>
      </c>
      <c r="AQ1294" s="135">
        <v>531466</v>
      </c>
      <c r="AR1294" s="135" t="s">
        <v>258</v>
      </c>
      <c r="AS1294" s="136">
        <v>0.19439999999999999</v>
      </c>
      <c r="AU1294" s="7" t="str">
        <f>VLOOKUP($AO1294,Mapping!$E$11:$I$96,3,0)</f>
        <v>Augmentation</v>
      </c>
      <c r="AV1294" s="7" t="str">
        <f>VLOOKUP($AQ1294,Mapping!$E$140:$K$2771,5,0)</f>
        <v>Contracts</v>
      </c>
      <c r="AW1294" s="7" t="str">
        <f>VLOOKUP($AQ1294,Mapping!$E$140:$K$2771,7,0)</f>
        <v>ENDirect</v>
      </c>
      <c r="AX1294" s="7" t="str">
        <f>IFERROR(HLOOKUP(AV1294,'Calc|Weightings'!$K$5:$M$5,1,0),"Excl")</f>
        <v>Contracts</v>
      </c>
      <c r="AY1294" s="7" t="str">
        <f>VLOOKUP(AO1294,Mapping!$E$11:$I$96,5,0)</f>
        <v>SCS</v>
      </c>
    </row>
    <row r="1295" spans="1:51" x14ac:dyDescent="0.2">
      <c r="A1295" s="7"/>
      <c r="B1295" s="7"/>
      <c r="C1295" s="7"/>
      <c r="D1295" s="7"/>
      <c r="E1295" s="36">
        <v>147</v>
      </c>
      <c r="F1295" s="36" t="s">
        <v>2157</v>
      </c>
      <c r="G1295" s="36">
        <v>633000</v>
      </c>
      <c r="H1295" s="36" t="s">
        <v>2202</v>
      </c>
      <c r="I1295" s="37">
        <v>33.9831</v>
      </c>
      <c r="J1295" s="7"/>
      <c r="K1295" s="7" t="str">
        <f>VLOOKUP($E1295,Mapping!$E$11:$I$96,3,0)</f>
        <v>Replacement</v>
      </c>
      <c r="L1295" s="7" t="str">
        <f>VLOOKUP($G1295,Mapping!$E$140:$K$2771,5,0)</f>
        <v>Contracts</v>
      </c>
      <c r="M1295" s="7" t="str">
        <f>VLOOKUP($G1295,Mapping!$E$140:$K$2771,7,0)</f>
        <v>OH</v>
      </c>
      <c r="N1295" s="7" t="str">
        <f>IFERROR(HLOOKUP(L1295,'Calc|Weightings'!$K$5:$M$5,1,0),"Excl")</f>
        <v>Contracts</v>
      </c>
      <c r="O1295" s="7" t="str">
        <f>VLOOKUP(E1295,Mapping!$E$11:$I$96,5,0)</f>
        <v>SCS</v>
      </c>
      <c r="Q1295" s="33">
        <v>156</v>
      </c>
      <c r="R1295" s="33" t="s">
        <v>2165</v>
      </c>
      <c r="S1295" s="33">
        <v>635001</v>
      </c>
      <c r="T1295" s="33" t="s">
        <v>1929</v>
      </c>
      <c r="U1295" s="34">
        <v>108.60074</v>
      </c>
      <c r="V1295" s="7"/>
      <c r="W1295" s="7" t="str">
        <f>VLOOKUP($Q1295,Mapping!$E$11:$I$96,3,0)</f>
        <v>Replacement</v>
      </c>
      <c r="X1295" s="7" t="str">
        <f>VLOOKUP($S1295,Mapping!$E$140:$K$2771,5,0)</f>
        <v>PNS MG</v>
      </c>
      <c r="Y1295" s="7" t="str">
        <f>VLOOKUP($S1295,Mapping!$E$140:$K$2771,7,0)</f>
        <v>ENDirect</v>
      </c>
      <c r="Z1295" s="7" t="str">
        <f>IFERROR(HLOOKUP(X1295,'Calc|Weightings'!$K$5:$M$5,1,0),"Excl")</f>
        <v>Excl</v>
      </c>
      <c r="AA1295" s="7" t="str">
        <f>VLOOKUP(Q1295,Mapping!$E$11:$I$96,5,0)</f>
        <v>SCS</v>
      </c>
      <c r="AC1295" s="111">
        <v>157</v>
      </c>
      <c r="AD1295" s="111" t="s">
        <v>2166</v>
      </c>
      <c r="AE1295" s="111">
        <v>532500</v>
      </c>
      <c r="AF1295" s="111" t="s">
        <v>308</v>
      </c>
      <c r="AG1295" s="112">
        <v>15.308949999999999</v>
      </c>
      <c r="AI1295" s="7" t="str">
        <f>VLOOKUP($AC1295,Mapping!$E$11:$I$96,3,0)</f>
        <v>Replacement</v>
      </c>
      <c r="AJ1295" s="7" t="str">
        <f>VLOOKUP($AE1295,Mapping!$E$140:$K$2771,5,0)</f>
        <v>Contracts</v>
      </c>
      <c r="AK1295" s="7" t="str">
        <f>VLOOKUP($AE1295,Mapping!$E$140:$K$2771,7,0)</f>
        <v>ENDirect</v>
      </c>
      <c r="AL1295" s="7" t="str">
        <f>IFERROR(HLOOKUP(AJ1295,'Calc|Weightings'!$K$5:$M$5,1,0),"Excl")</f>
        <v>Contracts</v>
      </c>
      <c r="AM1295" s="7" t="str">
        <f>VLOOKUP(AC1295,Mapping!$E$11:$I$96,5,0)</f>
        <v>SCS</v>
      </c>
      <c r="AO1295" s="134">
        <v>161</v>
      </c>
      <c r="AP1295" s="135" t="s">
        <v>2171</v>
      </c>
      <c r="AQ1295" s="135">
        <v>531467</v>
      </c>
      <c r="AR1295" s="135" t="s">
        <v>259</v>
      </c>
      <c r="AS1295" s="136">
        <v>98.852770000000007</v>
      </c>
      <c r="AU1295" s="7" t="str">
        <f>VLOOKUP($AO1295,Mapping!$E$11:$I$96,3,0)</f>
        <v>Augmentation</v>
      </c>
      <c r="AV1295" s="7" t="str">
        <f>VLOOKUP($AQ1295,Mapping!$E$140:$K$2771,5,0)</f>
        <v>Contracts</v>
      </c>
      <c r="AW1295" s="7" t="str">
        <f>VLOOKUP($AQ1295,Mapping!$E$140:$K$2771,7,0)</f>
        <v>ENDirect</v>
      </c>
      <c r="AX1295" s="7" t="str">
        <f>IFERROR(HLOOKUP(AV1295,'Calc|Weightings'!$K$5:$M$5,1,0),"Excl")</f>
        <v>Contracts</v>
      </c>
      <c r="AY1295" s="7" t="str">
        <f>VLOOKUP(AO1295,Mapping!$E$11:$I$96,5,0)</f>
        <v>SCS</v>
      </c>
    </row>
    <row r="1296" spans="1:51" x14ac:dyDescent="0.2">
      <c r="A1296" s="7"/>
      <c r="B1296" s="7"/>
      <c r="C1296" s="7"/>
      <c r="D1296" s="7"/>
      <c r="E1296" s="36">
        <v>147</v>
      </c>
      <c r="F1296" s="36" t="s">
        <v>2157</v>
      </c>
      <c r="G1296" s="36">
        <v>634001</v>
      </c>
      <c r="H1296" s="36" t="s">
        <v>2110</v>
      </c>
      <c r="I1296" s="37">
        <v>13.35272</v>
      </c>
      <c r="J1296" s="7"/>
      <c r="K1296" s="7" t="str">
        <f>VLOOKUP($E1296,Mapping!$E$11:$I$96,3,0)</f>
        <v>Replacement</v>
      </c>
      <c r="L1296" s="7" t="str">
        <f>VLOOKUP($G1296,Mapping!$E$140:$K$2771,5,0)</f>
        <v>Local OH</v>
      </c>
      <c r="M1296" s="7" t="str">
        <f>VLOOKUP($G1296,Mapping!$E$140:$K$2771,7,0)</f>
        <v>OH</v>
      </c>
      <c r="N1296" s="7" t="str">
        <f>IFERROR(HLOOKUP(L1296,'Calc|Weightings'!$K$5:$M$5,1,0),"Excl")</f>
        <v>Excl</v>
      </c>
      <c r="O1296" s="7" t="str">
        <f>VLOOKUP(E1296,Mapping!$E$11:$I$96,5,0)</f>
        <v>SCS</v>
      </c>
      <c r="Q1296" s="33">
        <v>156</v>
      </c>
      <c r="R1296" s="33" t="s">
        <v>2165</v>
      </c>
      <c r="S1296" s="33">
        <v>636001</v>
      </c>
      <c r="T1296" s="33" t="s">
        <v>2111</v>
      </c>
      <c r="U1296" s="34">
        <v>61.14358</v>
      </c>
      <c r="V1296" s="7"/>
      <c r="W1296" s="7" t="str">
        <f>VLOOKUP($Q1296,Mapping!$E$11:$I$96,3,0)</f>
        <v>Replacement</v>
      </c>
      <c r="X1296" s="7" t="str">
        <f>VLOOKUP($S1296,Mapping!$E$140:$K$2771,5,0)</f>
        <v>System Control OH</v>
      </c>
      <c r="Y1296" s="7" t="str">
        <f>VLOOKUP($S1296,Mapping!$E$140:$K$2771,7,0)</f>
        <v>OH</v>
      </c>
      <c r="Z1296" s="7" t="str">
        <f>IFERROR(HLOOKUP(X1296,'Calc|Weightings'!$K$5:$M$5,1,0),"Excl")</f>
        <v>Excl</v>
      </c>
      <c r="AA1296" s="7" t="str">
        <f>VLOOKUP(Q1296,Mapping!$E$11:$I$96,5,0)</f>
        <v>SCS</v>
      </c>
      <c r="AC1296" s="111">
        <v>157</v>
      </c>
      <c r="AD1296" s="111" t="s">
        <v>2166</v>
      </c>
      <c r="AE1296" s="111">
        <v>545150</v>
      </c>
      <c r="AF1296" s="111" t="s">
        <v>345</v>
      </c>
      <c r="AG1296" s="112">
        <v>0.52305000000000001</v>
      </c>
      <c r="AI1296" s="7" t="str">
        <f>VLOOKUP($AC1296,Mapping!$E$11:$I$96,3,0)</f>
        <v>Replacement</v>
      </c>
      <c r="AJ1296" s="7" t="str">
        <f>VLOOKUP($AE1296,Mapping!$E$140:$K$2771,5,0)</f>
        <v>Contracts</v>
      </c>
      <c r="AK1296" s="7" t="str">
        <f>VLOOKUP($AE1296,Mapping!$E$140:$K$2771,7,0)</f>
        <v>ENDirect</v>
      </c>
      <c r="AL1296" s="7" t="str">
        <f>IFERROR(HLOOKUP(AJ1296,'Calc|Weightings'!$K$5:$M$5,1,0),"Excl")</f>
        <v>Contracts</v>
      </c>
      <c r="AM1296" s="7" t="str">
        <f>VLOOKUP(AC1296,Mapping!$E$11:$I$96,5,0)</f>
        <v>SCS</v>
      </c>
      <c r="AO1296" s="134">
        <v>161</v>
      </c>
      <c r="AP1296" s="135" t="s">
        <v>2171</v>
      </c>
      <c r="AQ1296" s="135">
        <v>531468</v>
      </c>
      <c r="AR1296" s="135" t="s">
        <v>260</v>
      </c>
      <c r="AS1296" s="136">
        <v>29.480589999999999</v>
      </c>
      <c r="AU1296" s="7" t="str">
        <f>VLOOKUP($AO1296,Mapping!$E$11:$I$96,3,0)</f>
        <v>Augmentation</v>
      </c>
      <c r="AV1296" s="7" t="str">
        <f>VLOOKUP($AQ1296,Mapping!$E$140:$K$2771,5,0)</f>
        <v>Contracts</v>
      </c>
      <c r="AW1296" s="7" t="str">
        <f>VLOOKUP($AQ1296,Mapping!$E$140:$K$2771,7,0)</f>
        <v>ENDirect</v>
      </c>
      <c r="AX1296" s="7" t="str">
        <f>IFERROR(HLOOKUP(AV1296,'Calc|Weightings'!$K$5:$M$5,1,0),"Excl")</f>
        <v>Contracts</v>
      </c>
      <c r="AY1296" s="7" t="str">
        <f>VLOOKUP(AO1296,Mapping!$E$11:$I$96,5,0)</f>
        <v>SCS</v>
      </c>
    </row>
    <row r="1297" spans="1:51" x14ac:dyDescent="0.2">
      <c r="A1297" s="7"/>
      <c r="B1297" s="7"/>
      <c r="C1297" s="7"/>
      <c r="D1297" s="7"/>
      <c r="E1297" s="36">
        <v>147</v>
      </c>
      <c r="F1297" s="36" t="s">
        <v>2157</v>
      </c>
      <c r="G1297" s="36">
        <v>635001</v>
      </c>
      <c r="H1297" s="36" t="s">
        <v>1929</v>
      </c>
      <c r="I1297" s="37">
        <v>6.9070000000000006E-2</v>
      </c>
      <c r="J1297" s="7"/>
      <c r="K1297" s="7" t="str">
        <f>VLOOKUP($E1297,Mapping!$E$11:$I$96,3,0)</f>
        <v>Replacement</v>
      </c>
      <c r="L1297" s="7" t="str">
        <f>VLOOKUP($G1297,Mapping!$E$140:$K$2771,5,0)</f>
        <v>PNS MG</v>
      </c>
      <c r="M1297" s="7" t="str">
        <f>VLOOKUP($G1297,Mapping!$E$140:$K$2771,7,0)</f>
        <v>ENDirect</v>
      </c>
      <c r="N1297" s="7" t="str">
        <f>IFERROR(HLOOKUP(L1297,'Calc|Weightings'!$K$5:$M$5,1,0),"Excl")</f>
        <v>Excl</v>
      </c>
      <c r="O1297" s="7" t="str">
        <f>VLOOKUP(E1297,Mapping!$E$11:$I$96,5,0)</f>
        <v>SCS</v>
      </c>
      <c r="Q1297" s="33">
        <v>156</v>
      </c>
      <c r="R1297" s="33" t="s">
        <v>2165</v>
      </c>
      <c r="S1297" s="33">
        <v>639000</v>
      </c>
      <c r="T1297" s="33" t="s">
        <v>2112</v>
      </c>
      <c r="U1297" s="34">
        <v>155.27547999999999</v>
      </c>
      <c r="V1297" s="7"/>
      <c r="W1297" s="7" t="str">
        <f>VLOOKUP($Q1297,Mapping!$E$11:$I$96,3,0)</f>
        <v>Replacement</v>
      </c>
      <c r="X1297" s="7" t="str">
        <f>VLOOKUP($S1297,Mapping!$E$140:$K$2771,5,0)</f>
        <v>PNS Corporate OH</v>
      </c>
      <c r="Y1297" s="7" t="str">
        <f>VLOOKUP($S1297,Mapping!$E$140:$K$2771,7,0)</f>
        <v>OH</v>
      </c>
      <c r="Z1297" s="7" t="str">
        <f>IFERROR(HLOOKUP(X1297,'Calc|Weightings'!$K$5:$M$5,1,0),"Excl")</f>
        <v>Excl</v>
      </c>
      <c r="AA1297" s="7" t="str">
        <f>VLOOKUP(Q1297,Mapping!$E$11:$I$96,5,0)</f>
        <v>SCS</v>
      </c>
      <c r="AC1297" s="111">
        <v>157</v>
      </c>
      <c r="AD1297" s="111" t="s">
        <v>2166</v>
      </c>
      <c r="AE1297" s="111">
        <v>582300</v>
      </c>
      <c r="AF1297" s="111" t="s">
        <v>381</v>
      </c>
      <c r="AG1297" s="112">
        <v>0.10277</v>
      </c>
      <c r="AI1297" s="7" t="str">
        <f>VLOOKUP($AC1297,Mapping!$E$11:$I$96,3,0)</f>
        <v>Replacement</v>
      </c>
      <c r="AJ1297" s="7" t="str">
        <f>VLOOKUP($AE1297,Mapping!$E$140:$K$2771,5,0)</f>
        <v>Contracts</v>
      </c>
      <c r="AK1297" s="7" t="str">
        <f>VLOOKUP($AE1297,Mapping!$E$140:$K$2771,7,0)</f>
        <v>ENDirect</v>
      </c>
      <c r="AL1297" s="7" t="str">
        <f>IFERROR(HLOOKUP(AJ1297,'Calc|Weightings'!$K$5:$M$5,1,0),"Excl")</f>
        <v>Contracts</v>
      </c>
      <c r="AM1297" s="7" t="str">
        <f>VLOOKUP(AC1297,Mapping!$E$11:$I$96,5,0)</f>
        <v>SCS</v>
      </c>
      <c r="AO1297" s="134">
        <v>161</v>
      </c>
      <c r="AP1297" s="135" t="s">
        <v>2171</v>
      </c>
      <c r="AQ1297" s="135">
        <v>531469</v>
      </c>
      <c r="AR1297" s="135" t="s">
        <v>261</v>
      </c>
      <c r="AS1297" s="136">
        <v>1085.0859499999999</v>
      </c>
      <c r="AU1297" s="7" t="str">
        <f>VLOOKUP($AO1297,Mapping!$E$11:$I$96,3,0)</f>
        <v>Augmentation</v>
      </c>
      <c r="AV1297" s="7" t="str">
        <f>VLOOKUP($AQ1297,Mapping!$E$140:$K$2771,5,0)</f>
        <v>Labour</v>
      </c>
      <c r="AW1297" s="7" t="str">
        <f>VLOOKUP($AQ1297,Mapping!$E$140:$K$2771,7,0)</f>
        <v>ENDirect</v>
      </c>
      <c r="AX1297" s="7" t="str">
        <f>IFERROR(HLOOKUP(AV1297,'Calc|Weightings'!$K$5:$M$5,1,0),"Excl")</f>
        <v>Labour</v>
      </c>
      <c r="AY1297" s="7" t="str">
        <f>VLOOKUP(AO1297,Mapping!$E$11:$I$96,5,0)</f>
        <v>SCS</v>
      </c>
    </row>
    <row r="1298" spans="1:51" x14ac:dyDescent="0.2">
      <c r="A1298" s="7"/>
      <c r="B1298" s="7"/>
      <c r="C1298" s="7"/>
      <c r="D1298" s="7"/>
      <c r="E1298" s="36">
        <v>147</v>
      </c>
      <c r="F1298" s="36" t="s">
        <v>2157</v>
      </c>
      <c r="G1298" s="36">
        <v>636001</v>
      </c>
      <c r="H1298" s="36" t="s">
        <v>2111</v>
      </c>
      <c r="I1298" s="37">
        <v>4.2439200000000001</v>
      </c>
      <c r="J1298" s="7"/>
      <c r="K1298" s="7" t="str">
        <f>VLOOKUP($E1298,Mapping!$E$11:$I$96,3,0)</f>
        <v>Replacement</v>
      </c>
      <c r="L1298" s="7" t="str">
        <f>VLOOKUP($G1298,Mapping!$E$140:$K$2771,5,0)</f>
        <v>System Control OH</v>
      </c>
      <c r="M1298" s="7" t="str">
        <f>VLOOKUP($G1298,Mapping!$E$140:$K$2771,7,0)</f>
        <v>OH</v>
      </c>
      <c r="N1298" s="7" t="str">
        <f>IFERROR(HLOOKUP(L1298,'Calc|Weightings'!$K$5:$M$5,1,0),"Excl")</f>
        <v>Excl</v>
      </c>
      <c r="O1298" s="7" t="str">
        <f>VLOOKUP(E1298,Mapping!$E$11:$I$96,5,0)</f>
        <v>SCS</v>
      </c>
      <c r="Q1298" s="33">
        <v>156</v>
      </c>
      <c r="R1298" s="33" t="s">
        <v>2165</v>
      </c>
      <c r="S1298" s="33">
        <v>639050</v>
      </c>
      <c r="T1298" s="33" t="s">
        <v>2113</v>
      </c>
      <c r="U1298" s="34">
        <v>25.774100000000001</v>
      </c>
      <c r="V1298" s="7"/>
      <c r="W1298" s="7" t="str">
        <f>VLOOKUP($Q1298,Mapping!$E$11:$I$96,3,0)</f>
        <v>Replacement</v>
      </c>
      <c r="X1298" s="7" t="str">
        <f>VLOOKUP($S1298,Mapping!$E$140:$K$2771,5,0)</f>
        <v>PNS Fleet &amp; Property OH</v>
      </c>
      <c r="Y1298" s="7" t="str">
        <f>VLOOKUP($S1298,Mapping!$E$140:$K$2771,7,0)</f>
        <v>OH</v>
      </c>
      <c r="Z1298" s="7" t="str">
        <f>IFERROR(HLOOKUP(X1298,'Calc|Weightings'!$K$5:$M$5,1,0),"Excl")</f>
        <v>Excl</v>
      </c>
      <c r="AA1298" s="7" t="str">
        <f>VLOOKUP(Q1298,Mapping!$E$11:$I$96,5,0)</f>
        <v>SCS</v>
      </c>
      <c r="AC1298" s="111">
        <v>157</v>
      </c>
      <c r="AD1298" s="111" t="s">
        <v>2166</v>
      </c>
      <c r="AE1298" s="111">
        <v>611900</v>
      </c>
      <c r="AF1298" s="111" t="s">
        <v>2079</v>
      </c>
      <c r="AG1298" s="112">
        <v>1.28121</v>
      </c>
      <c r="AI1298" s="7" t="str">
        <f>VLOOKUP($AC1298,Mapping!$E$11:$I$96,3,0)</f>
        <v>Replacement</v>
      </c>
      <c r="AJ1298" s="7" t="str">
        <f>VLOOKUP($AE1298,Mapping!$E$140:$K$2771,5,0)</f>
        <v>Contracts</v>
      </c>
      <c r="AK1298" s="7" t="str">
        <f>VLOOKUP($AE1298,Mapping!$E$140:$K$2771,7,0)</f>
        <v>ENDirect</v>
      </c>
      <c r="AL1298" s="7" t="str">
        <f>IFERROR(HLOOKUP(AJ1298,'Calc|Weightings'!$K$5:$M$5,1,0),"Excl")</f>
        <v>Contracts</v>
      </c>
      <c r="AM1298" s="7" t="str">
        <f>VLOOKUP(AC1298,Mapping!$E$11:$I$96,5,0)</f>
        <v>SCS</v>
      </c>
      <c r="AO1298" s="134">
        <v>161</v>
      </c>
      <c r="AP1298" s="135" t="s">
        <v>2171</v>
      </c>
      <c r="AQ1298" s="135">
        <v>531480</v>
      </c>
      <c r="AR1298" s="135" t="s">
        <v>2076</v>
      </c>
      <c r="AS1298" s="136">
        <v>80.164550000000006</v>
      </c>
      <c r="AU1298" s="7" t="str">
        <f>VLOOKUP($AO1298,Mapping!$E$11:$I$96,3,0)</f>
        <v>Augmentation</v>
      </c>
      <c r="AV1298" s="7" t="str">
        <f>VLOOKUP($AQ1298,Mapping!$E$140:$K$2771,5,0)</f>
        <v>Labour</v>
      </c>
      <c r="AW1298" s="7" t="str">
        <f>VLOOKUP($AQ1298,Mapping!$E$140:$K$2771,7,0)</f>
        <v>ENDirect</v>
      </c>
      <c r="AX1298" s="7" t="str">
        <f>IFERROR(HLOOKUP(AV1298,'Calc|Weightings'!$K$5:$M$5,1,0),"Excl")</f>
        <v>Labour</v>
      </c>
      <c r="AY1298" s="7" t="str">
        <f>VLOOKUP(AO1298,Mapping!$E$11:$I$96,5,0)</f>
        <v>SCS</v>
      </c>
    </row>
    <row r="1299" spans="1:51" x14ac:dyDescent="0.2">
      <c r="A1299" s="7"/>
      <c r="B1299" s="7"/>
      <c r="C1299" s="7"/>
      <c r="D1299" s="7"/>
      <c r="E1299" s="36">
        <v>147</v>
      </c>
      <c r="F1299" s="36" t="s">
        <v>2157</v>
      </c>
      <c r="G1299" s="36">
        <v>639000</v>
      </c>
      <c r="H1299" s="36" t="s">
        <v>2112</v>
      </c>
      <c r="I1299" s="37">
        <v>5.851E-2</v>
      </c>
      <c r="J1299" s="7"/>
      <c r="K1299" s="7" t="str">
        <f>VLOOKUP($E1299,Mapping!$E$11:$I$96,3,0)</f>
        <v>Replacement</v>
      </c>
      <c r="L1299" s="7" t="str">
        <f>VLOOKUP($G1299,Mapping!$E$140:$K$2771,5,0)</f>
        <v>PNS Corporate OH</v>
      </c>
      <c r="M1299" s="7" t="str">
        <f>VLOOKUP($G1299,Mapping!$E$140:$K$2771,7,0)</f>
        <v>OH</v>
      </c>
      <c r="N1299" s="7" t="str">
        <f>IFERROR(HLOOKUP(L1299,'Calc|Weightings'!$K$5:$M$5,1,0),"Excl")</f>
        <v>Excl</v>
      </c>
      <c r="O1299" s="7" t="str">
        <f>VLOOKUP(E1299,Mapping!$E$11:$I$96,5,0)</f>
        <v>SCS</v>
      </c>
      <c r="Q1299" s="33">
        <v>157</v>
      </c>
      <c r="R1299" s="33" t="s">
        <v>2166</v>
      </c>
      <c r="S1299" s="33">
        <v>140200</v>
      </c>
      <c r="T1299" s="33" t="s">
        <v>49</v>
      </c>
      <c r="U1299" s="34">
        <v>7.5960000000000001</v>
      </c>
      <c r="V1299" s="7"/>
      <c r="W1299" s="7" t="str">
        <f>VLOOKUP($Q1299,Mapping!$E$11:$I$96,3,0)</f>
        <v>Replacement</v>
      </c>
      <c r="X1299" s="7" t="str">
        <f>VLOOKUP($S1299,Mapping!$E$140:$K$2771,5,0)</f>
        <v>Materials</v>
      </c>
      <c r="Y1299" s="7" t="str">
        <f>VLOOKUP($S1299,Mapping!$E$140:$K$2771,7,0)</f>
        <v>ENDirect</v>
      </c>
      <c r="Z1299" s="7" t="str">
        <f>IFERROR(HLOOKUP(X1299,'Calc|Weightings'!$K$5:$M$5,1,0),"Excl")</f>
        <v>Materials</v>
      </c>
      <c r="AA1299" s="7" t="str">
        <f>VLOOKUP(Q1299,Mapping!$E$11:$I$96,5,0)</f>
        <v>SCS</v>
      </c>
      <c r="AC1299" s="111">
        <v>157</v>
      </c>
      <c r="AD1299" s="111" t="s">
        <v>2166</v>
      </c>
      <c r="AE1299" s="111">
        <v>611901</v>
      </c>
      <c r="AF1299" s="111" t="s">
        <v>2080</v>
      </c>
      <c r="AG1299" s="112">
        <v>35.11627</v>
      </c>
      <c r="AI1299" s="7" t="str">
        <f>VLOOKUP($AC1299,Mapping!$E$11:$I$96,3,0)</f>
        <v>Replacement</v>
      </c>
      <c r="AJ1299" s="7" t="str">
        <f>VLOOKUP($AE1299,Mapping!$E$140:$K$2771,5,0)</f>
        <v>Contracts</v>
      </c>
      <c r="AK1299" s="7" t="str">
        <f>VLOOKUP($AE1299,Mapping!$E$140:$K$2771,7,0)</f>
        <v>ENDirect</v>
      </c>
      <c r="AL1299" s="7" t="str">
        <f>IFERROR(HLOOKUP(AJ1299,'Calc|Weightings'!$K$5:$M$5,1,0),"Excl")</f>
        <v>Contracts</v>
      </c>
      <c r="AM1299" s="7" t="str">
        <f>VLOOKUP(AC1299,Mapping!$E$11:$I$96,5,0)</f>
        <v>SCS</v>
      </c>
      <c r="AO1299" s="134">
        <v>161</v>
      </c>
      <c r="AP1299" s="135" t="s">
        <v>2171</v>
      </c>
      <c r="AQ1299" s="135">
        <v>532050</v>
      </c>
      <c r="AR1299" s="135" t="s">
        <v>279</v>
      </c>
      <c r="AS1299" s="136">
        <v>8.5</v>
      </c>
      <c r="AU1299" s="7" t="str">
        <f>VLOOKUP($AO1299,Mapping!$E$11:$I$96,3,0)</f>
        <v>Augmentation</v>
      </c>
      <c r="AV1299" s="7" t="str">
        <f>VLOOKUP($AQ1299,Mapping!$E$140:$K$2771,5,0)</f>
        <v>Contracts</v>
      </c>
      <c r="AW1299" s="7" t="str">
        <f>VLOOKUP($AQ1299,Mapping!$E$140:$K$2771,7,0)</f>
        <v>ENDirect</v>
      </c>
      <c r="AX1299" s="7" t="str">
        <f>IFERROR(HLOOKUP(AV1299,'Calc|Weightings'!$K$5:$M$5,1,0),"Excl")</f>
        <v>Contracts</v>
      </c>
      <c r="AY1299" s="7" t="str">
        <f>VLOOKUP(AO1299,Mapping!$E$11:$I$96,5,0)</f>
        <v>SCS</v>
      </c>
    </row>
    <row r="1300" spans="1:51" x14ac:dyDescent="0.2">
      <c r="A1300" s="7"/>
      <c r="B1300" s="7"/>
      <c r="C1300" s="7"/>
      <c r="D1300" s="7"/>
      <c r="E1300" s="36">
        <v>147</v>
      </c>
      <c r="F1300" s="36" t="s">
        <v>2157</v>
      </c>
      <c r="G1300" s="36">
        <v>639050</v>
      </c>
      <c r="H1300" s="36" t="s">
        <v>2113</v>
      </c>
      <c r="I1300" s="37">
        <v>9.8799999999999999E-3</v>
      </c>
      <c r="J1300" s="7"/>
      <c r="K1300" s="7" t="str">
        <f>VLOOKUP($E1300,Mapping!$E$11:$I$96,3,0)</f>
        <v>Replacement</v>
      </c>
      <c r="L1300" s="7" t="str">
        <f>VLOOKUP($G1300,Mapping!$E$140:$K$2771,5,0)</f>
        <v>PNS Fleet &amp; Property OH</v>
      </c>
      <c r="M1300" s="7" t="str">
        <f>VLOOKUP($G1300,Mapping!$E$140:$K$2771,7,0)</f>
        <v>OH</v>
      </c>
      <c r="N1300" s="7" t="str">
        <f>IFERROR(HLOOKUP(L1300,'Calc|Weightings'!$K$5:$M$5,1,0),"Excl")</f>
        <v>Excl</v>
      </c>
      <c r="O1300" s="7" t="str">
        <f>VLOOKUP(E1300,Mapping!$E$11:$I$96,5,0)</f>
        <v>SCS</v>
      </c>
      <c r="Q1300" s="33">
        <v>157</v>
      </c>
      <c r="R1300" s="33" t="s">
        <v>2166</v>
      </c>
      <c r="S1300" s="33">
        <v>503240</v>
      </c>
      <c r="T1300" s="33" t="s">
        <v>169</v>
      </c>
      <c r="U1300" s="34">
        <v>2.2200000000000001E-2</v>
      </c>
      <c r="V1300" s="7"/>
      <c r="W1300" s="7" t="str">
        <f>VLOOKUP($Q1300,Mapping!$E$11:$I$96,3,0)</f>
        <v>Replacement</v>
      </c>
      <c r="X1300" s="7" t="str">
        <f>VLOOKUP($S1300,Mapping!$E$140:$K$2771,5,0)</f>
        <v>Contracts</v>
      </c>
      <c r="Y1300" s="7" t="str">
        <f>VLOOKUP($S1300,Mapping!$E$140:$K$2771,7,0)</f>
        <v>ENDirect</v>
      </c>
      <c r="Z1300" s="7" t="str">
        <f>IFERROR(HLOOKUP(X1300,'Calc|Weightings'!$K$5:$M$5,1,0),"Excl")</f>
        <v>Contracts</v>
      </c>
      <c r="AA1300" s="7" t="str">
        <f>VLOOKUP(Q1300,Mapping!$E$11:$I$96,5,0)</f>
        <v>SCS</v>
      </c>
      <c r="AC1300" s="111">
        <v>157</v>
      </c>
      <c r="AD1300" s="111" t="s">
        <v>2166</v>
      </c>
      <c r="AE1300" s="111">
        <v>611902</v>
      </c>
      <c r="AF1300" s="111" t="s">
        <v>2081</v>
      </c>
      <c r="AG1300" s="112">
        <v>9.4741</v>
      </c>
      <c r="AI1300" s="7" t="str">
        <f>VLOOKUP($AC1300,Mapping!$E$11:$I$96,3,0)</f>
        <v>Replacement</v>
      </c>
      <c r="AJ1300" s="7" t="str">
        <f>VLOOKUP($AE1300,Mapping!$E$140:$K$2771,5,0)</f>
        <v>Contracts</v>
      </c>
      <c r="AK1300" s="7" t="str">
        <f>VLOOKUP($AE1300,Mapping!$E$140:$K$2771,7,0)</f>
        <v>ENDirect</v>
      </c>
      <c r="AL1300" s="7" t="str">
        <f>IFERROR(HLOOKUP(AJ1300,'Calc|Weightings'!$K$5:$M$5,1,0),"Excl")</f>
        <v>Contracts</v>
      </c>
      <c r="AM1300" s="7" t="str">
        <f>VLOOKUP(AC1300,Mapping!$E$11:$I$96,5,0)</f>
        <v>SCS</v>
      </c>
      <c r="AO1300" s="134">
        <v>161</v>
      </c>
      <c r="AP1300" s="135" t="s">
        <v>2171</v>
      </c>
      <c r="AQ1300" s="135">
        <v>532140</v>
      </c>
      <c r="AR1300" s="135" t="s">
        <v>288</v>
      </c>
      <c r="AS1300" s="136">
        <v>1.1322000000000001</v>
      </c>
      <c r="AU1300" s="7" t="str">
        <f>VLOOKUP($AO1300,Mapping!$E$11:$I$96,3,0)</f>
        <v>Augmentation</v>
      </c>
      <c r="AV1300" s="7" t="str">
        <f>VLOOKUP($AQ1300,Mapping!$E$140:$K$2771,5,0)</f>
        <v>Contracts</v>
      </c>
      <c r="AW1300" s="7" t="str">
        <f>VLOOKUP($AQ1300,Mapping!$E$140:$K$2771,7,0)</f>
        <v>ENDirect</v>
      </c>
      <c r="AX1300" s="7" t="str">
        <f>IFERROR(HLOOKUP(AV1300,'Calc|Weightings'!$K$5:$M$5,1,0),"Excl")</f>
        <v>Contracts</v>
      </c>
      <c r="AY1300" s="7" t="str">
        <f>VLOOKUP(AO1300,Mapping!$E$11:$I$96,5,0)</f>
        <v>SCS</v>
      </c>
    </row>
    <row r="1301" spans="1:51" x14ac:dyDescent="0.2">
      <c r="A1301" s="7"/>
      <c r="B1301" s="7"/>
      <c r="C1301" s="7"/>
      <c r="D1301" s="7"/>
      <c r="E1301" s="36">
        <v>148</v>
      </c>
      <c r="F1301" s="36" t="s">
        <v>2158</v>
      </c>
      <c r="G1301" s="36">
        <v>500200</v>
      </c>
      <c r="H1301" s="36" t="s">
        <v>136</v>
      </c>
      <c r="I1301" s="37">
        <v>0.10199999999999999</v>
      </c>
      <c r="J1301" s="7"/>
      <c r="K1301" s="7" t="str">
        <f>VLOOKUP($E1301,Mapping!$E$11:$I$96,3,0)</f>
        <v>Replacement</v>
      </c>
      <c r="L1301" s="7" t="str">
        <f>VLOOKUP($G1301,Mapping!$E$140:$K$2771,5,0)</f>
        <v>Labour</v>
      </c>
      <c r="M1301" s="7" t="str">
        <f>VLOOKUP($G1301,Mapping!$E$140:$K$2771,7,0)</f>
        <v>ENDirect</v>
      </c>
      <c r="N1301" s="7" t="str">
        <f>IFERROR(HLOOKUP(L1301,'Calc|Weightings'!$K$5:$M$5,1,0),"Excl")</f>
        <v>Labour</v>
      </c>
      <c r="O1301" s="7" t="str">
        <f>VLOOKUP(E1301,Mapping!$E$11:$I$96,5,0)</f>
        <v>SCS</v>
      </c>
      <c r="Q1301" s="33">
        <v>157</v>
      </c>
      <c r="R1301" s="33" t="s">
        <v>2166</v>
      </c>
      <c r="S1301" s="33">
        <v>503281</v>
      </c>
      <c r="T1301" s="33" t="s">
        <v>174</v>
      </c>
      <c r="U1301" s="34">
        <v>1.49369</v>
      </c>
      <c r="V1301" s="7"/>
      <c r="W1301" s="7" t="str">
        <f>VLOOKUP($Q1301,Mapping!$E$11:$I$96,3,0)</f>
        <v>Replacement</v>
      </c>
      <c r="X1301" s="7" t="str">
        <f>VLOOKUP($S1301,Mapping!$E$140:$K$2771,5,0)</f>
        <v>Contracts</v>
      </c>
      <c r="Y1301" s="7" t="str">
        <f>VLOOKUP($S1301,Mapping!$E$140:$K$2771,7,0)</f>
        <v>ENDirect</v>
      </c>
      <c r="Z1301" s="7" t="str">
        <f>IFERROR(HLOOKUP(X1301,'Calc|Weightings'!$K$5:$M$5,1,0),"Excl")</f>
        <v>Contracts</v>
      </c>
      <c r="AA1301" s="7" t="str">
        <f>VLOOKUP(Q1301,Mapping!$E$11:$I$96,5,0)</f>
        <v>SCS</v>
      </c>
      <c r="AC1301" s="111">
        <v>157</v>
      </c>
      <c r="AD1301" s="111" t="s">
        <v>2166</v>
      </c>
      <c r="AE1301" s="111">
        <v>612210</v>
      </c>
      <c r="AF1301" s="111" t="s">
        <v>1184</v>
      </c>
      <c r="AG1301" s="112">
        <v>2.2261700000000002</v>
      </c>
      <c r="AI1301" s="7" t="str">
        <f>VLOOKUP($AC1301,Mapping!$E$11:$I$96,3,0)</f>
        <v>Replacement</v>
      </c>
      <c r="AJ1301" s="7" t="str">
        <f>VLOOKUP($AE1301,Mapping!$E$140:$K$2771,5,0)</f>
        <v>Labour</v>
      </c>
      <c r="AK1301" s="7" t="str">
        <f>VLOOKUP($AE1301,Mapping!$E$140:$K$2771,7,0)</f>
        <v>ENDirect</v>
      </c>
      <c r="AL1301" s="7" t="str">
        <f>IFERROR(HLOOKUP(AJ1301,'Calc|Weightings'!$K$5:$M$5,1,0),"Excl")</f>
        <v>Labour</v>
      </c>
      <c r="AM1301" s="7" t="str">
        <f>VLOOKUP(AC1301,Mapping!$E$11:$I$96,5,0)</f>
        <v>SCS</v>
      </c>
      <c r="AO1301" s="134">
        <v>161</v>
      </c>
      <c r="AP1301" s="135" t="s">
        <v>2171</v>
      </c>
      <c r="AQ1301" s="135">
        <v>532200</v>
      </c>
      <c r="AR1301" s="135" t="s">
        <v>291</v>
      </c>
      <c r="AS1301" s="136">
        <v>0.66695000000000004</v>
      </c>
      <c r="AU1301" s="7" t="str">
        <f>VLOOKUP($AO1301,Mapping!$E$11:$I$96,3,0)</f>
        <v>Augmentation</v>
      </c>
      <c r="AV1301" s="7" t="str">
        <f>VLOOKUP($AQ1301,Mapping!$E$140:$K$2771,5,0)</f>
        <v>Contracts</v>
      </c>
      <c r="AW1301" s="7" t="str">
        <f>VLOOKUP($AQ1301,Mapping!$E$140:$K$2771,7,0)</f>
        <v>ENDirect</v>
      </c>
      <c r="AX1301" s="7" t="str">
        <f>IFERROR(HLOOKUP(AV1301,'Calc|Weightings'!$K$5:$M$5,1,0),"Excl")</f>
        <v>Contracts</v>
      </c>
      <c r="AY1301" s="7" t="str">
        <f>VLOOKUP(AO1301,Mapping!$E$11:$I$96,5,0)</f>
        <v>SCS</v>
      </c>
    </row>
    <row r="1302" spans="1:51" x14ac:dyDescent="0.2">
      <c r="A1302" s="7"/>
      <c r="B1302" s="7"/>
      <c r="C1302" s="7"/>
      <c r="D1302" s="7"/>
      <c r="E1302" s="36">
        <v>148</v>
      </c>
      <c r="F1302" s="36" t="s">
        <v>2158</v>
      </c>
      <c r="G1302" s="36">
        <v>520100</v>
      </c>
      <c r="H1302" s="36" t="s">
        <v>2072</v>
      </c>
      <c r="I1302" s="37">
        <v>245.46885</v>
      </c>
      <c r="J1302" s="7"/>
      <c r="K1302" s="7" t="str">
        <f>VLOOKUP($E1302,Mapping!$E$11:$I$96,3,0)</f>
        <v>Replacement</v>
      </c>
      <c r="L1302" s="7" t="str">
        <f>VLOOKUP($G1302,Mapping!$E$140:$K$2771,5,0)</f>
        <v>Materials</v>
      </c>
      <c r="M1302" s="7" t="str">
        <f>VLOOKUP($G1302,Mapping!$E$140:$K$2771,7,0)</f>
        <v>ENDirect</v>
      </c>
      <c r="N1302" s="7" t="str">
        <f>IFERROR(HLOOKUP(L1302,'Calc|Weightings'!$K$5:$M$5,1,0),"Excl")</f>
        <v>Materials</v>
      </c>
      <c r="O1302" s="7" t="str">
        <f>VLOOKUP(E1302,Mapping!$E$11:$I$96,5,0)</f>
        <v>SCS</v>
      </c>
      <c r="Q1302" s="33">
        <v>157</v>
      </c>
      <c r="R1302" s="33" t="s">
        <v>2166</v>
      </c>
      <c r="S1302" s="33">
        <v>503330</v>
      </c>
      <c r="T1302" s="33" t="s">
        <v>180</v>
      </c>
      <c r="U1302" s="34">
        <v>0.55632999999999999</v>
      </c>
      <c r="V1302" s="7"/>
      <c r="W1302" s="7" t="str">
        <f>VLOOKUP($Q1302,Mapping!$E$11:$I$96,3,0)</f>
        <v>Replacement</v>
      </c>
      <c r="X1302" s="7" t="str">
        <f>VLOOKUP($S1302,Mapping!$E$140:$K$2771,5,0)</f>
        <v>Contracts</v>
      </c>
      <c r="Y1302" s="7" t="str">
        <f>VLOOKUP($S1302,Mapping!$E$140:$K$2771,7,0)</f>
        <v>ENDirect</v>
      </c>
      <c r="Z1302" s="7" t="str">
        <f>IFERROR(HLOOKUP(X1302,'Calc|Weightings'!$K$5:$M$5,1,0),"Excl")</f>
        <v>Contracts</v>
      </c>
      <c r="AA1302" s="7" t="str">
        <f>VLOOKUP(Q1302,Mapping!$E$11:$I$96,5,0)</f>
        <v>SCS</v>
      </c>
      <c r="AC1302" s="111">
        <v>157</v>
      </c>
      <c r="AD1302" s="111" t="s">
        <v>2166</v>
      </c>
      <c r="AE1302" s="111">
        <v>613260</v>
      </c>
      <c r="AF1302" s="111" t="s">
        <v>2090</v>
      </c>
      <c r="AG1302" s="112">
        <v>160.95943</v>
      </c>
      <c r="AI1302" s="7" t="str">
        <f>VLOOKUP($AC1302,Mapping!$E$11:$I$96,3,0)</f>
        <v>Replacement</v>
      </c>
      <c r="AJ1302" s="7" t="str">
        <f>VLOOKUP($AE1302,Mapping!$E$140:$K$2771,5,0)</f>
        <v>Labour</v>
      </c>
      <c r="AK1302" s="7" t="str">
        <f>VLOOKUP($AE1302,Mapping!$E$140:$K$2771,7,0)</f>
        <v>ENDirect</v>
      </c>
      <c r="AL1302" s="7" t="str">
        <f>IFERROR(HLOOKUP(AJ1302,'Calc|Weightings'!$K$5:$M$5,1,0),"Excl")</f>
        <v>Labour</v>
      </c>
      <c r="AM1302" s="7" t="str">
        <f>VLOOKUP(AC1302,Mapping!$E$11:$I$96,5,0)</f>
        <v>SCS</v>
      </c>
      <c r="AO1302" s="134">
        <v>161</v>
      </c>
      <c r="AP1302" s="135" t="s">
        <v>2171</v>
      </c>
      <c r="AQ1302" s="135">
        <v>532360</v>
      </c>
      <c r="AR1302" s="135" t="s">
        <v>2131</v>
      </c>
      <c r="AS1302" s="136">
        <v>4.9500000000000004E-3</v>
      </c>
      <c r="AU1302" s="7" t="str">
        <f>VLOOKUP($AO1302,Mapping!$E$11:$I$96,3,0)</f>
        <v>Augmentation</v>
      </c>
      <c r="AV1302" s="7" t="str">
        <f>VLOOKUP($AQ1302,Mapping!$E$140:$K$2771,5,0)</f>
        <v>Contracts</v>
      </c>
      <c r="AW1302" s="7" t="str">
        <f>VLOOKUP($AQ1302,Mapping!$E$140:$K$2771,7,0)</f>
        <v>ENDirect</v>
      </c>
      <c r="AX1302" s="7" t="str">
        <f>IFERROR(HLOOKUP(AV1302,'Calc|Weightings'!$K$5:$M$5,1,0),"Excl")</f>
        <v>Contracts</v>
      </c>
      <c r="AY1302" s="7" t="str">
        <f>VLOOKUP(AO1302,Mapping!$E$11:$I$96,5,0)</f>
        <v>SCS</v>
      </c>
    </row>
    <row r="1303" spans="1:51" x14ac:dyDescent="0.2">
      <c r="A1303" s="7"/>
      <c r="B1303" s="7"/>
      <c r="C1303" s="7"/>
      <c r="D1303" s="7"/>
      <c r="E1303" s="36">
        <v>148</v>
      </c>
      <c r="F1303" s="36" t="s">
        <v>2158</v>
      </c>
      <c r="G1303" s="36">
        <v>520200</v>
      </c>
      <c r="H1303" s="36" t="s">
        <v>2073</v>
      </c>
      <c r="I1303" s="37">
        <v>2.38124</v>
      </c>
      <c r="J1303" s="7"/>
      <c r="K1303" s="7" t="str">
        <f>VLOOKUP($E1303,Mapping!$E$11:$I$96,3,0)</f>
        <v>Replacement</v>
      </c>
      <c r="L1303" s="7" t="str">
        <f>VLOOKUP($G1303,Mapping!$E$140:$K$2771,5,0)</f>
        <v>Materials</v>
      </c>
      <c r="M1303" s="7" t="str">
        <f>VLOOKUP($G1303,Mapping!$E$140:$K$2771,7,0)</f>
        <v>ENDirect</v>
      </c>
      <c r="N1303" s="7" t="str">
        <f>IFERROR(HLOOKUP(L1303,'Calc|Weightings'!$K$5:$M$5,1,0),"Excl")</f>
        <v>Materials</v>
      </c>
      <c r="O1303" s="7" t="str">
        <f>VLOOKUP(E1303,Mapping!$E$11:$I$96,5,0)</f>
        <v>SCS</v>
      </c>
      <c r="Q1303" s="33">
        <v>157</v>
      </c>
      <c r="R1303" s="33" t="s">
        <v>2166</v>
      </c>
      <c r="S1303" s="33">
        <v>503350</v>
      </c>
      <c r="T1303" s="33" t="s">
        <v>182</v>
      </c>
      <c r="U1303" s="34">
        <v>1.2090399999999999</v>
      </c>
      <c r="V1303" s="7"/>
      <c r="W1303" s="7" t="str">
        <f>VLOOKUP($Q1303,Mapping!$E$11:$I$96,3,0)</f>
        <v>Replacement</v>
      </c>
      <c r="X1303" s="7" t="str">
        <f>VLOOKUP($S1303,Mapping!$E$140:$K$2771,5,0)</f>
        <v>Contracts</v>
      </c>
      <c r="Y1303" s="7" t="str">
        <f>VLOOKUP($S1303,Mapping!$E$140:$K$2771,7,0)</f>
        <v>ENDirect</v>
      </c>
      <c r="Z1303" s="7" t="str">
        <f>IFERROR(HLOOKUP(X1303,'Calc|Weightings'!$K$5:$M$5,1,0),"Excl")</f>
        <v>Contracts</v>
      </c>
      <c r="AA1303" s="7" t="str">
        <f>VLOOKUP(Q1303,Mapping!$E$11:$I$96,5,0)</f>
        <v>SCS</v>
      </c>
      <c r="AC1303" s="111">
        <v>157</v>
      </c>
      <c r="AD1303" s="111" t="s">
        <v>2166</v>
      </c>
      <c r="AE1303" s="111">
        <v>613261</v>
      </c>
      <c r="AF1303" s="111" t="s">
        <v>2091</v>
      </c>
      <c r="AG1303" s="112">
        <v>24.299630000000001</v>
      </c>
      <c r="AI1303" s="7" t="str">
        <f>VLOOKUP($AC1303,Mapping!$E$11:$I$96,3,0)</f>
        <v>Replacement</v>
      </c>
      <c r="AJ1303" s="7" t="str">
        <f>VLOOKUP($AE1303,Mapping!$E$140:$K$2771,5,0)</f>
        <v>Labour</v>
      </c>
      <c r="AK1303" s="7" t="str">
        <f>VLOOKUP($AE1303,Mapping!$E$140:$K$2771,7,0)</f>
        <v>ENDirect</v>
      </c>
      <c r="AL1303" s="7" t="str">
        <f>IFERROR(HLOOKUP(AJ1303,'Calc|Weightings'!$K$5:$M$5,1,0),"Excl")</f>
        <v>Labour</v>
      </c>
      <c r="AM1303" s="7" t="str">
        <f>VLOOKUP(AC1303,Mapping!$E$11:$I$96,5,0)</f>
        <v>SCS</v>
      </c>
      <c r="AO1303" s="134">
        <v>161</v>
      </c>
      <c r="AP1303" s="135" t="s">
        <v>2171</v>
      </c>
      <c r="AQ1303" s="135">
        <v>532380</v>
      </c>
      <c r="AR1303" s="135" t="s">
        <v>302</v>
      </c>
      <c r="AS1303" s="136">
        <v>0.6</v>
      </c>
      <c r="AU1303" s="7" t="str">
        <f>VLOOKUP($AO1303,Mapping!$E$11:$I$96,3,0)</f>
        <v>Augmentation</v>
      </c>
      <c r="AV1303" s="7" t="str">
        <f>VLOOKUP($AQ1303,Mapping!$E$140:$K$2771,5,0)</f>
        <v>Contracts</v>
      </c>
      <c r="AW1303" s="7" t="str">
        <f>VLOOKUP($AQ1303,Mapping!$E$140:$K$2771,7,0)</f>
        <v>ENDirect</v>
      </c>
      <c r="AX1303" s="7" t="str">
        <f>IFERROR(HLOOKUP(AV1303,'Calc|Weightings'!$K$5:$M$5,1,0),"Excl")</f>
        <v>Contracts</v>
      </c>
      <c r="AY1303" s="7" t="str">
        <f>VLOOKUP(AO1303,Mapping!$E$11:$I$96,5,0)</f>
        <v>SCS</v>
      </c>
    </row>
    <row r="1304" spans="1:51" x14ac:dyDescent="0.2">
      <c r="A1304" s="7"/>
      <c r="B1304" s="7"/>
      <c r="C1304" s="7"/>
      <c r="D1304" s="7"/>
      <c r="E1304" s="36">
        <v>148</v>
      </c>
      <c r="F1304" s="36" t="s">
        <v>2158</v>
      </c>
      <c r="G1304" s="36">
        <v>523100</v>
      </c>
      <c r="H1304" s="36" t="s">
        <v>2074</v>
      </c>
      <c r="I1304" s="37">
        <v>0.70448</v>
      </c>
      <c r="J1304" s="7"/>
      <c r="K1304" s="7" t="str">
        <f>VLOOKUP($E1304,Mapping!$E$11:$I$96,3,0)</f>
        <v>Replacement</v>
      </c>
      <c r="L1304" s="7" t="str">
        <f>VLOOKUP($G1304,Mapping!$E$140:$K$2771,5,0)</f>
        <v>Materials</v>
      </c>
      <c r="M1304" s="7" t="str">
        <f>VLOOKUP($G1304,Mapping!$E$140:$K$2771,7,0)</f>
        <v>ENDirect</v>
      </c>
      <c r="N1304" s="7" t="str">
        <f>IFERROR(HLOOKUP(L1304,'Calc|Weightings'!$K$5:$M$5,1,0),"Excl")</f>
        <v>Materials</v>
      </c>
      <c r="O1304" s="7" t="str">
        <f>VLOOKUP(E1304,Mapping!$E$11:$I$96,5,0)</f>
        <v>SCS</v>
      </c>
      <c r="Q1304" s="33">
        <v>157</v>
      </c>
      <c r="R1304" s="33" t="s">
        <v>2166</v>
      </c>
      <c r="S1304" s="33">
        <v>520100</v>
      </c>
      <c r="T1304" s="33" t="s">
        <v>2072</v>
      </c>
      <c r="U1304" s="34">
        <v>59.168109999999999</v>
      </c>
      <c r="V1304" s="7"/>
      <c r="W1304" s="7" t="str">
        <f>VLOOKUP($Q1304,Mapping!$E$11:$I$96,3,0)</f>
        <v>Replacement</v>
      </c>
      <c r="X1304" s="7" t="str">
        <f>VLOOKUP($S1304,Mapping!$E$140:$K$2771,5,0)</f>
        <v>Materials</v>
      </c>
      <c r="Y1304" s="7" t="str">
        <f>VLOOKUP($S1304,Mapping!$E$140:$K$2771,7,0)</f>
        <v>ENDirect</v>
      </c>
      <c r="Z1304" s="7" t="str">
        <f>IFERROR(HLOOKUP(X1304,'Calc|Weightings'!$K$5:$M$5,1,0),"Excl")</f>
        <v>Materials</v>
      </c>
      <c r="AA1304" s="7" t="str">
        <f>VLOOKUP(Q1304,Mapping!$E$11:$I$96,5,0)</f>
        <v>SCS</v>
      </c>
      <c r="AC1304" s="111">
        <v>157</v>
      </c>
      <c r="AD1304" s="111" t="s">
        <v>2166</v>
      </c>
      <c r="AE1304" s="111">
        <v>613280</v>
      </c>
      <c r="AF1304" s="111" t="s">
        <v>1342</v>
      </c>
      <c r="AG1304" s="112">
        <v>41.38899</v>
      </c>
      <c r="AI1304" s="7" t="str">
        <f>VLOOKUP($AC1304,Mapping!$E$11:$I$96,3,0)</f>
        <v>Replacement</v>
      </c>
      <c r="AJ1304" s="7" t="str">
        <f>VLOOKUP($AE1304,Mapping!$E$140:$K$2771,5,0)</f>
        <v>Labour</v>
      </c>
      <c r="AK1304" s="7" t="str">
        <f>VLOOKUP($AE1304,Mapping!$E$140:$K$2771,7,0)</f>
        <v>ENDirect</v>
      </c>
      <c r="AL1304" s="7" t="str">
        <f>IFERROR(HLOOKUP(AJ1304,'Calc|Weightings'!$K$5:$M$5,1,0),"Excl")</f>
        <v>Labour</v>
      </c>
      <c r="AM1304" s="7" t="str">
        <f>VLOOKUP(AC1304,Mapping!$E$11:$I$96,5,0)</f>
        <v>SCS</v>
      </c>
      <c r="AO1304" s="134">
        <v>161</v>
      </c>
      <c r="AP1304" s="135" t="s">
        <v>2171</v>
      </c>
      <c r="AQ1304" s="135">
        <v>532420</v>
      </c>
      <c r="AR1304" s="135" t="s">
        <v>307</v>
      </c>
      <c r="AS1304" s="136">
        <v>0.28613</v>
      </c>
      <c r="AU1304" s="7" t="str">
        <f>VLOOKUP($AO1304,Mapping!$E$11:$I$96,3,0)</f>
        <v>Augmentation</v>
      </c>
      <c r="AV1304" s="7" t="str">
        <f>VLOOKUP($AQ1304,Mapping!$E$140:$K$2771,5,0)</f>
        <v>Contracts</v>
      </c>
      <c r="AW1304" s="7" t="str">
        <f>VLOOKUP($AQ1304,Mapping!$E$140:$K$2771,7,0)</f>
        <v>ENDirect</v>
      </c>
      <c r="AX1304" s="7" t="str">
        <f>IFERROR(HLOOKUP(AV1304,'Calc|Weightings'!$K$5:$M$5,1,0),"Excl")</f>
        <v>Contracts</v>
      </c>
      <c r="AY1304" s="7" t="str">
        <f>VLOOKUP(AO1304,Mapping!$E$11:$I$96,5,0)</f>
        <v>SCS</v>
      </c>
    </row>
    <row r="1305" spans="1:51" x14ac:dyDescent="0.2">
      <c r="A1305" s="7"/>
      <c r="B1305" s="7"/>
      <c r="C1305" s="7"/>
      <c r="D1305" s="7"/>
      <c r="E1305" s="36">
        <v>148</v>
      </c>
      <c r="F1305" s="36" t="s">
        <v>2158</v>
      </c>
      <c r="G1305" s="36">
        <v>523300</v>
      </c>
      <c r="H1305" s="36" t="s">
        <v>2075</v>
      </c>
      <c r="I1305" s="37">
        <v>1.6000000000000001E-4</v>
      </c>
      <c r="J1305" s="7"/>
      <c r="K1305" s="7" t="str">
        <f>VLOOKUP($E1305,Mapping!$E$11:$I$96,3,0)</f>
        <v>Replacement</v>
      </c>
      <c r="L1305" s="7" t="str">
        <f>VLOOKUP($G1305,Mapping!$E$140:$K$2771,5,0)</f>
        <v>Materials</v>
      </c>
      <c r="M1305" s="7" t="str">
        <f>VLOOKUP($G1305,Mapping!$E$140:$K$2771,7,0)</f>
        <v>ENDirect</v>
      </c>
      <c r="N1305" s="7" t="str">
        <f>IFERROR(HLOOKUP(L1305,'Calc|Weightings'!$K$5:$M$5,1,0),"Excl")</f>
        <v>Materials</v>
      </c>
      <c r="O1305" s="7" t="str">
        <f>VLOOKUP(E1305,Mapping!$E$11:$I$96,5,0)</f>
        <v>SCS</v>
      </c>
      <c r="Q1305" s="33">
        <v>157</v>
      </c>
      <c r="R1305" s="33" t="s">
        <v>2166</v>
      </c>
      <c r="S1305" s="33">
        <v>520200</v>
      </c>
      <c r="T1305" s="33" t="s">
        <v>2073</v>
      </c>
      <c r="U1305" s="34">
        <v>171.23796999999999</v>
      </c>
      <c r="V1305" s="7"/>
      <c r="W1305" s="7" t="str">
        <f>VLOOKUP($Q1305,Mapping!$E$11:$I$96,3,0)</f>
        <v>Replacement</v>
      </c>
      <c r="X1305" s="7" t="str">
        <f>VLOOKUP($S1305,Mapping!$E$140:$K$2771,5,0)</f>
        <v>Materials</v>
      </c>
      <c r="Y1305" s="7" t="str">
        <f>VLOOKUP($S1305,Mapping!$E$140:$K$2771,7,0)</f>
        <v>ENDirect</v>
      </c>
      <c r="Z1305" s="7" t="str">
        <f>IFERROR(HLOOKUP(X1305,'Calc|Weightings'!$K$5:$M$5,1,0),"Excl")</f>
        <v>Materials</v>
      </c>
      <c r="AA1305" s="7" t="str">
        <f>VLOOKUP(Q1305,Mapping!$E$11:$I$96,5,0)</f>
        <v>SCS</v>
      </c>
      <c r="AC1305" s="111">
        <v>157</v>
      </c>
      <c r="AD1305" s="111" t="s">
        <v>2166</v>
      </c>
      <c r="AE1305" s="111">
        <v>613290</v>
      </c>
      <c r="AF1305" s="111" t="s">
        <v>2093</v>
      </c>
      <c r="AG1305" s="112">
        <v>318.93878999999998</v>
      </c>
      <c r="AI1305" s="7" t="str">
        <f>VLOOKUP($AC1305,Mapping!$E$11:$I$96,3,0)</f>
        <v>Replacement</v>
      </c>
      <c r="AJ1305" s="7" t="str">
        <f>VLOOKUP($AE1305,Mapping!$E$140:$K$2771,5,0)</f>
        <v>Labour</v>
      </c>
      <c r="AK1305" s="7" t="str">
        <f>VLOOKUP($AE1305,Mapping!$E$140:$K$2771,7,0)</f>
        <v>ENDirect</v>
      </c>
      <c r="AL1305" s="7" t="str">
        <f>IFERROR(HLOOKUP(AJ1305,'Calc|Weightings'!$K$5:$M$5,1,0),"Excl")</f>
        <v>Labour</v>
      </c>
      <c r="AM1305" s="7" t="str">
        <f>VLOOKUP(AC1305,Mapping!$E$11:$I$96,5,0)</f>
        <v>SCS</v>
      </c>
      <c r="AO1305" s="134">
        <v>161</v>
      </c>
      <c r="AP1305" s="135" t="s">
        <v>2171</v>
      </c>
      <c r="AQ1305" s="135">
        <v>534230</v>
      </c>
      <c r="AR1305" s="135" t="s">
        <v>341</v>
      </c>
      <c r="AS1305" s="136">
        <v>9.7699999999999992E-3</v>
      </c>
      <c r="AU1305" s="7" t="str">
        <f>VLOOKUP($AO1305,Mapping!$E$11:$I$96,3,0)</f>
        <v>Augmentation</v>
      </c>
      <c r="AV1305" s="7" t="str">
        <f>VLOOKUP($AQ1305,Mapping!$E$140:$K$2771,5,0)</f>
        <v>Contracts</v>
      </c>
      <c r="AW1305" s="7" t="str">
        <f>VLOOKUP($AQ1305,Mapping!$E$140:$K$2771,7,0)</f>
        <v>ENDirect</v>
      </c>
      <c r="AX1305" s="7" t="str">
        <f>IFERROR(HLOOKUP(AV1305,'Calc|Weightings'!$K$5:$M$5,1,0),"Excl")</f>
        <v>Contracts</v>
      </c>
      <c r="AY1305" s="7" t="str">
        <f>VLOOKUP(AO1305,Mapping!$E$11:$I$96,5,0)</f>
        <v>SCS</v>
      </c>
    </row>
    <row r="1306" spans="1:51" x14ac:dyDescent="0.2">
      <c r="A1306" s="7"/>
      <c r="B1306" s="7"/>
      <c r="C1306" s="7"/>
      <c r="D1306" s="7"/>
      <c r="E1306" s="36">
        <v>148</v>
      </c>
      <c r="F1306" s="36" t="s">
        <v>2158</v>
      </c>
      <c r="G1306" s="36">
        <v>531020</v>
      </c>
      <c r="H1306" s="36" t="s">
        <v>219</v>
      </c>
      <c r="I1306" s="37">
        <v>-4.4992000000000001</v>
      </c>
      <c r="J1306" s="7"/>
      <c r="K1306" s="7" t="str">
        <f>VLOOKUP($E1306,Mapping!$E$11:$I$96,3,0)</f>
        <v>Replacement</v>
      </c>
      <c r="L1306" s="7" t="str">
        <f>VLOOKUP($G1306,Mapping!$E$140:$K$2771,5,0)</f>
        <v>Labour</v>
      </c>
      <c r="M1306" s="7" t="str">
        <f>VLOOKUP($G1306,Mapping!$E$140:$K$2771,7,0)</f>
        <v>ENDirect</v>
      </c>
      <c r="N1306" s="7" t="str">
        <f>IFERROR(HLOOKUP(L1306,'Calc|Weightings'!$K$5:$M$5,1,0),"Excl")</f>
        <v>Labour</v>
      </c>
      <c r="O1306" s="7" t="str">
        <f>VLOOKUP(E1306,Mapping!$E$11:$I$96,5,0)</f>
        <v>SCS</v>
      </c>
      <c r="Q1306" s="33">
        <v>157</v>
      </c>
      <c r="R1306" s="33" t="s">
        <v>2166</v>
      </c>
      <c r="S1306" s="33">
        <v>523100</v>
      </c>
      <c r="T1306" s="33" t="s">
        <v>2074</v>
      </c>
      <c r="U1306" s="34">
        <v>-7.7039200000000001</v>
      </c>
      <c r="V1306" s="7"/>
      <c r="W1306" s="7" t="str">
        <f>VLOOKUP($Q1306,Mapping!$E$11:$I$96,3,0)</f>
        <v>Replacement</v>
      </c>
      <c r="X1306" s="7" t="str">
        <f>VLOOKUP($S1306,Mapping!$E$140:$K$2771,5,0)</f>
        <v>Materials</v>
      </c>
      <c r="Y1306" s="7" t="str">
        <f>VLOOKUP($S1306,Mapping!$E$140:$K$2771,7,0)</f>
        <v>ENDirect</v>
      </c>
      <c r="Z1306" s="7" t="str">
        <f>IFERROR(HLOOKUP(X1306,'Calc|Weightings'!$K$5:$M$5,1,0),"Excl")</f>
        <v>Materials</v>
      </c>
      <c r="AA1306" s="7" t="str">
        <f>VLOOKUP(Q1306,Mapping!$E$11:$I$96,5,0)</f>
        <v>SCS</v>
      </c>
      <c r="AC1306" s="111">
        <v>157</v>
      </c>
      <c r="AD1306" s="111" t="s">
        <v>2166</v>
      </c>
      <c r="AE1306" s="111">
        <v>613291</v>
      </c>
      <c r="AF1306" s="111" t="s">
        <v>2094</v>
      </c>
      <c r="AG1306" s="112">
        <v>5.5381499999999999</v>
      </c>
      <c r="AI1306" s="7" t="str">
        <f>VLOOKUP($AC1306,Mapping!$E$11:$I$96,3,0)</f>
        <v>Replacement</v>
      </c>
      <c r="AJ1306" s="7" t="str">
        <f>VLOOKUP($AE1306,Mapping!$E$140:$K$2771,5,0)</f>
        <v>Labour</v>
      </c>
      <c r="AK1306" s="7" t="str">
        <f>VLOOKUP($AE1306,Mapping!$E$140:$K$2771,7,0)</f>
        <v>ENDirect</v>
      </c>
      <c r="AL1306" s="7" t="str">
        <f>IFERROR(HLOOKUP(AJ1306,'Calc|Weightings'!$K$5:$M$5,1,0),"Excl")</f>
        <v>Labour</v>
      </c>
      <c r="AM1306" s="7" t="str">
        <f>VLOOKUP(AC1306,Mapping!$E$11:$I$96,5,0)</f>
        <v>SCS</v>
      </c>
      <c r="AO1306" s="134">
        <v>161</v>
      </c>
      <c r="AP1306" s="135" t="s">
        <v>2171</v>
      </c>
      <c r="AQ1306" s="135">
        <v>545150</v>
      </c>
      <c r="AR1306" s="135" t="s">
        <v>345</v>
      </c>
      <c r="AS1306" s="136">
        <v>2.29522</v>
      </c>
      <c r="AU1306" s="7" t="str">
        <f>VLOOKUP($AO1306,Mapping!$E$11:$I$96,3,0)</f>
        <v>Augmentation</v>
      </c>
      <c r="AV1306" s="7" t="str">
        <f>VLOOKUP($AQ1306,Mapping!$E$140:$K$2771,5,0)</f>
        <v>Contracts</v>
      </c>
      <c r="AW1306" s="7" t="str">
        <f>VLOOKUP($AQ1306,Mapping!$E$140:$K$2771,7,0)</f>
        <v>ENDirect</v>
      </c>
      <c r="AX1306" s="7" t="str">
        <f>IFERROR(HLOOKUP(AV1306,'Calc|Weightings'!$K$5:$M$5,1,0),"Excl")</f>
        <v>Contracts</v>
      </c>
      <c r="AY1306" s="7" t="str">
        <f>VLOOKUP(AO1306,Mapping!$E$11:$I$96,5,0)</f>
        <v>SCS</v>
      </c>
    </row>
    <row r="1307" spans="1:51" x14ac:dyDescent="0.2">
      <c r="A1307" s="7"/>
      <c r="B1307" s="7"/>
      <c r="C1307" s="7"/>
      <c r="D1307" s="7"/>
      <c r="E1307" s="36">
        <v>148</v>
      </c>
      <c r="F1307" s="36" t="s">
        <v>2158</v>
      </c>
      <c r="G1307" s="36">
        <v>531035</v>
      </c>
      <c r="H1307" s="36" t="s">
        <v>244</v>
      </c>
      <c r="I1307" s="37">
        <v>1.026</v>
      </c>
      <c r="J1307" s="7"/>
      <c r="K1307" s="7" t="str">
        <f>VLOOKUP($E1307,Mapping!$E$11:$I$96,3,0)</f>
        <v>Replacement</v>
      </c>
      <c r="L1307" s="7" t="str">
        <f>VLOOKUP($G1307,Mapping!$E$140:$K$2771,5,0)</f>
        <v>Labour</v>
      </c>
      <c r="M1307" s="7" t="str">
        <f>VLOOKUP($G1307,Mapping!$E$140:$K$2771,7,0)</f>
        <v>ENDirect</v>
      </c>
      <c r="N1307" s="7" t="str">
        <f>IFERROR(HLOOKUP(L1307,'Calc|Weightings'!$K$5:$M$5,1,0),"Excl")</f>
        <v>Labour</v>
      </c>
      <c r="O1307" s="7" t="str">
        <f>VLOOKUP(E1307,Mapping!$E$11:$I$96,5,0)</f>
        <v>SCS</v>
      </c>
      <c r="Q1307" s="33">
        <v>157</v>
      </c>
      <c r="R1307" s="33" t="s">
        <v>2166</v>
      </c>
      <c r="S1307" s="33">
        <v>523300</v>
      </c>
      <c r="T1307" s="33" t="s">
        <v>2075</v>
      </c>
      <c r="U1307" s="34">
        <v>1.4116200000000001</v>
      </c>
      <c r="V1307" s="7"/>
      <c r="W1307" s="7" t="str">
        <f>VLOOKUP($Q1307,Mapping!$E$11:$I$96,3,0)</f>
        <v>Replacement</v>
      </c>
      <c r="X1307" s="7" t="str">
        <f>VLOOKUP($S1307,Mapping!$E$140:$K$2771,5,0)</f>
        <v>Materials</v>
      </c>
      <c r="Y1307" s="7" t="str">
        <f>VLOOKUP($S1307,Mapping!$E$140:$K$2771,7,0)</f>
        <v>ENDirect</v>
      </c>
      <c r="Z1307" s="7" t="str">
        <f>IFERROR(HLOOKUP(X1307,'Calc|Weightings'!$K$5:$M$5,1,0),"Excl")</f>
        <v>Materials</v>
      </c>
      <c r="AA1307" s="7" t="str">
        <f>VLOOKUP(Q1307,Mapping!$E$11:$I$96,5,0)</f>
        <v>SCS</v>
      </c>
      <c r="AC1307" s="111">
        <v>157</v>
      </c>
      <c r="AD1307" s="111" t="s">
        <v>2166</v>
      </c>
      <c r="AE1307" s="111">
        <v>613310</v>
      </c>
      <c r="AF1307" s="111" t="s">
        <v>2095</v>
      </c>
      <c r="AG1307" s="112">
        <v>67.938550000000006</v>
      </c>
      <c r="AI1307" s="7" t="str">
        <f>VLOOKUP($AC1307,Mapping!$E$11:$I$96,3,0)</f>
        <v>Replacement</v>
      </c>
      <c r="AJ1307" s="7" t="str">
        <f>VLOOKUP($AE1307,Mapping!$E$140:$K$2771,5,0)</f>
        <v>Labour</v>
      </c>
      <c r="AK1307" s="7" t="str">
        <f>VLOOKUP($AE1307,Mapping!$E$140:$K$2771,7,0)</f>
        <v>ENDirect</v>
      </c>
      <c r="AL1307" s="7" t="str">
        <f>IFERROR(HLOOKUP(AJ1307,'Calc|Weightings'!$K$5:$M$5,1,0),"Excl")</f>
        <v>Labour</v>
      </c>
      <c r="AM1307" s="7" t="str">
        <f>VLOOKUP(AC1307,Mapping!$E$11:$I$96,5,0)</f>
        <v>SCS</v>
      </c>
      <c r="AO1307" s="134">
        <v>161</v>
      </c>
      <c r="AP1307" s="135" t="s">
        <v>2171</v>
      </c>
      <c r="AQ1307" s="135">
        <v>582300</v>
      </c>
      <c r="AR1307" s="135" t="s">
        <v>381</v>
      </c>
      <c r="AS1307" s="136">
        <v>4.6210000000000001E-2</v>
      </c>
      <c r="AU1307" s="7" t="str">
        <f>VLOOKUP($AO1307,Mapping!$E$11:$I$96,3,0)</f>
        <v>Augmentation</v>
      </c>
      <c r="AV1307" s="7" t="str">
        <f>VLOOKUP($AQ1307,Mapping!$E$140:$K$2771,5,0)</f>
        <v>Contracts</v>
      </c>
      <c r="AW1307" s="7" t="str">
        <f>VLOOKUP($AQ1307,Mapping!$E$140:$K$2771,7,0)</f>
        <v>ENDirect</v>
      </c>
      <c r="AX1307" s="7" t="str">
        <f>IFERROR(HLOOKUP(AV1307,'Calc|Weightings'!$K$5:$M$5,1,0),"Excl")</f>
        <v>Contracts</v>
      </c>
      <c r="AY1307" s="7" t="str">
        <f>VLOOKUP(AO1307,Mapping!$E$11:$I$96,5,0)</f>
        <v>SCS</v>
      </c>
    </row>
    <row r="1308" spans="1:51" x14ac:dyDescent="0.2">
      <c r="A1308" s="7"/>
      <c r="B1308" s="7"/>
      <c r="C1308" s="7"/>
      <c r="D1308" s="7"/>
      <c r="E1308" s="36">
        <v>148</v>
      </c>
      <c r="F1308" s="36" t="s">
        <v>2158</v>
      </c>
      <c r="G1308" s="36">
        <v>531200</v>
      </c>
      <c r="H1308" s="36" t="s">
        <v>250</v>
      </c>
      <c r="I1308" s="37">
        <v>-36.17868</v>
      </c>
      <c r="J1308" s="7"/>
      <c r="K1308" s="7" t="str">
        <f>VLOOKUP($E1308,Mapping!$E$11:$I$96,3,0)</f>
        <v>Replacement</v>
      </c>
      <c r="L1308" s="7" t="str">
        <f>VLOOKUP($G1308,Mapping!$E$140:$K$2771,5,0)</f>
        <v>Contracts</v>
      </c>
      <c r="M1308" s="7" t="str">
        <f>VLOOKUP($G1308,Mapping!$E$140:$K$2771,7,0)</f>
        <v>ENDirect</v>
      </c>
      <c r="N1308" s="7" t="str">
        <f>IFERROR(HLOOKUP(L1308,'Calc|Weightings'!$K$5:$M$5,1,0),"Excl")</f>
        <v>Contracts</v>
      </c>
      <c r="O1308" s="7" t="str">
        <f>VLOOKUP(E1308,Mapping!$E$11:$I$96,5,0)</f>
        <v>SCS</v>
      </c>
      <c r="Q1308" s="33">
        <v>157</v>
      </c>
      <c r="R1308" s="33" t="s">
        <v>2166</v>
      </c>
      <c r="S1308" s="33">
        <v>531000</v>
      </c>
      <c r="T1308" s="33" t="s">
        <v>242</v>
      </c>
      <c r="U1308" s="34">
        <v>4.6900000000000004</v>
      </c>
      <c r="V1308" s="7"/>
      <c r="W1308" s="7" t="str">
        <f>VLOOKUP($Q1308,Mapping!$E$11:$I$96,3,0)</f>
        <v>Replacement</v>
      </c>
      <c r="X1308" s="7" t="str">
        <f>VLOOKUP($S1308,Mapping!$E$140:$K$2771,5,0)</f>
        <v>Contracts</v>
      </c>
      <c r="Y1308" s="7" t="str">
        <f>VLOOKUP($S1308,Mapping!$E$140:$K$2771,7,0)</f>
        <v>ENDirect</v>
      </c>
      <c r="Z1308" s="7" t="str">
        <f>IFERROR(HLOOKUP(X1308,'Calc|Weightings'!$K$5:$M$5,1,0),"Excl")</f>
        <v>Contracts</v>
      </c>
      <c r="AA1308" s="7" t="str">
        <f>VLOOKUP(Q1308,Mapping!$E$11:$I$96,5,0)</f>
        <v>SCS</v>
      </c>
      <c r="AC1308" s="111">
        <v>157</v>
      </c>
      <c r="AD1308" s="111" t="s">
        <v>2166</v>
      </c>
      <c r="AE1308" s="111">
        <v>613311</v>
      </c>
      <c r="AF1308" s="111" t="s">
        <v>2116</v>
      </c>
      <c r="AG1308" s="112">
        <v>13.61182</v>
      </c>
      <c r="AI1308" s="7" t="str">
        <f>VLOOKUP($AC1308,Mapping!$E$11:$I$96,3,0)</f>
        <v>Replacement</v>
      </c>
      <c r="AJ1308" s="7" t="str">
        <f>VLOOKUP($AE1308,Mapping!$E$140:$K$2771,5,0)</f>
        <v>Labour</v>
      </c>
      <c r="AK1308" s="7" t="str">
        <f>VLOOKUP($AE1308,Mapping!$E$140:$K$2771,7,0)</f>
        <v>ENDirect</v>
      </c>
      <c r="AL1308" s="7" t="str">
        <f>IFERROR(HLOOKUP(AJ1308,'Calc|Weightings'!$K$5:$M$5,1,0),"Excl")</f>
        <v>Labour</v>
      </c>
      <c r="AM1308" s="7" t="str">
        <f>VLOOKUP(AC1308,Mapping!$E$11:$I$96,5,0)</f>
        <v>SCS</v>
      </c>
      <c r="AO1308" s="134">
        <v>161</v>
      </c>
      <c r="AP1308" s="135" t="s">
        <v>2171</v>
      </c>
      <c r="AQ1308" s="135">
        <v>591997</v>
      </c>
      <c r="AR1308" s="135" t="s">
        <v>2194</v>
      </c>
      <c r="AS1308" s="136">
        <v>-0.46854000000000001</v>
      </c>
      <c r="AU1308" s="7" t="str">
        <f>VLOOKUP($AO1308,Mapping!$E$11:$I$96,3,0)</f>
        <v>Augmentation</v>
      </c>
      <c r="AV1308" s="7" t="str">
        <f>VLOOKUP($AQ1308,Mapping!$E$140:$K$2771,5,0)</f>
        <v>Contracts</v>
      </c>
      <c r="AW1308" s="7" t="str">
        <f>VLOOKUP($AQ1308,Mapping!$E$140:$K$2771,7,0)</f>
        <v>ENDirect</v>
      </c>
      <c r="AX1308" s="7" t="str">
        <f>IFERROR(HLOOKUP(AV1308,'Calc|Weightings'!$K$5:$M$5,1,0),"Excl")</f>
        <v>Contracts</v>
      </c>
      <c r="AY1308" s="7" t="str">
        <f>VLOOKUP(AO1308,Mapping!$E$11:$I$96,5,0)</f>
        <v>SCS</v>
      </c>
    </row>
    <row r="1309" spans="1:51" x14ac:dyDescent="0.2">
      <c r="A1309" s="7"/>
      <c r="B1309" s="7"/>
      <c r="C1309" s="7"/>
      <c r="D1309" s="7"/>
      <c r="E1309" s="36">
        <v>148</v>
      </c>
      <c r="F1309" s="36" t="s">
        <v>2158</v>
      </c>
      <c r="G1309" s="36">
        <v>531464</v>
      </c>
      <c r="H1309" s="36" t="s">
        <v>256</v>
      </c>
      <c r="I1309" s="37">
        <v>236.67838</v>
      </c>
      <c r="J1309" s="7"/>
      <c r="K1309" s="7" t="str">
        <f>VLOOKUP($E1309,Mapping!$E$11:$I$96,3,0)</f>
        <v>Replacement</v>
      </c>
      <c r="L1309" s="7" t="str">
        <f>VLOOKUP($G1309,Mapping!$E$140:$K$2771,5,0)</f>
        <v>Contracts</v>
      </c>
      <c r="M1309" s="7" t="str">
        <f>VLOOKUP($G1309,Mapping!$E$140:$K$2771,7,0)</f>
        <v>ENDirect</v>
      </c>
      <c r="N1309" s="7" t="str">
        <f>IFERROR(HLOOKUP(L1309,'Calc|Weightings'!$K$5:$M$5,1,0),"Excl")</f>
        <v>Contracts</v>
      </c>
      <c r="O1309" s="7" t="str">
        <f>VLOOKUP(E1309,Mapping!$E$11:$I$96,5,0)</f>
        <v>SCS</v>
      </c>
      <c r="Q1309" s="33">
        <v>157</v>
      </c>
      <c r="R1309" s="33" t="s">
        <v>2166</v>
      </c>
      <c r="S1309" s="33">
        <v>531020</v>
      </c>
      <c r="T1309" s="33" t="s">
        <v>219</v>
      </c>
      <c r="U1309" s="34">
        <v>105.84578</v>
      </c>
      <c r="V1309" s="7"/>
      <c r="W1309" s="7" t="str">
        <f>VLOOKUP($Q1309,Mapping!$E$11:$I$96,3,0)</f>
        <v>Replacement</v>
      </c>
      <c r="X1309" s="7" t="str">
        <f>VLOOKUP($S1309,Mapping!$E$140:$K$2771,5,0)</f>
        <v>Labour</v>
      </c>
      <c r="Y1309" s="7" t="str">
        <f>VLOOKUP($S1309,Mapping!$E$140:$K$2771,7,0)</f>
        <v>ENDirect</v>
      </c>
      <c r="Z1309" s="7" t="str">
        <f>IFERROR(HLOOKUP(X1309,'Calc|Weightings'!$K$5:$M$5,1,0),"Excl")</f>
        <v>Labour</v>
      </c>
      <c r="AA1309" s="7" t="str">
        <f>VLOOKUP(Q1309,Mapping!$E$11:$I$96,5,0)</f>
        <v>SCS</v>
      </c>
      <c r="AC1309" s="111">
        <v>157</v>
      </c>
      <c r="AD1309" s="111" t="s">
        <v>2166</v>
      </c>
      <c r="AE1309" s="111">
        <v>613350</v>
      </c>
      <c r="AF1309" s="111" t="s">
        <v>2096</v>
      </c>
      <c r="AG1309" s="112">
        <v>5.6872600000000002</v>
      </c>
      <c r="AI1309" s="7" t="str">
        <f>VLOOKUP($AC1309,Mapping!$E$11:$I$96,3,0)</f>
        <v>Replacement</v>
      </c>
      <c r="AJ1309" s="7" t="str">
        <f>VLOOKUP($AE1309,Mapping!$E$140:$K$2771,5,0)</f>
        <v>Labour</v>
      </c>
      <c r="AK1309" s="7" t="str">
        <f>VLOOKUP($AE1309,Mapping!$E$140:$K$2771,7,0)</f>
        <v>ENDirect</v>
      </c>
      <c r="AL1309" s="7" t="str">
        <f>IFERROR(HLOOKUP(AJ1309,'Calc|Weightings'!$K$5:$M$5,1,0),"Excl")</f>
        <v>Labour</v>
      </c>
      <c r="AM1309" s="7" t="str">
        <f>VLOOKUP(AC1309,Mapping!$E$11:$I$96,5,0)</f>
        <v>SCS</v>
      </c>
      <c r="AO1309" s="134">
        <v>161</v>
      </c>
      <c r="AP1309" s="135" t="s">
        <v>2171</v>
      </c>
      <c r="AQ1309" s="135">
        <v>591999</v>
      </c>
      <c r="AR1309" s="135" t="s">
        <v>2195</v>
      </c>
      <c r="AS1309" s="136">
        <v>-1.0000000000000001E-5</v>
      </c>
      <c r="AU1309" s="7" t="str">
        <f>VLOOKUP($AO1309,Mapping!$E$11:$I$96,3,0)</f>
        <v>Augmentation</v>
      </c>
      <c r="AV1309" s="7" t="str">
        <f>VLOOKUP($AQ1309,Mapping!$E$140:$K$2771,5,0)</f>
        <v>Contracts</v>
      </c>
      <c r="AW1309" s="7" t="str">
        <f>VLOOKUP($AQ1309,Mapping!$E$140:$K$2771,7,0)</f>
        <v>ENDirect</v>
      </c>
      <c r="AX1309" s="7" t="str">
        <f>IFERROR(HLOOKUP(AV1309,'Calc|Weightings'!$K$5:$M$5,1,0),"Excl")</f>
        <v>Contracts</v>
      </c>
      <c r="AY1309" s="7" t="str">
        <f>VLOOKUP(AO1309,Mapping!$E$11:$I$96,5,0)</f>
        <v>SCS</v>
      </c>
    </row>
    <row r="1310" spans="1:51" x14ac:dyDescent="0.2">
      <c r="A1310" s="7"/>
      <c r="B1310" s="7"/>
      <c r="C1310" s="7"/>
      <c r="D1310" s="7"/>
      <c r="E1310" s="36">
        <v>148</v>
      </c>
      <c r="F1310" s="36" t="s">
        <v>2158</v>
      </c>
      <c r="G1310" s="36">
        <v>531466</v>
      </c>
      <c r="H1310" s="36" t="s">
        <v>258</v>
      </c>
      <c r="I1310" s="37">
        <v>30.5396</v>
      </c>
      <c r="J1310" s="7"/>
      <c r="K1310" s="7" t="str">
        <f>VLOOKUP($E1310,Mapping!$E$11:$I$96,3,0)</f>
        <v>Replacement</v>
      </c>
      <c r="L1310" s="7" t="str">
        <f>VLOOKUP($G1310,Mapping!$E$140:$K$2771,5,0)</f>
        <v>Contracts</v>
      </c>
      <c r="M1310" s="7" t="str">
        <f>VLOOKUP($G1310,Mapping!$E$140:$K$2771,7,0)</f>
        <v>ENDirect</v>
      </c>
      <c r="N1310" s="7" t="str">
        <f>IFERROR(HLOOKUP(L1310,'Calc|Weightings'!$K$5:$M$5,1,0),"Excl")</f>
        <v>Contracts</v>
      </c>
      <c r="O1310" s="7" t="str">
        <f>VLOOKUP(E1310,Mapping!$E$11:$I$96,5,0)</f>
        <v>SCS</v>
      </c>
      <c r="Q1310" s="33">
        <v>157</v>
      </c>
      <c r="R1310" s="33" t="s">
        <v>2166</v>
      </c>
      <c r="S1310" s="33">
        <v>531200</v>
      </c>
      <c r="T1310" s="33" t="s">
        <v>250</v>
      </c>
      <c r="U1310" s="34">
        <v>24.843240000000002</v>
      </c>
      <c r="V1310" s="7"/>
      <c r="W1310" s="7" t="str">
        <f>VLOOKUP($Q1310,Mapping!$E$11:$I$96,3,0)</f>
        <v>Replacement</v>
      </c>
      <c r="X1310" s="7" t="str">
        <f>VLOOKUP($S1310,Mapping!$E$140:$K$2771,5,0)</f>
        <v>Contracts</v>
      </c>
      <c r="Y1310" s="7" t="str">
        <f>VLOOKUP($S1310,Mapping!$E$140:$K$2771,7,0)</f>
        <v>ENDirect</v>
      </c>
      <c r="Z1310" s="7" t="str">
        <f>IFERROR(HLOOKUP(X1310,'Calc|Weightings'!$K$5:$M$5,1,0),"Excl")</f>
        <v>Contracts</v>
      </c>
      <c r="AA1310" s="7" t="str">
        <f>VLOOKUP(Q1310,Mapping!$E$11:$I$96,5,0)</f>
        <v>SCS</v>
      </c>
      <c r="AC1310" s="111">
        <v>157</v>
      </c>
      <c r="AD1310" s="111" t="s">
        <v>2166</v>
      </c>
      <c r="AE1310" s="111">
        <v>613360</v>
      </c>
      <c r="AF1310" s="111" t="s">
        <v>2097</v>
      </c>
      <c r="AG1310" s="112">
        <v>0.57189000000000001</v>
      </c>
      <c r="AI1310" s="7" t="str">
        <f>VLOOKUP($AC1310,Mapping!$E$11:$I$96,3,0)</f>
        <v>Replacement</v>
      </c>
      <c r="AJ1310" s="7" t="str">
        <f>VLOOKUP($AE1310,Mapping!$E$140:$K$2771,5,0)</f>
        <v>Labour</v>
      </c>
      <c r="AK1310" s="7" t="str">
        <f>VLOOKUP($AE1310,Mapping!$E$140:$K$2771,7,0)</f>
        <v>ENDirect</v>
      </c>
      <c r="AL1310" s="7" t="str">
        <f>IFERROR(HLOOKUP(AJ1310,'Calc|Weightings'!$K$5:$M$5,1,0),"Excl")</f>
        <v>Labour</v>
      </c>
      <c r="AM1310" s="7" t="str">
        <f>VLOOKUP(AC1310,Mapping!$E$11:$I$96,5,0)</f>
        <v>SCS</v>
      </c>
      <c r="AO1310" s="134">
        <v>161</v>
      </c>
      <c r="AP1310" s="135" t="s">
        <v>2171</v>
      </c>
      <c r="AQ1310" s="135">
        <v>611900</v>
      </c>
      <c r="AR1310" s="135" t="s">
        <v>2079</v>
      </c>
      <c r="AS1310" s="136">
        <v>13.387499999999999</v>
      </c>
      <c r="AU1310" s="7" t="str">
        <f>VLOOKUP($AO1310,Mapping!$E$11:$I$96,3,0)</f>
        <v>Augmentation</v>
      </c>
      <c r="AV1310" s="7" t="str">
        <f>VLOOKUP($AQ1310,Mapping!$E$140:$K$2771,5,0)</f>
        <v>Contracts</v>
      </c>
      <c r="AW1310" s="7" t="str">
        <f>VLOOKUP($AQ1310,Mapping!$E$140:$K$2771,7,0)</f>
        <v>ENDirect</v>
      </c>
      <c r="AX1310" s="7" t="str">
        <f>IFERROR(HLOOKUP(AV1310,'Calc|Weightings'!$K$5:$M$5,1,0),"Excl")</f>
        <v>Contracts</v>
      </c>
      <c r="AY1310" s="7" t="str">
        <f>VLOOKUP(AO1310,Mapping!$E$11:$I$96,5,0)</f>
        <v>SCS</v>
      </c>
    </row>
    <row r="1311" spans="1:51" x14ac:dyDescent="0.2">
      <c r="A1311" s="7"/>
      <c r="B1311" s="7"/>
      <c r="C1311" s="7"/>
      <c r="D1311" s="7"/>
      <c r="E1311" s="36">
        <v>148</v>
      </c>
      <c r="F1311" s="36" t="s">
        <v>2158</v>
      </c>
      <c r="G1311" s="36">
        <v>531467</v>
      </c>
      <c r="H1311" s="36" t="s">
        <v>259</v>
      </c>
      <c r="I1311" s="37">
        <v>133.47371999999999</v>
      </c>
      <c r="J1311" s="7"/>
      <c r="K1311" s="7" t="str">
        <f>VLOOKUP($E1311,Mapping!$E$11:$I$96,3,0)</f>
        <v>Replacement</v>
      </c>
      <c r="L1311" s="7" t="str">
        <f>VLOOKUP($G1311,Mapping!$E$140:$K$2771,5,0)</f>
        <v>Contracts</v>
      </c>
      <c r="M1311" s="7" t="str">
        <f>VLOOKUP($G1311,Mapping!$E$140:$K$2771,7,0)</f>
        <v>ENDirect</v>
      </c>
      <c r="N1311" s="7" t="str">
        <f>IFERROR(HLOOKUP(L1311,'Calc|Weightings'!$K$5:$M$5,1,0),"Excl")</f>
        <v>Contracts</v>
      </c>
      <c r="O1311" s="7" t="str">
        <f>VLOOKUP(E1311,Mapping!$E$11:$I$96,5,0)</f>
        <v>SCS</v>
      </c>
      <c r="Q1311" s="33">
        <v>157</v>
      </c>
      <c r="R1311" s="33" t="s">
        <v>2166</v>
      </c>
      <c r="S1311" s="33">
        <v>531201</v>
      </c>
      <c r="T1311" s="33" t="s">
        <v>251</v>
      </c>
      <c r="U1311" s="34">
        <v>4.625</v>
      </c>
      <c r="V1311" s="7"/>
      <c r="W1311" s="7" t="str">
        <f>VLOOKUP($Q1311,Mapping!$E$11:$I$96,3,0)</f>
        <v>Replacement</v>
      </c>
      <c r="X1311" s="7" t="str">
        <f>VLOOKUP($S1311,Mapping!$E$140:$K$2771,5,0)</f>
        <v>Contracts</v>
      </c>
      <c r="Y1311" s="7" t="str">
        <f>VLOOKUP($S1311,Mapping!$E$140:$K$2771,7,0)</f>
        <v>ENDirect</v>
      </c>
      <c r="Z1311" s="7" t="str">
        <f>IFERROR(HLOOKUP(X1311,'Calc|Weightings'!$K$5:$M$5,1,0),"Excl")</f>
        <v>Contracts</v>
      </c>
      <c r="AA1311" s="7" t="str">
        <f>VLOOKUP(Q1311,Mapping!$E$11:$I$96,5,0)</f>
        <v>SCS</v>
      </c>
      <c r="AC1311" s="111">
        <v>157</v>
      </c>
      <c r="AD1311" s="111" t="s">
        <v>2166</v>
      </c>
      <c r="AE1311" s="111">
        <v>613362</v>
      </c>
      <c r="AF1311" s="111" t="s">
        <v>1396</v>
      </c>
      <c r="AG1311" s="112">
        <v>1.4111</v>
      </c>
      <c r="AI1311" s="7" t="str">
        <f>VLOOKUP($AC1311,Mapping!$E$11:$I$96,3,0)</f>
        <v>Replacement</v>
      </c>
      <c r="AJ1311" s="7" t="str">
        <f>VLOOKUP($AE1311,Mapping!$E$140:$K$2771,5,0)</f>
        <v>Labour</v>
      </c>
      <c r="AK1311" s="7" t="str">
        <f>VLOOKUP($AE1311,Mapping!$E$140:$K$2771,7,0)</f>
        <v>ENDirect</v>
      </c>
      <c r="AL1311" s="7" t="str">
        <f>IFERROR(HLOOKUP(AJ1311,'Calc|Weightings'!$K$5:$M$5,1,0),"Excl")</f>
        <v>Labour</v>
      </c>
      <c r="AM1311" s="7" t="str">
        <f>VLOOKUP(AC1311,Mapping!$E$11:$I$96,5,0)</f>
        <v>SCS</v>
      </c>
      <c r="AO1311" s="134">
        <v>161</v>
      </c>
      <c r="AP1311" s="135" t="s">
        <v>2171</v>
      </c>
      <c r="AQ1311" s="135">
        <v>611901</v>
      </c>
      <c r="AR1311" s="135" t="s">
        <v>2080</v>
      </c>
      <c r="AS1311" s="136">
        <v>0.65188000000000001</v>
      </c>
      <c r="AU1311" s="7" t="str">
        <f>VLOOKUP($AO1311,Mapping!$E$11:$I$96,3,0)</f>
        <v>Augmentation</v>
      </c>
      <c r="AV1311" s="7" t="str">
        <f>VLOOKUP($AQ1311,Mapping!$E$140:$K$2771,5,0)</f>
        <v>Contracts</v>
      </c>
      <c r="AW1311" s="7" t="str">
        <f>VLOOKUP($AQ1311,Mapping!$E$140:$K$2771,7,0)</f>
        <v>ENDirect</v>
      </c>
      <c r="AX1311" s="7" t="str">
        <f>IFERROR(HLOOKUP(AV1311,'Calc|Weightings'!$K$5:$M$5,1,0),"Excl")</f>
        <v>Contracts</v>
      </c>
      <c r="AY1311" s="7" t="str">
        <f>VLOOKUP(AO1311,Mapping!$E$11:$I$96,5,0)</f>
        <v>SCS</v>
      </c>
    </row>
    <row r="1312" spans="1:51" x14ac:dyDescent="0.2">
      <c r="A1312" s="7"/>
      <c r="B1312" s="7"/>
      <c r="C1312" s="7"/>
      <c r="D1312" s="7"/>
      <c r="E1312" s="36">
        <v>148</v>
      </c>
      <c r="F1312" s="36" t="s">
        <v>2158</v>
      </c>
      <c r="G1312" s="36">
        <v>531468</v>
      </c>
      <c r="H1312" s="36" t="s">
        <v>260</v>
      </c>
      <c r="I1312" s="37">
        <v>97.413640000000001</v>
      </c>
      <c r="J1312" s="7"/>
      <c r="K1312" s="7" t="str">
        <f>VLOOKUP($E1312,Mapping!$E$11:$I$96,3,0)</f>
        <v>Replacement</v>
      </c>
      <c r="L1312" s="7" t="str">
        <f>VLOOKUP($G1312,Mapping!$E$140:$K$2771,5,0)</f>
        <v>Contracts</v>
      </c>
      <c r="M1312" s="7" t="str">
        <f>VLOOKUP($G1312,Mapping!$E$140:$K$2771,7,0)</f>
        <v>ENDirect</v>
      </c>
      <c r="N1312" s="7" t="str">
        <f>IFERROR(HLOOKUP(L1312,'Calc|Weightings'!$K$5:$M$5,1,0),"Excl")</f>
        <v>Contracts</v>
      </c>
      <c r="O1312" s="7" t="str">
        <f>VLOOKUP(E1312,Mapping!$E$11:$I$96,5,0)</f>
        <v>SCS</v>
      </c>
      <c r="Q1312" s="33">
        <v>157</v>
      </c>
      <c r="R1312" s="33" t="s">
        <v>2166</v>
      </c>
      <c r="S1312" s="33">
        <v>531464</v>
      </c>
      <c r="T1312" s="33" t="s">
        <v>256</v>
      </c>
      <c r="U1312" s="34">
        <v>259.74790000000002</v>
      </c>
      <c r="V1312" s="7"/>
      <c r="W1312" s="7" t="str">
        <f>VLOOKUP($Q1312,Mapping!$E$11:$I$96,3,0)</f>
        <v>Replacement</v>
      </c>
      <c r="X1312" s="7" t="str">
        <f>VLOOKUP($S1312,Mapping!$E$140:$K$2771,5,0)</f>
        <v>Contracts</v>
      </c>
      <c r="Y1312" s="7" t="str">
        <f>VLOOKUP($S1312,Mapping!$E$140:$K$2771,7,0)</f>
        <v>ENDirect</v>
      </c>
      <c r="Z1312" s="7" t="str">
        <f>IFERROR(HLOOKUP(X1312,'Calc|Weightings'!$K$5:$M$5,1,0),"Excl")</f>
        <v>Contracts</v>
      </c>
      <c r="AA1312" s="7" t="str">
        <f>VLOOKUP(Q1312,Mapping!$E$11:$I$96,5,0)</f>
        <v>SCS</v>
      </c>
      <c r="AC1312" s="111">
        <v>157</v>
      </c>
      <c r="AD1312" s="111" t="s">
        <v>2166</v>
      </c>
      <c r="AE1312" s="111">
        <v>613370</v>
      </c>
      <c r="AF1312" s="111" t="s">
        <v>1402</v>
      </c>
      <c r="AG1312" s="112">
        <v>9.5106599999999997</v>
      </c>
      <c r="AI1312" s="7" t="str">
        <f>VLOOKUP($AC1312,Mapping!$E$11:$I$96,3,0)</f>
        <v>Replacement</v>
      </c>
      <c r="AJ1312" s="7" t="str">
        <f>VLOOKUP($AE1312,Mapping!$E$140:$K$2771,5,0)</f>
        <v>Labour</v>
      </c>
      <c r="AK1312" s="7" t="str">
        <f>VLOOKUP($AE1312,Mapping!$E$140:$K$2771,7,0)</f>
        <v>ENDirect</v>
      </c>
      <c r="AL1312" s="7" t="str">
        <f>IFERROR(HLOOKUP(AJ1312,'Calc|Weightings'!$K$5:$M$5,1,0),"Excl")</f>
        <v>Labour</v>
      </c>
      <c r="AM1312" s="7" t="str">
        <f>VLOOKUP(AC1312,Mapping!$E$11:$I$96,5,0)</f>
        <v>SCS</v>
      </c>
      <c r="AO1312" s="134">
        <v>161</v>
      </c>
      <c r="AP1312" s="135" t="s">
        <v>2171</v>
      </c>
      <c r="AQ1312" s="135">
        <v>611902</v>
      </c>
      <c r="AR1312" s="135" t="s">
        <v>2081</v>
      </c>
      <c r="AS1312" s="136">
        <v>3.87982</v>
      </c>
      <c r="AU1312" s="7" t="str">
        <f>VLOOKUP($AO1312,Mapping!$E$11:$I$96,3,0)</f>
        <v>Augmentation</v>
      </c>
      <c r="AV1312" s="7" t="str">
        <f>VLOOKUP($AQ1312,Mapping!$E$140:$K$2771,5,0)</f>
        <v>Contracts</v>
      </c>
      <c r="AW1312" s="7" t="str">
        <f>VLOOKUP($AQ1312,Mapping!$E$140:$K$2771,7,0)</f>
        <v>ENDirect</v>
      </c>
      <c r="AX1312" s="7" t="str">
        <f>IFERROR(HLOOKUP(AV1312,'Calc|Weightings'!$K$5:$M$5,1,0),"Excl")</f>
        <v>Contracts</v>
      </c>
      <c r="AY1312" s="7" t="str">
        <f>VLOOKUP(AO1312,Mapping!$E$11:$I$96,5,0)</f>
        <v>SCS</v>
      </c>
    </row>
    <row r="1313" spans="1:51" x14ac:dyDescent="0.2">
      <c r="A1313" s="7"/>
      <c r="B1313" s="7"/>
      <c r="C1313" s="7"/>
      <c r="D1313" s="7"/>
      <c r="E1313" s="36">
        <v>148</v>
      </c>
      <c r="F1313" s="36" t="s">
        <v>2158</v>
      </c>
      <c r="G1313" s="36">
        <v>531480</v>
      </c>
      <c r="H1313" s="36" t="s">
        <v>2076</v>
      </c>
      <c r="I1313" s="37">
        <v>0.1152</v>
      </c>
      <c r="J1313" s="7"/>
      <c r="K1313" s="7" t="str">
        <f>VLOOKUP($E1313,Mapping!$E$11:$I$96,3,0)</f>
        <v>Replacement</v>
      </c>
      <c r="L1313" s="7" t="str">
        <f>VLOOKUP($G1313,Mapping!$E$140:$K$2771,5,0)</f>
        <v>Labour</v>
      </c>
      <c r="M1313" s="7" t="str">
        <f>VLOOKUP($G1313,Mapping!$E$140:$K$2771,7,0)</f>
        <v>ENDirect</v>
      </c>
      <c r="N1313" s="7" t="str">
        <f>IFERROR(HLOOKUP(L1313,'Calc|Weightings'!$K$5:$M$5,1,0),"Excl")</f>
        <v>Labour</v>
      </c>
      <c r="O1313" s="7" t="str">
        <f>VLOOKUP(E1313,Mapping!$E$11:$I$96,5,0)</f>
        <v>SCS</v>
      </c>
      <c r="Q1313" s="33">
        <v>157</v>
      </c>
      <c r="R1313" s="33" t="s">
        <v>2166</v>
      </c>
      <c r="S1313" s="33">
        <v>531469</v>
      </c>
      <c r="T1313" s="33" t="s">
        <v>261</v>
      </c>
      <c r="U1313" s="34">
        <v>1581.63356</v>
      </c>
      <c r="V1313" s="7"/>
      <c r="W1313" s="7" t="str">
        <f>VLOOKUP($Q1313,Mapping!$E$11:$I$96,3,0)</f>
        <v>Replacement</v>
      </c>
      <c r="X1313" s="7" t="str">
        <f>VLOOKUP($S1313,Mapping!$E$140:$K$2771,5,0)</f>
        <v>Labour</v>
      </c>
      <c r="Y1313" s="7" t="str">
        <f>VLOOKUP($S1313,Mapping!$E$140:$K$2771,7,0)</f>
        <v>ENDirect</v>
      </c>
      <c r="Z1313" s="7" t="str">
        <f>IFERROR(HLOOKUP(X1313,'Calc|Weightings'!$K$5:$M$5,1,0),"Excl")</f>
        <v>Labour</v>
      </c>
      <c r="AA1313" s="7" t="str">
        <f>VLOOKUP(Q1313,Mapping!$E$11:$I$96,5,0)</f>
        <v>SCS</v>
      </c>
      <c r="AC1313" s="111">
        <v>157</v>
      </c>
      <c r="AD1313" s="111" t="s">
        <v>2166</v>
      </c>
      <c r="AE1313" s="111">
        <v>613440</v>
      </c>
      <c r="AF1313" s="111" t="s">
        <v>2103</v>
      </c>
      <c r="AG1313" s="112">
        <v>2.27488</v>
      </c>
      <c r="AI1313" s="7" t="str">
        <f>VLOOKUP($AC1313,Mapping!$E$11:$I$96,3,0)</f>
        <v>Replacement</v>
      </c>
      <c r="AJ1313" s="7" t="str">
        <f>VLOOKUP($AE1313,Mapping!$E$140:$K$2771,5,0)</f>
        <v>Labour</v>
      </c>
      <c r="AK1313" s="7" t="str">
        <f>VLOOKUP($AE1313,Mapping!$E$140:$K$2771,7,0)</f>
        <v>ENDirect</v>
      </c>
      <c r="AL1313" s="7" t="str">
        <f>IFERROR(HLOOKUP(AJ1313,'Calc|Weightings'!$K$5:$M$5,1,0),"Excl")</f>
        <v>Labour</v>
      </c>
      <c r="AM1313" s="7" t="str">
        <f>VLOOKUP(AC1313,Mapping!$E$11:$I$96,5,0)</f>
        <v>SCS</v>
      </c>
      <c r="AO1313" s="134">
        <v>161</v>
      </c>
      <c r="AP1313" s="135" t="s">
        <v>2171</v>
      </c>
      <c r="AQ1313" s="135">
        <v>612210</v>
      </c>
      <c r="AR1313" s="135" t="s">
        <v>1184</v>
      </c>
      <c r="AS1313" s="136">
        <v>4.1646999999999998</v>
      </c>
      <c r="AU1313" s="7" t="str">
        <f>VLOOKUP($AO1313,Mapping!$E$11:$I$96,3,0)</f>
        <v>Augmentation</v>
      </c>
      <c r="AV1313" s="7" t="str">
        <f>VLOOKUP($AQ1313,Mapping!$E$140:$K$2771,5,0)</f>
        <v>Labour</v>
      </c>
      <c r="AW1313" s="7" t="str">
        <f>VLOOKUP($AQ1313,Mapping!$E$140:$K$2771,7,0)</f>
        <v>ENDirect</v>
      </c>
      <c r="AX1313" s="7" t="str">
        <f>IFERROR(HLOOKUP(AV1313,'Calc|Weightings'!$K$5:$M$5,1,0),"Excl")</f>
        <v>Labour</v>
      </c>
      <c r="AY1313" s="7" t="str">
        <f>VLOOKUP(AO1313,Mapping!$E$11:$I$96,5,0)</f>
        <v>SCS</v>
      </c>
    </row>
    <row r="1314" spans="1:51" x14ac:dyDescent="0.2">
      <c r="A1314" s="7"/>
      <c r="B1314" s="7"/>
      <c r="C1314" s="7"/>
      <c r="D1314" s="7"/>
      <c r="E1314" s="36">
        <v>148</v>
      </c>
      <c r="F1314" s="36" t="s">
        <v>2158</v>
      </c>
      <c r="G1314" s="36">
        <v>531485</v>
      </c>
      <c r="H1314" s="36" t="s">
        <v>2350</v>
      </c>
      <c r="I1314" s="37">
        <v>-6.34659</v>
      </c>
      <c r="J1314" s="7"/>
      <c r="K1314" s="7" t="str">
        <f>VLOOKUP($E1314,Mapping!$E$11:$I$96,3,0)</f>
        <v>Replacement</v>
      </c>
      <c r="L1314" s="7" t="str">
        <f>VLOOKUP($G1314,Mapping!$E$140:$K$2771,5,0)</f>
        <v>Contracts</v>
      </c>
      <c r="M1314" s="7" t="str">
        <f>VLOOKUP($G1314,Mapping!$E$140:$K$2771,7,0)</f>
        <v>ENDirect</v>
      </c>
      <c r="N1314" s="7" t="str">
        <f>IFERROR(HLOOKUP(L1314,'Calc|Weightings'!$K$5:$M$5,1,0),"Excl")</f>
        <v>Contracts</v>
      </c>
      <c r="O1314" s="7" t="str">
        <f>VLOOKUP(E1314,Mapping!$E$11:$I$96,5,0)</f>
        <v>SCS</v>
      </c>
      <c r="Q1314" s="33">
        <v>157</v>
      </c>
      <c r="R1314" s="33" t="s">
        <v>2166</v>
      </c>
      <c r="S1314" s="33">
        <v>532140</v>
      </c>
      <c r="T1314" s="33" t="s">
        <v>288</v>
      </c>
      <c r="U1314" s="34">
        <v>76.615269999999995</v>
      </c>
      <c r="V1314" s="7"/>
      <c r="W1314" s="7" t="str">
        <f>VLOOKUP($Q1314,Mapping!$E$11:$I$96,3,0)</f>
        <v>Replacement</v>
      </c>
      <c r="X1314" s="7" t="str">
        <f>VLOOKUP($S1314,Mapping!$E$140:$K$2771,5,0)</f>
        <v>Contracts</v>
      </c>
      <c r="Y1314" s="7" t="str">
        <f>VLOOKUP($S1314,Mapping!$E$140:$K$2771,7,0)</f>
        <v>ENDirect</v>
      </c>
      <c r="Z1314" s="7" t="str">
        <f>IFERROR(HLOOKUP(X1314,'Calc|Weightings'!$K$5:$M$5,1,0),"Excl")</f>
        <v>Contracts</v>
      </c>
      <c r="AA1314" s="7" t="str">
        <f>VLOOKUP(Q1314,Mapping!$E$11:$I$96,5,0)</f>
        <v>SCS</v>
      </c>
      <c r="AC1314" s="111">
        <v>157</v>
      </c>
      <c r="AD1314" s="111" t="s">
        <v>2166</v>
      </c>
      <c r="AE1314" s="111">
        <v>613460</v>
      </c>
      <c r="AF1314" s="111" t="s">
        <v>2167</v>
      </c>
      <c r="AG1314" s="112">
        <v>28.3064</v>
      </c>
      <c r="AI1314" s="7" t="str">
        <f>VLOOKUP($AC1314,Mapping!$E$11:$I$96,3,0)</f>
        <v>Replacement</v>
      </c>
      <c r="AJ1314" s="7" t="str">
        <f>VLOOKUP($AE1314,Mapping!$E$140:$K$2771,5,0)</f>
        <v>Labour</v>
      </c>
      <c r="AK1314" s="7" t="str">
        <f>VLOOKUP($AE1314,Mapping!$E$140:$K$2771,7,0)</f>
        <v>ENDirect</v>
      </c>
      <c r="AL1314" s="7" t="str">
        <f>IFERROR(HLOOKUP(AJ1314,'Calc|Weightings'!$K$5:$M$5,1,0),"Excl")</f>
        <v>Labour</v>
      </c>
      <c r="AM1314" s="7" t="str">
        <f>VLOOKUP(AC1314,Mapping!$E$11:$I$96,5,0)</f>
        <v>SCS</v>
      </c>
      <c r="AO1314" s="134">
        <v>161</v>
      </c>
      <c r="AP1314" s="135" t="s">
        <v>2171</v>
      </c>
      <c r="AQ1314" s="135">
        <v>613250</v>
      </c>
      <c r="AR1314" s="135" t="s">
        <v>2086</v>
      </c>
      <c r="AS1314" s="136">
        <v>1.28026</v>
      </c>
      <c r="AU1314" s="7" t="str">
        <f>VLOOKUP($AO1314,Mapping!$E$11:$I$96,3,0)</f>
        <v>Augmentation</v>
      </c>
      <c r="AV1314" s="7" t="str">
        <f>VLOOKUP($AQ1314,Mapping!$E$140:$K$2771,5,0)</f>
        <v>Labour</v>
      </c>
      <c r="AW1314" s="7" t="str">
        <f>VLOOKUP($AQ1314,Mapping!$E$140:$K$2771,7,0)</f>
        <v>ENDirect</v>
      </c>
      <c r="AX1314" s="7" t="str">
        <f>IFERROR(HLOOKUP(AV1314,'Calc|Weightings'!$K$5:$M$5,1,0),"Excl")</f>
        <v>Labour</v>
      </c>
      <c r="AY1314" s="7" t="str">
        <f>VLOOKUP(AO1314,Mapping!$E$11:$I$96,5,0)</f>
        <v>SCS</v>
      </c>
    </row>
    <row r="1315" spans="1:51" x14ac:dyDescent="0.2">
      <c r="A1315" s="7"/>
      <c r="B1315" s="7"/>
      <c r="C1315" s="7"/>
      <c r="D1315" s="7"/>
      <c r="E1315" s="36">
        <v>148</v>
      </c>
      <c r="F1315" s="36" t="s">
        <v>2158</v>
      </c>
      <c r="G1315" s="36">
        <v>531495</v>
      </c>
      <c r="H1315" s="36" t="s">
        <v>2353</v>
      </c>
      <c r="I1315" s="37">
        <v>-0.49117</v>
      </c>
      <c r="J1315" s="7"/>
      <c r="K1315" s="7" t="str">
        <f>VLOOKUP($E1315,Mapping!$E$11:$I$96,3,0)</f>
        <v>Replacement</v>
      </c>
      <c r="L1315" s="7" t="str">
        <f>VLOOKUP($G1315,Mapping!$E$140:$K$2771,5,0)</f>
        <v>Contracts</v>
      </c>
      <c r="M1315" s="7" t="str">
        <f>VLOOKUP($G1315,Mapping!$E$140:$K$2771,7,0)</f>
        <v>ENDirect</v>
      </c>
      <c r="N1315" s="7" t="str">
        <f>IFERROR(HLOOKUP(L1315,'Calc|Weightings'!$K$5:$M$5,1,0),"Excl")</f>
        <v>Contracts</v>
      </c>
      <c r="O1315" s="7" t="str">
        <f>VLOOKUP(E1315,Mapping!$E$11:$I$96,5,0)</f>
        <v>SCS</v>
      </c>
      <c r="Q1315" s="33">
        <v>157</v>
      </c>
      <c r="R1315" s="33" t="s">
        <v>2166</v>
      </c>
      <c r="S1315" s="33">
        <v>545150</v>
      </c>
      <c r="T1315" s="33" t="s">
        <v>345</v>
      </c>
      <c r="U1315" s="34">
        <v>8.9959999999999998E-2</v>
      </c>
      <c r="V1315" s="7"/>
      <c r="W1315" s="7" t="str">
        <f>VLOOKUP($Q1315,Mapping!$E$11:$I$96,3,0)</f>
        <v>Replacement</v>
      </c>
      <c r="X1315" s="7" t="str">
        <f>VLOOKUP($S1315,Mapping!$E$140:$K$2771,5,0)</f>
        <v>Contracts</v>
      </c>
      <c r="Y1315" s="7" t="str">
        <f>VLOOKUP($S1315,Mapping!$E$140:$K$2771,7,0)</f>
        <v>ENDirect</v>
      </c>
      <c r="Z1315" s="7" t="str">
        <f>IFERROR(HLOOKUP(X1315,'Calc|Weightings'!$K$5:$M$5,1,0),"Excl")</f>
        <v>Contracts</v>
      </c>
      <c r="AA1315" s="7" t="str">
        <f>VLOOKUP(Q1315,Mapping!$E$11:$I$96,5,0)</f>
        <v>SCS</v>
      </c>
      <c r="AC1315" s="111">
        <v>157</v>
      </c>
      <c r="AD1315" s="111" t="s">
        <v>2166</v>
      </c>
      <c r="AE1315" s="111">
        <v>613461</v>
      </c>
      <c r="AF1315" s="111" t="s">
        <v>2168</v>
      </c>
      <c r="AG1315" s="112">
        <v>4.3118999999999996</v>
      </c>
      <c r="AI1315" s="7" t="str">
        <f>VLOOKUP($AC1315,Mapping!$E$11:$I$96,3,0)</f>
        <v>Replacement</v>
      </c>
      <c r="AJ1315" s="7" t="str">
        <f>VLOOKUP($AE1315,Mapping!$E$140:$K$2771,5,0)</f>
        <v>Labour</v>
      </c>
      <c r="AK1315" s="7" t="str">
        <f>VLOOKUP($AE1315,Mapping!$E$140:$K$2771,7,0)</f>
        <v>ENDirect</v>
      </c>
      <c r="AL1315" s="7" t="str">
        <f>IFERROR(HLOOKUP(AJ1315,'Calc|Weightings'!$K$5:$M$5,1,0),"Excl")</f>
        <v>Labour</v>
      </c>
      <c r="AM1315" s="7" t="str">
        <f>VLOOKUP(AC1315,Mapping!$E$11:$I$96,5,0)</f>
        <v>SCS</v>
      </c>
      <c r="AO1315" s="134">
        <v>161</v>
      </c>
      <c r="AP1315" s="135" t="s">
        <v>2171</v>
      </c>
      <c r="AQ1315" s="135">
        <v>613260</v>
      </c>
      <c r="AR1315" s="135" t="s">
        <v>2090</v>
      </c>
      <c r="AS1315" s="136">
        <v>379.99529999999999</v>
      </c>
      <c r="AU1315" s="7" t="str">
        <f>VLOOKUP($AO1315,Mapping!$E$11:$I$96,3,0)</f>
        <v>Augmentation</v>
      </c>
      <c r="AV1315" s="7" t="str">
        <f>VLOOKUP($AQ1315,Mapping!$E$140:$K$2771,5,0)</f>
        <v>Labour</v>
      </c>
      <c r="AW1315" s="7" t="str">
        <f>VLOOKUP($AQ1315,Mapping!$E$140:$K$2771,7,0)</f>
        <v>ENDirect</v>
      </c>
      <c r="AX1315" s="7" t="str">
        <f>IFERROR(HLOOKUP(AV1315,'Calc|Weightings'!$K$5:$M$5,1,0),"Excl")</f>
        <v>Labour</v>
      </c>
      <c r="AY1315" s="7" t="str">
        <f>VLOOKUP(AO1315,Mapping!$E$11:$I$96,5,0)</f>
        <v>SCS</v>
      </c>
    </row>
    <row r="1316" spans="1:51" x14ac:dyDescent="0.2">
      <c r="A1316" s="7"/>
      <c r="B1316" s="7"/>
      <c r="C1316" s="7"/>
      <c r="D1316" s="7"/>
      <c r="E1316" s="36">
        <v>148</v>
      </c>
      <c r="F1316" s="36" t="s">
        <v>2158</v>
      </c>
      <c r="G1316" s="36">
        <v>532140</v>
      </c>
      <c r="H1316" s="36" t="s">
        <v>288</v>
      </c>
      <c r="I1316" s="37">
        <v>11.069000000000001</v>
      </c>
      <c r="J1316" s="7"/>
      <c r="K1316" s="7" t="str">
        <f>VLOOKUP($E1316,Mapping!$E$11:$I$96,3,0)</f>
        <v>Replacement</v>
      </c>
      <c r="L1316" s="7" t="str">
        <f>VLOOKUP($G1316,Mapping!$E$140:$K$2771,5,0)</f>
        <v>Contracts</v>
      </c>
      <c r="M1316" s="7" t="str">
        <f>VLOOKUP($G1316,Mapping!$E$140:$K$2771,7,0)</f>
        <v>ENDirect</v>
      </c>
      <c r="N1316" s="7" t="str">
        <f>IFERROR(HLOOKUP(L1316,'Calc|Weightings'!$K$5:$M$5,1,0),"Excl")</f>
        <v>Contracts</v>
      </c>
      <c r="O1316" s="7" t="str">
        <f>VLOOKUP(E1316,Mapping!$E$11:$I$96,5,0)</f>
        <v>SCS</v>
      </c>
      <c r="Q1316" s="33">
        <v>157</v>
      </c>
      <c r="R1316" s="33" t="s">
        <v>2166</v>
      </c>
      <c r="S1316" s="33">
        <v>591997</v>
      </c>
      <c r="T1316" s="33" t="s">
        <v>399</v>
      </c>
      <c r="U1316" s="34">
        <v>-24.686669999999999</v>
      </c>
      <c r="V1316" s="7"/>
      <c r="W1316" s="7" t="str">
        <f>VLOOKUP($Q1316,Mapping!$E$11:$I$96,3,0)</f>
        <v>Replacement</v>
      </c>
      <c r="X1316" s="7" t="str">
        <f>VLOOKUP($S1316,Mapping!$E$140:$K$2771,5,0)</f>
        <v>Contracts</v>
      </c>
      <c r="Y1316" s="7" t="str">
        <f>VLOOKUP($S1316,Mapping!$E$140:$K$2771,7,0)</f>
        <v>ENDirect</v>
      </c>
      <c r="Z1316" s="7" t="str">
        <f>IFERROR(HLOOKUP(X1316,'Calc|Weightings'!$K$5:$M$5,1,0),"Excl")</f>
        <v>Contracts</v>
      </c>
      <c r="AA1316" s="7" t="str">
        <f>VLOOKUP(Q1316,Mapping!$E$11:$I$96,5,0)</f>
        <v>SCS</v>
      </c>
      <c r="AC1316" s="111">
        <v>157</v>
      </c>
      <c r="AD1316" s="111" t="s">
        <v>2166</v>
      </c>
      <c r="AE1316" s="111">
        <v>613477</v>
      </c>
      <c r="AF1316" s="111" t="s">
        <v>2200</v>
      </c>
      <c r="AG1316" s="112">
        <v>0.23399</v>
      </c>
      <c r="AI1316" s="7" t="str">
        <f>VLOOKUP($AC1316,Mapping!$E$11:$I$96,3,0)</f>
        <v>Replacement</v>
      </c>
      <c r="AJ1316" s="7" t="str">
        <f>VLOOKUP($AE1316,Mapping!$E$140:$K$2771,5,0)</f>
        <v>Labour</v>
      </c>
      <c r="AK1316" s="7" t="str">
        <f>VLOOKUP($AE1316,Mapping!$E$140:$K$2771,7,0)</f>
        <v>ENDirect</v>
      </c>
      <c r="AL1316" s="7" t="str">
        <f>IFERROR(HLOOKUP(AJ1316,'Calc|Weightings'!$K$5:$M$5,1,0),"Excl")</f>
        <v>Labour</v>
      </c>
      <c r="AM1316" s="7" t="str">
        <f>VLOOKUP(AC1316,Mapping!$E$11:$I$96,5,0)</f>
        <v>SCS</v>
      </c>
      <c r="AO1316" s="134">
        <v>161</v>
      </c>
      <c r="AP1316" s="135" t="s">
        <v>2171</v>
      </c>
      <c r="AQ1316" s="135">
        <v>613261</v>
      </c>
      <c r="AR1316" s="135" t="s">
        <v>2091</v>
      </c>
      <c r="AS1316" s="136">
        <v>9.2540700000000005</v>
      </c>
      <c r="AU1316" s="7" t="str">
        <f>VLOOKUP($AO1316,Mapping!$E$11:$I$96,3,0)</f>
        <v>Augmentation</v>
      </c>
      <c r="AV1316" s="7" t="str">
        <f>VLOOKUP($AQ1316,Mapping!$E$140:$K$2771,5,0)</f>
        <v>Labour</v>
      </c>
      <c r="AW1316" s="7" t="str">
        <f>VLOOKUP($AQ1316,Mapping!$E$140:$K$2771,7,0)</f>
        <v>ENDirect</v>
      </c>
      <c r="AX1316" s="7" t="str">
        <f>IFERROR(HLOOKUP(AV1316,'Calc|Weightings'!$K$5:$M$5,1,0),"Excl")</f>
        <v>Labour</v>
      </c>
      <c r="AY1316" s="7" t="str">
        <f>VLOOKUP(AO1316,Mapping!$E$11:$I$96,5,0)</f>
        <v>SCS</v>
      </c>
    </row>
    <row r="1317" spans="1:51" x14ac:dyDescent="0.2">
      <c r="A1317" s="7"/>
      <c r="B1317" s="7"/>
      <c r="C1317" s="7"/>
      <c r="D1317" s="7"/>
      <c r="E1317" s="36">
        <v>148</v>
      </c>
      <c r="F1317" s="36" t="s">
        <v>2158</v>
      </c>
      <c r="G1317" s="36">
        <v>582301</v>
      </c>
      <c r="H1317" s="36" t="s">
        <v>382</v>
      </c>
      <c r="I1317" s="37">
        <v>13.885</v>
      </c>
      <c r="J1317" s="7"/>
      <c r="K1317" s="7" t="str">
        <f>VLOOKUP($E1317,Mapping!$E$11:$I$96,3,0)</f>
        <v>Replacement</v>
      </c>
      <c r="L1317" s="7" t="str">
        <f>VLOOKUP($G1317,Mapping!$E$140:$K$2771,5,0)</f>
        <v>Contracts</v>
      </c>
      <c r="M1317" s="7" t="str">
        <f>VLOOKUP($G1317,Mapping!$E$140:$K$2771,7,0)</f>
        <v>ENDirect</v>
      </c>
      <c r="N1317" s="7" t="str">
        <f>IFERROR(HLOOKUP(L1317,'Calc|Weightings'!$K$5:$M$5,1,0),"Excl")</f>
        <v>Contracts</v>
      </c>
      <c r="O1317" s="7" t="str">
        <f>VLOOKUP(E1317,Mapping!$E$11:$I$96,5,0)</f>
        <v>SCS</v>
      </c>
      <c r="Q1317" s="33">
        <v>157</v>
      </c>
      <c r="R1317" s="33" t="s">
        <v>2166</v>
      </c>
      <c r="S1317" s="33">
        <v>591999</v>
      </c>
      <c r="T1317" s="33" t="s">
        <v>2078</v>
      </c>
      <c r="U1317" s="34">
        <v>-43.008130000000001</v>
      </c>
      <c r="V1317" s="7"/>
      <c r="W1317" s="7" t="str">
        <f>VLOOKUP($Q1317,Mapping!$E$11:$I$96,3,0)</f>
        <v>Replacement</v>
      </c>
      <c r="X1317" s="7" t="str">
        <f>VLOOKUP($S1317,Mapping!$E$140:$K$2771,5,0)</f>
        <v>Contracts</v>
      </c>
      <c r="Y1317" s="7" t="str">
        <f>VLOOKUP($S1317,Mapping!$E$140:$K$2771,7,0)</f>
        <v>ENDirect</v>
      </c>
      <c r="Z1317" s="7" t="str">
        <f>IFERROR(HLOOKUP(X1317,'Calc|Weightings'!$K$5:$M$5,1,0),"Excl")</f>
        <v>Contracts</v>
      </c>
      <c r="AA1317" s="7" t="str">
        <f>VLOOKUP(Q1317,Mapping!$E$11:$I$96,5,0)</f>
        <v>SCS</v>
      </c>
      <c r="AC1317" s="111">
        <v>157</v>
      </c>
      <c r="AD1317" s="111" t="s">
        <v>2166</v>
      </c>
      <c r="AE1317" s="111">
        <v>613566</v>
      </c>
      <c r="AF1317" s="111" t="s">
        <v>1482</v>
      </c>
      <c r="AG1317" s="112">
        <v>40.015279999999997</v>
      </c>
      <c r="AI1317" s="7" t="str">
        <f>VLOOKUP($AC1317,Mapping!$E$11:$I$96,3,0)</f>
        <v>Replacement</v>
      </c>
      <c r="AJ1317" s="7" t="str">
        <f>VLOOKUP($AE1317,Mapping!$E$140:$K$2771,5,0)</f>
        <v>Labour</v>
      </c>
      <c r="AK1317" s="7" t="str">
        <f>VLOOKUP($AE1317,Mapping!$E$140:$K$2771,7,0)</f>
        <v>ENDirect</v>
      </c>
      <c r="AL1317" s="7" t="str">
        <f>IFERROR(HLOOKUP(AJ1317,'Calc|Weightings'!$K$5:$M$5,1,0),"Excl")</f>
        <v>Labour</v>
      </c>
      <c r="AM1317" s="7" t="str">
        <f>VLOOKUP(AC1317,Mapping!$E$11:$I$96,5,0)</f>
        <v>SCS</v>
      </c>
      <c r="AO1317" s="134">
        <v>161</v>
      </c>
      <c r="AP1317" s="135" t="s">
        <v>2171</v>
      </c>
      <c r="AQ1317" s="135">
        <v>613280</v>
      </c>
      <c r="AR1317" s="135" t="s">
        <v>1342</v>
      </c>
      <c r="AS1317" s="136">
        <v>76.167199999999994</v>
      </c>
      <c r="AU1317" s="7" t="str">
        <f>VLOOKUP($AO1317,Mapping!$E$11:$I$96,3,0)</f>
        <v>Augmentation</v>
      </c>
      <c r="AV1317" s="7" t="str">
        <f>VLOOKUP($AQ1317,Mapping!$E$140:$K$2771,5,0)</f>
        <v>Labour</v>
      </c>
      <c r="AW1317" s="7" t="str">
        <f>VLOOKUP($AQ1317,Mapping!$E$140:$K$2771,7,0)</f>
        <v>ENDirect</v>
      </c>
      <c r="AX1317" s="7" t="str">
        <f>IFERROR(HLOOKUP(AV1317,'Calc|Weightings'!$K$5:$M$5,1,0),"Excl")</f>
        <v>Labour</v>
      </c>
      <c r="AY1317" s="7" t="str">
        <f>VLOOKUP(AO1317,Mapping!$E$11:$I$96,5,0)</f>
        <v>SCS</v>
      </c>
    </row>
    <row r="1318" spans="1:51" x14ac:dyDescent="0.2">
      <c r="A1318" s="7"/>
      <c r="B1318" s="7"/>
      <c r="C1318" s="7"/>
      <c r="D1318" s="7"/>
      <c r="E1318" s="36">
        <v>148</v>
      </c>
      <c r="F1318" s="36" t="s">
        <v>2158</v>
      </c>
      <c r="G1318" s="36">
        <v>591200</v>
      </c>
      <c r="H1318" s="36" t="s">
        <v>398</v>
      </c>
      <c r="I1318" s="37">
        <v>3.2500000000000001E-2</v>
      </c>
      <c r="J1318" s="7"/>
      <c r="K1318" s="7" t="str">
        <f>VLOOKUP($E1318,Mapping!$E$11:$I$96,3,0)</f>
        <v>Replacement</v>
      </c>
      <c r="L1318" s="7" t="str">
        <f>VLOOKUP($G1318,Mapping!$E$140:$K$2771,5,0)</f>
        <v>Contracts</v>
      </c>
      <c r="M1318" s="7" t="str">
        <f>VLOOKUP($G1318,Mapping!$E$140:$K$2771,7,0)</f>
        <v>ENDirect</v>
      </c>
      <c r="N1318" s="7" t="str">
        <f>IFERROR(HLOOKUP(L1318,'Calc|Weightings'!$K$5:$M$5,1,0),"Excl")</f>
        <v>Contracts</v>
      </c>
      <c r="O1318" s="7" t="str">
        <f>VLOOKUP(E1318,Mapping!$E$11:$I$96,5,0)</f>
        <v>SCS</v>
      </c>
      <c r="Q1318" s="33">
        <v>157</v>
      </c>
      <c r="R1318" s="33" t="s">
        <v>2166</v>
      </c>
      <c r="S1318" s="33">
        <v>611900</v>
      </c>
      <c r="T1318" s="33" t="s">
        <v>2079</v>
      </c>
      <c r="U1318" s="34">
        <v>4.64E-3</v>
      </c>
      <c r="V1318" s="7"/>
      <c r="W1318" s="7" t="str">
        <f>VLOOKUP($Q1318,Mapping!$E$11:$I$96,3,0)</f>
        <v>Replacement</v>
      </c>
      <c r="X1318" s="7" t="str">
        <f>VLOOKUP($S1318,Mapping!$E$140:$K$2771,5,0)</f>
        <v>Contracts</v>
      </c>
      <c r="Y1318" s="7" t="str">
        <f>VLOOKUP($S1318,Mapping!$E$140:$K$2771,7,0)</f>
        <v>ENDirect</v>
      </c>
      <c r="Z1318" s="7" t="str">
        <f>IFERROR(HLOOKUP(X1318,'Calc|Weightings'!$K$5:$M$5,1,0),"Excl")</f>
        <v>Contracts</v>
      </c>
      <c r="AA1318" s="7" t="str">
        <f>VLOOKUP(Q1318,Mapping!$E$11:$I$96,5,0)</f>
        <v>SCS</v>
      </c>
      <c r="AC1318" s="111">
        <v>157</v>
      </c>
      <c r="AD1318" s="111" t="s">
        <v>2166</v>
      </c>
      <c r="AE1318" s="111">
        <v>613567</v>
      </c>
      <c r="AF1318" s="111" t="s">
        <v>1483</v>
      </c>
      <c r="AG1318" s="112">
        <v>2.43323</v>
      </c>
      <c r="AI1318" s="7" t="str">
        <f>VLOOKUP($AC1318,Mapping!$E$11:$I$96,3,0)</f>
        <v>Replacement</v>
      </c>
      <c r="AJ1318" s="7" t="str">
        <f>VLOOKUP($AE1318,Mapping!$E$140:$K$2771,5,0)</f>
        <v>Labour</v>
      </c>
      <c r="AK1318" s="7" t="str">
        <f>VLOOKUP($AE1318,Mapping!$E$140:$K$2771,7,0)</f>
        <v>ENDirect</v>
      </c>
      <c r="AL1318" s="7" t="str">
        <f>IFERROR(HLOOKUP(AJ1318,'Calc|Weightings'!$K$5:$M$5,1,0),"Excl")</f>
        <v>Labour</v>
      </c>
      <c r="AM1318" s="7" t="str">
        <f>VLOOKUP(AC1318,Mapping!$E$11:$I$96,5,0)</f>
        <v>SCS</v>
      </c>
      <c r="AO1318" s="134">
        <v>161</v>
      </c>
      <c r="AP1318" s="135" t="s">
        <v>2171</v>
      </c>
      <c r="AQ1318" s="135">
        <v>613290</v>
      </c>
      <c r="AR1318" s="135" t="s">
        <v>2093</v>
      </c>
      <c r="AS1318" s="136">
        <v>131.24806000000001</v>
      </c>
      <c r="AU1318" s="7" t="str">
        <f>VLOOKUP($AO1318,Mapping!$E$11:$I$96,3,0)</f>
        <v>Augmentation</v>
      </c>
      <c r="AV1318" s="7" t="str">
        <f>VLOOKUP($AQ1318,Mapping!$E$140:$K$2771,5,0)</f>
        <v>Labour</v>
      </c>
      <c r="AW1318" s="7" t="str">
        <f>VLOOKUP($AQ1318,Mapping!$E$140:$K$2771,7,0)</f>
        <v>ENDirect</v>
      </c>
      <c r="AX1318" s="7" t="str">
        <f>IFERROR(HLOOKUP(AV1318,'Calc|Weightings'!$K$5:$M$5,1,0),"Excl")</f>
        <v>Labour</v>
      </c>
      <c r="AY1318" s="7" t="str">
        <f>VLOOKUP(AO1318,Mapping!$E$11:$I$96,5,0)</f>
        <v>SCS</v>
      </c>
    </row>
    <row r="1319" spans="1:51" x14ac:dyDescent="0.2">
      <c r="A1319" s="7"/>
      <c r="B1319" s="7"/>
      <c r="C1319" s="7"/>
      <c r="D1319" s="7"/>
      <c r="E1319" s="36">
        <v>148</v>
      </c>
      <c r="F1319" s="36" t="s">
        <v>2158</v>
      </c>
      <c r="G1319" s="36">
        <v>591997</v>
      </c>
      <c r="H1319" s="36" t="s">
        <v>2194</v>
      </c>
      <c r="I1319" s="37">
        <v>0.27406000000000003</v>
      </c>
      <c r="J1319" s="7"/>
      <c r="K1319" s="7" t="str">
        <f>VLOOKUP($E1319,Mapping!$E$11:$I$96,3,0)</f>
        <v>Replacement</v>
      </c>
      <c r="L1319" s="7" t="str">
        <f>VLOOKUP($G1319,Mapping!$E$140:$K$2771,5,0)</f>
        <v>Contracts</v>
      </c>
      <c r="M1319" s="7" t="str">
        <f>VLOOKUP($G1319,Mapping!$E$140:$K$2771,7,0)</f>
        <v>ENDirect</v>
      </c>
      <c r="N1319" s="7" t="str">
        <f>IFERROR(HLOOKUP(L1319,'Calc|Weightings'!$K$5:$M$5,1,0),"Excl")</f>
        <v>Contracts</v>
      </c>
      <c r="O1319" s="7" t="str">
        <f>VLOOKUP(E1319,Mapping!$E$11:$I$96,5,0)</f>
        <v>SCS</v>
      </c>
      <c r="Q1319" s="33">
        <v>157</v>
      </c>
      <c r="R1319" s="33" t="s">
        <v>2166</v>
      </c>
      <c r="S1319" s="33">
        <v>611901</v>
      </c>
      <c r="T1319" s="33" t="s">
        <v>2080</v>
      </c>
      <c r="U1319" s="34">
        <v>9.5851199999999999</v>
      </c>
      <c r="V1319" s="7"/>
      <c r="W1319" s="7" t="str">
        <f>VLOOKUP($Q1319,Mapping!$E$11:$I$96,3,0)</f>
        <v>Replacement</v>
      </c>
      <c r="X1319" s="7" t="str">
        <f>VLOOKUP($S1319,Mapping!$E$140:$K$2771,5,0)</f>
        <v>Contracts</v>
      </c>
      <c r="Y1319" s="7" t="str">
        <f>VLOOKUP($S1319,Mapping!$E$140:$K$2771,7,0)</f>
        <v>ENDirect</v>
      </c>
      <c r="Z1319" s="7" t="str">
        <f>IFERROR(HLOOKUP(X1319,'Calc|Weightings'!$K$5:$M$5,1,0),"Excl")</f>
        <v>Contracts</v>
      </c>
      <c r="AA1319" s="7" t="str">
        <f>VLOOKUP(Q1319,Mapping!$E$11:$I$96,5,0)</f>
        <v>SCS</v>
      </c>
      <c r="AC1319" s="111">
        <v>157</v>
      </c>
      <c r="AD1319" s="111" t="s">
        <v>2166</v>
      </c>
      <c r="AE1319" s="111">
        <v>613570</v>
      </c>
      <c r="AF1319" s="111" t="s">
        <v>1484</v>
      </c>
      <c r="AG1319" s="112">
        <v>1.2180899999999999</v>
      </c>
      <c r="AI1319" s="7" t="str">
        <f>VLOOKUP($AC1319,Mapping!$E$11:$I$96,3,0)</f>
        <v>Replacement</v>
      </c>
      <c r="AJ1319" s="7" t="str">
        <f>VLOOKUP($AE1319,Mapping!$E$140:$K$2771,5,0)</f>
        <v>Labour</v>
      </c>
      <c r="AK1319" s="7" t="str">
        <f>VLOOKUP($AE1319,Mapping!$E$140:$K$2771,7,0)</f>
        <v>ENDirect</v>
      </c>
      <c r="AL1319" s="7" t="str">
        <f>IFERROR(HLOOKUP(AJ1319,'Calc|Weightings'!$K$5:$M$5,1,0),"Excl")</f>
        <v>Labour</v>
      </c>
      <c r="AM1319" s="7" t="str">
        <f>VLOOKUP(AC1319,Mapping!$E$11:$I$96,5,0)</f>
        <v>SCS</v>
      </c>
      <c r="AO1319" s="134">
        <v>161</v>
      </c>
      <c r="AP1319" s="135" t="s">
        <v>2171</v>
      </c>
      <c r="AQ1319" s="135">
        <v>613310</v>
      </c>
      <c r="AR1319" s="135" t="s">
        <v>2095</v>
      </c>
      <c r="AS1319" s="136">
        <v>369.52166999999997</v>
      </c>
      <c r="AU1319" s="7" t="str">
        <f>VLOOKUP($AO1319,Mapping!$E$11:$I$96,3,0)</f>
        <v>Augmentation</v>
      </c>
      <c r="AV1319" s="7" t="str">
        <f>VLOOKUP($AQ1319,Mapping!$E$140:$K$2771,5,0)</f>
        <v>Labour</v>
      </c>
      <c r="AW1319" s="7" t="str">
        <f>VLOOKUP($AQ1319,Mapping!$E$140:$K$2771,7,0)</f>
        <v>ENDirect</v>
      </c>
      <c r="AX1319" s="7" t="str">
        <f>IFERROR(HLOOKUP(AV1319,'Calc|Weightings'!$K$5:$M$5,1,0),"Excl")</f>
        <v>Labour</v>
      </c>
      <c r="AY1319" s="7" t="str">
        <f>VLOOKUP(AO1319,Mapping!$E$11:$I$96,5,0)</f>
        <v>SCS</v>
      </c>
    </row>
    <row r="1320" spans="1:51" x14ac:dyDescent="0.2">
      <c r="A1320" s="7"/>
      <c r="B1320" s="7"/>
      <c r="C1320" s="7"/>
      <c r="D1320" s="7"/>
      <c r="E1320" s="36">
        <v>148</v>
      </c>
      <c r="F1320" s="36" t="s">
        <v>2158</v>
      </c>
      <c r="G1320" s="36">
        <v>591999</v>
      </c>
      <c r="H1320" s="36" t="s">
        <v>2195</v>
      </c>
      <c r="I1320" s="37">
        <v>0.48375000000000001</v>
      </c>
      <c r="J1320" s="7"/>
      <c r="K1320" s="7" t="str">
        <f>VLOOKUP($E1320,Mapping!$E$11:$I$96,3,0)</f>
        <v>Replacement</v>
      </c>
      <c r="L1320" s="7" t="str">
        <f>VLOOKUP($G1320,Mapping!$E$140:$K$2771,5,0)</f>
        <v>Contracts</v>
      </c>
      <c r="M1320" s="7" t="str">
        <f>VLOOKUP($G1320,Mapping!$E$140:$K$2771,7,0)</f>
        <v>ENDirect</v>
      </c>
      <c r="N1320" s="7" t="str">
        <f>IFERROR(HLOOKUP(L1320,'Calc|Weightings'!$K$5:$M$5,1,0),"Excl")</f>
        <v>Contracts</v>
      </c>
      <c r="O1320" s="7" t="str">
        <f>VLOOKUP(E1320,Mapping!$E$11:$I$96,5,0)</f>
        <v>SCS</v>
      </c>
      <c r="Q1320" s="33">
        <v>157</v>
      </c>
      <c r="R1320" s="33" t="s">
        <v>2166</v>
      </c>
      <c r="S1320" s="33">
        <v>611902</v>
      </c>
      <c r="T1320" s="33" t="s">
        <v>2081</v>
      </c>
      <c r="U1320" s="34">
        <v>5.9379799999999996</v>
      </c>
      <c r="V1320" s="7"/>
      <c r="W1320" s="7" t="str">
        <f>VLOOKUP($Q1320,Mapping!$E$11:$I$96,3,0)</f>
        <v>Replacement</v>
      </c>
      <c r="X1320" s="7" t="str">
        <f>VLOOKUP($S1320,Mapping!$E$140:$K$2771,5,0)</f>
        <v>Contracts</v>
      </c>
      <c r="Y1320" s="7" t="str">
        <f>VLOOKUP($S1320,Mapping!$E$140:$K$2771,7,0)</f>
        <v>ENDirect</v>
      </c>
      <c r="Z1320" s="7" t="str">
        <f>IFERROR(HLOOKUP(X1320,'Calc|Weightings'!$K$5:$M$5,1,0),"Excl")</f>
        <v>Contracts</v>
      </c>
      <c r="AA1320" s="7" t="str">
        <f>VLOOKUP(Q1320,Mapping!$E$11:$I$96,5,0)</f>
        <v>SCS</v>
      </c>
      <c r="AC1320" s="111">
        <v>157</v>
      </c>
      <c r="AD1320" s="111" t="s">
        <v>2166</v>
      </c>
      <c r="AE1320" s="111">
        <v>613571</v>
      </c>
      <c r="AF1320" s="111" t="s">
        <v>1485</v>
      </c>
      <c r="AG1320" s="112">
        <v>2.0440800000000001</v>
      </c>
      <c r="AI1320" s="7" t="str">
        <f>VLOOKUP($AC1320,Mapping!$E$11:$I$96,3,0)</f>
        <v>Replacement</v>
      </c>
      <c r="AJ1320" s="7" t="str">
        <f>VLOOKUP($AE1320,Mapping!$E$140:$K$2771,5,0)</f>
        <v>Labour</v>
      </c>
      <c r="AK1320" s="7" t="str">
        <f>VLOOKUP($AE1320,Mapping!$E$140:$K$2771,7,0)</f>
        <v>ENDirect</v>
      </c>
      <c r="AL1320" s="7" t="str">
        <f>IFERROR(HLOOKUP(AJ1320,'Calc|Weightings'!$K$5:$M$5,1,0),"Excl")</f>
        <v>Labour</v>
      </c>
      <c r="AM1320" s="7" t="str">
        <f>VLOOKUP(AC1320,Mapping!$E$11:$I$96,5,0)</f>
        <v>SCS</v>
      </c>
      <c r="AO1320" s="134">
        <v>161</v>
      </c>
      <c r="AP1320" s="135" t="s">
        <v>2171</v>
      </c>
      <c r="AQ1320" s="135">
        <v>613311</v>
      </c>
      <c r="AR1320" s="135" t="s">
        <v>2116</v>
      </c>
      <c r="AS1320" s="136">
        <v>2.2873800000000002</v>
      </c>
      <c r="AU1320" s="7" t="str">
        <f>VLOOKUP($AO1320,Mapping!$E$11:$I$96,3,0)</f>
        <v>Augmentation</v>
      </c>
      <c r="AV1320" s="7" t="str">
        <f>VLOOKUP($AQ1320,Mapping!$E$140:$K$2771,5,0)</f>
        <v>Labour</v>
      </c>
      <c r="AW1320" s="7" t="str">
        <f>VLOOKUP($AQ1320,Mapping!$E$140:$K$2771,7,0)</f>
        <v>ENDirect</v>
      </c>
      <c r="AX1320" s="7" t="str">
        <f>IFERROR(HLOOKUP(AV1320,'Calc|Weightings'!$K$5:$M$5,1,0),"Excl")</f>
        <v>Labour</v>
      </c>
      <c r="AY1320" s="7" t="str">
        <f>VLOOKUP(AO1320,Mapping!$E$11:$I$96,5,0)</f>
        <v>SCS</v>
      </c>
    </row>
    <row r="1321" spans="1:51" x14ac:dyDescent="0.2">
      <c r="A1321" s="7"/>
      <c r="B1321" s="7"/>
      <c r="C1321" s="7"/>
      <c r="D1321" s="7"/>
      <c r="E1321" s="36">
        <v>148</v>
      </c>
      <c r="F1321" s="36" t="s">
        <v>2158</v>
      </c>
      <c r="G1321" s="36">
        <v>611860</v>
      </c>
      <c r="H1321" s="36" t="s">
        <v>2125</v>
      </c>
      <c r="I1321" s="37">
        <v>-206.15647000000001</v>
      </c>
      <c r="J1321" s="7"/>
      <c r="K1321" s="7" t="str">
        <f>VLOOKUP($E1321,Mapping!$E$11:$I$96,3,0)</f>
        <v>Replacement</v>
      </c>
      <c r="L1321" s="7" t="str">
        <f>VLOOKUP($G1321,Mapping!$E$140:$K$2771,5,0)</f>
        <v>Labour</v>
      </c>
      <c r="M1321" s="7" t="str">
        <f>VLOOKUP($G1321,Mapping!$E$140:$K$2771,7,0)</f>
        <v>ENDirect</v>
      </c>
      <c r="N1321" s="7" t="str">
        <f>IFERROR(HLOOKUP(L1321,'Calc|Weightings'!$K$5:$M$5,1,0),"Excl")</f>
        <v>Labour</v>
      </c>
      <c r="O1321" s="7" t="str">
        <f>VLOOKUP(E1321,Mapping!$E$11:$I$96,5,0)</f>
        <v>SCS</v>
      </c>
      <c r="Q1321" s="33">
        <v>157</v>
      </c>
      <c r="R1321" s="33" t="s">
        <v>2166</v>
      </c>
      <c r="S1321" s="33">
        <v>612210</v>
      </c>
      <c r="T1321" s="33" t="s">
        <v>1184</v>
      </c>
      <c r="U1321" s="34">
        <v>2.49777</v>
      </c>
      <c r="V1321" s="7"/>
      <c r="W1321" s="7" t="str">
        <f>VLOOKUP($Q1321,Mapping!$E$11:$I$96,3,0)</f>
        <v>Replacement</v>
      </c>
      <c r="X1321" s="7" t="str">
        <f>VLOOKUP($S1321,Mapping!$E$140:$K$2771,5,0)</f>
        <v>Labour</v>
      </c>
      <c r="Y1321" s="7" t="str">
        <f>VLOOKUP($S1321,Mapping!$E$140:$K$2771,7,0)</f>
        <v>ENDirect</v>
      </c>
      <c r="Z1321" s="7" t="str">
        <f>IFERROR(HLOOKUP(X1321,'Calc|Weightings'!$K$5:$M$5,1,0),"Excl")</f>
        <v>Labour</v>
      </c>
      <c r="AA1321" s="7" t="str">
        <f>VLOOKUP(Q1321,Mapping!$E$11:$I$96,5,0)</f>
        <v>SCS</v>
      </c>
      <c r="AC1321" s="111">
        <v>157</v>
      </c>
      <c r="AD1321" s="111" t="s">
        <v>2166</v>
      </c>
      <c r="AE1321" s="111">
        <v>613574</v>
      </c>
      <c r="AF1321" s="111" t="s">
        <v>1488</v>
      </c>
      <c r="AG1321" s="112">
        <v>4.96204</v>
      </c>
      <c r="AI1321" s="7" t="str">
        <f>VLOOKUP($AC1321,Mapping!$E$11:$I$96,3,0)</f>
        <v>Replacement</v>
      </c>
      <c r="AJ1321" s="7" t="str">
        <f>VLOOKUP($AE1321,Mapping!$E$140:$K$2771,5,0)</f>
        <v>Labour</v>
      </c>
      <c r="AK1321" s="7" t="str">
        <f>VLOOKUP($AE1321,Mapping!$E$140:$K$2771,7,0)</f>
        <v>ENDirect</v>
      </c>
      <c r="AL1321" s="7" t="str">
        <f>IFERROR(HLOOKUP(AJ1321,'Calc|Weightings'!$K$5:$M$5,1,0),"Excl")</f>
        <v>Labour</v>
      </c>
      <c r="AM1321" s="7" t="str">
        <f>VLOOKUP(AC1321,Mapping!$E$11:$I$96,5,0)</f>
        <v>SCS</v>
      </c>
      <c r="AO1321" s="134">
        <v>161</v>
      </c>
      <c r="AP1321" s="135" t="s">
        <v>2171</v>
      </c>
      <c r="AQ1321" s="135">
        <v>613350</v>
      </c>
      <c r="AR1321" s="135" t="s">
        <v>2096</v>
      </c>
      <c r="AS1321" s="136">
        <v>0.81621999999999995</v>
      </c>
      <c r="AU1321" s="7" t="str">
        <f>VLOOKUP($AO1321,Mapping!$E$11:$I$96,3,0)</f>
        <v>Augmentation</v>
      </c>
      <c r="AV1321" s="7" t="str">
        <f>VLOOKUP($AQ1321,Mapping!$E$140:$K$2771,5,0)</f>
        <v>Labour</v>
      </c>
      <c r="AW1321" s="7" t="str">
        <f>VLOOKUP($AQ1321,Mapping!$E$140:$K$2771,7,0)</f>
        <v>ENDirect</v>
      </c>
      <c r="AX1321" s="7" t="str">
        <f>IFERROR(HLOOKUP(AV1321,'Calc|Weightings'!$K$5:$M$5,1,0),"Excl")</f>
        <v>Labour</v>
      </c>
      <c r="AY1321" s="7" t="str">
        <f>VLOOKUP(AO1321,Mapping!$E$11:$I$96,5,0)</f>
        <v>SCS</v>
      </c>
    </row>
    <row r="1322" spans="1:51" x14ac:dyDescent="0.2">
      <c r="A1322" s="7"/>
      <c r="B1322" s="7"/>
      <c r="C1322" s="7"/>
      <c r="D1322" s="7"/>
      <c r="E1322" s="36">
        <v>148</v>
      </c>
      <c r="F1322" s="36" t="s">
        <v>2158</v>
      </c>
      <c r="G1322" s="36">
        <v>611861</v>
      </c>
      <c r="H1322" s="36" t="s">
        <v>2140</v>
      </c>
      <c r="I1322" s="37">
        <v>-63.488750000000003</v>
      </c>
      <c r="J1322" s="7"/>
      <c r="K1322" s="7" t="str">
        <f>VLOOKUP($E1322,Mapping!$E$11:$I$96,3,0)</f>
        <v>Replacement</v>
      </c>
      <c r="L1322" s="7" t="str">
        <f>VLOOKUP($G1322,Mapping!$E$140:$K$2771,5,0)</f>
        <v>Labour</v>
      </c>
      <c r="M1322" s="7" t="str">
        <f>VLOOKUP($G1322,Mapping!$E$140:$K$2771,7,0)</f>
        <v>ENDirect</v>
      </c>
      <c r="N1322" s="7" t="str">
        <f>IFERROR(HLOOKUP(L1322,'Calc|Weightings'!$K$5:$M$5,1,0),"Excl")</f>
        <v>Labour</v>
      </c>
      <c r="O1322" s="7" t="str">
        <f>VLOOKUP(E1322,Mapping!$E$11:$I$96,5,0)</f>
        <v>SCS</v>
      </c>
      <c r="Q1322" s="33">
        <v>157</v>
      </c>
      <c r="R1322" s="33" t="s">
        <v>2166</v>
      </c>
      <c r="S1322" s="33">
        <v>613250</v>
      </c>
      <c r="T1322" s="33" t="s">
        <v>2086</v>
      </c>
      <c r="U1322" s="34">
        <v>1.1870099999999999</v>
      </c>
      <c r="V1322" s="7"/>
      <c r="W1322" s="7" t="str">
        <f>VLOOKUP($Q1322,Mapping!$E$11:$I$96,3,0)</f>
        <v>Replacement</v>
      </c>
      <c r="X1322" s="7" t="str">
        <f>VLOOKUP($S1322,Mapping!$E$140:$K$2771,5,0)</f>
        <v>Labour</v>
      </c>
      <c r="Y1322" s="7" t="str">
        <f>VLOOKUP($S1322,Mapping!$E$140:$K$2771,7,0)</f>
        <v>ENDirect</v>
      </c>
      <c r="Z1322" s="7" t="str">
        <f>IFERROR(HLOOKUP(X1322,'Calc|Weightings'!$K$5:$M$5,1,0),"Excl")</f>
        <v>Labour</v>
      </c>
      <c r="AA1322" s="7" t="str">
        <f>VLOOKUP(Q1322,Mapping!$E$11:$I$96,5,0)</f>
        <v>SCS</v>
      </c>
      <c r="AC1322" s="111">
        <v>157</v>
      </c>
      <c r="AD1322" s="111" t="s">
        <v>2166</v>
      </c>
      <c r="AE1322" s="111">
        <v>613575</v>
      </c>
      <c r="AF1322" s="111" t="s">
        <v>1489</v>
      </c>
      <c r="AG1322" s="112">
        <v>4.1549300000000002</v>
      </c>
      <c r="AI1322" s="7" t="str">
        <f>VLOOKUP($AC1322,Mapping!$E$11:$I$96,3,0)</f>
        <v>Replacement</v>
      </c>
      <c r="AJ1322" s="7" t="str">
        <f>VLOOKUP($AE1322,Mapping!$E$140:$K$2771,5,0)</f>
        <v>Labour</v>
      </c>
      <c r="AK1322" s="7" t="str">
        <f>VLOOKUP($AE1322,Mapping!$E$140:$K$2771,7,0)</f>
        <v>ENDirect</v>
      </c>
      <c r="AL1322" s="7" t="str">
        <f>IFERROR(HLOOKUP(AJ1322,'Calc|Weightings'!$K$5:$M$5,1,0),"Excl")</f>
        <v>Labour</v>
      </c>
      <c r="AM1322" s="7" t="str">
        <f>VLOOKUP(AC1322,Mapping!$E$11:$I$96,5,0)</f>
        <v>SCS</v>
      </c>
      <c r="AO1322" s="134">
        <v>161</v>
      </c>
      <c r="AP1322" s="135" t="s">
        <v>2171</v>
      </c>
      <c r="AQ1322" s="135">
        <v>613360</v>
      </c>
      <c r="AR1322" s="135" t="s">
        <v>2097</v>
      </c>
      <c r="AS1322" s="136">
        <v>7.6444700000000001</v>
      </c>
      <c r="AU1322" s="7" t="str">
        <f>VLOOKUP($AO1322,Mapping!$E$11:$I$96,3,0)</f>
        <v>Augmentation</v>
      </c>
      <c r="AV1322" s="7" t="str">
        <f>VLOOKUP($AQ1322,Mapping!$E$140:$K$2771,5,0)</f>
        <v>Labour</v>
      </c>
      <c r="AW1322" s="7" t="str">
        <f>VLOOKUP($AQ1322,Mapping!$E$140:$K$2771,7,0)</f>
        <v>ENDirect</v>
      </c>
      <c r="AX1322" s="7" t="str">
        <f>IFERROR(HLOOKUP(AV1322,'Calc|Weightings'!$K$5:$M$5,1,0),"Excl")</f>
        <v>Labour</v>
      </c>
      <c r="AY1322" s="7" t="str">
        <f>VLOOKUP(AO1322,Mapping!$E$11:$I$96,5,0)</f>
        <v>SCS</v>
      </c>
    </row>
    <row r="1323" spans="1:51" x14ac:dyDescent="0.2">
      <c r="A1323" s="7"/>
      <c r="B1323" s="7"/>
      <c r="C1323" s="7"/>
      <c r="D1323" s="7"/>
      <c r="E1323" s="36">
        <v>148</v>
      </c>
      <c r="F1323" s="36" t="s">
        <v>2158</v>
      </c>
      <c r="G1323" s="36">
        <v>611900</v>
      </c>
      <c r="H1323" s="36" t="s">
        <v>2079</v>
      </c>
      <c r="I1323" s="37">
        <v>12.279629999999999</v>
      </c>
      <c r="J1323" s="7"/>
      <c r="K1323" s="7" t="str">
        <f>VLOOKUP($E1323,Mapping!$E$11:$I$96,3,0)</f>
        <v>Replacement</v>
      </c>
      <c r="L1323" s="7" t="str">
        <f>VLOOKUP($G1323,Mapping!$E$140:$K$2771,5,0)</f>
        <v>Contracts</v>
      </c>
      <c r="M1323" s="7" t="str">
        <f>VLOOKUP($G1323,Mapping!$E$140:$K$2771,7,0)</f>
        <v>ENDirect</v>
      </c>
      <c r="N1323" s="7" t="str">
        <f>IFERROR(HLOOKUP(L1323,'Calc|Weightings'!$K$5:$M$5,1,0),"Excl")</f>
        <v>Contracts</v>
      </c>
      <c r="O1323" s="7" t="str">
        <f>VLOOKUP(E1323,Mapping!$E$11:$I$96,5,0)</f>
        <v>SCS</v>
      </c>
      <c r="Q1323" s="33">
        <v>157</v>
      </c>
      <c r="R1323" s="33" t="s">
        <v>2166</v>
      </c>
      <c r="S1323" s="33">
        <v>613260</v>
      </c>
      <c r="T1323" s="33" t="s">
        <v>2090</v>
      </c>
      <c r="U1323" s="34">
        <v>61.409579999999998</v>
      </c>
      <c r="V1323" s="7"/>
      <c r="W1323" s="7" t="str">
        <f>VLOOKUP($Q1323,Mapping!$E$11:$I$96,3,0)</f>
        <v>Replacement</v>
      </c>
      <c r="X1323" s="7" t="str">
        <f>VLOOKUP($S1323,Mapping!$E$140:$K$2771,5,0)</f>
        <v>Labour</v>
      </c>
      <c r="Y1323" s="7" t="str">
        <f>VLOOKUP($S1323,Mapping!$E$140:$K$2771,7,0)</f>
        <v>ENDirect</v>
      </c>
      <c r="Z1323" s="7" t="str">
        <f>IFERROR(HLOOKUP(X1323,'Calc|Weightings'!$K$5:$M$5,1,0),"Excl")</f>
        <v>Labour</v>
      </c>
      <c r="AA1323" s="7" t="str">
        <f>VLOOKUP(Q1323,Mapping!$E$11:$I$96,5,0)</f>
        <v>SCS</v>
      </c>
      <c r="AC1323" s="111">
        <v>157</v>
      </c>
      <c r="AD1323" s="111" t="s">
        <v>2166</v>
      </c>
      <c r="AE1323" s="111">
        <v>613576</v>
      </c>
      <c r="AF1323" s="111" t="s">
        <v>1490</v>
      </c>
      <c r="AG1323" s="112">
        <v>106.66556</v>
      </c>
      <c r="AI1323" s="7" t="str">
        <f>VLOOKUP($AC1323,Mapping!$E$11:$I$96,3,0)</f>
        <v>Replacement</v>
      </c>
      <c r="AJ1323" s="7" t="str">
        <f>VLOOKUP($AE1323,Mapping!$E$140:$K$2771,5,0)</f>
        <v>Labour</v>
      </c>
      <c r="AK1323" s="7" t="str">
        <f>VLOOKUP($AE1323,Mapping!$E$140:$K$2771,7,0)</f>
        <v>ENDirect</v>
      </c>
      <c r="AL1323" s="7" t="str">
        <f>IFERROR(HLOOKUP(AJ1323,'Calc|Weightings'!$K$5:$M$5,1,0),"Excl")</f>
        <v>Labour</v>
      </c>
      <c r="AM1323" s="7" t="str">
        <f>VLOOKUP(AC1323,Mapping!$E$11:$I$96,5,0)</f>
        <v>SCS</v>
      </c>
      <c r="AO1323" s="134">
        <v>161</v>
      </c>
      <c r="AP1323" s="135" t="s">
        <v>2171</v>
      </c>
      <c r="AQ1323" s="135">
        <v>613370</v>
      </c>
      <c r="AR1323" s="135" t="s">
        <v>1402</v>
      </c>
      <c r="AS1323" s="136">
        <v>7.7652999999999999</v>
      </c>
      <c r="AU1323" s="7" t="str">
        <f>VLOOKUP($AO1323,Mapping!$E$11:$I$96,3,0)</f>
        <v>Augmentation</v>
      </c>
      <c r="AV1323" s="7" t="str">
        <f>VLOOKUP($AQ1323,Mapping!$E$140:$K$2771,5,0)</f>
        <v>Labour</v>
      </c>
      <c r="AW1323" s="7" t="str">
        <f>VLOOKUP($AQ1323,Mapping!$E$140:$K$2771,7,0)</f>
        <v>ENDirect</v>
      </c>
      <c r="AX1323" s="7" t="str">
        <f>IFERROR(HLOOKUP(AV1323,'Calc|Weightings'!$K$5:$M$5,1,0),"Excl")</f>
        <v>Labour</v>
      </c>
      <c r="AY1323" s="7" t="str">
        <f>VLOOKUP(AO1323,Mapping!$E$11:$I$96,5,0)</f>
        <v>SCS</v>
      </c>
    </row>
    <row r="1324" spans="1:51" x14ac:dyDescent="0.2">
      <c r="A1324" s="7"/>
      <c r="B1324" s="7"/>
      <c r="C1324" s="7"/>
      <c r="D1324" s="7"/>
      <c r="E1324" s="36">
        <v>148</v>
      </c>
      <c r="F1324" s="36" t="s">
        <v>2158</v>
      </c>
      <c r="G1324" s="36">
        <v>611901</v>
      </c>
      <c r="H1324" s="36" t="s">
        <v>2080</v>
      </c>
      <c r="I1324" s="37">
        <v>4.2275200000000002</v>
      </c>
      <c r="J1324" s="7"/>
      <c r="K1324" s="7" t="str">
        <f>VLOOKUP($E1324,Mapping!$E$11:$I$96,3,0)</f>
        <v>Replacement</v>
      </c>
      <c r="L1324" s="7" t="str">
        <f>VLOOKUP($G1324,Mapping!$E$140:$K$2771,5,0)</f>
        <v>Contracts</v>
      </c>
      <c r="M1324" s="7" t="str">
        <f>VLOOKUP($G1324,Mapping!$E$140:$K$2771,7,0)</f>
        <v>ENDirect</v>
      </c>
      <c r="N1324" s="7" t="str">
        <f>IFERROR(HLOOKUP(L1324,'Calc|Weightings'!$K$5:$M$5,1,0),"Excl")</f>
        <v>Contracts</v>
      </c>
      <c r="O1324" s="7" t="str">
        <f>VLOOKUP(E1324,Mapping!$E$11:$I$96,5,0)</f>
        <v>SCS</v>
      </c>
      <c r="Q1324" s="33">
        <v>157</v>
      </c>
      <c r="R1324" s="33" t="s">
        <v>2166</v>
      </c>
      <c r="S1324" s="33">
        <v>613261</v>
      </c>
      <c r="T1324" s="33" t="s">
        <v>2091</v>
      </c>
      <c r="U1324" s="34">
        <v>4.1013000000000002</v>
      </c>
      <c r="V1324" s="7"/>
      <c r="W1324" s="7" t="str">
        <f>VLOOKUP($Q1324,Mapping!$E$11:$I$96,3,0)</f>
        <v>Replacement</v>
      </c>
      <c r="X1324" s="7" t="str">
        <f>VLOOKUP($S1324,Mapping!$E$140:$K$2771,5,0)</f>
        <v>Labour</v>
      </c>
      <c r="Y1324" s="7" t="str">
        <f>VLOOKUP($S1324,Mapping!$E$140:$K$2771,7,0)</f>
        <v>ENDirect</v>
      </c>
      <c r="Z1324" s="7" t="str">
        <f>IFERROR(HLOOKUP(X1324,'Calc|Weightings'!$K$5:$M$5,1,0),"Excl")</f>
        <v>Labour</v>
      </c>
      <c r="AA1324" s="7" t="str">
        <f>VLOOKUP(Q1324,Mapping!$E$11:$I$96,5,0)</f>
        <v>SCS</v>
      </c>
      <c r="AC1324" s="111">
        <v>157</v>
      </c>
      <c r="AD1324" s="111" t="s">
        <v>2166</v>
      </c>
      <c r="AE1324" s="111">
        <v>613577</v>
      </c>
      <c r="AF1324" s="111" t="s">
        <v>1491</v>
      </c>
      <c r="AG1324" s="112">
        <v>2.75562</v>
      </c>
      <c r="AI1324" s="7" t="str">
        <f>VLOOKUP($AC1324,Mapping!$E$11:$I$96,3,0)</f>
        <v>Replacement</v>
      </c>
      <c r="AJ1324" s="7" t="str">
        <f>VLOOKUP($AE1324,Mapping!$E$140:$K$2771,5,0)</f>
        <v>Labour</v>
      </c>
      <c r="AK1324" s="7" t="str">
        <f>VLOOKUP($AE1324,Mapping!$E$140:$K$2771,7,0)</f>
        <v>ENDirect</v>
      </c>
      <c r="AL1324" s="7" t="str">
        <f>IFERROR(HLOOKUP(AJ1324,'Calc|Weightings'!$K$5:$M$5,1,0),"Excl")</f>
        <v>Labour</v>
      </c>
      <c r="AM1324" s="7" t="str">
        <f>VLOOKUP(AC1324,Mapping!$E$11:$I$96,5,0)</f>
        <v>SCS</v>
      </c>
      <c r="AO1324" s="134">
        <v>161</v>
      </c>
      <c r="AP1324" s="135" t="s">
        <v>2171</v>
      </c>
      <c r="AQ1324" s="135">
        <v>613420</v>
      </c>
      <c r="AR1324" s="135" t="s">
        <v>2393</v>
      </c>
      <c r="AS1324" s="136">
        <v>129.65441999999999</v>
      </c>
      <c r="AU1324" s="7" t="str">
        <f>VLOOKUP($AO1324,Mapping!$E$11:$I$96,3,0)</f>
        <v>Augmentation</v>
      </c>
      <c r="AV1324" s="7" t="str">
        <f>VLOOKUP($AQ1324,Mapping!$E$140:$K$2771,5,0)</f>
        <v>Labour</v>
      </c>
      <c r="AW1324" s="7" t="str">
        <f>VLOOKUP($AQ1324,Mapping!$E$140:$K$2771,7,0)</f>
        <v>ENDirect</v>
      </c>
      <c r="AX1324" s="7" t="str">
        <f>IFERROR(HLOOKUP(AV1324,'Calc|Weightings'!$K$5:$M$5,1,0),"Excl")</f>
        <v>Labour</v>
      </c>
      <c r="AY1324" s="7" t="str">
        <f>VLOOKUP(AO1324,Mapping!$E$11:$I$96,5,0)</f>
        <v>SCS</v>
      </c>
    </row>
    <row r="1325" spans="1:51" x14ac:dyDescent="0.2">
      <c r="A1325" s="7"/>
      <c r="B1325" s="7"/>
      <c r="C1325" s="7"/>
      <c r="D1325" s="7"/>
      <c r="E1325" s="36">
        <v>148</v>
      </c>
      <c r="F1325" s="36" t="s">
        <v>2158</v>
      </c>
      <c r="G1325" s="36">
        <v>611902</v>
      </c>
      <c r="H1325" s="36" t="s">
        <v>2081</v>
      </c>
      <c r="I1325" s="37">
        <v>5.425E-2</v>
      </c>
      <c r="J1325" s="7"/>
      <c r="K1325" s="7" t="str">
        <f>VLOOKUP($E1325,Mapping!$E$11:$I$96,3,0)</f>
        <v>Replacement</v>
      </c>
      <c r="L1325" s="7" t="str">
        <f>VLOOKUP($G1325,Mapping!$E$140:$K$2771,5,0)</f>
        <v>Contracts</v>
      </c>
      <c r="M1325" s="7" t="str">
        <f>VLOOKUP($G1325,Mapping!$E$140:$K$2771,7,0)</f>
        <v>ENDirect</v>
      </c>
      <c r="N1325" s="7" t="str">
        <f>IFERROR(HLOOKUP(L1325,'Calc|Weightings'!$K$5:$M$5,1,0),"Excl")</f>
        <v>Contracts</v>
      </c>
      <c r="O1325" s="7" t="str">
        <f>VLOOKUP(E1325,Mapping!$E$11:$I$96,5,0)</f>
        <v>SCS</v>
      </c>
      <c r="Q1325" s="33">
        <v>157</v>
      </c>
      <c r="R1325" s="33" t="s">
        <v>2166</v>
      </c>
      <c r="S1325" s="33">
        <v>613280</v>
      </c>
      <c r="T1325" s="33" t="s">
        <v>1342</v>
      </c>
      <c r="U1325" s="34">
        <v>44.976880000000001</v>
      </c>
      <c r="V1325" s="7"/>
      <c r="W1325" s="7" t="str">
        <f>VLOOKUP($Q1325,Mapping!$E$11:$I$96,3,0)</f>
        <v>Replacement</v>
      </c>
      <c r="X1325" s="7" t="str">
        <f>VLOOKUP($S1325,Mapping!$E$140:$K$2771,5,0)</f>
        <v>Labour</v>
      </c>
      <c r="Y1325" s="7" t="str">
        <f>VLOOKUP($S1325,Mapping!$E$140:$K$2771,7,0)</f>
        <v>ENDirect</v>
      </c>
      <c r="Z1325" s="7" t="str">
        <f>IFERROR(HLOOKUP(X1325,'Calc|Weightings'!$K$5:$M$5,1,0),"Excl")</f>
        <v>Labour</v>
      </c>
      <c r="AA1325" s="7" t="str">
        <f>VLOOKUP(Q1325,Mapping!$E$11:$I$96,5,0)</f>
        <v>SCS</v>
      </c>
      <c r="AC1325" s="111">
        <v>157</v>
      </c>
      <c r="AD1325" s="111" t="s">
        <v>2166</v>
      </c>
      <c r="AE1325" s="111">
        <v>613602</v>
      </c>
      <c r="AF1325" s="111" t="s">
        <v>1494</v>
      </c>
      <c r="AG1325" s="112">
        <v>8.5800099999999997</v>
      </c>
      <c r="AI1325" s="7" t="str">
        <f>VLOOKUP($AC1325,Mapping!$E$11:$I$96,3,0)</f>
        <v>Replacement</v>
      </c>
      <c r="AJ1325" s="7" t="str">
        <f>VLOOKUP($AE1325,Mapping!$E$140:$K$2771,5,0)</f>
        <v>Labour</v>
      </c>
      <c r="AK1325" s="7" t="str">
        <f>VLOOKUP($AE1325,Mapping!$E$140:$K$2771,7,0)</f>
        <v>ENDirect</v>
      </c>
      <c r="AL1325" s="7" t="str">
        <f>IFERROR(HLOOKUP(AJ1325,'Calc|Weightings'!$K$5:$M$5,1,0),"Excl")</f>
        <v>Labour</v>
      </c>
      <c r="AM1325" s="7" t="str">
        <f>VLOOKUP(AC1325,Mapping!$E$11:$I$96,5,0)</f>
        <v>SCS</v>
      </c>
      <c r="AO1325" s="134">
        <v>161</v>
      </c>
      <c r="AP1325" s="135" t="s">
        <v>2171</v>
      </c>
      <c r="AQ1325" s="135">
        <v>613421</v>
      </c>
      <c r="AR1325" s="135" t="s">
        <v>2419</v>
      </c>
      <c r="AS1325" s="136">
        <v>0.52151999999999998</v>
      </c>
      <c r="AU1325" s="7" t="str">
        <f>VLOOKUP($AO1325,Mapping!$E$11:$I$96,3,0)</f>
        <v>Augmentation</v>
      </c>
      <c r="AV1325" s="7" t="str">
        <f>VLOOKUP($AQ1325,Mapping!$E$140:$K$2771,5,0)</f>
        <v>Labour</v>
      </c>
      <c r="AW1325" s="7" t="str">
        <f>VLOOKUP($AQ1325,Mapping!$E$140:$K$2771,7,0)</f>
        <v>ENDirect</v>
      </c>
      <c r="AX1325" s="7" t="str">
        <f>IFERROR(HLOOKUP(AV1325,'Calc|Weightings'!$K$5:$M$5,1,0),"Excl")</f>
        <v>Labour</v>
      </c>
      <c r="AY1325" s="7" t="str">
        <f>VLOOKUP(AO1325,Mapping!$E$11:$I$96,5,0)</f>
        <v>SCS</v>
      </c>
    </row>
    <row r="1326" spans="1:51" x14ac:dyDescent="0.2">
      <c r="A1326" s="7"/>
      <c r="B1326" s="7"/>
      <c r="C1326" s="7"/>
      <c r="D1326" s="7"/>
      <c r="E1326" s="36">
        <v>148</v>
      </c>
      <c r="F1326" s="36" t="s">
        <v>2158</v>
      </c>
      <c r="G1326" s="36">
        <v>612210</v>
      </c>
      <c r="H1326" s="36" t="s">
        <v>1184</v>
      </c>
      <c r="I1326" s="37">
        <v>3.4459</v>
      </c>
      <c r="J1326" s="7"/>
      <c r="K1326" s="7" t="str">
        <f>VLOOKUP($E1326,Mapping!$E$11:$I$96,3,0)</f>
        <v>Replacement</v>
      </c>
      <c r="L1326" s="7" t="str">
        <f>VLOOKUP($G1326,Mapping!$E$140:$K$2771,5,0)</f>
        <v>Labour</v>
      </c>
      <c r="M1326" s="7" t="str">
        <f>VLOOKUP($G1326,Mapping!$E$140:$K$2771,7,0)</f>
        <v>ENDirect</v>
      </c>
      <c r="N1326" s="7" t="str">
        <f>IFERROR(HLOOKUP(L1326,'Calc|Weightings'!$K$5:$M$5,1,0),"Excl")</f>
        <v>Labour</v>
      </c>
      <c r="O1326" s="7" t="str">
        <f>VLOOKUP(E1326,Mapping!$E$11:$I$96,5,0)</f>
        <v>SCS</v>
      </c>
      <c r="Q1326" s="33">
        <v>157</v>
      </c>
      <c r="R1326" s="33" t="s">
        <v>2166</v>
      </c>
      <c r="S1326" s="33">
        <v>613290</v>
      </c>
      <c r="T1326" s="33" t="s">
        <v>2093</v>
      </c>
      <c r="U1326" s="34">
        <v>76.127570000000006</v>
      </c>
      <c r="V1326" s="7"/>
      <c r="W1326" s="7" t="str">
        <f>VLOOKUP($Q1326,Mapping!$E$11:$I$96,3,0)</f>
        <v>Replacement</v>
      </c>
      <c r="X1326" s="7" t="str">
        <f>VLOOKUP($S1326,Mapping!$E$140:$K$2771,5,0)</f>
        <v>Labour</v>
      </c>
      <c r="Y1326" s="7" t="str">
        <f>VLOOKUP($S1326,Mapping!$E$140:$K$2771,7,0)</f>
        <v>ENDirect</v>
      </c>
      <c r="Z1326" s="7" t="str">
        <f>IFERROR(HLOOKUP(X1326,'Calc|Weightings'!$K$5:$M$5,1,0),"Excl")</f>
        <v>Labour</v>
      </c>
      <c r="AA1326" s="7" t="str">
        <f>VLOOKUP(Q1326,Mapping!$E$11:$I$96,5,0)</f>
        <v>SCS</v>
      </c>
      <c r="AC1326" s="111">
        <v>157</v>
      </c>
      <c r="AD1326" s="111" t="s">
        <v>2166</v>
      </c>
      <c r="AE1326" s="111">
        <v>613630</v>
      </c>
      <c r="AF1326" s="111" t="s">
        <v>1498</v>
      </c>
      <c r="AG1326" s="112">
        <v>42.621580000000002</v>
      </c>
      <c r="AI1326" s="7" t="str">
        <f>VLOOKUP($AC1326,Mapping!$E$11:$I$96,3,0)</f>
        <v>Replacement</v>
      </c>
      <c r="AJ1326" s="7" t="str">
        <f>VLOOKUP($AE1326,Mapping!$E$140:$K$2771,5,0)</f>
        <v>Labour</v>
      </c>
      <c r="AK1326" s="7" t="str">
        <f>VLOOKUP($AE1326,Mapping!$E$140:$K$2771,7,0)</f>
        <v>ENDirect</v>
      </c>
      <c r="AL1326" s="7" t="str">
        <f>IFERROR(HLOOKUP(AJ1326,'Calc|Weightings'!$K$5:$M$5,1,0),"Excl")</f>
        <v>Labour</v>
      </c>
      <c r="AM1326" s="7" t="str">
        <f>VLOOKUP(AC1326,Mapping!$E$11:$I$96,5,0)</f>
        <v>SCS</v>
      </c>
      <c r="AO1326" s="134">
        <v>161</v>
      </c>
      <c r="AP1326" s="135" t="s">
        <v>2171</v>
      </c>
      <c r="AQ1326" s="135">
        <v>613434</v>
      </c>
      <c r="AR1326" s="135" t="s">
        <v>2102</v>
      </c>
      <c r="AS1326" s="136">
        <v>8.3013300000000001</v>
      </c>
      <c r="AU1326" s="7" t="str">
        <f>VLOOKUP($AO1326,Mapping!$E$11:$I$96,3,0)</f>
        <v>Augmentation</v>
      </c>
      <c r="AV1326" s="7" t="str">
        <f>VLOOKUP($AQ1326,Mapping!$E$140:$K$2771,5,0)</f>
        <v>Labour</v>
      </c>
      <c r="AW1326" s="7" t="str">
        <f>VLOOKUP($AQ1326,Mapping!$E$140:$K$2771,7,0)</f>
        <v>ENDirect</v>
      </c>
      <c r="AX1326" s="7" t="str">
        <f>IFERROR(HLOOKUP(AV1326,'Calc|Weightings'!$K$5:$M$5,1,0),"Excl")</f>
        <v>Labour</v>
      </c>
      <c r="AY1326" s="7" t="str">
        <f>VLOOKUP(AO1326,Mapping!$E$11:$I$96,5,0)</f>
        <v>SCS</v>
      </c>
    </row>
    <row r="1327" spans="1:51" x14ac:dyDescent="0.2">
      <c r="A1327" s="7"/>
      <c r="B1327" s="7"/>
      <c r="C1327" s="7"/>
      <c r="D1327" s="7"/>
      <c r="E1327" s="36">
        <v>148</v>
      </c>
      <c r="F1327" s="36" t="s">
        <v>2158</v>
      </c>
      <c r="G1327" s="36">
        <v>612462</v>
      </c>
      <c r="H1327" s="36" t="s">
        <v>1244</v>
      </c>
      <c r="I1327" s="37">
        <v>-1.97848</v>
      </c>
      <c r="J1327" s="7"/>
      <c r="K1327" s="7" t="str">
        <f>VLOOKUP($E1327,Mapping!$E$11:$I$96,3,0)</f>
        <v>Replacement</v>
      </c>
      <c r="L1327" s="7" t="str">
        <f>VLOOKUP($G1327,Mapping!$E$140:$K$2771,5,0)</f>
        <v>Labour</v>
      </c>
      <c r="M1327" s="7" t="str">
        <f>VLOOKUP($G1327,Mapping!$E$140:$K$2771,7,0)</f>
        <v>ENDirect</v>
      </c>
      <c r="N1327" s="7" t="str">
        <f>IFERROR(HLOOKUP(L1327,'Calc|Weightings'!$K$5:$M$5,1,0),"Excl")</f>
        <v>Labour</v>
      </c>
      <c r="O1327" s="7" t="str">
        <f>VLOOKUP(E1327,Mapping!$E$11:$I$96,5,0)</f>
        <v>SCS</v>
      </c>
      <c r="Q1327" s="33">
        <v>157</v>
      </c>
      <c r="R1327" s="33" t="s">
        <v>2166</v>
      </c>
      <c r="S1327" s="33">
        <v>613298</v>
      </c>
      <c r="T1327" s="33" t="s">
        <v>2122</v>
      </c>
      <c r="U1327" s="34">
        <v>19.344200000000001</v>
      </c>
      <c r="V1327" s="7"/>
      <c r="W1327" s="7" t="str">
        <f>VLOOKUP($Q1327,Mapping!$E$11:$I$96,3,0)</f>
        <v>Replacement</v>
      </c>
      <c r="X1327" s="7" t="str">
        <f>VLOOKUP($S1327,Mapping!$E$140:$K$2771,5,0)</f>
        <v>Labour</v>
      </c>
      <c r="Y1327" s="7" t="str">
        <f>VLOOKUP($S1327,Mapping!$E$140:$K$2771,7,0)</f>
        <v>ENDirect</v>
      </c>
      <c r="Z1327" s="7" t="str">
        <f>IFERROR(HLOOKUP(X1327,'Calc|Weightings'!$K$5:$M$5,1,0),"Excl")</f>
        <v>Labour</v>
      </c>
      <c r="AA1327" s="7" t="str">
        <f>VLOOKUP(Q1327,Mapping!$E$11:$I$96,5,0)</f>
        <v>SCS</v>
      </c>
      <c r="AC1327" s="111">
        <v>157</v>
      </c>
      <c r="AD1327" s="111" t="s">
        <v>2166</v>
      </c>
      <c r="AE1327" s="111">
        <v>613680</v>
      </c>
      <c r="AF1327" s="111" t="s">
        <v>2107</v>
      </c>
      <c r="AG1327" s="112">
        <v>54.794449999999998</v>
      </c>
      <c r="AI1327" s="7" t="str">
        <f>VLOOKUP($AC1327,Mapping!$E$11:$I$96,3,0)</f>
        <v>Replacement</v>
      </c>
      <c r="AJ1327" s="7" t="str">
        <f>VLOOKUP($AE1327,Mapping!$E$140:$K$2771,5,0)</f>
        <v>Labour</v>
      </c>
      <c r="AK1327" s="7" t="str">
        <f>VLOOKUP($AE1327,Mapping!$E$140:$K$2771,7,0)</f>
        <v>ENDirect</v>
      </c>
      <c r="AL1327" s="7" t="str">
        <f>IFERROR(HLOOKUP(AJ1327,'Calc|Weightings'!$K$5:$M$5,1,0),"Excl")</f>
        <v>Labour</v>
      </c>
      <c r="AM1327" s="7" t="str">
        <f>VLOOKUP(AC1327,Mapping!$E$11:$I$96,5,0)</f>
        <v>SCS</v>
      </c>
      <c r="AO1327" s="134">
        <v>161</v>
      </c>
      <c r="AP1327" s="135" t="s">
        <v>2171</v>
      </c>
      <c r="AQ1327" s="135">
        <v>613440</v>
      </c>
      <c r="AR1327" s="135" t="s">
        <v>2103</v>
      </c>
      <c r="AS1327" s="136">
        <v>21.9849</v>
      </c>
      <c r="AU1327" s="7" t="str">
        <f>VLOOKUP($AO1327,Mapping!$E$11:$I$96,3,0)</f>
        <v>Augmentation</v>
      </c>
      <c r="AV1327" s="7" t="str">
        <f>VLOOKUP($AQ1327,Mapping!$E$140:$K$2771,5,0)</f>
        <v>Labour</v>
      </c>
      <c r="AW1327" s="7" t="str">
        <f>VLOOKUP($AQ1327,Mapping!$E$140:$K$2771,7,0)</f>
        <v>ENDirect</v>
      </c>
      <c r="AX1327" s="7" t="str">
        <f>IFERROR(HLOOKUP(AV1327,'Calc|Weightings'!$K$5:$M$5,1,0),"Excl")</f>
        <v>Labour</v>
      </c>
      <c r="AY1327" s="7" t="str">
        <f>VLOOKUP(AO1327,Mapping!$E$11:$I$96,5,0)</f>
        <v>SCS</v>
      </c>
    </row>
    <row r="1328" spans="1:51" x14ac:dyDescent="0.2">
      <c r="A1328" s="7"/>
      <c r="B1328" s="7"/>
      <c r="C1328" s="7"/>
      <c r="D1328" s="7"/>
      <c r="E1328" s="36">
        <v>148</v>
      </c>
      <c r="F1328" s="36" t="s">
        <v>2158</v>
      </c>
      <c r="G1328" s="36">
        <v>613240</v>
      </c>
      <c r="H1328" s="36" t="s">
        <v>2082</v>
      </c>
      <c r="I1328" s="37">
        <v>7.3026200000000001</v>
      </c>
      <c r="J1328" s="7"/>
      <c r="K1328" s="7" t="str">
        <f>VLOOKUP($E1328,Mapping!$E$11:$I$96,3,0)</f>
        <v>Replacement</v>
      </c>
      <c r="L1328" s="7" t="str">
        <f>VLOOKUP($G1328,Mapping!$E$140:$K$2771,5,0)</f>
        <v>Labour</v>
      </c>
      <c r="M1328" s="7" t="str">
        <f>VLOOKUP($G1328,Mapping!$E$140:$K$2771,7,0)</f>
        <v>ENDirect</v>
      </c>
      <c r="N1328" s="7" t="str">
        <f>IFERROR(HLOOKUP(L1328,'Calc|Weightings'!$K$5:$M$5,1,0),"Excl")</f>
        <v>Labour</v>
      </c>
      <c r="O1328" s="7" t="str">
        <f>VLOOKUP(E1328,Mapping!$E$11:$I$96,5,0)</f>
        <v>SCS</v>
      </c>
      <c r="Q1328" s="33">
        <v>157</v>
      </c>
      <c r="R1328" s="33" t="s">
        <v>2166</v>
      </c>
      <c r="S1328" s="33">
        <v>613310</v>
      </c>
      <c r="T1328" s="33" t="s">
        <v>2095</v>
      </c>
      <c r="U1328" s="34">
        <v>12.847060000000001</v>
      </c>
      <c r="V1328" s="7"/>
      <c r="W1328" s="7" t="str">
        <f>VLOOKUP($Q1328,Mapping!$E$11:$I$96,3,0)</f>
        <v>Replacement</v>
      </c>
      <c r="X1328" s="7" t="str">
        <f>VLOOKUP($S1328,Mapping!$E$140:$K$2771,5,0)</f>
        <v>Labour</v>
      </c>
      <c r="Y1328" s="7" t="str">
        <f>VLOOKUP($S1328,Mapping!$E$140:$K$2771,7,0)</f>
        <v>ENDirect</v>
      </c>
      <c r="Z1328" s="7" t="str">
        <f>IFERROR(HLOOKUP(X1328,'Calc|Weightings'!$K$5:$M$5,1,0),"Excl")</f>
        <v>Labour</v>
      </c>
      <c r="AA1328" s="7" t="str">
        <f>VLOOKUP(Q1328,Mapping!$E$11:$I$96,5,0)</f>
        <v>SCS</v>
      </c>
      <c r="AC1328" s="111">
        <v>157</v>
      </c>
      <c r="AD1328" s="111" t="s">
        <v>2166</v>
      </c>
      <c r="AE1328" s="111">
        <v>634001</v>
      </c>
      <c r="AF1328" s="111" t="s">
        <v>2110</v>
      </c>
      <c r="AG1328" s="112">
        <v>358.24959000000001</v>
      </c>
      <c r="AI1328" s="7" t="str">
        <f>VLOOKUP($AC1328,Mapping!$E$11:$I$96,3,0)</f>
        <v>Replacement</v>
      </c>
      <c r="AJ1328" s="7" t="str">
        <f>VLOOKUP($AE1328,Mapping!$E$140:$K$2771,5,0)</f>
        <v>Local OH</v>
      </c>
      <c r="AK1328" s="7" t="str">
        <f>VLOOKUP($AE1328,Mapping!$E$140:$K$2771,7,0)</f>
        <v>OH</v>
      </c>
      <c r="AL1328" s="7" t="str">
        <f>IFERROR(HLOOKUP(AJ1328,'Calc|Weightings'!$K$5:$M$5,1,0),"Excl")</f>
        <v>Excl</v>
      </c>
      <c r="AM1328" s="7" t="str">
        <f>VLOOKUP(AC1328,Mapping!$E$11:$I$96,5,0)</f>
        <v>SCS</v>
      </c>
      <c r="AO1328" s="134">
        <v>161</v>
      </c>
      <c r="AP1328" s="135" t="s">
        <v>2171</v>
      </c>
      <c r="AQ1328" s="135">
        <v>613441</v>
      </c>
      <c r="AR1328" s="135" t="s">
        <v>2104</v>
      </c>
      <c r="AS1328" s="136">
        <v>4.19482</v>
      </c>
      <c r="AU1328" s="7" t="str">
        <f>VLOOKUP($AO1328,Mapping!$E$11:$I$96,3,0)</f>
        <v>Augmentation</v>
      </c>
      <c r="AV1328" s="7" t="str">
        <f>VLOOKUP($AQ1328,Mapping!$E$140:$K$2771,5,0)</f>
        <v>Labour</v>
      </c>
      <c r="AW1328" s="7" t="str">
        <f>VLOOKUP($AQ1328,Mapping!$E$140:$K$2771,7,0)</f>
        <v>ENDirect</v>
      </c>
      <c r="AX1328" s="7" t="str">
        <f>IFERROR(HLOOKUP(AV1328,'Calc|Weightings'!$K$5:$M$5,1,0),"Excl")</f>
        <v>Labour</v>
      </c>
      <c r="AY1328" s="7" t="str">
        <f>VLOOKUP(AO1328,Mapping!$E$11:$I$96,5,0)</f>
        <v>SCS</v>
      </c>
    </row>
    <row r="1329" spans="1:51" x14ac:dyDescent="0.2">
      <c r="A1329" s="7"/>
      <c r="B1329" s="7"/>
      <c r="C1329" s="7"/>
      <c r="D1329" s="7"/>
      <c r="E1329" s="36">
        <v>148</v>
      </c>
      <c r="F1329" s="36" t="s">
        <v>2158</v>
      </c>
      <c r="G1329" s="36">
        <v>613241</v>
      </c>
      <c r="H1329" s="36" t="s">
        <v>2083</v>
      </c>
      <c r="I1329" s="37">
        <v>7.3026200000000001</v>
      </c>
      <c r="J1329" s="7"/>
      <c r="K1329" s="7" t="str">
        <f>VLOOKUP($E1329,Mapping!$E$11:$I$96,3,0)</f>
        <v>Replacement</v>
      </c>
      <c r="L1329" s="7" t="str">
        <f>VLOOKUP($G1329,Mapping!$E$140:$K$2771,5,0)</f>
        <v>Labour</v>
      </c>
      <c r="M1329" s="7" t="str">
        <f>VLOOKUP($G1329,Mapping!$E$140:$K$2771,7,0)</f>
        <v>ENDirect</v>
      </c>
      <c r="N1329" s="7" t="str">
        <f>IFERROR(HLOOKUP(L1329,'Calc|Weightings'!$K$5:$M$5,1,0),"Excl")</f>
        <v>Labour</v>
      </c>
      <c r="O1329" s="7" t="str">
        <f>VLOOKUP(E1329,Mapping!$E$11:$I$96,5,0)</f>
        <v>SCS</v>
      </c>
      <c r="Q1329" s="33">
        <v>157</v>
      </c>
      <c r="R1329" s="33" t="s">
        <v>2166</v>
      </c>
      <c r="S1329" s="33">
        <v>613311</v>
      </c>
      <c r="T1329" s="33" t="s">
        <v>2116</v>
      </c>
      <c r="U1329" s="34">
        <v>1.5410900000000001</v>
      </c>
      <c r="V1329" s="7"/>
      <c r="W1329" s="7" t="str">
        <f>VLOOKUP($Q1329,Mapping!$E$11:$I$96,3,0)</f>
        <v>Replacement</v>
      </c>
      <c r="X1329" s="7" t="str">
        <f>VLOOKUP($S1329,Mapping!$E$140:$K$2771,5,0)</f>
        <v>Labour</v>
      </c>
      <c r="Y1329" s="7" t="str">
        <f>VLOOKUP($S1329,Mapping!$E$140:$K$2771,7,0)</f>
        <v>ENDirect</v>
      </c>
      <c r="Z1329" s="7" t="str">
        <f>IFERROR(HLOOKUP(X1329,'Calc|Weightings'!$K$5:$M$5,1,0),"Excl")</f>
        <v>Labour</v>
      </c>
      <c r="AA1329" s="7" t="str">
        <f>VLOOKUP(Q1329,Mapping!$E$11:$I$96,5,0)</f>
        <v>SCS</v>
      </c>
      <c r="AC1329" s="111">
        <v>157</v>
      </c>
      <c r="AD1329" s="111" t="s">
        <v>2166</v>
      </c>
      <c r="AE1329" s="111">
        <v>635001</v>
      </c>
      <c r="AF1329" s="111" t="s">
        <v>1929</v>
      </c>
      <c r="AG1329" s="112">
        <v>203.39320000000001</v>
      </c>
      <c r="AI1329" s="7" t="str">
        <f>VLOOKUP($AC1329,Mapping!$E$11:$I$96,3,0)</f>
        <v>Replacement</v>
      </c>
      <c r="AJ1329" s="7" t="str">
        <f>VLOOKUP($AE1329,Mapping!$E$140:$K$2771,5,0)</f>
        <v>PNS MG</v>
      </c>
      <c r="AK1329" s="7" t="str">
        <f>VLOOKUP($AE1329,Mapping!$E$140:$K$2771,7,0)</f>
        <v>ENDirect</v>
      </c>
      <c r="AL1329" s="7" t="str">
        <f>IFERROR(HLOOKUP(AJ1329,'Calc|Weightings'!$K$5:$M$5,1,0),"Excl")</f>
        <v>Excl</v>
      </c>
      <c r="AM1329" s="7" t="str">
        <f>VLOOKUP(AC1329,Mapping!$E$11:$I$96,5,0)</f>
        <v>SCS</v>
      </c>
      <c r="AO1329" s="134">
        <v>161</v>
      </c>
      <c r="AP1329" s="135" t="s">
        <v>2171</v>
      </c>
      <c r="AQ1329" s="135">
        <v>613450</v>
      </c>
      <c r="AR1329" s="135" t="s">
        <v>2175</v>
      </c>
      <c r="AS1329" s="136">
        <v>19.094999999999999</v>
      </c>
      <c r="AU1329" s="7" t="str">
        <f>VLOOKUP($AO1329,Mapping!$E$11:$I$96,3,0)</f>
        <v>Augmentation</v>
      </c>
      <c r="AV1329" s="7" t="str">
        <f>VLOOKUP($AQ1329,Mapping!$E$140:$K$2771,5,0)</f>
        <v>Labour</v>
      </c>
      <c r="AW1329" s="7" t="str">
        <f>VLOOKUP($AQ1329,Mapping!$E$140:$K$2771,7,0)</f>
        <v>ENDirect</v>
      </c>
      <c r="AX1329" s="7" t="str">
        <f>IFERROR(HLOOKUP(AV1329,'Calc|Weightings'!$K$5:$M$5,1,0),"Excl")</f>
        <v>Labour</v>
      </c>
      <c r="AY1329" s="7" t="str">
        <f>VLOOKUP(AO1329,Mapping!$E$11:$I$96,5,0)</f>
        <v>SCS</v>
      </c>
    </row>
    <row r="1330" spans="1:51" x14ac:dyDescent="0.2">
      <c r="A1330" s="7"/>
      <c r="B1330" s="7"/>
      <c r="C1330" s="7"/>
      <c r="D1330" s="7"/>
      <c r="E1330" s="36">
        <v>148</v>
      </c>
      <c r="F1330" s="36" t="s">
        <v>2158</v>
      </c>
      <c r="G1330" s="36">
        <v>613248</v>
      </c>
      <c r="H1330" s="36" t="s">
        <v>2383</v>
      </c>
      <c r="I1330" s="37">
        <v>137.52258</v>
      </c>
      <c r="J1330" s="7"/>
      <c r="K1330" s="7" t="str">
        <f>VLOOKUP($E1330,Mapping!$E$11:$I$96,3,0)</f>
        <v>Replacement</v>
      </c>
      <c r="L1330" s="7" t="str">
        <f>VLOOKUP($G1330,Mapping!$E$140:$K$2771,5,0)</f>
        <v>Labour</v>
      </c>
      <c r="M1330" s="7" t="str">
        <f>VLOOKUP($G1330,Mapping!$E$140:$K$2771,7,0)</f>
        <v>ENDirect</v>
      </c>
      <c r="N1330" s="7" t="str">
        <f>IFERROR(HLOOKUP(L1330,'Calc|Weightings'!$K$5:$M$5,1,0),"Excl")</f>
        <v>Labour</v>
      </c>
      <c r="O1330" s="7" t="str">
        <f>VLOOKUP(E1330,Mapping!$E$11:$I$96,5,0)</f>
        <v>SCS</v>
      </c>
      <c r="Q1330" s="33">
        <v>157</v>
      </c>
      <c r="R1330" s="33" t="s">
        <v>2166</v>
      </c>
      <c r="S1330" s="33">
        <v>613350</v>
      </c>
      <c r="T1330" s="33" t="s">
        <v>2096</v>
      </c>
      <c r="U1330" s="34">
        <v>2.37338</v>
      </c>
      <c r="V1330" s="7"/>
      <c r="W1330" s="7" t="str">
        <f>VLOOKUP($Q1330,Mapping!$E$11:$I$96,3,0)</f>
        <v>Replacement</v>
      </c>
      <c r="X1330" s="7" t="str">
        <f>VLOOKUP($S1330,Mapping!$E$140:$K$2771,5,0)</f>
        <v>Labour</v>
      </c>
      <c r="Y1330" s="7" t="str">
        <f>VLOOKUP($S1330,Mapping!$E$140:$K$2771,7,0)</f>
        <v>ENDirect</v>
      </c>
      <c r="Z1330" s="7" t="str">
        <f>IFERROR(HLOOKUP(X1330,'Calc|Weightings'!$K$5:$M$5,1,0),"Excl")</f>
        <v>Labour</v>
      </c>
      <c r="AA1330" s="7" t="str">
        <f>VLOOKUP(Q1330,Mapping!$E$11:$I$96,5,0)</f>
        <v>SCS</v>
      </c>
      <c r="AC1330" s="111">
        <v>157</v>
      </c>
      <c r="AD1330" s="111" t="s">
        <v>2166</v>
      </c>
      <c r="AE1330" s="111">
        <v>636001</v>
      </c>
      <c r="AF1330" s="111" t="s">
        <v>2111</v>
      </c>
      <c r="AG1330" s="112">
        <v>256.13763</v>
      </c>
      <c r="AI1330" s="7" t="str">
        <f>VLOOKUP($AC1330,Mapping!$E$11:$I$96,3,0)</f>
        <v>Replacement</v>
      </c>
      <c r="AJ1330" s="7" t="str">
        <f>VLOOKUP($AE1330,Mapping!$E$140:$K$2771,5,0)</f>
        <v>System Control OH</v>
      </c>
      <c r="AK1330" s="7" t="str">
        <f>VLOOKUP($AE1330,Mapping!$E$140:$K$2771,7,0)</f>
        <v>OH</v>
      </c>
      <c r="AL1330" s="7" t="str">
        <f>IFERROR(HLOOKUP(AJ1330,'Calc|Weightings'!$K$5:$M$5,1,0),"Excl")</f>
        <v>Excl</v>
      </c>
      <c r="AM1330" s="7" t="str">
        <f>VLOOKUP(AC1330,Mapping!$E$11:$I$96,5,0)</f>
        <v>SCS</v>
      </c>
      <c r="AO1330" s="134">
        <v>161</v>
      </c>
      <c r="AP1330" s="135" t="s">
        <v>2171</v>
      </c>
      <c r="AQ1330" s="135">
        <v>613460</v>
      </c>
      <c r="AR1330" s="135" t="s">
        <v>2167</v>
      </c>
      <c r="AS1330" s="136">
        <v>53.49888</v>
      </c>
      <c r="AU1330" s="7" t="str">
        <f>VLOOKUP($AO1330,Mapping!$E$11:$I$96,3,0)</f>
        <v>Augmentation</v>
      </c>
      <c r="AV1330" s="7" t="str">
        <f>VLOOKUP($AQ1330,Mapping!$E$140:$K$2771,5,0)</f>
        <v>Labour</v>
      </c>
      <c r="AW1330" s="7" t="str">
        <f>VLOOKUP($AQ1330,Mapping!$E$140:$K$2771,7,0)</f>
        <v>ENDirect</v>
      </c>
      <c r="AX1330" s="7" t="str">
        <f>IFERROR(HLOOKUP(AV1330,'Calc|Weightings'!$K$5:$M$5,1,0),"Excl")</f>
        <v>Labour</v>
      </c>
      <c r="AY1330" s="7" t="str">
        <f>VLOOKUP(AO1330,Mapping!$E$11:$I$96,5,0)</f>
        <v>SCS</v>
      </c>
    </row>
    <row r="1331" spans="1:51" x14ac:dyDescent="0.2">
      <c r="A1331" s="7"/>
      <c r="B1331" s="7"/>
      <c r="C1331" s="7"/>
      <c r="D1331" s="7"/>
      <c r="E1331" s="36">
        <v>148</v>
      </c>
      <c r="F1331" s="36" t="s">
        <v>2158</v>
      </c>
      <c r="G1331" s="36">
        <v>613249</v>
      </c>
      <c r="H1331" s="36" t="s">
        <v>2384</v>
      </c>
      <c r="I1331" s="37">
        <v>55.111559999999997</v>
      </c>
      <c r="J1331" s="7"/>
      <c r="K1331" s="7" t="str">
        <f>VLOOKUP($E1331,Mapping!$E$11:$I$96,3,0)</f>
        <v>Replacement</v>
      </c>
      <c r="L1331" s="7" t="str">
        <f>VLOOKUP($G1331,Mapping!$E$140:$K$2771,5,0)</f>
        <v>Labour</v>
      </c>
      <c r="M1331" s="7" t="str">
        <f>VLOOKUP($G1331,Mapping!$E$140:$K$2771,7,0)</f>
        <v>ENDirect</v>
      </c>
      <c r="N1331" s="7" t="str">
        <f>IFERROR(HLOOKUP(L1331,'Calc|Weightings'!$K$5:$M$5,1,0),"Excl")</f>
        <v>Labour</v>
      </c>
      <c r="O1331" s="7" t="str">
        <f>VLOOKUP(E1331,Mapping!$E$11:$I$96,5,0)</f>
        <v>SCS</v>
      </c>
      <c r="Q1331" s="33">
        <v>157</v>
      </c>
      <c r="R1331" s="33" t="s">
        <v>2166</v>
      </c>
      <c r="S1331" s="33">
        <v>613360</v>
      </c>
      <c r="T1331" s="33" t="s">
        <v>2097</v>
      </c>
      <c r="U1331" s="34">
        <v>13.3218</v>
      </c>
      <c r="V1331" s="7"/>
      <c r="W1331" s="7" t="str">
        <f>VLOOKUP($Q1331,Mapping!$E$11:$I$96,3,0)</f>
        <v>Replacement</v>
      </c>
      <c r="X1331" s="7" t="str">
        <f>VLOOKUP($S1331,Mapping!$E$140:$K$2771,5,0)</f>
        <v>Labour</v>
      </c>
      <c r="Y1331" s="7" t="str">
        <f>VLOOKUP($S1331,Mapping!$E$140:$K$2771,7,0)</f>
        <v>ENDirect</v>
      </c>
      <c r="Z1331" s="7" t="str">
        <f>IFERROR(HLOOKUP(X1331,'Calc|Weightings'!$K$5:$M$5,1,0),"Excl")</f>
        <v>Labour</v>
      </c>
      <c r="AA1331" s="7" t="str">
        <f>VLOOKUP(Q1331,Mapping!$E$11:$I$96,5,0)</f>
        <v>SCS</v>
      </c>
      <c r="AC1331" s="111">
        <v>157</v>
      </c>
      <c r="AD1331" s="111" t="s">
        <v>2166</v>
      </c>
      <c r="AE1331" s="111">
        <v>639000</v>
      </c>
      <c r="AF1331" s="111" t="s">
        <v>2112</v>
      </c>
      <c r="AG1331" s="112">
        <v>231.66368</v>
      </c>
      <c r="AI1331" s="7" t="str">
        <f>VLOOKUP($AC1331,Mapping!$E$11:$I$96,3,0)</f>
        <v>Replacement</v>
      </c>
      <c r="AJ1331" s="7" t="str">
        <f>VLOOKUP($AE1331,Mapping!$E$140:$K$2771,5,0)</f>
        <v>PNS Corporate OH</v>
      </c>
      <c r="AK1331" s="7" t="str">
        <f>VLOOKUP($AE1331,Mapping!$E$140:$K$2771,7,0)</f>
        <v>OH</v>
      </c>
      <c r="AL1331" s="7" t="str">
        <f>IFERROR(HLOOKUP(AJ1331,'Calc|Weightings'!$K$5:$M$5,1,0),"Excl")</f>
        <v>Excl</v>
      </c>
      <c r="AM1331" s="7" t="str">
        <f>VLOOKUP(AC1331,Mapping!$E$11:$I$96,5,0)</f>
        <v>SCS</v>
      </c>
      <c r="AO1331" s="134">
        <v>161</v>
      </c>
      <c r="AP1331" s="135" t="s">
        <v>2171</v>
      </c>
      <c r="AQ1331" s="135">
        <v>613461</v>
      </c>
      <c r="AR1331" s="135" t="s">
        <v>2168</v>
      </c>
      <c r="AS1331" s="136">
        <v>10.921469999999999</v>
      </c>
      <c r="AU1331" s="7" t="str">
        <f>VLOOKUP($AO1331,Mapping!$E$11:$I$96,3,0)</f>
        <v>Augmentation</v>
      </c>
      <c r="AV1331" s="7" t="str">
        <f>VLOOKUP($AQ1331,Mapping!$E$140:$K$2771,5,0)</f>
        <v>Labour</v>
      </c>
      <c r="AW1331" s="7" t="str">
        <f>VLOOKUP($AQ1331,Mapping!$E$140:$K$2771,7,0)</f>
        <v>ENDirect</v>
      </c>
      <c r="AX1331" s="7" t="str">
        <f>IFERROR(HLOOKUP(AV1331,'Calc|Weightings'!$K$5:$M$5,1,0),"Excl")</f>
        <v>Labour</v>
      </c>
      <c r="AY1331" s="7" t="str">
        <f>VLOOKUP(AO1331,Mapping!$E$11:$I$96,5,0)</f>
        <v>SCS</v>
      </c>
    </row>
    <row r="1332" spans="1:51" x14ac:dyDescent="0.2">
      <c r="A1332" s="7"/>
      <c r="B1332" s="7"/>
      <c r="C1332" s="7"/>
      <c r="D1332" s="7"/>
      <c r="E1332" s="36">
        <v>148</v>
      </c>
      <c r="F1332" s="36" t="s">
        <v>2158</v>
      </c>
      <c r="G1332" s="36">
        <v>613250</v>
      </c>
      <c r="H1332" s="36" t="s">
        <v>2086</v>
      </c>
      <c r="I1332" s="37">
        <v>6.6996000000000002</v>
      </c>
      <c r="J1332" s="7"/>
      <c r="K1332" s="7" t="str">
        <f>VLOOKUP($E1332,Mapping!$E$11:$I$96,3,0)</f>
        <v>Replacement</v>
      </c>
      <c r="L1332" s="7" t="str">
        <f>VLOOKUP($G1332,Mapping!$E$140:$K$2771,5,0)</f>
        <v>Labour</v>
      </c>
      <c r="M1332" s="7" t="str">
        <f>VLOOKUP($G1332,Mapping!$E$140:$K$2771,7,0)</f>
        <v>ENDirect</v>
      </c>
      <c r="N1332" s="7" t="str">
        <f>IFERROR(HLOOKUP(L1332,'Calc|Weightings'!$K$5:$M$5,1,0),"Excl")</f>
        <v>Labour</v>
      </c>
      <c r="O1332" s="7" t="str">
        <f>VLOOKUP(E1332,Mapping!$E$11:$I$96,5,0)</f>
        <v>SCS</v>
      </c>
      <c r="Q1332" s="33">
        <v>157</v>
      </c>
      <c r="R1332" s="33" t="s">
        <v>2166</v>
      </c>
      <c r="S1332" s="33">
        <v>613361</v>
      </c>
      <c r="T1332" s="33" t="s">
        <v>2098</v>
      </c>
      <c r="U1332" s="34">
        <v>1.9077500000000001</v>
      </c>
      <c r="V1332" s="7"/>
      <c r="W1332" s="7" t="str">
        <f>VLOOKUP($Q1332,Mapping!$E$11:$I$96,3,0)</f>
        <v>Replacement</v>
      </c>
      <c r="X1332" s="7" t="str">
        <f>VLOOKUP($S1332,Mapping!$E$140:$K$2771,5,0)</f>
        <v>Labour</v>
      </c>
      <c r="Y1332" s="7" t="str">
        <f>VLOOKUP($S1332,Mapping!$E$140:$K$2771,7,0)</f>
        <v>ENDirect</v>
      </c>
      <c r="Z1332" s="7" t="str">
        <f>IFERROR(HLOOKUP(X1332,'Calc|Weightings'!$K$5:$M$5,1,0),"Excl")</f>
        <v>Labour</v>
      </c>
      <c r="AA1332" s="7" t="str">
        <f>VLOOKUP(Q1332,Mapping!$E$11:$I$96,5,0)</f>
        <v>SCS</v>
      </c>
      <c r="AC1332" s="111">
        <v>157</v>
      </c>
      <c r="AD1332" s="111" t="s">
        <v>2166</v>
      </c>
      <c r="AE1332" s="111">
        <v>639050</v>
      </c>
      <c r="AF1332" s="111" t="s">
        <v>2113</v>
      </c>
      <c r="AG1332" s="112">
        <v>29.900870000000001</v>
      </c>
      <c r="AI1332" s="7" t="str">
        <f>VLOOKUP($AC1332,Mapping!$E$11:$I$96,3,0)</f>
        <v>Replacement</v>
      </c>
      <c r="AJ1332" s="7" t="str">
        <f>VLOOKUP($AE1332,Mapping!$E$140:$K$2771,5,0)</f>
        <v>PNS Fleet &amp; Property OH</v>
      </c>
      <c r="AK1332" s="7" t="str">
        <f>VLOOKUP($AE1332,Mapping!$E$140:$K$2771,7,0)</f>
        <v>OH</v>
      </c>
      <c r="AL1332" s="7" t="str">
        <f>IFERROR(HLOOKUP(AJ1332,'Calc|Weightings'!$K$5:$M$5,1,0),"Excl")</f>
        <v>Excl</v>
      </c>
      <c r="AM1332" s="7" t="str">
        <f>VLOOKUP(AC1332,Mapping!$E$11:$I$96,5,0)</f>
        <v>SCS</v>
      </c>
      <c r="AO1332" s="134">
        <v>161</v>
      </c>
      <c r="AP1332" s="135" t="s">
        <v>2171</v>
      </c>
      <c r="AQ1332" s="135">
        <v>613566</v>
      </c>
      <c r="AR1332" s="135" t="s">
        <v>1482</v>
      </c>
      <c r="AS1332" s="136">
        <v>6.2512299999999996</v>
      </c>
      <c r="AU1332" s="7" t="str">
        <f>VLOOKUP($AO1332,Mapping!$E$11:$I$96,3,0)</f>
        <v>Augmentation</v>
      </c>
      <c r="AV1332" s="7" t="str">
        <f>VLOOKUP($AQ1332,Mapping!$E$140:$K$2771,5,0)</f>
        <v>Labour</v>
      </c>
      <c r="AW1332" s="7" t="str">
        <f>VLOOKUP($AQ1332,Mapping!$E$140:$K$2771,7,0)</f>
        <v>ENDirect</v>
      </c>
      <c r="AX1332" s="7" t="str">
        <f>IFERROR(HLOOKUP(AV1332,'Calc|Weightings'!$K$5:$M$5,1,0),"Excl")</f>
        <v>Labour</v>
      </c>
      <c r="AY1332" s="7" t="str">
        <f>VLOOKUP(AO1332,Mapping!$E$11:$I$96,5,0)</f>
        <v>SCS</v>
      </c>
    </row>
    <row r="1333" spans="1:51" x14ac:dyDescent="0.2">
      <c r="A1333" s="7"/>
      <c r="B1333" s="7"/>
      <c r="C1333" s="7"/>
      <c r="D1333" s="7"/>
      <c r="E1333" s="36">
        <v>148</v>
      </c>
      <c r="F1333" s="36" t="s">
        <v>2158</v>
      </c>
      <c r="G1333" s="36">
        <v>613251</v>
      </c>
      <c r="H1333" s="36" t="s">
        <v>2087</v>
      </c>
      <c r="I1333" s="37">
        <v>10.51806</v>
      </c>
      <c r="J1333" s="7"/>
      <c r="K1333" s="7" t="str">
        <f>VLOOKUP($E1333,Mapping!$E$11:$I$96,3,0)</f>
        <v>Replacement</v>
      </c>
      <c r="L1333" s="7" t="str">
        <f>VLOOKUP($G1333,Mapping!$E$140:$K$2771,5,0)</f>
        <v>Labour</v>
      </c>
      <c r="M1333" s="7" t="str">
        <f>VLOOKUP($G1333,Mapping!$E$140:$K$2771,7,0)</f>
        <v>ENDirect</v>
      </c>
      <c r="N1333" s="7" t="str">
        <f>IFERROR(HLOOKUP(L1333,'Calc|Weightings'!$K$5:$M$5,1,0),"Excl")</f>
        <v>Labour</v>
      </c>
      <c r="O1333" s="7" t="str">
        <f>VLOOKUP(E1333,Mapping!$E$11:$I$96,5,0)</f>
        <v>SCS</v>
      </c>
      <c r="Q1333" s="33">
        <v>157</v>
      </c>
      <c r="R1333" s="33" t="s">
        <v>2166</v>
      </c>
      <c r="S1333" s="33">
        <v>613566</v>
      </c>
      <c r="T1333" s="33" t="s">
        <v>1482</v>
      </c>
      <c r="U1333" s="34">
        <v>10.815770000000001</v>
      </c>
      <c r="V1333" s="7"/>
      <c r="W1333" s="7" t="str">
        <f>VLOOKUP($Q1333,Mapping!$E$11:$I$96,3,0)</f>
        <v>Replacement</v>
      </c>
      <c r="X1333" s="7" t="str">
        <f>VLOOKUP($S1333,Mapping!$E$140:$K$2771,5,0)</f>
        <v>Labour</v>
      </c>
      <c r="Y1333" s="7" t="str">
        <f>VLOOKUP($S1333,Mapping!$E$140:$K$2771,7,0)</f>
        <v>ENDirect</v>
      </c>
      <c r="Z1333" s="7" t="str">
        <f>IFERROR(HLOOKUP(X1333,'Calc|Weightings'!$K$5:$M$5,1,0),"Excl")</f>
        <v>Labour</v>
      </c>
      <c r="AA1333" s="7" t="str">
        <f>VLOOKUP(Q1333,Mapping!$E$11:$I$96,5,0)</f>
        <v>SCS</v>
      </c>
      <c r="AC1333" s="111">
        <v>158</v>
      </c>
      <c r="AD1333" s="111" t="s">
        <v>2169</v>
      </c>
      <c r="AE1333" s="111">
        <v>520100</v>
      </c>
      <c r="AF1333" s="111" t="s">
        <v>2072</v>
      </c>
      <c r="AG1333" s="112">
        <v>10.063929999999999</v>
      </c>
      <c r="AI1333" s="7" t="str">
        <f>VLOOKUP($AC1333,Mapping!$E$11:$I$96,3,0)</f>
        <v>Replacement</v>
      </c>
      <c r="AJ1333" s="7" t="str">
        <f>VLOOKUP($AE1333,Mapping!$E$140:$K$2771,5,0)</f>
        <v>Materials</v>
      </c>
      <c r="AK1333" s="7" t="str">
        <f>VLOOKUP($AE1333,Mapping!$E$140:$K$2771,7,0)</f>
        <v>ENDirect</v>
      </c>
      <c r="AL1333" s="7" t="str">
        <f>IFERROR(HLOOKUP(AJ1333,'Calc|Weightings'!$K$5:$M$5,1,0),"Excl")</f>
        <v>Materials</v>
      </c>
      <c r="AM1333" s="7" t="str">
        <f>VLOOKUP(AC1333,Mapping!$E$11:$I$96,5,0)</f>
        <v>SCS</v>
      </c>
      <c r="AO1333" s="134">
        <v>161</v>
      </c>
      <c r="AP1333" s="135" t="s">
        <v>2171</v>
      </c>
      <c r="AQ1333" s="135">
        <v>613567</v>
      </c>
      <c r="AR1333" s="135" t="s">
        <v>1483</v>
      </c>
      <c r="AS1333" s="136">
        <v>0.10634</v>
      </c>
      <c r="AU1333" s="7" t="str">
        <f>VLOOKUP($AO1333,Mapping!$E$11:$I$96,3,0)</f>
        <v>Augmentation</v>
      </c>
      <c r="AV1333" s="7" t="str">
        <f>VLOOKUP($AQ1333,Mapping!$E$140:$K$2771,5,0)</f>
        <v>Labour</v>
      </c>
      <c r="AW1333" s="7" t="str">
        <f>VLOOKUP($AQ1333,Mapping!$E$140:$K$2771,7,0)</f>
        <v>ENDirect</v>
      </c>
      <c r="AX1333" s="7" t="str">
        <f>IFERROR(HLOOKUP(AV1333,'Calc|Weightings'!$K$5:$M$5,1,0),"Excl")</f>
        <v>Labour</v>
      </c>
      <c r="AY1333" s="7" t="str">
        <f>VLOOKUP(AO1333,Mapping!$E$11:$I$96,5,0)</f>
        <v>SCS</v>
      </c>
    </row>
    <row r="1334" spans="1:51" x14ac:dyDescent="0.2">
      <c r="A1334" s="7"/>
      <c r="B1334" s="7"/>
      <c r="C1334" s="7"/>
      <c r="D1334" s="7"/>
      <c r="E1334" s="36">
        <v>148</v>
      </c>
      <c r="F1334" s="36" t="s">
        <v>2158</v>
      </c>
      <c r="G1334" s="36">
        <v>613258</v>
      </c>
      <c r="H1334" s="36" t="s">
        <v>2356</v>
      </c>
      <c r="I1334" s="37">
        <v>69.909149999999997</v>
      </c>
      <c r="J1334" s="7"/>
      <c r="K1334" s="7" t="str">
        <f>VLOOKUP($E1334,Mapping!$E$11:$I$96,3,0)</f>
        <v>Replacement</v>
      </c>
      <c r="L1334" s="7" t="str">
        <f>VLOOKUP($G1334,Mapping!$E$140:$K$2771,5,0)</f>
        <v>Labour</v>
      </c>
      <c r="M1334" s="7" t="str">
        <f>VLOOKUP($G1334,Mapping!$E$140:$K$2771,7,0)</f>
        <v>ENDirect</v>
      </c>
      <c r="N1334" s="7" t="str">
        <f>IFERROR(HLOOKUP(L1334,'Calc|Weightings'!$K$5:$M$5,1,0),"Excl")</f>
        <v>Labour</v>
      </c>
      <c r="O1334" s="7" t="str">
        <f>VLOOKUP(E1334,Mapping!$E$11:$I$96,5,0)</f>
        <v>SCS</v>
      </c>
      <c r="Q1334" s="33">
        <v>157</v>
      </c>
      <c r="R1334" s="33" t="s">
        <v>2166</v>
      </c>
      <c r="S1334" s="33">
        <v>613567</v>
      </c>
      <c r="T1334" s="33" t="s">
        <v>1483</v>
      </c>
      <c r="U1334" s="34">
        <v>0.10458000000000001</v>
      </c>
      <c r="V1334" s="7"/>
      <c r="W1334" s="7" t="str">
        <f>VLOOKUP($Q1334,Mapping!$E$11:$I$96,3,0)</f>
        <v>Replacement</v>
      </c>
      <c r="X1334" s="7" t="str">
        <f>VLOOKUP($S1334,Mapping!$E$140:$K$2771,5,0)</f>
        <v>Labour</v>
      </c>
      <c r="Y1334" s="7" t="str">
        <f>VLOOKUP($S1334,Mapping!$E$140:$K$2771,7,0)</f>
        <v>ENDirect</v>
      </c>
      <c r="Z1334" s="7" t="str">
        <f>IFERROR(HLOOKUP(X1334,'Calc|Weightings'!$K$5:$M$5,1,0),"Excl")</f>
        <v>Labour</v>
      </c>
      <c r="AA1334" s="7" t="str">
        <f>VLOOKUP(Q1334,Mapping!$E$11:$I$96,5,0)</f>
        <v>SCS</v>
      </c>
      <c r="AC1334" s="111">
        <v>158</v>
      </c>
      <c r="AD1334" s="111" t="s">
        <v>2169</v>
      </c>
      <c r="AE1334" s="111">
        <v>523100</v>
      </c>
      <c r="AF1334" s="111" t="s">
        <v>2074</v>
      </c>
      <c r="AG1334" s="112">
        <v>3.1E-2</v>
      </c>
      <c r="AI1334" s="7" t="str">
        <f>VLOOKUP($AC1334,Mapping!$E$11:$I$96,3,0)</f>
        <v>Replacement</v>
      </c>
      <c r="AJ1334" s="7" t="str">
        <f>VLOOKUP($AE1334,Mapping!$E$140:$K$2771,5,0)</f>
        <v>Materials</v>
      </c>
      <c r="AK1334" s="7" t="str">
        <f>VLOOKUP($AE1334,Mapping!$E$140:$K$2771,7,0)</f>
        <v>ENDirect</v>
      </c>
      <c r="AL1334" s="7" t="str">
        <f>IFERROR(HLOOKUP(AJ1334,'Calc|Weightings'!$K$5:$M$5,1,0),"Excl")</f>
        <v>Materials</v>
      </c>
      <c r="AM1334" s="7" t="str">
        <f>VLOOKUP(AC1334,Mapping!$E$11:$I$96,5,0)</f>
        <v>SCS</v>
      </c>
      <c r="AO1334" s="134">
        <v>161</v>
      </c>
      <c r="AP1334" s="135" t="s">
        <v>2171</v>
      </c>
      <c r="AQ1334" s="135">
        <v>613570</v>
      </c>
      <c r="AR1334" s="135" t="s">
        <v>1484</v>
      </c>
      <c r="AS1334" s="136">
        <v>9.4769999999999993E-2</v>
      </c>
      <c r="AU1334" s="7" t="str">
        <f>VLOOKUP($AO1334,Mapping!$E$11:$I$96,3,0)</f>
        <v>Augmentation</v>
      </c>
      <c r="AV1334" s="7" t="str">
        <f>VLOOKUP($AQ1334,Mapping!$E$140:$K$2771,5,0)</f>
        <v>Labour</v>
      </c>
      <c r="AW1334" s="7" t="str">
        <f>VLOOKUP($AQ1334,Mapping!$E$140:$K$2771,7,0)</f>
        <v>ENDirect</v>
      </c>
      <c r="AX1334" s="7" t="str">
        <f>IFERROR(HLOOKUP(AV1334,'Calc|Weightings'!$K$5:$M$5,1,0),"Excl")</f>
        <v>Labour</v>
      </c>
      <c r="AY1334" s="7" t="str">
        <f>VLOOKUP(AO1334,Mapping!$E$11:$I$96,5,0)</f>
        <v>SCS</v>
      </c>
    </row>
    <row r="1335" spans="1:51" x14ac:dyDescent="0.2">
      <c r="A1335" s="7"/>
      <c r="B1335" s="7"/>
      <c r="C1335" s="7"/>
      <c r="D1335" s="7"/>
      <c r="E1335" s="36">
        <v>148</v>
      </c>
      <c r="F1335" s="36" t="s">
        <v>2158</v>
      </c>
      <c r="G1335" s="36">
        <v>613259</v>
      </c>
      <c r="H1335" s="36" t="s">
        <v>2359</v>
      </c>
      <c r="I1335" s="37">
        <v>28.698329999999999</v>
      </c>
      <c r="J1335" s="7"/>
      <c r="K1335" s="7" t="str">
        <f>VLOOKUP($E1335,Mapping!$E$11:$I$96,3,0)</f>
        <v>Replacement</v>
      </c>
      <c r="L1335" s="7" t="str">
        <f>VLOOKUP($G1335,Mapping!$E$140:$K$2771,5,0)</f>
        <v>Labour</v>
      </c>
      <c r="M1335" s="7" t="str">
        <f>VLOOKUP($G1335,Mapping!$E$140:$K$2771,7,0)</f>
        <v>ENDirect</v>
      </c>
      <c r="N1335" s="7" t="str">
        <f>IFERROR(HLOOKUP(L1335,'Calc|Weightings'!$K$5:$M$5,1,0),"Excl")</f>
        <v>Labour</v>
      </c>
      <c r="O1335" s="7" t="str">
        <f>VLOOKUP(E1335,Mapping!$E$11:$I$96,5,0)</f>
        <v>SCS</v>
      </c>
      <c r="Q1335" s="33">
        <v>157</v>
      </c>
      <c r="R1335" s="33" t="s">
        <v>2166</v>
      </c>
      <c r="S1335" s="33">
        <v>613576</v>
      </c>
      <c r="T1335" s="33" t="s">
        <v>1490</v>
      </c>
      <c r="U1335" s="34">
        <v>24.237760000000002</v>
      </c>
      <c r="V1335" s="7"/>
      <c r="W1335" s="7" t="str">
        <f>VLOOKUP($Q1335,Mapping!$E$11:$I$96,3,0)</f>
        <v>Replacement</v>
      </c>
      <c r="X1335" s="7" t="str">
        <f>VLOOKUP($S1335,Mapping!$E$140:$K$2771,5,0)</f>
        <v>Labour</v>
      </c>
      <c r="Y1335" s="7" t="str">
        <f>VLOOKUP($S1335,Mapping!$E$140:$K$2771,7,0)</f>
        <v>ENDirect</v>
      </c>
      <c r="Z1335" s="7" t="str">
        <f>IFERROR(HLOOKUP(X1335,'Calc|Weightings'!$K$5:$M$5,1,0),"Excl")</f>
        <v>Labour</v>
      </c>
      <c r="AA1335" s="7" t="str">
        <f>VLOOKUP(Q1335,Mapping!$E$11:$I$96,5,0)</f>
        <v>SCS</v>
      </c>
      <c r="AC1335" s="111">
        <v>158</v>
      </c>
      <c r="AD1335" s="111" t="s">
        <v>2169</v>
      </c>
      <c r="AE1335" s="111">
        <v>531467</v>
      </c>
      <c r="AF1335" s="111" t="s">
        <v>259</v>
      </c>
      <c r="AG1335" s="112">
        <v>2.64073</v>
      </c>
      <c r="AI1335" s="7" t="str">
        <f>VLOOKUP($AC1335,Mapping!$E$11:$I$96,3,0)</f>
        <v>Replacement</v>
      </c>
      <c r="AJ1335" s="7" t="str">
        <f>VLOOKUP($AE1335,Mapping!$E$140:$K$2771,5,0)</f>
        <v>Contracts</v>
      </c>
      <c r="AK1335" s="7" t="str">
        <f>VLOOKUP($AE1335,Mapping!$E$140:$K$2771,7,0)</f>
        <v>ENDirect</v>
      </c>
      <c r="AL1335" s="7" t="str">
        <f>IFERROR(HLOOKUP(AJ1335,'Calc|Weightings'!$K$5:$M$5,1,0),"Excl")</f>
        <v>Contracts</v>
      </c>
      <c r="AM1335" s="7" t="str">
        <f>VLOOKUP(AC1335,Mapping!$E$11:$I$96,5,0)</f>
        <v>SCS</v>
      </c>
      <c r="AO1335" s="134">
        <v>161</v>
      </c>
      <c r="AP1335" s="135" t="s">
        <v>2171</v>
      </c>
      <c r="AQ1335" s="135">
        <v>613574</v>
      </c>
      <c r="AR1335" s="135" t="s">
        <v>1488</v>
      </c>
      <c r="AS1335" s="136">
        <v>1.33266</v>
      </c>
      <c r="AU1335" s="7" t="str">
        <f>VLOOKUP($AO1335,Mapping!$E$11:$I$96,3,0)</f>
        <v>Augmentation</v>
      </c>
      <c r="AV1335" s="7" t="str">
        <f>VLOOKUP($AQ1335,Mapping!$E$140:$K$2771,5,0)</f>
        <v>Labour</v>
      </c>
      <c r="AW1335" s="7" t="str">
        <f>VLOOKUP($AQ1335,Mapping!$E$140:$K$2771,7,0)</f>
        <v>ENDirect</v>
      </c>
      <c r="AX1335" s="7" t="str">
        <f>IFERROR(HLOOKUP(AV1335,'Calc|Weightings'!$K$5:$M$5,1,0),"Excl")</f>
        <v>Labour</v>
      </c>
      <c r="AY1335" s="7" t="str">
        <f>VLOOKUP(AO1335,Mapping!$E$11:$I$96,5,0)</f>
        <v>SCS</v>
      </c>
    </row>
    <row r="1336" spans="1:51" x14ac:dyDescent="0.2">
      <c r="A1336" s="7"/>
      <c r="B1336" s="7"/>
      <c r="C1336" s="7"/>
      <c r="D1336" s="7"/>
      <c r="E1336" s="36">
        <v>148</v>
      </c>
      <c r="F1336" s="36" t="s">
        <v>2158</v>
      </c>
      <c r="G1336" s="36">
        <v>613268</v>
      </c>
      <c r="H1336" s="36" t="s">
        <v>1335</v>
      </c>
      <c r="I1336" s="37">
        <v>2.5958199999999998</v>
      </c>
      <c r="J1336" s="7"/>
      <c r="K1336" s="7" t="str">
        <f>VLOOKUP($E1336,Mapping!$E$11:$I$96,3,0)</f>
        <v>Replacement</v>
      </c>
      <c r="L1336" s="7" t="str">
        <f>VLOOKUP($G1336,Mapping!$E$140:$K$2771,5,0)</f>
        <v>Labour</v>
      </c>
      <c r="M1336" s="7" t="str">
        <f>VLOOKUP($G1336,Mapping!$E$140:$K$2771,7,0)</f>
        <v>ENDirect</v>
      </c>
      <c r="N1336" s="7" t="str">
        <f>IFERROR(HLOOKUP(L1336,'Calc|Weightings'!$K$5:$M$5,1,0),"Excl")</f>
        <v>Labour</v>
      </c>
      <c r="O1336" s="7" t="str">
        <f>VLOOKUP(E1336,Mapping!$E$11:$I$96,5,0)</f>
        <v>SCS</v>
      </c>
      <c r="Q1336" s="33">
        <v>157</v>
      </c>
      <c r="R1336" s="33" t="s">
        <v>2166</v>
      </c>
      <c r="S1336" s="33">
        <v>613577</v>
      </c>
      <c r="T1336" s="33" t="s">
        <v>1491</v>
      </c>
      <c r="U1336" s="34">
        <v>0.98734999999999995</v>
      </c>
      <c r="V1336" s="7"/>
      <c r="W1336" s="7" t="str">
        <f>VLOOKUP($Q1336,Mapping!$E$11:$I$96,3,0)</f>
        <v>Replacement</v>
      </c>
      <c r="X1336" s="7" t="str">
        <f>VLOOKUP($S1336,Mapping!$E$140:$K$2771,5,0)</f>
        <v>Labour</v>
      </c>
      <c r="Y1336" s="7" t="str">
        <f>VLOOKUP($S1336,Mapping!$E$140:$K$2771,7,0)</f>
        <v>ENDirect</v>
      </c>
      <c r="Z1336" s="7" t="str">
        <f>IFERROR(HLOOKUP(X1336,'Calc|Weightings'!$K$5:$M$5,1,0),"Excl")</f>
        <v>Labour</v>
      </c>
      <c r="AA1336" s="7" t="str">
        <f>VLOOKUP(Q1336,Mapping!$E$11:$I$96,5,0)</f>
        <v>SCS</v>
      </c>
      <c r="AC1336" s="111">
        <v>158</v>
      </c>
      <c r="AD1336" s="111" t="s">
        <v>2169</v>
      </c>
      <c r="AE1336" s="111">
        <v>531468</v>
      </c>
      <c r="AF1336" s="111" t="s">
        <v>260</v>
      </c>
      <c r="AG1336" s="112">
        <v>3.4769999999999999</v>
      </c>
      <c r="AI1336" s="7" t="str">
        <f>VLOOKUP($AC1336,Mapping!$E$11:$I$96,3,0)</f>
        <v>Replacement</v>
      </c>
      <c r="AJ1336" s="7" t="str">
        <f>VLOOKUP($AE1336,Mapping!$E$140:$K$2771,5,0)</f>
        <v>Contracts</v>
      </c>
      <c r="AK1336" s="7" t="str">
        <f>VLOOKUP($AE1336,Mapping!$E$140:$K$2771,7,0)</f>
        <v>ENDirect</v>
      </c>
      <c r="AL1336" s="7" t="str">
        <f>IFERROR(HLOOKUP(AJ1336,'Calc|Weightings'!$K$5:$M$5,1,0),"Excl")</f>
        <v>Contracts</v>
      </c>
      <c r="AM1336" s="7" t="str">
        <f>VLOOKUP(AC1336,Mapping!$E$11:$I$96,5,0)</f>
        <v>SCS</v>
      </c>
      <c r="AO1336" s="134">
        <v>161</v>
      </c>
      <c r="AP1336" s="135" t="s">
        <v>2171</v>
      </c>
      <c r="AQ1336" s="135">
        <v>613575</v>
      </c>
      <c r="AR1336" s="135" t="s">
        <v>1489</v>
      </c>
      <c r="AS1336" s="136">
        <v>0.34218999999999999</v>
      </c>
      <c r="AU1336" s="7" t="str">
        <f>VLOOKUP($AO1336,Mapping!$E$11:$I$96,3,0)</f>
        <v>Augmentation</v>
      </c>
      <c r="AV1336" s="7" t="str">
        <f>VLOOKUP($AQ1336,Mapping!$E$140:$K$2771,5,0)</f>
        <v>Labour</v>
      </c>
      <c r="AW1336" s="7" t="str">
        <f>VLOOKUP($AQ1336,Mapping!$E$140:$K$2771,7,0)</f>
        <v>ENDirect</v>
      </c>
      <c r="AX1336" s="7" t="str">
        <f>IFERROR(HLOOKUP(AV1336,'Calc|Weightings'!$K$5:$M$5,1,0),"Excl")</f>
        <v>Labour</v>
      </c>
      <c r="AY1336" s="7" t="str">
        <f>VLOOKUP(AO1336,Mapping!$E$11:$I$96,5,0)</f>
        <v>SCS</v>
      </c>
    </row>
    <row r="1337" spans="1:51" x14ac:dyDescent="0.2">
      <c r="A1337" s="7"/>
      <c r="B1337" s="7"/>
      <c r="C1337" s="7"/>
      <c r="D1337" s="7"/>
      <c r="E1337" s="36">
        <v>148</v>
      </c>
      <c r="F1337" s="36" t="s">
        <v>2158</v>
      </c>
      <c r="G1337" s="36">
        <v>613270</v>
      </c>
      <c r="H1337" s="36" t="s">
        <v>2092</v>
      </c>
      <c r="I1337" s="37">
        <v>2.0298600000000002</v>
      </c>
      <c r="J1337" s="7"/>
      <c r="K1337" s="7" t="str">
        <f>VLOOKUP($E1337,Mapping!$E$11:$I$96,3,0)</f>
        <v>Replacement</v>
      </c>
      <c r="L1337" s="7" t="str">
        <f>VLOOKUP($G1337,Mapping!$E$140:$K$2771,5,0)</f>
        <v>Labour</v>
      </c>
      <c r="M1337" s="7" t="str">
        <f>VLOOKUP($G1337,Mapping!$E$140:$K$2771,7,0)</f>
        <v>ENDirect</v>
      </c>
      <c r="N1337" s="7" t="str">
        <f>IFERROR(HLOOKUP(L1337,'Calc|Weightings'!$K$5:$M$5,1,0),"Excl")</f>
        <v>Labour</v>
      </c>
      <c r="O1337" s="7" t="str">
        <f>VLOOKUP(E1337,Mapping!$E$11:$I$96,5,0)</f>
        <v>SCS</v>
      </c>
      <c r="Q1337" s="33">
        <v>157</v>
      </c>
      <c r="R1337" s="33" t="s">
        <v>2166</v>
      </c>
      <c r="S1337" s="33">
        <v>613602</v>
      </c>
      <c r="T1337" s="33" t="s">
        <v>1494</v>
      </c>
      <c r="U1337" s="34">
        <v>26.791720000000002</v>
      </c>
      <c r="V1337" s="7"/>
      <c r="W1337" s="7" t="str">
        <f>VLOOKUP($Q1337,Mapping!$E$11:$I$96,3,0)</f>
        <v>Replacement</v>
      </c>
      <c r="X1337" s="7" t="str">
        <f>VLOOKUP($S1337,Mapping!$E$140:$K$2771,5,0)</f>
        <v>Labour</v>
      </c>
      <c r="Y1337" s="7" t="str">
        <f>VLOOKUP($S1337,Mapping!$E$140:$K$2771,7,0)</f>
        <v>ENDirect</v>
      </c>
      <c r="Z1337" s="7" t="str">
        <f>IFERROR(HLOOKUP(X1337,'Calc|Weightings'!$K$5:$M$5,1,0),"Excl")</f>
        <v>Labour</v>
      </c>
      <c r="AA1337" s="7" t="str">
        <f>VLOOKUP(Q1337,Mapping!$E$11:$I$96,5,0)</f>
        <v>SCS</v>
      </c>
      <c r="AC1337" s="111">
        <v>158</v>
      </c>
      <c r="AD1337" s="111" t="s">
        <v>2169</v>
      </c>
      <c r="AE1337" s="111">
        <v>532100</v>
      </c>
      <c r="AF1337" s="111" t="s">
        <v>286</v>
      </c>
      <c r="AG1337" s="112">
        <v>3.1775000000000002</v>
      </c>
      <c r="AI1337" s="7" t="str">
        <f>VLOOKUP($AC1337,Mapping!$E$11:$I$96,3,0)</f>
        <v>Replacement</v>
      </c>
      <c r="AJ1337" s="7" t="str">
        <f>VLOOKUP($AE1337,Mapping!$E$140:$K$2771,5,0)</f>
        <v>Contracts</v>
      </c>
      <c r="AK1337" s="7" t="str">
        <f>VLOOKUP($AE1337,Mapping!$E$140:$K$2771,7,0)</f>
        <v>ENDirect</v>
      </c>
      <c r="AL1337" s="7" t="str">
        <f>IFERROR(HLOOKUP(AJ1337,'Calc|Weightings'!$K$5:$M$5,1,0),"Excl")</f>
        <v>Contracts</v>
      </c>
      <c r="AM1337" s="7" t="str">
        <f>VLOOKUP(AC1337,Mapping!$E$11:$I$96,5,0)</f>
        <v>SCS</v>
      </c>
      <c r="AO1337" s="134">
        <v>161</v>
      </c>
      <c r="AP1337" s="135" t="s">
        <v>2171</v>
      </c>
      <c r="AQ1337" s="135">
        <v>613576</v>
      </c>
      <c r="AR1337" s="135" t="s">
        <v>1490</v>
      </c>
      <c r="AS1337" s="136">
        <v>14.21064</v>
      </c>
      <c r="AU1337" s="7" t="str">
        <f>VLOOKUP($AO1337,Mapping!$E$11:$I$96,3,0)</f>
        <v>Augmentation</v>
      </c>
      <c r="AV1337" s="7" t="str">
        <f>VLOOKUP($AQ1337,Mapping!$E$140:$K$2771,5,0)</f>
        <v>Labour</v>
      </c>
      <c r="AW1337" s="7" t="str">
        <f>VLOOKUP($AQ1337,Mapping!$E$140:$K$2771,7,0)</f>
        <v>ENDirect</v>
      </c>
      <c r="AX1337" s="7" t="str">
        <f>IFERROR(HLOOKUP(AV1337,'Calc|Weightings'!$K$5:$M$5,1,0),"Excl")</f>
        <v>Labour</v>
      </c>
      <c r="AY1337" s="7" t="str">
        <f>VLOOKUP(AO1337,Mapping!$E$11:$I$96,5,0)</f>
        <v>SCS</v>
      </c>
    </row>
    <row r="1338" spans="1:51" x14ac:dyDescent="0.2">
      <c r="A1338" s="7"/>
      <c r="B1338" s="7"/>
      <c r="C1338" s="7"/>
      <c r="D1338" s="7"/>
      <c r="E1338" s="36">
        <v>148</v>
      </c>
      <c r="F1338" s="36" t="s">
        <v>2158</v>
      </c>
      <c r="G1338" s="36">
        <v>613271</v>
      </c>
      <c r="H1338" s="36" t="s">
        <v>2150</v>
      </c>
      <c r="I1338" s="37">
        <v>3.4997600000000002</v>
      </c>
      <c r="J1338" s="7"/>
      <c r="K1338" s="7" t="str">
        <f>VLOOKUP($E1338,Mapping!$E$11:$I$96,3,0)</f>
        <v>Replacement</v>
      </c>
      <c r="L1338" s="7" t="str">
        <f>VLOOKUP($G1338,Mapping!$E$140:$K$2771,5,0)</f>
        <v>Labour</v>
      </c>
      <c r="M1338" s="7" t="str">
        <f>VLOOKUP($G1338,Mapping!$E$140:$K$2771,7,0)</f>
        <v>ENDirect</v>
      </c>
      <c r="N1338" s="7" t="str">
        <f>IFERROR(HLOOKUP(L1338,'Calc|Weightings'!$K$5:$M$5,1,0),"Excl")</f>
        <v>Labour</v>
      </c>
      <c r="O1338" s="7" t="str">
        <f>VLOOKUP(E1338,Mapping!$E$11:$I$96,5,0)</f>
        <v>SCS</v>
      </c>
      <c r="Q1338" s="33">
        <v>157</v>
      </c>
      <c r="R1338" s="33" t="s">
        <v>2166</v>
      </c>
      <c r="S1338" s="33">
        <v>613630</v>
      </c>
      <c r="T1338" s="33" t="s">
        <v>1498</v>
      </c>
      <c r="U1338" s="34">
        <v>1.84582</v>
      </c>
      <c r="V1338" s="7"/>
      <c r="W1338" s="7" t="str">
        <f>VLOOKUP($Q1338,Mapping!$E$11:$I$96,3,0)</f>
        <v>Replacement</v>
      </c>
      <c r="X1338" s="7" t="str">
        <f>VLOOKUP($S1338,Mapping!$E$140:$K$2771,5,0)</f>
        <v>Labour</v>
      </c>
      <c r="Y1338" s="7" t="str">
        <f>VLOOKUP($S1338,Mapping!$E$140:$K$2771,7,0)</f>
        <v>ENDirect</v>
      </c>
      <c r="Z1338" s="7" t="str">
        <f>IFERROR(HLOOKUP(X1338,'Calc|Weightings'!$K$5:$M$5,1,0),"Excl")</f>
        <v>Labour</v>
      </c>
      <c r="AA1338" s="7" t="str">
        <f>VLOOKUP(Q1338,Mapping!$E$11:$I$96,5,0)</f>
        <v>SCS</v>
      </c>
      <c r="AC1338" s="111">
        <v>158</v>
      </c>
      <c r="AD1338" s="111" t="s">
        <v>2169</v>
      </c>
      <c r="AE1338" s="111">
        <v>591999</v>
      </c>
      <c r="AF1338" s="111" t="s">
        <v>2195</v>
      </c>
      <c r="AG1338" s="112">
        <v>-0.74182999999999999</v>
      </c>
      <c r="AI1338" s="7" t="str">
        <f>VLOOKUP($AC1338,Mapping!$E$11:$I$96,3,0)</f>
        <v>Replacement</v>
      </c>
      <c r="AJ1338" s="7" t="str">
        <f>VLOOKUP($AE1338,Mapping!$E$140:$K$2771,5,0)</f>
        <v>Contracts</v>
      </c>
      <c r="AK1338" s="7" t="str">
        <f>VLOOKUP($AE1338,Mapping!$E$140:$K$2771,7,0)</f>
        <v>ENDirect</v>
      </c>
      <c r="AL1338" s="7" t="str">
        <f>IFERROR(HLOOKUP(AJ1338,'Calc|Weightings'!$K$5:$M$5,1,0),"Excl")</f>
        <v>Contracts</v>
      </c>
      <c r="AM1338" s="7" t="str">
        <f>VLOOKUP(AC1338,Mapping!$E$11:$I$96,5,0)</f>
        <v>SCS</v>
      </c>
      <c r="AO1338" s="134">
        <v>161</v>
      </c>
      <c r="AP1338" s="135" t="s">
        <v>2171</v>
      </c>
      <c r="AQ1338" s="135">
        <v>613630</v>
      </c>
      <c r="AR1338" s="135" t="s">
        <v>1498</v>
      </c>
      <c r="AS1338" s="136">
        <v>51.068289999999998</v>
      </c>
      <c r="AU1338" s="7" t="str">
        <f>VLOOKUP($AO1338,Mapping!$E$11:$I$96,3,0)</f>
        <v>Augmentation</v>
      </c>
      <c r="AV1338" s="7" t="str">
        <f>VLOOKUP($AQ1338,Mapping!$E$140:$K$2771,5,0)</f>
        <v>Labour</v>
      </c>
      <c r="AW1338" s="7" t="str">
        <f>VLOOKUP($AQ1338,Mapping!$E$140:$K$2771,7,0)</f>
        <v>ENDirect</v>
      </c>
      <c r="AX1338" s="7" t="str">
        <f>IFERROR(HLOOKUP(AV1338,'Calc|Weightings'!$K$5:$M$5,1,0),"Excl")</f>
        <v>Labour</v>
      </c>
      <c r="AY1338" s="7" t="str">
        <f>VLOOKUP(AO1338,Mapping!$E$11:$I$96,5,0)</f>
        <v>SCS</v>
      </c>
    </row>
    <row r="1339" spans="1:51" x14ac:dyDescent="0.2">
      <c r="A1339" s="7"/>
      <c r="B1339" s="7"/>
      <c r="C1339" s="7"/>
      <c r="D1339" s="7"/>
      <c r="E1339" s="36">
        <v>148</v>
      </c>
      <c r="F1339" s="36" t="s">
        <v>2158</v>
      </c>
      <c r="G1339" s="36">
        <v>613278</v>
      </c>
      <c r="H1339" s="36" t="s">
        <v>2357</v>
      </c>
      <c r="I1339" s="37">
        <v>24.734848061653494</v>
      </c>
      <c r="J1339" s="7"/>
      <c r="K1339" s="7" t="str">
        <f>VLOOKUP($E1339,Mapping!$E$11:$I$96,3,0)</f>
        <v>Replacement</v>
      </c>
      <c r="L1339" s="7" t="str">
        <f>VLOOKUP($G1339,Mapping!$E$140:$K$2771,5,0)</f>
        <v>Labour</v>
      </c>
      <c r="M1339" s="7" t="str">
        <f>VLOOKUP($G1339,Mapping!$E$140:$K$2771,7,0)</f>
        <v>ENDirect</v>
      </c>
      <c r="N1339" s="7" t="str">
        <f>IFERROR(HLOOKUP(L1339,'Calc|Weightings'!$K$5:$M$5,1,0),"Excl")</f>
        <v>Labour</v>
      </c>
      <c r="O1339" s="7" t="str">
        <f>VLOOKUP(E1339,Mapping!$E$11:$I$96,5,0)</f>
        <v>SCS</v>
      </c>
      <c r="Q1339" s="33">
        <v>157</v>
      </c>
      <c r="R1339" s="33" t="s">
        <v>2166</v>
      </c>
      <c r="S1339" s="33">
        <v>613680</v>
      </c>
      <c r="T1339" s="33" t="s">
        <v>2107</v>
      </c>
      <c r="U1339" s="34">
        <v>23.97531</v>
      </c>
      <c r="V1339" s="7"/>
      <c r="W1339" s="7" t="str">
        <f>VLOOKUP($Q1339,Mapping!$E$11:$I$96,3,0)</f>
        <v>Replacement</v>
      </c>
      <c r="X1339" s="7" t="str">
        <f>VLOOKUP($S1339,Mapping!$E$140:$K$2771,5,0)</f>
        <v>Labour</v>
      </c>
      <c r="Y1339" s="7" t="str">
        <f>VLOOKUP($S1339,Mapping!$E$140:$K$2771,7,0)</f>
        <v>ENDirect</v>
      </c>
      <c r="Z1339" s="7" t="str">
        <f>IFERROR(HLOOKUP(X1339,'Calc|Weightings'!$K$5:$M$5,1,0),"Excl")</f>
        <v>Labour</v>
      </c>
      <c r="AA1339" s="7" t="str">
        <f>VLOOKUP(Q1339,Mapping!$E$11:$I$96,5,0)</f>
        <v>SCS</v>
      </c>
      <c r="AC1339" s="111">
        <v>158</v>
      </c>
      <c r="AD1339" s="111" t="s">
        <v>2169</v>
      </c>
      <c r="AE1339" s="111">
        <v>611900</v>
      </c>
      <c r="AF1339" s="111" t="s">
        <v>2079</v>
      </c>
      <c r="AG1339" s="112">
        <v>0.53661000000000003</v>
      </c>
      <c r="AI1339" s="7" t="str">
        <f>VLOOKUP($AC1339,Mapping!$E$11:$I$96,3,0)</f>
        <v>Replacement</v>
      </c>
      <c r="AJ1339" s="7" t="str">
        <f>VLOOKUP($AE1339,Mapping!$E$140:$K$2771,5,0)</f>
        <v>Contracts</v>
      </c>
      <c r="AK1339" s="7" t="str">
        <f>VLOOKUP($AE1339,Mapping!$E$140:$K$2771,7,0)</f>
        <v>ENDirect</v>
      </c>
      <c r="AL1339" s="7" t="str">
        <f>IFERROR(HLOOKUP(AJ1339,'Calc|Weightings'!$K$5:$M$5,1,0),"Excl")</f>
        <v>Contracts</v>
      </c>
      <c r="AM1339" s="7" t="str">
        <f>VLOOKUP(AC1339,Mapping!$E$11:$I$96,5,0)</f>
        <v>SCS</v>
      </c>
      <c r="AO1339" s="134">
        <v>161</v>
      </c>
      <c r="AP1339" s="135" t="s">
        <v>2171</v>
      </c>
      <c r="AQ1339" s="135">
        <v>613680</v>
      </c>
      <c r="AR1339" s="135" t="s">
        <v>2107</v>
      </c>
      <c r="AS1339" s="136">
        <v>54.529949999999999</v>
      </c>
      <c r="AU1339" s="7" t="str">
        <f>VLOOKUP($AO1339,Mapping!$E$11:$I$96,3,0)</f>
        <v>Augmentation</v>
      </c>
      <c r="AV1339" s="7" t="str">
        <f>VLOOKUP($AQ1339,Mapping!$E$140:$K$2771,5,0)</f>
        <v>Labour</v>
      </c>
      <c r="AW1339" s="7" t="str">
        <f>VLOOKUP($AQ1339,Mapping!$E$140:$K$2771,7,0)</f>
        <v>ENDirect</v>
      </c>
      <c r="AX1339" s="7" t="str">
        <f>IFERROR(HLOOKUP(AV1339,'Calc|Weightings'!$K$5:$M$5,1,0),"Excl")</f>
        <v>Labour</v>
      </c>
      <c r="AY1339" s="7" t="str">
        <f>VLOOKUP(AO1339,Mapping!$E$11:$I$96,5,0)</f>
        <v>SCS</v>
      </c>
    </row>
    <row r="1340" spans="1:51" x14ac:dyDescent="0.2">
      <c r="A1340" s="7"/>
      <c r="B1340" s="7"/>
      <c r="C1340" s="7"/>
      <c r="D1340" s="7"/>
      <c r="E1340" s="36">
        <v>148</v>
      </c>
      <c r="F1340" s="36" t="s">
        <v>2158</v>
      </c>
      <c r="G1340" s="36">
        <v>613279</v>
      </c>
      <c r="H1340" s="36" t="s">
        <v>2360</v>
      </c>
      <c r="I1340" s="37">
        <v>25.892579999999999</v>
      </c>
      <c r="J1340" s="7"/>
      <c r="K1340" s="7" t="str">
        <f>VLOOKUP($E1340,Mapping!$E$11:$I$96,3,0)</f>
        <v>Replacement</v>
      </c>
      <c r="L1340" s="7" t="str">
        <f>VLOOKUP($G1340,Mapping!$E$140:$K$2771,5,0)</f>
        <v>Labour</v>
      </c>
      <c r="M1340" s="7" t="str">
        <f>VLOOKUP($G1340,Mapping!$E$140:$K$2771,7,0)</f>
        <v>ENDirect</v>
      </c>
      <c r="N1340" s="7" t="str">
        <f>IFERROR(HLOOKUP(L1340,'Calc|Weightings'!$K$5:$M$5,1,0),"Excl")</f>
        <v>Labour</v>
      </c>
      <c r="O1340" s="7" t="str">
        <f>VLOOKUP(E1340,Mapping!$E$11:$I$96,5,0)</f>
        <v>SCS</v>
      </c>
      <c r="Q1340" s="33">
        <v>157</v>
      </c>
      <c r="R1340" s="33" t="s">
        <v>2166</v>
      </c>
      <c r="S1340" s="33">
        <v>615375</v>
      </c>
      <c r="T1340" s="33" t="s">
        <v>1717</v>
      </c>
      <c r="U1340" s="34">
        <v>0.111</v>
      </c>
      <c r="V1340" s="7"/>
      <c r="W1340" s="7" t="str">
        <f>VLOOKUP($Q1340,Mapping!$E$11:$I$96,3,0)</f>
        <v>Replacement</v>
      </c>
      <c r="X1340" s="7" t="str">
        <f>VLOOKUP($S1340,Mapping!$E$140:$K$2771,5,0)</f>
        <v>Labour</v>
      </c>
      <c r="Y1340" s="7" t="str">
        <f>VLOOKUP($S1340,Mapping!$E$140:$K$2771,7,0)</f>
        <v>ENDirect</v>
      </c>
      <c r="Z1340" s="7" t="str">
        <f>IFERROR(HLOOKUP(X1340,'Calc|Weightings'!$K$5:$M$5,1,0),"Excl")</f>
        <v>Labour</v>
      </c>
      <c r="AA1340" s="7" t="str">
        <f>VLOOKUP(Q1340,Mapping!$E$11:$I$96,5,0)</f>
        <v>SCS</v>
      </c>
      <c r="AC1340" s="111">
        <v>158</v>
      </c>
      <c r="AD1340" s="111" t="s">
        <v>2169</v>
      </c>
      <c r="AE1340" s="111">
        <v>611901</v>
      </c>
      <c r="AF1340" s="111" t="s">
        <v>2080</v>
      </c>
      <c r="AG1340" s="112">
        <v>6.5250000000000002E-2</v>
      </c>
      <c r="AI1340" s="7" t="str">
        <f>VLOOKUP($AC1340,Mapping!$E$11:$I$96,3,0)</f>
        <v>Replacement</v>
      </c>
      <c r="AJ1340" s="7" t="str">
        <f>VLOOKUP($AE1340,Mapping!$E$140:$K$2771,5,0)</f>
        <v>Contracts</v>
      </c>
      <c r="AK1340" s="7" t="str">
        <f>VLOOKUP($AE1340,Mapping!$E$140:$K$2771,7,0)</f>
        <v>ENDirect</v>
      </c>
      <c r="AL1340" s="7" t="str">
        <f>IFERROR(HLOOKUP(AJ1340,'Calc|Weightings'!$K$5:$M$5,1,0),"Excl")</f>
        <v>Contracts</v>
      </c>
      <c r="AM1340" s="7" t="str">
        <f>VLOOKUP(AC1340,Mapping!$E$11:$I$96,5,0)</f>
        <v>SCS</v>
      </c>
      <c r="AO1340" s="134">
        <v>161</v>
      </c>
      <c r="AP1340" s="135" t="s">
        <v>2171</v>
      </c>
      <c r="AQ1340" s="135">
        <v>615370</v>
      </c>
      <c r="AR1340" s="135" t="s">
        <v>2422</v>
      </c>
      <c r="AS1340" s="136">
        <v>0.44217000000000001</v>
      </c>
      <c r="AU1340" s="7" t="str">
        <f>VLOOKUP($AO1340,Mapping!$E$11:$I$96,3,0)</f>
        <v>Augmentation</v>
      </c>
      <c r="AV1340" s="7" t="str">
        <f>VLOOKUP($AQ1340,Mapping!$E$140:$K$2771,5,0)</f>
        <v>Contracts</v>
      </c>
      <c r="AW1340" s="7" t="str">
        <f>VLOOKUP($AQ1340,Mapping!$E$140:$K$2771,7,0)</f>
        <v>ENDirect</v>
      </c>
      <c r="AX1340" s="7" t="str">
        <f>IFERROR(HLOOKUP(AV1340,'Calc|Weightings'!$K$5:$M$5,1,0),"Excl")</f>
        <v>Contracts</v>
      </c>
      <c r="AY1340" s="7" t="str">
        <f>VLOOKUP(AO1340,Mapping!$E$11:$I$96,5,0)</f>
        <v>SCS</v>
      </c>
    </row>
    <row r="1341" spans="1:51" x14ac:dyDescent="0.2">
      <c r="A1341" s="7"/>
      <c r="B1341" s="7"/>
      <c r="C1341" s="7"/>
      <c r="D1341" s="7"/>
      <c r="E1341" s="36">
        <v>148</v>
      </c>
      <c r="F1341" s="36" t="s">
        <v>2158</v>
      </c>
      <c r="G1341" s="36">
        <v>613280</v>
      </c>
      <c r="H1341" s="36" t="s">
        <v>1342</v>
      </c>
      <c r="I1341" s="37">
        <v>12.690849999999999</v>
      </c>
      <c r="J1341" s="7"/>
      <c r="K1341" s="7" t="str">
        <f>VLOOKUP($E1341,Mapping!$E$11:$I$96,3,0)</f>
        <v>Replacement</v>
      </c>
      <c r="L1341" s="7" t="str">
        <f>VLOOKUP($G1341,Mapping!$E$140:$K$2771,5,0)</f>
        <v>Labour</v>
      </c>
      <c r="M1341" s="7" t="str">
        <f>VLOOKUP($G1341,Mapping!$E$140:$K$2771,7,0)</f>
        <v>ENDirect</v>
      </c>
      <c r="N1341" s="7" t="str">
        <f>IFERROR(HLOOKUP(L1341,'Calc|Weightings'!$K$5:$M$5,1,0),"Excl")</f>
        <v>Labour</v>
      </c>
      <c r="O1341" s="7" t="str">
        <f>VLOOKUP(E1341,Mapping!$E$11:$I$96,5,0)</f>
        <v>SCS</v>
      </c>
      <c r="Q1341" s="33">
        <v>157</v>
      </c>
      <c r="R1341" s="33" t="s">
        <v>2166</v>
      </c>
      <c r="S1341" s="33">
        <v>634001</v>
      </c>
      <c r="T1341" s="33" t="s">
        <v>2110</v>
      </c>
      <c r="U1341" s="34">
        <v>192.60359</v>
      </c>
      <c r="V1341" s="7"/>
      <c r="W1341" s="7" t="str">
        <f>VLOOKUP($Q1341,Mapping!$E$11:$I$96,3,0)</f>
        <v>Replacement</v>
      </c>
      <c r="X1341" s="7" t="str">
        <f>VLOOKUP($S1341,Mapping!$E$140:$K$2771,5,0)</f>
        <v>Local OH</v>
      </c>
      <c r="Y1341" s="7" t="str">
        <f>VLOOKUP($S1341,Mapping!$E$140:$K$2771,7,0)</f>
        <v>OH</v>
      </c>
      <c r="Z1341" s="7" t="str">
        <f>IFERROR(HLOOKUP(X1341,'Calc|Weightings'!$K$5:$M$5,1,0),"Excl")</f>
        <v>Excl</v>
      </c>
      <c r="AA1341" s="7" t="str">
        <f>VLOOKUP(Q1341,Mapping!$E$11:$I$96,5,0)</f>
        <v>SCS</v>
      </c>
      <c r="AC1341" s="111">
        <v>158</v>
      </c>
      <c r="AD1341" s="111" t="s">
        <v>2169</v>
      </c>
      <c r="AE1341" s="111">
        <v>612210</v>
      </c>
      <c r="AF1341" s="111" t="s">
        <v>1184</v>
      </c>
      <c r="AG1341" s="112">
        <v>0.19358</v>
      </c>
      <c r="AI1341" s="7" t="str">
        <f>VLOOKUP($AC1341,Mapping!$E$11:$I$96,3,0)</f>
        <v>Replacement</v>
      </c>
      <c r="AJ1341" s="7" t="str">
        <f>VLOOKUP($AE1341,Mapping!$E$140:$K$2771,5,0)</f>
        <v>Labour</v>
      </c>
      <c r="AK1341" s="7" t="str">
        <f>VLOOKUP($AE1341,Mapping!$E$140:$K$2771,7,0)</f>
        <v>ENDirect</v>
      </c>
      <c r="AL1341" s="7" t="str">
        <f>IFERROR(HLOOKUP(AJ1341,'Calc|Weightings'!$K$5:$M$5,1,0),"Excl")</f>
        <v>Labour</v>
      </c>
      <c r="AM1341" s="7" t="str">
        <f>VLOOKUP(AC1341,Mapping!$E$11:$I$96,5,0)</f>
        <v>SCS</v>
      </c>
      <c r="AO1341" s="134">
        <v>161</v>
      </c>
      <c r="AP1341" s="135" t="s">
        <v>2171</v>
      </c>
      <c r="AQ1341" s="135">
        <v>615395</v>
      </c>
      <c r="AR1341" s="135" t="s">
        <v>2196</v>
      </c>
      <c r="AS1341" s="136">
        <v>2.77189</v>
      </c>
      <c r="AU1341" s="7" t="str">
        <f>VLOOKUP($AO1341,Mapping!$E$11:$I$96,3,0)</f>
        <v>Augmentation</v>
      </c>
      <c r="AV1341" s="7" t="str">
        <f>VLOOKUP($AQ1341,Mapping!$E$140:$K$2771,5,0)</f>
        <v>Labour</v>
      </c>
      <c r="AW1341" s="7" t="str">
        <f>VLOOKUP($AQ1341,Mapping!$E$140:$K$2771,7,0)</f>
        <v>ENDirect</v>
      </c>
      <c r="AX1341" s="7" t="str">
        <f>IFERROR(HLOOKUP(AV1341,'Calc|Weightings'!$K$5:$M$5,1,0),"Excl")</f>
        <v>Labour</v>
      </c>
      <c r="AY1341" s="7" t="str">
        <f>VLOOKUP(AO1341,Mapping!$E$11:$I$96,5,0)</f>
        <v>SCS</v>
      </c>
    </row>
    <row r="1342" spans="1:51" x14ac:dyDescent="0.2">
      <c r="A1342" s="7"/>
      <c r="B1342" s="7"/>
      <c r="C1342" s="7"/>
      <c r="D1342" s="7"/>
      <c r="E1342" s="36">
        <v>148</v>
      </c>
      <c r="F1342" s="36" t="s">
        <v>2158</v>
      </c>
      <c r="G1342" s="36">
        <v>613290</v>
      </c>
      <c r="H1342" s="36" t="s">
        <v>2093</v>
      </c>
      <c r="I1342" s="37">
        <v>24.666589999999999</v>
      </c>
      <c r="J1342" s="7"/>
      <c r="K1342" s="7" t="str">
        <f>VLOOKUP($E1342,Mapping!$E$11:$I$96,3,0)</f>
        <v>Replacement</v>
      </c>
      <c r="L1342" s="7" t="str">
        <f>VLOOKUP($G1342,Mapping!$E$140:$K$2771,5,0)</f>
        <v>Labour</v>
      </c>
      <c r="M1342" s="7" t="str">
        <f>VLOOKUP($G1342,Mapping!$E$140:$K$2771,7,0)</f>
        <v>ENDirect</v>
      </c>
      <c r="N1342" s="7" t="str">
        <f>IFERROR(HLOOKUP(L1342,'Calc|Weightings'!$K$5:$M$5,1,0),"Excl")</f>
        <v>Labour</v>
      </c>
      <c r="O1342" s="7" t="str">
        <f>VLOOKUP(E1342,Mapping!$E$11:$I$96,5,0)</f>
        <v>SCS</v>
      </c>
      <c r="Q1342" s="33">
        <v>157</v>
      </c>
      <c r="R1342" s="33" t="s">
        <v>2166</v>
      </c>
      <c r="S1342" s="33">
        <v>635001</v>
      </c>
      <c r="T1342" s="33" t="s">
        <v>1929</v>
      </c>
      <c r="U1342" s="34">
        <v>117.19985</v>
      </c>
      <c r="V1342" s="7"/>
      <c r="W1342" s="7" t="str">
        <f>VLOOKUP($Q1342,Mapping!$E$11:$I$96,3,0)</f>
        <v>Replacement</v>
      </c>
      <c r="X1342" s="7" t="str">
        <f>VLOOKUP($S1342,Mapping!$E$140:$K$2771,5,0)</f>
        <v>PNS MG</v>
      </c>
      <c r="Y1342" s="7" t="str">
        <f>VLOOKUP($S1342,Mapping!$E$140:$K$2771,7,0)</f>
        <v>ENDirect</v>
      </c>
      <c r="Z1342" s="7" t="str">
        <f>IFERROR(HLOOKUP(X1342,'Calc|Weightings'!$K$5:$M$5,1,0),"Excl")</f>
        <v>Excl</v>
      </c>
      <c r="AA1342" s="7" t="str">
        <f>VLOOKUP(Q1342,Mapping!$E$11:$I$96,5,0)</f>
        <v>SCS</v>
      </c>
      <c r="AC1342" s="111">
        <v>158</v>
      </c>
      <c r="AD1342" s="111" t="s">
        <v>2169</v>
      </c>
      <c r="AE1342" s="111">
        <v>613240</v>
      </c>
      <c r="AF1342" s="111" t="s">
        <v>2082</v>
      </c>
      <c r="AG1342" s="112">
        <v>6.2364300000000004</v>
      </c>
      <c r="AI1342" s="7" t="str">
        <f>VLOOKUP($AC1342,Mapping!$E$11:$I$96,3,0)</f>
        <v>Replacement</v>
      </c>
      <c r="AJ1342" s="7" t="str">
        <f>VLOOKUP($AE1342,Mapping!$E$140:$K$2771,5,0)</f>
        <v>Labour</v>
      </c>
      <c r="AK1342" s="7" t="str">
        <f>VLOOKUP($AE1342,Mapping!$E$140:$K$2771,7,0)</f>
        <v>ENDirect</v>
      </c>
      <c r="AL1342" s="7" t="str">
        <f>IFERROR(HLOOKUP(AJ1342,'Calc|Weightings'!$K$5:$M$5,1,0),"Excl")</f>
        <v>Labour</v>
      </c>
      <c r="AM1342" s="7" t="str">
        <f>VLOOKUP(AC1342,Mapping!$E$11:$I$96,5,0)</f>
        <v>SCS</v>
      </c>
      <c r="AO1342" s="134">
        <v>161</v>
      </c>
      <c r="AP1342" s="135" t="s">
        <v>2171</v>
      </c>
      <c r="AQ1342" s="135">
        <v>634001</v>
      </c>
      <c r="AR1342" s="135" t="s">
        <v>2110</v>
      </c>
      <c r="AS1342" s="136">
        <v>226.10066</v>
      </c>
      <c r="AU1342" s="7" t="str">
        <f>VLOOKUP($AO1342,Mapping!$E$11:$I$96,3,0)</f>
        <v>Augmentation</v>
      </c>
      <c r="AV1342" s="7" t="str">
        <f>VLOOKUP($AQ1342,Mapping!$E$140:$K$2771,5,0)</f>
        <v>Local OH</v>
      </c>
      <c r="AW1342" s="7" t="str">
        <f>VLOOKUP($AQ1342,Mapping!$E$140:$K$2771,7,0)</f>
        <v>OH</v>
      </c>
      <c r="AX1342" s="7" t="str">
        <f>IFERROR(HLOOKUP(AV1342,'Calc|Weightings'!$K$5:$M$5,1,0),"Excl")</f>
        <v>Excl</v>
      </c>
      <c r="AY1342" s="7" t="str">
        <f>VLOOKUP(AO1342,Mapping!$E$11:$I$96,5,0)</f>
        <v>SCS</v>
      </c>
    </row>
    <row r="1343" spans="1:51" x14ac:dyDescent="0.2">
      <c r="A1343" s="7"/>
      <c r="B1343" s="7"/>
      <c r="C1343" s="7"/>
      <c r="D1343" s="7"/>
      <c r="E1343" s="36">
        <v>148</v>
      </c>
      <c r="F1343" s="36" t="s">
        <v>2158</v>
      </c>
      <c r="G1343" s="36">
        <v>613318</v>
      </c>
      <c r="H1343" s="36" t="s">
        <v>1360</v>
      </c>
      <c r="I1343" s="37">
        <v>3.9740000000000002</v>
      </c>
      <c r="J1343" s="7"/>
      <c r="K1343" s="7" t="str">
        <f>VLOOKUP($E1343,Mapping!$E$11:$I$96,3,0)</f>
        <v>Replacement</v>
      </c>
      <c r="L1343" s="7" t="str">
        <f>VLOOKUP($G1343,Mapping!$E$140:$K$2771,5,0)</f>
        <v>Labour</v>
      </c>
      <c r="M1343" s="7" t="str">
        <f>VLOOKUP($G1343,Mapping!$E$140:$K$2771,7,0)</f>
        <v>ENDirect</v>
      </c>
      <c r="N1343" s="7" t="str">
        <f>IFERROR(HLOOKUP(L1343,'Calc|Weightings'!$K$5:$M$5,1,0),"Excl")</f>
        <v>Labour</v>
      </c>
      <c r="O1343" s="7" t="str">
        <f>VLOOKUP(E1343,Mapping!$E$11:$I$96,5,0)</f>
        <v>SCS</v>
      </c>
      <c r="Q1343" s="33">
        <v>157</v>
      </c>
      <c r="R1343" s="33" t="s">
        <v>2166</v>
      </c>
      <c r="S1343" s="33">
        <v>636001</v>
      </c>
      <c r="T1343" s="33" t="s">
        <v>2111</v>
      </c>
      <c r="U1343" s="34">
        <v>54.714019999999998</v>
      </c>
      <c r="V1343" s="7"/>
      <c r="W1343" s="7" t="str">
        <f>VLOOKUP($Q1343,Mapping!$E$11:$I$96,3,0)</f>
        <v>Replacement</v>
      </c>
      <c r="X1343" s="7" t="str">
        <f>VLOOKUP($S1343,Mapping!$E$140:$K$2771,5,0)</f>
        <v>System Control OH</v>
      </c>
      <c r="Y1343" s="7" t="str">
        <f>VLOOKUP($S1343,Mapping!$E$140:$K$2771,7,0)</f>
        <v>OH</v>
      </c>
      <c r="Z1343" s="7" t="str">
        <f>IFERROR(HLOOKUP(X1343,'Calc|Weightings'!$K$5:$M$5,1,0),"Excl")</f>
        <v>Excl</v>
      </c>
      <c r="AA1343" s="7" t="str">
        <f>VLOOKUP(Q1343,Mapping!$E$11:$I$96,5,0)</f>
        <v>SCS</v>
      </c>
      <c r="AC1343" s="111">
        <v>158</v>
      </c>
      <c r="AD1343" s="111" t="s">
        <v>2169</v>
      </c>
      <c r="AE1343" s="111">
        <v>613241</v>
      </c>
      <c r="AF1343" s="111" t="s">
        <v>2083</v>
      </c>
      <c r="AG1343" s="112">
        <v>0.30692000000000003</v>
      </c>
      <c r="AI1343" s="7" t="str">
        <f>VLOOKUP($AC1343,Mapping!$E$11:$I$96,3,0)</f>
        <v>Replacement</v>
      </c>
      <c r="AJ1343" s="7" t="str">
        <f>VLOOKUP($AE1343,Mapping!$E$140:$K$2771,5,0)</f>
        <v>Labour</v>
      </c>
      <c r="AK1343" s="7" t="str">
        <f>VLOOKUP($AE1343,Mapping!$E$140:$K$2771,7,0)</f>
        <v>ENDirect</v>
      </c>
      <c r="AL1343" s="7" t="str">
        <f>IFERROR(HLOOKUP(AJ1343,'Calc|Weightings'!$K$5:$M$5,1,0),"Excl")</f>
        <v>Labour</v>
      </c>
      <c r="AM1343" s="7" t="str">
        <f>VLOOKUP(AC1343,Mapping!$E$11:$I$96,5,0)</f>
        <v>SCS</v>
      </c>
      <c r="AO1343" s="134">
        <v>161</v>
      </c>
      <c r="AP1343" s="135" t="s">
        <v>2171</v>
      </c>
      <c r="AQ1343" s="135">
        <v>635001</v>
      </c>
      <c r="AR1343" s="135" t="s">
        <v>1929</v>
      </c>
      <c r="AS1343" s="136">
        <v>168.28765000000001</v>
      </c>
      <c r="AU1343" s="7" t="str">
        <f>VLOOKUP($AO1343,Mapping!$E$11:$I$96,3,0)</f>
        <v>Augmentation</v>
      </c>
      <c r="AV1343" s="7" t="str">
        <f>VLOOKUP($AQ1343,Mapping!$E$140:$K$2771,5,0)</f>
        <v>PNS MG</v>
      </c>
      <c r="AW1343" s="7" t="str">
        <f>VLOOKUP($AQ1343,Mapping!$E$140:$K$2771,7,0)</f>
        <v>ENDirect</v>
      </c>
      <c r="AX1343" s="7" t="str">
        <f>IFERROR(HLOOKUP(AV1343,'Calc|Weightings'!$K$5:$M$5,1,0),"Excl")</f>
        <v>Excl</v>
      </c>
      <c r="AY1343" s="7" t="str">
        <f>VLOOKUP(AO1343,Mapping!$E$11:$I$96,5,0)</f>
        <v>SCS</v>
      </c>
    </row>
    <row r="1344" spans="1:51" x14ac:dyDescent="0.2">
      <c r="A1344" s="7"/>
      <c r="B1344" s="7"/>
      <c r="C1344" s="7"/>
      <c r="D1344" s="7"/>
      <c r="E1344" s="36">
        <v>148</v>
      </c>
      <c r="F1344" s="36" t="s">
        <v>2158</v>
      </c>
      <c r="G1344" s="36">
        <v>613319</v>
      </c>
      <c r="H1344" s="36" t="s">
        <v>2358</v>
      </c>
      <c r="I1344" s="37">
        <v>1.08738</v>
      </c>
      <c r="J1344" s="7"/>
      <c r="K1344" s="7" t="str">
        <f>VLOOKUP($E1344,Mapping!$E$11:$I$96,3,0)</f>
        <v>Replacement</v>
      </c>
      <c r="L1344" s="7" t="str">
        <f>VLOOKUP($G1344,Mapping!$E$140:$K$2771,5,0)</f>
        <v>Labour</v>
      </c>
      <c r="M1344" s="7" t="str">
        <f>VLOOKUP($G1344,Mapping!$E$140:$K$2771,7,0)</f>
        <v>ENDirect</v>
      </c>
      <c r="N1344" s="7" t="str">
        <f>IFERROR(HLOOKUP(L1344,'Calc|Weightings'!$K$5:$M$5,1,0),"Excl")</f>
        <v>Labour</v>
      </c>
      <c r="O1344" s="7" t="str">
        <f>VLOOKUP(E1344,Mapping!$E$11:$I$96,5,0)</f>
        <v>SCS</v>
      </c>
      <c r="Q1344" s="33">
        <v>157</v>
      </c>
      <c r="R1344" s="33" t="s">
        <v>2166</v>
      </c>
      <c r="S1344" s="33">
        <v>639000</v>
      </c>
      <c r="T1344" s="33" t="s">
        <v>2112</v>
      </c>
      <c r="U1344" s="34">
        <v>145.72879</v>
      </c>
      <c r="V1344" s="7"/>
      <c r="W1344" s="7" t="str">
        <f>VLOOKUP($Q1344,Mapping!$E$11:$I$96,3,0)</f>
        <v>Replacement</v>
      </c>
      <c r="X1344" s="7" t="str">
        <f>VLOOKUP($S1344,Mapping!$E$140:$K$2771,5,0)</f>
        <v>PNS Corporate OH</v>
      </c>
      <c r="Y1344" s="7" t="str">
        <f>VLOOKUP($S1344,Mapping!$E$140:$K$2771,7,0)</f>
        <v>OH</v>
      </c>
      <c r="Z1344" s="7" t="str">
        <f>IFERROR(HLOOKUP(X1344,'Calc|Weightings'!$K$5:$M$5,1,0),"Excl")</f>
        <v>Excl</v>
      </c>
      <c r="AA1344" s="7" t="str">
        <f>VLOOKUP(Q1344,Mapping!$E$11:$I$96,5,0)</f>
        <v>SCS</v>
      </c>
      <c r="AC1344" s="111">
        <v>158</v>
      </c>
      <c r="AD1344" s="111" t="s">
        <v>2169</v>
      </c>
      <c r="AE1344" s="111">
        <v>613250</v>
      </c>
      <c r="AF1344" s="111" t="s">
        <v>2086</v>
      </c>
      <c r="AG1344" s="112">
        <v>6.6546000000000003</v>
      </c>
      <c r="AI1344" s="7" t="str">
        <f>VLOOKUP($AC1344,Mapping!$E$11:$I$96,3,0)</f>
        <v>Replacement</v>
      </c>
      <c r="AJ1344" s="7" t="str">
        <f>VLOOKUP($AE1344,Mapping!$E$140:$K$2771,5,0)</f>
        <v>Labour</v>
      </c>
      <c r="AK1344" s="7" t="str">
        <f>VLOOKUP($AE1344,Mapping!$E$140:$K$2771,7,0)</f>
        <v>ENDirect</v>
      </c>
      <c r="AL1344" s="7" t="str">
        <f>IFERROR(HLOOKUP(AJ1344,'Calc|Weightings'!$K$5:$M$5,1,0),"Excl")</f>
        <v>Labour</v>
      </c>
      <c r="AM1344" s="7" t="str">
        <f>VLOOKUP(AC1344,Mapping!$E$11:$I$96,5,0)</f>
        <v>SCS</v>
      </c>
      <c r="AO1344" s="134">
        <v>161</v>
      </c>
      <c r="AP1344" s="135" t="s">
        <v>2171</v>
      </c>
      <c r="AQ1344" s="135">
        <v>636001</v>
      </c>
      <c r="AR1344" s="135" t="s">
        <v>2111</v>
      </c>
      <c r="AS1344" s="136">
        <v>165.99859000000001</v>
      </c>
      <c r="AU1344" s="7" t="str">
        <f>VLOOKUP($AO1344,Mapping!$E$11:$I$96,3,0)</f>
        <v>Augmentation</v>
      </c>
      <c r="AV1344" s="7" t="str">
        <f>VLOOKUP($AQ1344,Mapping!$E$140:$K$2771,5,0)</f>
        <v>System Control OH</v>
      </c>
      <c r="AW1344" s="7" t="str">
        <f>VLOOKUP($AQ1344,Mapping!$E$140:$K$2771,7,0)</f>
        <v>OH</v>
      </c>
      <c r="AX1344" s="7" t="str">
        <f>IFERROR(HLOOKUP(AV1344,'Calc|Weightings'!$K$5:$M$5,1,0),"Excl")</f>
        <v>Excl</v>
      </c>
      <c r="AY1344" s="7" t="str">
        <f>VLOOKUP(AO1344,Mapping!$E$11:$I$96,5,0)</f>
        <v>SCS</v>
      </c>
    </row>
    <row r="1345" spans="1:51" x14ac:dyDescent="0.2">
      <c r="A1345" s="7"/>
      <c r="B1345" s="7"/>
      <c r="C1345" s="7"/>
      <c r="D1345" s="7"/>
      <c r="E1345" s="36">
        <v>148</v>
      </c>
      <c r="F1345" s="36" t="s">
        <v>2158</v>
      </c>
      <c r="G1345" s="36">
        <v>613350</v>
      </c>
      <c r="H1345" s="36" t="s">
        <v>2096</v>
      </c>
      <c r="I1345" s="37">
        <v>2.7712500000000002</v>
      </c>
      <c r="J1345" s="7"/>
      <c r="K1345" s="7" t="str">
        <f>VLOOKUP($E1345,Mapping!$E$11:$I$96,3,0)</f>
        <v>Replacement</v>
      </c>
      <c r="L1345" s="7" t="str">
        <f>VLOOKUP($G1345,Mapping!$E$140:$K$2771,5,0)</f>
        <v>Labour</v>
      </c>
      <c r="M1345" s="7" t="str">
        <f>VLOOKUP($G1345,Mapping!$E$140:$K$2771,7,0)</f>
        <v>ENDirect</v>
      </c>
      <c r="N1345" s="7" t="str">
        <f>IFERROR(HLOOKUP(L1345,'Calc|Weightings'!$K$5:$M$5,1,0),"Excl")</f>
        <v>Labour</v>
      </c>
      <c r="O1345" s="7" t="str">
        <f>VLOOKUP(E1345,Mapping!$E$11:$I$96,5,0)</f>
        <v>SCS</v>
      </c>
      <c r="Q1345" s="33">
        <v>157</v>
      </c>
      <c r="R1345" s="33" t="s">
        <v>2166</v>
      </c>
      <c r="S1345" s="33">
        <v>639050</v>
      </c>
      <c r="T1345" s="33" t="s">
        <v>2113</v>
      </c>
      <c r="U1345" s="34">
        <v>22.726220000000001</v>
      </c>
      <c r="V1345" s="7"/>
      <c r="W1345" s="7" t="str">
        <f>VLOOKUP($Q1345,Mapping!$E$11:$I$96,3,0)</f>
        <v>Replacement</v>
      </c>
      <c r="X1345" s="7" t="str">
        <f>VLOOKUP($S1345,Mapping!$E$140:$K$2771,5,0)</f>
        <v>PNS Fleet &amp; Property OH</v>
      </c>
      <c r="Y1345" s="7" t="str">
        <f>VLOOKUP($S1345,Mapping!$E$140:$K$2771,7,0)</f>
        <v>OH</v>
      </c>
      <c r="Z1345" s="7" t="str">
        <f>IFERROR(HLOOKUP(X1345,'Calc|Weightings'!$K$5:$M$5,1,0),"Excl")</f>
        <v>Excl</v>
      </c>
      <c r="AA1345" s="7" t="str">
        <f>VLOOKUP(Q1345,Mapping!$E$11:$I$96,5,0)</f>
        <v>SCS</v>
      </c>
      <c r="AC1345" s="111">
        <v>158</v>
      </c>
      <c r="AD1345" s="111" t="s">
        <v>2169</v>
      </c>
      <c r="AE1345" s="111">
        <v>613251</v>
      </c>
      <c r="AF1345" s="111" t="s">
        <v>2087</v>
      </c>
      <c r="AG1345" s="112">
        <v>0.33917999999999998</v>
      </c>
      <c r="AI1345" s="7" t="str">
        <f>VLOOKUP($AC1345,Mapping!$E$11:$I$96,3,0)</f>
        <v>Replacement</v>
      </c>
      <c r="AJ1345" s="7" t="str">
        <f>VLOOKUP($AE1345,Mapping!$E$140:$K$2771,5,0)</f>
        <v>Labour</v>
      </c>
      <c r="AK1345" s="7" t="str">
        <f>VLOOKUP($AE1345,Mapping!$E$140:$K$2771,7,0)</f>
        <v>ENDirect</v>
      </c>
      <c r="AL1345" s="7" t="str">
        <f>IFERROR(HLOOKUP(AJ1345,'Calc|Weightings'!$K$5:$M$5,1,0),"Excl")</f>
        <v>Labour</v>
      </c>
      <c r="AM1345" s="7" t="str">
        <f>VLOOKUP(AC1345,Mapping!$E$11:$I$96,5,0)</f>
        <v>SCS</v>
      </c>
      <c r="AO1345" s="134">
        <v>161</v>
      </c>
      <c r="AP1345" s="135" t="s">
        <v>2171</v>
      </c>
      <c r="AQ1345" s="135">
        <v>639000</v>
      </c>
      <c r="AR1345" s="135" t="s">
        <v>2112</v>
      </c>
      <c r="AS1345" s="136">
        <v>152.55302</v>
      </c>
      <c r="AU1345" s="7" t="str">
        <f>VLOOKUP($AO1345,Mapping!$E$11:$I$96,3,0)</f>
        <v>Augmentation</v>
      </c>
      <c r="AV1345" s="7" t="str">
        <f>VLOOKUP($AQ1345,Mapping!$E$140:$K$2771,5,0)</f>
        <v>PNS Corporate OH</v>
      </c>
      <c r="AW1345" s="7" t="str">
        <f>VLOOKUP($AQ1345,Mapping!$E$140:$K$2771,7,0)</f>
        <v>OH</v>
      </c>
      <c r="AX1345" s="7" t="str">
        <f>IFERROR(HLOOKUP(AV1345,'Calc|Weightings'!$K$5:$M$5,1,0),"Excl")</f>
        <v>Excl</v>
      </c>
      <c r="AY1345" s="7" t="str">
        <f>VLOOKUP(AO1345,Mapping!$E$11:$I$96,5,0)</f>
        <v>SCS</v>
      </c>
    </row>
    <row r="1346" spans="1:51" x14ac:dyDescent="0.2">
      <c r="A1346" s="7"/>
      <c r="B1346" s="7"/>
      <c r="C1346" s="7"/>
      <c r="D1346" s="7"/>
      <c r="E1346" s="36">
        <v>148</v>
      </c>
      <c r="F1346" s="36" t="s">
        <v>2158</v>
      </c>
      <c r="G1346" s="36">
        <v>613360</v>
      </c>
      <c r="H1346" s="36" t="s">
        <v>2097</v>
      </c>
      <c r="I1346" s="37">
        <v>9.4310200000000002</v>
      </c>
      <c r="J1346" s="7"/>
      <c r="K1346" s="7" t="str">
        <f>VLOOKUP($E1346,Mapping!$E$11:$I$96,3,0)</f>
        <v>Replacement</v>
      </c>
      <c r="L1346" s="7" t="str">
        <f>VLOOKUP($G1346,Mapping!$E$140:$K$2771,5,0)</f>
        <v>Labour</v>
      </c>
      <c r="M1346" s="7" t="str">
        <f>VLOOKUP($G1346,Mapping!$E$140:$K$2771,7,0)</f>
        <v>ENDirect</v>
      </c>
      <c r="N1346" s="7" t="str">
        <f>IFERROR(HLOOKUP(L1346,'Calc|Weightings'!$K$5:$M$5,1,0),"Excl")</f>
        <v>Labour</v>
      </c>
      <c r="O1346" s="7" t="str">
        <f>VLOOKUP(E1346,Mapping!$E$11:$I$96,5,0)</f>
        <v>SCS</v>
      </c>
      <c r="Q1346" s="33">
        <v>158</v>
      </c>
      <c r="R1346" s="33" t="s">
        <v>2169</v>
      </c>
      <c r="S1346" s="33">
        <v>520100</v>
      </c>
      <c r="T1346" s="33" t="s">
        <v>2072</v>
      </c>
      <c r="U1346" s="34">
        <v>2.5265399999999998</v>
      </c>
      <c r="V1346" s="7"/>
      <c r="W1346" s="7" t="str">
        <f>VLOOKUP($Q1346,Mapping!$E$11:$I$96,3,0)</f>
        <v>Replacement</v>
      </c>
      <c r="X1346" s="7" t="str">
        <f>VLOOKUP($S1346,Mapping!$E$140:$K$2771,5,0)</f>
        <v>Materials</v>
      </c>
      <c r="Y1346" s="7" t="str">
        <f>VLOOKUP($S1346,Mapping!$E$140:$K$2771,7,0)</f>
        <v>ENDirect</v>
      </c>
      <c r="Z1346" s="7" t="str">
        <f>IFERROR(HLOOKUP(X1346,'Calc|Weightings'!$K$5:$M$5,1,0),"Excl")</f>
        <v>Materials</v>
      </c>
      <c r="AA1346" s="7" t="str">
        <f>VLOOKUP(Q1346,Mapping!$E$11:$I$96,5,0)</f>
        <v>SCS</v>
      </c>
      <c r="AC1346" s="111">
        <v>158</v>
      </c>
      <c r="AD1346" s="111" t="s">
        <v>2169</v>
      </c>
      <c r="AE1346" s="111">
        <v>613280</v>
      </c>
      <c r="AF1346" s="111" t="s">
        <v>1342</v>
      </c>
      <c r="AG1346" s="112">
        <v>6.5895299999999999</v>
      </c>
      <c r="AI1346" s="7" t="str">
        <f>VLOOKUP($AC1346,Mapping!$E$11:$I$96,3,0)</f>
        <v>Replacement</v>
      </c>
      <c r="AJ1346" s="7" t="str">
        <f>VLOOKUP($AE1346,Mapping!$E$140:$K$2771,5,0)</f>
        <v>Labour</v>
      </c>
      <c r="AK1346" s="7" t="str">
        <f>VLOOKUP($AE1346,Mapping!$E$140:$K$2771,7,0)</f>
        <v>ENDirect</v>
      </c>
      <c r="AL1346" s="7" t="str">
        <f>IFERROR(HLOOKUP(AJ1346,'Calc|Weightings'!$K$5:$M$5,1,0),"Excl")</f>
        <v>Labour</v>
      </c>
      <c r="AM1346" s="7" t="str">
        <f>VLOOKUP(AC1346,Mapping!$E$11:$I$96,5,0)</f>
        <v>SCS</v>
      </c>
      <c r="AO1346" s="134">
        <v>161</v>
      </c>
      <c r="AP1346" s="135" t="s">
        <v>2171</v>
      </c>
      <c r="AQ1346" s="135">
        <v>639050</v>
      </c>
      <c r="AR1346" s="135" t="s">
        <v>2113</v>
      </c>
      <c r="AS1346" s="136">
        <v>36.625520000000002</v>
      </c>
      <c r="AU1346" s="7" t="str">
        <f>VLOOKUP($AO1346,Mapping!$E$11:$I$96,3,0)</f>
        <v>Augmentation</v>
      </c>
      <c r="AV1346" s="7" t="str">
        <f>VLOOKUP($AQ1346,Mapping!$E$140:$K$2771,5,0)</f>
        <v>PNS Fleet &amp; Property OH</v>
      </c>
      <c r="AW1346" s="7" t="str">
        <f>VLOOKUP($AQ1346,Mapping!$E$140:$K$2771,7,0)</f>
        <v>OH</v>
      </c>
      <c r="AX1346" s="7" t="str">
        <f>IFERROR(HLOOKUP(AV1346,'Calc|Weightings'!$K$5:$M$5,1,0),"Excl")</f>
        <v>Excl</v>
      </c>
      <c r="AY1346" s="7" t="str">
        <f>VLOOKUP(AO1346,Mapping!$E$11:$I$96,5,0)</f>
        <v>SCS</v>
      </c>
    </row>
    <row r="1347" spans="1:51" x14ac:dyDescent="0.2">
      <c r="A1347" s="7"/>
      <c r="B1347" s="7"/>
      <c r="C1347" s="7"/>
      <c r="D1347" s="7"/>
      <c r="E1347" s="36">
        <v>148</v>
      </c>
      <c r="F1347" s="36" t="s">
        <v>2158</v>
      </c>
      <c r="G1347" s="36">
        <v>613370</v>
      </c>
      <c r="H1347" s="36" t="s">
        <v>1402</v>
      </c>
      <c r="I1347" s="37">
        <v>4.4929999999999998E-2</v>
      </c>
      <c r="J1347" s="7"/>
      <c r="K1347" s="7" t="str">
        <f>VLOOKUP($E1347,Mapping!$E$11:$I$96,3,0)</f>
        <v>Replacement</v>
      </c>
      <c r="L1347" s="7" t="str">
        <f>VLOOKUP($G1347,Mapping!$E$140:$K$2771,5,0)</f>
        <v>Labour</v>
      </c>
      <c r="M1347" s="7" t="str">
        <f>VLOOKUP($G1347,Mapping!$E$140:$K$2771,7,0)</f>
        <v>ENDirect</v>
      </c>
      <c r="N1347" s="7" t="str">
        <f>IFERROR(HLOOKUP(L1347,'Calc|Weightings'!$K$5:$M$5,1,0),"Excl")</f>
        <v>Labour</v>
      </c>
      <c r="O1347" s="7" t="str">
        <f>VLOOKUP(E1347,Mapping!$E$11:$I$96,5,0)</f>
        <v>SCS</v>
      </c>
      <c r="Q1347" s="33">
        <v>158</v>
      </c>
      <c r="R1347" s="33" t="s">
        <v>2169</v>
      </c>
      <c r="S1347" s="33">
        <v>523100</v>
      </c>
      <c r="T1347" s="33" t="s">
        <v>2074</v>
      </c>
      <c r="U1347" s="34">
        <v>0.29335</v>
      </c>
      <c r="V1347" s="7"/>
      <c r="W1347" s="7" t="str">
        <f>VLOOKUP($Q1347,Mapping!$E$11:$I$96,3,0)</f>
        <v>Replacement</v>
      </c>
      <c r="X1347" s="7" t="str">
        <f>VLOOKUP($S1347,Mapping!$E$140:$K$2771,5,0)</f>
        <v>Materials</v>
      </c>
      <c r="Y1347" s="7" t="str">
        <f>VLOOKUP($S1347,Mapping!$E$140:$K$2771,7,0)</f>
        <v>ENDirect</v>
      </c>
      <c r="Z1347" s="7" t="str">
        <f>IFERROR(HLOOKUP(X1347,'Calc|Weightings'!$K$5:$M$5,1,0),"Excl")</f>
        <v>Materials</v>
      </c>
      <c r="AA1347" s="7" t="str">
        <f>VLOOKUP(Q1347,Mapping!$E$11:$I$96,5,0)</f>
        <v>SCS</v>
      </c>
      <c r="AC1347" s="111">
        <v>158</v>
      </c>
      <c r="AD1347" s="111" t="s">
        <v>2169</v>
      </c>
      <c r="AE1347" s="111">
        <v>613290</v>
      </c>
      <c r="AF1347" s="111" t="s">
        <v>2093</v>
      </c>
      <c r="AG1347" s="112">
        <v>0.69399</v>
      </c>
      <c r="AI1347" s="7" t="str">
        <f>VLOOKUP($AC1347,Mapping!$E$11:$I$96,3,0)</f>
        <v>Replacement</v>
      </c>
      <c r="AJ1347" s="7" t="str">
        <f>VLOOKUP($AE1347,Mapping!$E$140:$K$2771,5,0)</f>
        <v>Labour</v>
      </c>
      <c r="AK1347" s="7" t="str">
        <f>VLOOKUP($AE1347,Mapping!$E$140:$K$2771,7,0)</f>
        <v>ENDirect</v>
      </c>
      <c r="AL1347" s="7" t="str">
        <f>IFERROR(HLOOKUP(AJ1347,'Calc|Weightings'!$K$5:$M$5,1,0),"Excl")</f>
        <v>Labour</v>
      </c>
      <c r="AM1347" s="7" t="str">
        <f>VLOOKUP(AC1347,Mapping!$E$11:$I$96,5,0)</f>
        <v>SCS</v>
      </c>
      <c r="AO1347" s="134">
        <v>162</v>
      </c>
      <c r="AP1347" s="135" t="s">
        <v>2172</v>
      </c>
      <c r="AQ1347" s="135">
        <v>503190</v>
      </c>
      <c r="AR1347" s="135" t="s">
        <v>158</v>
      </c>
      <c r="AS1347" s="136">
        <v>0.45622000000000001</v>
      </c>
      <c r="AU1347" s="7" t="str">
        <f>VLOOKUP($AO1347,Mapping!$E$11:$I$96,3,0)</f>
        <v>Augmentation</v>
      </c>
      <c r="AV1347" s="7" t="str">
        <f>VLOOKUP($AQ1347,Mapping!$E$140:$K$2771,5,0)</f>
        <v>Contracts</v>
      </c>
      <c r="AW1347" s="7" t="str">
        <f>VLOOKUP($AQ1347,Mapping!$E$140:$K$2771,7,0)</f>
        <v>ENDirect</v>
      </c>
      <c r="AX1347" s="7" t="str">
        <f>IFERROR(HLOOKUP(AV1347,'Calc|Weightings'!$K$5:$M$5,1,0),"Excl")</f>
        <v>Contracts</v>
      </c>
      <c r="AY1347" s="7" t="str">
        <f>VLOOKUP(AO1347,Mapping!$E$11:$I$96,5,0)</f>
        <v>SCS</v>
      </c>
    </row>
    <row r="1348" spans="1:51" x14ac:dyDescent="0.2">
      <c r="A1348" s="7"/>
      <c r="B1348" s="7"/>
      <c r="C1348" s="7"/>
      <c r="D1348" s="7"/>
      <c r="E1348" s="36">
        <v>148</v>
      </c>
      <c r="F1348" s="36" t="s">
        <v>2158</v>
      </c>
      <c r="G1348" s="36">
        <v>613390</v>
      </c>
      <c r="H1348" s="36" t="s">
        <v>2141</v>
      </c>
      <c r="I1348" s="37">
        <v>-60.02223</v>
      </c>
      <c r="J1348" s="7"/>
      <c r="K1348" s="7" t="str">
        <f>VLOOKUP($E1348,Mapping!$E$11:$I$96,3,0)</f>
        <v>Replacement</v>
      </c>
      <c r="L1348" s="7" t="str">
        <f>VLOOKUP($G1348,Mapping!$E$140:$K$2771,5,0)</f>
        <v>Contracts</v>
      </c>
      <c r="M1348" s="7" t="str">
        <f>VLOOKUP($G1348,Mapping!$E$140:$K$2771,7,0)</f>
        <v>ENDirect</v>
      </c>
      <c r="N1348" s="7" t="str">
        <f>IFERROR(HLOOKUP(L1348,'Calc|Weightings'!$K$5:$M$5,1,0),"Excl")</f>
        <v>Contracts</v>
      </c>
      <c r="O1348" s="7" t="str">
        <f>VLOOKUP(E1348,Mapping!$E$11:$I$96,5,0)</f>
        <v>SCS</v>
      </c>
      <c r="Q1348" s="33">
        <v>158</v>
      </c>
      <c r="R1348" s="33" t="s">
        <v>2169</v>
      </c>
      <c r="S1348" s="33">
        <v>531464</v>
      </c>
      <c r="T1348" s="33" t="s">
        <v>256</v>
      </c>
      <c r="U1348" s="34">
        <v>4.4166100000000004</v>
      </c>
      <c r="V1348" s="7"/>
      <c r="W1348" s="7" t="str">
        <f>VLOOKUP($Q1348,Mapping!$E$11:$I$96,3,0)</f>
        <v>Replacement</v>
      </c>
      <c r="X1348" s="7" t="str">
        <f>VLOOKUP($S1348,Mapping!$E$140:$K$2771,5,0)</f>
        <v>Contracts</v>
      </c>
      <c r="Y1348" s="7" t="str">
        <f>VLOOKUP($S1348,Mapping!$E$140:$K$2771,7,0)</f>
        <v>ENDirect</v>
      </c>
      <c r="Z1348" s="7" t="str">
        <f>IFERROR(HLOOKUP(X1348,'Calc|Weightings'!$K$5:$M$5,1,0),"Excl")</f>
        <v>Contracts</v>
      </c>
      <c r="AA1348" s="7" t="str">
        <f>VLOOKUP(Q1348,Mapping!$E$11:$I$96,5,0)</f>
        <v>SCS</v>
      </c>
      <c r="AC1348" s="111">
        <v>158</v>
      </c>
      <c r="AD1348" s="111" t="s">
        <v>2169</v>
      </c>
      <c r="AE1348" s="111">
        <v>613360</v>
      </c>
      <c r="AF1348" s="111" t="s">
        <v>2097</v>
      </c>
      <c r="AG1348" s="112">
        <v>6.2570000000000001E-2</v>
      </c>
      <c r="AI1348" s="7" t="str">
        <f>VLOOKUP($AC1348,Mapping!$E$11:$I$96,3,0)</f>
        <v>Replacement</v>
      </c>
      <c r="AJ1348" s="7" t="str">
        <f>VLOOKUP($AE1348,Mapping!$E$140:$K$2771,5,0)</f>
        <v>Labour</v>
      </c>
      <c r="AK1348" s="7" t="str">
        <f>VLOOKUP($AE1348,Mapping!$E$140:$K$2771,7,0)</f>
        <v>ENDirect</v>
      </c>
      <c r="AL1348" s="7" t="str">
        <f>IFERROR(HLOOKUP(AJ1348,'Calc|Weightings'!$K$5:$M$5,1,0),"Excl")</f>
        <v>Labour</v>
      </c>
      <c r="AM1348" s="7" t="str">
        <f>VLOOKUP(AC1348,Mapping!$E$11:$I$96,5,0)</f>
        <v>SCS</v>
      </c>
      <c r="AO1348" s="134">
        <v>162</v>
      </c>
      <c r="AP1348" s="135" t="s">
        <v>2172</v>
      </c>
      <c r="AQ1348" s="135">
        <v>503192</v>
      </c>
      <c r="AR1348" s="135" t="s">
        <v>160</v>
      </c>
      <c r="AS1348" s="136">
        <v>0.44453999999999999</v>
      </c>
      <c r="AU1348" s="7" t="str">
        <f>VLOOKUP($AO1348,Mapping!$E$11:$I$96,3,0)</f>
        <v>Augmentation</v>
      </c>
      <c r="AV1348" s="7" t="str">
        <f>VLOOKUP($AQ1348,Mapping!$E$140:$K$2771,5,0)</f>
        <v>Contracts</v>
      </c>
      <c r="AW1348" s="7" t="str">
        <f>VLOOKUP($AQ1348,Mapping!$E$140:$K$2771,7,0)</f>
        <v>ENDirect</v>
      </c>
      <c r="AX1348" s="7" t="str">
        <f>IFERROR(HLOOKUP(AV1348,'Calc|Weightings'!$K$5:$M$5,1,0),"Excl")</f>
        <v>Contracts</v>
      </c>
      <c r="AY1348" s="7" t="str">
        <f>VLOOKUP(AO1348,Mapping!$E$11:$I$96,5,0)</f>
        <v>SCS</v>
      </c>
    </row>
    <row r="1349" spans="1:51" x14ac:dyDescent="0.2">
      <c r="A1349" s="7"/>
      <c r="B1349" s="7"/>
      <c r="C1349" s="7"/>
      <c r="D1349" s="7"/>
      <c r="E1349" s="36">
        <v>148</v>
      </c>
      <c r="F1349" s="36" t="s">
        <v>2158</v>
      </c>
      <c r="G1349" s="36">
        <v>613400</v>
      </c>
      <c r="H1349" s="36" t="s">
        <v>2099</v>
      </c>
      <c r="I1349" s="37">
        <v>17.526240000000001</v>
      </c>
      <c r="J1349" s="7"/>
      <c r="K1349" s="7" t="str">
        <f>VLOOKUP($E1349,Mapping!$E$11:$I$96,3,0)</f>
        <v>Replacement</v>
      </c>
      <c r="L1349" s="7" t="str">
        <f>VLOOKUP($G1349,Mapping!$E$140:$K$2771,5,0)</f>
        <v>Labour</v>
      </c>
      <c r="M1349" s="7" t="str">
        <f>VLOOKUP($G1349,Mapping!$E$140:$K$2771,7,0)</f>
        <v>ENDirect</v>
      </c>
      <c r="N1349" s="7" t="str">
        <f>IFERROR(HLOOKUP(L1349,'Calc|Weightings'!$K$5:$M$5,1,0),"Excl")</f>
        <v>Labour</v>
      </c>
      <c r="O1349" s="7" t="str">
        <f>VLOOKUP(E1349,Mapping!$E$11:$I$96,5,0)</f>
        <v>SCS</v>
      </c>
      <c r="Q1349" s="33">
        <v>158</v>
      </c>
      <c r="R1349" s="33" t="s">
        <v>2169</v>
      </c>
      <c r="S1349" s="33">
        <v>531467</v>
      </c>
      <c r="T1349" s="33" t="s">
        <v>259</v>
      </c>
      <c r="U1349" s="34">
        <v>2.6404000000000001</v>
      </c>
      <c r="V1349" s="7"/>
      <c r="W1349" s="7" t="str">
        <f>VLOOKUP($Q1349,Mapping!$E$11:$I$96,3,0)</f>
        <v>Replacement</v>
      </c>
      <c r="X1349" s="7" t="str">
        <f>VLOOKUP($S1349,Mapping!$E$140:$K$2771,5,0)</f>
        <v>Contracts</v>
      </c>
      <c r="Y1349" s="7" t="str">
        <f>VLOOKUP($S1349,Mapping!$E$140:$K$2771,7,0)</f>
        <v>ENDirect</v>
      </c>
      <c r="Z1349" s="7" t="str">
        <f>IFERROR(HLOOKUP(X1349,'Calc|Weightings'!$K$5:$M$5,1,0),"Excl")</f>
        <v>Contracts</v>
      </c>
      <c r="AA1349" s="7" t="str">
        <f>VLOOKUP(Q1349,Mapping!$E$11:$I$96,5,0)</f>
        <v>SCS</v>
      </c>
      <c r="AC1349" s="111">
        <v>158</v>
      </c>
      <c r="AD1349" s="111" t="s">
        <v>2169</v>
      </c>
      <c r="AE1349" s="111">
        <v>613400</v>
      </c>
      <c r="AF1349" s="111" t="s">
        <v>2099</v>
      </c>
      <c r="AG1349" s="112">
        <v>8.4921600000000002</v>
      </c>
      <c r="AI1349" s="7" t="str">
        <f>VLOOKUP($AC1349,Mapping!$E$11:$I$96,3,0)</f>
        <v>Replacement</v>
      </c>
      <c r="AJ1349" s="7" t="str">
        <f>VLOOKUP($AE1349,Mapping!$E$140:$K$2771,5,0)</f>
        <v>Labour</v>
      </c>
      <c r="AK1349" s="7" t="str">
        <f>VLOOKUP($AE1349,Mapping!$E$140:$K$2771,7,0)</f>
        <v>ENDirect</v>
      </c>
      <c r="AL1349" s="7" t="str">
        <f>IFERROR(HLOOKUP(AJ1349,'Calc|Weightings'!$K$5:$M$5,1,0),"Excl")</f>
        <v>Labour</v>
      </c>
      <c r="AM1349" s="7" t="str">
        <f>VLOOKUP(AC1349,Mapping!$E$11:$I$96,5,0)</f>
        <v>SCS</v>
      </c>
      <c r="AO1349" s="134">
        <v>162</v>
      </c>
      <c r="AP1349" s="135" t="s">
        <v>2172</v>
      </c>
      <c r="AQ1349" s="135">
        <v>503193</v>
      </c>
      <c r="AR1349" s="135" t="s">
        <v>161</v>
      </c>
      <c r="AS1349" s="136">
        <v>0.71052000000000004</v>
      </c>
      <c r="AU1349" s="7" t="str">
        <f>VLOOKUP($AO1349,Mapping!$E$11:$I$96,3,0)</f>
        <v>Augmentation</v>
      </c>
      <c r="AV1349" s="7" t="str">
        <f>VLOOKUP($AQ1349,Mapping!$E$140:$K$2771,5,0)</f>
        <v>Contracts</v>
      </c>
      <c r="AW1349" s="7" t="str">
        <f>VLOOKUP($AQ1349,Mapping!$E$140:$K$2771,7,0)</f>
        <v>ENDirect</v>
      </c>
      <c r="AX1349" s="7" t="str">
        <f>IFERROR(HLOOKUP(AV1349,'Calc|Weightings'!$K$5:$M$5,1,0),"Excl")</f>
        <v>Contracts</v>
      </c>
      <c r="AY1349" s="7" t="str">
        <f>VLOOKUP(AO1349,Mapping!$E$11:$I$96,5,0)</f>
        <v>SCS</v>
      </c>
    </row>
    <row r="1350" spans="1:51" x14ac:dyDescent="0.2">
      <c r="A1350" s="7"/>
      <c r="B1350" s="7"/>
      <c r="C1350" s="7"/>
      <c r="D1350" s="7"/>
      <c r="E1350" s="36">
        <v>148</v>
      </c>
      <c r="F1350" s="36" t="s">
        <v>2158</v>
      </c>
      <c r="G1350" s="36">
        <v>613401</v>
      </c>
      <c r="H1350" s="36" t="s">
        <v>2117</v>
      </c>
      <c r="I1350" s="37">
        <v>4.5641699999999998</v>
      </c>
      <c r="J1350" s="7"/>
      <c r="K1350" s="7" t="str">
        <f>VLOOKUP($E1350,Mapping!$E$11:$I$96,3,0)</f>
        <v>Replacement</v>
      </c>
      <c r="L1350" s="7" t="str">
        <f>VLOOKUP($G1350,Mapping!$E$140:$K$2771,5,0)</f>
        <v>Labour</v>
      </c>
      <c r="M1350" s="7" t="str">
        <f>VLOOKUP($G1350,Mapping!$E$140:$K$2771,7,0)</f>
        <v>ENDirect</v>
      </c>
      <c r="N1350" s="7" t="str">
        <f>IFERROR(HLOOKUP(L1350,'Calc|Weightings'!$K$5:$M$5,1,0),"Excl")</f>
        <v>Labour</v>
      </c>
      <c r="O1350" s="7" t="str">
        <f>VLOOKUP(E1350,Mapping!$E$11:$I$96,5,0)</f>
        <v>SCS</v>
      </c>
      <c r="Q1350" s="33">
        <v>158</v>
      </c>
      <c r="R1350" s="33" t="s">
        <v>2169</v>
      </c>
      <c r="S1350" s="33">
        <v>531468</v>
      </c>
      <c r="T1350" s="33" t="s">
        <v>260</v>
      </c>
      <c r="U1350" s="34">
        <v>3.6034999999999999</v>
      </c>
      <c r="V1350" s="7"/>
      <c r="W1350" s="7" t="str">
        <f>VLOOKUP($Q1350,Mapping!$E$11:$I$96,3,0)</f>
        <v>Replacement</v>
      </c>
      <c r="X1350" s="7" t="str">
        <f>VLOOKUP($S1350,Mapping!$E$140:$K$2771,5,0)</f>
        <v>Contracts</v>
      </c>
      <c r="Y1350" s="7" t="str">
        <f>VLOOKUP($S1350,Mapping!$E$140:$K$2771,7,0)</f>
        <v>ENDirect</v>
      </c>
      <c r="Z1350" s="7" t="str">
        <f>IFERROR(HLOOKUP(X1350,'Calc|Weightings'!$K$5:$M$5,1,0),"Excl")</f>
        <v>Contracts</v>
      </c>
      <c r="AA1350" s="7" t="str">
        <f>VLOOKUP(Q1350,Mapping!$E$11:$I$96,5,0)</f>
        <v>SCS</v>
      </c>
      <c r="AC1350" s="111">
        <v>158</v>
      </c>
      <c r="AD1350" s="111" t="s">
        <v>2169</v>
      </c>
      <c r="AE1350" s="111">
        <v>613401</v>
      </c>
      <c r="AF1350" s="111" t="s">
        <v>2117</v>
      </c>
      <c r="AG1350" s="112">
        <v>0.92076000000000002</v>
      </c>
      <c r="AI1350" s="7" t="str">
        <f>VLOOKUP($AC1350,Mapping!$E$11:$I$96,3,0)</f>
        <v>Replacement</v>
      </c>
      <c r="AJ1350" s="7" t="str">
        <f>VLOOKUP($AE1350,Mapping!$E$140:$K$2771,5,0)</f>
        <v>Labour</v>
      </c>
      <c r="AK1350" s="7" t="str">
        <f>VLOOKUP($AE1350,Mapping!$E$140:$K$2771,7,0)</f>
        <v>ENDirect</v>
      </c>
      <c r="AL1350" s="7" t="str">
        <f>IFERROR(HLOOKUP(AJ1350,'Calc|Weightings'!$K$5:$M$5,1,0),"Excl")</f>
        <v>Labour</v>
      </c>
      <c r="AM1350" s="7" t="str">
        <f>VLOOKUP(AC1350,Mapping!$E$11:$I$96,5,0)</f>
        <v>SCS</v>
      </c>
      <c r="AO1350" s="134">
        <v>162</v>
      </c>
      <c r="AP1350" s="135" t="s">
        <v>2172</v>
      </c>
      <c r="AQ1350" s="135">
        <v>503194</v>
      </c>
      <c r="AR1350" s="135" t="s">
        <v>162</v>
      </c>
      <c r="AS1350" s="136">
        <v>9.5130000000000006E-2</v>
      </c>
      <c r="AU1350" s="7" t="str">
        <f>VLOOKUP($AO1350,Mapping!$E$11:$I$96,3,0)</f>
        <v>Augmentation</v>
      </c>
      <c r="AV1350" s="7" t="str">
        <f>VLOOKUP($AQ1350,Mapping!$E$140:$K$2771,5,0)</f>
        <v>Contracts</v>
      </c>
      <c r="AW1350" s="7" t="str">
        <f>VLOOKUP($AQ1350,Mapping!$E$140:$K$2771,7,0)</f>
        <v>ENDirect</v>
      </c>
      <c r="AX1350" s="7" t="str">
        <f>IFERROR(HLOOKUP(AV1350,'Calc|Weightings'!$K$5:$M$5,1,0),"Excl")</f>
        <v>Contracts</v>
      </c>
      <c r="AY1350" s="7" t="str">
        <f>VLOOKUP(AO1350,Mapping!$E$11:$I$96,5,0)</f>
        <v>SCS</v>
      </c>
    </row>
    <row r="1351" spans="1:51" x14ac:dyDescent="0.2">
      <c r="A1351" s="7"/>
      <c r="B1351" s="7"/>
      <c r="C1351" s="7"/>
      <c r="D1351" s="7"/>
      <c r="E1351" s="36">
        <v>148</v>
      </c>
      <c r="F1351" s="36" t="s">
        <v>2158</v>
      </c>
      <c r="G1351" s="36">
        <v>613408</v>
      </c>
      <c r="H1351" s="36" t="s">
        <v>1418</v>
      </c>
      <c r="I1351" s="37">
        <v>225.99844999999999</v>
      </c>
      <c r="J1351" s="7"/>
      <c r="K1351" s="7" t="str">
        <f>VLOOKUP($E1351,Mapping!$E$11:$I$96,3,0)</f>
        <v>Replacement</v>
      </c>
      <c r="L1351" s="7" t="str">
        <f>VLOOKUP($G1351,Mapping!$E$140:$K$2771,5,0)</f>
        <v>Labour</v>
      </c>
      <c r="M1351" s="7" t="str">
        <f>VLOOKUP($G1351,Mapping!$E$140:$K$2771,7,0)</f>
        <v>ENDirect</v>
      </c>
      <c r="N1351" s="7" t="str">
        <f>IFERROR(HLOOKUP(L1351,'Calc|Weightings'!$K$5:$M$5,1,0),"Excl")</f>
        <v>Labour</v>
      </c>
      <c r="O1351" s="7" t="str">
        <f>VLOOKUP(E1351,Mapping!$E$11:$I$96,5,0)</f>
        <v>SCS</v>
      </c>
      <c r="Q1351" s="33">
        <v>158</v>
      </c>
      <c r="R1351" s="33" t="s">
        <v>2169</v>
      </c>
      <c r="S1351" s="33">
        <v>611860</v>
      </c>
      <c r="T1351" s="33" t="s">
        <v>2125</v>
      </c>
      <c r="U1351" s="34">
        <v>0.26257999999999998</v>
      </c>
      <c r="V1351" s="7"/>
      <c r="W1351" s="7" t="str">
        <f>VLOOKUP($Q1351,Mapping!$E$11:$I$96,3,0)</f>
        <v>Replacement</v>
      </c>
      <c r="X1351" s="7" t="str">
        <f>VLOOKUP($S1351,Mapping!$E$140:$K$2771,5,0)</f>
        <v>Labour</v>
      </c>
      <c r="Y1351" s="7" t="str">
        <f>VLOOKUP($S1351,Mapping!$E$140:$K$2771,7,0)</f>
        <v>ENDirect</v>
      </c>
      <c r="Z1351" s="7" t="str">
        <f>IFERROR(HLOOKUP(X1351,'Calc|Weightings'!$K$5:$M$5,1,0),"Excl")</f>
        <v>Labour</v>
      </c>
      <c r="AA1351" s="7" t="str">
        <f>VLOOKUP(Q1351,Mapping!$E$11:$I$96,5,0)</f>
        <v>SCS</v>
      </c>
      <c r="AC1351" s="111">
        <v>158</v>
      </c>
      <c r="AD1351" s="111" t="s">
        <v>2169</v>
      </c>
      <c r="AE1351" s="111">
        <v>613410</v>
      </c>
      <c r="AF1351" s="111" t="s">
        <v>2100</v>
      </c>
      <c r="AG1351" s="112">
        <v>4.7321600000000004</v>
      </c>
      <c r="AI1351" s="7" t="str">
        <f>VLOOKUP($AC1351,Mapping!$E$11:$I$96,3,0)</f>
        <v>Replacement</v>
      </c>
      <c r="AJ1351" s="7" t="str">
        <f>VLOOKUP($AE1351,Mapping!$E$140:$K$2771,5,0)</f>
        <v>Labour</v>
      </c>
      <c r="AK1351" s="7" t="str">
        <f>VLOOKUP($AE1351,Mapping!$E$140:$K$2771,7,0)</f>
        <v>ENDirect</v>
      </c>
      <c r="AL1351" s="7" t="str">
        <f>IFERROR(HLOOKUP(AJ1351,'Calc|Weightings'!$K$5:$M$5,1,0),"Excl")</f>
        <v>Labour</v>
      </c>
      <c r="AM1351" s="7" t="str">
        <f>VLOOKUP(AC1351,Mapping!$E$11:$I$96,5,0)</f>
        <v>SCS</v>
      </c>
      <c r="AO1351" s="134">
        <v>162</v>
      </c>
      <c r="AP1351" s="135" t="s">
        <v>2172</v>
      </c>
      <c r="AQ1351" s="135">
        <v>503197</v>
      </c>
      <c r="AR1351" s="135" t="s">
        <v>163</v>
      </c>
      <c r="AS1351" s="136">
        <v>0.11366999999999999</v>
      </c>
      <c r="AU1351" s="7" t="str">
        <f>VLOOKUP($AO1351,Mapping!$E$11:$I$96,3,0)</f>
        <v>Augmentation</v>
      </c>
      <c r="AV1351" s="7" t="str">
        <f>VLOOKUP($AQ1351,Mapping!$E$140:$K$2771,5,0)</f>
        <v>Contracts</v>
      </c>
      <c r="AW1351" s="7" t="str">
        <f>VLOOKUP($AQ1351,Mapping!$E$140:$K$2771,7,0)</f>
        <v>ENDirect</v>
      </c>
      <c r="AX1351" s="7" t="str">
        <f>IFERROR(HLOOKUP(AV1351,'Calc|Weightings'!$K$5:$M$5,1,0),"Excl")</f>
        <v>Contracts</v>
      </c>
      <c r="AY1351" s="7" t="str">
        <f>VLOOKUP(AO1351,Mapping!$E$11:$I$96,5,0)</f>
        <v>SCS</v>
      </c>
    </row>
    <row r="1352" spans="1:51" x14ac:dyDescent="0.2">
      <c r="A1352" s="7"/>
      <c r="B1352" s="7"/>
      <c r="C1352" s="7"/>
      <c r="D1352" s="7"/>
      <c r="E1352" s="36">
        <v>148</v>
      </c>
      <c r="F1352" s="36" t="s">
        <v>2158</v>
      </c>
      <c r="G1352" s="36">
        <v>613409</v>
      </c>
      <c r="H1352" s="36" t="s">
        <v>1419</v>
      </c>
      <c r="I1352" s="37">
        <v>122.41489</v>
      </c>
      <c r="J1352" s="7"/>
      <c r="K1352" s="7" t="str">
        <f>VLOOKUP($E1352,Mapping!$E$11:$I$96,3,0)</f>
        <v>Replacement</v>
      </c>
      <c r="L1352" s="7" t="str">
        <f>VLOOKUP($G1352,Mapping!$E$140:$K$2771,5,0)</f>
        <v>Labour</v>
      </c>
      <c r="M1352" s="7" t="str">
        <f>VLOOKUP($G1352,Mapping!$E$140:$K$2771,7,0)</f>
        <v>ENDirect</v>
      </c>
      <c r="N1352" s="7" t="str">
        <f>IFERROR(HLOOKUP(L1352,'Calc|Weightings'!$K$5:$M$5,1,0),"Excl")</f>
        <v>Labour</v>
      </c>
      <c r="O1352" s="7" t="str">
        <f>VLOOKUP(E1352,Mapping!$E$11:$I$96,5,0)</f>
        <v>SCS</v>
      </c>
      <c r="Q1352" s="33">
        <v>158</v>
      </c>
      <c r="R1352" s="33" t="s">
        <v>2169</v>
      </c>
      <c r="S1352" s="33">
        <v>611861</v>
      </c>
      <c r="T1352" s="33" t="s">
        <v>2140</v>
      </c>
      <c r="U1352" s="34">
        <v>0.66929000000000005</v>
      </c>
      <c r="V1352" s="7"/>
      <c r="W1352" s="7" t="str">
        <f>VLOOKUP($Q1352,Mapping!$E$11:$I$96,3,0)</f>
        <v>Replacement</v>
      </c>
      <c r="X1352" s="7" t="str">
        <f>VLOOKUP($S1352,Mapping!$E$140:$K$2771,5,0)</f>
        <v>Labour</v>
      </c>
      <c r="Y1352" s="7" t="str">
        <f>VLOOKUP($S1352,Mapping!$E$140:$K$2771,7,0)</f>
        <v>ENDirect</v>
      </c>
      <c r="Z1352" s="7" t="str">
        <f>IFERROR(HLOOKUP(X1352,'Calc|Weightings'!$K$5:$M$5,1,0),"Excl")</f>
        <v>Labour</v>
      </c>
      <c r="AA1352" s="7" t="str">
        <f>VLOOKUP(Q1352,Mapping!$E$11:$I$96,5,0)</f>
        <v>SCS</v>
      </c>
      <c r="AC1352" s="111">
        <v>158</v>
      </c>
      <c r="AD1352" s="111" t="s">
        <v>2169</v>
      </c>
      <c r="AE1352" s="111">
        <v>613411</v>
      </c>
      <c r="AF1352" s="111" t="s">
        <v>2101</v>
      </c>
      <c r="AG1352" s="112">
        <v>0.67835999999999996</v>
      </c>
      <c r="AI1352" s="7" t="str">
        <f>VLOOKUP($AC1352,Mapping!$E$11:$I$96,3,0)</f>
        <v>Replacement</v>
      </c>
      <c r="AJ1352" s="7" t="str">
        <f>VLOOKUP($AE1352,Mapping!$E$140:$K$2771,5,0)</f>
        <v>Labour</v>
      </c>
      <c r="AK1352" s="7" t="str">
        <f>VLOOKUP($AE1352,Mapping!$E$140:$K$2771,7,0)</f>
        <v>ENDirect</v>
      </c>
      <c r="AL1352" s="7" t="str">
        <f>IFERROR(HLOOKUP(AJ1352,'Calc|Weightings'!$K$5:$M$5,1,0),"Excl")</f>
        <v>Labour</v>
      </c>
      <c r="AM1352" s="7" t="str">
        <f>VLOOKUP(AC1352,Mapping!$E$11:$I$96,5,0)</f>
        <v>SCS</v>
      </c>
      <c r="AO1352" s="134">
        <v>162</v>
      </c>
      <c r="AP1352" s="135" t="s">
        <v>2172</v>
      </c>
      <c r="AQ1352" s="135">
        <v>503210</v>
      </c>
      <c r="AR1352" s="135" t="s">
        <v>166</v>
      </c>
      <c r="AS1352" s="136">
        <v>4.7763799999999996</v>
      </c>
      <c r="AU1352" s="7" t="str">
        <f>VLOOKUP($AO1352,Mapping!$E$11:$I$96,3,0)</f>
        <v>Augmentation</v>
      </c>
      <c r="AV1352" s="7" t="str">
        <f>VLOOKUP($AQ1352,Mapping!$E$140:$K$2771,5,0)</f>
        <v>Contracts</v>
      </c>
      <c r="AW1352" s="7" t="str">
        <f>VLOOKUP($AQ1352,Mapping!$E$140:$K$2771,7,0)</f>
        <v>ENDirect</v>
      </c>
      <c r="AX1352" s="7" t="str">
        <f>IFERROR(HLOOKUP(AV1352,'Calc|Weightings'!$K$5:$M$5,1,0),"Excl")</f>
        <v>Contracts</v>
      </c>
      <c r="AY1352" s="7" t="str">
        <f>VLOOKUP(AO1352,Mapping!$E$11:$I$96,5,0)</f>
        <v>SCS</v>
      </c>
    </row>
    <row r="1353" spans="1:51" x14ac:dyDescent="0.2">
      <c r="A1353" s="7"/>
      <c r="B1353" s="7"/>
      <c r="C1353" s="7"/>
      <c r="D1353" s="7"/>
      <c r="E1353" s="36">
        <v>148</v>
      </c>
      <c r="F1353" s="36" t="s">
        <v>2158</v>
      </c>
      <c r="G1353" s="36">
        <v>613410</v>
      </c>
      <c r="H1353" s="36" t="s">
        <v>2100</v>
      </c>
      <c r="I1353" s="37">
        <v>28.358820000000001</v>
      </c>
      <c r="J1353" s="7"/>
      <c r="K1353" s="7" t="str">
        <f>VLOOKUP($E1353,Mapping!$E$11:$I$96,3,0)</f>
        <v>Replacement</v>
      </c>
      <c r="L1353" s="7" t="str">
        <f>VLOOKUP($G1353,Mapping!$E$140:$K$2771,5,0)</f>
        <v>Labour</v>
      </c>
      <c r="M1353" s="7" t="str">
        <f>VLOOKUP($G1353,Mapping!$E$140:$K$2771,7,0)</f>
        <v>ENDirect</v>
      </c>
      <c r="N1353" s="7" t="str">
        <f>IFERROR(HLOOKUP(L1353,'Calc|Weightings'!$K$5:$M$5,1,0),"Excl")</f>
        <v>Labour</v>
      </c>
      <c r="O1353" s="7" t="str">
        <f>VLOOKUP(E1353,Mapping!$E$11:$I$96,5,0)</f>
        <v>SCS</v>
      </c>
      <c r="Q1353" s="33">
        <v>158</v>
      </c>
      <c r="R1353" s="33" t="s">
        <v>2169</v>
      </c>
      <c r="S1353" s="33">
        <v>611900</v>
      </c>
      <c r="T1353" s="33" t="s">
        <v>2079</v>
      </c>
      <c r="U1353" s="34">
        <v>0.21487999999999999</v>
      </c>
      <c r="V1353" s="7"/>
      <c r="W1353" s="7" t="str">
        <f>VLOOKUP($Q1353,Mapping!$E$11:$I$96,3,0)</f>
        <v>Replacement</v>
      </c>
      <c r="X1353" s="7" t="str">
        <f>VLOOKUP($S1353,Mapping!$E$140:$K$2771,5,0)</f>
        <v>Contracts</v>
      </c>
      <c r="Y1353" s="7" t="str">
        <f>VLOOKUP($S1353,Mapping!$E$140:$K$2771,7,0)</f>
        <v>ENDirect</v>
      </c>
      <c r="Z1353" s="7" t="str">
        <f>IFERROR(HLOOKUP(X1353,'Calc|Weightings'!$K$5:$M$5,1,0),"Excl")</f>
        <v>Contracts</v>
      </c>
      <c r="AA1353" s="7" t="str">
        <f>VLOOKUP(Q1353,Mapping!$E$11:$I$96,5,0)</f>
        <v>SCS</v>
      </c>
      <c r="AC1353" s="111">
        <v>158</v>
      </c>
      <c r="AD1353" s="111" t="s">
        <v>2169</v>
      </c>
      <c r="AE1353" s="111">
        <v>613440</v>
      </c>
      <c r="AF1353" s="111" t="s">
        <v>2103</v>
      </c>
      <c r="AG1353" s="112">
        <v>7.11E-3</v>
      </c>
      <c r="AI1353" s="7" t="str">
        <f>VLOOKUP($AC1353,Mapping!$E$11:$I$96,3,0)</f>
        <v>Replacement</v>
      </c>
      <c r="AJ1353" s="7" t="str">
        <f>VLOOKUP($AE1353,Mapping!$E$140:$K$2771,5,0)</f>
        <v>Labour</v>
      </c>
      <c r="AK1353" s="7" t="str">
        <f>VLOOKUP($AE1353,Mapping!$E$140:$K$2771,7,0)</f>
        <v>ENDirect</v>
      </c>
      <c r="AL1353" s="7" t="str">
        <f>IFERROR(HLOOKUP(AJ1353,'Calc|Weightings'!$K$5:$M$5,1,0),"Excl")</f>
        <v>Labour</v>
      </c>
      <c r="AM1353" s="7" t="str">
        <f>VLOOKUP(AC1353,Mapping!$E$11:$I$96,5,0)</f>
        <v>SCS</v>
      </c>
      <c r="AO1353" s="134">
        <v>162</v>
      </c>
      <c r="AP1353" s="135" t="s">
        <v>2172</v>
      </c>
      <c r="AQ1353" s="135">
        <v>503240</v>
      </c>
      <c r="AR1353" s="135" t="s">
        <v>169</v>
      </c>
      <c r="AS1353" s="136">
        <v>9.2200000000000008E-3</v>
      </c>
      <c r="AU1353" s="7" t="str">
        <f>VLOOKUP($AO1353,Mapping!$E$11:$I$96,3,0)</f>
        <v>Augmentation</v>
      </c>
      <c r="AV1353" s="7" t="str">
        <f>VLOOKUP($AQ1353,Mapping!$E$140:$K$2771,5,0)</f>
        <v>Contracts</v>
      </c>
      <c r="AW1353" s="7" t="str">
        <f>VLOOKUP($AQ1353,Mapping!$E$140:$K$2771,7,0)</f>
        <v>ENDirect</v>
      </c>
      <c r="AX1353" s="7" t="str">
        <f>IFERROR(HLOOKUP(AV1353,'Calc|Weightings'!$K$5:$M$5,1,0),"Excl")</f>
        <v>Contracts</v>
      </c>
      <c r="AY1353" s="7" t="str">
        <f>VLOOKUP(AO1353,Mapping!$E$11:$I$96,5,0)</f>
        <v>SCS</v>
      </c>
    </row>
    <row r="1354" spans="1:51" x14ac:dyDescent="0.2">
      <c r="A1354" s="7"/>
      <c r="B1354" s="7"/>
      <c r="C1354" s="7"/>
      <c r="D1354" s="7"/>
      <c r="E1354" s="36">
        <v>148</v>
      </c>
      <c r="F1354" s="36" t="s">
        <v>2158</v>
      </c>
      <c r="G1354" s="36">
        <v>613411</v>
      </c>
      <c r="H1354" s="36" t="s">
        <v>2101</v>
      </c>
      <c r="I1354" s="37">
        <v>6.1910100000000003</v>
      </c>
      <c r="J1354" s="7"/>
      <c r="K1354" s="7" t="str">
        <f>VLOOKUP($E1354,Mapping!$E$11:$I$96,3,0)</f>
        <v>Replacement</v>
      </c>
      <c r="L1354" s="7" t="str">
        <f>VLOOKUP($G1354,Mapping!$E$140:$K$2771,5,0)</f>
        <v>Labour</v>
      </c>
      <c r="M1354" s="7" t="str">
        <f>VLOOKUP($G1354,Mapping!$E$140:$K$2771,7,0)</f>
        <v>ENDirect</v>
      </c>
      <c r="N1354" s="7" t="str">
        <f>IFERROR(HLOOKUP(L1354,'Calc|Weightings'!$K$5:$M$5,1,0),"Excl")</f>
        <v>Labour</v>
      </c>
      <c r="O1354" s="7" t="str">
        <f>VLOOKUP(E1354,Mapping!$E$11:$I$96,5,0)</f>
        <v>SCS</v>
      </c>
      <c r="Q1354" s="33">
        <v>158</v>
      </c>
      <c r="R1354" s="33" t="s">
        <v>2169</v>
      </c>
      <c r="S1354" s="33">
        <v>611901</v>
      </c>
      <c r="T1354" s="33" t="s">
        <v>2080</v>
      </c>
      <c r="U1354" s="34">
        <v>7.288E-2</v>
      </c>
      <c r="V1354" s="7"/>
      <c r="W1354" s="7" t="str">
        <f>VLOOKUP($Q1354,Mapping!$E$11:$I$96,3,0)</f>
        <v>Replacement</v>
      </c>
      <c r="X1354" s="7" t="str">
        <f>VLOOKUP($S1354,Mapping!$E$140:$K$2771,5,0)</f>
        <v>Contracts</v>
      </c>
      <c r="Y1354" s="7" t="str">
        <f>VLOOKUP($S1354,Mapping!$E$140:$K$2771,7,0)</f>
        <v>ENDirect</v>
      </c>
      <c r="Z1354" s="7" t="str">
        <f>IFERROR(HLOOKUP(X1354,'Calc|Weightings'!$K$5:$M$5,1,0),"Excl")</f>
        <v>Contracts</v>
      </c>
      <c r="AA1354" s="7" t="str">
        <f>VLOOKUP(Q1354,Mapping!$E$11:$I$96,5,0)</f>
        <v>SCS</v>
      </c>
      <c r="AC1354" s="111">
        <v>158</v>
      </c>
      <c r="AD1354" s="111" t="s">
        <v>2169</v>
      </c>
      <c r="AE1354" s="111">
        <v>613441</v>
      </c>
      <c r="AF1354" s="111" t="s">
        <v>2104</v>
      </c>
      <c r="AG1354" s="112">
        <v>0.14218</v>
      </c>
      <c r="AI1354" s="7" t="str">
        <f>VLOOKUP($AC1354,Mapping!$E$11:$I$96,3,0)</f>
        <v>Replacement</v>
      </c>
      <c r="AJ1354" s="7" t="str">
        <f>VLOOKUP($AE1354,Mapping!$E$140:$K$2771,5,0)</f>
        <v>Labour</v>
      </c>
      <c r="AK1354" s="7" t="str">
        <f>VLOOKUP($AE1354,Mapping!$E$140:$K$2771,7,0)</f>
        <v>ENDirect</v>
      </c>
      <c r="AL1354" s="7" t="str">
        <f>IFERROR(HLOOKUP(AJ1354,'Calc|Weightings'!$K$5:$M$5,1,0),"Excl")</f>
        <v>Labour</v>
      </c>
      <c r="AM1354" s="7" t="str">
        <f>VLOOKUP(AC1354,Mapping!$E$11:$I$96,5,0)</f>
        <v>SCS</v>
      </c>
      <c r="AO1354" s="134">
        <v>162</v>
      </c>
      <c r="AP1354" s="135" t="s">
        <v>2172</v>
      </c>
      <c r="AQ1354" s="135">
        <v>503250</v>
      </c>
      <c r="AR1354" s="135" t="s">
        <v>170</v>
      </c>
      <c r="AS1354" s="136">
        <v>9.5570000000000002E-2</v>
      </c>
      <c r="AU1354" s="7" t="str">
        <f>VLOOKUP($AO1354,Mapping!$E$11:$I$96,3,0)</f>
        <v>Augmentation</v>
      </c>
      <c r="AV1354" s="7" t="str">
        <f>VLOOKUP($AQ1354,Mapping!$E$140:$K$2771,5,0)</f>
        <v>Contracts</v>
      </c>
      <c r="AW1354" s="7" t="str">
        <f>VLOOKUP($AQ1354,Mapping!$E$140:$K$2771,7,0)</f>
        <v>ENDirect</v>
      </c>
      <c r="AX1354" s="7" t="str">
        <f>IFERROR(HLOOKUP(AV1354,'Calc|Weightings'!$K$5:$M$5,1,0),"Excl")</f>
        <v>Contracts</v>
      </c>
      <c r="AY1354" s="7" t="str">
        <f>VLOOKUP(AO1354,Mapping!$E$11:$I$96,5,0)</f>
        <v>SCS</v>
      </c>
    </row>
    <row r="1355" spans="1:51" x14ac:dyDescent="0.2">
      <c r="A1355" s="7"/>
      <c r="B1355" s="7"/>
      <c r="C1355" s="7"/>
      <c r="D1355" s="7"/>
      <c r="E1355" s="36">
        <v>148</v>
      </c>
      <c r="F1355" s="36" t="s">
        <v>2158</v>
      </c>
      <c r="G1355" s="36">
        <v>613418</v>
      </c>
      <c r="H1355" s="36" t="s">
        <v>1424</v>
      </c>
      <c r="I1355" s="37">
        <v>91.692179999999993</v>
      </c>
      <c r="J1355" s="7"/>
      <c r="K1355" s="7" t="str">
        <f>VLOOKUP($E1355,Mapping!$E$11:$I$96,3,0)</f>
        <v>Replacement</v>
      </c>
      <c r="L1355" s="7" t="str">
        <f>VLOOKUP($G1355,Mapping!$E$140:$K$2771,5,0)</f>
        <v>Labour</v>
      </c>
      <c r="M1355" s="7" t="str">
        <f>VLOOKUP($G1355,Mapping!$E$140:$K$2771,7,0)</f>
        <v>ENDirect</v>
      </c>
      <c r="N1355" s="7" t="str">
        <f>IFERROR(HLOOKUP(L1355,'Calc|Weightings'!$K$5:$M$5,1,0),"Excl")</f>
        <v>Labour</v>
      </c>
      <c r="O1355" s="7" t="str">
        <f>VLOOKUP(E1355,Mapping!$E$11:$I$96,5,0)</f>
        <v>SCS</v>
      </c>
      <c r="Q1355" s="33">
        <v>158</v>
      </c>
      <c r="R1355" s="33" t="s">
        <v>2169</v>
      </c>
      <c r="S1355" s="33">
        <v>612210</v>
      </c>
      <c r="T1355" s="33" t="s">
        <v>1184</v>
      </c>
      <c r="U1355" s="34">
        <v>2.5400000000000002E-3</v>
      </c>
      <c r="V1355" s="7"/>
      <c r="W1355" s="7" t="str">
        <f>VLOOKUP($Q1355,Mapping!$E$11:$I$96,3,0)</f>
        <v>Replacement</v>
      </c>
      <c r="X1355" s="7" t="str">
        <f>VLOOKUP($S1355,Mapping!$E$140:$K$2771,5,0)</f>
        <v>Labour</v>
      </c>
      <c r="Y1355" s="7" t="str">
        <f>VLOOKUP($S1355,Mapping!$E$140:$K$2771,7,0)</f>
        <v>ENDirect</v>
      </c>
      <c r="Z1355" s="7" t="str">
        <f>IFERROR(HLOOKUP(X1355,'Calc|Weightings'!$K$5:$M$5,1,0),"Excl")</f>
        <v>Labour</v>
      </c>
      <c r="AA1355" s="7" t="str">
        <f>VLOOKUP(Q1355,Mapping!$E$11:$I$96,5,0)</f>
        <v>SCS</v>
      </c>
      <c r="AC1355" s="111">
        <v>158</v>
      </c>
      <c r="AD1355" s="111" t="s">
        <v>2169</v>
      </c>
      <c r="AE1355" s="111">
        <v>613566</v>
      </c>
      <c r="AF1355" s="111" t="s">
        <v>1482</v>
      </c>
      <c r="AG1355" s="112">
        <v>1.6983999999999999</v>
      </c>
      <c r="AI1355" s="7" t="str">
        <f>VLOOKUP($AC1355,Mapping!$E$11:$I$96,3,0)</f>
        <v>Replacement</v>
      </c>
      <c r="AJ1355" s="7" t="str">
        <f>VLOOKUP($AE1355,Mapping!$E$140:$K$2771,5,0)</f>
        <v>Labour</v>
      </c>
      <c r="AK1355" s="7" t="str">
        <f>VLOOKUP($AE1355,Mapping!$E$140:$K$2771,7,0)</f>
        <v>ENDirect</v>
      </c>
      <c r="AL1355" s="7" t="str">
        <f>IFERROR(HLOOKUP(AJ1355,'Calc|Weightings'!$K$5:$M$5,1,0),"Excl")</f>
        <v>Labour</v>
      </c>
      <c r="AM1355" s="7" t="str">
        <f>VLOOKUP(AC1355,Mapping!$E$11:$I$96,5,0)</f>
        <v>SCS</v>
      </c>
      <c r="AO1355" s="134">
        <v>162</v>
      </c>
      <c r="AP1355" s="135" t="s">
        <v>2172</v>
      </c>
      <c r="AQ1355" s="135">
        <v>503281</v>
      </c>
      <c r="AR1355" s="135" t="s">
        <v>2198</v>
      </c>
      <c r="AS1355" s="136">
        <v>0.69064000000000003</v>
      </c>
      <c r="AU1355" s="7" t="str">
        <f>VLOOKUP($AO1355,Mapping!$E$11:$I$96,3,0)</f>
        <v>Augmentation</v>
      </c>
      <c r="AV1355" s="7" t="str">
        <f>VLOOKUP($AQ1355,Mapping!$E$140:$K$2771,5,0)</f>
        <v>Contracts</v>
      </c>
      <c r="AW1355" s="7" t="str">
        <f>VLOOKUP($AQ1355,Mapping!$E$140:$K$2771,7,0)</f>
        <v>ENDirect</v>
      </c>
      <c r="AX1355" s="7" t="str">
        <f>IFERROR(HLOOKUP(AV1355,'Calc|Weightings'!$K$5:$M$5,1,0),"Excl")</f>
        <v>Contracts</v>
      </c>
      <c r="AY1355" s="7" t="str">
        <f>VLOOKUP(AO1355,Mapping!$E$11:$I$96,5,0)</f>
        <v>SCS</v>
      </c>
    </row>
    <row r="1356" spans="1:51" x14ac:dyDescent="0.2">
      <c r="A1356" s="7"/>
      <c r="B1356" s="7"/>
      <c r="C1356" s="7"/>
      <c r="D1356" s="7"/>
      <c r="E1356" s="36">
        <v>148</v>
      </c>
      <c r="F1356" s="36" t="s">
        <v>2158</v>
      </c>
      <c r="G1356" s="36">
        <v>613419</v>
      </c>
      <c r="H1356" s="36" t="s">
        <v>1425</v>
      </c>
      <c r="I1356" s="37">
        <v>74.121709999999993</v>
      </c>
      <c r="J1356" s="7"/>
      <c r="K1356" s="7" t="str">
        <f>VLOOKUP($E1356,Mapping!$E$11:$I$96,3,0)</f>
        <v>Replacement</v>
      </c>
      <c r="L1356" s="7" t="str">
        <f>VLOOKUP($G1356,Mapping!$E$140:$K$2771,5,0)</f>
        <v>Labour</v>
      </c>
      <c r="M1356" s="7" t="str">
        <f>VLOOKUP($G1356,Mapping!$E$140:$K$2771,7,0)</f>
        <v>ENDirect</v>
      </c>
      <c r="N1356" s="7" t="str">
        <f>IFERROR(HLOOKUP(L1356,'Calc|Weightings'!$K$5:$M$5,1,0),"Excl")</f>
        <v>Labour</v>
      </c>
      <c r="O1356" s="7" t="str">
        <f>VLOOKUP(E1356,Mapping!$E$11:$I$96,5,0)</f>
        <v>SCS</v>
      </c>
      <c r="Q1356" s="33">
        <v>158</v>
      </c>
      <c r="R1356" s="33" t="s">
        <v>2169</v>
      </c>
      <c r="S1356" s="33">
        <v>613250</v>
      </c>
      <c r="T1356" s="33" t="s">
        <v>2086</v>
      </c>
      <c r="U1356" s="34">
        <v>4.2204800000000002</v>
      </c>
      <c r="V1356" s="7"/>
      <c r="W1356" s="7" t="str">
        <f>VLOOKUP($Q1356,Mapping!$E$11:$I$96,3,0)</f>
        <v>Replacement</v>
      </c>
      <c r="X1356" s="7" t="str">
        <f>VLOOKUP($S1356,Mapping!$E$140:$K$2771,5,0)</f>
        <v>Labour</v>
      </c>
      <c r="Y1356" s="7" t="str">
        <f>VLOOKUP($S1356,Mapping!$E$140:$K$2771,7,0)</f>
        <v>ENDirect</v>
      </c>
      <c r="Z1356" s="7" t="str">
        <f>IFERROR(HLOOKUP(X1356,'Calc|Weightings'!$K$5:$M$5,1,0),"Excl")</f>
        <v>Labour</v>
      </c>
      <c r="AA1356" s="7" t="str">
        <f>VLOOKUP(Q1356,Mapping!$E$11:$I$96,5,0)</f>
        <v>SCS</v>
      </c>
      <c r="AC1356" s="111">
        <v>158</v>
      </c>
      <c r="AD1356" s="111" t="s">
        <v>2169</v>
      </c>
      <c r="AE1356" s="111">
        <v>613567</v>
      </c>
      <c r="AF1356" s="111" t="s">
        <v>1483</v>
      </c>
      <c r="AG1356" s="112">
        <v>0.2268</v>
      </c>
      <c r="AI1356" s="7" t="str">
        <f>VLOOKUP($AC1356,Mapping!$E$11:$I$96,3,0)</f>
        <v>Replacement</v>
      </c>
      <c r="AJ1356" s="7" t="str">
        <f>VLOOKUP($AE1356,Mapping!$E$140:$K$2771,5,0)</f>
        <v>Labour</v>
      </c>
      <c r="AK1356" s="7" t="str">
        <f>VLOOKUP($AE1356,Mapping!$E$140:$K$2771,7,0)</f>
        <v>ENDirect</v>
      </c>
      <c r="AL1356" s="7" t="str">
        <f>IFERROR(HLOOKUP(AJ1356,'Calc|Weightings'!$K$5:$M$5,1,0),"Excl")</f>
        <v>Labour</v>
      </c>
      <c r="AM1356" s="7" t="str">
        <f>VLOOKUP(AC1356,Mapping!$E$11:$I$96,5,0)</f>
        <v>SCS</v>
      </c>
      <c r="AO1356" s="134">
        <v>162</v>
      </c>
      <c r="AP1356" s="135" t="s">
        <v>2172</v>
      </c>
      <c r="AQ1356" s="135">
        <v>503290</v>
      </c>
      <c r="AR1356" s="135" t="s">
        <v>175</v>
      </c>
      <c r="AS1356" s="136">
        <v>0.23605000000000001</v>
      </c>
      <c r="AU1356" s="7" t="str">
        <f>VLOOKUP($AO1356,Mapping!$E$11:$I$96,3,0)</f>
        <v>Augmentation</v>
      </c>
      <c r="AV1356" s="7" t="str">
        <f>VLOOKUP($AQ1356,Mapping!$E$140:$K$2771,5,0)</f>
        <v>Contracts</v>
      </c>
      <c r="AW1356" s="7" t="str">
        <f>VLOOKUP($AQ1356,Mapping!$E$140:$K$2771,7,0)</f>
        <v>ENDirect</v>
      </c>
      <c r="AX1356" s="7" t="str">
        <f>IFERROR(HLOOKUP(AV1356,'Calc|Weightings'!$K$5:$M$5,1,0),"Excl")</f>
        <v>Contracts</v>
      </c>
      <c r="AY1356" s="7" t="str">
        <f>VLOOKUP(AO1356,Mapping!$E$11:$I$96,5,0)</f>
        <v>SCS</v>
      </c>
    </row>
    <row r="1357" spans="1:51" x14ac:dyDescent="0.2">
      <c r="A1357" s="7"/>
      <c r="B1357" s="7"/>
      <c r="C1357" s="7"/>
      <c r="D1357" s="7"/>
      <c r="E1357" s="36">
        <v>148</v>
      </c>
      <c r="F1357" s="36" t="s">
        <v>2158</v>
      </c>
      <c r="G1357" s="36">
        <v>613428</v>
      </c>
      <c r="H1357" s="36" t="s">
        <v>1430</v>
      </c>
      <c r="I1357" s="37">
        <v>2.2126999999999999</v>
      </c>
      <c r="J1357" s="7"/>
      <c r="K1357" s="7" t="str">
        <f>VLOOKUP($E1357,Mapping!$E$11:$I$96,3,0)</f>
        <v>Replacement</v>
      </c>
      <c r="L1357" s="7" t="str">
        <f>VLOOKUP($G1357,Mapping!$E$140:$K$2771,5,0)</f>
        <v>Labour</v>
      </c>
      <c r="M1357" s="7" t="str">
        <f>VLOOKUP($G1357,Mapping!$E$140:$K$2771,7,0)</f>
        <v>ENDirect</v>
      </c>
      <c r="N1357" s="7" t="str">
        <f>IFERROR(HLOOKUP(L1357,'Calc|Weightings'!$K$5:$M$5,1,0),"Excl")</f>
        <v>Labour</v>
      </c>
      <c r="O1357" s="7" t="str">
        <f>VLOOKUP(E1357,Mapping!$E$11:$I$96,5,0)</f>
        <v>SCS</v>
      </c>
      <c r="Q1357" s="33">
        <v>158</v>
      </c>
      <c r="R1357" s="33" t="s">
        <v>2169</v>
      </c>
      <c r="S1357" s="33">
        <v>613290</v>
      </c>
      <c r="T1357" s="33" t="s">
        <v>2093</v>
      </c>
      <c r="U1357" s="34">
        <v>1.244</v>
      </c>
      <c r="V1357" s="7"/>
      <c r="W1357" s="7" t="str">
        <f>VLOOKUP($Q1357,Mapping!$E$11:$I$96,3,0)</f>
        <v>Replacement</v>
      </c>
      <c r="X1357" s="7" t="str">
        <f>VLOOKUP($S1357,Mapping!$E$140:$K$2771,5,0)</f>
        <v>Labour</v>
      </c>
      <c r="Y1357" s="7" t="str">
        <f>VLOOKUP($S1357,Mapping!$E$140:$K$2771,7,0)</f>
        <v>ENDirect</v>
      </c>
      <c r="Z1357" s="7" t="str">
        <f>IFERROR(HLOOKUP(X1357,'Calc|Weightings'!$K$5:$M$5,1,0),"Excl")</f>
        <v>Labour</v>
      </c>
      <c r="AA1357" s="7" t="str">
        <f>VLOOKUP(Q1357,Mapping!$E$11:$I$96,5,0)</f>
        <v>SCS</v>
      </c>
      <c r="AC1357" s="111">
        <v>158</v>
      </c>
      <c r="AD1357" s="111" t="s">
        <v>2169</v>
      </c>
      <c r="AE1357" s="111">
        <v>633000</v>
      </c>
      <c r="AF1357" s="111" t="s">
        <v>2202</v>
      </c>
      <c r="AG1357" s="112">
        <v>-1.5640099999999999</v>
      </c>
      <c r="AI1357" s="7" t="str">
        <f>VLOOKUP($AC1357,Mapping!$E$11:$I$96,3,0)</f>
        <v>Replacement</v>
      </c>
      <c r="AJ1357" s="7" t="str">
        <f>VLOOKUP($AE1357,Mapping!$E$140:$K$2771,5,0)</f>
        <v>Contracts</v>
      </c>
      <c r="AK1357" s="7" t="str">
        <f>VLOOKUP($AE1357,Mapping!$E$140:$K$2771,7,0)</f>
        <v>OH</v>
      </c>
      <c r="AL1357" s="7" t="str">
        <f>IFERROR(HLOOKUP(AJ1357,'Calc|Weightings'!$K$5:$M$5,1,0),"Excl")</f>
        <v>Contracts</v>
      </c>
      <c r="AM1357" s="7" t="str">
        <f>VLOOKUP(AC1357,Mapping!$E$11:$I$96,5,0)</f>
        <v>SCS</v>
      </c>
      <c r="AO1357" s="134">
        <v>162</v>
      </c>
      <c r="AP1357" s="135" t="s">
        <v>2172</v>
      </c>
      <c r="AQ1357" s="135">
        <v>503300</v>
      </c>
      <c r="AR1357" s="135" t="s">
        <v>176</v>
      </c>
      <c r="AS1357" s="136">
        <v>6.2719699999999996</v>
      </c>
      <c r="AU1357" s="7" t="str">
        <f>VLOOKUP($AO1357,Mapping!$E$11:$I$96,3,0)</f>
        <v>Augmentation</v>
      </c>
      <c r="AV1357" s="7" t="str">
        <f>VLOOKUP($AQ1357,Mapping!$E$140:$K$2771,5,0)</f>
        <v>Contracts</v>
      </c>
      <c r="AW1357" s="7" t="str">
        <f>VLOOKUP($AQ1357,Mapping!$E$140:$K$2771,7,0)</f>
        <v>ENDirect</v>
      </c>
      <c r="AX1357" s="7" t="str">
        <f>IFERROR(HLOOKUP(AV1357,'Calc|Weightings'!$K$5:$M$5,1,0),"Excl")</f>
        <v>Contracts</v>
      </c>
      <c r="AY1357" s="7" t="str">
        <f>VLOOKUP(AO1357,Mapping!$E$11:$I$96,5,0)</f>
        <v>SCS</v>
      </c>
    </row>
    <row r="1358" spans="1:51" x14ac:dyDescent="0.2">
      <c r="A1358" s="7"/>
      <c r="B1358" s="7"/>
      <c r="C1358" s="7"/>
      <c r="D1358" s="7"/>
      <c r="E1358" s="36">
        <v>148</v>
      </c>
      <c r="F1358" s="36" t="s">
        <v>2158</v>
      </c>
      <c r="G1358" s="36">
        <v>613429</v>
      </c>
      <c r="H1358" s="36" t="s">
        <v>1431</v>
      </c>
      <c r="I1358" s="37">
        <v>2.2253400000000001</v>
      </c>
      <c r="J1358" s="7"/>
      <c r="K1358" s="7" t="str">
        <f>VLOOKUP($E1358,Mapping!$E$11:$I$96,3,0)</f>
        <v>Replacement</v>
      </c>
      <c r="L1358" s="7" t="str">
        <f>VLOOKUP($G1358,Mapping!$E$140:$K$2771,5,0)</f>
        <v>Labour</v>
      </c>
      <c r="M1358" s="7" t="str">
        <f>VLOOKUP($G1358,Mapping!$E$140:$K$2771,7,0)</f>
        <v>ENDirect</v>
      </c>
      <c r="N1358" s="7" t="str">
        <f>IFERROR(HLOOKUP(L1358,'Calc|Weightings'!$K$5:$M$5,1,0),"Excl")</f>
        <v>Labour</v>
      </c>
      <c r="O1358" s="7" t="str">
        <f>VLOOKUP(E1358,Mapping!$E$11:$I$96,5,0)</f>
        <v>SCS</v>
      </c>
      <c r="Q1358" s="33">
        <v>158</v>
      </c>
      <c r="R1358" s="33" t="s">
        <v>2169</v>
      </c>
      <c r="S1358" s="33">
        <v>613360</v>
      </c>
      <c r="T1358" s="33" t="s">
        <v>2097</v>
      </c>
      <c r="U1358" s="34">
        <v>0.12336</v>
      </c>
      <c r="V1358" s="7"/>
      <c r="W1358" s="7" t="str">
        <f>VLOOKUP($Q1358,Mapping!$E$11:$I$96,3,0)</f>
        <v>Replacement</v>
      </c>
      <c r="X1358" s="7" t="str">
        <f>VLOOKUP($S1358,Mapping!$E$140:$K$2771,5,0)</f>
        <v>Labour</v>
      </c>
      <c r="Y1358" s="7" t="str">
        <f>VLOOKUP($S1358,Mapping!$E$140:$K$2771,7,0)</f>
        <v>ENDirect</v>
      </c>
      <c r="Z1358" s="7" t="str">
        <f>IFERROR(HLOOKUP(X1358,'Calc|Weightings'!$K$5:$M$5,1,0),"Excl")</f>
        <v>Labour</v>
      </c>
      <c r="AA1358" s="7" t="str">
        <f>VLOOKUP(Q1358,Mapping!$E$11:$I$96,5,0)</f>
        <v>SCS</v>
      </c>
      <c r="AC1358" s="111">
        <v>158</v>
      </c>
      <c r="AD1358" s="111" t="s">
        <v>2169</v>
      </c>
      <c r="AE1358" s="111">
        <v>634000</v>
      </c>
      <c r="AF1358" s="111" t="s">
        <v>2110</v>
      </c>
      <c r="AG1358" s="112">
        <v>0.44740000000000002</v>
      </c>
      <c r="AI1358" s="7" t="str">
        <f>VLOOKUP($AC1358,Mapping!$E$11:$I$96,3,0)</f>
        <v>Replacement</v>
      </c>
      <c r="AJ1358" s="7" t="str">
        <f>VLOOKUP($AE1358,Mapping!$E$140:$K$2771,5,0)</f>
        <v>Local OH</v>
      </c>
      <c r="AK1358" s="7" t="str">
        <f>VLOOKUP($AE1358,Mapping!$E$140:$K$2771,7,0)</f>
        <v>OH</v>
      </c>
      <c r="AL1358" s="7" t="str">
        <f>IFERROR(HLOOKUP(AJ1358,'Calc|Weightings'!$K$5:$M$5,1,0),"Excl")</f>
        <v>Excl</v>
      </c>
      <c r="AM1358" s="7" t="str">
        <f>VLOOKUP(AC1358,Mapping!$E$11:$I$96,5,0)</f>
        <v>SCS</v>
      </c>
      <c r="AO1358" s="134">
        <v>162</v>
      </c>
      <c r="AP1358" s="135" t="s">
        <v>2172</v>
      </c>
      <c r="AQ1358" s="135">
        <v>503330</v>
      </c>
      <c r="AR1358" s="135" t="s">
        <v>180</v>
      </c>
      <c r="AS1358" s="136">
        <v>0.23891000000000001</v>
      </c>
      <c r="AU1358" s="7" t="str">
        <f>VLOOKUP($AO1358,Mapping!$E$11:$I$96,3,0)</f>
        <v>Augmentation</v>
      </c>
      <c r="AV1358" s="7" t="str">
        <f>VLOOKUP($AQ1358,Mapping!$E$140:$K$2771,5,0)</f>
        <v>Contracts</v>
      </c>
      <c r="AW1358" s="7" t="str">
        <f>VLOOKUP($AQ1358,Mapping!$E$140:$K$2771,7,0)</f>
        <v>ENDirect</v>
      </c>
      <c r="AX1358" s="7" t="str">
        <f>IFERROR(HLOOKUP(AV1358,'Calc|Weightings'!$K$5:$M$5,1,0),"Excl")</f>
        <v>Contracts</v>
      </c>
      <c r="AY1358" s="7" t="str">
        <f>VLOOKUP(AO1358,Mapping!$E$11:$I$96,5,0)</f>
        <v>SCS</v>
      </c>
    </row>
    <row r="1359" spans="1:51" x14ac:dyDescent="0.2">
      <c r="A1359" s="7"/>
      <c r="B1359" s="7"/>
      <c r="C1359" s="7"/>
      <c r="D1359" s="7"/>
      <c r="E1359" s="36">
        <v>148</v>
      </c>
      <c r="F1359" s="36" t="s">
        <v>2158</v>
      </c>
      <c r="G1359" s="36">
        <v>613438</v>
      </c>
      <c r="H1359" s="36" t="s">
        <v>1436</v>
      </c>
      <c r="I1359" s="37">
        <v>21.264500000000002</v>
      </c>
      <c r="J1359" s="7"/>
      <c r="K1359" s="7" t="str">
        <f>VLOOKUP($E1359,Mapping!$E$11:$I$96,3,0)</f>
        <v>Replacement</v>
      </c>
      <c r="L1359" s="7" t="str">
        <f>VLOOKUP($G1359,Mapping!$E$140:$K$2771,5,0)</f>
        <v>Labour</v>
      </c>
      <c r="M1359" s="7" t="str">
        <f>VLOOKUP($G1359,Mapping!$E$140:$K$2771,7,0)</f>
        <v>ENDirect</v>
      </c>
      <c r="N1359" s="7" t="str">
        <f>IFERROR(HLOOKUP(L1359,'Calc|Weightings'!$K$5:$M$5,1,0),"Excl")</f>
        <v>Labour</v>
      </c>
      <c r="O1359" s="7" t="str">
        <f>VLOOKUP(E1359,Mapping!$E$11:$I$96,5,0)</f>
        <v>SCS</v>
      </c>
      <c r="Q1359" s="33">
        <v>158</v>
      </c>
      <c r="R1359" s="33" t="s">
        <v>2169</v>
      </c>
      <c r="S1359" s="33">
        <v>613390</v>
      </c>
      <c r="T1359" s="33" t="s">
        <v>2141</v>
      </c>
      <c r="U1359" s="34">
        <v>0.17116000000000001</v>
      </c>
      <c r="V1359" s="7"/>
      <c r="W1359" s="7" t="str">
        <f>VLOOKUP($Q1359,Mapping!$E$11:$I$96,3,0)</f>
        <v>Replacement</v>
      </c>
      <c r="X1359" s="7" t="str">
        <f>VLOOKUP($S1359,Mapping!$E$140:$K$2771,5,0)</f>
        <v>Contracts</v>
      </c>
      <c r="Y1359" s="7" t="str">
        <f>VLOOKUP($S1359,Mapping!$E$140:$K$2771,7,0)</f>
        <v>ENDirect</v>
      </c>
      <c r="Z1359" s="7" t="str">
        <f>IFERROR(HLOOKUP(X1359,'Calc|Weightings'!$K$5:$M$5,1,0),"Excl")</f>
        <v>Contracts</v>
      </c>
      <c r="AA1359" s="7" t="str">
        <f>VLOOKUP(Q1359,Mapping!$E$11:$I$96,5,0)</f>
        <v>SCS</v>
      </c>
      <c r="AC1359" s="111">
        <v>158</v>
      </c>
      <c r="AD1359" s="111" t="s">
        <v>2169</v>
      </c>
      <c r="AE1359" s="111">
        <v>634001</v>
      </c>
      <c r="AF1359" s="111" t="s">
        <v>2110</v>
      </c>
      <c r="AG1359" s="112">
        <v>5.4112099999999996</v>
      </c>
      <c r="AI1359" s="7" t="str">
        <f>VLOOKUP($AC1359,Mapping!$E$11:$I$96,3,0)</f>
        <v>Replacement</v>
      </c>
      <c r="AJ1359" s="7" t="str">
        <f>VLOOKUP($AE1359,Mapping!$E$140:$K$2771,5,0)</f>
        <v>Local OH</v>
      </c>
      <c r="AK1359" s="7" t="str">
        <f>VLOOKUP($AE1359,Mapping!$E$140:$K$2771,7,0)</f>
        <v>OH</v>
      </c>
      <c r="AL1359" s="7" t="str">
        <f>IFERROR(HLOOKUP(AJ1359,'Calc|Weightings'!$K$5:$M$5,1,0),"Excl")</f>
        <v>Excl</v>
      </c>
      <c r="AM1359" s="7" t="str">
        <f>VLOOKUP(AC1359,Mapping!$E$11:$I$96,5,0)</f>
        <v>SCS</v>
      </c>
      <c r="AO1359" s="134">
        <v>162</v>
      </c>
      <c r="AP1359" s="135" t="s">
        <v>2172</v>
      </c>
      <c r="AQ1359" s="135">
        <v>503350</v>
      </c>
      <c r="AR1359" s="135" t="s">
        <v>182</v>
      </c>
      <c r="AS1359" s="136">
        <v>2.7888700000000002</v>
      </c>
      <c r="AU1359" s="7" t="str">
        <f>VLOOKUP($AO1359,Mapping!$E$11:$I$96,3,0)</f>
        <v>Augmentation</v>
      </c>
      <c r="AV1359" s="7" t="str">
        <f>VLOOKUP($AQ1359,Mapping!$E$140:$K$2771,5,0)</f>
        <v>Contracts</v>
      </c>
      <c r="AW1359" s="7" t="str">
        <f>VLOOKUP($AQ1359,Mapping!$E$140:$K$2771,7,0)</f>
        <v>ENDirect</v>
      </c>
      <c r="AX1359" s="7" t="str">
        <f>IFERROR(HLOOKUP(AV1359,'Calc|Weightings'!$K$5:$M$5,1,0),"Excl")</f>
        <v>Contracts</v>
      </c>
      <c r="AY1359" s="7" t="str">
        <f>VLOOKUP(AO1359,Mapping!$E$11:$I$96,5,0)</f>
        <v>SCS</v>
      </c>
    </row>
    <row r="1360" spans="1:51" x14ac:dyDescent="0.2">
      <c r="A1360" s="7"/>
      <c r="B1360" s="7"/>
      <c r="C1360" s="7"/>
      <c r="D1360" s="7"/>
      <c r="E1360" s="36">
        <v>148</v>
      </c>
      <c r="F1360" s="36" t="s">
        <v>2158</v>
      </c>
      <c r="G1360" s="36">
        <v>613439</v>
      </c>
      <c r="H1360" s="36" t="s">
        <v>1437</v>
      </c>
      <c r="I1360" s="37">
        <v>9.6593400000000003</v>
      </c>
      <c r="J1360" s="7"/>
      <c r="K1360" s="7" t="str">
        <f>VLOOKUP($E1360,Mapping!$E$11:$I$96,3,0)</f>
        <v>Replacement</v>
      </c>
      <c r="L1360" s="7" t="str">
        <f>VLOOKUP($G1360,Mapping!$E$140:$K$2771,5,0)</f>
        <v>Labour</v>
      </c>
      <c r="M1360" s="7" t="str">
        <f>VLOOKUP($G1360,Mapping!$E$140:$K$2771,7,0)</f>
        <v>ENDirect</v>
      </c>
      <c r="N1360" s="7" t="str">
        <f>IFERROR(HLOOKUP(L1360,'Calc|Weightings'!$K$5:$M$5,1,0),"Excl")</f>
        <v>Labour</v>
      </c>
      <c r="O1360" s="7" t="str">
        <f>VLOOKUP(E1360,Mapping!$E$11:$I$96,5,0)</f>
        <v>SCS</v>
      </c>
      <c r="Q1360" s="33">
        <v>158</v>
      </c>
      <c r="R1360" s="33" t="s">
        <v>2169</v>
      </c>
      <c r="S1360" s="33">
        <v>613400</v>
      </c>
      <c r="T1360" s="33" t="s">
        <v>2099</v>
      </c>
      <c r="U1360" s="34">
        <v>1.0196799999999999</v>
      </c>
      <c r="V1360" s="7"/>
      <c r="W1360" s="7" t="str">
        <f>VLOOKUP($Q1360,Mapping!$E$11:$I$96,3,0)</f>
        <v>Replacement</v>
      </c>
      <c r="X1360" s="7" t="str">
        <f>VLOOKUP($S1360,Mapping!$E$140:$K$2771,5,0)</f>
        <v>Labour</v>
      </c>
      <c r="Y1360" s="7" t="str">
        <f>VLOOKUP($S1360,Mapping!$E$140:$K$2771,7,0)</f>
        <v>ENDirect</v>
      </c>
      <c r="Z1360" s="7" t="str">
        <f>IFERROR(HLOOKUP(X1360,'Calc|Weightings'!$K$5:$M$5,1,0),"Excl")</f>
        <v>Labour</v>
      </c>
      <c r="AA1360" s="7" t="str">
        <f>VLOOKUP(Q1360,Mapping!$E$11:$I$96,5,0)</f>
        <v>SCS</v>
      </c>
      <c r="AC1360" s="111">
        <v>158</v>
      </c>
      <c r="AD1360" s="111" t="s">
        <v>2169</v>
      </c>
      <c r="AE1360" s="111">
        <v>635000</v>
      </c>
      <c r="AF1360" s="111" t="s">
        <v>2128</v>
      </c>
      <c r="AG1360" s="112">
        <v>1.59853</v>
      </c>
      <c r="AI1360" s="7" t="str">
        <f>VLOOKUP($AC1360,Mapping!$E$11:$I$96,3,0)</f>
        <v>Replacement</v>
      </c>
      <c r="AJ1360" s="7" t="str">
        <f>VLOOKUP($AE1360,Mapping!$E$140:$K$2771,5,0)</f>
        <v>PNS MG</v>
      </c>
      <c r="AK1360" s="7" t="str">
        <f>VLOOKUP($AE1360,Mapping!$E$140:$K$2771,7,0)</f>
        <v>ENDirect</v>
      </c>
      <c r="AL1360" s="7" t="str">
        <f>IFERROR(HLOOKUP(AJ1360,'Calc|Weightings'!$K$5:$M$5,1,0),"Excl")</f>
        <v>Excl</v>
      </c>
      <c r="AM1360" s="7" t="str">
        <f>VLOOKUP(AC1360,Mapping!$E$11:$I$96,5,0)</f>
        <v>SCS</v>
      </c>
      <c r="AO1360" s="134">
        <v>162</v>
      </c>
      <c r="AP1360" s="135" t="s">
        <v>2172</v>
      </c>
      <c r="AQ1360" s="135">
        <v>520100</v>
      </c>
      <c r="AR1360" s="135" t="s">
        <v>2072</v>
      </c>
      <c r="AS1360" s="136">
        <v>522.45326</v>
      </c>
      <c r="AU1360" s="7" t="str">
        <f>VLOOKUP($AO1360,Mapping!$E$11:$I$96,3,0)</f>
        <v>Augmentation</v>
      </c>
      <c r="AV1360" s="7" t="str">
        <f>VLOOKUP($AQ1360,Mapping!$E$140:$K$2771,5,0)</f>
        <v>Materials</v>
      </c>
      <c r="AW1360" s="7" t="str">
        <f>VLOOKUP($AQ1360,Mapping!$E$140:$K$2771,7,0)</f>
        <v>ENDirect</v>
      </c>
      <c r="AX1360" s="7" t="str">
        <f>IFERROR(HLOOKUP(AV1360,'Calc|Weightings'!$K$5:$M$5,1,0),"Excl")</f>
        <v>Materials</v>
      </c>
      <c r="AY1360" s="7" t="str">
        <f>VLOOKUP(AO1360,Mapping!$E$11:$I$96,5,0)</f>
        <v>SCS</v>
      </c>
    </row>
    <row r="1361" spans="1:51" x14ac:dyDescent="0.2">
      <c r="A1361" s="7"/>
      <c r="B1361" s="7"/>
      <c r="C1361" s="7"/>
      <c r="D1361" s="7"/>
      <c r="E1361" s="36">
        <v>148</v>
      </c>
      <c r="F1361" s="36" t="s">
        <v>2158</v>
      </c>
      <c r="G1361" s="36">
        <v>613566</v>
      </c>
      <c r="H1361" s="36" t="s">
        <v>1482</v>
      </c>
      <c r="I1361" s="37">
        <v>0.97367999999999999</v>
      </c>
      <c r="J1361" s="7"/>
      <c r="K1361" s="7" t="str">
        <f>VLOOKUP($E1361,Mapping!$E$11:$I$96,3,0)</f>
        <v>Replacement</v>
      </c>
      <c r="L1361" s="7" t="str">
        <f>VLOOKUP($G1361,Mapping!$E$140:$K$2771,5,0)</f>
        <v>Labour</v>
      </c>
      <c r="M1361" s="7" t="str">
        <f>VLOOKUP($G1361,Mapping!$E$140:$K$2771,7,0)</f>
        <v>ENDirect</v>
      </c>
      <c r="N1361" s="7" t="str">
        <f>IFERROR(HLOOKUP(L1361,'Calc|Weightings'!$K$5:$M$5,1,0),"Excl")</f>
        <v>Labour</v>
      </c>
      <c r="O1361" s="7" t="str">
        <f>VLOOKUP(E1361,Mapping!$E$11:$I$96,5,0)</f>
        <v>SCS</v>
      </c>
      <c r="Q1361" s="33">
        <v>158</v>
      </c>
      <c r="R1361" s="33" t="s">
        <v>2169</v>
      </c>
      <c r="S1361" s="33">
        <v>613410</v>
      </c>
      <c r="T1361" s="33" t="s">
        <v>2100</v>
      </c>
      <c r="U1361" s="34">
        <v>8.4409600000000005</v>
      </c>
      <c r="V1361" s="7"/>
      <c r="W1361" s="7" t="str">
        <f>VLOOKUP($Q1361,Mapping!$E$11:$I$96,3,0)</f>
        <v>Replacement</v>
      </c>
      <c r="X1361" s="7" t="str">
        <f>VLOOKUP($S1361,Mapping!$E$140:$K$2771,5,0)</f>
        <v>Labour</v>
      </c>
      <c r="Y1361" s="7" t="str">
        <f>VLOOKUP($S1361,Mapping!$E$140:$K$2771,7,0)</f>
        <v>ENDirect</v>
      </c>
      <c r="Z1361" s="7" t="str">
        <f>IFERROR(HLOOKUP(X1361,'Calc|Weightings'!$K$5:$M$5,1,0),"Excl")</f>
        <v>Labour</v>
      </c>
      <c r="AA1361" s="7" t="str">
        <f>VLOOKUP(Q1361,Mapping!$E$11:$I$96,5,0)</f>
        <v>SCS</v>
      </c>
      <c r="AC1361" s="111">
        <v>158</v>
      </c>
      <c r="AD1361" s="111" t="s">
        <v>2169</v>
      </c>
      <c r="AE1361" s="111">
        <v>635001</v>
      </c>
      <c r="AF1361" s="111" t="s">
        <v>1929</v>
      </c>
      <c r="AG1361" s="112">
        <v>-0.24762000000000001</v>
      </c>
      <c r="AI1361" s="7" t="str">
        <f>VLOOKUP($AC1361,Mapping!$E$11:$I$96,3,0)</f>
        <v>Replacement</v>
      </c>
      <c r="AJ1361" s="7" t="str">
        <f>VLOOKUP($AE1361,Mapping!$E$140:$K$2771,5,0)</f>
        <v>PNS MG</v>
      </c>
      <c r="AK1361" s="7" t="str">
        <f>VLOOKUP($AE1361,Mapping!$E$140:$K$2771,7,0)</f>
        <v>ENDirect</v>
      </c>
      <c r="AL1361" s="7" t="str">
        <f>IFERROR(HLOOKUP(AJ1361,'Calc|Weightings'!$K$5:$M$5,1,0),"Excl")</f>
        <v>Excl</v>
      </c>
      <c r="AM1361" s="7" t="str">
        <f>VLOOKUP(AC1361,Mapping!$E$11:$I$96,5,0)</f>
        <v>SCS</v>
      </c>
      <c r="AO1361" s="134">
        <v>162</v>
      </c>
      <c r="AP1361" s="135" t="s">
        <v>2172</v>
      </c>
      <c r="AQ1361" s="135">
        <v>520200</v>
      </c>
      <c r="AR1361" s="135" t="s">
        <v>2073</v>
      </c>
      <c r="AS1361" s="136">
        <v>69.946979999999996</v>
      </c>
      <c r="AU1361" s="7" t="str">
        <f>VLOOKUP($AO1361,Mapping!$E$11:$I$96,3,0)</f>
        <v>Augmentation</v>
      </c>
      <c r="AV1361" s="7" t="str">
        <f>VLOOKUP($AQ1361,Mapping!$E$140:$K$2771,5,0)</f>
        <v>Materials</v>
      </c>
      <c r="AW1361" s="7" t="str">
        <f>VLOOKUP($AQ1361,Mapping!$E$140:$K$2771,7,0)</f>
        <v>ENDirect</v>
      </c>
      <c r="AX1361" s="7" t="str">
        <f>IFERROR(HLOOKUP(AV1361,'Calc|Weightings'!$K$5:$M$5,1,0),"Excl")</f>
        <v>Materials</v>
      </c>
      <c r="AY1361" s="7" t="str">
        <f>VLOOKUP(AO1361,Mapping!$E$11:$I$96,5,0)</f>
        <v>SCS</v>
      </c>
    </row>
    <row r="1362" spans="1:51" x14ac:dyDescent="0.2">
      <c r="A1362" s="7"/>
      <c r="B1362" s="7"/>
      <c r="C1362" s="7"/>
      <c r="D1362" s="7"/>
      <c r="E1362" s="36">
        <v>148</v>
      </c>
      <c r="F1362" s="36" t="s">
        <v>2158</v>
      </c>
      <c r="G1362" s="36">
        <v>613630</v>
      </c>
      <c r="H1362" s="36" t="s">
        <v>1498</v>
      </c>
      <c r="I1362" s="37">
        <v>1.5692600000000001</v>
      </c>
      <c r="J1362" s="7"/>
      <c r="K1362" s="7" t="str">
        <f>VLOOKUP($E1362,Mapping!$E$11:$I$96,3,0)</f>
        <v>Replacement</v>
      </c>
      <c r="L1362" s="7" t="str">
        <f>VLOOKUP($G1362,Mapping!$E$140:$K$2771,5,0)</f>
        <v>Labour</v>
      </c>
      <c r="M1362" s="7" t="str">
        <f>VLOOKUP($G1362,Mapping!$E$140:$K$2771,7,0)</f>
        <v>ENDirect</v>
      </c>
      <c r="N1362" s="7" t="str">
        <f>IFERROR(HLOOKUP(L1362,'Calc|Weightings'!$K$5:$M$5,1,0),"Excl")</f>
        <v>Labour</v>
      </c>
      <c r="O1362" s="7" t="str">
        <f>VLOOKUP(E1362,Mapping!$E$11:$I$96,5,0)</f>
        <v>SCS</v>
      </c>
      <c r="Q1362" s="33">
        <v>158</v>
      </c>
      <c r="R1362" s="33" t="s">
        <v>2169</v>
      </c>
      <c r="S1362" s="33">
        <v>613411</v>
      </c>
      <c r="T1362" s="33" t="s">
        <v>2101</v>
      </c>
      <c r="U1362" s="34">
        <v>0.48054000000000002</v>
      </c>
      <c r="V1362" s="7"/>
      <c r="W1362" s="7" t="str">
        <f>VLOOKUP($Q1362,Mapping!$E$11:$I$96,3,0)</f>
        <v>Replacement</v>
      </c>
      <c r="X1362" s="7" t="str">
        <f>VLOOKUP($S1362,Mapping!$E$140:$K$2771,5,0)</f>
        <v>Labour</v>
      </c>
      <c r="Y1362" s="7" t="str">
        <f>VLOOKUP($S1362,Mapping!$E$140:$K$2771,7,0)</f>
        <v>ENDirect</v>
      </c>
      <c r="Z1362" s="7" t="str">
        <f>IFERROR(HLOOKUP(X1362,'Calc|Weightings'!$K$5:$M$5,1,0),"Excl")</f>
        <v>Labour</v>
      </c>
      <c r="AA1362" s="7" t="str">
        <f>VLOOKUP(Q1362,Mapping!$E$11:$I$96,5,0)</f>
        <v>SCS</v>
      </c>
      <c r="AC1362" s="111">
        <v>158</v>
      </c>
      <c r="AD1362" s="111" t="s">
        <v>2169</v>
      </c>
      <c r="AE1362" s="111">
        <v>636000</v>
      </c>
      <c r="AF1362" s="111" t="s">
        <v>2111</v>
      </c>
      <c r="AG1362" s="112">
        <v>9.0950000000000003E-2</v>
      </c>
      <c r="AI1362" s="7" t="str">
        <f>VLOOKUP($AC1362,Mapping!$E$11:$I$96,3,0)</f>
        <v>Replacement</v>
      </c>
      <c r="AJ1362" s="7" t="str">
        <f>VLOOKUP($AE1362,Mapping!$E$140:$K$2771,5,0)</f>
        <v>System Control OH</v>
      </c>
      <c r="AK1362" s="7" t="str">
        <f>VLOOKUP($AE1362,Mapping!$E$140:$K$2771,7,0)</f>
        <v>OH</v>
      </c>
      <c r="AL1362" s="7" t="str">
        <f>IFERROR(HLOOKUP(AJ1362,'Calc|Weightings'!$K$5:$M$5,1,0),"Excl")</f>
        <v>Excl</v>
      </c>
      <c r="AM1362" s="7" t="str">
        <f>VLOOKUP(AC1362,Mapping!$E$11:$I$96,5,0)</f>
        <v>SCS</v>
      </c>
      <c r="AO1362" s="134">
        <v>162</v>
      </c>
      <c r="AP1362" s="135" t="s">
        <v>2172</v>
      </c>
      <c r="AQ1362" s="135">
        <v>522200</v>
      </c>
      <c r="AR1362" s="135" t="s">
        <v>2121</v>
      </c>
      <c r="AS1362" s="136">
        <v>-3.2050000000000002E-2</v>
      </c>
      <c r="AU1362" s="7" t="str">
        <f>VLOOKUP($AO1362,Mapping!$E$11:$I$96,3,0)</f>
        <v>Augmentation</v>
      </c>
      <c r="AV1362" s="7" t="str">
        <f>VLOOKUP($AQ1362,Mapping!$E$140:$K$2771,5,0)</f>
        <v>Materials</v>
      </c>
      <c r="AW1362" s="7" t="str">
        <f>VLOOKUP($AQ1362,Mapping!$E$140:$K$2771,7,0)</f>
        <v>ENDirect</v>
      </c>
      <c r="AX1362" s="7" t="str">
        <f>IFERROR(HLOOKUP(AV1362,'Calc|Weightings'!$K$5:$M$5,1,0),"Excl")</f>
        <v>Materials</v>
      </c>
      <c r="AY1362" s="7" t="str">
        <f>VLOOKUP(AO1362,Mapping!$E$11:$I$96,5,0)</f>
        <v>SCS</v>
      </c>
    </row>
    <row r="1363" spans="1:51" x14ac:dyDescent="0.2">
      <c r="A1363" s="7"/>
      <c r="B1363" s="7"/>
      <c r="C1363" s="7"/>
      <c r="D1363" s="7"/>
      <c r="E1363" s="36">
        <v>148</v>
      </c>
      <c r="F1363" s="36" t="s">
        <v>2158</v>
      </c>
      <c r="G1363" s="36">
        <v>613680</v>
      </c>
      <c r="H1363" s="36" t="s">
        <v>2107</v>
      </c>
      <c r="I1363" s="37">
        <v>6.2214900000000002</v>
      </c>
      <c r="J1363" s="7"/>
      <c r="K1363" s="7" t="str">
        <f>VLOOKUP($E1363,Mapping!$E$11:$I$96,3,0)</f>
        <v>Replacement</v>
      </c>
      <c r="L1363" s="7" t="str">
        <f>VLOOKUP($G1363,Mapping!$E$140:$K$2771,5,0)</f>
        <v>Labour</v>
      </c>
      <c r="M1363" s="7" t="str">
        <f>VLOOKUP($G1363,Mapping!$E$140:$K$2771,7,0)</f>
        <v>ENDirect</v>
      </c>
      <c r="N1363" s="7" t="str">
        <f>IFERROR(HLOOKUP(L1363,'Calc|Weightings'!$K$5:$M$5,1,0),"Excl")</f>
        <v>Labour</v>
      </c>
      <c r="O1363" s="7" t="str">
        <f>VLOOKUP(E1363,Mapping!$E$11:$I$96,5,0)</f>
        <v>SCS</v>
      </c>
      <c r="Q1363" s="33">
        <v>158</v>
      </c>
      <c r="R1363" s="33" t="s">
        <v>2169</v>
      </c>
      <c r="S1363" s="33">
        <v>613440</v>
      </c>
      <c r="T1363" s="33" t="s">
        <v>2103</v>
      </c>
      <c r="U1363" s="34">
        <v>0.27123999999999998</v>
      </c>
      <c r="V1363" s="7"/>
      <c r="W1363" s="7" t="str">
        <f>VLOOKUP($Q1363,Mapping!$E$11:$I$96,3,0)</f>
        <v>Replacement</v>
      </c>
      <c r="X1363" s="7" t="str">
        <f>VLOOKUP($S1363,Mapping!$E$140:$K$2771,5,0)</f>
        <v>Labour</v>
      </c>
      <c r="Y1363" s="7" t="str">
        <f>VLOOKUP($S1363,Mapping!$E$140:$K$2771,7,0)</f>
        <v>ENDirect</v>
      </c>
      <c r="Z1363" s="7" t="str">
        <f>IFERROR(HLOOKUP(X1363,'Calc|Weightings'!$K$5:$M$5,1,0),"Excl")</f>
        <v>Labour</v>
      </c>
      <c r="AA1363" s="7" t="str">
        <f>VLOOKUP(Q1363,Mapping!$E$11:$I$96,5,0)</f>
        <v>SCS</v>
      </c>
      <c r="AC1363" s="111">
        <v>158</v>
      </c>
      <c r="AD1363" s="111" t="s">
        <v>2169</v>
      </c>
      <c r="AE1363" s="111">
        <v>636001</v>
      </c>
      <c r="AF1363" s="111" t="s">
        <v>2111</v>
      </c>
      <c r="AG1363" s="112">
        <v>3.0461399999999998</v>
      </c>
      <c r="AI1363" s="7" t="str">
        <f>VLOOKUP($AC1363,Mapping!$E$11:$I$96,3,0)</f>
        <v>Replacement</v>
      </c>
      <c r="AJ1363" s="7" t="str">
        <f>VLOOKUP($AE1363,Mapping!$E$140:$K$2771,5,0)</f>
        <v>System Control OH</v>
      </c>
      <c r="AK1363" s="7" t="str">
        <f>VLOOKUP($AE1363,Mapping!$E$140:$K$2771,7,0)</f>
        <v>OH</v>
      </c>
      <c r="AL1363" s="7" t="str">
        <f>IFERROR(HLOOKUP(AJ1363,'Calc|Weightings'!$K$5:$M$5,1,0),"Excl")</f>
        <v>Excl</v>
      </c>
      <c r="AM1363" s="7" t="str">
        <f>VLOOKUP(AC1363,Mapping!$E$11:$I$96,5,0)</f>
        <v>SCS</v>
      </c>
      <c r="AO1363" s="134">
        <v>162</v>
      </c>
      <c r="AP1363" s="135" t="s">
        <v>2172</v>
      </c>
      <c r="AQ1363" s="135">
        <v>523100</v>
      </c>
      <c r="AR1363" s="135" t="s">
        <v>2074</v>
      </c>
      <c r="AS1363" s="136">
        <v>8.5268800000000002</v>
      </c>
      <c r="AU1363" s="7" t="str">
        <f>VLOOKUP($AO1363,Mapping!$E$11:$I$96,3,0)</f>
        <v>Augmentation</v>
      </c>
      <c r="AV1363" s="7" t="str">
        <f>VLOOKUP($AQ1363,Mapping!$E$140:$K$2771,5,0)</f>
        <v>Materials</v>
      </c>
      <c r="AW1363" s="7" t="str">
        <f>VLOOKUP($AQ1363,Mapping!$E$140:$K$2771,7,0)</f>
        <v>ENDirect</v>
      </c>
      <c r="AX1363" s="7" t="str">
        <f>IFERROR(HLOOKUP(AV1363,'Calc|Weightings'!$K$5:$M$5,1,0),"Excl")</f>
        <v>Materials</v>
      </c>
      <c r="AY1363" s="7" t="str">
        <f>VLOOKUP(AO1363,Mapping!$E$11:$I$96,5,0)</f>
        <v>SCS</v>
      </c>
    </row>
    <row r="1364" spans="1:51" x14ac:dyDescent="0.2">
      <c r="A1364" s="7"/>
      <c r="B1364" s="7"/>
      <c r="C1364" s="7"/>
      <c r="D1364" s="7"/>
      <c r="E1364" s="36">
        <v>148</v>
      </c>
      <c r="F1364" s="36" t="s">
        <v>2158</v>
      </c>
      <c r="G1364" s="36">
        <v>613800</v>
      </c>
      <c r="H1364" s="36" t="s">
        <v>2142</v>
      </c>
      <c r="I1364" s="37">
        <v>-31.578690000000002</v>
      </c>
      <c r="J1364" s="7"/>
      <c r="K1364" s="7" t="str">
        <f>VLOOKUP($E1364,Mapping!$E$11:$I$96,3,0)</f>
        <v>Replacement</v>
      </c>
      <c r="L1364" s="7" t="str">
        <f>VLOOKUP($G1364,Mapping!$E$140:$K$2771,5,0)</f>
        <v>Materials</v>
      </c>
      <c r="M1364" s="7" t="str">
        <f>VLOOKUP($G1364,Mapping!$E$140:$K$2771,7,0)</f>
        <v>ENDirect</v>
      </c>
      <c r="N1364" s="7" t="str">
        <f>IFERROR(HLOOKUP(L1364,'Calc|Weightings'!$K$5:$M$5,1,0),"Excl")</f>
        <v>Materials</v>
      </c>
      <c r="O1364" s="7" t="str">
        <f>VLOOKUP(E1364,Mapping!$E$11:$I$96,5,0)</f>
        <v>SCS</v>
      </c>
      <c r="Q1364" s="33">
        <v>158</v>
      </c>
      <c r="R1364" s="33" t="s">
        <v>2169</v>
      </c>
      <c r="S1364" s="33">
        <v>613566</v>
      </c>
      <c r="T1364" s="33" t="s">
        <v>1482</v>
      </c>
      <c r="U1364" s="34">
        <v>1.7838000000000001</v>
      </c>
      <c r="V1364" s="7"/>
      <c r="W1364" s="7" t="str">
        <f>VLOOKUP($Q1364,Mapping!$E$11:$I$96,3,0)</f>
        <v>Replacement</v>
      </c>
      <c r="X1364" s="7" t="str">
        <f>VLOOKUP($S1364,Mapping!$E$140:$K$2771,5,0)</f>
        <v>Labour</v>
      </c>
      <c r="Y1364" s="7" t="str">
        <f>VLOOKUP($S1364,Mapping!$E$140:$K$2771,7,0)</f>
        <v>ENDirect</v>
      </c>
      <c r="Z1364" s="7" t="str">
        <f>IFERROR(HLOOKUP(X1364,'Calc|Weightings'!$K$5:$M$5,1,0),"Excl")</f>
        <v>Labour</v>
      </c>
      <c r="AA1364" s="7" t="str">
        <f>VLOOKUP(Q1364,Mapping!$E$11:$I$96,5,0)</f>
        <v>SCS</v>
      </c>
      <c r="AC1364" s="111">
        <v>158</v>
      </c>
      <c r="AD1364" s="111" t="s">
        <v>2169</v>
      </c>
      <c r="AE1364" s="111">
        <v>639000</v>
      </c>
      <c r="AF1364" s="111" t="s">
        <v>2112</v>
      </c>
      <c r="AG1364" s="112">
        <v>2.76878</v>
      </c>
      <c r="AI1364" s="7" t="str">
        <f>VLOOKUP($AC1364,Mapping!$E$11:$I$96,3,0)</f>
        <v>Replacement</v>
      </c>
      <c r="AJ1364" s="7" t="str">
        <f>VLOOKUP($AE1364,Mapping!$E$140:$K$2771,5,0)</f>
        <v>PNS Corporate OH</v>
      </c>
      <c r="AK1364" s="7" t="str">
        <f>VLOOKUP($AE1364,Mapping!$E$140:$K$2771,7,0)</f>
        <v>OH</v>
      </c>
      <c r="AL1364" s="7" t="str">
        <f>IFERROR(HLOOKUP(AJ1364,'Calc|Weightings'!$K$5:$M$5,1,0),"Excl")</f>
        <v>Excl</v>
      </c>
      <c r="AM1364" s="7" t="str">
        <f>VLOOKUP(AC1364,Mapping!$E$11:$I$96,5,0)</f>
        <v>SCS</v>
      </c>
      <c r="AO1364" s="134">
        <v>162</v>
      </c>
      <c r="AP1364" s="135" t="s">
        <v>2172</v>
      </c>
      <c r="AQ1364" s="135">
        <v>523300</v>
      </c>
      <c r="AR1364" s="135" t="s">
        <v>2075</v>
      </c>
      <c r="AS1364" s="136">
        <v>1.1244000000000001</v>
      </c>
      <c r="AU1364" s="7" t="str">
        <f>VLOOKUP($AO1364,Mapping!$E$11:$I$96,3,0)</f>
        <v>Augmentation</v>
      </c>
      <c r="AV1364" s="7" t="str">
        <f>VLOOKUP($AQ1364,Mapping!$E$140:$K$2771,5,0)</f>
        <v>Materials</v>
      </c>
      <c r="AW1364" s="7" t="str">
        <f>VLOOKUP($AQ1364,Mapping!$E$140:$K$2771,7,0)</f>
        <v>ENDirect</v>
      </c>
      <c r="AX1364" s="7" t="str">
        <f>IFERROR(HLOOKUP(AV1364,'Calc|Weightings'!$K$5:$M$5,1,0),"Excl")</f>
        <v>Materials</v>
      </c>
      <c r="AY1364" s="7" t="str">
        <f>VLOOKUP(AO1364,Mapping!$E$11:$I$96,5,0)</f>
        <v>SCS</v>
      </c>
    </row>
    <row r="1365" spans="1:51" x14ac:dyDescent="0.2">
      <c r="A1365" s="7"/>
      <c r="B1365" s="7"/>
      <c r="C1365" s="7"/>
      <c r="D1365" s="7"/>
      <c r="E1365" s="36">
        <v>148</v>
      </c>
      <c r="F1365" s="36" t="s">
        <v>2158</v>
      </c>
      <c r="G1365" s="36">
        <v>633000</v>
      </c>
      <c r="H1365" s="36" t="s">
        <v>2202</v>
      </c>
      <c r="I1365" s="37">
        <v>231.96505999999999</v>
      </c>
      <c r="J1365" s="7"/>
      <c r="K1365" s="7" t="str">
        <f>VLOOKUP($E1365,Mapping!$E$11:$I$96,3,0)</f>
        <v>Replacement</v>
      </c>
      <c r="L1365" s="7" t="str">
        <f>VLOOKUP($G1365,Mapping!$E$140:$K$2771,5,0)</f>
        <v>Contracts</v>
      </c>
      <c r="M1365" s="7" t="str">
        <f>VLOOKUP($G1365,Mapping!$E$140:$K$2771,7,0)</f>
        <v>OH</v>
      </c>
      <c r="N1365" s="7" t="str">
        <f>IFERROR(HLOOKUP(L1365,'Calc|Weightings'!$K$5:$M$5,1,0),"Excl")</f>
        <v>Contracts</v>
      </c>
      <c r="O1365" s="7" t="str">
        <f>VLOOKUP(E1365,Mapping!$E$11:$I$96,5,0)</f>
        <v>SCS</v>
      </c>
      <c r="Q1365" s="33">
        <v>158</v>
      </c>
      <c r="R1365" s="33" t="s">
        <v>2169</v>
      </c>
      <c r="S1365" s="33">
        <v>613800</v>
      </c>
      <c r="T1365" s="33" t="s">
        <v>2142</v>
      </c>
      <c r="U1365" s="34">
        <v>9.3140000000000001E-2</v>
      </c>
      <c r="V1365" s="7"/>
      <c r="W1365" s="7" t="str">
        <f>VLOOKUP($Q1365,Mapping!$E$11:$I$96,3,0)</f>
        <v>Replacement</v>
      </c>
      <c r="X1365" s="7" t="str">
        <f>VLOOKUP($S1365,Mapping!$E$140:$K$2771,5,0)</f>
        <v>Materials</v>
      </c>
      <c r="Y1365" s="7" t="str">
        <f>VLOOKUP($S1365,Mapping!$E$140:$K$2771,7,0)</f>
        <v>ENDirect</v>
      </c>
      <c r="Z1365" s="7" t="str">
        <f>IFERROR(HLOOKUP(X1365,'Calc|Weightings'!$K$5:$M$5,1,0),"Excl")</f>
        <v>Materials</v>
      </c>
      <c r="AA1365" s="7" t="str">
        <f>VLOOKUP(Q1365,Mapping!$E$11:$I$96,5,0)</f>
        <v>SCS</v>
      </c>
      <c r="AC1365" s="111">
        <v>158</v>
      </c>
      <c r="AD1365" s="111" t="s">
        <v>2169</v>
      </c>
      <c r="AE1365" s="111">
        <v>639050</v>
      </c>
      <c r="AF1365" s="111" t="s">
        <v>2113</v>
      </c>
      <c r="AG1365" s="112">
        <v>0.42585000000000001</v>
      </c>
      <c r="AI1365" s="7" t="str">
        <f>VLOOKUP($AC1365,Mapping!$E$11:$I$96,3,0)</f>
        <v>Replacement</v>
      </c>
      <c r="AJ1365" s="7" t="str">
        <f>VLOOKUP($AE1365,Mapping!$E$140:$K$2771,5,0)</f>
        <v>PNS Fleet &amp; Property OH</v>
      </c>
      <c r="AK1365" s="7" t="str">
        <f>VLOOKUP($AE1365,Mapping!$E$140:$K$2771,7,0)</f>
        <v>OH</v>
      </c>
      <c r="AL1365" s="7" t="str">
        <f>IFERROR(HLOOKUP(AJ1365,'Calc|Weightings'!$K$5:$M$5,1,0),"Excl")</f>
        <v>Excl</v>
      </c>
      <c r="AM1365" s="7" t="str">
        <f>VLOOKUP(AC1365,Mapping!$E$11:$I$96,5,0)</f>
        <v>SCS</v>
      </c>
      <c r="AO1365" s="134">
        <v>162</v>
      </c>
      <c r="AP1365" s="135" t="s">
        <v>2172</v>
      </c>
      <c r="AQ1365" s="135">
        <v>531000</v>
      </c>
      <c r="AR1365" s="135" t="s">
        <v>242</v>
      </c>
      <c r="AS1365" s="136">
        <v>44.958539999999999</v>
      </c>
      <c r="AU1365" s="7" t="str">
        <f>VLOOKUP($AO1365,Mapping!$E$11:$I$96,3,0)</f>
        <v>Augmentation</v>
      </c>
      <c r="AV1365" s="7" t="str">
        <f>VLOOKUP($AQ1365,Mapping!$E$140:$K$2771,5,0)</f>
        <v>Contracts</v>
      </c>
      <c r="AW1365" s="7" t="str">
        <f>VLOOKUP($AQ1365,Mapping!$E$140:$K$2771,7,0)</f>
        <v>ENDirect</v>
      </c>
      <c r="AX1365" s="7" t="str">
        <f>IFERROR(HLOOKUP(AV1365,'Calc|Weightings'!$K$5:$M$5,1,0),"Excl")</f>
        <v>Contracts</v>
      </c>
      <c r="AY1365" s="7" t="str">
        <f>VLOOKUP(AO1365,Mapping!$E$11:$I$96,5,0)</f>
        <v>SCS</v>
      </c>
    </row>
    <row r="1366" spans="1:51" x14ac:dyDescent="0.2">
      <c r="A1366" s="7"/>
      <c r="B1366" s="7"/>
      <c r="C1366" s="7"/>
      <c r="D1366" s="7"/>
      <c r="E1366" s="36">
        <v>148</v>
      </c>
      <c r="F1366" s="36" t="s">
        <v>2158</v>
      </c>
      <c r="G1366" s="36">
        <v>634001</v>
      </c>
      <c r="H1366" s="36" t="s">
        <v>2110</v>
      </c>
      <c r="I1366" s="37">
        <v>102.90152999999999</v>
      </c>
      <c r="J1366" s="7"/>
      <c r="K1366" s="7" t="str">
        <f>VLOOKUP($E1366,Mapping!$E$11:$I$96,3,0)</f>
        <v>Replacement</v>
      </c>
      <c r="L1366" s="7" t="str">
        <f>VLOOKUP($G1366,Mapping!$E$140:$K$2771,5,0)</f>
        <v>Local OH</v>
      </c>
      <c r="M1366" s="7" t="str">
        <f>VLOOKUP($G1366,Mapping!$E$140:$K$2771,7,0)</f>
        <v>OH</v>
      </c>
      <c r="N1366" s="7" t="str">
        <f>IFERROR(HLOOKUP(L1366,'Calc|Weightings'!$K$5:$M$5,1,0),"Excl")</f>
        <v>Excl</v>
      </c>
      <c r="O1366" s="7" t="str">
        <f>VLOOKUP(E1366,Mapping!$E$11:$I$96,5,0)</f>
        <v>SCS</v>
      </c>
      <c r="Q1366" s="33">
        <v>158</v>
      </c>
      <c r="R1366" s="33" t="s">
        <v>2169</v>
      </c>
      <c r="S1366" s="33">
        <v>634001</v>
      </c>
      <c r="T1366" s="33" t="s">
        <v>2110</v>
      </c>
      <c r="U1366" s="34">
        <v>1.8987000000000001</v>
      </c>
      <c r="V1366" s="7"/>
      <c r="W1366" s="7" t="str">
        <f>VLOOKUP($Q1366,Mapping!$E$11:$I$96,3,0)</f>
        <v>Replacement</v>
      </c>
      <c r="X1366" s="7" t="str">
        <f>VLOOKUP($S1366,Mapping!$E$140:$K$2771,5,0)</f>
        <v>Local OH</v>
      </c>
      <c r="Y1366" s="7" t="str">
        <f>VLOOKUP($S1366,Mapping!$E$140:$K$2771,7,0)</f>
        <v>OH</v>
      </c>
      <c r="Z1366" s="7" t="str">
        <f>IFERROR(HLOOKUP(X1366,'Calc|Weightings'!$K$5:$M$5,1,0),"Excl")</f>
        <v>Excl</v>
      </c>
      <c r="AA1366" s="7" t="str">
        <f>VLOOKUP(Q1366,Mapping!$E$11:$I$96,5,0)</f>
        <v>SCS</v>
      </c>
      <c r="AC1366" s="111">
        <v>160</v>
      </c>
      <c r="AD1366" s="111" t="s">
        <v>2170</v>
      </c>
      <c r="AE1366" s="111">
        <v>520100</v>
      </c>
      <c r="AF1366" s="111" t="s">
        <v>2072</v>
      </c>
      <c r="AG1366" s="112">
        <v>207.31769</v>
      </c>
      <c r="AI1366" s="7" t="str">
        <f>VLOOKUP($AC1366,Mapping!$E$11:$I$96,3,0)</f>
        <v>Augmentation</v>
      </c>
      <c r="AJ1366" s="7" t="str">
        <f>VLOOKUP($AE1366,Mapping!$E$140:$K$2771,5,0)</f>
        <v>Materials</v>
      </c>
      <c r="AK1366" s="7" t="str">
        <f>VLOOKUP($AE1366,Mapping!$E$140:$K$2771,7,0)</f>
        <v>ENDirect</v>
      </c>
      <c r="AL1366" s="7" t="str">
        <f>IFERROR(HLOOKUP(AJ1366,'Calc|Weightings'!$K$5:$M$5,1,0),"Excl")</f>
        <v>Materials</v>
      </c>
      <c r="AM1366" s="7" t="str">
        <f>VLOOKUP(AC1366,Mapping!$E$11:$I$96,5,0)</f>
        <v>SCS</v>
      </c>
      <c r="AO1366" s="134">
        <v>162</v>
      </c>
      <c r="AP1366" s="135" t="s">
        <v>2172</v>
      </c>
      <c r="AQ1366" s="135">
        <v>531020</v>
      </c>
      <c r="AR1366" s="135" t="s">
        <v>219</v>
      </c>
      <c r="AS1366" s="136">
        <v>150.57781</v>
      </c>
      <c r="AU1366" s="7" t="str">
        <f>VLOOKUP($AO1366,Mapping!$E$11:$I$96,3,0)</f>
        <v>Augmentation</v>
      </c>
      <c r="AV1366" s="7" t="str">
        <f>VLOOKUP($AQ1366,Mapping!$E$140:$K$2771,5,0)</f>
        <v>Labour</v>
      </c>
      <c r="AW1366" s="7" t="str">
        <f>VLOOKUP($AQ1366,Mapping!$E$140:$K$2771,7,0)</f>
        <v>ENDirect</v>
      </c>
      <c r="AX1366" s="7" t="str">
        <f>IFERROR(HLOOKUP(AV1366,'Calc|Weightings'!$K$5:$M$5,1,0),"Excl")</f>
        <v>Labour</v>
      </c>
      <c r="AY1366" s="7" t="str">
        <f>VLOOKUP(AO1366,Mapping!$E$11:$I$96,5,0)</f>
        <v>SCS</v>
      </c>
    </row>
    <row r="1367" spans="1:51" x14ac:dyDescent="0.2">
      <c r="A1367" s="7"/>
      <c r="B1367" s="7"/>
      <c r="C1367" s="7"/>
      <c r="D1367" s="7"/>
      <c r="E1367" s="36">
        <v>148</v>
      </c>
      <c r="F1367" s="36" t="s">
        <v>2158</v>
      </c>
      <c r="G1367" s="36">
        <v>635001</v>
      </c>
      <c r="H1367" s="36" t="s">
        <v>1929</v>
      </c>
      <c r="I1367" s="37">
        <v>76.367590000000007</v>
      </c>
      <c r="J1367" s="7"/>
      <c r="K1367" s="7" t="str">
        <f>VLOOKUP($E1367,Mapping!$E$11:$I$96,3,0)</f>
        <v>Replacement</v>
      </c>
      <c r="L1367" s="7" t="str">
        <f>VLOOKUP($G1367,Mapping!$E$140:$K$2771,5,0)</f>
        <v>PNS MG</v>
      </c>
      <c r="M1367" s="7" t="str">
        <f>VLOOKUP($G1367,Mapping!$E$140:$K$2771,7,0)</f>
        <v>ENDirect</v>
      </c>
      <c r="N1367" s="7" t="str">
        <f>IFERROR(HLOOKUP(L1367,'Calc|Weightings'!$K$5:$M$5,1,0),"Excl")</f>
        <v>Excl</v>
      </c>
      <c r="O1367" s="7" t="str">
        <f>VLOOKUP(E1367,Mapping!$E$11:$I$96,5,0)</f>
        <v>SCS</v>
      </c>
      <c r="Q1367" s="33">
        <v>158</v>
      </c>
      <c r="R1367" s="33" t="s">
        <v>2169</v>
      </c>
      <c r="S1367" s="33">
        <v>635001</v>
      </c>
      <c r="T1367" s="33" t="s">
        <v>1929</v>
      </c>
      <c r="U1367" s="34">
        <v>1.48885</v>
      </c>
      <c r="V1367" s="7"/>
      <c r="W1367" s="7" t="str">
        <f>VLOOKUP($Q1367,Mapping!$E$11:$I$96,3,0)</f>
        <v>Replacement</v>
      </c>
      <c r="X1367" s="7" t="str">
        <f>VLOOKUP($S1367,Mapping!$E$140:$K$2771,5,0)</f>
        <v>PNS MG</v>
      </c>
      <c r="Y1367" s="7" t="str">
        <f>VLOOKUP($S1367,Mapping!$E$140:$K$2771,7,0)</f>
        <v>ENDirect</v>
      </c>
      <c r="Z1367" s="7" t="str">
        <f>IFERROR(HLOOKUP(X1367,'Calc|Weightings'!$K$5:$M$5,1,0),"Excl")</f>
        <v>Excl</v>
      </c>
      <c r="AA1367" s="7" t="str">
        <f>VLOOKUP(Q1367,Mapping!$E$11:$I$96,5,0)</f>
        <v>SCS</v>
      </c>
      <c r="AC1367" s="111">
        <v>160</v>
      </c>
      <c r="AD1367" s="111" t="s">
        <v>2170</v>
      </c>
      <c r="AE1367" s="111">
        <v>520200</v>
      </c>
      <c r="AF1367" s="111" t="s">
        <v>2073</v>
      </c>
      <c r="AG1367" s="112">
        <v>6.0479999999999999E-2</v>
      </c>
      <c r="AI1367" s="7" t="str">
        <f>VLOOKUP($AC1367,Mapping!$E$11:$I$96,3,0)</f>
        <v>Augmentation</v>
      </c>
      <c r="AJ1367" s="7" t="str">
        <f>VLOOKUP($AE1367,Mapping!$E$140:$K$2771,5,0)</f>
        <v>Materials</v>
      </c>
      <c r="AK1367" s="7" t="str">
        <f>VLOOKUP($AE1367,Mapping!$E$140:$K$2771,7,0)</f>
        <v>ENDirect</v>
      </c>
      <c r="AL1367" s="7" t="str">
        <f>IFERROR(HLOOKUP(AJ1367,'Calc|Weightings'!$K$5:$M$5,1,0),"Excl")</f>
        <v>Materials</v>
      </c>
      <c r="AM1367" s="7" t="str">
        <f>VLOOKUP(AC1367,Mapping!$E$11:$I$96,5,0)</f>
        <v>SCS</v>
      </c>
      <c r="AO1367" s="134">
        <v>162</v>
      </c>
      <c r="AP1367" s="135" t="s">
        <v>2172</v>
      </c>
      <c r="AQ1367" s="135">
        <v>531045</v>
      </c>
      <c r="AR1367" s="135" t="s">
        <v>246</v>
      </c>
      <c r="AS1367" s="136">
        <v>2.3981400000000002</v>
      </c>
      <c r="AU1367" s="7" t="str">
        <f>VLOOKUP($AO1367,Mapping!$E$11:$I$96,3,0)</f>
        <v>Augmentation</v>
      </c>
      <c r="AV1367" s="7" t="str">
        <f>VLOOKUP($AQ1367,Mapping!$E$140:$K$2771,5,0)</f>
        <v>Contracts</v>
      </c>
      <c r="AW1367" s="7" t="str">
        <f>VLOOKUP($AQ1367,Mapping!$E$140:$K$2771,7,0)</f>
        <v>ENDirect</v>
      </c>
      <c r="AX1367" s="7" t="str">
        <f>IFERROR(HLOOKUP(AV1367,'Calc|Weightings'!$K$5:$M$5,1,0),"Excl")</f>
        <v>Contracts</v>
      </c>
      <c r="AY1367" s="7" t="str">
        <f>VLOOKUP(AO1367,Mapping!$E$11:$I$96,5,0)</f>
        <v>SCS</v>
      </c>
    </row>
    <row r="1368" spans="1:51" x14ac:dyDescent="0.2">
      <c r="A1368" s="7"/>
      <c r="B1368" s="7"/>
      <c r="C1368" s="7"/>
      <c r="D1368" s="7"/>
      <c r="E1368" s="36">
        <v>148</v>
      </c>
      <c r="F1368" s="36" t="s">
        <v>2158</v>
      </c>
      <c r="G1368" s="36">
        <v>636001</v>
      </c>
      <c r="H1368" s="36" t="s">
        <v>2111</v>
      </c>
      <c r="I1368" s="37">
        <v>31.527909999999999</v>
      </c>
      <c r="J1368" s="7"/>
      <c r="K1368" s="7" t="str">
        <f>VLOOKUP($E1368,Mapping!$E$11:$I$96,3,0)</f>
        <v>Replacement</v>
      </c>
      <c r="L1368" s="7" t="str">
        <f>VLOOKUP($G1368,Mapping!$E$140:$K$2771,5,0)</f>
        <v>System Control OH</v>
      </c>
      <c r="M1368" s="7" t="str">
        <f>VLOOKUP($G1368,Mapping!$E$140:$K$2771,7,0)</f>
        <v>OH</v>
      </c>
      <c r="N1368" s="7" t="str">
        <f>IFERROR(HLOOKUP(L1368,'Calc|Weightings'!$K$5:$M$5,1,0),"Excl")</f>
        <v>Excl</v>
      </c>
      <c r="O1368" s="7" t="str">
        <f>VLOOKUP(E1368,Mapping!$E$11:$I$96,5,0)</f>
        <v>SCS</v>
      </c>
      <c r="Q1368" s="33">
        <v>158</v>
      </c>
      <c r="R1368" s="33" t="s">
        <v>2169</v>
      </c>
      <c r="S1368" s="33">
        <v>636001</v>
      </c>
      <c r="T1368" s="33" t="s">
        <v>2111</v>
      </c>
      <c r="U1368" s="34">
        <v>0.59423000000000004</v>
      </c>
      <c r="V1368" s="7"/>
      <c r="W1368" s="7" t="str">
        <f>VLOOKUP($Q1368,Mapping!$E$11:$I$96,3,0)</f>
        <v>Replacement</v>
      </c>
      <c r="X1368" s="7" t="str">
        <f>VLOOKUP($S1368,Mapping!$E$140:$K$2771,5,0)</f>
        <v>System Control OH</v>
      </c>
      <c r="Y1368" s="7" t="str">
        <f>VLOOKUP($S1368,Mapping!$E$140:$K$2771,7,0)</f>
        <v>OH</v>
      </c>
      <c r="Z1368" s="7" t="str">
        <f>IFERROR(HLOOKUP(X1368,'Calc|Weightings'!$K$5:$M$5,1,0),"Excl")</f>
        <v>Excl</v>
      </c>
      <c r="AA1368" s="7" t="str">
        <f>VLOOKUP(Q1368,Mapping!$E$11:$I$96,5,0)</f>
        <v>SCS</v>
      </c>
      <c r="AC1368" s="111">
        <v>160</v>
      </c>
      <c r="AD1368" s="111" t="s">
        <v>2170</v>
      </c>
      <c r="AE1368" s="111">
        <v>523100</v>
      </c>
      <c r="AF1368" s="111" t="s">
        <v>2074</v>
      </c>
      <c r="AG1368" s="112">
        <v>0.59584999999999999</v>
      </c>
      <c r="AI1368" s="7" t="str">
        <f>VLOOKUP($AC1368,Mapping!$E$11:$I$96,3,0)</f>
        <v>Augmentation</v>
      </c>
      <c r="AJ1368" s="7" t="str">
        <f>VLOOKUP($AE1368,Mapping!$E$140:$K$2771,5,0)</f>
        <v>Materials</v>
      </c>
      <c r="AK1368" s="7" t="str">
        <f>VLOOKUP($AE1368,Mapping!$E$140:$K$2771,7,0)</f>
        <v>ENDirect</v>
      </c>
      <c r="AL1368" s="7" t="str">
        <f>IFERROR(HLOOKUP(AJ1368,'Calc|Weightings'!$K$5:$M$5,1,0),"Excl")</f>
        <v>Materials</v>
      </c>
      <c r="AM1368" s="7" t="str">
        <f>VLOOKUP(AC1368,Mapping!$E$11:$I$96,5,0)</f>
        <v>SCS</v>
      </c>
      <c r="AO1368" s="134">
        <v>162</v>
      </c>
      <c r="AP1368" s="135" t="s">
        <v>2172</v>
      </c>
      <c r="AQ1368" s="135">
        <v>531200</v>
      </c>
      <c r="AR1368" s="135" t="s">
        <v>250</v>
      </c>
      <c r="AS1368" s="136">
        <v>161.61435</v>
      </c>
      <c r="AU1368" s="7" t="str">
        <f>VLOOKUP($AO1368,Mapping!$E$11:$I$96,3,0)</f>
        <v>Augmentation</v>
      </c>
      <c r="AV1368" s="7" t="str">
        <f>VLOOKUP($AQ1368,Mapping!$E$140:$K$2771,5,0)</f>
        <v>Contracts</v>
      </c>
      <c r="AW1368" s="7" t="str">
        <f>VLOOKUP($AQ1368,Mapping!$E$140:$K$2771,7,0)</f>
        <v>ENDirect</v>
      </c>
      <c r="AX1368" s="7" t="str">
        <f>IFERROR(HLOOKUP(AV1368,'Calc|Weightings'!$K$5:$M$5,1,0),"Excl")</f>
        <v>Contracts</v>
      </c>
      <c r="AY1368" s="7" t="str">
        <f>VLOOKUP(AO1368,Mapping!$E$11:$I$96,5,0)</f>
        <v>SCS</v>
      </c>
    </row>
    <row r="1369" spans="1:51" x14ac:dyDescent="0.2">
      <c r="A1369" s="7"/>
      <c r="B1369" s="7"/>
      <c r="C1369" s="7"/>
      <c r="D1369" s="7"/>
      <c r="E1369" s="36">
        <v>148</v>
      </c>
      <c r="F1369" s="36" t="s">
        <v>2158</v>
      </c>
      <c r="G1369" s="36">
        <v>639000</v>
      </c>
      <c r="H1369" s="36" t="s">
        <v>2112</v>
      </c>
      <c r="I1369" s="37">
        <v>68.970969999999994</v>
      </c>
      <c r="J1369" s="7"/>
      <c r="K1369" s="7" t="str">
        <f>VLOOKUP($E1369,Mapping!$E$11:$I$96,3,0)</f>
        <v>Replacement</v>
      </c>
      <c r="L1369" s="7" t="str">
        <f>VLOOKUP($G1369,Mapping!$E$140:$K$2771,5,0)</f>
        <v>PNS Corporate OH</v>
      </c>
      <c r="M1369" s="7" t="str">
        <f>VLOOKUP($G1369,Mapping!$E$140:$K$2771,7,0)</f>
        <v>OH</v>
      </c>
      <c r="N1369" s="7" t="str">
        <f>IFERROR(HLOOKUP(L1369,'Calc|Weightings'!$K$5:$M$5,1,0),"Excl")</f>
        <v>Excl</v>
      </c>
      <c r="O1369" s="7" t="str">
        <f>VLOOKUP(E1369,Mapping!$E$11:$I$96,5,0)</f>
        <v>SCS</v>
      </c>
      <c r="Q1369" s="33">
        <v>158</v>
      </c>
      <c r="R1369" s="33" t="s">
        <v>2169</v>
      </c>
      <c r="S1369" s="33">
        <v>639000</v>
      </c>
      <c r="T1369" s="33" t="s">
        <v>2112</v>
      </c>
      <c r="U1369" s="34">
        <v>1.5786199999999999</v>
      </c>
      <c r="V1369" s="7"/>
      <c r="W1369" s="7" t="str">
        <f>VLOOKUP($Q1369,Mapping!$E$11:$I$96,3,0)</f>
        <v>Replacement</v>
      </c>
      <c r="X1369" s="7" t="str">
        <f>VLOOKUP($S1369,Mapping!$E$140:$K$2771,5,0)</f>
        <v>PNS Corporate OH</v>
      </c>
      <c r="Y1369" s="7" t="str">
        <f>VLOOKUP($S1369,Mapping!$E$140:$K$2771,7,0)</f>
        <v>OH</v>
      </c>
      <c r="Z1369" s="7" t="str">
        <f>IFERROR(HLOOKUP(X1369,'Calc|Weightings'!$K$5:$M$5,1,0),"Excl")</f>
        <v>Excl</v>
      </c>
      <c r="AA1369" s="7" t="str">
        <f>VLOOKUP(Q1369,Mapping!$E$11:$I$96,5,0)</f>
        <v>SCS</v>
      </c>
      <c r="AC1369" s="111">
        <v>160</v>
      </c>
      <c r="AD1369" s="111" t="s">
        <v>2170</v>
      </c>
      <c r="AE1369" s="111">
        <v>531000</v>
      </c>
      <c r="AF1369" s="111" t="s">
        <v>242</v>
      </c>
      <c r="AG1369" s="112">
        <v>7.8539999999999999E-2</v>
      </c>
      <c r="AI1369" s="7" t="str">
        <f>VLOOKUP($AC1369,Mapping!$E$11:$I$96,3,0)</f>
        <v>Augmentation</v>
      </c>
      <c r="AJ1369" s="7" t="str">
        <f>VLOOKUP($AE1369,Mapping!$E$140:$K$2771,5,0)</f>
        <v>Contracts</v>
      </c>
      <c r="AK1369" s="7" t="str">
        <f>VLOOKUP($AE1369,Mapping!$E$140:$K$2771,7,0)</f>
        <v>ENDirect</v>
      </c>
      <c r="AL1369" s="7" t="str">
        <f>IFERROR(HLOOKUP(AJ1369,'Calc|Weightings'!$K$5:$M$5,1,0),"Excl")</f>
        <v>Contracts</v>
      </c>
      <c r="AM1369" s="7" t="str">
        <f>VLOOKUP(AC1369,Mapping!$E$11:$I$96,5,0)</f>
        <v>SCS</v>
      </c>
      <c r="AO1369" s="134">
        <v>162</v>
      </c>
      <c r="AP1369" s="135" t="s">
        <v>2172</v>
      </c>
      <c r="AQ1369" s="135">
        <v>531201</v>
      </c>
      <c r="AR1369" s="135" t="s">
        <v>251</v>
      </c>
      <c r="AS1369" s="136">
        <v>52.261240000000001</v>
      </c>
      <c r="AU1369" s="7" t="str">
        <f>VLOOKUP($AO1369,Mapping!$E$11:$I$96,3,0)</f>
        <v>Augmentation</v>
      </c>
      <c r="AV1369" s="7" t="str">
        <f>VLOOKUP($AQ1369,Mapping!$E$140:$K$2771,5,0)</f>
        <v>Contracts</v>
      </c>
      <c r="AW1369" s="7" t="str">
        <f>VLOOKUP($AQ1369,Mapping!$E$140:$K$2771,7,0)</f>
        <v>ENDirect</v>
      </c>
      <c r="AX1369" s="7" t="str">
        <f>IFERROR(HLOOKUP(AV1369,'Calc|Weightings'!$K$5:$M$5,1,0),"Excl")</f>
        <v>Contracts</v>
      </c>
      <c r="AY1369" s="7" t="str">
        <f>VLOOKUP(AO1369,Mapping!$E$11:$I$96,5,0)</f>
        <v>SCS</v>
      </c>
    </row>
    <row r="1370" spans="1:51" x14ac:dyDescent="0.2">
      <c r="A1370" s="7"/>
      <c r="B1370" s="7"/>
      <c r="C1370" s="7"/>
      <c r="D1370" s="7"/>
      <c r="E1370" s="36">
        <v>148</v>
      </c>
      <c r="F1370" s="36" t="s">
        <v>2158</v>
      </c>
      <c r="G1370" s="36">
        <v>639050</v>
      </c>
      <c r="H1370" s="36" t="s">
        <v>2113</v>
      </c>
      <c r="I1370" s="37">
        <v>8.8086900000000004</v>
      </c>
      <c r="J1370" s="7"/>
      <c r="K1370" s="7" t="str">
        <f>VLOOKUP($E1370,Mapping!$E$11:$I$96,3,0)</f>
        <v>Replacement</v>
      </c>
      <c r="L1370" s="7" t="str">
        <f>VLOOKUP($G1370,Mapping!$E$140:$K$2771,5,0)</f>
        <v>PNS Fleet &amp; Property OH</v>
      </c>
      <c r="M1370" s="7" t="str">
        <f>VLOOKUP($G1370,Mapping!$E$140:$K$2771,7,0)</f>
        <v>OH</v>
      </c>
      <c r="N1370" s="7" t="str">
        <f>IFERROR(HLOOKUP(L1370,'Calc|Weightings'!$K$5:$M$5,1,0),"Excl")</f>
        <v>Excl</v>
      </c>
      <c r="O1370" s="7" t="str">
        <f>VLOOKUP(E1370,Mapping!$E$11:$I$96,5,0)</f>
        <v>SCS</v>
      </c>
      <c r="Q1370" s="33">
        <v>158</v>
      </c>
      <c r="R1370" s="33" t="s">
        <v>2169</v>
      </c>
      <c r="S1370" s="33">
        <v>639050</v>
      </c>
      <c r="T1370" s="33" t="s">
        <v>2113</v>
      </c>
      <c r="U1370" s="34">
        <v>0.19386</v>
      </c>
      <c r="V1370" s="7"/>
      <c r="W1370" s="7" t="str">
        <f>VLOOKUP($Q1370,Mapping!$E$11:$I$96,3,0)</f>
        <v>Replacement</v>
      </c>
      <c r="X1370" s="7" t="str">
        <f>VLOOKUP($S1370,Mapping!$E$140:$K$2771,5,0)</f>
        <v>PNS Fleet &amp; Property OH</v>
      </c>
      <c r="Y1370" s="7" t="str">
        <f>VLOOKUP($S1370,Mapping!$E$140:$K$2771,7,0)</f>
        <v>OH</v>
      </c>
      <c r="Z1370" s="7" t="str">
        <f>IFERROR(HLOOKUP(X1370,'Calc|Weightings'!$K$5:$M$5,1,0),"Excl")</f>
        <v>Excl</v>
      </c>
      <c r="AA1370" s="7" t="str">
        <f>VLOOKUP(Q1370,Mapping!$E$11:$I$96,5,0)</f>
        <v>SCS</v>
      </c>
      <c r="AC1370" s="111">
        <v>160</v>
      </c>
      <c r="AD1370" s="111" t="s">
        <v>2170</v>
      </c>
      <c r="AE1370" s="111">
        <v>531200</v>
      </c>
      <c r="AF1370" s="111" t="s">
        <v>250</v>
      </c>
      <c r="AG1370" s="112">
        <v>6.48</v>
      </c>
      <c r="AI1370" s="7" t="str">
        <f>VLOOKUP($AC1370,Mapping!$E$11:$I$96,3,0)</f>
        <v>Augmentation</v>
      </c>
      <c r="AJ1370" s="7" t="str">
        <f>VLOOKUP($AE1370,Mapping!$E$140:$K$2771,5,0)</f>
        <v>Contracts</v>
      </c>
      <c r="AK1370" s="7" t="str">
        <f>VLOOKUP($AE1370,Mapping!$E$140:$K$2771,7,0)</f>
        <v>ENDirect</v>
      </c>
      <c r="AL1370" s="7" t="str">
        <f>IFERROR(HLOOKUP(AJ1370,'Calc|Weightings'!$K$5:$M$5,1,0),"Excl")</f>
        <v>Contracts</v>
      </c>
      <c r="AM1370" s="7" t="str">
        <f>VLOOKUP(AC1370,Mapping!$E$11:$I$96,5,0)</f>
        <v>SCS</v>
      </c>
      <c r="AO1370" s="134">
        <v>162</v>
      </c>
      <c r="AP1370" s="135" t="s">
        <v>2172</v>
      </c>
      <c r="AQ1370" s="135">
        <v>531210</v>
      </c>
      <c r="AR1370" s="135" t="s">
        <v>252</v>
      </c>
      <c r="AS1370" s="136">
        <v>98.846069999999997</v>
      </c>
      <c r="AU1370" s="7" t="str">
        <f>VLOOKUP($AO1370,Mapping!$E$11:$I$96,3,0)</f>
        <v>Augmentation</v>
      </c>
      <c r="AV1370" s="7" t="str">
        <f>VLOOKUP($AQ1370,Mapping!$E$140:$K$2771,5,0)</f>
        <v>Labour</v>
      </c>
      <c r="AW1370" s="7" t="str">
        <f>VLOOKUP($AQ1370,Mapping!$E$140:$K$2771,7,0)</f>
        <v>ENDirect</v>
      </c>
      <c r="AX1370" s="7" t="str">
        <f>IFERROR(HLOOKUP(AV1370,'Calc|Weightings'!$K$5:$M$5,1,0),"Excl")</f>
        <v>Labour</v>
      </c>
      <c r="AY1370" s="7" t="str">
        <f>VLOOKUP(AO1370,Mapping!$E$11:$I$96,5,0)</f>
        <v>SCS</v>
      </c>
    </row>
    <row r="1371" spans="1:51" x14ac:dyDescent="0.2">
      <c r="A1371" s="7"/>
      <c r="B1371" s="7"/>
      <c r="C1371" s="7"/>
      <c r="D1371" s="7"/>
      <c r="E1371" s="36">
        <v>149</v>
      </c>
      <c r="F1371" s="36" t="s">
        <v>2204</v>
      </c>
      <c r="G1371" s="36">
        <v>520100</v>
      </c>
      <c r="H1371" s="36" t="s">
        <v>2072</v>
      </c>
      <c r="I1371" s="37">
        <v>2.98E-2</v>
      </c>
      <c r="J1371" s="7"/>
      <c r="K1371" s="7" t="str">
        <f>VLOOKUP($E1371,Mapping!$E$11:$I$96,3,0)</f>
        <v>Replacement</v>
      </c>
      <c r="L1371" s="7" t="str">
        <f>VLOOKUP($G1371,Mapping!$E$140:$K$2771,5,0)</f>
        <v>Materials</v>
      </c>
      <c r="M1371" s="7" t="str">
        <f>VLOOKUP($G1371,Mapping!$E$140:$K$2771,7,0)</f>
        <v>ENDirect</v>
      </c>
      <c r="N1371" s="7" t="str">
        <f>IFERROR(HLOOKUP(L1371,'Calc|Weightings'!$K$5:$M$5,1,0),"Excl")</f>
        <v>Materials</v>
      </c>
      <c r="O1371" s="7" t="str">
        <f>VLOOKUP(E1371,Mapping!$E$11:$I$96,5,0)</f>
        <v>SCS</v>
      </c>
      <c r="Q1371" s="33">
        <v>160</v>
      </c>
      <c r="R1371" s="33" t="s">
        <v>2170</v>
      </c>
      <c r="S1371" s="33">
        <v>520100</v>
      </c>
      <c r="T1371" s="33" t="s">
        <v>2072</v>
      </c>
      <c r="U1371" s="34">
        <v>159.42287999999999</v>
      </c>
      <c r="V1371" s="7"/>
      <c r="W1371" s="7" t="str">
        <f>VLOOKUP($Q1371,Mapping!$E$11:$I$96,3,0)</f>
        <v>Augmentation</v>
      </c>
      <c r="X1371" s="7" t="str">
        <f>VLOOKUP($S1371,Mapping!$E$140:$K$2771,5,0)</f>
        <v>Materials</v>
      </c>
      <c r="Y1371" s="7" t="str">
        <f>VLOOKUP($S1371,Mapping!$E$140:$K$2771,7,0)</f>
        <v>ENDirect</v>
      </c>
      <c r="Z1371" s="7" t="str">
        <f>IFERROR(HLOOKUP(X1371,'Calc|Weightings'!$K$5:$M$5,1,0),"Excl")</f>
        <v>Materials</v>
      </c>
      <c r="AA1371" s="7" t="str">
        <f>VLOOKUP(Q1371,Mapping!$E$11:$I$96,5,0)</f>
        <v>SCS</v>
      </c>
      <c r="AC1371" s="111">
        <v>160</v>
      </c>
      <c r="AD1371" s="111" t="s">
        <v>2170</v>
      </c>
      <c r="AE1371" s="111">
        <v>531464</v>
      </c>
      <c r="AF1371" s="111" t="s">
        <v>256</v>
      </c>
      <c r="AG1371" s="112">
        <v>37.189880000000002</v>
      </c>
      <c r="AI1371" s="7" t="str">
        <f>VLOOKUP($AC1371,Mapping!$E$11:$I$96,3,0)</f>
        <v>Augmentation</v>
      </c>
      <c r="AJ1371" s="7" t="str">
        <f>VLOOKUP($AE1371,Mapping!$E$140:$K$2771,5,0)</f>
        <v>Contracts</v>
      </c>
      <c r="AK1371" s="7" t="str">
        <f>VLOOKUP($AE1371,Mapping!$E$140:$K$2771,7,0)</f>
        <v>ENDirect</v>
      </c>
      <c r="AL1371" s="7" t="str">
        <f>IFERROR(HLOOKUP(AJ1371,'Calc|Weightings'!$K$5:$M$5,1,0),"Excl")</f>
        <v>Contracts</v>
      </c>
      <c r="AM1371" s="7" t="str">
        <f>VLOOKUP(AC1371,Mapping!$E$11:$I$96,5,0)</f>
        <v>SCS</v>
      </c>
      <c r="AO1371" s="134">
        <v>162</v>
      </c>
      <c r="AP1371" s="135" t="s">
        <v>2172</v>
      </c>
      <c r="AQ1371" s="135">
        <v>531464</v>
      </c>
      <c r="AR1371" s="135" t="s">
        <v>256</v>
      </c>
      <c r="AS1371" s="136">
        <v>1990.7555299999999</v>
      </c>
      <c r="AU1371" s="7" t="str">
        <f>VLOOKUP($AO1371,Mapping!$E$11:$I$96,3,0)</f>
        <v>Augmentation</v>
      </c>
      <c r="AV1371" s="7" t="str">
        <f>VLOOKUP($AQ1371,Mapping!$E$140:$K$2771,5,0)</f>
        <v>Contracts</v>
      </c>
      <c r="AW1371" s="7" t="str">
        <f>VLOOKUP($AQ1371,Mapping!$E$140:$K$2771,7,0)</f>
        <v>ENDirect</v>
      </c>
      <c r="AX1371" s="7" t="str">
        <f>IFERROR(HLOOKUP(AV1371,'Calc|Weightings'!$K$5:$M$5,1,0),"Excl")</f>
        <v>Contracts</v>
      </c>
      <c r="AY1371" s="7" t="str">
        <f>VLOOKUP(AO1371,Mapping!$E$11:$I$96,5,0)</f>
        <v>SCS</v>
      </c>
    </row>
    <row r="1372" spans="1:51" x14ac:dyDescent="0.2">
      <c r="A1372" s="7"/>
      <c r="B1372" s="7"/>
      <c r="C1372" s="7"/>
      <c r="D1372" s="7"/>
      <c r="E1372" s="36">
        <v>149</v>
      </c>
      <c r="F1372" s="36" t="s">
        <v>2204</v>
      </c>
      <c r="G1372" s="36">
        <v>531466</v>
      </c>
      <c r="H1372" s="36" t="s">
        <v>258</v>
      </c>
      <c r="I1372" s="37">
        <v>62.259540000000001</v>
      </c>
      <c r="J1372" s="7"/>
      <c r="K1372" s="7" t="str">
        <f>VLOOKUP($E1372,Mapping!$E$11:$I$96,3,0)</f>
        <v>Replacement</v>
      </c>
      <c r="L1372" s="7" t="str">
        <f>VLOOKUP($G1372,Mapping!$E$140:$K$2771,5,0)</f>
        <v>Contracts</v>
      </c>
      <c r="M1372" s="7" t="str">
        <f>VLOOKUP($G1372,Mapping!$E$140:$K$2771,7,0)</f>
        <v>ENDirect</v>
      </c>
      <c r="N1372" s="7" t="str">
        <f>IFERROR(HLOOKUP(L1372,'Calc|Weightings'!$K$5:$M$5,1,0),"Excl")</f>
        <v>Contracts</v>
      </c>
      <c r="O1372" s="7" t="str">
        <f>VLOOKUP(E1372,Mapping!$E$11:$I$96,5,0)</f>
        <v>SCS</v>
      </c>
      <c r="Q1372" s="33">
        <v>160</v>
      </c>
      <c r="R1372" s="33" t="s">
        <v>2170</v>
      </c>
      <c r="S1372" s="33">
        <v>520200</v>
      </c>
      <c r="T1372" s="33" t="s">
        <v>2073</v>
      </c>
      <c r="U1372" s="34">
        <v>2.2599999999999998</v>
      </c>
      <c r="V1372" s="7"/>
      <c r="W1372" s="7" t="str">
        <f>VLOOKUP($Q1372,Mapping!$E$11:$I$96,3,0)</f>
        <v>Augmentation</v>
      </c>
      <c r="X1372" s="7" t="str">
        <f>VLOOKUP($S1372,Mapping!$E$140:$K$2771,5,0)</f>
        <v>Materials</v>
      </c>
      <c r="Y1372" s="7" t="str">
        <f>VLOOKUP($S1372,Mapping!$E$140:$K$2771,7,0)</f>
        <v>ENDirect</v>
      </c>
      <c r="Z1372" s="7" t="str">
        <f>IFERROR(HLOOKUP(X1372,'Calc|Weightings'!$K$5:$M$5,1,0),"Excl")</f>
        <v>Materials</v>
      </c>
      <c r="AA1372" s="7" t="str">
        <f>VLOOKUP(Q1372,Mapping!$E$11:$I$96,5,0)</f>
        <v>SCS</v>
      </c>
      <c r="AC1372" s="111">
        <v>160</v>
      </c>
      <c r="AD1372" s="111" t="s">
        <v>2170</v>
      </c>
      <c r="AE1372" s="111">
        <v>531466</v>
      </c>
      <c r="AF1372" s="111" t="s">
        <v>258</v>
      </c>
      <c r="AG1372" s="112">
        <v>5.4719999999999998E-2</v>
      </c>
      <c r="AI1372" s="7" t="str">
        <f>VLOOKUP($AC1372,Mapping!$E$11:$I$96,3,0)</f>
        <v>Augmentation</v>
      </c>
      <c r="AJ1372" s="7" t="str">
        <f>VLOOKUP($AE1372,Mapping!$E$140:$K$2771,5,0)</f>
        <v>Contracts</v>
      </c>
      <c r="AK1372" s="7" t="str">
        <f>VLOOKUP($AE1372,Mapping!$E$140:$K$2771,7,0)</f>
        <v>ENDirect</v>
      </c>
      <c r="AL1372" s="7" t="str">
        <f>IFERROR(HLOOKUP(AJ1372,'Calc|Weightings'!$K$5:$M$5,1,0),"Excl")</f>
        <v>Contracts</v>
      </c>
      <c r="AM1372" s="7" t="str">
        <f>VLOOKUP(AC1372,Mapping!$E$11:$I$96,5,0)</f>
        <v>SCS</v>
      </c>
      <c r="AO1372" s="134">
        <v>162</v>
      </c>
      <c r="AP1372" s="135" t="s">
        <v>2172</v>
      </c>
      <c r="AQ1372" s="135">
        <v>531466</v>
      </c>
      <c r="AR1372" s="135" t="s">
        <v>258</v>
      </c>
      <c r="AS1372" s="136">
        <v>2.90734</v>
      </c>
      <c r="AU1372" s="7" t="str">
        <f>VLOOKUP($AO1372,Mapping!$E$11:$I$96,3,0)</f>
        <v>Augmentation</v>
      </c>
      <c r="AV1372" s="7" t="str">
        <f>VLOOKUP($AQ1372,Mapping!$E$140:$K$2771,5,0)</f>
        <v>Contracts</v>
      </c>
      <c r="AW1372" s="7" t="str">
        <f>VLOOKUP($AQ1372,Mapping!$E$140:$K$2771,7,0)</f>
        <v>ENDirect</v>
      </c>
      <c r="AX1372" s="7" t="str">
        <f>IFERROR(HLOOKUP(AV1372,'Calc|Weightings'!$K$5:$M$5,1,0),"Excl")</f>
        <v>Contracts</v>
      </c>
      <c r="AY1372" s="7" t="str">
        <f>VLOOKUP(AO1372,Mapping!$E$11:$I$96,5,0)</f>
        <v>SCS</v>
      </c>
    </row>
    <row r="1373" spans="1:51" x14ac:dyDescent="0.2">
      <c r="A1373" s="7"/>
      <c r="B1373" s="7"/>
      <c r="C1373" s="7"/>
      <c r="D1373" s="7"/>
      <c r="E1373" s="36">
        <v>149</v>
      </c>
      <c r="F1373" s="36" t="s">
        <v>2204</v>
      </c>
      <c r="G1373" s="36">
        <v>531485</v>
      </c>
      <c r="H1373" s="36" t="s">
        <v>2350</v>
      </c>
      <c r="I1373" s="37">
        <v>-33.841000000000001</v>
      </c>
      <c r="J1373" s="7"/>
      <c r="K1373" s="7" t="str">
        <f>VLOOKUP($E1373,Mapping!$E$11:$I$96,3,0)</f>
        <v>Replacement</v>
      </c>
      <c r="L1373" s="7" t="str">
        <f>VLOOKUP($G1373,Mapping!$E$140:$K$2771,5,0)</f>
        <v>Contracts</v>
      </c>
      <c r="M1373" s="7" t="str">
        <f>VLOOKUP($G1373,Mapping!$E$140:$K$2771,7,0)</f>
        <v>ENDirect</v>
      </c>
      <c r="N1373" s="7" t="str">
        <f>IFERROR(HLOOKUP(L1373,'Calc|Weightings'!$K$5:$M$5,1,0),"Excl")</f>
        <v>Contracts</v>
      </c>
      <c r="O1373" s="7" t="str">
        <f>VLOOKUP(E1373,Mapping!$E$11:$I$96,5,0)</f>
        <v>SCS</v>
      </c>
      <c r="Q1373" s="33">
        <v>160</v>
      </c>
      <c r="R1373" s="33" t="s">
        <v>2170</v>
      </c>
      <c r="S1373" s="33">
        <v>523100</v>
      </c>
      <c r="T1373" s="33" t="s">
        <v>2074</v>
      </c>
      <c r="U1373" s="34">
        <v>1.0995299999999999</v>
      </c>
      <c r="V1373" s="7"/>
      <c r="W1373" s="7" t="str">
        <f>VLOOKUP($Q1373,Mapping!$E$11:$I$96,3,0)</f>
        <v>Augmentation</v>
      </c>
      <c r="X1373" s="7" t="str">
        <f>VLOOKUP($S1373,Mapping!$E$140:$K$2771,5,0)</f>
        <v>Materials</v>
      </c>
      <c r="Y1373" s="7" t="str">
        <f>VLOOKUP($S1373,Mapping!$E$140:$K$2771,7,0)</f>
        <v>ENDirect</v>
      </c>
      <c r="Z1373" s="7" t="str">
        <f>IFERROR(HLOOKUP(X1373,'Calc|Weightings'!$K$5:$M$5,1,0),"Excl")</f>
        <v>Materials</v>
      </c>
      <c r="AA1373" s="7" t="str">
        <f>VLOOKUP(Q1373,Mapping!$E$11:$I$96,5,0)</f>
        <v>SCS</v>
      </c>
      <c r="AC1373" s="111">
        <v>160</v>
      </c>
      <c r="AD1373" s="111" t="s">
        <v>2170</v>
      </c>
      <c r="AE1373" s="111">
        <v>531467</v>
      </c>
      <c r="AF1373" s="111" t="s">
        <v>259</v>
      </c>
      <c r="AG1373" s="112">
        <v>50.420679999999997</v>
      </c>
      <c r="AI1373" s="7" t="str">
        <f>VLOOKUP($AC1373,Mapping!$E$11:$I$96,3,0)</f>
        <v>Augmentation</v>
      </c>
      <c r="AJ1373" s="7" t="str">
        <f>VLOOKUP($AE1373,Mapping!$E$140:$K$2771,5,0)</f>
        <v>Contracts</v>
      </c>
      <c r="AK1373" s="7" t="str">
        <f>VLOOKUP($AE1373,Mapping!$E$140:$K$2771,7,0)</f>
        <v>ENDirect</v>
      </c>
      <c r="AL1373" s="7" t="str">
        <f>IFERROR(HLOOKUP(AJ1373,'Calc|Weightings'!$K$5:$M$5,1,0),"Excl")</f>
        <v>Contracts</v>
      </c>
      <c r="AM1373" s="7" t="str">
        <f>VLOOKUP(AC1373,Mapping!$E$11:$I$96,5,0)</f>
        <v>SCS</v>
      </c>
      <c r="AO1373" s="134">
        <v>162</v>
      </c>
      <c r="AP1373" s="135" t="s">
        <v>2172</v>
      </c>
      <c r="AQ1373" s="135">
        <v>531467</v>
      </c>
      <c r="AR1373" s="135" t="s">
        <v>259</v>
      </c>
      <c r="AS1373" s="136">
        <v>312.27406000000002</v>
      </c>
      <c r="AU1373" s="7" t="str">
        <f>VLOOKUP($AO1373,Mapping!$E$11:$I$96,3,0)</f>
        <v>Augmentation</v>
      </c>
      <c r="AV1373" s="7" t="str">
        <f>VLOOKUP($AQ1373,Mapping!$E$140:$K$2771,5,0)</f>
        <v>Contracts</v>
      </c>
      <c r="AW1373" s="7" t="str">
        <f>VLOOKUP($AQ1373,Mapping!$E$140:$K$2771,7,0)</f>
        <v>ENDirect</v>
      </c>
      <c r="AX1373" s="7" t="str">
        <f>IFERROR(HLOOKUP(AV1373,'Calc|Weightings'!$K$5:$M$5,1,0),"Excl")</f>
        <v>Contracts</v>
      </c>
      <c r="AY1373" s="7" t="str">
        <f>VLOOKUP(AO1373,Mapping!$E$11:$I$96,5,0)</f>
        <v>SCS</v>
      </c>
    </row>
    <row r="1374" spans="1:51" x14ac:dyDescent="0.2">
      <c r="A1374" s="7"/>
      <c r="B1374" s="7"/>
      <c r="C1374" s="7"/>
      <c r="D1374" s="7"/>
      <c r="E1374" s="36">
        <v>149</v>
      </c>
      <c r="F1374" s="36" t="s">
        <v>2204</v>
      </c>
      <c r="G1374" s="36">
        <v>612210</v>
      </c>
      <c r="H1374" s="36" t="s">
        <v>1184</v>
      </c>
      <c r="I1374" s="37">
        <v>0.61695999999999995</v>
      </c>
      <c r="J1374" s="7"/>
      <c r="K1374" s="7" t="str">
        <f>VLOOKUP($E1374,Mapping!$E$11:$I$96,3,0)</f>
        <v>Replacement</v>
      </c>
      <c r="L1374" s="7" t="str">
        <f>VLOOKUP($G1374,Mapping!$E$140:$K$2771,5,0)</f>
        <v>Labour</v>
      </c>
      <c r="M1374" s="7" t="str">
        <f>VLOOKUP($G1374,Mapping!$E$140:$K$2771,7,0)</f>
        <v>ENDirect</v>
      </c>
      <c r="N1374" s="7" t="str">
        <f>IFERROR(HLOOKUP(L1374,'Calc|Weightings'!$K$5:$M$5,1,0),"Excl")</f>
        <v>Labour</v>
      </c>
      <c r="O1374" s="7" t="str">
        <f>VLOOKUP(E1374,Mapping!$E$11:$I$96,5,0)</f>
        <v>SCS</v>
      </c>
      <c r="Q1374" s="33">
        <v>160</v>
      </c>
      <c r="R1374" s="33" t="s">
        <v>2170</v>
      </c>
      <c r="S1374" s="33">
        <v>531464</v>
      </c>
      <c r="T1374" s="33" t="s">
        <v>256</v>
      </c>
      <c r="U1374" s="34">
        <v>55.715539999999997</v>
      </c>
      <c r="V1374" s="7"/>
      <c r="W1374" s="7" t="str">
        <f>VLOOKUP($Q1374,Mapping!$E$11:$I$96,3,0)</f>
        <v>Augmentation</v>
      </c>
      <c r="X1374" s="7" t="str">
        <f>VLOOKUP($S1374,Mapping!$E$140:$K$2771,5,0)</f>
        <v>Contracts</v>
      </c>
      <c r="Y1374" s="7" t="str">
        <f>VLOOKUP($S1374,Mapping!$E$140:$K$2771,7,0)</f>
        <v>ENDirect</v>
      </c>
      <c r="Z1374" s="7" t="str">
        <f>IFERROR(HLOOKUP(X1374,'Calc|Weightings'!$K$5:$M$5,1,0),"Excl")</f>
        <v>Contracts</v>
      </c>
      <c r="AA1374" s="7" t="str">
        <f>VLOOKUP(Q1374,Mapping!$E$11:$I$96,5,0)</f>
        <v>SCS</v>
      </c>
      <c r="AC1374" s="111">
        <v>160</v>
      </c>
      <c r="AD1374" s="111" t="s">
        <v>2170</v>
      </c>
      <c r="AE1374" s="111">
        <v>531468</v>
      </c>
      <c r="AF1374" s="111" t="s">
        <v>260</v>
      </c>
      <c r="AG1374" s="112">
        <v>33.07499</v>
      </c>
      <c r="AI1374" s="7" t="str">
        <f>VLOOKUP($AC1374,Mapping!$E$11:$I$96,3,0)</f>
        <v>Augmentation</v>
      </c>
      <c r="AJ1374" s="7" t="str">
        <f>VLOOKUP($AE1374,Mapping!$E$140:$K$2771,5,0)</f>
        <v>Contracts</v>
      </c>
      <c r="AK1374" s="7" t="str">
        <f>VLOOKUP($AE1374,Mapping!$E$140:$K$2771,7,0)</f>
        <v>ENDirect</v>
      </c>
      <c r="AL1374" s="7" t="str">
        <f>IFERROR(HLOOKUP(AJ1374,'Calc|Weightings'!$K$5:$M$5,1,0),"Excl")</f>
        <v>Contracts</v>
      </c>
      <c r="AM1374" s="7" t="str">
        <f>VLOOKUP(AC1374,Mapping!$E$11:$I$96,5,0)</f>
        <v>SCS</v>
      </c>
      <c r="AO1374" s="134">
        <v>162</v>
      </c>
      <c r="AP1374" s="135" t="s">
        <v>2172</v>
      </c>
      <c r="AQ1374" s="135">
        <v>531468</v>
      </c>
      <c r="AR1374" s="135" t="s">
        <v>260</v>
      </c>
      <c r="AS1374" s="136">
        <v>271.20864999999998</v>
      </c>
      <c r="AU1374" s="7" t="str">
        <f>VLOOKUP($AO1374,Mapping!$E$11:$I$96,3,0)</f>
        <v>Augmentation</v>
      </c>
      <c r="AV1374" s="7" t="str">
        <f>VLOOKUP($AQ1374,Mapping!$E$140:$K$2771,5,0)</f>
        <v>Contracts</v>
      </c>
      <c r="AW1374" s="7" t="str">
        <f>VLOOKUP($AQ1374,Mapping!$E$140:$K$2771,7,0)</f>
        <v>ENDirect</v>
      </c>
      <c r="AX1374" s="7" t="str">
        <f>IFERROR(HLOOKUP(AV1374,'Calc|Weightings'!$K$5:$M$5,1,0),"Excl")</f>
        <v>Contracts</v>
      </c>
      <c r="AY1374" s="7" t="str">
        <f>VLOOKUP(AO1374,Mapping!$E$11:$I$96,5,0)</f>
        <v>SCS</v>
      </c>
    </row>
    <row r="1375" spans="1:51" x14ac:dyDescent="0.2">
      <c r="A1375" s="7"/>
      <c r="B1375" s="7"/>
      <c r="C1375" s="7"/>
      <c r="D1375" s="7"/>
      <c r="E1375" s="36">
        <v>149</v>
      </c>
      <c r="F1375" s="36" t="s">
        <v>2204</v>
      </c>
      <c r="G1375" s="36">
        <v>613290</v>
      </c>
      <c r="H1375" s="36" t="s">
        <v>2093</v>
      </c>
      <c r="I1375" s="37">
        <v>2.9184999999999999</v>
      </c>
      <c r="J1375" s="7"/>
      <c r="K1375" s="7" t="str">
        <f>VLOOKUP($E1375,Mapping!$E$11:$I$96,3,0)</f>
        <v>Replacement</v>
      </c>
      <c r="L1375" s="7" t="str">
        <f>VLOOKUP($G1375,Mapping!$E$140:$K$2771,5,0)</f>
        <v>Labour</v>
      </c>
      <c r="M1375" s="7" t="str">
        <f>VLOOKUP($G1375,Mapping!$E$140:$K$2771,7,0)</f>
        <v>ENDirect</v>
      </c>
      <c r="N1375" s="7" t="str">
        <f>IFERROR(HLOOKUP(L1375,'Calc|Weightings'!$K$5:$M$5,1,0),"Excl")</f>
        <v>Labour</v>
      </c>
      <c r="O1375" s="7" t="str">
        <f>VLOOKUP(E1375,Mapping!$E$11:$I$96,5,0)</f>
        <v>SCS</v>
      </c>
      <c r="Q1375" s="33">
        <v>160</v>
      </c>
      <c r="R1375" s="33" t="s">
        <v>2170</v>
      </c>
      <c r="S1375" s="33">
        <v>531467</v>
      </c>
      <c r="T1375" s="33" t="s">
        <v>259</v>
      </c>
      <c r="U1375" s="34">
        <v>29.344899999999999</v>
      </c>
      <c r="V1375" s="7"/>
      <c r="W1375" s="7" t="str">
        <f>VLOOKUP($Q1375,Mapping!$E$11:$I$96,3,0)</f>
        <v>Augmentation</v>
      </c>
      <c r="X1375" s="7" t="str">
        <f>VLOOKUP($S1375,Mapping!$E$140:$K$2771,5,0)</f>
        <v>Contracts</v>
      </c>
      <c r="Y1375" s="7" t="str">
        <f>VLOOKUP($S1375,Mapping!$E$140:$K$2771,7,0)</f>
        <v>ENDirect</v>
      </c>
      <c r="Z1375" s="7" t="str">
        <f>IFERROR(HLOOKUP(X1375,'Calc|Weightings'!$K$5:$M$5,1,0),"Excl")</f>
        <v>Contracts</v>
      </c>
      <c r="AA1375" s="7" t="str">
        <f>VLOOKUP(Q1375,Mapping!$E$11:$I$96,5,0)</f>
        <v>SCS</v>
      </c>
      <c r="AC1375" s="111">
        <v>160</v>
      </c>
      <c r="AD1375" s="111" t="s">
        <v>2170</v>
      </c>
      <c r="AE1375" s="111">
        <v>532050</v>
      </c>
      <c r="AF1375" s="111" t="s">
        <v>279</v>
      </c>
      <c r="AG1375" s="112">
        <v>2.7300000000000001E-2</v>
      </c>
      <c r="AI1375" s="7" t="str">
        <f>VLOOKUP($AC1375,Mapping!$E$11:$I$96,3,0)</f>
        <v>Augmentation</v>
      </c>
      <c r="AJ1375" s="7" t="str">
        <f>VLOOKUP($AE1375,Mapping!$E$140:$K$2771,5,0)</f>
        <v>Contracts</v>
      </c>
      <c r="AK1375" s="7" t="str">
        <f>VLOOKUP($AE1375,Mapping!$E$140:$K$2771,7,0)</f>
        <v>ENDirect</v>
      </c>
      <c r="AL1375" s="7" t="str">
        <f>IFERROR(HLOOKUP(AJ1375,'Calc|Weightings'!$K$5:$M$5,1,0),"Excl")</f>
        <v>Contracts</v>
      </c>
      <c r="AM1375" s="7" t="str">
        <f>VLOOKUP(AC1375,Mapping!$E$11:$I$96,5,0)</f>
        <v>SCS</v>
      </c>
      <c r="AO1375" s="134">
        <v>162</v>
      </c>
      <c r="AP1375" s="135" t="s">
        <v>2172</v>
      </c>
      <c r="AQ1375" s="135">
        <v>531469</v>
      </c>
      <c r="AR1375" s="135" t="s">
        <v>261</v>
      </c>
      <c r="AS1375" s="136">
        <v>1417.5600899999999</v>
      </c>
      <c r="AU1375" s="7" t="str">
        <f>VLOOKUP($AO1375,Mapping!$E$11:$I$96,3,0)</f>
        <v>Augmentation</v>
      </c>
      <c r="AV1375" s="7" t="str">
        <f>VLOOKUP($AQ1375,Mapping!$E$140:$K$2771,5,0)</f>
        <v>Labour</v>
      </c>
      <c r="AW1375" s="7" t="str">
        <f>VLOOKUP($AQ1375,Mapping!$E$140:$K$2771,7,0)</f>
        <v>ENDirect</v>
      </c>
      <c r="AX1375" s="7" t="str">
        <f>IFERROR(HLOOKUP(AV1375,'Calc|Weightings'!$K$5:$M$5,1,0),"Excl")</f>
        <v>Labour</v>
      </c>
      <c r="AY1375" s="7" t="str">
        <f>VLOOKUP(AO1375,Mapping!$E$11:$I$96,5,0)</f>
        <v>SCS</v>
      </c>
    </row>
    <row r="1376" spans="1:51" x14ac:dyDescent="0.2">
      <c r="A1376" s="7"/>
      <c r="B1376" s="7"/>
      <c r="C1376" s="7"/>
      <c r="D1376" s="7"/>
      <c r="E1376" s="36">
        <v>149</v>
      </c>
      <c r="F1376" s="36" t="s">
        <v>2204</v>
      </c>
      <c r="G1376" s="36">
        <v>613350</v>
      </c>
      <c r="H1376" s="36" t="s">
        <v>2096</v>
      </c>
      <c r="I1376" s="37">
        <v>1.248E-2</v>
      </c>
      <c r="J1376" s="7"/>
      <c r="K1376" s="7" t="str">
        <f>VLOOKUP($E1376,Mapping!$E$11:$I$96,3,0)</f>
        <v>Replacement</v>
      </c>
      <c r="L1376" s="7" t="str">
        <f>VLOOKUP($G1376,Mapping!$E$140:$K$2771,5,0)</f>
        <v>Labour</v>
      </c>
      <c r="M1376" s="7" t="str">
        <f>VLOOKUP($G1376,Mapping!$E$140:$K$2771,7,0)</f>
        <v>ENDirect</v>
      </c>
      <c r="N1376" s="7" t="str">
        <f>IFERROR(HLOOKUP(L1376,'Calc|Weightings'!$K$5:$M$5,1,0),"Excl")</f>
        <v>Labour</v>
      </c>
      <c r="O1376" s="7" t="str">
        <f>VLOOKUP(E1376,Mapping!$E$11:$I$96,5,0)</f>
        <v>SCS</v>
      </c>
      <c r="Q1376" s="33">
        <v>160</v>
      </c>
      <c r="R1376" s="33" t="s">
        <v>2170</v>
      </c>
      <c r="S1376" s="33">
        <v>531468</v>
      </c>
      <c r="T1376" s="33" t="s">
        <v>260</v>
      </c>
      <c r="U1376" s="34">
        <v>6.5882500000000004</v>
      </c>
      <c r="V1376" s="7"/>
      <c r="W1376" s="7" t="str">
        <f>VLOOKUP($Q1376,Mapping!$E$11:$I$96,3,0)</f>
        <v>Augmentation</v>
      </c>
      <c r="X1376" s="7" t="str">
        <f>VLOOKUP($S1376,Mapping!$E$140:$K$2771,5,0)</f>
        <v>Contracts</v>
      </c>
      <c r="Y1376" s="7" t="str">
        <f>VLOOKUP($S1376,Mapping!$E$140:$K$2771,7,0)</f>
        <v>ENDirect</v>
      </c>
      <c r="Z1376" s="7" t="str">
        <f>IFERROR(HLOOKUP(X1376,'Calc|Weightings'!$K$5:$M$5,1,0),"Excl")</f>
        <v>Contracts</v>
      </c>
      <c r="AA1376" s="7" t="str">
        <f>VLOOKUP(Q1376,Mapping!$E$11:$I$96,5,0)</f>
        <v>SCS</v>
      </c>
      <c r="AC1376" s="111">
        <v>160</v>
      </c>
      <c r="AD1376" s="111" t="s">
        <v>2170</v>
      </c>
      <c r="AE1376" s="111">
        <v>532200</v>
      </c>
      <c r="AF1376" s="111" t="s">
        <v>291</v>
      </c>
      <c r="AG1376" s="112">
        <v>1.155</v>
      </c>
      <c r="AI1376" s="7" t="str">
        <f>VLOOKUP($AC1376,Mapping!$E$11:$I$96,3,0)</f>
        <v>Augmentation</v>
      </c>
      <c r="AJ1376" s="7" t="str">
        <f>VLOOKUP($AE1376,Mapping!$E$140:$K$2771,5,0)</f>
        <v>Contracts</v>
      </c>
      <c r="AK1376" s="7" t="str">
        <f>VLOOKUP($AE1376,Mapping!$E$140:$K$2771,7,0)</f>
        <v>ENDirect</v>
      </c>
      <c r="AL1376" s="7" t="str">
        <f>IFERROR(HLOOKUP(AJ1376,'Calc|Weightings'!$K$5:$M$5,1,0),"Excl")</f>
        <v>Contracts</v>
      </c>
      <c r="AM1376" s="7" t="str">
        <f>VLOOKUP(AC1376,Mapping!$E$11:$I$96,5,0)</f>
        <v>SCS</v>
      </c>
      <c r="AO1376" s="134">
        <v>162</v>
      </c>
      <c r="AP1376" s="135" t="s">
        <v>2172</v>
      </c>
      <c r="AQ1376" s="135">
        <v>531480</v>
      </c>
      <c r="AR1376" s="135" t="s">
        <v>2076</v>
      </c>
      <c r="AS1376" s="136">
        <v>21.355969999999999</v>
      </c>
      <c r="AU1376" s="7" t="str">
        <f>VLOOKUP($AO1376,Mapping!$E$11:$I$96,3,0)</f>
        <v>Augmentation</v>
      </c>
      <c r="AV1376" s="7" t="str">
        <f>VLOOKUP($AQ1376,Mapping!$E$140:$K$2771,5,0)</f>
        <v>Labour</v>
      </c>
      <c r="AW1376" s="7" t="str">
        <f>VLOOKUP($AQ1376,Mapping!$E$140:$K$2771,7,0)</f>
        <v>ENDirect</v>
      </c>
      <c r="AX1376" s="7" t="str">
        <f>IFERROR(HLOOKUP(AV1376,'Calc|Weightings'!$K$5:$M$5,1,0),"Excl")</f>
        <v>Labour</v>
      </c>
      <c r="AY1376" s="7" t="str">
        <f>VLOOKUP(AO1376,Mapping!$E$11:$I$96,5,0)</f>
        <v>SCS</v>
      </c>
    </row>
    <row r="1377" spans="1:51" x14ac:dyDescent="0.2">
      <c r="A1377" s="7"/>
      <c r="B1377" s="7"/>
      <c r="C1377" s="7"/>
      <c r="D1377" s="7"/>
      <c r="E1377" s="36">
        <v>149</v>
      </c>
      <c r="F1377" s="36" t="s">
        <v>2204</v>
      </c>
      <c r="G1377" s="36">
        <v>613360</v>
      </c>
      <c r="H1377" s="36" t="s">
        <v>2097</v>
      </c>
      <c r="I1377" s="37">
        <v>0.61068999999999996</v>
      </c>
      <c r="J1377" s="7"/>
      <c r="K1377" s="7" t="str">
        <f>VLOOKUP($E1377,Mapping!$E$11:$I$96,3,0)</f>
        <v>Replacement</v>
      </c>
      <c r="L1377" s="7" t="str">
        <f>VLOOKUP($G1377,Mapping!$E$140:$K$2771,5,0)</f>
        <v>Labour</v>
      </c>
      <c r="M1377" s="7" t="str">
        <f>VLOOKUP($G1377,Mapping!$E$140:$K$2771,7,0)</f>
        <v>ENDirect</v>
      </c>
      <c r="N1377" s="7" t="str">
        <f>IFERROR(HLOOKUP(L1377,'Calc|Weightings'!$K$5:$M$5,1,0),"Excl")</f>
        <v>Labour</v>
      </c>
      <c r="O1377" s="7" t="str">
        <f>VLOOKUP(E1377,Mapping!$E$11:$I$96,5,0)</f>
        <v>SCS</v>
      </c>
      <c r="Q1377" s="33">
        <v>160</v>
      </c>
      <c r="R1377" s="33" t="s">
        <v>2170</v>
      </c>
      <c r="S1377" s="33">
        <v>531469</v>
      </c>
      <c r="T1377" s="33" t="s">
        <v>261</v>
      </c>
      <c r="U1377" s="34">
        <v>1.74</v>
      </c>
      <c r="V1377" s="7"/>
      <c r="W1377" s="7" t="str">
        <f>VLOOKUP($Q1377,Mapping!$E$11:$I$96,3,0)</f>
        <v>Augmentation</v>
      </c>
      <c r="X1377" s="7" t="str">
        <f>VLOOKUP($S1377,Mapping!$E$140:$K$2771,5,0)</f>
        <v>Labour</v>
      </c>
      <c r="Y1377" s="7" t="str">
        <f>VLOOKUP($S1377,Mapping!$E$140:$K$2771,7,0)</f>
        <v>ENDirect</v>
      </c>
      <c r="Z1377" s="7" t="str">
        <f>IFERROR(HLOOKUP(X1377,'Calc|Weightings'!$K$5:$M$5,1,0),"Excl")</f>
        <v>Labour</v>
      </c>
      <c r="AA1377" s="7" t="str">
        <f>VLOOKUP(Q1377,Mapping!$E$11:$I$96,5,0)</f>
        <v>SCS</v>
      </c>
      <c r="AC1377" s="111">
        <v>160</v>
      </c>
      <c r="AD1377" s="111" t="s">
        <v>2170</v>
      </c>
      <c r="AE1377" s="111">
        <v>611900</v>
      </c>
      <c r="AF1377" s="111" t="s">
        <v>2079</v>
      </c>
      <c r="AG1377" s="112">
        <v>6.6339800000000002</v>
      </c>
      <c r="AI1377" s="7" t="str">
        <f>VLOOKUP($AC1377,Mapping!$E$11:$I$96,3,0)</f>
        <v>Augmentation</v>
      </c>
      <c r="AJ1377" s="7" t="str">
        <f>VLOOKUP($AE1377,Mapping!$E$140:$K$2771,5,0)</f>
        <v>Contracts</v>
      </c>
      <c r="AK1377" s="7" t="str">
        <f>VLOOKUP($AE1377,Mapping!$E$140:$K$2771,7,0)</f>
        <v>ENDirect</v>
      </c>
      <c r="AL1377" s="7" t="str">
        <f>IFERROR(HLOOKUP(AJ1377,'Calc|Weightings'!$K$5:$M$5,1,0),"Excl")</f>
        <v>Contracts</v>
      </c>
      <c r="AM1377" s="7" t="str">
        <f>VLOOKUP(AC1377,Mapping!$E$11:$I$96,5,0)</f>
        <v>SCS</v>
      </c>
      <c r="AO1377" s="134">
        <v>162</v>
      </c>
      <c r="AP1377" s="135" t="s">
        <v>2172</v>
      </c>
      <c r="AQ1377" s="135">
        <v>532050</v>
      </c>
      <c r="AR1377" s="135" t="s">
        <v>279</v>
      </c>
      <c r="AS1377" s="136">
        <v>27.254999999999999</v>
      </c>
      <c r="AU1377" s="7" t="str">
        <f>VLOOKUP($AO1377,Mapping!$E$11:$I$96,3,0)</f>
        <v>Augmentation</v>
      </c>
      <c r="AV1377" s="7" t="str">
        <f>VLOOKUP($AQ1377,Mapping!$E$140:$K$2771,5,0)</f>
        <v>Contracts</v>
      </c>
      <c r="AW1377" s="7" t="str">
        <f>VLOOKUP($AQ1377,Mapping!$E$140:$K$2771,7,0)</f>
        <v>ENDirect</v>
      </c>
      <c r="AX1377" s="7" t="str">
        <f>IFERROR(HLOOKUP(AV1377,'Calc|Weightings'!$K$5:$M$5,1,0),"Excl")</f>
        <v>Contracts</v>
      </c>
      <c r="AY1377" s="7" t="str">
        <f>VLOOKUP(AO1377,Mapping!$E$11:$I$96,5,0)</f>
        <v>SCS</v>
      </c>
    </row>
    <row r="1378" spans="1:51" x14ac:dyDescent="0.2">
      <c r="A1378" s="7"/>
      <c r="B1378" s="7"/>
      <c r="C1378" s="7"/>
      <c r="D1378" s="7"/>
      <c r="E1378" s="36">
        <v>149</v>
      </c>
      <c r="F1378" s="36" t="s">
        <v>2204</v>
      </c>
      <c r="G1378" s="36">
        <v>633000</v>
      </c>
      <c r="H1378" s="36" t="s">
        <v>2202</v>
      </c>
      <c r="I1378" s="37">
        <v>5.0075200000000004</v>
      </c>
      <c r="J1378" s="7"/>
      <c r="K1378" s="7" t="str">
        <f>VLOOKUP($E1378,Mapping!$E$11:$I$96,3,0)</f>
        <v>Replacement</v>
      </c>
      <c r="L1378" s="7" t="str">
        <f>VLOOKUP($G1378,Mapping!$E$140:$K$2771,5,0)</f>
        <v>Contracts</v>
      </c>
      <c r="M1378" s="7" t="str">
        <f>VLOOKUP($G1378,Mapping!$E$140:$K$2771,7,0)</f>
        <v>OH</v>
      </c>
      <c r="N1378" s="7" t="str">
        <f>IFERROR(HLOOKUP(L1378,'Calc|Weightings'!$K$5:$M$5,1,0),"Excl")</f>
        <v>Contracts</v>
      </c>
      <c r="O1378" s="7" t="str">
        <f>VLOOKUP(E1378,Mapping!$E$11:$I$96,5,0)</f>
        <v>SCS</v>
      </c>
      <c r="Q1378" s="33">
        <v>160</v>
      </c>
      <c r="R1378" s="33" t="s">
        <v>2170</v>
      </c>
      <c r="S1378" s="33">
        <v>591997</v>
      </c>
      <c r="T1378" s="33" t="s">
        <v>399</v>
      </c>
      <c r="U1378" s="34">
        <v>-2.3570000000000002</v>
      </c>
      <c r="V1378" s="7"/>
      <c r="W1378" s="7" t="str">
        <f>VLOOKUP($Q1378,Mapping!$E$11:$I$96,3,0)</f>
        <v>Augmentation</v>
      </c>
      <c r="X1378" s="7" t="str">
        <f>VLOOKUP($S1378,Mapping!$E$140:$K$2771,5,0)</f>
        <v>Contracts</v>
      </c>
      <c r="Y1378" s="7" t="str">
        <f>VLOOKUP($S1378,Mapping!$E$140:$K$2771,7,0)</f>
        <v>ENDirect</v>
      </c>
      <c r="Z1378" s="7" t="str">
        <f>IFERROR(HLOOKUP(X1378,'Calc|Weightings'!$K$5:$M$5,1,0),"Excl")</f>
        <v>Contracts</v>
      </c>
      <c r="AA1378" s="7" t="str">
        <f>VLOOKUP(Q1378,Mapping!$E$11:$I$96,5,0)</f>
        <v>SCS</v>
      </c>
      <c r="AC1378" s="111">
        <v>160</v>
      </c>
      <c r="AD1378" s="111" t="s">
        <v>2170</v>
      </c>
      <c r="AE1378" s="111">
        <v>611901</v>
      </c>
      <c r="AF1378" s="111" t="s">
        <v>2080</v>
      </c>
      <c r="AG1378" s="112">
        <v>5.65428</v>
      </c>
      <c r="AI1378" s="7" t="str">
        <f>VLOOKUP($AC1378,Mapping!$E$11:$I$96,3,0)</f>
        <v>Augmentation</v>
      </c>
      <c r="AJ1378" s="7" t="str">
        <f>VLOOKUP($AE1378,Mapping!$E$140:$K$2771,5,0)</f>
        <v>Contracts</v>
      </c>
      <c r="AK1378" s="7" t="str">
        <f>VLOOKUP($AE1378,Mapping!$E$140:$K$2771,7,0)</f>
        <v>ENDirect</v>
      </c>
      <c r="AL1378" s="7" t="str">
        <f>IFERROR(HLOOKUP(AJ1378,'Calc|Weightings'!$K$5:$M$5,1,0),"Excl")</f>
        <v>Contracts</v>
      </c>
      <c r="AM1378" s="7" t="str">
        <f>VLOOKUP(AC1378,Mapping!$E$11:$I$96,5,0)</f>
        <v>SCS</v>
      </c>
      <c r="AO1378" s="134">
        <v>162</v>
      </c>
      <c r="AP1378" s="135" t="s">
        <v>2172</v>
      </c>
      <c r="AQ1378" s="135">
        <v>532140</v>
      </c>
      <c r="AR1378" s="135" t="s">
        <v>288</v>
      </c>
      <c r="AS1378" s="136">
        <v>3.6379999999999999</v>
      </c>
      <c r="AU1378" s="7" t="str">
        <f>VLOOKUP($AO1378,Mapping!$E$11:$I$96,3,0)</f>
        <v>Augmentation</v>
      </c>
      <c r="AV1378" s="7" t="str">
        <f>VLOOKUP($AQ1378,Mapping!$E$140:$K$2771,5,0)</f>
        <v>Contracts</v>
      </c>
      <c r="AW1378" s="7" t="str">
        <f>VLOOKUP($AQ1378,Mapping!$E$140:$K$2771,7,0)</f>
        <v>ENDirect</v>
      </c>
      <c r="AX1378" s="7" t="str">
        <f>IFERROR(HLOOKUP(AV1378,'Calc|Weightings'!$K$5:$M$5,1,0),"Excl")</f>
        <v>Contracts</v>
      </c>
      <c r="AY1378" s="7" t="str">
        <f>VLOOKUP(AO1378,Mapping!$E$11:$I$96,5,0)</f>
        <v>SCS</v>
      </c>
    </row>
    <row r="1379" spans="1:51" x14ac:dyDescent="0.2">
      <c r="A1379" s="7"/>
      <c r="B1379" s="7"/>
      <c r="C1379" s="7"/>
      <c r="D1379" s="7"/>
      <c r="E1379" s="36">
        <v>149</v>
      </c>
      <c r="F1379" s="36" t="s">
        <v>2204</v>
      </c>
      <c r="G1379" s="36">
        <v>634001</v>
      </c>
      <c r="H1379" s="36" t="s">
        <v>2110</v>
      </c>
      <c r="I1379" s="37">
        <v>2.2618499999999999</v>
      </c>
      <c r="J1379" s="7"/>
      <c r="K1379" s="7" t="str">
        <f>VLOOKUP($E1379,Mapping!$E$11:$I$96,3,0)</f>
        <v>Replacement</v>
      </c>
      <c r="L1379" s="7" t="str">
        <f>VLOOKUP($G1379,Mapping!$E$140:$K$2771,5,0)</f>
        <v>Local OH</v>
      </c>
      <c r="M1379" s="7" t="str">
        <f>VLOOKUP($G1379,Mapping!$E$140:$K$2771,7,0)</f>
        <v>OH</v>
      </c>
      <c r="N1379" s="7" t="str">
        <f>IFERROR(HLOOKUP(L1379,'Calc|Weightings'!$K$5:$M$5,1,0),"Excl")</f>
        <v>Excl</v>
      </c>
      <c r="O1379" s="7" t="str">
        <f>VLOOKUP(E1379,Mapping!$E$11:$I$96,5,0)</f>
        <v>SCS</v>
      </c>
      <c r="Q1379" s="33">
        <v>160</v>
      </c>
      <c r="R1379" s="33" t="s">
        <v>2170</v>
      </c>
      <c r="S1379" s="33">
        <v>591998</v>
      </c>
      <c r="T1379" s="33" t="s">
        <v>2077</v>
      </c>
      <c r="U1379" s="34">
        <v>-4.1912500000000001</v>
      </c>
      <c r="V1379" s="7"/>
      <c r="W1379" s="7" t="str">
        <f>VLOOKUP($Q1379,Mapping!$E$11:$I$96,3,0)</f>
        <v>Augmentation</v>
      </c>
      <c r="X1379" s="7" t="str">
        <f>VLOOKUP($S1379,Mapping!$E$140:$K$2771,5,0)</f>
        <v>Contracts</v>
      </c>
      <c r="Y1379" s="7" t="str">
        <f>VLOOKUP($S1379,Mapping!$E$140:$K$2771,7,0)</f>
        <v>ENDirect</v>
      </c>
      <c r="Z1379" s="7" t="str">
        <f>IFERROR(HLOOKUP(X1379,'Calc|Weightings'!$K$5:$M$5,1,0),"Excl")</f>
        <v>Contracts</v>
      </c>
      <c r="AA1379" s="7" t="str">
        <f>VLOOKUP(Q1379,Mapping!$E$11:$I$96,5,0)</f>
        <v>SCS</v>
      </c>
      <c r="AC1379" s="111">
        <v>160</v>
      </c>
      <c r="AD1379" s="111" t="s">
        <v>2170</v>
      </c>
      <c r="AE1379" s="111">
        <v>611902</v>
      </c>
      <c r="AF1379" s="111" t="s">
        <v>2081</v>
      </c>
      <c r="AG1379" s="112">
        <v>0.19564000000000001</v>
      </c>
      <c r="AI1379" s="7" t="str">
        <f>VLOOKUP($AC1379,Mapping!$E$11:$I$96,3,0)</f>
        <v>Augmentation</v>
      </c>
      <c r="AJ1379" s="7" t="str">
        <f>VLOOKUP($AE1379,Mapping!$E$140:$K$2771,5,0)</f>
        <v>Contracts</v>
      </c>
      <c r="AK1379" s="7" t="str">
        <f>VLOOKUP($AE1379,Mapping!$E$140:$K$2771,7,0)</f>
        <v>ENDirect</v>
      </c>
      <c r="AL1379" s="7" t="str">
        <f>IFERROR(HLOOKUP(AJ1379,'Calc|Weightings'!$K$5:$M$5,1,0),"Excl")</f>
        <v>Contracts</v>
      </c>
      <c r="AM1379" s="7" t="str">
        <f>VLOOKUP(AC1379,Mapping!$E$11:$I$96,5,0)</f>
        <v>SCS</v>
      </c>
      <c r="AO1379" s="134">
        <v>162</v>
      </c>
      <c r="AP1379" s="135" t="s">
        <v>2172</v>
      </c>
      <c r="AQ1379" s="135">
        <v>532200</v>
      </c>
      <c r="AR1379" s="135" t="s">
        <v>291</v>
      </c>
      <c r="AS1379" s="136">
        <v>39.918990000000001</v>
      </c>
      <c r="AU1379" s="7" t="str">
        <f>VLOOKUP($AO1379,Mapping!$E$11:$I$96,3,0)</f>
        <v>Augmentation</v>
      </c>
      <c r="AV1379" s="7" t="str">
        <f>VLOOKUP($AQ1379,Mapping!$E$140:$K$2771,5,0)</f>
        <v>Contracts</v>
      </c>
      <c r="AW1379" s="7" t="str">
        <f>VLOOKUP($AQ1379,Mapping!$E$140:$K$2771,7,0)</f>
        <v>ENDirect</v>
      </c>
      <c r="AX1379" s="7" t="str">
        <f>IFERROR(HLOOKUP(AV1379,'Calc|Weightings'!$K$5:$M$5,1,0),"Excl")</f>
        <v>Contracts</v>
      </c>
      <c r="AY1379" s="7" t="str">
        <f>VLOOKUP(AO1379,Mapping!$E$11:$I$96,5,0)</f>
        <v>SCS</v>
      </c>
    </row>
    <row r="1380" spans="1:51" x14ac:dyDescent="0.2">
      <c r="A1380" s="7"/>
      <c r="B1380" s="7"/>
      <c r="C1380" s="7"/>
      <c r="D1380" s="7"/>
      <c r="E1380" s="36">
        <v>149</v>
      </c>
      <c r="F1380" s="36" t="s">
        <v>2204</v>
      </c>
      <c r="G1380" s="36">
        <v>635001</v>
      </c>
      <c r="H1380" s="36" t="s">
        <v>1929</v>
      </c>
      <c r="I1380" s="37">
        <v>1.7733399999999999</v>
      </c>
      <c r="J1380" s="7"/>
      <c r="K1380" s="7" t="str">
        <f>VLOOKUP($E1380,Mapping!$E$11:$I$96,3,0)</f>
        <v>Replacement</v>
      </c>
      <c r="L1380" s="7" t="str">
        <f>VLOOKUP($G1380,Mapping!$E$140:$K$2771,5,0)</f>
        <v>PNS MG</v>
      </c>
      <c r="M1380" s="7" t="str">
        <f>VLOOKUP($G1380,Mapping!$E$140:$K$2771,7,0)</f>
        <v>ENDirect</v>
      </c>
      <c r="N1380" s="7" t="str">
        <f>IFERROR(HLOOKUP(L1380,'Calc|Weightings'!$K$5:$M$5,1,0),"Excl")</f>
        <v>Excl</v>
      </c>
      <c r="O1380" s="7" t="str">
        <f>VLOOKUP(E1380,Mapping!$E$11:$I$96,5,0)</f>
        <v>SCS</v>
      </c>
      <c r="Q1380" s="33">
        <v>160</v>
      </c>
      <c r="R1380" s="33" t="s">
        <v>2170</v>
      </c>
      <c r="S1380" s="33">
        <v>591999</v>
      </c>
      <c r="T1380" s="33" t="s">
        <v>2078</v>
      </c>
      <c r="U1380" s="34">
        <v>-7.8405899999999997</v>
      </c>
      <c r="V1380" s="7"/>
      <c r="W1380" s="7" t="str">
        <f>VLOOKUP($Q1380,Mapping!$E$11:$I$96,3,0)</f>
        <v>Augmentation</v>
      </c>
      <c r="X1380" s="7" t="str">
        <f>VLOOKUP($S1380,Mapping!$E$140:$K$2771,5,0)</f>
        <v>Contracts</v>
      </c>
      <c r="Y1380" s="7" t="str">
        <f>VLOOKUP($S1380,Mapping!$E$140:$K$2771,7,0)</f>
        <v>ENDirect</v>
      </c>
      <c r="Z1380" s="7" t="str">
        <f>IFERROR(HLOOKUP(X1380,'Calc|Weightings'!$K$5:$M$5,1,0),"Excl")</f>
        <v>Contracts</v>
      </c>
      <c r="AA1380" s="7" t="str">
        <f>VLOOKUP(Q1380,Mapping!$E$11:$I$96,5,0)</f>
        <v>SCS</v>
      </c>
      <c r="AC1380" s="111">
        <v>160</v>
      </c>
      <c r="AD1380" s="111" t="s">
        <v>2170</v>
      </c>
      <c r="AE1380" s="111">
        <v>613240</v>
      </c>
      <c r="AF1380" s="111" t="s">
        <v>2082</v>
      </c>
      <c r="AG1380" s="112">
        <v>79.083250000000007</v>
      </c>
      <c r="AI1380" s="7" t="str">
        <f>VLOOKUP($AC1380,Mapping!$E$11:$I$96,3,0)</f>
        <v>Augmentation</v>
      </c>
      <c r="AJ1380" s="7" t="str">
        <f>VLOOKUP($AE1380,Mapping!$E$140:$K$2771,5,0)</f>
        <v>Labour</v>
      </c>
      <c r="AK1380" s="7" t="str">
        <f>VLOOKUP($AE1380,Mapping!$E$140:$K$2771,7,0)</f>
        <v>ENDirect</v>
      </c>
      <c r="AL1380" s="7" t="str">
        <f>IFERROR(HLOOKUP(AJ1380,'Calc|Weightings'!$K$5:$M$5,1,0),"Excl")</f>
        <v>Labour</v>
      </c>
      <c r="AM1380" s="7" t="str">
        <f>VLOOKUP(AC1380,Mapping!$E$11:$I$96,5,0)</f>
        <v>SCS</v>
      </c>
      <c r="AO1380" s="134">
        <v>162</v>
      </c>
      <c r="AP1380" s="135" t="s">
        <v>2172</v>
      </c>
      <c r="AQ1380" s="135">
        <v>532340</v>
      </c>
      <c r="AR1380" s="135" t="s">
        <v>299</v>
      </c>
      <c r="AS1380" s="136">
        <v>3.2050000000000001</v>
      </c>
      <c r="AU1380" s="7" t="str">
        <f>VLOOKUP($AO1380,Mapping!$E$11:$I$96,3,0)</f>
        <v>Augmentation</v>
      </c>
      <c r="AV1380" s="7" t="str">
        <f>VLOOKUP($AQ1380,Mapping!$E$140:$K$2771,5,0)</f>
        <v>Contracts</v>
      </c>
      <c r="AW1380" s="7" t="str">
        <f>VLOOKUP($AQ1380,Mapping!$E$140:$K$2771,7,0)</f>
        <v>ENDirect</v>
      </c>
      <c r="AX1380" s="7" t="str">
        <f>IFERROR(HLOOKUP(AV1380,'Calc|Weightings'!$K$5:$M$5,1,0),"Excl")</f>
        <v>Contracts</v>
      </c>
      <c r="AY1380" s="7" t="str">
        <f>VLOOKUP(AO1380,Mapping!$E$11:$I$96,5,0)</f>
        <v>SCS</v>
      </c>
    </row>
    <row r="1381" spans="1:51" x14ac:dyDescent="0.2">
      <c r="A1381" s="7"/>
      <c r="B1381" s="7"/>
      <c r="C1381" s="7"/>
      <c r="D1381" s="7"/>
      <c r="E1381" s="36">
        <v>149</v>
      </c>
      <c r="F1381" s="36" t="s">
        <v>2204</v>
      </c>
      <c r="G1381" s="36">
        <v>636001</v>
      </c>
      <c r="H1381" s="36" t="s">
        <v>2111</v>
      </c>
      <c r="I1381" s="37">
        <v>0.65083000000000002</v>
      </c>
      <c r="J1381" s="7"/>
      <c r="K1381" s="7" t="str">
        <f>VLOOKUP($E1381,Mapping!$E$11:$I$96,3,0)</f>
        <v>Replacement</v>
      </c>
      <c r="L1381" s="7" t="str">
        <f>VLOOKUP($G1381,Mapping!$E$140:$K$2771,5,0)</f>
        <v>System Control OH</v>
      </c>
      <c r="M1381" s="7" t="str">
        <f>VLOOKUP($G1381,Mapping!$E$140:$K$2771,7,0)</f>
        <v>OH</v>
      </c>
      <c r="N1381" s="7" t="str">
        <f>IFERROR(HLOOKUP(L1381,'Calc|Weightings'!$K$5:$M$5,1,0),"Excl")</f>
        <v>Excl</v>
      </c>
      <c r="O1381" s="7" t="str">
        <f>VLOOKUP(E1381,Mapping!$E$11:$I$96,5,0)</f>
        <v>SCS</v>
      </c>
      <c r="Q1381" s="33">
        <v>160</v>
      </c>
      <c r="R1381" s="33" t="s">
        <v>2170</v>
      </c>
      <c r="S1381" s="33">
        <v>611900</v>
      </c>
      <c r="T1381" s="33" t="s">
        <v>2079</v>
      </c>
      <c r="U1381" s="34">
        <v>4.5846499999999999</v>
      </c>
      <c r="V1381" s="7"/>
      <c r="W1381" s="7" t="str">
        <f>VLOOKUP($Q1381,Mapping!$E$11:$I$96,3,0)</f>
        <v>Augmentation</v>
      </c>
      <c r="X1381" s="7" t="str">
        <f>VLOOKUP($S1381,Mapping!$E$140:$K$2771,5,0)</f>
        <v>Contracts</v>
      </c>
      <c r="Y1381" s="7" t="str">
        <f>VLOOKUP($S1381,Mapping!$E$140:$K$2771,7,0)</f>
        <v>ENDirect</v>
      </c>
      <c r="Z1381" s="7" t="str">
        <f>IFERROR(HLOOKUP(X1381,'Calc|Weightings'!$K$5:$M$5,1,0),"Excl")</f>
        <v>Contracts</v>
      </c>
      <c r="AA1381" s="7" t="str">
        <f>VLOOKUP(Q1381,Mapping!$E$11:$I$96,5,0)</f>
        <v>SCS</v>
      </c>
      <c r="AC1381" s="111">
        <v>160</v>
      </c>
      <c r="AD1381" s="111" t="s">
        <v>2170</v>
      </c>
      <c r="AE1381" s="111">
        <v>613241</v>
      </c>
      <c r="AF1381" s="111" t="s">
        <v>2083</v>
      </c>
      <c r="AG1381" s="112">
        <v>1.99498</v>
      </c>
      <c r="AI1381" s="7" t="str">
        <f>VLOOKUP($AC1381,Mapping!$E$11:$I$96,3,0)</f>
        <v>Augmentation</v>
      </c>
      <c r="AJ1381" s="7" t="str">
        <f>VLOOKUP($AE1381,Mapping!$E$140:$K$2771,5,0)</f>
        <v>Labour</v>
      </c>
      <c r="AK1381" s="7" t="str">
        <f>VLOOKUP($AE1381,Mapping!$E$140:$K$2771,7,0)</f>
        <v>ENDirect</v>
      </c>
      <c r="AL1381" s="7" t="str">
        <f>IFERROR(HLOOKUP(AJ1381,'Calc|Weightings'!$K$5:$M$5,1,0),"Excl")</f>
        <v>Labour</v>
      </c>
      <c r="AM1381" s="7" t="str">
        <f>VLOOKUP(AC1381,Mapping!$E$11:$I$96,5,0)</f>
        <v>SCS</v>
      </c>
      <c r="AO1381" s="134">
        <v>162</v>
      </c>
      <c r="AP1381" s="135" t="s">
        <v>2172</v>
      </c>
      <c r="AQ1381" s="135">
        <v>532360</v>
      </c>
      <c r="AR1381" s="135" t="s">
        <v>2131</v>
      </c>
      <c r="AS1381" s="136">
        <v>0.19297</v>
      </c>
      <c r="AU1381" s="7" t="str">
        <f>VLOOKUP($AO1381,Mapping!$E$11:$I$96,3,0)</f>
        <v>Augmentation</v>
      </c>
      <c r="AV1381" s="7" t="str">
        <f>VLOOKUP($AQ1381,Mapping!$E$140:$K$2771,5,0)</f>
        <v>Contracts</v>
      </c>
      <c r="AW1381" s="7" t="str">
        <f>VLOOKUP($AQ1381,Mapping!$E$140:$K$2771,7,0)</f>
        <v>ENDirect</v>
      </c>
      <c r="AX1381" s="7" t="str">
        <f>IFERROR(HLOOKUP(AV1381,'Calc|Weightings'!$K$5:$M$5,1,0),"Excl")</f>
        <v>Contracts</v>
      </c>
      <c r="AY1381" s="7" t="str">
        <f>VLOOKUP(AO1381,Mapping!$E$11:$I$96,5,0)</f>
        <v>SCS</v>
      </c>
    </row>
    <row r="1382" spans="1:51" x14ac:dyDescent="0.2">
      <c r="A1382" s="7"/>
      <c r="B1382" s="7"/>
      <c r="C1382" s="7"/>
      <c r="D1382" s="7"/>
      <c r="E1382" s="36">
        <v>149</v>
      </c>
      <c r="F1382" s="36" t="s">
        <v>2204</v>
      </c>
      <c r="G1382" s="36">
        <v>639000</v>
      </c>
      <c r="H1382" s="36" t="s">
        <v>2112</v>
      </c>
      <c r="I1382" s="37">
        <v>1.4995799999999999</v>
      </c>
      <c r="J1382" s="7"/>
      <c r="K1382" s="7" t="str">
        <f>VLOOKUP($E1382,Mapping!$E$11:$I$96,3,0)</f>
        <v>Replacement</v>
      </c>
      <c r="L1382" s="7" t="str">
        <f>VLOOKUP($G1382,Mapping!$E$140:$K$2771,5,0)</f>
        <v>PNS Corporate OH</v>
      </c>
      <c r="M1382" s="7" t="str">
        <f>VLOOKUP($G1382,Mapping!$E$140:$K$2771,7,0)</f>
        <v>OH</v>
      </c>
      <c r="N1382" s="7" t="str">
        <f>IFERROR(HLOOKUP(L1382,'Calc|Weightings'!$K$5:$M$5,1,0),"Excl")</f>
        <v>Excl</v>
      </c>
      <c r="O1382" s="7" t="str">
        <f>VLOOKUP(E1382,Mapping!$E$11:$I$96,5,0)</f>
        <v>SCS</v>
      </c>
      <c r="Q1382" s="33">
        <v>160</v>
      </c>
      <c r="R1382" s="33" t="s">
        <v>2170</v>
      </c>
      <c r="S1382" s="33">
        <v>611901</v>
      </c>
      <c r="T1382" s="33" t="s">
        <v>2080</v>
      </c>
      <c r="U1382" s="34">
        <v>2.8140900000000002</v>
      </c>
      <c r="V1382" s="7"/>
      <c r="W1382" s="7" t="str">
        <f>VLOOKUP($Q1382,Mapping!$E$11:$I$96,3,0)</f>
        <v>Augmentation</v>
      </c>
      <c r="X1382" s="7" t="str">
        <f>VLOOKUP($S1382,Mapping!$E$140:$K$2771,5,0)</f>
        <v>Contracts</v>
      </c>
      <c r="Y1382" s="7" t="str">
        <f>VLOOKUP($S1382,Mapping!$E$140:$K$2771,7,0)</f>
        <v>ENDirect</v>
      </c>
      <c r="Z1382" s="7" t="str">
        <f>IFERROR(HLOOKUP(X1382,'Calc|Weightings'!$K$5:$M$5,1,0),"Excl")</f>
        <v>Contracts</v>
      </c>
      <c r="AA1382" s="7" t="str">
        <f>VLOOKUP(Q1382,Mapping!$E$11:$I$96,5,0)</f>
        <v>SCS</v>
      </c>
      <c r="AC1382" s="111">
        <v>160</v>
      </c>
      <c r="AD1382" s="111" t="s">
        <v>2170</v>
      </c>
      <c r="AE1382" s="111">
        <v>613250</v>
      </c>
      <c r="AF1382" s="111" t="s">
        <v>2086</v>
      </c>
      <c r="AG1382" s="112">
        <v>139.94449</v>
      </c>
      <c r="AI1382" s="7" t="str">
        <f>VLOOKUP($AC1382,Mapping!$E$11:$I$96,3,0)</f>
        <v>Augmentation</v>
      </c>
      <c r="AJ1382" s="7" t="str">
        <f>VLOOKUP($AE1382,Mapping!$E$140:$K$2771,5,0)</f>
        <v>Labour</v>
      </c>
      <c r="AK1382" s="7" t="str">
        <f>VLOOKUP($AE1382,Mapping!$E$140:$K$2771,7,0)</f>
        <v>ENDirect</v>
      </c>
      <c r="AL1382" s="7" t="str">
        <f>IFERROR(HLOOKUP(AJ1382,'Calc|Weightings'!$K$5:$M$5,1,0),"Excl")</f>
        <v>Labour</v>
      </c>
      <c r="AM1382" s="7" t="str">
        <f>VLOOKUP(AC1382,Mapping!$E$11:$I$96,5,0)</f>
        <v>SCS</v>
      </c>
      <c r="AO1382" s="134">
        <v>162</v>
      </c>
      <c r="AP1382" s="135" t="s">
        <v>2172</v>
      </c>
      <c r="AQ1382" s="135">
        <v>532420</v>
      </c>
      <c r="AR1382" s="135" t="s">
        <v>307</v>
      </c>
      <c r="AS1382" s="136">
        <v>6.4500000000000002E-2</v>
      </c>
      <c r="AU1382" s="7" t="str">
        <f>VLOOKUP($AO1382,Mapping!$E$11:$I$96,3,0)</f>
        <v>Augmentation</v>
      </c>
      <c r="AV1382" s="7" t="str">
        <f>VLOOKUP($AQ1382,Mapping!$E$140:$K$2771,5,0)</f>
        <v>Contracts</v>
      </c>
      <c r="AW1382" s="7" t="str">
        <f>VLOOKUP($AQ1382,Mapping!$E$140:$K$2771,7,0)</f>
        <v>ENDirect</v>
      </c>
      <c r="AX1382" s="7" t="str">
        <f>IFERROR(HLOOKUP(AV1382,'Calc|Weightings'!$K$5:$M$5,1,0),"Excl")</f>
        <v>Contracts</v>
      </c>
      <c r="AY1382" s="7" t="str">
        <f>VLOOKUP(AO1382,Mapping!$E$11:$I$96,5,0)</f>
        <v>SCS</v>
      </c>
    </row>
    <row r="1383" spans="1:51" x14ac:dyDescent="0.2">
      <c r="A1383" s="7"/>
      <c r="B1383" s="7"/>
      <c r="C1383" s="7"/>
      <c r="D1383" s="7"/>
      <c r="E1383" s="36">
        <v>149</v>
      </c>
      <c r="F1383" s="36" t="s">
        <v>2204</v>
      </c>
      <c r="G1383" s="36">
        <v>639050</v>
      </c>
      <c r="H1383" s="36" t="s">
        <v>2113</v>
      </c>
      <c r="I1383" s="37">
        <v>0.18609999999999999</v>
      </c>
      <c r="J1383" s="7"/>
      <c r="K1383" s="7" t="str">
        <f>VLOOKUP($E1383,Mapping!$E$11:$I$96,3,0)</f>
        <v>Replacement</v>
      </c>
      <c r="L1383" s="7" t="str">
        <f>VLOOKUP($G1383,Mapping!$E$140:$K$2771,5,0)</f>
        <v>PNS Fleet &amp; Property OH</v>
      </c>
      <c r="M1383" s="7" t="str">
        <f>VLOOKUP($G1383,Mapping!$E$140:$K$2771,7,0)</f>
        <v>OH</v>
      </c>
      <c r="N1383" s="7" t="str">
        <f>IFERROR(HLOOKUP(L1383,'Calc|Weightings'!$K$5:$M$5,1,0),"Excl")</f>
        <v>Excl</v>
      </c>
      <c r="O1383" s="7" t="str">
        <f>VLOOKUP(E1383,Mapping!$E$11:$I$96,5,0)</f>
        <v>SCS</v>
      </c>
      <c r="Q1383" s="33">
        <v>160</v>
      </c>
      <c r="R1383" s="33" t="s">
        <v>2170</v>
      </c>
      <c r="S1383" s="33">
        <v>611902</v>
      </c>
      <c r="T1383" s="33" t="s">
        <v>2081</v>
      </c>
      <c r="U1383" s="34">
        <v>5.8620000000000001</v>
      </c>
      <c r="V1383" s="7"/>
      <c r="W1383" s="7" t="str">
        <f>VLOOKUP($Q1383,Mapping!$E$11:$I$96,3,0)</f>
        <v>Augmentation</v>
      </c>
      <c r="X1383" s="7" t="str">
        <f>VLOOKUP($S1383,Mapping!$E$140:$K$2771,5,0)</f>
        <v>Contracts</v>
      </c>
      <c r="Y1383" s="7" t="str">
        <f>VLOOKUP($S1383,Mapping!$E$140:$K$2771,7,0)</f>
        <v>ENDirect</v>
      </c>
      <c r="Z1383" s="7" t="str">
        <f>IFERROR(HLOOKUP(X1383,'Calc|Weightings'!$K$5:$M$5,1,0),"Excl")</f>
        <v>Contracts</v>
      </c>
      <c r="AA1383" s="7" t="str">
        <f>VLOOKUP(Q1383,Mapping!$E$11:$I$96,5,0)</f>
        <v>SCS</v>
      </c>
      <c r="AC1383" s="111">
        <v>160</v>
      </c>
      <c r="AD1383" s="111" t="s">
        <v>2170</v>
      </c>
      <c r="AE1383" s="111">
        <v>613251</v>
      </c>
      <c r="AF1383" s="111" t="s">
        <v>2087</v>
      </c>
      <c r="AG1383" s="112">
        <v>-2.4876999999999998</v>
      </c>
      <c r="AI1383" s="7" t="str">
        <f>VLOOKUP($AC1383,Mapping!$E$11:$I$96,3,0)</f>
        <v>Augmentation</v>
      </c>
      <c r="AJ1383" s="7" t="str">
        <f>VLOOKUP($AE1383,Mapping!$E$140:$K$2771,5,0)</f>
        <v>Labour</v>
      </c>
      <c r="AK1383" s="7" t="str">
        <f>VLOOKUP($AE1383,Mapping!$E$140:$K$2771,7,0)</f>
        <v>ENDirect</v>
      </c>
      <c r="AL1383" s="7" t="str">
        <f>IFERROR(HLOOKUP(AJ1383,'Calc|Weightings'!$K$5:$M$5,1,0),"Excl")</f>
        <v>Labour</v>
      </c>
      <c r="AM1383" s="7" t="str">
        <f>VLOOKUP(AC1383,Mapping!$E$11:$I$96,5,0)</f>
        <v>SCS</v>
      </c>
      <c r="AO1383" s="134">
        <v>162</v>
      </c>
      <c r="AP1383" s="135" t="s">
        <v>2172</v>
      </c>
      <c r="AQ1383" s="135">
        <v>534230</v>
      </c>
      <c r="AR1383" s="135" t="s">
        <v>341</v>
      </c>
      <c r="AS1383" s="136">
        <v>1.7239999999999998E-2</v>
      </c>
      <c r="AU1383" s="7" t="str">
        <f>VLOOKUP($AO1383,Mapping!$E$11:$I$96,3,0)</f>
        <v>Augmentation</v>
      </c>
      <c r="AV1383" s="7" t="str">
        <f>VLOOKUP($AQ1383,Mapping!$E$140:$K$2771,5,0)</f>
        <v>Contracts</v>
      </c>
      <c r="AW1383" s="7" t="str">
        <f>VLOOKUP($AQ1383,Mapping!$E$140:$K$2771,7,0)</f>
        <v>ENDirect</v>
      </c>
      <c r="AX1383" s="7" t="str">
        <f>IFERROR(HLOOKUP(AV1383,'Calc|Weightings'!$K$5:$M$5,1,0),"Excl")</f>
        <v>Contracts</v>
      </c>
      <c r="AY1383" s="7" t="str">
        <f>VLOOKUP(AO1383,Mapping!$E$11:$I$96,5,0)</f>
        <v>SCS</v>
      </c>
    </row>
    <row r="1384" spans="1:51" x14ac:dyDescent="0.2">
      <c r="A1384" s="7"/>
      <c r="B1384" s="7"/>
      <c r="C1384" s="7"/>
      <c r="D1384" s="7"/>
      <c r="E1384" s="36">
        <v>150</v>
      </c>
      <c r="F1384" s="36" t="s">
        <v>2159</v>
      </c>
      <c r="G1384" s="36">
        <v>503281</v>
      </c>
      <c r="H1384" s="36" t="s">
        <v>2198</v>
      </c>
      <c r="I1384" s="37">
        <v>2.23E-2</v>
      </c>
      <c r="J1384" s="7"/>
      <c r="K1384" s="7" t="str">
        <f>VLOOKUP($E1384,Mapping!$E$11:$I$96,3,0)</f>
        <v>Replacement</v>
      </c>
      <c r="L1384" s="7" t="str">
        <f>VLOOKUP($G1384,Mapping!$E$140:$K$2771,5,0)</f>
        <v>Contracts</v>
      </c>
      <c r="M1384" s="7" t="str">
        <f>VLOOKUP($G1384,Mapping!$E$140:$K$2771,7,0)</f>
        <v>ENDirect</v>
      </c>
      <c r="N1384" s="7" t="str">
        <f>IFERROR(HLOOKUP(L1384,'Calc|Weightings'!$K$5:$M$5,1,0),"Excl")</f>
        <v>Contracts</v>
      </c>
      <c r="O1384" s="7" t="str">
        <f>VLOOKUP(E1384,Mapping!$E$11:$I$96,5,0)</f>
        <v>SCS</v>
      </c>
      <c r="Q1384" s="33">
        <v>160</v>
      </c>
      <c r="R1384" s="33" t="s">
        <v>2170</v>
      </c>
      <c r="S1384" s="33">
        <v>613240</v>
      </c>
      <c r="T1384" s="33" t="s">
        <v>2082</v>
      </c>
      <c r="U1384" s="34">
        <v>2.1056400000000002</v>
      </c>
      <c r="V1384" s="7"/>
      <c r="W1384" s="7" t="str">
        <f>VLOOKUP($Q1384,Mapping!$E$11:$I$96,3,0)</f>
        <v>Augmentation</v>
      </c>
      <c r="X1384" s="7" t="str">
        <f>VLOOKUP($S1384,Mapping!$E$140:$K$2771,5,0)</f>
        <v>Labour</v>
      </c>
      <c r="Y1384" s="7" t="str">
        <f>VLOOKUP($S1384,Mapping!$E$140:$K$2771,7,0)</f>
        <v>ENDirect</v>
      </c>
      <c r="Z1384" s="7" t="str">
        <f>IFERROR(HLOOKUP(X1384,'Calc|Weightings'!$K$5:$M$5,1,0),"Excl")</f>
        <v>Labour</v>
      </c>
      <c r="AA1384" s="7" t="str">
        <f>VLOOKUP(Q1384,Mapping!$E$11:$I$96,5,0)</f>
        <v>SCS</v>
      </c>
      <c r="AC1384" s="111">
        <v>160</v>
      </c>
      <c r="AD1384" s="111" t="s">
        <v>2170</v>
      </c>
      <c r="AE1384" s="111">
        <v>613260</v>
      </c>
      <c r="AF1384" s="111" t="s">
        <v>2090</v>
      </c>
      <c r="AG1384" s="112">
        <v>1.3808</v>
      </c>
      <c r="AI1384" s="7" t="str">
        <f>VLOOKUP($AC1384,Mapping!$E$11:$I$96,3,0)</f>
        <v>Augmentation</v>
      </c>
      <c r="AJ1384" s="7" t="str">
        <f>VLOOKUP($AE1384,Mapping!$E$140:$K$2771,5,0)</f>
        <v>Labour</v>
      </c>
      <c r="AK1384" s="7" t="str">
        <f>VLOOKUP($AE1384,Mapping!$E$140:$K$2771,7,0)</f>
        <v>ENDirect</v>
      </c>
      <c r="AL1384" s="7" t="str">
        <f>IFERROR(HLOOKUP(AJ1384,'Calc|Weightings'!$K$5:$M$5,1,0),"Excl")</f>
        <v>Labour</v>
      </c>
      <c r="AM1384" s="7" t="str">
        <f>VLOOKUP(AC1384,Mapping!$E$11:$I$96,5,0)</f>
        <v>SCS</v>
      </c>
      <c r="AO1384" s="134">
        <v>162</v>
      </c>
      <c r="AP1384" s="135" t="s">
        <v>2172</v>
      </c>
      <c r="AQ1384" s="135">
        <v>545150</v>
      </c>
      <c r="AR1384" s="135" t="s">
        <v>345</v>
      </c>
      <c r="AS1384" s="136">
        <v>0.80215000000000003</v>
      </c>
      <c r="AU1384" s="7" t="str">
        <f>VLOOKUP($AO1384,Mapping!$E$11:$I$96,3,0)</f>
        <v>Augmentation</v>
      </c>
      <c r="AV1384" s="7" t="str">
        <f>VLOOKUP($AQ1384,Mapping!$E$140:$K$2771,5,0)</f>
        <v>Contracts</v>
      </c>
      <c r="AW1384" s="7" t="str">
        <f>VLOOKUP($AQ1384,Mapping!$E$140:$K$2771,7,0)</f>
        <v>ENDirect</v>
      </c>
      <c r="AX1384" s="7" t="str">
        <f>IFERROR(HLOOKUP(AV1384,'Calc|Weightings'!$K$5:$M$5,1,0),"Excl")</f>
        <v>Contracts</v>
      </c>
      <c r="AY1384" s="7" t="str">
        <f>VLOOKUP(AO1384,Mapping!$E$11:$I$96,5,0)</f>
        <v>SCS</v>
      </c>
    </row>
    <row r="1385" spans="1:51" x14ac:dyDescent="0.2">
      <c r="A1385" s="7"/>
      <c r="B1385" s="7"/>
      <c r="C1385" s="7"/>
      <c r="D1385" s="7"/>
      <c r="E1385" s="36">
        <v>150</v>
      </c>
      <c r="F1385" s="36" t="s">
        <v>2159</v>
      </c>
      <c r="G1385" s="36">
        <v>520100</v>
      </c>
      <c r="H1385" s="36" t="s">
        <v>2072</v>
      </c>
      <c r="I1385" s="37">
        <v>118.63834</v>
      </c>
      <c r="J1385" s="7"/>
      <c r="K1385" s="7" t="str">
        <f>VLOOKUP($E1385,Mapping!$E$11:$I$96,3,0)</f>
        <v>Replacement</v>
      </c>
      <c r="L1385" s="7" t="str">
        <f>VLOOKUP($G1385,Mapping!$E$140:$K$2771,5,0)</f>
        <v>Materials</v>
      </c>
      <c r="M1385" s="7" t="str">
        <f>VLOOKUP($G1385,Mapping!$E$140:$K$2771,7,0)</f>
        <v>ENDirect</v>
      </c>
      <c r="N1385" s="7" t="str">
        <f>IFERROR(HLOOKUP(L1385,'Calc|Weightings'!$K$5:$M$5,1,0),"Excl")</f>
        <v>Materials</v>
      </c>
      <c r="O1385" s="7" t="str">
        <f>VLOOKUP(E1385,Mapping!$E$11:$I$96,5,0)</f>
        <v>SCS</v>
      </c>
      <c r="Q1385" s="33">
        <v>160</v>
      </c>
      <c r="R1385" s="33" t="s">
        <v>2170</v>
      </c>
      <c r="S1385" s="33">
        <v>613241</v>
      </c>
      <c r="T1385" s="33" t="s">
        <v>2083</v>
      </c>
      <c r="U1385" s="34">
        <v>0.15412999999999999</v>
      </c>
      <c r="V1385" s="7"/>
      <c r="W1385" s="7" t="str">
        <f>VLOOKUP($Q1385,Mapping!$E$11:$I$96,3,0)</f>
        <v>Augmentation</v>
      </c>
      <c r="X1385" s="7" t="str">
        <f>VLOOKUP($S1385,Mapping!$E$140:$K$2771,5,0)</f>
        <v>Labour</v>
      </c>
      <c r="Y1385" s="7" t="str">
        <f>VLOOKUP($S1385,Mapping!$E$140:$K$2771,7,0)</f>
        <v>ENDirect</v>
      </c>
      <c r="Z1385" s="7" t="str">
        <f>IFERROR(HLOOKUP(X1385,'Calc|Weightings'!$K$5:$M$5,1,0),"Excl")</f>
        <v>Labour</v>
      </c>
      <c r="AA1385" s="7" t="str">
        <f>VLOOKUP(Q1385,Mapping!$E$11:$I$96,5,0)</f>
        <v>SCS</v>
      </c>
      <c r="AC1385" s="111">
        <v>160</v>
      </c>
      <c r="AD1385" s="111" t="s">
        <v>2170</v>
      </c>
      <c r="AE1385" s="111">
        <v>613280</v>
      </c>
      <c r="AF1385" s="111" t="s">
        <v>1342</v>
      </c>
      <c r="AG1385" s="112">
        <v>54.019449999999999</v>
      </c>
      <c r="AI1385" s="7" t="str">
        <f>VLOOKUP($AC1385,Mapping!$E$11:$I$96,3,0)</f>
        <v>Augmentation</v>
      </c>
      <c r="AJ1385" s="7" t="str">
        <f>VLOOKUP($AE1385,Mapping!$E$140:$K$2771,5,0)</f>
        <v>Labour</v>
      </c>
      <c r="AK1385" s="7" t="str">
        <f>VLOOKUP($AE1385,Mapping!$E$140:$K$2771,7,0)</f>
        <v>ENDirect</v>
      </c>
      <c r="AL1385" s="7" t="str">
        <f>IFERROR(HLOOKUP(AJ1385,'Calc|Weightings'!$K$5:$M$5,1,0),"Excl")</f>
        <v>Labour</v>
      </c>
      <c r="AM1385" s="7" t="str">
        <f>VLOOKUP(AC1385,Mapping!$E$11:$I$96,5,0)</f>
        <v>SCS</v>
      </c>
      <c r="AO1385" s="134">
        <v>162</v>
      </c>
      <c r="AP1385" s="135" t="s">
        <v>2172</v>
      </c>
      <c r="AQ1385" s="135">
        <v>582300</v>
      </c>
      <c r="AR1385" s="135" t="s">
        <v>381</v>
      </c>
      <c r="AS1385" s="136">
        <v>8.1549999999999997E-2</v>
      </c>
      <c r="AU1385" s="7" t="str">
        <f>VLOOKUP($AO1385,Mapping!$E$11:$I$96,3,0)</f>
        <v>Augmentation</v>
      </c>
      <c r="AV1385" s="7" t="str">
        <f>VLOOKUP($AQ1385,Mapping!$E$140:$K$2771,5,0)</f>
        <v>Contracts</v>
      </c>
      <c r="AW1385" s="7" t="str">
        <f>VLOOKUP($AQ1385,Mapping!$E$140:$K$2771,7,0)</f>
        <v>ENDirect</v>
      </c>
      <c r="AX1385" s="7" t="str">
        <f>IFERROR(HLOOKUP(AV1385,'Calc|Weightings'!$K$5:$M$5,1,0),"Excl")</f>
        <v>Contracts</v>
      </c>
      <c r="AY1385" s="7" t="str">
        <f>VLOOKUP(AO1385,Mapping!$E$11:$I$96,5,0)</f>
        <v>SCS</v>
      </c>
    </row>
    <row r="1386" spans="1:51" x14ac:dyDescent="0.2">
      <c r="A1386" s="7"/>
      <c r="B1386" s="7"/>
      <c r="C1386" s="7"/>
      <c r="D1386" s="7"/>
      <c r="E1386" s="36">
        <v>150</v>
      </c>
      <c r="F1386" s="36" t="s">
        <v>2159</v>
      </c>
      <c r="G1386" s="36">
        <v>523100</v>
      </c>
      <c r="H1386" s="36" t="s">
        <v>2074</v>
      </c>
      <c r="I1386" s="37">
        <v>0.88580000000000003</v>
      </c>
      <c r="J1386" s="7"/>
      <c r="K1386" s="7" t="str">
        <f>VLOOKUP($E1386,Mapping!$E$11:$I$96,3,0)</f>
        <v>Replacement</v>
      </c>
      <c r="L1386" s="7" t="str">
        <f>VLOOKUP($G1386,Mapping!$E$140:$K$2771,5,0)</f>
        <v>Materials</v>
      </c>
      <c r="M1386" s="7" t="str">
        <f>VLOOKUP($G1386,Mapping!$E$140:$K$2771,7,0)</f>
        <v>ENDirect</v>
      </c>
      <c r="N1386" s="7" t="str">
        <f>IFERROR(HLOOKUP(L1386,'Calc|Weightings'!$K$5:$M$5,1,0),"Excl")</f>
        <v>Materials</v>
      </c>
      <c r="O1386" s="7" t="str">
        <f>VLOOKUP(E1386,Mapping!$E$11:$I$96,5,0)</f>
        <v>SCS</v>
      </c>
      <c r="Q1386" s="33">
        <v>160</v>
      </c>
      <c r="R1386" s="33" t="s">
        <v>2170</v>
      </c>
      <c r="S1386" s="33">
        <v>613250</v>
      </c>
      <c r="T1386" s="33" t="s">
        <v>2086</v>
      </c>
      <c r="U1386" s="34">
        <v>49.39282</v>
      </c>
      <c r="V1386" s="7"/>
      <c r="W1386" s="7" t="str">
        <f>VLOOKUP($Q1386,Mapping!$E$11:$I$96,3,0)</f>
        <v>Augmentation</v>
      </c>
      <c r="X1386" s="7" t="str">
        <f>VLOOKUP($S1386,Mapping!$E$140:$K$2771,5,0)</f>
        <v>Labour</v>
      </c>
      <c r="Y1386" s="7" t="str">
        <f>VLOOKUP($S1386,Mapping!$E$140:$K$2771,7,0)</f>
        <v>ENDirect</v>
      </c>
      <c r="Z1386" s="7" t="str">
        <f>IFERROR(HLOOKUP(X1386,'Calc|Weightings'!$K$5:$M$5,1,0),"Excl")</f>
        <v>Labour</v>
      </c>
      <c r="AA1386" s="7" t="str">
        <f>VLOOKUP(Q1386,Mapping!$E$11:$I$96,5,0)</f>
        <v>SCS</v>
      </c>
      <c r="AC1386" s="111">
        <v>160</v>
      </c>
      <c r="AD1386" s="111" t="s">
        <v>2170</v>
      </c>
      <c r="AE1386" s="111">
        <v>613281</v>
      </c>
      <c r="AF1386" s="111" t="s">
        <v>1343</v>
      </c>
      <c r="AG1386" s="112">
        <v>1.1026400000000001</v>
      </c>
      <c r="AI1386" s="7" t="str">
        <f>VLOOKUP($AC1386,Mapping!$E$11:$I$96,3,0)</f>
        <v>Augmentation</v>
      </c>
      <c r="AJ1386" s="7" t="str">
        <f>VLOOKUP($AE1386,Mapping!$E$140:$K$2771,5,0)</f>
        <v>Labour</v>
      </c>
      <c r="AK1386" s="7" t="str">
        <f>VLOOKUP($AE1386,Mapping!$E$140:$K$2771,7,0)</f>
        <v>ENDirect</v>
      </c>
      <c r="AL1386" s="7" t="str">
        <f>IFERROR(HLOOKUP(AJ1386,'Calc|Weightings'!$K$5:$M$5,1,0),"Excl")</f>
        <v>Labour</v>
      </c>
      <c r="AM1386" s="7" t="str">
        <f>VLOOKUP(AC1386,Mapping!$E$11:$I$96,5,0)</f>
        <v>SCS</v>
      </c>
      <c r="AO1386" s="134">
        <v>162</v>
      </c>
      <c r="AP1386" s="135" t="s">
        <v>2172</v>
      </c>
      <c r="AQ1386" s="135">
        <v>591997</v>
      </c>
      <c r="AR1386" s="135" t="s">
        <v>2194</v>
      </c>
      <c r="AS1386" s="136">
        <v>-14.680059999999999</v>
      </c>
      <c r="AU1386" s="7" t="str">
        <f>VLOOKUP($AO1386,Mapping!$E$11:$I$96,3,0)</f>
        <v>Augmentation</v>
      </c>
      <c r="AV1386" s="7" t="str">
        <f>VLOOKUP($AQ1386,Mapping!$E$140:$K$2771,5,0)</f>
        <v>Contracts</v>
      </c>
      <c r="AW1386" s="7" t="str">
        <f>VLOOKUP($AQ1386,Mapping!$E$140:$K$2771,7,0)</f>
        <v>ENDirect</v>
      </c>
      <c r="AX1386" s="7" t="str">
        <f>IFERROR(HLOOKUP(AV1386,'Calc|Weightings'!$K$5:$M$5,1,0),"Excl")</f>
        <v>Contracts</v>
      </c>
      <c r="AY1386" s="7" t="str">
        <f>VLOOKUP(AO1386,Mapping!$E$11:$I$96,5,0)</f>
        <v>SCS</v>
      </c>
    </row>
    <row r="1387" spans="1:51" x14ac:dyDescent="0.2">
      <c r="A1387" s="7"/>
      <c r="B1387" s="7"/>
      <c r="C1387" s="7"/>
      <c r="D1387" s="7"/>
      <c r="E1387" s="36">
        <v>150</v>
      </c>
      <c r="F1387" s="36" t="s">
        <v>2159</v>
      </c>
      <c r="G1387" s="36">
        <v>523300</v>
      </c>
      <c r="H1387" s="36" t="s">
        <v>2075</v>
      </c>
      <c r="I1387" s="37">
        <v>1.4400000000000001E-3</v>
      </c>
      <c r="J1387" s="7"/>
      <c r="K1387" s="7" t="str">
        <f>VLOOKUP($E1387,Mapping!$E$11:$I$96,3,0)</f>
        <v>Replacement</v>
      </c>
      <c r="L1387" s="7" t="str">
        <f>VLOOKUP($G1387,Mapping!$E$140:$K$2771,5,0)</f>
        <v>Materials</v>
      </c>
      <c r="M1387" s="7" t="str">
        <f>VLOOKUP($G1387,Mapping!$E$140:$K$2771,7,0)</f>
        <v>ENDirect</v>
      </c>
      <c r="N1387" s="7" t="str">
        <f>IFERROR(HLOOKUP(L1387,'Calc|Weightings'!$K$5:$M$5,1,0),"Excl")</f>
        <v>Materials</v>
      </c>
      <c r="O1387" s="7" t="str">
        <f>VLOOKUP(E1387,Mapping!$E$11:$I$96,5,0)</f>
        <v>SCS</v>
      </c>
      <c r="Q1387" s="33">
        <v>160</v>
      </c>
      <c r="R1387" s="33" t="s">
        <v>2170</v>
      </c>
      <c r="S1387" s="33">
        <v>613251</v>
      </c>
      <c r="T1387" s="33" t="s">
        <v>2087</v>
      </c>
      <c r="U1387" s="34">
        <v>7.2881900000000002</v>
      </c>
      <c r="V1387" s="7"/>
      <c r="W1387" s="7" t="str">
        <f>VLOOKUP($Q1387,Mapping!$E$11:$I$96,3,0)</f>
        <v>Augmentation</v>
      </c>
      <c r="X1387" s="7" t="str">
        <f>VLOOKUP($S1387,Mapping!$E$140:$K$2771,5,0)</f>
        <v>Labour</v>
      </c>
      <c r="Y1387" s="7" t="str">
        <f>VLOOKUP($S1387,Mapping!$E$140:$K$2771,7,0)</f>
        <v>ENDirect</v>
      </c>
      <c r="Z1387" s="7" t="str">
        <f>IFERROR(HLOOKUP(X1387,'Calc|Weightings'!$K$5:$M$5,1,0),"Excl")</f>
        <v>Labour</v>
      </c>
      <c r="AA1387" s="7" t="str">
        <f>VLOOKUP(Q1387,Mapping!$E$11:$I$96,5,0)</f>
        <v>SCS</v>
      </c>
      <c r="AC1387" s="111">
        <v>160</v>
      </c>
      <c r="AD1387" s="111" t="s">
        <v>2170</v>
      </c>
      <c r="AE1387" s="111">
        <v>613290</v>
      </c>
      <c r="AF1387" s="111" t="s">
        <v>2093</v>
      </c>
      <c r="AG1387" s="112">
        <v>2.3974199999999999</v>
      </c>
      <c r="AI1387" s="7" t="str">
        <f>VLOOKUP($AC1387,Mapping!$E$11:$I$96,3,0)</f>
        <v>Augmentation</v>
      </c>
      <c r="AJ1387" s="7" t="str">
        <f>VLOOKUP($AE1387,Mapping!$E$140:$K$2771,5,0)</f>
        <v>Labour</v>
      </c>
      <c r="AK1387" s="7" t="str">
        <f>VLOOKUP($AE1387,Mapping!$E$140:$K$2771,7,0)</f>
        <v>ENDirect</v>
      </c>
      <c r="AL1387" s="7" t="str">
        <f>IFERROR(HLOOKUP(AJ1387,'Calc|Weightings'!$K$5:$M$5,1,0),"Excl")</f>
        <v>Labour</v>
      </c>
      <c r="AM1387" s="7" t="str">
        <f>VLOOKUP(AC1387,Mapping!$E$11:$I$96,5,0)</f>
        <v>SCS</v>
      </c>
      <c r="AO1387" s="134">
        <v>162</v>
      </c>
      <c r="AP1387" s="135" t="s">
        <v>2172</v>
      </c>
      <c r="AQ1387" s="135">
        <v>591998</v>
      </c>
      <c r="AR1387" s="135" t="s">
        <v>2077</v>
      </c>
      <c r="AS1387" s="136">
        <v>4.5910599999999997</v>
      </c>
      <c r="AU1387" s="7" t="str">
        <f>VLOOKUP($AO1387,Mapping!$E$11:$I$96,3,0)</f>
        <v>Augmentation</v>
      </c>
      <c r="AV1387" s="7" t="str">
        <f>VLOOKUP($AQ1387,Mapping!$E$140:$K$2771,5,0)</f>
        <v>Contracts</v>
      </c>
      <c r="AW1387" s="7" t="str">
        <f>VLOOKUP($AQ1387,Mapping!$E$140:$K$2771,7,0)</f>
        <v>ENDirect</v>
      </c>
      <c r="AX1387" s="7" t="str">
        <f>IFERROR(HLOOKUP(AV1387,'Calc|Weightings'!$K$5:$M$5,1,0),"Excl")</f>
        <v>Contracts</v>
      </c>
      <c r="AY1387" s="7" t="str">
        <f>VLOOKUP(AO1387,Mapping!$E$11:$I$96,5,0)</f>
        <v>SCS</v>
      </c>
    </row>
    <row r="1388" spans="1:51" x14ac:dyDescent="0.2">
      <c r="A1388" s="7"/>
      <c r="B1388" s="7"/>
      <c r="C1388" s="7"/>
      <c r="D1388" s="7"/>
      <c r="E1388" s="36">
        <v>150</v>
      </c>
      <c r="F1388" s="36" t="s">
        <v>2159</v>
      </c>
      <c r="G1388" s="36">
        <v>531020</v>
      </c>
      <c r="H1388" s="36" t="s">
        <v>219</v>
      </c>
      <c r="I1388" s="37">
        <v>-13.3</v>
      </c>
      <c r="J1388" s="7"/>
      <c r="K1388" s="7" t="str">
        <f>VLOOKUP($E1388,Mapping!$E$11:$I$96,3,0)</f>
        <v>Replacement</v>
      </c>
      <c r="L1388" s="7" t="str">
        <f>VLOOKUP($G1388,Mapping!$E$140:$K$2771,5,0)</f>
        <v>Labour</v>
      </c>
      <c r="M1388" s="7" t="str">
        <f>VLOOKUP($G1388,Mapping!$E$140:$K$2771,7,0)</f>
        <v>ENDirect</v>
      </c>
      <c r="N1388" s="7" t="str">
        <f>IFERROR(HLOOKUP(L1388,'Calc|Weightings'!$K$5:$M$5,1,0),"Excl")</f>
        <v>Labour</v>
      </c>
      <c r="O1388" s="7" t="str">
        <f>VLOOKUP(E1388,Mapping!$E$11:$I$96,5,0)</f>
        <v>SCS</v>
      </c>
      <c r="Q1388" s="33">
        <v>160</v>
      </c>
      <c r="R1388" s="33" t="s">
        <v>2170</v>
      </c>
      <c r="S1388" s="33">
        <v>613260</v>
      </c>
      <c r="T1388" s="33" t="s">
        <v>2090</v>
      </c>
      <c r="U1388" s="34">
        <v>0.25638</v>
      </c>
      <c r="V1388" s="7"/>
      <c r="W1388" s="7" t="str">
        <f>VLOOKUP($Q1388,Mapping!$E$11:$I$96,3,0)</f>
        <v>Augmentation</v>
      </c>
      <c r="X1388" s="7" t="str">
        <f>VLOOKUP($S1388,Mapping!$E$140:$K$2771,5,0)</f>
        <v>Labour</v>
      </c>
      <c r="Y1388" s="7" t="str">
        <f>VLOOKUP($S1388,Mapping!$E$140:$K$2771,7,0)</f>
        <v>ENDirect</v>
      </c>
      <c r="Z1388" s="7" t="str">
        <f>IFERROR(HLOOKUP(X1388,'Calc|Weightings'!$K$5:$M$5,1,0),"Excl")</f>
        <v>Labour</v>
      </c>
      <c r="AA1388" s="7" t="str">
        <f>VLOOKUP(Q1388,Mapping!$E$11:$I$96,5,0)</f>
        <v>SCS</v>
      </c>
      <c r="AC1388" s="111">
        <v>160</v>
      </c>
      <c r="AD1388" s="111" t="s">
        <v>2170</v>
      </c>
      <c r="AE1388" s="111">
        <v>613291</v>
      </c>
      <c r="AF1388" s="111" t="s">
        <v>2094</v>
      </c>
      <c r="AG1388" s="112">
        <v>0.45518999999999998</v>
      </c>
      <c r="AI1388" s="7" t="str">
        <f>VLOOKUP($AC1388,Mapping!$E$11:$I$96,3,0)</f>
        <v>Augmentation</v>
      </c>
      <c r="AJ1388" s="7" t="str">
        <f>VLOOKUP($AE1388,Mapping!$E$140:$K$2771,5,0)</f>
        <v>Labour</v>
      </c>
      <c r="AK1388" s="7" t="str">
        <f>VLOOKUP($AE1388,Mapping!$E$140:$K$2771,7,0)</f>
        <v>ENDirect</v>
      </c>
      <c r="AL1388" s="7" t="str">
        <f>IFERROR(HLOOKUP(AJ1388,'Calc|Weightings'!$K$5:$M$5,1,0),"Excl")</f>
        <v>Labour</v>
      </c>
      <c r="AM1388" s="7" t="str">
        <f>VLOOKUP(AC1388,Mapping!$E$11:$I$96,5,0)</f>
        <v>SCS</v>
      </c>
      <c r="AO1388" s="134">
        <v>162</v>
      </c>
      <c r="AP1388" s="135" t="s">
        <v>2172</v>
      </c>
      <c r="AQ1388" s="135">
        <v>591999</v>
      </c>
      <c r="AR1388" s="135" t="s">
        <v>2195</v>
      </c>
      <c r="AS1388" s="136">
        <v>-14.79813</v>
      </c>
      <c r="AU1388" s="7" t="str">
        <f>VLOOKUP($AO1388,Mapping!$E$11:$I$96,3,0)</f>
        <v>Augmentation</v>
      </c>
      <c r="AV1388" s="7" t="str">
        <f>VLOOKUP($AQ1388,Mapping!$E$140:$K$2771,5,0)</f>
        <v>Contracts</v>
      </c>
      <c r="AW1388" s="7" t="str">
        <f>VLOOKUP($AQ1388,Mapping!$E$140:$K$2771,7,0)</f>
        <v>ENDirect</v>
      </c>
      <c r="AX1388" s="7" t="str">
        <f>IFERROR(HLOOKUP(AV1388,'Calc|Weightings'!$K$5:$M$5,1,0),"Excl")</f>
        <v>Contracts</v>
      </c>
      <c r="AY1388" s="7" t="str">
        <f>VLOOKUP(AO1388,Mapping!$E$11:$I$96,5,0)</f>
        <v>SCS</v>
      </c>
    </row>
    <row r="1389" spans="1:51" x14ac:dyDescent="0.2">
      <c r="A1389" s="7"/>
      <c r="B1389" s="7"/>
      <c r="C1389" s="7"/>
      <c r="D1389" s="7"/>
      <c r="E1389" s="36">
        <v>150</v>
      </c>
      <c r="F1389" s="36" t="s">
        <v>2159</v>
      </c>
      <c r="G1389" s="36">
        <v>531035</v>
      </c>
      <c r="H1389" s="36" t="s">
        <v>244</v>
      </c>
      <c r="I1389" s="37">
        <v>51.534660000000002</v>
      </c>
      <c r="J1389" s="7"/>
      <c r="K1389" s="7" t="str">
        <f>VLOOKUP($E1389,Mapping!$E$11:$I$96,3,0)</f>
        <v>Replacement</v>
      </c>
      <c r="L1389" s="7" t="str">
        <f>VLOOKUP($G1389,Mapping!$E$140:$K$2771,5,0)</f>
        <v>Labour</v>
      </c>
      <c r="M1389" s="7" t="str">
        <f>VLOOKUP($G1389,Mapping!$E$140:$K$2771,7,0)</f>
        <v>ENDirect</v>
      </c>
      <c r="N1389" s="7" t="str">
        <f>IFERROR(HLOOKUP(L1389,'Calc|Weightings'!$K$5:$M$5,1,0),"Excl")</f>
        <v>Labour</v>
      </c>
      <c r="O1389" s="7" t="str">
        <f>VLOOKUP(E1389,Mapping!$E$11:$I$96,5,0)</f>
        <v>SCS</v>
      </c>
      <c r="Q1389" s="33">
        <v>160</v>
      </c>
      <c r="R1389" s="33" t="s">
        <v>2170</v>
      </c>
      <c r="S1389" s="33">
        <v>613280</v>
      </c>
      <c r="T1389" s="33" t="s">
        <v>1342</v>
      </c>
      <c r="U1389" s="34">
        <v>20.478999999999999</v>
      </c>
      <c r="V1389" s="7"/>
      <c r="W1389" s="7" t="str">
        <f>VLOOKUP($Q1389,Mapping!$E$11:$I$96,3,0)</f>
        <v>Augmentation</v>
      </c>
      <c r="X1389" s="7" t="str">
        <f>VLOOKUP($S1389,Mapping!$E$140:$K$2771,5,0)</f>
        <v>Labour</v>
      </c>
      <c r="Y1389" s="7" t="str">
        <f>VLOOKUP($S1389,Mapping!$E$140:$K$2771,7,0)</f>
        <v>ENDirect</v>
      </c>
      <c r="Z1389" s="7" t="str">
        <f>IFERROR(HLOOKUP(X1389,'Calc|Weightings'!$K$5:$M$5,1,0),"Excl")</f>
        <v>Labour</v>
      </c>
      <c r="AA1389" s="7" t="str">
        <f>VLOOKUP(Q1389,Mapping!$E$11:$I$96,5,0)</f>
        <v>SCS</v>
      </c>
      <c r="AC1389" s="111">
        <v>160</v>
      </c>
      <c r="AD1389" s="111" t="s">
        <v>2170</v>
      </c>
      <c r="AE1389" s="111">
        <v>613310</v>
      </c>
      <c r="AF1389" s="111" t="s">
        <v>2095</v>
      </c>
      <c r="AG1389" s="112">
        <v>0.29602000000000001</v>
      </c>
      <c r="AI1389" s="7" t="str">
        <f>VLOOKUP($AC1389,Mapping!$E$11:$I$96,3,0)</f>
        <v>Augmentation</v>
      </c>
      <c r="AJ1389" s="7" t="str">
        <f>VLOOKUP($AE1389,Mapping!$E$140:$K$2771,5,0)</f>
        <v>Labour</v>
      </c>
      <c r="AK1389" s="7" t="str">
        <f>VLOOKUP($AE1389,Mapping!$E$140:$K$2771,7,0)</f>
        <v>ENDirect</v>
      </c>
      <c r="AL1389" s="7" t="str">
        <f>IFERROR(HLOOKUP(AJ1389,'Calc|Weightings'!$K$5:$M$5,1,0),"Excl")</f>
        <v>Labour</v>
      </c>
      <c r="AM1389" s="7" t="str">
        <f>VLOOKUP(AC1389,Mapping!$E$11:$I$96,5,0)</f>
        <v>SCS</v>
      </c>
      <c r="AO1389" s="134">
        <v>162</v>
      </c>
      <c r="AP1389" s="135" t="s">
        <v>2172</v>
      </c>
      <c r="AQ1389" s="135">
        <v>611900</v>
      </c>
      <c r="AR1389" s="135" t="s">
        <v>2079</v>
      </c>
      <c r="AS1389" s="136">
        <v>10.224399999999999</v>
      </c>
      <c r="AU1389" s="7" t="str">
        <f>VLOOKUP($AO1389,Mapping!$E$11:$I$96,3,0)</f>
        <v>Augmentation</v>
      </c>
      <c r="AV1389" s="7" t="str">
        <f>VLOOKUP($AQ1389,Mapping!$E$140:$K$2771,5,0)</f>
        <v>Contracts</v>
      </c>
      <c r="AW1389" s="7" t="str">
        <f>VLOOKUP($AQ1389,Mapping!$E$140:$K$2771,7,0)</f>
        <v>ENDirect</v>
      </c>
      <c r="AX1389" s="7" t="str">
        <f>IFERROR(HLOOKUP(AV1389,'Calc|Weightings'!$K$5:$M$5,1,0),"Excl")</f>
        <v>Contracts</v>
      </c>
      <c r="AY1389" s="7" t="str">
        <f>VLOOKUP(AO1389,Mapping!$E$11:$I$96,5,0)</f>
        <v>SCS</v>
      </c>
    </row>
    <row r="1390" spans="1:51" x14ac:dyDescent="0.2">
      <c r="A1390" s="7"/>
      <c r="B1390" s="7"/>
      <c r="C1390" s="7"/>
      <c r="D1390" s="7"/>
      <c r="E1390" s="36">
        <v>150</v>
      </c>
      <c r="F1390" s="36" t="s">
        <v>2159</v>
      </c>
      <c r="G1390" s="36">
        <v>531200</v>
      </c>
      <c r="H1390" s="36" t="s">
        <v>250</v>
      </c>
      <c r="I1390" s="37">
        <v>6.1840000000000002</v>
      </c>
      <c r="J1390" s="7"/>
      <c r="K1390" s="7" t="str">
        <f>VLOOKUP($E1390,Mapping!$E$11:$I$96,3,0)</f>
        <v>Replacement</v>
      </c>
      <c r="L1390" s="7" t="str">
        <f>VLOOKUP($G1390,Mapping!$E$140:$K$2771,5,0)</f>
        <v>Contracts</v>
      </c>
      <c r="M1390" s="7" t="str">
        <f>VLOOKUP($G1390,Mapping!$E$140:$K$2771,7,0)</f>
        <v>ENDirect</v>
      </c>
      <c r="N1390" s="7" t="str">
        <f>IFERROR(HLOOKUP(L1390,'Calc|Weightings'!$K$5:$M$5,1,0),"Excl")</f>
        <v>Contracts</v>
      </c>
      <c r="O1390" s="7" t="str">
        <f>VLOOKUP(E1390,Mapping!$E$11:$I$96,5,0)</f>
        <v>SCS</v>
      </c>
      <c r="Q1390" s="33">
        <v>160</v>
      </c>
      <c r="R1390" s="33" t="s">
        <v>2170</v>
      </c>
      <c r="S1390" s="33">
        <v>613290</v>
      </c>
      <c r="T1390" s="33" t="s">
        <v>2093</v>
      </c>
      <c r="U1390" s="34">
        <v>23.74174</v>
      </c>
      <c r="V1390" s="7"/>
      <c r="W1390" s="7" t="str">
        <f>VLOOKUP($Q1390,Mapping!$E$11:$I$96,3,0)</f>
        <v>Augmentation</v>
      </c>
      <c r="X1390" s="7" t="str">
        <f>VLOOKUP($S1390,Mapping!$E$140:$K$2771,5,0)</f>
        <v>Labour</v>
      </c>
      <c r="Y1390" s="7" t="str">
        <f>VLOOKUP($S1390,Mapping!$E$140:$K$2771,7,0)</f>
        <v>ENDirect</v>
      </c>
      <c r="Z1390" s="7" t="str">
        <f>IFERROR(HLOOKUP(X1390,'Calc|Weightings'!$K$5:$M$5,1,0),"Excl")</f>
        <v>Labour</v>
      </c>
      <c r="AA1390" s="7" t="str">
        <f>VLOOKUP(Q1390,Mapping!$E$11:$I$96,5,0)</f>
        <v>SCS</v>
      </c>
      <c r="AC1390" s="111">
        <v>160</v>
      </c>
      <c r="AD1390" s="111" t="s">
        <v>2170</v>
      </c>
      <c r="AE1390" s="111">
        <v>613360</v>
      </c>
      <c r="AF1390" s="111" t="s">
        <v>2097</v>
      </c>
      <c r="AG1390" s="112">
        <v>9.8109900000000003</v>
      </c>
      <c r="AI1390" s="7" t="str">
        <f>VLOOKUP($AC1390,Mapping!$E$11:$I$96,3,0)</f>
        <v>Augmentation</v>
      </c>
      <c r="AJ1390" s="7" t="str">
        <f>VLOOKUP($AE1390,Mapping!$E$140:$K$2771,5,0)</f>
        <v>Labour</v>
      </c>
      <c r="AK1390" s="7" t="str">
        <f>VLOOKUP($AE1390,Mapping!$E$140:$K$2771,7,0)</f>
        <v>ENDirect</v>
      </c>
      <c r="AL1390" s="7" t="str">
        <f>IFERROR(HLOOKUP(AJ1390,'Calc|Weightings'!$K$5:$M$5,1,0),"Excl")</f>
        <v>Labour</v>
      </c>
      <c r="AM1390" s="7" t="str">
        <f>VLOOKUP(AC1390,Mapping!$E$11:$I$96,5,0)</f>
        <v>SCS</v>
      </c>
      <c r="AO1390" s="134">
        <v>162</v>
      </c>
      <c r="AP1390" s="135" t="s">
        <v>2172</v>
      </c>
      <c r="AQ1390" s="135">
        <v>611901</v>
      </c>
      <c r="AR1390" s="135" t="s">
        <v>2080</v>
      </c>
      <c r="AS1390" s="136">
        <v>7.6028700000000002</v>
      </c>
      <c r="AU1390" s="7" t="str">
        <f>VLOOKUP($AO1390,Mapping!$E$11:$I$96,3,0)</f>
        <v>Augmentation</v>
      </c>
      <c r="AV1390" s="7" t="str">
        <f>VLOOKUP($AQ1390,Mapping!$E$140:$K$2771,5,0)</f>
        <v>Contracts</v>
      </c>
      <c r="AW1390" s="7" t="str">
        <f>VLOOKUP($AQ1390,Mapping!$E$140:$K$2771,7,0)</f>
        <v>ENDirect</v>
      </c>
      <c r="AX1390" s="7" t="str">
        <f>IFERROR(HLOOKUP(AV1390,'Calc|Weightings'!$K$5:$M$5,1,0),"Excl")</f>
        <v>Contracts</v>
      </c>
      <c r="AY1390" s="7" t="str">
        <f>VLOOKUP(AO1390,Mapping!$E$11:$I$96,5,0)</f>
        <v>SCS</v>
      </c>
    </row>
    <row r="1391" spans="1:51" x14ac:dyDescent="0.2">
      <c r="A1391" s="7"/>
      <c r="B1391" s="7"/>
      <c r="C1391" s="7"/>
      <c r="D1391" s="7"/>
      <c r="E1391" s="36">
        <v>150</v>
      </c>
      <c r="F1391" s="36" t="s">
        <v>2159</v>
      </c>
      <c r="G1391" s="36">
        <v>531464</v>
      </c>
      <c r="H1391" s="36" t="s">
        <v>256</v>
      </c>
      <c r="I1391" s="37">
        <v>776.00949000000003</v>
      </c>
      <c r="J1391" s="7"/>
      <c r="K1391" s="7" t="str">
        <f>VLOOKUP($E1391,Mapping!$E$11:$I$96,3,0)</f>
        <v>Replacement</v>
      </c>
      <c r="L1391" s="7" t="str">
        <f>VLOOKUP($G1391,Mapping!$E$140:$K$2771,5,0)</f>
        <v>Contracts</v>
      </c>
      <c r="M1391" s="7" t="str">
        <f>VLOOKUP($G1391,Mapping!$E$140:$K$2771,7,0)</f>
        <v>ENDirect</v>
      </c>
      <c r="N1391" s="7" t="str">
        <f>IFERROR(HLOOKUP(L1391,'Calc|Weightings'!$K$5:$M$5,1,0),"Excl")</f>
        <v>Contracts</v>
      </c>
      <c r="O1391" s="7" t="str">
        <f>VLOOKUP(E1391,Mapping!$E$11:$I$96,5,0)</f>
        <v>SCS</v>
      </c>
      <c r="Q1391" s="33">
        <v>160</v>
      </c>
      <c r="R1391" s="33" t="s">
        <v>2170</v>
      </c>
      <c r="S1391" s="33">
        <v>613310</v>
      </c>
      <c r="T1391" s="33" t="s">
        <v>2095</v>
      </c>
      <c r="U1391" s="34">
        <v>0.73221999999999998</v>
      </c>
      <c r="V1391" s="7"/>
      <c r="W1391" s="7" t="str">
        <f>VLOOKUP($Q1391,Mapping!$E$11:$I$96,3,0)</f>
        <v>Augmentation</v>
      </c>
      <c r="X1391" s="7" t="str">
        <f>VLOOKUP($S1391,Mapping!$E$140:$K$2771,5,0)</f>
        <v>Labour</v>
      </c>
      <c r="Y1391" s="7" t="str">
        <f>VLOOKUP($S1391,Mapping!$E$140:$K$2771,7,0)</f>
        <v>ENDirect</v>
      </c>
      <c r="Z1391" s="7" t="str">
        <f>IFERROR(HLOOKUP(X1391,'Calc|Weightings'!$K$5:$M$5,1,0),"Excl")</f>
        <v>Labour</v>
      </c>
      <c r="AA1391" s="7" t="str">
        <f>VLOOKUP(Q1391,Mapping!$E$11:$I$96,5,0)</f>
        <v>SCS</v>
      </c>
      <c r="AC1391" s="111">
        <v>160</v>
      </c>
      <c r="AD1391" s="111" t="s">
        <v>2170</v>
      </c>
      <c r="AE1391" s="111">
        <v>613361</v>
      </c>
      <c r="AF1391" s="111" t="s">
        <v>2098</v>
      </c>
      <c r="AG1391" s="112">
        <v>2.9131800000000001</v>
      </c>
      <c r="AI1391" s="7" t="str">
        <f>VLOOKUP($AC1391,Mapping!$E$11:$I$96,3,0)</f>
        <v>Augmentation</v>
      </c>
      <c r="AJ1391" s="7" t="str">
        <f>VLOOKUP($AE1391,Mapping!$E$140:$K$2771,5,0)</f>
        <v>Labour</v>
      </c>
      <c r="AK1391" s="7" t="str">
        <f>VLOOKUP($AE1391,Mapping!$E$140:$K$2771,7,0)</f>
        <v>ENDirect</v>
      </c>
      <c r="AL1391" s="7" t="str">
        <f>IFERROR(HLOOKUP(AJ1391,'Calc|Weightings'!$K$5:$M$5,1,0),"Excl")</f>
        <v>Labour</v>
      </c>
      <c r="AM1391" s="7" t="str">
        <f>VLOOKUP(AC1391,Mapping!$E$11:$I$96,5,0)</f>
        <v>SCS</v>
      </c>
      <c r="AO1391" s="134">
        <v>162</v>
      </c>
      <c r="AP1391" s="135" t="s">
        <v>2172</v>
      </c>
      <c r="AQ1391" s="135">
        <v>611902</v>
      </c>
      <c r="AR1391" s="135" t="s">
        <v>2081</v>
      </c>
      <c r="AS1391" s="136">
        <v>2.7814199999999998</v>
      </c>
      <c r="AU1391" s="7" t="str">
        <f>VLOOKUP($AO1391,Mapping!$E$11:$I$96,3,0)</f>
        <v>Augmentation</v>
      </c>
      <c r="AV1391" s="7" t="str">
        <f>VLOOKUP($AQ1391,Mapping!$E$140:$K$2771,5,0)</f>
        <v>Contracts</v>
      </c>
      <c r="AW1391" s="7" t="str">
        <f>VLOOKUP($AQ1391,Mapping!$E$140:$K$2771,7,0)</f>
        <v>ENDirect</v>
      </c>
      <c r="AX1391" s="7" t="str">
        <f>IFERROR(HLOOKUP(AV1391,'Calc|Weightings'!$K$5:$M$5,1,0),"Excl")</f>
        <v>Contracts</v>
      </c>
      <c r="AY1391" s="7" t="str">
        <f>VLOOKUP(AO1391,Mapping!$E$11:$I$96,5,0)</f>
        <v>SCS</v>
      </c>
    </row>
    <row r="1392" spans="1:51" x14ac:dyDescent="0.2">
      <c r="A1392" s="7"/>
      <c r="B1392" s="7"/>
      <c r="C1392" s="7"/>
      <c r="D1392" s="7"/>
      <c r="E1392" s="36">
        <v>150</v>
      </c>
      <c r="F1392" s="36" t="s">
        <v>2159</v>
      </c>
      <c r="G1392" s="36">
        <v>531466</v>
      </c>
      <c r="H1392" s="36" t="s">
        <v>258</v>
      </c>
      <c r="I1392" s="37">
        <v>29.778970000000001</v>
      </c>
      <c r="J1392" s="7"/>
      <c r="K1392" s="7" t="str">
        <f>VLOOKUP($E1392,Mapping!$E$11:$I$96,3,0)</f>
        <v>Replacement</v>
      </c>
      <c r="L1392" s="7" t="str">
        <f>VLOOKUP($G1392,Mapping!$E$140:$K$2771,5,0)</f>
        <v>Contracts</v>
      </c>
      <c r="M1392" s="7" t="str">
        <f>VLOOKUP($G1392,Mapping!$E$140:$K$2771,7,0)</f>
        <v>ENDirect</v>
      </c>
      <c r="N1392" s="7" t="str">
        <f>IFERROR(HLOOKUP(L1392,'Calc|Weightings'!$K$5:$M$5,1,0),"Excl")</f>
        <v>Contracts</v>
      </c>
      <c r="O1392" s="7" t="str">
        <f>VLOOKUP(E1392,Mapping!$E$11:$I$96,5,0)</f>
        <v>SCS</v>
      </c>
      <c r="Q1392" s="33">
        <v>160</v>
      </c>
      <c r="R1392" s="33" t="s">
        <v>2170</v>
      </c>
      <c r="S1392" s="33">
        <v>613311</v>
      </c>
      <c r="T1392" s="33" t="s">
        <v>2116</v>
      </c>
      <c r="U1392" s="34">
        <v>0.16222</v>
      </c>
      <c r="V1392" s="7"/>
      <c r="W1392" s="7" t="str">
        <f>VLOOKUP($Q1392,Mapping!$E$11:$I$96,3,0)</f>
        <v>Augmentation</v>
      </c>
      <c r="X1392" s="7" t="str">
        <f>VLOOKUP($S1392,Mapping!$E$140:$K$2771,5,0)</f>
        <v>Labour</v>
      </c>
      <c r="Y1392" s="7" t="str">
        <f>VLOOKUP($S1392,Mapping!$E$140:$K$2771,7,0)</f>
        <v>ENDirect</v>
      </c>
      <c r="Z1392" s="7" t="str">
        <f>IFERROR(HLOOKUP(X1392,'Calc|Weightings'!$K$5:$M$5,1,0),"Excl")</f>
        <v>Labour</v>
      </c>
      <c r="AA1392" s="7" t="str">
        <f>VLOOKUP(Q1392,Mapping!$E$11:$I$96,5,0)</f>
        <v>SCS</v>
      </c>
      <c r="AC1392" s="111">
        <v>160</v>
      </c>
      <c r="AD1392" s="111" t="s">
        <v>2170</v>
      </c>
      <c r="AE1392" s="111">
        <v>613370</v>
      </c>
      <c r="AF1392" s="111" t="s">
        <v>1402</v>
      </c>
      <c r="AG1392" s="112">
        <v>5.7824600000000004</v>
      </c>
      <c r="AI1392" s="7" t="str">
        <f>VLOOKUP($AC1392,Mapping!$E$11:$I$96,3,0)</f>
        <v>Augmentation</v>
      </c>
      <c r="AJ1392" s="7" t="str">
        <f>VLOOKUP($AE1392,Mapping!$E$140:$K$2771,5,0)</f>
        <v>Labour</v>
      </c>
      <c r="AK1392" s="7" t="str">
        <f>VLOOKUP($AE1392,Mapping!$E$140:$K$2771,7,0)</f>
        <v>ENDirect</v>
      </c>
      <c r="AL1392" s="7" t="str">
        <f>IFERROR(HLOOKUP(AJ1392,'Calc|Weightings'!$K$5:$M$5,1,0),"Excl")</f>
        <v>Labour</v>
      </c>
      <c r="AM1392" s="7" t="str">
        <f>VLOOKUP(AC1392,Mapping!$E$11:$I$96,5,0)</f>
        <v>SCS</v>
      </c>
      <c r="AO1392" s="134">
        <v>162</v>
      </c>
      <c r="AP1392" s="135" t="s">
        <v>2172</v>
      </c>
      <c r="AQ1392" s="135">
        <v>612210</v>
      </c>
      <c r="AR1392" s="135" t="s">
        <v>1184</v>
      </c>
      <c r="AS1392" s="136">
        <v>31.973490000000002</v>
      </c>
      <c r="AU1392" s="7" t="str">
        <f>VLOOKUP($AO1392,Mapping!$E$11:$I$96,3,0)</f>
        <v>Augmentation</v>
      </c>
      <c r="AV1392" s="7" t="str">
        <f>VLOOKUP($AQ1392,Mapping!$E$140:$K$2771,5,0)</f>
        <v>Labour</v>
      </c>
      <c r="AW1392" s="7" t="str">
        <f>VLOOKUP($AQ1392,Mapping!$E$140:$K$2771,7,0)</f>
        <v>ENDirect</v>
      </c>
      <c r="AX1392" s="7" t="str">
        <f>IFERROR(HLOOKUP(AV1392,'Calc|Weightings'!$K$5:$M$5,1,0),"Excl")</f>
        <v>Labour</v>
      </c>
      <c r="AY1392" s="7" t="str">
        <f>VLOOKUP(AO1392,Mapping!$E$11:$I$96,5,0)</f>
        <v>SCS</v>
      </c>
    </row>
    <row r="1393" spans="1:51" x14ac:dyDescent="0.2">
      <c r="A1393" s="7"/>
      <c r="B1393" s="7"/>
      <c r="C1393" s="7"/>
      <c r="D1393" s="7"/>
      <c r="E1393" s="36">
        <v>150</v>
      </c>
      <c r="F1393" s="36" t="s">
        <v>2159</v>
      </c>
      <c r="G1393" s="36">
        <v>531467</v>
      </c>
      <c r="H1393" s="36" t="s">
        <v>259</v>
      </c>
      <c r="I1393" s="37">
        <v>79.580960000000005</v>
      </c>
      <c r="J1393" s="7"/>
      <c r="K1393" s="7" t="str">
        <f>VLOOKUP($E1393,Mapping!$E$11:$I$96,3,0)</f>
        <v>Replacement</v>
      </c>
      <c r="L1393" s="7" t="str">
        <f>VLOOKUP($G1393,Mapping!$E$140:$K$2771,5,0)</f>
        <v>Contracts</v>
      </c>
      <c r="M1393" s="7" t="str">
        <f>VLOOKUP($G1393,Mapping!$E$140:$K$2771,7,0)</f>
        <v>ENDirect</v>
      </c>
      <c r="N1393" s="7" t="str">
        <f>IFERROR(HLOOKUP(L1393,'Calc|Weightings'!$K$5:$M$5,1,0),"Excl")</f>
        <v>Contracts</v>
      </c>
      <c r="O1393" s="7" t="str">
        <f>VLOOKUP(E1393,Mapping!$E$11:$I$96,5,0)</f>
        <v>SCS</v>
      </c>
      <c r="Q1393" s="33">
        <v>160</v>
      </c>
      <c r="R1393" s="33" t="s">
        <v>2170</v>
      </c>
      <c r="S1393" s="33">
        <v>613350</v>
      </c>
      <c r="T1393" s="33" t="s">
        <v>2096</v>
      </c>
      <c r="U1393" s="34">
        <v>0.31192999999999999</v>
      </c>
      <c r="V1393" s="7"/>
      <c r="W1393" s="7" t="str">
        <f>VLOOKUP($Q1393,Mapping!$E$11:$I$96,3,0)</f>
        <v>Augmentation</v>
      </c>
      <c r="X1393" s="7" t="str">
        <f>VLOOKUP($S1393,Mapping!$E$140:$K$2771,5,0)</f>
        <v>Labour</v>
      </c>
      <c r="Y1393" s="7" t="str">
        <f>VLOOKUP($S1393,Mapping!$E$140:$K$2771,7,0)</f>
        <v>ENDirect</v>
      </c>
      <c r="Z1393" s="7" t="str">
        <f>IFERROR(HLOOKUP(X1393,'Calc|Weightings'!$K$5:$M$5,1,0),"Excl")</f>
        <v>Labour</v>
      </c>
      <c r="AA1393" s="7" t="str">
        <f>VLOOKUP(Q1393,Mapping!$E$11:$I$96,5,0)</f>
        <v>SCS</v>
      </c>
      <c r="AC1393" s="111">
        <v>160</v>
      </c>
      <c r="AD1393" s="111" t="s">
        <v>2170</v>
      </c>
      <c r="AE1393" s="111">
        <v>613400</v>
      </c>
      <c r="AF1393" s="111" t="s">
        <v>2099</v>
      </c>
      <c r="AG1393" s="112">
        <v>65.964269999999999</v>
      </c>
      <c r="AI1393" s="7" t="str">
        <f>VLOOKUP($AC1393,Mapping!$E$11:$I$96,3,0)</f>
        <v>Augmentation</v>
      </c>
      <c r="AJ1393" s="7" t="str">
        <f>VLOOKUP($AE1393,Mapping!$E$140:$K$2771,5,0)</f>
        <v>Labour</v>
      </c>
      <c r="AK1393" s="7" t="str">
        <f>VLOOKUP($AE1393,Mapping!$E$140:$K$2771,7,0)</f>
        <v>ENDirect</v>
      </c>
      <c r="AL1393" s="7" t="str">
        <f>IFERROR(HLOOKUP(AJ1393,'Calc|Weightings'!$K$5:$M$5,1,0),"Excl")</f>
        <v>Labour</v>
      </c>
      <c r="AM1393" s="7" t="str">
        <f>VLOOKUP(AC1393,Mapping!$E$11:$I$96,5,0)</f>
        <v>SCS</v>
      </c>
      <c r="AO1393" s="134">
        <v>162</v>
      </c>
      <c r="AP1393" s="135" t="s">
        <v>2172</v>
      </c>
      <c r="AQ1393" s="135">
        <v>613240</v>
      </c>
      <c r="AR1393" s="135" t="s">
        <v>2082</v>
      </c>
      <c r="AS1393" s="136">
        <v>44.723840000000003</v>
      </c>
      <c r="AU1393" s="7" t="str">
        <f>VLOOKUP($AO1393,Mapping!$E$11:$I$96,3,0)</f>
        <v>Augmentation</v>
      </c>
      <c r="AV1393" s="7" t="str">
        <f>VLOOKUP($AQ1393,Mapping!$E$140:$K$2771,5,0)</f>
        <v>Labour</v>
      </c>
      <c r="AW1393" s="7" t="str">
        <f>VLOOKUP($AQ1393,Mapping!$E$140:$K$2771,7,0)</f>
        <v>ENDirect</v>
      </c>
      <c r="AX1393" s="7" t="str">
        <f>IFERROR(HLOOKUP(AV1393,'Calc|Weightings'!$K$5:$M$5,1,0),"Excl")</f>
        <v>Labour</v>
      </c>
      <c r="AY1393" s="7" t="str">
        <f>VLOOKUP(AO1393,Mapping!$E$11:$I$96,5,0)</f>
        <v>SCS</v>
      </c>
    </row>
    <row r="1394" spans="1:51" x14ac:dyDescent="0.2">
      <c r="A1394" s="7"/>
      <c r="B1394" s="7"/>
      <c r="C1394" s="7"/>
      <c r="D1394" s="7"/>
      <c r="E1394" s="36">
        <v>150</v>
      </c>
      <c r="F1394" s="36" t="s">
        <v>2159</v>
      </c>
      <c r="G1394" s="36">
        <v>531468</v>
      </c>
      <c r="H1394" s="36" t="s">
        <v>260</v>
      </c>
      <c r="I1394" s="37">
        <v>189.23224999999999</v>
      </c>
      <c r="J1394" s="7"/>
      <c r="K1394" s="7" t="str">
        <f>VLOOKUP($E1394,Mapping!$E$11:$I$96,3,0)</f>
        <v>Replacement</v>
      </c>
      <c r="L1394" s="7" t="str">
        <f>VLOOKUP($G1394,Mapping!$E$140:$K$2771,5,0)</f>
        <v>Contracts</v>
      </c>
      <c r="M1394" s="7" t="str">
        <f>VLOOKUP($G1394,Mapping!$E$140:$K$2771,7,0)</f>
        <v>ENDirect</v>
      </c>
      <c r="N1394" s="7" t="str">
        <f>IFERROR(HLOOKUP(L1394,'Calc|Weightings'!$K$5:$M$5,1,0),"Excl")</f>
        <v>Contracts</v>
      </c>
      <c r="O1394" s="7" t="str">
        <f>VLOOKUP(E1394,Mapping!$E$11:$I$96,5,0)</f>
        <v>SCS</v>
      </c>
      <c r="Q1394" s="33">
        <v>160</v>
      </c>
      <c r="R1394" s="33" t="s">
        <v>2170</v>
      </c>
      <c r="S1394" s="33">
        <v>613360</v>
      </c>
      <c r="T1394" s="33" t="s">
        <v>2097</v>
      </c>
      <c r="U1394" s="34">
        <v>27.120010000000001</v>
      </c>
      <c r="V1394" s="7"/>
      <c r="W1394" s="7" t="str">
        <f>VLOOKUP($Q1394,Mapping!$E$11:$I$96,3,0)</f>
        <v>Augmentation</v>
      </c>
      <c r="X1394" s="7" t="str">
        <f>VLOOKUP($S1394,Mapping!$E$140:$K$2771,5,0)</f>
        <v>Labour</v>
      </c>
      <c r="Y1394" s="7" t="str">
        <f>VLOOKUP($S1394,Mapping!$E$140:$K$2771,7,0)</f>
        <v>ENDirect</v>
      </c>
      <c r="Z1394" s="7" t="str">
        <f>IFERROR(HLOOKUP(X1394,'Calc|Weightings'!$K$5:$M$5,1,0),"Excl")</f>
        <v>Labour</v>
      </c>
      <c r="AA1394" s="7" t="str">
        <f>VLOOKUP(Q1394,Mapping!$E$11:$I$96,5,0)</f>
        <v>SCS</v>
      </c>
      <c r="AC1394" s="111">
        <v>160</v>
      </c>
      <c r="AD1394" s="111" t="s">
        <v>2170</v>
      </c>
      <c r="AE1394" s="111">
        <v>613401</v>
      </c>
      <c r="AF1394" s="111" t="s">
        <v>2117</v>
      </c>
      <c r="AG1394" s="112">
        <v>2.3786299999999998</v>
      </c>
      <c r="AI1394" s="7" t="str">
        <f>VLOOKUP($AC1394,Mapping!$E$11:$I$96,3,0)</f>
        <v>Augmentation</v>
      </c>
      <c r="AJ1394" s="7" t="str">
        <f>VLOOKUP($AE1394,Mapping!$E$140:$K$2771,5,0)</f>
        <v>Labour</v>
      </c>
      <c r="AK1394" s="7" t="str">
        <f>VLOOKUP($AE1394,Mapping!$E$140:$K$2771,7,0)</f>
        <v>ENDirect</v>
      </c>
      <c r="AL1394" s="7" t="str">
        <f>IFERROR(HLOOKUP(AJ1394,'Calc|Weightings'!$K$5:$M$5,1,0),"Excl")</f>
        <v>Labour</v>
      </c>
      <c r="AM1394" s="7" t="str">
        <f>VLOOKUP(AC1394,Mapping!$E$11:$I$96,5,0)</f>
        <v>SCS</v>
      </c>
      <c r="AO1394" s="134">
        <v>162</v>
      </c>
      <c r="AP1394" s="135" t="s">
        <v>2172</v>
      </c>
      <c r="AQ1394" s="135">
        <v>613241</v>
      </c>
      <c r="AR1394" s="135" t="s">
        <v>2083</v>
      </c>
      <c r="AS1394" s="136">
        <v>11.3666</v>
      </c>
      <c r="AU1394" s="7" t="str">
        <f>VLOOKUP($AO1394,Mapping!$E$11:$I$96,3,0)</f>
        <v>Augmentation</v>
      </c>
      <c r="AV1394" s="7" t="str">
        <f>VLOOKUP($AQ1394,Mapping!$E$140:$K$2771,5,0)</f>
        <v>Labour</v>
      </c>
      <c r="AW1394" s="7" t="str">
        <f>VLOOKUP($AQ1394,Mapping!$E$140:$K$2771,7,0)</f>
        <v>ENDirect</v>
      </c>
      <c r="AX1394" s="7" t="str">
        <f>IFERROR(HLOOKUP(AV1394,'Calc|Weightings'!$K$5:$M$5,1,0),"Excl")</f>
        <v>Labour</v>
      </c>
      <c r="AY1394" s="7" t="str">
        <f>VLOOKUP(AO1394,Mapping!$E$11:$I$96,5,0)</f>
        <v>SCS</v>
      </c>
    </row>
    <row r="1395" spans="1:51" x14ac:dyDescent="0.2">
      <c r="A1395" s="7"/>
      <c r="B1395" s="7"/>
      <c r="C1395" s="7"/>
      <c r="D1395" s="7"/>
      <c r="E1395" s="36">
        <v>150</v>
      </c>
      <c r="F1395" s="36" t="s">
        <v>2159</v>
      </c>
      <c r="G1395" s="36">
        <v>531469</v>
      </c>
      <c r="H1395" s="36" t="s">
        <v>261</v>
      </c>
      <c r="I1395" s="37">
        <v>2.6404999999999998</v>
      </c>
      <c r="J1395" s="7"/>
      <c r="K1395" s="7" t="str">
        <f>VLOOKUP($E1395,Mapping!$E$11:$I$96,3,0)</f>
        <v>Replacement</v>
      </c>
      <c r="L1395" s="7" t="str">
        <f>VLOOKUP($G1395,Mapping!$E$140:$K$2771,5,0)</f>
        <v>Labour</v>
      </c>
      <c r="M1395" s="7" t="str">
        <f>VLOOKUP($G1395,Mapping!$E$140:$K$2771,7,0)</f>
        <v>ENDirect</v>
      </c>
      <c r="N1395" s="7" t="str">
        <f>IFERROR(HLOOKUP(L1395,'Calc|Weightings'!$K$5:$M$5,1,0),"Excl")</f>
        <v>Labour</v>
      </c>
      <c r="O1395" s="7" t="str">
        <f>VLOOKUP(E1395,Mapping!$E$11:$I$96,5,0)</f>
        <v>SCS</v>
      </c>
      <c r="Q1395" s="33">
        <v>160</v>
      </c>
      <c r="R1395" s="33" t="s">
        <v>2170</v>
      </c>
      <c r="S1395" s="33">
        <v>613400</v>
      </c>
      <c r="T1395" s="33" t="s">
        <v>2099</v>
      </c>
      <c r="U1395" s="34">
        <v>37.983080000000001</v>
      </c>
      <c r="V1395" s="7"/>
      <c r="W1395" s="7" t="str">
        <f>VLOOKUP($Q1395,Mapping!$E$11:$I$96,3,0)</f>
        <v>Augmentation</v>
      </c>
      <c r="X1395" s="7" t="str">
        <f>VLOOKUP($S1395,Mapping!$E$140:$K$2771,5,0)</f>
        <v>Labour</v>
      </c>
      <c r="Y1395" s="7" t="str">
        <f>VLOOKUP($S1395,Mapping!$E$140:$K$2771,7,0)</f>
        <v>ENDirect</v>
      </c>
      <c r="Z1395" s="7" t="str">
        <f>IFERROR(HLOOKUP(X1395,'Calc|Weightings'!$K$5:$M$5,1,0),"Excl")</f>
        <v>Labour</v>
      </c>
      <c r="AA1395" s="7" t="str">
        <f>VLOOKUP(Q1395,Mapping!$E$11:$I$96,5,0)</f>
        <v>SCS</v>
      </c>
      <c r="AC1395" s="111">
        <v>160</v>
      </c>
      <c r="AD1395" s="111" t="s">
        <v>2170</v>
      </c>
      <c r="AE1395" s="111">
        <v>613410</v>
      </c>
      <c r="AF1395" s="111" t="s">
        <v>2100</v>
      </c>
      <c r="AG1395" s="112">
        <v>125.55012000000001</v>
      </c>
      <c r="AI1395" s="7" t="str">
        <f>VLOOKUP($AC1395,Mapping!$E$11:$I$96,3,0)</f>
        <v>Augmentation</v>
      </c>
      <c r="AJ1395" s="7" t="str">
        <f>VLOOKUP($AE1395,Mapping!$E$140:$K$2771,5,0)</f>
        <v>Labour</v>
      </c>
      <c r="AK1395" s="7" t="str">
        <f>VLOOKUP($AE1395,Mapping!$E$140:$K$2771,7,0)</f>
        <v>ENDirect</v>
      </c>
      <c r="AL1395" s="7" t="str">
        <f>IFERROR(HLOOKUP(AJ1395,'Calc|Weightings'!$K$5:$M$5,1,0),"Excl")</f>
        <v>Labour</v>
      </c>
      <c r="AM1395" s="7" t="str">
        <f>VLOOKUP(AC1395,Mapping!$E$11:$I$96,5,0)</f>
        <v>SCS</v>
      </c>
      <c r="AO1395" s="134">
        <v>162</v>
      </c>
      <c r="AP1395" s="135" t="s">
        <v>2172</v>
      </c>
      <c r="AQ1395" s="135">
        <v>613250</v>
      </c>
      <c r="AR1395" s="135" t="s">
        <v>2086</v>
      </c>
      <c r="AS1395" s="136">
        <v>57.39687</v>
      </c>
      <c r="AU1395" s="7" t="str">
        <f>VLOOKUP($AO1395,Mapping!$E$11:$I$96,3,0)</f>
        <v>Augmentation</v>
      </c>
      <c r="AV1395" s="7" t="str">
        <f>VLOOKUP($AQ1395,Mapping!$E$140:$K$2771,5,0)</f>
        <v>Labour</v>
      </c>
      <c r="AW1395" s="7" t="str">
        <f>VLOOKUP($AQ1395,Mapping!$E$140:$K$2771,7,0)</f>
        <v>ENDirect</v>
      </c>
      <c r="AX1395" s="7" t="str">
        <f>IFERROR(HLOOKUP(AV1395,'Calc|Weightings'!$K$5:$M$5,1,0),"Excl")</f>
        <v>Labour</v>
      </c>
      <c r="AY1395" s="7" t="str">
        <f>VLOOKUP(AO1395,Mapping!$E$11:$I$96,5,0)</f>
        <v>SCS</v>
      </c>
    </row>
    <row r="1396" spans="1:51" x14ac:dyDescent="0.2">
      <c r="A1396" s="7"/>
      <c r="B1396" s="7"/>
      <c r="C1396" s="7"/>
      <c r="D1396" s="7"/>
      <c r="E1396" s="36">
        <v>150</v>
      </c>
      <c r="F1396" s="36" t="s">
        <v>2159</v>
      </c>
      <c r="G1396" s="36">
        <v>531475</v>
      </c>
      <c r="H1396" s="36" t="s">
        <v>2355</v>
      </c>
      <c r="I1396" s="37">
        <v>0.74150000000000005</v>
      </c>
      <c r="J1396" s="7"/>
      <c r="K1396" s="7" t="str">
        <f>VLOOKUP($E1396,Mapping!$E$11:$I$96,3,0)</f>
        <v>Replacement</v>
      </c>
      <c r="L1396" s="7" t="str">
        <f>VLOOKUP($G1396,Mapping!$E$140:$K$2771,5,0)</f>
        <v>Contracts</v>
      </c>
      <c r="M1396" s="7" t="str">
        <f>VLOOKUP($G1396,Mapping!$E$140:$K$2771,7,0)</f>
        <v>ENDirect</v>
      </c>
      <c r="N1396" s="7" t="str">
        <f>IFERROR(HLOOKUP(L1396,'Calc|Weightings'!$K$5:$M$5,1,0),"Excl")</f>
        <v>Contracts</v>
      </c>
      <c r="O1396" s="7" t="str">
        <f>VLOOKUP(E1396,Mapping!$E$11:$I$96,5,0)</f>
        <v>SCS</v>
      </c>
      <c r="Q1396" s="33">
        <v>160</v>
      </c>
      <c r="R1396" s="33" t="s">
        <v>2170</v>
      </c>
      <c r="S1396" s="33">
        <v>613401</v>
      </c>
      <c r="T1396" s="33" t="s">
        <v>2117</v>
      </c>
      <c r="U1396" s="34">
        <v>14.17999</v>
      </c>
      <c r="V1396" s="7"/>
      <c r="W1396" s="7" t="str">
        <f>VLOOKUP($Q1396,Mapping!$E$11:$I$96,3,0)</f>
        <v>Augmentation</v>
      </c>
      <c r="X1396" s="7" t="str">
        <f>VLOOKUP($S1396,Mapping!$E$140:$K$2771,5,0)</f>
        <v>Labour</v>
      </c>
      <c r="Y1396" s="7" t="str">
        <f>VLOOKUP($S1396,Mapping!$E$140:$K$2771,7,0)</f>
        <v>ENDirect</v>
      </c>
      <c r="Z1396" s="7" t="str">
        <f>IFERROR(HLOOKUP(X1396,'Calc|Weightings'!$K$5:$M$5,1,0),"Excl")</f>
        <v>Labour</v>
      </c>
      <c r="AA1396" s="7" t="str">
        <f>VLOOKUP(Q1396,Mapping!$E$11:$I$96,5,0)</f>
        <v>SCS</v>
      </c>
      <c r="AC1396" s="111">
        <v>160</v>
      </c>
      <c r="AD1396" s="111" t="s">
        <v>2170</v>
      </c>
      <c r="AE1396" s="111">
        <v>613411</v>
      </c>
      <c r="AF1396" s="111" t="s">
        <v>2101</v>
      </c>
      <c r="AG1396" s="112">
        <v>4.71462</v>
      </c>
      <c r="AI1396" s="7" t="str">
        <f>VLOOKUP($AC1396,Mapping!$E$11:$I$96,3,0)</f>
        <v>Augmentation</v>
      </c>
      <c r="AJ1396" s="7" t="str">
        <f>VLOOKUP($AE1396,Mapping!$E$140:$K$2771,5,0)</f>
        <v>Labour</v>
      </c>
      <c r="AK1396" s="7" t="str">
        <f>VLOOKUP($AE1396,Mapping!$E$140:$K$2771,7,0)</f>
        <v>ENDirect</v>
      </c>
      <c r="AL1396" s="7" t="str">
        <f>IFERROR(HLOOKUP(AJ1396,'Calc|Weightings'!$K$5:$M$5,1,0),"Excl")</f>
        <v>Labour</v>
      </c>
      <c r="AM1396" s="7" t="str">
        <f>VLOOKUP(AC1396,Mapping!$E$11:$I$96,5,0)</f>
        <v>SCS</v>
      </c>
      <c r="AO1396" s="134">
        <v>162</v>
      </c>
      <c r="AP1396" s="135" t="s">
        <v>2172</v>
      </c>
      <c r="AQ1396" s="135">
        <v>613251</v>
      </c>
      <c r="AR1396" s="135" t="s">
        <v>2087</v>
      </c>
      <c r="AS1396" s="136">
        <v>19.57818</v>
      </c>
      <c r="AU1396" s="7" t="str">
        <f>VLOOKUP($AO1396,Mapping!$E$11:$I$96,3,0)</f>
        <v>Augmentation</v>
      </c>
      <c r="AV1396" s="7" t="str">
        <f>VLOOKUP($AQ1396,Mapping!$E$140:$K$2771,5,0)</f>
        <v>Labour</v>
      </c>
      <c r="AW1396" s="7" t="str">
        <f>VLOOKUP($AQ1396,Mapping!$E$140:$K$2771,7,0)</f>
        <v>ENDirect</v>
      </c>
      <c r="AX1396" s="7" t="str">
        <f>IFERROR(HLOOKUP(AV1396,'Calc|Weightings'!$K$5:$M$5,1,0),"Excl")</f>
        <v>Labour</v>
      </c>
      <c r="AY1396" s="7" t="str">
        <f>VLOOKUP(AO1396,Mapping!$E$11:$I$96,5,0)</f>
        <v>SCS</v>
      </c>
    </row>
    <row r="1397" spans="1:51" x14ac:dyDescent="0.2">
      <c r="A1397" s="7"/>
      <c r="B1397" s="7"/>
      <c r="C1397" s="7"/>
      <c r="D1397" s="7"/>
      <c r="E1397" s="36">
        <v>150</v>
      </c>
      <c r="F1397" s="36" t="s">
        <v>2159</v>
      </c>
      <c r="G1397" s="36">
        <v>531485</v>
      </c>
      <c r="H1397" s="36" t="s">
        <v>2350</v>
      </c>
      <c r="I1397" s="37">
        <v>-2.12995</v>
      </c>
      <c r="J1397" s="7"/>
      <c r="K1397" s="7" t="str">
        <f>VLOOKUP($E1397,Mapping!$E$11:$I$96,3,0)</f>
        <v>Replacement</v>
      </c>
      <c r="L1397" s="7" t="str">
        <f>VLOOKUP($G1397,Mapping!$E$140:$K$2771,5,0)</f>
        <v>Contracts</v>
      </c>
      <c r="M1397" s="7" t="str">
        <f>VLOOKUP($G1397,Mapping!$E$140:$K$2771,7,0)</f>
        <v>ENDirect</v>
      </c>
      <c r="N1397" s="7" t="str">
        <f>IFERROR(HLOOKUP(L1397,'Calc|Weightings'!$K$5:$M$5,1,0),"Excl")</f>
        <v>Contracts</v>
      </c>
      <c r="O1397" s="7" t="str">
        <f>VLOOKUP(E1397,Mapping!$E$11:$I$96,5,0)</f>
        <v>SCS</v>
      </c>
      <c r="Q1397" s="33">
        <v>160</v>
      </c>
      <c r="R1397" s="33" t="s">
        <v>2170</v>
      </c>
      <c r="S1397" s="33">
        <v>613410</v>
      </c>
      <c r="T1397" s="33" t="s">
        <v>2100</v>
      </c>
      <c r="U1397" s="34">
        <v>59.488460000000003</v>
      </c>
      <c r="V1397" s="7"/>
      <c r="W1397" s="7" t="str">
        <f>VLOOKUP($Q1397,Mapping!$E$11:$I$96,3,0)</f>
        <v>Augmentation</v>
      </c>
      <c r="X1397" s="7" t="str">
        <f>VLOOKUP($S1397,Mapping!$E$140:$K$2771,5,0)</f>
        <v>Labour</v>
      </c>
      <c r="Y1397" s="7" t="str">
        <f>VLOOKUP($S1397,Mapping!$E$140:$K$2771,7,0)</f>
        <v>ENDirect</v>
      </c>
      <c r="Z1397" s="7" t="str">
        <f>IFERROR(HLOOKUP(X1397,'Calc|Weightings'!$K$5:$M$5,1,0),"Excl")</f>
        <v>Labour</v>
      </c>
      <c r="AA1397" s="7" t="str">
        <f>VLOOKUP(Q1397,Mapping!$E$11:$I$96,5,0)</f>
        <v>SCS</v>
      </c>
      <c r="AC1397" s="111">
        <v>160</v>
      </c>
      <c r="AD1397" s="111" t="s">
        <v>2170</v>
      </c>
      <c r="AE1397" s="111">
        <v>613434</v>
      </c>
      <c r="AF1397" s="111" t="s">
        <v>2102</v>
      </c>
      <c r="AG1397" s="112">
        <v>55.342210000000001</v>
      </c>
      <c r="AI1397" s="7" t="str">
        <f>VLOOKUP($AC1397,Mapping!$E$11:$I$96,3,0)</f>
        <v>Augmentation</v>
      </c>
      <c r="AJ1397" s="7" t="str">
        <f>VLOOKUP($AE1397,Mapping!$E$140:$K$2771,5,0)</f>
        <v>Labour</v>
      </c>
      <c r="AK1397" s="7" t="str">
        <f>VLOOKUP($AE1397,Mapping!$E$140:$K$2771,7,0)</f>
        <v>ENDirect</v>
      </c>
      <c r="AL1397" s="7" t="str">
        <f>IFERROR(HLOOKUP(AJ1397,'Calc|Weightings'!$K$5:$M$5,1,0),"Excl")</f>
        <v>Labour</v>
      </c>
      <c r="AM1397" s="7" t="str">
        <f>VLOOKUP(AC1397,Mapping!$E$11:$I$96,5,0)</f>
        <v>SCS</v>
      </c>
      <c r="AO1397" s="134">
        <v>162</v>
      </c>
      <c r="AP1397" s="135" t="s">
        <v>2172</v>
      </c>
      <c r="AQ1397" s="135">
        <v>613260</v>
      </c>
      <c r="AR1397" s="135" t="s">
        <v>2090</v>
      </c>
      <c r="AS1397" s="136">
        <v>145.72872000000001</v>
      </c>
      <c r="AU1397" s="7" t="str">
        <f>VLOOKUP($AO1397,Mapping!$E$11:$I$96,3,0)</f>
        <v>Augmentation</v>
      </c>
      <c r="AV1397" s="7" t="str">
        <f>VLOOKUP($AQ1397,Mapping!$E$140:$K$2771,5,0)</f>
        <v>Labour</v>
      </c>
      <c r="AW1397" s="7" t="str">
        <f>VLOOKUP($AQ1397,Mapping!$E$140:$K$2771,7,0)</f>
        <v>ENDirect</v>
      </c>
      <c r="AX1397" s="7" t="str">
        <f>IFERROR(HLOOKUP(AV1397,'Calc|Weightings'!$K$5:$M$5,1,0),"Excl")</f>
        <v>Labour</v>
      </c>
      <c r="AY1397" s="7" t="str">
        <f>VLOOKUP(AO1397,Mapping!$E$11:$I$96,5,0)</f>
        <v>SCS</v>
      </c>
    </row>
    <row r="1398" spans="1:51" x14ac:dyDescent="0.2">
      <c r="A1398" s="7"/>
      <c r="B1398" s="7"/>
      <c r="C1398" s="7"/>
      <c r="D1398" s="7"/>
      <c r="E1398" s="36">
        <v>150</v>
      </c>
      <c r="F1398" s="36" t="s">
        <v>2159</v>
      </c>
      <c r="G1398" s="36">
        <v>531495</v>
      </c>
      <c r="H1398" s="36" t="s">
        <v>2353</v>
      </c>
      <c r="I1398" s="37">
        <v>-92.939340000000001</v>
      </c>
      <c r="J1398" s="7"/>
      <c r="K1398" s="7" t="str">
        <f>VLOOKUP($E1398,Mapping!$E$11:$I$96,3,0)</f>
        <v>Replacement</v>
      </c>
      <c r="L1398" s="7" t="str">
        <f>VLOOKUP($G1398,Mapping!$E$140:$K$2771,5,0)</f>
        <v>Contracts</v>
      </c>
      <c r="M1398" s="7" t="str">
        <f>VLOOKUP($G1398,Mapping!$E$140:$K$2771,7,0)</f>
        <v>ENDirect</v>
      </c>
      <c r="N1398" s="7" t="str">
        <f>IFERROR(HLOOKUP(L1398,'Calc|Weightings'!$K$5:$M$5,1,0),"Excl")</f>
        <v>Contracts</v>
      </c>
      <c r="O1398" s="7" t="str">
        <f>VLOOKUP(E1398,Mapping!$E$11:$I$96,5,0)</f>
        <v>SCS</v>
      </c>
      <c r="Q1398" s="33">
        <v>160</v>
      </c>
      <c r="R1398" s="33" t="s">
        <v>2170</v>
      </c>
      <c r="S1398" s="33">
        <v>613411</v>
      </c>
      <c r="T1398" s="33" t="s">
        <v>2101</v>
      </c>
      <c r="U1398" s="34">
        <v>13.13476</v>
      </c>
      <c r="V1398" s="7"/>
      <c r="W1398" s="7" t="str">
        <f>VLOOKUP($Q1398,Mapping!$E$11:$I$96,3,0)</f>
        <v>Augmentation</v>
      </c>
      <c r="X1398" s="7" t="str">
        <f>VLOOKUP($S1398,Mapping!$E$140:$K$2771,5,0)</f>
        <v>Labour</v>
      </c>
      <c r="Y1398" s="7" t="str">
        <f>VLOOKUP($S1398,Mapping!$E$140:$K$2771,7,0)</f>
        <v>ENDirect</v>
      </c>
      <c r="Z1398" s="7" t="str">
        <f>IFERROR(HLOOKUP(X1398,'Calc|Weightings'!$K$5:$M$5,1,0),"Excl")</f>
        <v>Labour</v>
      </c>
      <c r="AA1398" s="7" t="str">
        <f>VLOOKUP(Q1398,Mapping!$E$11:$I$96,5,0)</f>
        <v>SCS</v>
      </c>
      <c r="AC1398" s="111">
        <v>160</v>
      </c>
      <c r="AD1398" s="111" t="s">
        <v>2170</v>
      </c>
      <c r="AE1398" s="111">
        <v>613440</v>
      </c>
      <c r="AF1398" s="111" t="s">
        <v>2103</v>
      </c>
      <c r="AG1398" s="112">
        <v>1.22278</v>
      </c>
      <c r="AI1398" s="7" t="str">
        <f>VLOOKUP($AC1398,Mapping!$E$11:$I$96,3,0)</f>
        <v>Augmentation</v>
      </c>
      <c r="AJ1398" s="7" t="str">
        <f>VLOOKUP($AE1398,Mapping!$E$140:$K$2771,5,0)</f>
        <v>Labour</v>
      </c>
      <c r="AK1398" s="7" t="str">
        <f>VLOOKUP($AE1398,Mapping!$E$140:$K$2771,7,0)</f>
        <v>ENDirect</v>
      </c>
      <c r="AL1398" s="7" t="str">
        <f>IFERROR(HLOOKUP(AJ1398,'Calc|Weightings'!$K$5:$M$5,1,0),"Excl")</f>
        <v>Labour</v>
      </c>
      <c r="AM1398" s="7" t="str">
        <f>VLOOKUP(AC1398,Mapping!$E$11:$I$96,5,0)</f>
        <v>SCS</v>
      </c>
      <c r="AO1398" s="134">
        <v>162</v>
      </c>
      <c r="AP1398" s="135" t="s">
        <v>2172</v>
      </c>
      <c r="AQ1398" s="135">
        <v>613261</v>
      </c>
      <c r="AR1398" s="135" t="s">
        <v>2091</v>
      </c>
      <c r="AS1398" s="136">
        <v>51.105809999999998</v>
      </c>
      <c r="AU1398" s="7" t="str">
        <f>VLOOKUP($AO1398,Mapping!$E$11:$I$96,3,0)</f>
        <v>Augmentation</v>
      </c>
      <c r="AV1398" s="7" t="str">
        <f>VLOOKUP($AQ1398,Mapping!$E$140:$K$2771,5,0)</f>
        <v>Labour</v>
      </c>
      <c r="AW1398" s="7" t="str">
        <f>VLOOKUP($AQ1398,Mapping!$E$140:$K$2771,7,0)</f>
        <v>ENDirect</v>
      </c>
      <c r="AX1398" s="7" t="str">
        <f>IFERROR(HLOOKUP(AV1398,'Calc|Weightings'!$K$5:$M$5,1,0),"Excl")</f>
        <v>Labour</v>
      </c>
      <c r="AY1398" s="7" t="str">
        <f>VLOOKUP(AO1398,Mapping!$E$11:$I$96,5,0)</f>
        <v>SCS</v>
      </c>
    </row>
    <row r="1399" spans="1:51" x14ac:dyDescent="0.2">
      <c r="A1399" s="7"/>
      <c r="B1399" s="7"/>
      <c r="C1399" s="7"/>
      <c r="D1399" s="7"/>
      <c r="E1399" s="36">
        <v>150</v>
      </c>
      <c r="F1399" s="36" t="s">
        <v>2159</v>
      </c>
      <c r="G1399" s="36">
        <v>532200</v>
      </c>
      <c r="H1399" s="36" t="s">
        <v>291</v>
      </c>
      <c r="I1399" s="37">
        <v>14.894</v>
      </c>
      <c r="J1399" s="7"/>
      <c r="K1399" s="7" t="str">
        <f>VLOOKUP($E1399,Mapping!$E$11:$I$96,3,0)</f>
        <v>Replacement</v>
      </c>
      <c r="L1399" s="7" t="str">
        <f>VLOOKUP($G1399,Mapping!$E$140:$K$2771,5,0)</f>
        <v>Contracts</v>
      </c>
      <c r="M1399" s="7" t="str">
        <f>VLOOKUP($G1399,Mapping!$E$140:$K$2771,7,0)</f>
        <v>ENDirect</v>
      </c>
      <c r="N1399" s="7" t="str">
        <f>IFERROR(HLOOKUP(L1399,'Calc|Weightings'!$K$5:$M$5,1,0),"Excl")</f>
        <v>Contracts</v>
      </c>
      <c r="O1399" s="7" t="str">
        <f>VLOOKUP(E1399,Mapping!$E$11:$I$96,5,0)</f>
        <v>SCS</v>
      </c>
      <c r="Q1399" s="33">
        <v>160</v>
      </c>
      <c r="R1399" s="33" t="s">
        <v>2170</v>
      </c>
      <c r="S1399" s="33">
        <v>613434</v>
      </c>
      <c r="T1399" s="33" t="s">
        <v>2102</v>
      </c>
      <c r="U1399" s="34">
        <v>16.621359999999999</v>
      </c>
      <c r="V1399" s="7"/>
      <c r="W1399" s="7" t="str">
        <f>VLOOKUP($Q1399,Mapping!$E$11:$I$96,3,0)</f>
        <v>Augmentation</v>
      </c>
      <c r="X1399" s="7" t="str">
        <f>VLOOKUP($S1399,Mapping!$E$140:$K$2771,5,0)</f>
        <v>Labour</v>
      </c>
      <c r="Y1399" s="7" t="str">
        <f>VLOOKUP($S1399,Mapping!$E$140:$K$2771,7,0)</f>
        <v>ENDirect</v>
      </c>
      <c r="Z1399" s="7" t="str">
        <f>IFERROR(HLOOKUP(X1399,'Calc|Weightings'!$K$5:$M$5,1,0),"Excl")</f>
        <v>Labour</v>
      </c>
      <c r="AA1399" s="7" t="str">
        <f>VLOOKUP(Q1399,Mapping!$E$11:$I$96,5,0)</f>
        <v>SCS</v>
      </c>
      <c r="AC1399" s="111">
        <v>160</v>
      </c>
      <c r="AD1399" s="111" t="s">
        <v>2170</v>
      </c>
      <c r="AE1399" s="111">
        <v>613441</v>
      </c>
      <c r="AF1399" s="111" t="s">
        <v>2104</v>
      </c>
      <c r="AG1399" s="112">
        <v>0.49764999999999998</v>
      </c>
      <c r="AI1399" s="7" t="str">
        <f>VLOOKUP($AC1399,Mapping!$E$11:$I$96,3,0)</f>
        <v>Augmentation</v>
      </c>
      <c r="AJ1399" s="7" t="str">
        <f>VLOOKUP($AE1399,Mapping!$E$140:$K$2771,5,0)</f>
        <v>Labour</v>
      </c>
      <c r="AK1399" s="7" t="str">
        <f>VLOOKUP($AE1399,Mapping!$E$140:$K$2771,7,0)</f>
        <v>ENDirect</v>
      </c>
      <c r="AL1399" s="7" t="str">
        <f>IFERROR(HLOOKUP(AJ1399,'Calc|Weightings'!$K$5:$M$5,1,0),"Excl")</f>
        <v>Labour</v>
      </c>
      <c r="AM1399" s="7" t="str">
        <f>VLOOKUP(AC1399,Mapping!$E$11:$I$96,5,0)</f>
        <v>SCS</v>
      </c>
      <c r="AO1399" s="134">
        <v>162</v>
      </c>
      <c r="AP1399" s="135" t="s">
        <v>2172</v>
      </c>
      <c r="AQ1399" s="135">
        <v>613280</v>
      </c>
      <c r="AR1399" s="135" t="s">
        <v>1342</v>
      </c>
      <c r="AS1399" s="136">
        <v>410.53672</v>
      </c>
      <c r="AU1399" s="7" t="str">
        <f>VLOOKUP($AO1399,Mapping!$E$11:$I$96,3,0)</f>
        <v>Augmentation</v>
      </c>
      <c r="AV1399" s="7" t="str">
        <f>VLOOKUP($AQ1399,Mapping!$E$140:$K$2771,5,0)</f>
        <v>Labour</v>
      </c>
      <c r="AW1399" s="7" t="str">
        <f>VLOOKUP($AQ1399,Mapping!$E$140:$K$2771,7,0)</f>
        <v>ENDirect</v>
      </c>
      <c r="AX1399" s="7" t="str">
        <f>IFERROR(HLOOKUP(AV1399,'Calc|Weightings'!$K$5:$M$5,1,0),"Excl")</f>
        <v>Labour</v>
      </c>
      <c r="AY1399" s="7" t="str">
        <f>VLOOKUP(AO1399,Mapping!$E$11:$I$96,5,0)</f>
        <v>SCS</v>
      </c>
    </row>
    <row r="1400" spans="1:51" x14ac:dyDescent="0.2">
      <c r="A1400" s="7"/>
      <c r="B1400" s="7"/>
      <c r="C1400" s="7"/>
      <c r="D1400" s="7"/>
      <c r="E1400" s="36">
        <v>150</v>
      </c>
      <c r="F1400" s="36" t="s">
        <v>2159</v>
      </c>
      <c r="G1400" s="36">
        <v>545150</v>
      </c>
      <c r="H1400" s="36" t="s">
        <v>345</v>
      </c>
      <c r="I1400" s="37">
        <v>0.11136</v>
      </c>
      <c r="J1400" s="7"/>
      <c r="K1400" s="7" t="str">
        <f>VLOOKUP($E1400,Mapping!$E$11:$I$96,3,0)</f>
        <v>Replacement</v>
      </c>
      <c r="L1400" s="7" t="str">
        <f>VLOOKUP($G1400,Mapping!$E$140:$K$2771,5,0)</f>
        <v>Contracts</v>
      </c>
      <c r="M1400" s="7" t="str">
        <f>VLOOKUP($G1400,Mapping!$E$140:$K$2771,7,0)</f>
        <v>ENDirect</v>
      </c>
      <c r="N1400" s="7" t="str">
        <f>IFERROR(HLOOKUP(L1400,'Calc|Weightings'!$K$5:$M$5,1,0),"Excl")</f>
        <v>Contracts</v>
      </c>
      <c r="O1400" s="7" t="str">
        <f>VLOOKUP(E1400,Mapping!$E$11:$I$96,5,0)</f>
        <v>SCS</v>
      </c>
      <c r="Q1400" s="33">
        <v>160</v>
      </c>
      <c r="R1400" s="33" t="s">
        <v>2170</v>
      </c>
      <c r="S1400" s="33">
        <v>613440</v>
      </c>
      <c r="T1400" s="33" t="s">
        <v>2103</v>
      </c>
      <c r="U1400" s="34">
        <v>1.60711</v>
      </c>
      <c r="V1400" s="7"/>
      <c r="W1400" s="7" t="str">
        <f>VLOOKUP($Q1400,Mapping!$E$11:$I$96,3,0)</f>
        <v>Augmentation</v>
      </c>
      <c r="X1400" s="7" t="str">
        <f>VLOOKUP($S1400,Mapping!$E$140:$K$2771,5,0)</f>
        <v>Labour</v>
      </c>
      <c r="Y1400" s="7" t="str">
        <f>VLOOKUP($S1400,Mapping!$E$140:$K$2771,7,0)</f>
        <v>ENDirect</v>
      </c>
      <c r="Z1400" s="7" t="str">
        <f>IFERROR(HLOOKUP(X1400,'Calc|Weightings'!$K$5:$M$5,1,0),"Excl")</f>
        <v>Labour</v>
      </c>
      <c r="AA1400" s="7" t="str">
        <f>VLOOKUP(Q1400,Mapping!$E$11:$I$96,5,0)</f>
        <v>SCS</v>
      </c>
      <c r="AC1400" s="111">
        <v>160</v>
      </c>
      <c r="AD1400" s="111" t="s">
        <v>2170</v>
      </c>
      <c r="AE1400" s="111">
        <v>613566</v>
      </c>
      <c r="AF1400" s="111" t="s">
        <v>1482</v>
      </c>
      <c r="AG1400" s="112">
        <v>42.884599999999999</v>
      </c>
      <c r="AI1400" s="7" t="str">
        <f>VLOOKUP($AC1400,Mapping!$E$11:$I$96,3,0)</f>
        <v>Augmentation</v>
      </c>
      <c r="AJ1400" s="7" t="str">
        <f>VLOOKUP($AE1400,Mapping!$E$140:$K$2771,5,0)</f>
        <v>Labour</v>
      </c>
      <c r="AK1400" s="7" t="str">
        <f>VLOOKUP($AE1400,Mapping!$E$140:$K$2771,7,0)</f>
        <v>ENDirect</v>
      </c>
      <c r="AL1400" s="7" t="str">
        <f>IFERROR(HLOOKUP(AJ1400,'Calc|Weightings'!$K$5:$M$5,1,0),"Excl")</f>
        <v>Labour</v>
      </c>
      <c r="AM1400" s="7" t="str">
        <f>VLOOKUP(AC1400,Mapping!$E$11:$I$96,5,0)</f>
        <v>SCS</v>
      </c>
      <c r="AO1400" s="134">
        <v>162</v>
      </c>
      <c r="AP1400" s="135" t="s">
        <v>2172</v>
      </c>
      <c r="AQ1400" s="135">
        <v>613281</v>
      </c>
      <c r="AR1400" s="135" t="s">
        <v>1343</v>
      </c>
      <c r="AS1400" s="136">
        <v>6.5711500000000003</v>
      </c>
      <c r="AU1400" s="7" t="str">
        <f>VLOOKUP($AO1400,Mapping!$E$11:$I$96,3,0)</f>
        <v>Augmentation</v>
      </c>
      <c r="AV1400" s="7" t="str">
        <f>VLOOKUP($AQ1400,Mapping!$E$140:$K$2771,5,0)</f>
        <v>Labour</v>
      </c>
      <c r="AW1400" s="7" t="str">
        <f>VLOOKUP($AQ1400,Mapping!$E$140:$K$2771,7,0)</f>
        <v>ENDirect</v>
      </c>
      <c r="AX1400" s="7" t="str">
        <f>IFERROR(HLOOKUP(AV1400,'Calc|Weightings'!$K$5:$M$5,1,0),"Excl")</f>
        <v>Labour</v>
      </c>
      <c r="AY1400" s="7" t="str">
        <f>VLOOKUP(AO1400,Mapping!$E$11:$I$96,5,0)</f>
        <v>SCS</v>
      </c>
    </row>
    <row r="1401" spans="1:51" x14ac:dyDescent="0.2">
      <c r="A1401" s="7"/>
      <c r="B1401" s="7"/>
      <c r="C1401" s="7"/>
      <c r="D1401" s="7"/>
      <c r="E1401" s="36">
        <v>150</v>
      </c>
      <c r="F1401" s="36" t="s">
        <v>2159</v>
      </c>
      <c r="G1401" s="36">
        <v>591997</v>
      </c>
      <c r="H1401" s="36" t="s">
        <v>2194</v>
      </c>
      <c r="I1401" s="37">
        <v>-2.76126</v>
      </c>
      <c r="J1401" s="7"/>
      <c r="K1401" s="7" t="str">
        <f>VLOOKUP($E1401,Mapping!$E$11:$I$96,3,0)</f>
        <v>Replacement</v>
      </c>
      <c r="L1401" s="7" t="str">
        <f>VLOOKUP($G1401,Mapping!$E$140:$K$2771,5,0)</f>
        <v>Contracts</v>
      </c>
      <c r="M1401" s="7" t="str">
        <f>VLOOKUP($G1401,Mapping!$E$140:$K$2771,7,0)</f>
        <v>ENDirect</v>
      </c>
      <c r="N1401" s="7" t="str">
        <f>IFERROR(HLOOKUP(L1401,'Calc|Weightings'!$K$5:$M$5,1,0),"Excl")</f>
        <v>Contracts</v>
      </c>
      <c r="O1401" s="7" t="str">
        <f>VLOOKUP(E1401,Mapping!$E$11:$I$96,5,0)</f>
        <v>SCS</v>
      </c>
      <c r="Q1401" s="33">
        <v>160</v>
      </c>
      <c r="R1401" s="33" t="s">
        <v>2170</v>
      </c>
      <c r="S1401" s="33">
        <v>613441</v>
      </c>
      <c r="T1401" s="33" t="s">
        <v>2104</v>
      </c>
      <c r="U1401" s="34">
        <v>6.7809999999999995E-2</v>
      </c>
      <c r="V1401" s="7"/>
      <c r="W1401" s="7" t="str">
        <f>VLOOKUP($Q1401,Mapping!$E$11:$I$96,3,0)</f>
        <v>Augmentation</v>
      </c>
      <c r="X1401" s="7" t="str">
        <f>VLOOKUP($S1401,Mapping!$E$140:$K$2771,5,0)</f>
        <v>Labour</v>
      </c>
      <c r="Y1401" s="7" t="str">
        <f>VLOOKUP($S1401,Mapping!$E$140:$K$2771,7,0)</f>
        <v>ENDirect</v>
      </c>
      <c r="Z1401" s="7" t="str">
        <f>IFERROR(HLOOKUP(X1401,'Calc|Weightings'!$K$5:$M$5,1,0),"Excl")</f>
        <v>Labour</v>
      </c>
      <c r="AA1401" s="7" t="str">
        <f>VLOOKUP(Q1401,Mapping!$E$11:$I$96,5,0)</f>
        <v>SCS</v>
      </c>
      <c r="AC1401" s="111">
        <v>160</v>
      </c>
      <c r="AD1401" s="111" t="s">
        <v>2170</v>
      </c>
      <c r="AE1401" s="111">
        <v>613567</v>
      </c>
      <c r="AF1401" s="111" t="s">
        <v>1483</v>
      </c>
      <c r="AG1401" s="112">
        <v>1.1428199999999999</v>
      </c>
      <c r="AI1401" s="7" t="str">
        <f>VLOOKUP($AC1401,Mapping!$E$11:$I$96,3,0)</f>
        <v>Augmentation</v>
      </c>
      <c r="AJ1401" s="7" t="str">
        <f>VLOOKUP($AE1401,Mapping!$E$140:$K$2771,5,0)</f>
        <v>Labour</v>
      </c>
      <c r="AK1401" s="7" t="str">
        <f>VLOOKUP($AE1401,Mapping!$E$140:$K$2771,7,0)</f>
        <v>ENDirect</v>
      </c>
      <c r="AL1401" s="7" t="str">
        <f>IFERROR(HLOOKUP(AJ1401,'Calc|Weightings'!$K$5:$M$5,1,0),"Excl")</f>
        <v>Labour</v>
      </c>
      <c r="AM1401" s="7" t="str">
        <f>VLOOKUP(AC1401,Mapping!$E$11:$I$96,5,0)</f>
        <v>SCS</v>
      </c>
      <c r="AO1401" s="134">
        <v>162</v>
      </c>
      <c r="AP1401" s="135" t="s">
        <v>2172</v>
      </c>
      <c r="AQ1401" s="135">
        <v>613290</v>
      </c>
      <c r="AR1401" s="135" t="s">
        <v>2093</v>
      </c>
      <c r="AS1401" s="136">
        <v>720.82902000000001</v>
      </c>
      <c r="AU1401" s="7" t="str">
        <f>VLOOKUP($AO1401,Mapping!$E$11:$I$96,3,0)</f>
        <v>Augmentation</v>
      </c>
      <c r="AV1401" s="7" t="str">
        <f>VLOOKUP($AQ1401,Mapping!$E$140:$K$2771,5,0)</f>
        <v>Labour</v>
      </c>
      <c r="AW1401" s="7" t="str">
        <f>VLOOKUP($AQ1401,Mapping!$E$140:$K$2771,7,0)</f>
        <v>ENDirect</v>
      </c>
      <c r="AX1401" s="7" t="str">
        <f>IFERROR(HLOOKUP(AV1401,'Calc|Weightings'!$K$5:$M$5,1,0),"Excl")</f>
        <v>Labour</v>
      </c>
      <c r="AY1401" s="7" t="str">
        <f>VLOOKUP(AO1401,Mapping!$E$11:$I$96,5,0)</f>
        <v>SCS</v>
      </c>
    </row>
    <row r="1402" spans="1:51" x14ac:dyDescent="0.2">
      <c r="A1402" s="7"/>
      <c r="B1402" s="7"/>
      <c r="C1402" s="7"/>
      <c r="D1402" s="7"/>
      <c r="E1402" s="36">
        <v>150</v>
      </c>
      <c r="F1402" s="36" t="s">
        <v>2159</v>
      </c>
      <c r="G1402" s="36">
        <v>591999</v>
      </c>
      <c r="H1402" s="36" t="s">
        <v>2195</v>
      </c>
      <c r="I1402" s="37">
        <v>-5.1562700000000001</v>
      </c>
      <c r="J1402" s="7"/>
      <c r="K1402" s="7" t="str">
        <f>VLOOKUP($E1402,Mapping!$E$11:$I$96,3,0)</f>
        <v>Replacement</v>
      </c>
      <c r="L1402" s="7" t="str">
        <f>VLOOKUP($G1402,Mapping!$E$140:$K$2771,5,0)</f>
        <v>Contracts</v>
      </c>
      <c r="M1402" s="7" t="str">
        <f>VLOOKUP($G1402,Mapping!$E$140:$K$2771,7,0)</f>
        <v>ENDirect</v>
      </c>
      <c r="N1402" s="7" t="str">
        <f>IFERROR(HLOOKUP(L1402,'Calc|Weightings'!$K$5:$M$5,1,0),"Excl")</f>
        <v>Contracts</v>
      </c>
      <c r="O1402" s="7" t="str">
        <f>VLOOKUP(E1402,Mapping!$E$11:$I$96,5,0)</f>
        <v>SCS</v>
      </c>
      <c r="Q1402" s="33">
        <v>160</v>
      </c>
      <c r="R1402" s="33" t="s">
        <v>2170</v>
      </c>
      <c r="S1402" s="33">
        <v>613448</v>
      </c>
      <c r="T1402" s="33" t="s">
        <v>2105</v>
      </c>
      <c r="U1402" s="34">
        <v>28.93</v>
      </c>
      <c r="V1402" s="7"/>
      <c r="W1402" s="7" t="str">
        <f>VLOOKUP($Q1402,Mapping!$E$11:$I$96,3,0)</f>
        <v>Augmentation</v>
      </c>
      <c r="X1402" s="7" t="str">
        <f>VLOOKUP($S1402,Mapping!$E$140:$K$2771,5,0)</f>
        <v>Labour</v>
      </c>
      <c r="Y1402" s="7" t="str">
        <f>VLOOKUP($S1402,Mapping!$E$140:$K$2771,7,0)</f>
        <v>ENDirect</v>
      </c>
      <c r="Z1402" s="7" t="str">
        <f>IFERROR(HLOOKUP(X1402,'Calc|Weightings'!$K$5:$M$5,1,0),"Excl")</f>
        <v>Labour</v>
      </c>
      <c r="AA1402" s="7" t="str">
        <f>VLOOKUP(Q1402,Mapping!$E$11:$I$96,5,0)</f>
        <v>SCS</v>
      </c>
      <c r="AC1402" s="111">
        <v>160</v>
      </c>
      <c r="AD1402" s="111" t="s">
        <v>2170</v>
      </c>
      <c r="AE1402" s="111">
        <v>613574</v>
      </c>
      <c r="AF1402" s="111" t="s">
        <v>1488</v>
      </c>
      <c r="AG1402" s="112">
        <v>1.2580899999999999</v>
      </c>
      <c r="AI1402" s="7" t="str">
        <f>VLOOKUP($AC1402,Mapping!$E$11:$I$96,3,0)</f>
        <v>Augmentation</v>
      </c>
      <c r="AJ1402" s="7" t="str">
        <f>VLOOKUP($AE1402,Mapping!$E$140:$K$2771,5,0)</f>
        <v>Labour</v>
      </c>
      <c r="AK1402" s="7" t="str">
        <f>VLOOKUP($AE1402,Mapping!$E$140:$K$2771,7,0)</f>
        <v>ENDirect</v>
      </c>
      <c r="AL1402" s="7" t="str">
        <f>IFERROR(HLOOKUP(AJ1402,'Calc|Weightings'!$K$5:$M$5,1,0),"Excl")</f>
        <v>Labour</v>
      </c>
      <c r="AM1402" s="7" t="str">
        <f>VLOOKUP(AC1402,Mapping!$E$11:$I$96,5,0)</f>
        <v>SCS</v>
      </c>
      <c r="AO1402" s="134">
        <v>162</v>
      </c>
      <c r="AP1402" s="135" t="s">
        <v>2172</v>
      </c>
      <c r="AQ1402" s="135">
        <v>613291</v>
      </c>
      <c r="AR1402" s="135" t="s">
        <v>2094</v>
      </c>
      <c r="AS1402" s="136">
        <v>-7.5929999999999997E-2</v>
      </c>
      <c r="AU1402" s="7" t="str">
        <f>VLOOKUP($AO1402,Mapping!$E$11:$I$96,3,0)</f>
        <v>Augmentation</v>
      </c>
      <c r="AV1402" s="7" t="str">
        <f>VLOOKUP($AQ1402,Mapping!$E$140:$K$2771,5,0)</f>
        <v>Labour</v>
      </c>
      <c r="AW1402" s="7" t="str">
        <f>VLOOKUP($AQ1402,Mapping!$E$140:$K$2771,7,0)</f>
        <v>ENDirect</v>
      </c>
      <c r="AX1402" s="7" t="str">
        <f>IFERROR(HLOOKUP(AV1402,'Calc|Weightings'!$K$5:$M$5,1,0),"Excl")</f>
        <v>Labour</v>
      </c>
      <c r="AY1402" s="7" t="str">
        <f>VLOOKUP(AO1402,Mapping!$E$11:$I$96,5,0)</f>
        <v>SCS</v>
      </c>
    </row>
    <row r="1403" spans="1:51" x14ac:dyDescent="0.2">
      <c r="A1403" s="7"/>
      <c r="B1403" s="7"/>
      <c r="C1403" s="7"/>
      <c r="D1403" s="7"/>
      <c r="E1403" s="36">
        <v>150</v>
      </c>
      <c r="F1403" s="36" t="s">
        <v>2159</v>
      </c>
      <c r="G1403" s="36">
        <v>611900</v>
      </c>
      <c r="H1403" s="36" t="s">
        <v>2079</v>
      </c>
      <c r="I1403" s="37">
        <v>3.33548</v>
      </c>
      <c r="J1403" s="7"/>
      <c r="K1403" s="7" t="str">
        <f>VLOOKUP($E1403,Mapping!$E$11:$I$96,3,0)</f>
        <v>Replacement</v>
      </c>
      <c r="L1403" s="7" t="str">
        <f>VLOOKUP($G1403,Mapping!$E$140:$K$2771,5,0)</f>
        <v>Contracts</v>
      </c>
      <c r="M1403" s="7" t="str">
        <f>VLOOKUP($G1403,Mapping!$E$140:$K$2771,7,0)</f>
        <v>ENDirect</v>
      </c>
      <c r="N1403" s="7" t="str">
        <f>IFERROR(HLOOKUP(L1403,'Calc|Weightings'!$K$5:$M$5,1,0),"Excl")</f>
        <v>Contracts</v>
      </c>
      <c r="O1403" s="7" t="str">
        <f>VLOOKUP(E1403,Mapping!$E$11:$I$96,5,0)</f>
        <v>SCS</v>
      </c>
      <c r="Q1403" s="33">
        <v>160</v>
      </c>
      <c r="R1403" s="33" t="s">
        <v>2170</v>
      </c>
      <c r="S1403" s="33">
        <v>613449</v>
      </c>
      <c r="T1403" s="33" t="s">
        <v>2106</v>
      </c>
      <c r="U1403" s="34">
        <v>8.6609599999999993</v>
      </c>
      <c r="V1403" s="7"/>
      <c r="W1403" s="7" t="str">
        <f>VLOOKUP($Q1403,Mapping!$E$11:$I$96,3,0)</f>
        <v>Augmentation</v>
      </c>
      <c r="X1403" s="7" t="str">
        <f>VLOOKUP($S1403,Mapping!$E$140:$K$2771,5,0)</f>
        <v>Labour</v>
      </c>
      <c r="Y1403" s="7" t="str">
        <f>VLOOKUP($S1403,Mapping!$E$140:$K$2771,7,0)</f>
        <v>ENDirect</v>
      </c>
      <c r="Z1403" s="7" t="str">
        <f>IFERROR(HLOOKUP(X1403,'Calc|Weightings'!$K$5:$M$5,1,0),"Excl")</f>
        <v>Labour</v>
      </c>
      <c r="AA1403" s="7" t="str">
        <f>VLOOKUP(Q1403,Mapping!$E$11:$I$96,5,0)</f>
        <v>SCS</v>
      </c>
      <c r="AC1403" s="111">
        <v>160</v>
      </c>
      <c r="AD1403" s="111" t="s">
        <v>2170</v>
      </c>
      <c r="AE1403" s="111">
        <v>613576</v>
      </c>
      <c r="AF1403" s="111" t="s">
        <v>1490</v>
      </c>
      <c r="AG1403" s="112">
        <v>9.8036799999999999</v>
      </c>
      <c r="AI1403" s="7" t="str">
        <f>VLOOKUP($AC1403,Mapping!$E$11:$I$96,3,0)</f>
        <v>Augmentation</v>
      </c>
      <c r="AJ1403" s="7" t="str">
        <f>VLOOKUP($AE1403,Mapping!$E$140:$K$2771,5,0)</f>
        <v>Labour</v>
      </c>
      <c r="AK1403" s="7" t="str">
        <f>VLOOKUP($AE1403,Mapping!$E$140:$K$2771,7,0)</f>
        <v>ENDirect</v>
      </c>
      <c r="AL1403" s="7" t="str">
        <f>IFERROR(HLOOKUP(AJ1403,'Calc|Weightings'!$K$5:$M$5,1,0),"Excl")</f>
        <v>Labour</v>
      </c>
      <c r="AM1403" s="7" t="str">
        <f>VLOOKUP(AC1403,Mapping!$E$11:$I$96,5,0)</f>
        <v>SCS</v>
      </c>
      <c r="AO1403" s="134">
        <v>162</v>
      </c>
      <c r="AP1403" s="135" t="s">
        <v>2172</v>
      </c>
      <c r="AQ1403" s="135">
        <v>613310</v>
      </c>
      <c r="AR1403" s="135" t="s">
        <v>2095</v>
      </c>
      <c r="AS1403" s="136">
        <v>91.208659999999995</v>
      </c>
      <c r="AU1403" s="7" t="str">
        <f>VLOOKUP($AO1403,Mapping!$E$11:$I$96,3,0)</f>
        <v>Augmentation</v>
      </c>
      <c r="AV1403" s="7" t="str">
        <f>VLOOKUP($AQ1403,Mapping!$E$140:$K$2771,5,0)</f>
        <v>Labour</v>
      </c>
      <c r="AW1403" s="7" t="str">
        <f>VLOOKUP($AQ1403,Mapping!$E$140:$K$2771,7,0)</f>
        <v>ENDirect</v>
      </c>
      <c r="AX1403" s="7" t="str">
        <f>IFERROR(HLOOKUP(AV1403,'Calc|Weightings'!$K$5:$M$5,1,0),"Excl")</f>
        <v>Labour</v>
      </c>
      <c r="AY1403" s="7" t="str">
        <f>VLOOKUP(AO1403,Mapping!$E$11:$I$96,5,0)</f>
        <v>SCS</v>
      </c>
    </row>
    <row r="1404" spans="1:51" x14ac:dyDescent="0.2">
      <c r="A1404" s="7"/>
      <c r="B1404" s="7"/>
      <c r="C1404" s="7"/>
      <c r="D1404" s="7"/>
      <c r="E1404" s="36">
        <v>150</v>
      </c>
      <c r="F1404" s="36" t="s">
        <v>2159</v>
      </c>
      <c r="G1404" s="36">
        <v>611901</v>
      </c>
      <c r="H1404" s="36" t="s">
        <v>2080</v>
      </c>
      <c r="I1404" s="37">
        <v>5.8274299999999997</v>
      </c>
      <c r="J1404" s="7"/>
      <c r="K1404" s="7" t="str">
        <f>VLOOKUP($E1404,Mapping!$E$11:$I$96,3,0)</f>
        <v>Replacement</v>
      </c>
      <c r="L1404" s="7" t="str">
        <f>VLOOKUP($G1404,Mapping!$E$140:$K$2771,5,0)</f>
        <v>Contracts</v>
      </c>
      <c r="M1404" s="7" t="str">
        <f>VLOOKUP($G1404,Mapping!$E$140:$K$2771,7,0)</f>
        <v>ENDirect</v>
      </c>
      <c r="N1404" s="7" t="str">
        <f>IFERROR(HLOOKUP(L1404,'Calc|Weightings'!$K$5:$M$5,1,0),"Excl")</f>
        <v>Contracts</v>
      </c>
      <c r="O1404" s="7" t="str">
        <f>VLOOKUP(E1404,Mapping!$E$11:$I$96,5,0)</f>
        <v>SCS</v>
      </c>
      <c r="Q1404" s="33">
        <v>160</v>
      </c>
      <c r="R1404" s="33" t="s">
        <v>2170</v>
      </c>
      <c r="S1404" s="33">
        <v>613566</v>
      </c>
      <c r="T1404" s="33" t="s">
        <v>1482</v>
      </c>
      <c r="U1404" s="34">
        <v>11.941549999999999</v>
      </c>
      <c r="V1404" s="7"/>
      <c r="W1404" s="7" t="str">
        <f>VLOOKUP($Q1404,Mapping!$E$11:$I$96,3,0)</f>
        <v>Augmentation</v>
      </c>
      <c r="X1404" s="7" t="str">
        <f>VLOOKUP($S1404,Mapping!$E$140:$K$2771,5,0)</f>
        <v>Labour</v>
      </c>
      <c r="Y1404" s="7" t="str">
        <f>VLOOKUP($S1404,Mapping!$E$140:$K$2771,7,0)</f>
        <v>ENDirect</v>
      </c>
      <c r="Z1404" s="7" t="str">
        <f>IFERROR(HLOOKUP(X1404,'Calc|Weightings'!$K$5:$M$5,1,0),"Excl")</f>
        <v>Labour</v>
      </c>
      <c r="AA1404" s="7" t="str">
        <f>VLOOKUP(Q1404,Mapping!$E$11:$I$96,5,0)</f>
        <v>SCS</v>
      </c>
      <c r="AC1404" s="111">
        <v>160</v>
      </c>
      <c r="AD1404" s="111" t="s">
        <v>2170</v>
      </c>
      <c r="AE1404" s="111">
        <v>613602</v>
      </c>
      <c r="AF1404" s="111" t="s">
        <v>1494</v>
      </c>
      <c r="AG1404" s="112">
        <v>0.27616000000000002</v>
      </c>
      <c r="AI1404" s="7" t="str">
        <f>VLOOKUP($AC1404,Mapping!$E$11:$I$96,3,0)</f>
        <v>Augmentation</v>
      </c>
      <c r="AJ1404" s="7" t="str">
        <f>VLOOKUP($AE1404,Mapping!$E$140:$K$2771,5,0)</f>
        <v>Labour</v>
      </c>
      <c r="AK1404" s="7" t="str">
        <f>VLOOKUP($AE1404,Mapping!$E$140:$K$2771,7,0)</f>
        <v>ENDirect</v>
      </c>
      <c r="AL1404" s="7" t="str">
        <f>IFERROR(HLOOKUP(AJ1404,'Calc|Weightings'!$K$5:$M$5,1,0),"Excl")</f>
        <v>Labour</v>
      </c>
      <c r="AM1404" s="7" t="str">
        <f>VLOOKUP(AC1404,Mapping!$E$11:$I$96,5,0)</f>
        <v>SCS</v>
      </c>
      <c r="AO1404" s="134">
        <v>162</v>
      </c>
      <c r="AP1404" s="135" t="s">
        <v>2172</v>
      </c>
      <c r="AQ1404" s="135">
        <v>613311</v>
      </c>
      <c r="AR1404" s="135" t="s">
        <v>2116</v>
      </c>
      <c r="AS1404" s="136">
        <v>4.84009</v>
      </c>
      <c r="AU1404" s="7" t="str">
        <f>VLOOKUP($AO1404,Mapping!$E$11:$I$96,3,0)</f>
        <v>Augmentation</v>
      </c>
      <c r="AV1404" s="7" t="str">
        <f>VLOOKUP($AQ1404,Mapping!$E$140:$K$2771,5,0)</f>
        <v>Labour</v>
      </c>
      <c r="AW1404" s="7" t="str">
        <f>VLOOKUP($AQ1404,Mapping!$E$140:$K$2771,7,0)</f>
        <v>ENDirect</v>
      </c>
      <c r="AX1404" s="7" t="str">
        <f>IFERROR(HLOOKUP(AV1404,'Calc|Weightings'!$K$5:$M$5,1,0),"Excl")</f>
        <v>Labour</v>
      </c>
      <c r="AY1404" s="7" t="str">
        <f>VLOOKUP(AO1404,Mapping!$E$11:$I$96,5,0)</f>
        <v>SCS</v>
      </c>
    </row>
    <row r="1405" spans="1:51" x14ac:dyDescent="0.2">
      <c r="A1405" s="7"/>
      <c r="B1405" s="7"/>
      <c r="C1405" s="7"/>
      <c r="D1405" s="7"/>
      <c r="E1405" s="36">
        <v>150</v>
      </c>
      <c r="F1405" s="36" t="s">
        <v>2159</v>
      </c>
      <c r="G1405" s="36">
        <v>611902</v>
      </c>
      <c r="H1405" s="36" t="s">
        <v>2081</v>
      </c>
      <c r="I1405" s="37">
        <v>3.3018700000000001</v>
      </c>
      <c r="J1405" s="7"/>
      <c r="K1405" s="7" t="str">
        <f>VLOOKUP($E1405,Mapping!$E$11:$I$96,3,0)</f>
        <v>Replacement</v>
      </c>
      <c r="L1405" s="7" t="str">
        <f>VLOOKUP($G1405,Mapping!$E$140:$K$2771,5,0)</f>
        <v>Contracts</v>
      </c>
      <c r="M1405" s="7" t="str">
        <f>VLOOKUP($G1405,Mapping!$E$140:$K$2771,7,0)</f>
        <v>ENDirect</v>
      </c>
      <c r="N1405" s="7" t="str">
        <f>IFERROR(HLOOKUP(L1405,'Calc|Weightings'!$K$5:$M$5,1,0),"Excl")</f>
        <v>Contracts</v>
      </c>
      <c r="O1405" s="7" t="str">
        <f>VLOOKUP(E1405,Mapping!$E$11:$I$96,5,0)</f>
        <v>SCS</v>
      </c>
      <c r="Q1405" s="33">
        <v>160</v>
      </c>
      <c r="R1405" s="33" t="s">
        <v>2170</v>
      </c>
      <c r="S1405" s="33">
        <v>613567</v>
      </c>
      <c r="T1405" s="33" t="s">
        <v>1483</v>
      </c>
      <c r="U1405" s="34">
        <v>0.52290000000000003</v>
      </c>
      <c r="V1405" s="7"/>
      <c r="W1405" s="7" t="str">
        <f>VLOOKUP($Q1405,Mapping!$E$11:$I$96,3,0)</f>
        <v>Augmentation</v>
      </c>
      <c r="X1405" s="7" t="str">
        <f>VLOOKUP($S1405,Mapping!$E$140:$K$2771,5,0)</f>
        <v>Labour</v>
      </c>
      <c r="Y1405" s="7" t="str">
        <f>VLOOKUP($S1405,Mapping!$E$140:$K$2771,7,0)</f>
        <v>ENDirect</v>
      </c>
      <c r="Z1405" s="7" t="str">
        <f>IFERROR(HLOOKUP(X1405,'Calc|Weightings'!$K$5:$M$5,1,0),"Excl")</f>
        <v>Labour</v>
      </c>
      <c r="AA1405" s="7" t="str">
        <f>VLOOKUP(Q1405,Mapping!$E$11:$I$96,5,0)</f>
        <v>SCS</v>
      </c>
      <c r="AC1405" s="111">
        <v>160</v>
      </c>
      <c r="AD1405" s="111" t="s">
        <v>2170</v>
      </c>
      <c r="AE1405" s="111">
        <v>613630</v>
      </c>
      <c r="AF1405" s="111" t="s">
        <v>1498</v>
      </c>
      <c r="AG1405" s="112">
        <v>0.33038000000000001</v>
      </c>
      <c r="AI1405" s="7" t="str">
        <f>VLOOKUP($AC1405,Mapping!$E$11:$I$96,3,0)</f>
        <v>Augmentation</v>
      </c>
      <c r="AJ1405" s="7" t="str">
        <f>VLOOKUP($AE1405,Mapping!$E$140:$K$2771,5,0)</f>
        <v>Labour</v>
      </c>
      <c r="AK1405" s="7" t="str">
        <f>VLOOKUP($AE1405,Mapping!$E$140:$K$2771,7,0)</f>
        <v>ENDirect</v>
      </c>
      <c r="AL1405" s="7" t="str">
        <f>IFERROR(HLOOKUP(AJ1405,'Calc|Weightings'!$K$5:$M$5,1,0),"Excl")</f>
        <v>Labour</v>
      </c>
      <c r="AM1405" s="7" t="str">
        <f>VLOOKUP(AC1405,Mapping!$E$11:$I$96,5,0)</f>
        <v>SCS</v>
      </c>
      <c r="AO1405" s="134">
        <v>162</v>
      </c>
      <c r="AP1405" s="135" t="s">
        <v>2172</v>
      </c>
      <c r="AQ1405" s="135">
        <v>613350</v>
      </c>
      <c r="AR1405" s="135" t="s">
        <v>2096</v>
      </c>
      <c r="AS1405" s="136">
        <v>28.27713</v>
      </c>
      <c r="AU1405" s="7" t="str">
        <f>VLOOKUP($AO1405,Mapping!$E$11:$I$96,3,0)</f>
        <v>Augmentation</v>
      </c>
      <c r="AV1405" s="7" t="str">
        <f>VLOOKUP($AQ1405,Mapping!$E$140:$K$2771,5,0)</f>
        <v>Labour</v>
      </c>
      <c r="AW1405" s="7" t="str">
        <f>VLOOKUP($AQ1405,Mapping!$E$140:$K$2771,7,0)</f>
        <v>ENDirect</v>
      </c>
      <c r="AX1405" s="7" t="str">
        <f>IFERROR(HLOOKUP(AV1405,'Calc|Weightings'!$K$5:$M$5,1,0),"Excl")</f>
        <v>Labour</v>
      </c>
      <c r="AY1405" s="7" t="str">
        <f>VLOOKUP(AO1405,Mapping!$E$11:$I$96,5,0)</f>
        <v>SCS</v>
      </c>
    </row>
    <row r="1406" spans="1:51" x14ac:dyDescent="0.2">
      <c r="A1406" s="7"/>
      <c r="B1406" s="7"/>
      <c r="C1406" s="7"/>
      <c r="D1406" s="7"/>
      <c r="E1406" s="36">
        <v>150</v>
      </c>
      <c r="F1406" s="36" t="s">
        <v>2159</v>
      </c>
      <c r="G1406" s="36">
        <v>611920</v>
      </c>
      <c r="H1406" s="36" t="s">
        <v>2056</v>
      </c>
      <c r="I1406" s="37">
        <v>0.34328999999999998</v>
      </c>
      <c r="J1406" s="7"/>
      <c r="K1406" s="7" t="str">
        <f>VLOOKUP($E1406,Mapping!$E$11:$I$96,3,0)</f>
        <v>Replacement</v>
      </c>
      <c r="L1406" s="7" t="str">
        <f>VLOOKUP($G1406,Mapping!$E$140:$K$2771,5,0)</f>
        <v>Labour</v>
      </c>
      <c r="M1406" s="7" t="str">
        <f>VLOOKUP($G1406,Mapping!$E$140:$K$2771,7,0)</f>
        <v>ENDirect</v>
      </c>
      <c r="N1406" s="7" t="str">
        <f>IFERROR(HLOOKUP(L1406,'Calc|Weightings'!$K$5:$M$5,1,0),"Excl")</f>
        <v>Labour</v>
      </c>
      <c r="O1406" s="7" t="str">
        <f>VLOOKUP(E1406,Mapping!$E$11:$I$96,5,0)</f>
        <v>SCS</v>
      </c>
      <c r="Q1406" s="33">
        <v>160</v>
      </c>
      <c r="R1406" s="33" t="s">
        <v>2170</v>
      </c>
      <c r="S1406" s="33">
        <v>613602</v>
      </c>
      <c r="T1406" s="33" t="s">
        <v>1494</v>
      </c>
      <c r="U1406" s="34">
        <v>1.4741899999999999</v>
      </c>
      <c r="V1406" s="7"/>
      <c r="W1406" s="7" t="str">
        <f>VLOOKUP($Q1406,Mapping!$E$11:$I$96,3,0)</f>
        <v>Augmentation</v>
      </c>
      <c r="X1406" s="7" t="str">
        <f>VLOOKUP($S1406,Mapping!$E$140:$K$2771,5,0)</f>
        <v>Labour</v>
      </c>
      <c r="Y1406" s="7" t="str">
        <f>VLOOKUP($S1406,Mapping!$E$140:$K$2771,7,0)</f>
        <v>ENDirect</v>
      </c>
      <c r="Z1406" s="7" t="str">
        <f>IFERROR(HLOOKUP(X1406,'Calc|Weightings'!$K$5:$M$5,1,0),"Excl")</f>
        <v>Labour</v>
      </c>
      <c r="AA1406" s="7" t="str">
        <f>VLOOKUP(Q1406,Mapping!$E$11:$I$96,5,0)</f>
        <v>SCS</v>
      </c>
      <c r="AC1406" s="111">
        <v>160</v>
      </c>
      <c r="AD1406" s="111" t="s">
        <v>2170</v>
      </c>
      <c r="AE1406" s="111">
        <v>613680</v>
      </c>
      <c r="AF1406" s="111" t="s">
        <v>2107</v>
      </c>
      <c r="AG1406" s="112">
        <v>3.1308199999999999</v>
      </c>
      <c r="AI1406" s="7" t="str">
        <f>VLOOKUP($AC1406,Mapping!$E$11:$I$96,3,0)</f>
        <v>Augmentation</v>
      </c>
      <c r="AJ1406" s="7" t="str">
        <f>VLOOKUP($AE1406,Mapping!$E$140:$K$2771,5,0)</f>
        <v>Labour</v>
      </c>
      <c r="AK1406" s="7" t="str">
        <f>VLOOKUP($AE1406,Mapping!$E$140:$K$2771,7,0)</f>
        <v>ENDirect</v>
      </c>
      <c r="AL1406" s="7" t="str">
        <f>IFERROR(HLOOKUP(AJ1406,'Calc|Weightings'!$K$5:$M$5,1,0),"Excl")</f>
        <v>Labour</v>
      </c>
      <c r="AM1406" s="7" t="str">
        <f>VLOOKUP(AC1406,Mapping!$E$11:$I$96,5,0)</f>
        <v>SCS</v>
      </c>
      <c r="AO1406" s="134">
        <v>162</v>
      </c>
      <c r="AP1406" s="135" t="s">
        <v>2172</v>
      </c>
      <c r="AQ1406" s="135">
        <v>613360</v>
      </c>
      <c r="AR1406" s="135" t="s">
        <v>2097</v>
      </c>
      <c r="AS1406" s="136">
        <v>54.89667</v>
      </c>
      <c r="AU1406" s="7" t="str">
        <f>VLOOKUP($AO1406,Mapping!$E$11:$I$96,3,0)</f>
        <v>Augmentation</v>
      </c>
      <c r="AV1406" s="7" t="str">
        <f>VLOOKUP($AQ1406,Mapping!$E$140:$K$2771,5,0)</f>
        <v>Labour</v>
      </c>
      <c r="AW1406" s="7" t="str">
        <f>VLOOKUP($AQ1406,Mapping!$E$140:$K$2771,7,0)</f>
        <v>ENDirect</v>
      </c>
      <c r="AX1406" s="7" t="str">
        <f>IFERROR(HLOOKUP(AV1406,'Calc|Weightings'!$K$5:$M$5,1,0),"Excl")</f>
        <v>Labour</v>
      </c>
      <c r="AY1406" s="7" t="str">
        <f>VLOOKUP(AO1406,Mapping!$E$11:$I$96,5,0)</f>
        <v>SCS</v>
      </c>
    </row>
    <row r="1407" spans="1:51" x14ac:dyDescent="0.2">
      <c r="A1407" s="7"/>
      <c r="B1407" s="7"/>
      <c r="C1407" s="7"/>
      <c r="D1407" s="7"/>
      <c r="E1407" s="36">
        <v>150</v>
      </c>
      <c r="F1407" s="36" t="s">
        <v>2159</v>
      </c>
      <c r="G1407" s="36">
        <v>612210</v>
      </c>
      <c r="H1407" s="36" t="s">
        <v>1184</v>
      </c>
      <c r="I1407" s="37">
        <v>1.6701999999999999</v>
      </c>
      <c r="J1407" s="7"/>
      <c r="K1407" s="7" t="str">
        <f>VLOOKUP($E1407,Mapping!$E$11:$I$96,3,0)</f>
        <v>Replacement</v>
      </c>
      <c r="L1407" s="7" t="str">
        <f>VLOOKUP($G1407,Mapping!$E$140:$K$2771,5,0)</f>
        <v>Labour</v>
      </c>
      <c r="M1407" s="7" t="str">
        <f>VLOOKUP($G1407,Mapping!$E$140:$K$2771,7,0)</f>
        <v>ENDirect</v>
      </c>
      <c r="N1407" s="7" t="str">
        <f>IFERROR(HLOOKUP(L1407,'Calc|Weightings'!$K$5:$M$5,1,0),"Excl")</f>
        <v>Labour</v>
      </c>
      <c r="O1407" s="7" t="str">
        <f>VLOOKUP(E1407,Mapping!$E$11:$I$96,5,0)</f>
        <v>SCS</v>
      </c>
      <c r="Q1407" s="33">
        <v>160</v>
      </c>
      <c r="R1407" s="33" t="s">
        <v>2170</v>
      </c>
      <c r="S1407" s="33">
        <v>613603</v>
      </c>
      <c r="T1407" s="33" t="s">
        <v>1495</v>
      </c>
      <c r="U1407" s="34">
        <v>0.15190000000000001</v>
      </c>
      <c r="V1407" s="7"/>
      <c r="W1407" s="7" t="str">
        <f>VLOOKUP($Q1407,Mapping!$E$11:$I$96,3,0)</f>
        <v>Augmentation</v>
      </c>
      <c r="X1407" s="7" t="str">
        <f>VLOOKUP($S1407,Mapping!$E$140:$K$2771,5,0)</f>
        <v>Labour</v>
      </c>
      <c r="Y1407" s="7" t="str">
        <f>VLOOKUP($S1407,Mapping!$E$140:$K$2771,7,0)</f>
        <v>ENDirect</v>
      </c>
      <c r="Z1407" s="7" t="str">
        <f>IFERROR(HLOOKUP(X1407,'Calc|Weightings'!$K$5:$M$5,1,0),"Excl")</f>
        <v>Labour</v>
      </c>
      <c r="AA1407" s="7" t="str">
        <f>VLOOKUP(Q1407,Mapping!$E$11:$I$96,5,0)</f>
        <v>SCS</v>
      </c>
      <c r="AC1407" s="111">
        <v>160</v>
      </c>
      <c r="AD1407" s="111" t="s">
        <v>2170</v>
      </c>
      <c r="AE1407" s="111">
        <v>634001</v>
      </c>
      <c r="AF1407" s="111" t="s">
        <v>2110</v>
      </c>
      <c r="AG1407" s="112">
        <v>72.784800000000004</v>
      </c>
      <c r="AI1407" s="7" t="str">
        <f>VLOOKUP($AC1407,Mapping!$E$11:$I$96,3,0)</f>
        <v>Augmentation</v>
      </c>
      <c r="AJ1407" s="7" t="str">
        <f>VLOOKUP($AE1407,Mapping!$E$140:$K$2771,5,0)</f>
        <v>Local OH</v>
      </c>
      <c r="AK1407" s="7" t="str">
        <f>VLOOKUP($AE1407,Mapping!$E$140:$K$2771,7,0)</f>
        <v>OH</v>
      </c>
      <c r="AL1407" s="7" t="str">
        <f>IFERROR(HLOOKUP(AJ1407,'Calc|Weightings'!$K$5:$M$5,1,0),"Excl")</f>
        <v>Excl</v>
      </c>
      <c r="AM1407" s="7" t="str">
        <f>VLOOKUP(AC1407,Mapping!$E$11:$I$96,5,0)</f>
        <v>SCS</v>
      </c>
      <c r="AO1407" s="134">
        <v>162</v>
      </c>
      <c r="AP1407" s="135" t="s">
        <v>2172</v>
      </c>
      <c r="AQ1407" s="135">
        <v>613370</v>
      </c>
      <c r="AR1407" s="135" t="s">
        <v>1402</v>
      </c>
      <c r="AS1407" s="136">
        <v>43.591079999999998</v>
      </c>
      <c r="AU1407" s="7" t="str">
        <f>VLOOKUP($AO1407,Mapping!$E$11:$I$96,3,0)</f>
        <v>Augmentation</v>
      </c>
      <c r="AV1407" s="7" t="str">
        <f>VLOOKUP($AQ1407,Mapping!$E$140:$K$2771,5,0)</f>
        <v>Labour</v>
      </c>
      <c r="AW1407" s="7" t="str">
        <f>VLOOKUP($AQ1407,Mapping!$E$140:$K$2771,7,0)</f>
        <v>ENDirect</v>
      </c>
      <c r="AX1407" s="7" t="str">
        <f>IFERROR(HLOOKUP(AV1407,'Calc|Weightings'!$K$5:$M$5,1,0),"Excl")</f>
        <v>Labour</v>
      </c>
      <c r="AY1407" s="7" t="str">
        <f>VLOOKUP(AO1407,Mapping!$E$11:$I$96,5,0)</f>
        <v>SCS</v>
      </c>
    </row>
    <row r="1408" spans="1:51" x14ac:dyDescent="0.2">
      <c r="A1408" s="7"/>
      <c r="B1408" s="7"/>
      <c r="C1408" s="7"/>
      <c r="D1408" s="7"/>
      <c r="E1408" s="36">
        <v>150</v>
      </c>
      <c r="F1408" s="36" t="s">
        <v>2159</v>
      </c>
      <c r="G1408" s="36">
        <v>612460</v>
      </c>
      <c r="H1408" s="36" t="s">
        <v>1243</v>
      </c>
      <c r="I1408" s="37">
        <v>1.33616</v>
      </c>
      <c r="J1408" s="7"/>
      <c r="K1408" s="7" t="str">
        <f>VLOOKUP($E1408,Mapping!$E$11:$I$96,3,0)</f>
        <v>Replacement</v>
      </c>
      <c r="L1408" s="7" t="str">
        <f>VLOOKUP($G1408,Mapping!$E$140:$K$2771,5,0)</f>
        <v>Labour</v>
      </c>
      <c r="M1408" s="7" t="str">
        <f>VLOOKUP($G1408,Mapping!$E$140:$K$2771,7,0)</f>
        <v>ENDirect</v>
      </c>
      <c r="N1408" s="7" t="str">
        <f>IFERROR(HLOOKUP(L1408,'Calc|Weightings'!$K$5:$M$5,1,0),"Excl")</f>
        <v>Labour</v>
      </c>
      <c r="O1408" s="7" t="str">
        <f>VLOOKUP(E1408,Mapping!$E$11:$I$96,5,0)</f>
        <v>SCS</v>
      </c>
      <c r="Q1408" s="33">
        <v>160</v>
      </c>
      <c r="R1408" s="33" t="s">
        <v>2170</v>
      </c>
      <c r="S1408" s="33">
        <v>613680</v>
      </c>
      <c r="T1408" s="33" t="s">
        <v>2107</v>
      </c>
      <c r="U1408" s="34">
        <v>18.70626</v>
      </c>
      <c r="V1408" s="7"/>
      <c r="W1408" s="7" t="str">
        <f>VLOOKUP($Q1408,Mapping!$E$11:$I$96,3,0)</f>
        <v>Augmentation</v>
      </c>
      <c r="X1408" s="7" t="str">
        <f>VLOOKUP($S1408,Mapping!$E$140:$K$2771,5,0)</f>
        <v>Labour</v>
      </c>
      <c r="Y1408" s="7" t="str">
        <f>VLOOKUP($S1408,Mapping!$E$140:$K$2771,7,0)</f>
        <v>ENDirect</v>
      </c>
      <c r="Z1408" s="7" t="str">
        <f>IFERROR(HLOOKUP(X1408,'Calc|Weightings'!$K$5:$M$5,1,0),"Excl")</f>
        <v>Labour</v>
      </c>
      <c r="AA1408" s="7" t="str">
        <f>VLOOKUP(Q1408,Mapping!$E$11:$I$96,5,0)</f>
        <v>SCS</v>
      </c>
      <c r="AC1408" s="111">
        <v>160</v>
      </c>
      <c r="AD1408" s="111" t="s">
        <v>2170</v>
      </c>
      <c r="AE1408" s="111">
        <v>635001</v>
      </c>
      <c r="AF1408" s="111" t="s">
        <v>1929</v>
      </c>
      <c r="AG1408" s="112">
        <v>42.269449999999999</v>
      </c>
      <c r="AI1408" s="7" t="str">
        <f>VLOOKUP($AC1408,Mapping!$E$11:$I$96,3,0)</f>
        <v>Augmentation</v>
      </c>
      <c r="AJ1408" s="7" t="str">
        <f>VLOOKUP($AE1408,Mapping!$E$140:$K$2771,5,0)</f>
        <v>PNS MG</v>
      </c>
      <c r="AK1408" s="7" t="str">
        <f>VLOOKUP($AE1408,Mapping!$E$140:$K$2771,7,0)</f>
        <v>ENDirect</v>
      </c>
      <c r="AL1408" s="7" t="str">
        <f>IFERROR(HLOOKUP(AJ1408,'Calc|Weightings'!$K$5:$M$5,1,0),"Excl")</f>
        <v>Excl</v>
      </c>
      <c r="AM1408" s="7" t="str">
        <f>VLOOKUP(AC1408,Mapping!$E$11:$I$96,5,0)</f>
        <v>SCS</v>
      </c>
      <c r="AO1408" s="134">
        <v>162</v>
      </c>
      <c r="AP1408" s="135" t="s">
        <v>2172</v>
      </c>
      <c r="AQ1408" s="135">
        <v>613371</v>
      </c>
      <c r="AR1408" s="135" t="s">
        <v>1403</v>
      </c>
      <c r="AS1408" s="136">
        <v>-1.7012700000000001</v>
      </c>
      <c r="AU1408" s="7" t="str">
        <f>VLOOKUP($AO1408,Mapping!$E$11:$I$96,3,0)</f>
        <v>Augmentation</v>
      </c>
      <c r="AV1408" s="7" t="str">
        <f>VLOOKUP($AQ1408,Mapping!$E$140:$K$2771,5,0)</f>
        <v>Labour</v>
      </c>
      <c r="AW1408" s="7" t="str">
        <f>VLOOKUP($AQ1408,Mapping!$E$140:$K$2771,7,0)</f>
        <v>ENDirect</v>
      </c>
      <c r="AX1408" s="7" t="str">
        <f>IFERROR(HLOOKUP(AV1408,'Calc|Weightings'!$K$5:$M$5,1,0),"Excl")</f>
        <v>Labour</v>
      </c>
      <c r="AY1408" s="7" t="str">
        <f>VLOOKUP(AO1408,Mapping!$E$11:$I$96,5,0)</f>
        <v>SCS</v>
      </c>
    </row>
    <row r="1409" spans="1:51" x14ac:dyDescent="0.2">
      <c r="A1409" s="7"/>
      <c r="B1409" s="7"/>
      <c r="C1409" s="7"/>
      <c r="D1409" s="7"/>
      <c r="E1409" s="36">
        <v>150</v>
      </c>
      <c r="F1409" s="36" t="s">
        <v>2159</v>
      </c>
      <c r="G1409" s="36">
        <v>613240</v>
      </c>
      <c r="H1409" s="36" t="s">
        <v>2082</v>
      </c>
      <c r="I1409" s="37">
        <v>1.39967</v>
      </c>
      <c r="J1409" s="7"/>
      <c r="K1409" s="7" t="str">
        <f>VLOOKUP($E1409,Mapping!$E$11:$I$96,3,0)</f>
        <v>Replacement</v>
      </c>
      <c r="L1409" s="7" t="str">
        <f>VLOOKUP($G1409,Mapping!$E$140:$K$2771,5,0)</f>
        <v>Labour</v>
      </c>
      <c r="M1409" s="7" t="str">
        <f>VLOOKUP($G1409,Mapping!$E$140:$K$2771,7,0)</f>
        <v>ENDirect</v>
      </c>
      <c r="N1409" s="7" t="str">
        <f>IFERROR(HLOOKUP(L1409,'Calc|Weightings'!$K$5:$M$5,1,0),"Excl")</f>
        <v>Labour</v>
      </c>
      <c r="O1409" s="7" t="str">
        <f>VLOOKUP(E1409,Mapping!$E$11:$I$96,5,0)</f>
        <v>SCS</v>
      </c>
      <c r="Q1409" s="33">
        <v>160</v>
      </c>
      <c r="R1409" s="33" t="s">
        <v>2170</v>
      </c>
      <c r="S1409" s="33">
        <v>613681</v>
      </c>
      <c r="T1409" s="33" t="s">
        <v>2108</v>
      </c>
      <c r="U1409" s="34">
        <v>0.66115999999999997</v>
      </c>
      <c r="V1409" s="7"/>
      <c r="W1409" s="7" t="str">
        <f>VLOOKUP($Q1409,Mapping!$E$11:$I$96,3,0)</f>
        <v>Augmentation</v>
      </c>
      <c r="X1409" s="7" t="str">
        <f>VLOOKUP($S1409,Mapping!$E$140:$K$2771,5,0)</f>
        <v>Labour</v>
      </c>
      <c r="Y1409" s="7" t="str">
        <f>VLOOKUP($S1409,Mapping!$E$140:$K$2771,7,0)</f>
        <v>ENDirect</v>
      </c>
      <c r="Z1409" s="7" t="str">
        <f>IFERROR(HLOOKUP(X1409,'Calc|Weightings'!$K$5:$M$5,1,0),"Excl")</f>
        <v>Labour</v>
      </c>
      <c r="AA1409" s="7" t="str">
        <f>VLOOKUP(Q1409,Mapping!$E$11:$I$96,5,0)</f>
        <v>SCS</v>
      </c>
      <c r="AC1409" s="111">
        <v>160</v>
      </c>
      <c r="AD1409" s="111" t="s">
        <v>2170</v>
      </c>
      <c r="AE1409" s="111">
        <v>636001</v>
      </c>
      <c r="AF1409" s="111" t="s">
        <v>2111</v>
      </c>
      <c r="AG1409" s="112">
        <v>37.091479999999997</v>
      </c>
      <c r="AI1409" s="7" t="str">
        <f>VLOOKUP($AC1409,Mapping!$E$11:$I$96,3,0)</f>
        <v>Augmentation</v>
      </c>
      <c r="AJ1409" s="7" t="str">
        <f>VLOOKUP($AE1409,Mapping!$E$140:$K$2771,5,0)</f>
        <v>System Control OH</v>
      </c>
      <c r="AK1409" s="7" t="str">
        <f>VLOOKUP($AE1409,Mapping!$E$140:$K$2771,7,0)</f>
        <v>OH</v>
      </c>
      <c r="AL1409" s="7" t="str">
        <f>IFERROR(HLOOKUP(AJ1409,'Calc|Weightings'!$K$5:$M$5,1,0),"Excl")</f>
        <v>Excl</v>
      </c>
      <c r="AM1409" s="7" t="str">
        <f>VLOOKUP(AC1409,Mapping!$E$11:$I$96,5,0)</f>
        <v>SCS</v>
      </c>
      <c r="AO1409" s="134">
        <v>162</v>
      </c>
      <c r="AP1409" s="135" t="s">
        <v>2172</v>
      </c>
      <c r="AQ1409" s="135">
        <v>613400</v>
      </c>
      <c r="AR1409" s="135" t="s">
        <v>2099</v>
      </c>
      <c r="AS1409" s="136">
        <v>1.50519</v>
      </c>
      <c r="AU1409" s="7" t="str">
        <f>VLOOKUP($AO1409,Mapping!$E$11:$I$96,3,0)</f>
        <v>Augmentation</v>
      </c>
      <c r="AV1409" s="7" t="str">
        <f>VLOOKUP($AQ1409,Mapping!$E$140:$K$2771,5,0)</f>
        <v>Labour</v>
      </c>
      <c r="AW1409" s="7" t="str">
        <f>VLOOKUP($AQ1409,Mapping!$E$140:$K$2771,7,0)</f>
        <v>ENDirect</v>
      </c>
      <c r="AX1409" s="7" t="str">
        <f>IFERROR(HLOOKUP(AV1409,'Calc|Weightings'!$K$5:$M$5,1,0),"Excl")</f>
        <v>Labour</v>
      </c>
      <c r="AY1409" s="7" t="str">
        <f>VLOOKUP(AO1409,Mapping!$E$11:$I$96,5,0)</f>
        <v>SCS</v>
      </c>
    </row>
    <row r="1410" spans="1:51" x14ac:dyDescent="0.2">
      <c r="A1410" s="7"/>
      <c r="B1410" s="7"/>
      <c r="C1410" s="7"/>
      <c r="D1410" s="7"/>
      <c r="E1410" s="36">
        <v>150</v>
      </c>
      <c r="F1410" s="36" t="s">
        <v>2159</v>
      </c>
      <c r="G1410" s="36">
        <v>613241</v>
      </c>
      <c r="H1410" s="36" t="s">
        <v>2083</v>
      </c>
      <c r="I1410" s="37">
        <v>1.15625</v>
      </c>
      <c r="J1410" s="7"/>
      <c r="K1410" s="7" t="str">
        <f>VLOOKUP($E1410,Mapping!$E$11:$I$96,3,0)</f>
        <v>Replacement</v>
      </c>
      <c r="L1410" s="7" t="str">
        <f>VLOOKUP($G1410,Mapping!$E$140:$K$2771,5,0)</f>
        <v>Labour</v>
      </c>
      <c r="M1410" s="7" t="str">
        <f>VLOOKUP($G1410,Mapping!$E$140:$K$2771,7,0)</f>
        <v>ENDirect</v>
      </c>
      <c r="N1410" s="7" t="str">
        <f>IFERROR(HLOOKUP(L1410,'Calc|Weightings'!$K$5:$M$5,1,0),"Excl")</f>
        <v>Labour</v>
      </c>
      <c r="O1410" s="7" t="str">
        <f>VLOOKUP(E1410,Mapping!$E$11:$I$96,5,0)</f>
        <v>SCS</v>
      </c>
      <c r="Q1410" s="33">
        <v>160</v>
      </c>
      <c r="R1410" s="33" t="s">
        <v>2170</v>
      </c>
      <c r="S1410" s="33">
        <v>634001</v>
      </c>
      <c r="T1410" s="33" t="s">
        <v>2110</v>
      </c>
      <c r="U1410" s="34">
        <v>46.781059999999997</v>
      </c>
      <c r="V1410" s="7"/>
      <c r="W1410" s="7" t="str">
        <f>VLOOKUP($Q1410,Mapping!$E$11:$I$96,3,0)</f>
        <v>Augmentation</v>
      </c>
      <c r="X1410" s="7" t="str">
        <f>VLOOKUP($S1410,Mapping!$E$140:$K$2771,5,0)</f>
        <v>Local OH</v>
      </c>
      <c r="Y1410" s="7" t="str">
        <f>VLOOKUP($S1410,Mapping!$E$140:$K$2771,7,0)</f>
        <v>OH</v>
      </c>
      <c r="Z1410" s="7" t="str">
        <f>IFERROR(HLOOKUP(X1410,'Calc|Weightings'!$K$5:$M$5,1,0),"Excl")</f>
        <v>Excl</v>
      </c>
      <c r="AA1410" s="7" t="str">
        <f>VLOOKUP(Q1410,Mapping!$E$11:$I$96,5,0)</f>
        <v>SCS</v>
      </c>
      <c r="AC1410" s="111">
        <v>160</v>
      </c>
      <c r="AD1410" s="111" t="s">
        <v>2170</v>
      </c>
      <c r="AE1410" s="111">
        <v>639000</v>
      </c>
      <c r="AF1410" s="111" t="s">
        <v>2112</v>
      </c>
      <c r="AG1410" s="112">
        <v>51.301740000000002</v>
      </c>
      <c r="AI1410" s="7" t="str">
        <f>VLOOKUP($AC1410,Mapping!$E$11:$I$96,3,0)</f>
        <v>Augmentation</v>
      </c>
      <c r="AJ1410" s="7" t="str">
        <f>VLOOKUP($AE1410,Mapping!$E$140:$K$2771,5,0)</f>
        <v>PNS Corporate OH</v>
      </c>
      <c r="AK1410" s="7" t="str">
        <f>VLOOKUP($AE1410,Mapping!$E$140:$K$2771,7,0)</f>
        <v>OH</v>
      </c>
      <c r="AL1410" s="7" t="str">
        <f>IFERROR(HLOOKUP(AJ1410,'Calc|Weightings'!$K$5:$M$5,1,0),"Excl")</f>
        <v>Excl</v>
      </c>
      <c r="AM1410" s="7" t="str">
        <f>VLOOKUP(AC1410,Mapping!$E$11:$I$96,5,0)</f>
        <v>SCS</v>
      </c>
      <c r="AO1410" s="134">
        <v>162</v>
      </c>
      <c r="AP1410" s="135" t="s">
        <v>2172</v>
      </c>
      <c r="AQ1410" s="135">
        <v>613410</v>
      </c>
      <c r="AR1410" s="135" t="s">
        <v>2100</v>
      </c>
      <c r="AS1410" s="136">
        <v>41.425890000000003</v>
      </c>
      <c r="AU1410" s="7" t="str">
        <f>VLOOKUP($AO1410,Mapping!$E$11:$I$96,3,0)</f>
        <v>Augmentation</v>
      </c>
      <c r="AV1410" s="7" t="str">
        <f>VLOOKUP($AQ1410,Mapping!$E$140:$K$2771,5,0)</f>
        <v>Labour</v>
      </c>
      <c r="AW1410" s="7" t="str">
        <f>VLOOKUP($AQ1410,Mapping!$E$140:$K$2771,7,0)</f>
        <v>ENDirect</v>
      </c>
      <c r="AX1410" s="7" t="str">
        <f>IFERROR(HLOOKUP(AV1410,'Calc|Weightings'!$K$5:$M$5,1,0),"Excl")</f>
        <v>Labour</v>
      </c>
      <c r="AY1410" s="7" t="str">
        <f>VLOOKUP(AO1410,Mapping!$E$11:$I$96,5,0)</f>
        <v>SCS</v>
      </c>
    </row>
    <row r="1411" spans="1:51" x14ac:dyDescent="0.2">
      <c r="A1411" s="7"/>
      <c r="B1411" s="7"/>
      <c r="C1411" s="7"/>
      <c r="D1411" s="7"/>
      <c r="E1411" s="36">
        <v>150</v>
      </c>
      <c r="F1411" s="36" t="s">
        <v>2159</v>
      </c>
      <c r="G1411" s="36">
        <v>613248</v>
      </c>
      <c r="H1411" s="36" t="s">
        <v>2383</v>
      </c>
      <c r="I1411" s="37">
        <v>32.314010000000003</v>
      </c>
      <c r="J1411" s="7"/>
      <c r="K1411" s="7" t="str">
        <f>VLOOKUP($E1411,Mapping!$E$11:$I$96,3,0)</f>
        <v>Replacement</v>
      </c>
      <c r="L1411" s="7" t="str">
        <f>VLOOKUP($G1411,Mapping!$E$140:$K$2771,5,0)</f>
        <v>Labour</v>
      </c>
      <c r="M1411" s="7" t="str">
        <f>VLOOKUP($G1411,Mapping!$E$140:$K$2771,7,0)</f>
        <v>ENDirect</v>
      </c>
      <c r="N1411" s="7" t="str">
        <f>IFERROR(HLOOKUP(L1411,'Calc|Weightings'!$K$5:$M$5,1,0),"Excl")</f>
        <v>Labour</v>
      </c>
      <c r="O1411" s="7" t="str">
        <f>VLOOKUP(E1411,Mapping!$E$11:$I$96,5,0)</f>
        <v>SCS</v>
      </c>
      <c r="Q1411" s="33">
        <v>160</v>
      </c>
      <c r="R1411" s="33" t="s">
        <v>2170</v>
      </c>
      <c r="S1411" s="33">
        <v>635001</v>
      </c>
      <c r="T1411" s="33" t="s">
        <v>1929</v>
      </c>
      <c r="U1411" s="34">
        <v>23.354659999999999</v>
      </c>
      <c r="V1411" s="7"/>
      <c r="W1411" s="7" t="str">
        <f>VLOOKUP($Q1411,Mapping!$E$11:$I$96,3,0)</f>
        <v>Augmentation</v>
      </c>
      <c r="X1411" s="7" t="str">
        <f>VLOOKUP($S1411,Mapping!$E$140:$K$2771,5,0)</f>
        <v>PNS MG</v>
      </c>
      <c r="Y1411" s="7" t="str">
        <f>VLOOKUP($S1411,Mapping!$E$140:$K$2771,7,0)</f>
        <v>ENDirect</v>
      </c>
      <c r="Z1411" s="7" t="str">
        <f>IFERROR(HLOOKUP(X1411,'Calc|Weightings'!$K$5:$M$5,1,0),"Excl")</f>
        <v>Excl</v>
      </c>
      <c r="AA1411" s="7" t="str">
        <f>VLOOKUP(Q1411,Mapping!$E$11:$I$96,5,0)</f>
        <v>SCS</v>
      </c>
      <c r="AC1411" s="111">
        <v>160</v>
      </c>
      <c r="AD1411" s="111" t="s">
        <v>2170</v>
      </c>
      <c r="AE1411" s="111">
        <v>639050</v>
      </c>
      <c r="AF1411" s="111" t="s">
        <v>2113</v>
      </c>
      <c r="AG1411" s="112">
        <v>6.4684499999999998</v>
      </c>
      <c r="AI1411" s="7" t="str">
        <f>VLOOKUP($AC1411,Mapping!$E$11:$I$96,3,0)</f>
        <v>Augmentation</v>
      </c>
      <c r="AJ1411" s="7" t="str">
        <f>VLOOKUP($AE1411,Mapping!$E$140:$K$2771,5,0)</f>
        <v>PNS Fleet &amp; Property OH</v>
      </c>
      <c r="AK1411" s="7" t="str">
        <f>VLOOKUP($AE1411,Mapping!$E$140:$K$2771,7,0)</f>
        <v>OH</v>
      </c>
      <c r="AL1411" s="7" t="str">
        <f>IFERROR(HLOOKUP(AJ1411,'Calc|Weightings'!$K$5:$M$5,1,0),"Excl")</f>
        <v>Excl</v>
      </c>
      <c r="AM1411" s="7" t="str">
        <f>VLOOKUP(AC1411,Mapping!$E$11:$I$96,5,0)</f>
        <v>SCS</v>
      </c>
      <c r="AO1411" s="134">
        <v>162</v>
      </c>
      <c r="AP1411" s="135" t="s">
        <v>2172</v>
      </c>
      <c r="AQ1411" s="135">
        <v>613411</v>
      </c>
      <c r="AR1411" s="135" t="s">
        <v>2101</v>
      </c>
      <c r="AS1411" s="136">
        <v>0.31747999999999998</v>
      </c>
      <c r="AU1411" s="7" t="str">
        <f>VLOOKUP($AO1411,Mapping!$E$11:$I$96,3,0)</f>
        <v>Augmentation</v>
      </c>
      <c r="AV1411" s="7" t="str">
        <f>VLOOKUP($AQ1411,Mapping!$E$140:$K$2771,5,0)</f>
        <v>Labour</v>
      </c>
      <c r="AW1411" s="7" t="str">
        <f>VLOOKUP($AQ1411,Mapping!$E$140:$K$2771,7,0)</f>
        <v>ENDirect</v>
      </c>
      <c r="AX1411" s="7" t="str">
        <f>IFERROR(HLOOKUP(AV1411,'Calc|Weightings'!$K$5:$M$5,1,0),"Excl")</f>
        <v>Labour</v>
      </c>
      <c r="AY1411" s="7" t="str">
        <f>VLOOKUP(AO1411,Mapping!$E$11:$I$96,5,0)</f>
        <v>SCS</v>
      </c>
    </row>
    <row r="1412" spans="1:51" x14ac:dyDescent="0.2">
      <c r="A1412" s="7"/>
      <c r="B1412" s="7"/>
      <c r="C1412" s="7"/>
      <c r="D1412" s="7"/>
      <c r="E1412" s="36">
        <v>150</v>
      </c>
      <c r="F1412" s="36" t="s">
        <v>2159</v>
      </c>
      <c r="G1412" s="36">
        <v>613249</v>
      </c>
      <c r="H1412" s="36" t="s">
        <v>2384</v>
      </c>
      <c r="I1412" s="37">
        <v>5.5986599999999997</v>
      </c>
      <c r="J1412" s="7"/>
      <c r="K1412" s="7" t="str">
        <f>VLOOKUP($E1412,Mapping!$E$11:$I$96,3,0)</f>
        <v>Replacement</v>
      </c>
      <c r="L1412" s="7" t="str">
        <f>VLOOKUP($G1412,Mapping!$E$140:$K$2771,5,0)</f>
        <v>Labour</v>
      </c>
      <c r="M1412" s="7" t="str">
        <f>VLOOKUP($G1412,Mapping!$E$140:$K$2771,7,0)</f>
        <v>ENDirect</v>
      </c>
      <c r="N1412" s="7" t="str">
        <f>IFERROR(HLOOKUP(L1412,'Calc|Weightings'!$K$5:$M$5,1,0),"Excl")</f>
        <v>Labour</v>
      </c>
      <c r="O1412" s="7" t="str">
        <f>VLOOKUP(E1412,Mapping!$E$11:$I$96,5,0)</f>
        <v>SCS</v>
      </c>
      <c r="Q1412" s="33">
        <v>160</v>
      </c>
      <c r="R1412" s="33" t="s">
        <v>2170</v>
      </c>
      <c r="S1412" s="33">
        <v>636001</v>
      </c>
      <c r="T1412" s="33" t="s">
        <v>2111</v>
      </c>
      <c r="U1412" s="34">
        <v>14.500120000000001</v>
      </c>
      <c r="V1412" s="7"/>
      <c r="W1412" s="7" t="str">
        <f>VLOOKUP($Q1412,Mapping!$E$11:$I$96,3,0)</f>
        <v>Augmentation</v>
      </c>
      <c r="X1412" s="7" t="str">
        <f>VLOOKUP($S1412,Mapping!$E$140:$K$2771,5,0)</f>
        <v>System Control OH</v>
      </c>
      <c r="Y1412" s="7" t="str">
        <f>VLOOKUP($S1412,Mapping!$E$140:$K$2771,7,0)</f>
        <v>OH</v>
      </c>
      <c r="Z1412" s="7" t="str">
        <f>IFERROR(HLOOKUP(X1412,'Calc|Weightings'!$K$5:$M$5,1,0),"Excl")</f>
        <v>Excl</v>
      </c>
      <c r="AA1412" s="7" t="str">
        <f>VLOOKUP(Q1412,Mapping!$E$11:$I$96,5,0)</f>
        <v>SCS</v>
      </c>
      <c r="AC1412" s="111">
        <v>161</v>
      </c>
      <c r="AD1412" s="111" t="s">
        <v>2171</v>
      </c>
      <c r="AE1412" s="111">
        <v>503190</v>
      </c>
      <c r="AF1412" s="111" t="s">
        <v>158</v>
      </c>
      <c r="AG1412" s="112">
        <v>0.71940000000000004</v>
      </c>
      <c r="AI1412" s="7" t="str">
        <f>VLOOKUP($AC1412,Mapping!$E$11:$I$96,3,0)</f>
        <v>Augmentation</v>
      </c>
      <c r="AJ1412" s="7" t="str">
        <f>VLOOKUP($AE1412,Mapping!$E$140:$K$2771,5,0)</f>
        <v>Contracts</v>
      </c>
      <c r="AK1412" s="7" t="str">
        <f>VLOOKUP($AE1412,Mapping!$E$140:$K$2771,7,0)</f>
        <v>ENDirect</v>
      </c>
      <c r="AL1412" s="7" t="str">
        <f>IFERROR(HLOOKUP(AJ1412,'Calc|Weightings'!$K$5:$M$5,1,0),"Excl")</f>
        <v>Contracts</v>
      </c>
      <c r="AM1412" s="7" t="str">
        <f>VLOOKUP(AC1412,Mapping!$E$11:$I$96,5,0)</f>
        <v>SCS</v>
      </c>
      <c r="AO1412" s="134">
        <v>162</v>
      </c>
      <c r="AP1412" s="135" t="s">
        <v>2172</v>
      </c>
      <c r="AQ1412" s="135">
        <v>613420</v>
      </c>
      <c r="AR1412" s="135" t="s">
        <v>2393</v>
      </c>
      <c r="AS1412" s="136">
        <v>3.9734099999999999</v>
      </c>
      <c r="AU1412" s="7" t="str">
        <f>VLOOKUP($AO1412,Mapping!$E$11:$I$96,3,0)</f>
        <v>Augmentation</v>
      </c>
      <c r="AV1412" s="7" t="str">
        <f>VLOOKUP($AQ1412,Mapping!$E$140:$K$2771,5,0)</f>
        <v>Labour</v>
      </c>
      <c r="AW1412" s="7" t="str">
        <f>VLOOKUP($AQ1412,Mapping!$E$140:$K$2771,7,0)</f>
        <v>ENDirect</v>
      </c>
      <c r="AX1412" s="7" t="str">
        <f>IFERROR(HLOOKUP(AV1412,'Calc|Weightings'!$K$5:$M$5,1,0),"Excl")</f>
        <v>Labour</v>
      </c>
      <c r="AY1412" s="7" t="str">
        <f>VLOOKUP(AO1412,Mapping!$E$11:$I$96,5,0)</f>
        <v>SCS</v>
      </c>
    </row>
    <row r="1413" spans="1:51" x14ac:dyDescent="0.2">
      <c r="A1413" s="7"/>
      <c r="B1413" s="7"/>
      <c r="C1413" s="7"/>
      <c r="D1413" s="7"/>
      <c r="E1413" s="36">
        <v>150</v>
      </c>
      <c r="F1413" s="36" t="s">
        <v>2159</v>
      </c>
      <c r="G1413" s="36">
        <v>613250</v>
      </c>
      <c r="H1413" s="36" t="s">
        <v>2086</v>
      </c>
      <c r="I1413" s="37">
        <v>0.26628000000000002</v>
      </c>
      <c r="J1413" s="7"/>
      <c r="K1413" s="7" t="str">
        <f>VLOOKUP($E1413,Mapping!$E$11:$I$96,3,0)</f>
        <v>Replacement</v>
      </c>
      <c r="L1413" s="7" t="str">
        <f>VLOOKUP($G1413,Mapping!$E$140:$K$2771,5,0)</f>
        <v>Labour</v>
      </c>
      <c r="M1413" s="7" t="str">
        <f>VLOOKUP($G1413,Mapping!$E$140:$K$2771,7,0)</f>
        <v>ENDirect</v>
      </c>
      <c r="N1413" s="7" t="str">
        <f>IFERROR(HLOOKUP(L1413,'Calc|Weightings'!$K$5:$M$5,1,0),"Excl")</f>
        <v>Labour</v>
      </c>
      <c r="O1413" s="7" t="str">
        <f>VLOOKUP(E1413,Mapping!$E$11:$I$96,5,0)</f>
        <v>SCS</v>
      </c>
      <c r="Q1413" s="33">
        <v>160</v>
      </c>
      <c r="R1413" s="33" t="s">
        <v>2170</v>
      </c>
      <c r="S1413" s="33">
        <v>639000</v>
      </c>
      <c r="T1413" s="33" t="s">
        <v>2112</v>
      </c>
      <c r="U1413" s="34">
        <v>36.673099999999998</v>
      </c>
      <c r="V1413" s="7"/>
      <c r="W1413" s="7" t="str">
        <f>VLOOKUP($Q1413,Mapping!$E$11:$I$96,3,0)</f>
        <v>Augmentation</v>
      </c>
      <c r="X1413" s="7" t="str">
        <f>VLOOKUP($S1413,Mapping!$E$140:$K$2771,5,0)</f>
        <v>PNS Corporate OH</v>
      </c>
      <c r="Y1413" s="7" t="str">
        <f>VLOOKUP($S1413,Mapping!$E$140:$K$2771,7,0)</f>
        <v>OH</v>
      </c>
      <c r="Z1413" s="7" t="str">
        <f>IFERROR(HLOOKUP(X1413,'Calc|Weightings'!$K$5:$M$5,1,0),"Excl")</f>
        <v>Excl</v>
      </c>
      <c r="AA1413" s="7" t="str">
        <f>VLOOKUP(Q1413,Mapping!$E$11:$I$96,5,0)</f>
        <v>SCS</v>
      </c>
      <c r="AC1413" s="111">
        <v>161</v>
      </c>
      <c r="AD1413" s="111" t="s">
        <v>2171</v>
      </c>
      <c r="AE1413" s="111">
        <v>503194</v>
      </c>
      <c r="AF1413" s="111" t="s">
        <v>162</v>
      </c>
      <c r="AG1413" s="112">
        <v>3.7179999999999998E-2</v>
      </c>
      <c r="AI1413" s="7" t="str">
        <f>VLOOKUP($AC1413,Mapping!$E$11:$I$96,3,0)</f>
        <v>Augmentation</v>
      </c>
      <c r="AJ1413" s="7" t="str">
        <f>VLOOKUP($AE1413,Mapping!$E$140:$K$2771,5,0)</f>
        <v>Contracts</v>
      </c>
      <c r="AK1413" s="7" t="str">
        <f>VLOOKUP($AE1413,Mapping!$E$140:$K$2771,7,0)</f>
        <v>ENDirect</v>
      </c>
      <c r="AL1413" s="7" t="str">
        <f>IFERROR(HLOOKUP(AJ1413,'Calc|Weightings'!$K$5:$M$5,1,0),"Excl")</f>
        <v>Contracts</v>
      </c>
      <c r="AM1413" s="7" t="str">
        <f>VLOOKUP(AC1413,Mapping!$E$11:$I$96,5,0)</f>
        <v>SCS</v>
      </c>
      <c r="AO1413" s="134">
        <v>162</v>
      </c>
      <c r="AP1413" s="135" t="s">
        <v>2172</v>
      </c>
      <c r="AQ1413" s="135">
        <v>613421</v>
      </c>
      <c r="AR1413" s="135" t="s">
        <v>2419</v>
      </c>
      <c r="AS1413" s="136">
        <v>0.27448</v>
      </c>
      <c r="AU1413" s="7" t="str">
        <f>VLOOKUP($AO1413,Mapping!$E$11:$I$96,3,0)</f>
        <v>Augmentation</v>
      </c>
      <c r="AV1413" s="7" t="str">
        <f>VLOOKUP($AQ1413,Mapping!$E$140:$K$2771,5,0)</f>
        <v>Labour</v>
      </c>
      <c r="AW1413" s="7" t="str">
        <f>VLOOKUP($AQ1413,Mapping!$E$140:$K$2771,7,0)</f>
        <v>ENDirect</v>
      </c>
      <c r="AX1413" s="7" t="str">
        <f>IFERROR(HLOOKUP(AV1413,'Calc|Weightings'!$K$5:$M$5,1,0),"Excl")</f>
        <v>Labour</v>
      </c>
      <c r="AY1413" s="7" t="str">
        <f>VLOOKUP(AO1413,Mapping!$E$11:$I$96,5,0)</f>
        <v>SCS</v>
      </c>
    </row>
    <row r="1414" spans="1:51" x14ac:dyDescent="0.2">
      <c r="A1414" s="7"/>
      <c r="B1414" s="7"/>
      <c r="C1414" s="7"/>
      <c r="D1414" s="7"/>
      <c r="E1414" s="36">
        <v>150</v>
      </c>
      <c r="F1414" s="36" t="s">
        <v>2159</v>
      </c>
      <c r="G1414" s="36">
        <v>613258</v>
      </c>
      <c r="H1414" s="36" t="s">
        <v>2356</v>
      </c>
      <c r="I1414" s="37">
        <v>12.115740000000001</v>
      </c>
      <c r="J1414" s="7"/>
      <c r="K1414" s="7" t="str">
        <f>VLOOKUP($E1414,Mapping!$E$11:$I$96,3,0)</f>
        <v>Replacement</v>
      </c>
      <c r="L1414" s="7" t="str">
        <f>VLOOKUP($G1414,Mapping!$E$140:$K$2771,5,0)</f>
        <v>Labour</v>
      </c>
      <c r="M1414" s="7" t="str">
        <f>VLOOKUP($G1414,Mapping!$E$140:$K$2771,7,0)</f>
        <v>ENDirect</v>
      </c>
      <c r="N1414" s="7" t="str">
        <f>IFERROR(HLOOKUP(L1414,'Calc|Weightings'!$K$5:$M$5,1,0),"Excl")</f>
        <v>Labour</v>
      </c>
      <c r="O1414" s="7" t="str">
        <f>VLOOKUP(E1414,Mapping!$E$11:$I$96,5,0)</f>
        <v>SCS</v>
      </c>
      <c r="Q1414" s="33">
        <v>160</v>
      </c>
      <c r="R1414" s="33" t="s">
        <v>2170</v>
      </c>
      <c r="S1414" s="33">
        <v>639050</v>
      </c>
      <c r="T1414" s="33" t="s">
        <v>2113</v>
      </c>
      <c r="U1414" s="34">
        <v>4.7055899999999999</v>
      </c>
      <c r="V1414" s="7"/>
      <c r="W1414" s="7" t="str">
        <f>VLOOKUP($Q1414,Mapping!$E$11:$I$96,3,0)</f>
        <v>Augmentation</v>
      </c>
      <c r="X1414" s="7" t="str">
        <f>VLOOKUP($S1414,Mapping!$E$140:$K$2771,5,0)</f>
        <v>PNS Fleet &amp; Property OH</v>
      </c>
      <c r="Y1414" s="7" t="str">
        <f>VLOOKUP($S1414,Mapping!$E$140:$K$2771,7,0)</f>
        <v>OH</v>
      </c>
      <c r="Z1414" s="7" t="str">
        <f>IFERROR(HLOOKUP(X1414,'Calc|Weightings'!$K$5:$M$5,1,0),"Excl")</f>
        <v>Excl</v>
      </c>
      <c r="AA1414" s="7" t="str">
        <f>VLOOKUP(Q1414,Mapping!$E$11:$I$96,5,0)</f>
        <v>SCS</v>
      </c>
      <c r="AC1414" s="111">
        <v>161</v>
      </c>
      <c r="AD1414" s="111" t="s">
        <v>2171</v>
      </c>
      <c r="AE1414" s="111">
        <v>503197</v>
      </c>
      <c r="AF1414" s="111" t="s">
        <v>163</v>
      </c>
      <c r="AG1414" s="112">
        <v>4.2419999999999999E-2</v>
      </c>
      <c r="AI1414" s="7" t="str">
        <f>VLOOKUP($AC1414,Mapping!$E$11:$I$96,3,0)</f>
        <v>Augmentation</v>
      </c>
      <c r="AJ1414" s="7" t="str">
        <f>VLOOKUP($AE1414,Mapping!$E$140:$K$2771,5,0)</f>
        <v>Contracts</v>
      </c>
      <c r="AK1414" s="7" t="str">
        <f>VLOOKUP($AE1414,Mapping!$E$140:$K$2771,7,0)</f>
        <v>ENDirect</v>
      </c>
      <c r="AL1414" s="7" t="str">
        <f>IFERROR(HLOOKUP(AJ1414,'Calc|Weightings'!$K$5:$M$5,1,0),"Excl")</f>
        <v>Contracts</v>
      </c>
      <c r="AM1414" s="7" t="str">
        <f>VLOOKUP(AC1414,Mapping!$E$11:$I$96,5,0)</f>
        <v>SCS</v>
      </c>
      <c r="AO1414" s="134">
        <v>162</v>
      </c>
      <c r="AP1414" s="135" t="s">
        <v>2172</v>
      </c>
      <c r="AQ1414" s="135">
        <v>613434</v>
      </c>
      <c r="AR1414" s="135" t="s">
        <v>2102</v>
      </c>
      <c r="AS1414" s="136">
        <v>-5.8033099999999997</v>
      </c>
      <c r="AU1414" s="7" t="str">
        <f>VLOOKUP($AO1414,Mapping!$E$11:$I$96,3,0)</f>
        <v>Augmentation</v>
      </c>
      <c r="AV1414" s="7" t="str">
        <f>VLOOKUP($AQ1414,Mapping!$E$140:$K$2771,5,0)</f>
        <v>Labour</v>
      </c>
      <c r="AW1414" s="7" t="str">
        <f>VLOOKUP($AQ1414,Mapping!$E$140:$K$2771,7,0)</f>
        <v>ENDirect</v>
      </c>
      <c r="AX1414" s="7" t="str">
        <f>IFERROR(HLOOKUP(AV1414,'Calc|Weightings'!$K$5:$M$5,1,0),"Excl")</f>
        <v>Labour</v>
      </c>
      <c r="AY1414" s="7" t="str">
        <f>VLOOKUP(AO1414,Mapping!$E$11:$I$96,5,0)</f>
        <v>SCS</v>
      </c>
    </row>
    <row r="1415" spans="1:51" x14ac:dyDescent="0.2">
      <c r="A1415" s="7"/>
      <c r="B1415" s="7"/>
      <c r="C1415" s="7"/>
      <c r="D1415" s="7"/>
      <c r="E1415" s="36">
        <v>150</v>
      </c>
      <c r="F1415" s="36" t="s">
        <v>2159</v>
      </c>
      <c r="G1415" s="36">
        <v>613259</v>
      </c>
      <c r="H1415" s="36" t="s">
        <v>2359</v>
      </c>
      <c r="I1415" s="37">
        <v>4.85961</v>
      </c>
      <c r="J1415" s="7"/>
      <c r="K1415" s="7" t="str">
        <f>VLOOKUP($E1415,Mapping!$E$11:$I$96,3,0)</f>
        <v>Replacement</v>
      </c>
      <c r="L1415" s="7" t="str">
        <f>VLOOKUP($G1415,Mapping!$E$140:$K$2771,5,0)</f>
        <v>Labour</v>
      </c>
      <c r="M1415" s="7" t="str">
        <f>VLOOKUP($G1415,Mapping!$E$140:$K$2771,7,0)</f>
        <v>ENDirect</v>
      </c>
      <c r="N1415" s="7" t="str">
        <f>IFERROR(HLOOKUP(L1415,'Calc|Weightings'!$K$5:$M$5,1,0),"Excl")</f>
        <v>Labour</v>
      </c>
      <c r="O1415" s="7" t="str">
        <f>VLOOKUP(E1415,Mapping!$E$11:$I$96,5,0)</f>
        <v>SCS</v>
      </c>
      <c r="Q1415" s="33">
        <v>161</v>
      </c>
      <c r="R1415" s="33" t="s">
        <v>2171</v>
      </c>
      <c r="S1415" s="33">
        <v>503281</v>
      </c>
      <c r="T1415" s="33" t="s">
        <v>174</v>
      </c>
      <c r="U1415" s="34">
        <v>1.74729</v>
      </c>
      <c r="V1415" s="7"/>
      <c r="W1415" s="7" t="str">
        <f>VLOOKUP($Q1415,Mapping!$E$11:$I$96,3,0)</f>
        <v>Augmentation</v>
      </c>
      <c r="X1415" s="7" t="str">
        <f>VLOOKUP($S1415,Mapping!$E$140:$K$2771,5,0)</f>
        <v>Contracts</v>
      </c>
      <c r="Y1415" s="7" t="str">
        <f>VLOOKUP($S1415,Mapping!$E$140:$K$2771,7,0)</f>
        <v>ENDirect</v>
      </c>
      <c r="Z1415" s="7" t="str">
        <f>IFERROR(HLOOKUP(X1415,'Calc|Weightings'!$K$5:$M$5,1,0),"Excl")</f>
        <v>Contracts</v>
      </c>
      <c r="AA1415" s="7" t="str">
        <f>VLOOKUP(Q1415,Mapping!$E$11:$I$96,5,0)</f>
        <v>SCS</v>
      </c>
      <c r="AC1415" s="111">
        <v>161</v>
      </c>
      <c r="AD1415" s="111" t="s">
        <v>2171</v>
      </c>
      <c r="AE1415" s="111">
        <v>503240</v>
      </c>
      <c r="AF1415" s="111" t="s">
        <v>169</v>
      </c>
      <c r="AG1415" s="112">
        <v>0.24687000000000001</v>
      </c>
      <c r="AI1415" s="7" t="str">
        <f>VLOOKUP($AC1415,Mapping!$E$11:$I$96,3,0)</f>
        <v>Augmentation</v>
      </c>
      <c r="AJ1415" s="7" t="str">
        <f>VLOOKUP($AE1415,Mapping!$E$140:$K$2771,5,0)</f>
        <v>Contracts</v>
      </c>
      <c r="AK1415" s="7" t="str">
        <f>VLOOKUP($AE1415,Mapping!$E$140:$K$2771,7,0)</f>
        <v>ENDirect</v>
      </c>
      <c r="AL1415" s="7" t="str">
        <f>IFERROR(HLOOKUP(AJ1415,'Calc|Weightings'!$K$5:$M$5,1,0),"Excl")</f>
        <v>Contracts</v>
      </c>
      <c r="AM1415" s="7" t="str">
        <f>VLOOKUP(AC1415,Mapping!$E$11:$I$96,5,0)</f>
        <v>SCS</v>
      </c>
      <c r="AO1415" s="134">
        <v>162</v>
      </c>
      <c r="AP1415" s="135" t="s">
        <v>2172</v>
      </c>
      <c r="AQ1415" s="135">
        <v>613440</v>
      </c>
      <c r="AR1415" s="135" t="s">
        <v>2103</v>
      </c>
      <c r="AS1415" s="136">
        <v>4.2634499999999997</v>
      </c>
      <c r="AU1415" s="7" t="str">
        <f>VLOOKUP($AO1415,Mapping!$E$11:$I$96,3,0)</f>
        <v>Augmentation</v>
      </c>
      <c r="AV1415" s="7" t="str">
        <f>VLOOKUP($AQ1415,Mapping!$E$140:$K$2771,5,0)</f>
        <v>Labour</v>
      </c>
      <c r="AW1415" s="7" t="str">
        <f>VLOOKUP($AQ1415,Mapping!$E$140:$K$2771,7,0)</f>
        <v>ENDirect</v>
      </c>
      <c r="AX1415" s="7" t="str">
        <f>IFERROR(HLOOKUP(AV1415,'Calc|Weightings'!$K$5:$M$5,1,0),"Excl")</f>
        <v>Labour</v>
      </c>
      <c r="AY1415" s="7" t="str">
        <f>VLOOKUP(AO1415,Mapping!$E$11:$I$96,5,0)</f>
        <v>SCS</v>
      </c>
    </row>
    <row r="1416" spans="1:51" x14ac:dyDescent="0.2">
      <c r="A1416" s="7"/>
      <c r="B1416" s="7"/>
      <c r="C1416" s="7"/>
      <c r="D1416" s="7"/>
      <c r="E1416" s="36">
        <v>150</v>
      </c>
      <c r="F1416" s="36" t="s">
        <v>2159</v>
      </c>
      <c r="G1416" s="36">
        <v>613260</v>
      </c>
      <c r="H1416" s="36" t="s">
        <v>2090</v>
      </c>
      <c r="I1416" s="37">
        <v>15.4679</v>
      </c>
      <c r="J1416" s="7"/>
      <c r="K1416" s="7" t="str">
        <f>VLOOKUP($E1416,Mapping!$E$11:$I$96,3,0)</f>
        <v>Replacement</v>
      </c>
      <c r="L1416" s="7" t="str">
        <f>VLOOKUP($G1416,Mapping!$E$140:$K$2771,5,0)</f>
        <v>Labour</v>
      </c>
      <c r="M1416" s="7" t="str">
        <f>VLOOKUP($G1416,Mapping!$E$140:$K$2771,7,0)</f>
        <v>ENDirect</v>
      </c>
      <c r="N1416" s="7" t="str">
        <f>IFERROR(HLOOKUP(L1416,'Calc|Weightings'!$K$5:$M$5,1,0),"Excl")</f>
        <v>Labour</v>
      </c>
      <c r="O1416" s="7" t="str">
        <f>VLOOKUP(E1416,Mapping!$E$11:$I$96,5,0)</f>
        <v>SCS</v>
      </c>
      <c r="Q1416" s="33">
        <v>161</v>
      </c>
      <c r="R1416" s="33" t="s">
        <v>2171</v>
      </c>
      <c r="S1416" s="33">
        <v>503330</v>
      </c>
      <c r="T1416" s="33" t="s">
        <v>180</v>
      </c>
      <c r="U1416" s="34">
        <v>0.58289999999999997</v>
      </c>
      <c r="V1416" s="7"/>
      <c r="W1416" s="7" t="str">
        <f>VLOOKUP($Q1416,Mapping!$E$11:$I$96,3,0)</f>
        <v>Augmentation</v>
      </c>
      <c r="X1416" s="7" t="str">
        <f>VLOOKUP($S1416,Mapping!$E$140:$K$2771,5,0)</f>
        <v>Contracts</v>
      </c>
      <c r="Y1416" s="7" t="str">
        <f>VLOOKUP($S1416,Mapping!$E$140:$K$2771,7,0)</f>
        <v>ENDirect</v>
      </c>
      <c r="Z1416" s="7" t="str">
        <f>IFERROR(HLOOKUP(X1416,'Calc|Weightings'!$K$5:$M$5,1,0),"Excl")</f>
        <v>Contracts</v>
      </c>
      <c r="AA1416" s="7" t="str">
        <f>VLOOKUP(Q1416,Mapping!$E$11:$I$96,5,0)</f>
        <v>SCS</v>
      </c>
      <c r="AC1416" s="111">
        <v>161</v>
      </c>
      <c r="AD1416" s="111" t="s">
        <v>2171</v>
      </c>
      <c r="AE1416" s="111">
        <v>503250</v>
      </c>
      <c r="AF1416" s="111" t="s">
        <v>170</v>
      </c>
      <c r="AG1416" s="112">
        <v>0.18512999999999999</v>
      </c>
      <c r="AI1416" s="7" t="str">
        <f>VLOOKUP($AC1416,Mapping!$E$11:$I$96,3,0)</f>
        <v>Augmentation</v>
      </c>
      <c r="AJ1416" s="7" t="str">
        <f>VLOOKUP($AE1416,Mapping!$E$140:$K$2771,5,0)</f>
        <v>Contracts</v>
      </c>
      <c r="AK1416" s="7" t="str">
        <f>VLOOKUP($AE1416,Mapping!$E$140:$K$2771,7,0)</f>
        <v>ENDirect</v>
      </c>
      <c r="AL1416" s="7" t="str">
        <f>IFERROR(HLOOKUP(AJ1416,'Calc|Weightings'!$K$5:$M$5,1,0),"Excl")</f>
        <v>Contracts</v>
      </c>
      <c r="AM1416" s="7" t="str">
        <f>VLOOKUP(AC1416,Mapping!$E$11:$I$96,5,0)</f>
        <v>SCS</v>
      </c>
      <c r="AO1416" s="134">
        <v>162</v>
      </c>
      <c r="AP1416" s="135" t="s">
        <v>2172</v>
      </c>
      <c r="AQ1416" s="135">
        <v>613441</v>
      </c>
      <c r="AR1416" s="135" t="s">
        <v>2104</v>
      </c>
      <c r="AS1416" s="136">
        <v>2.0219999999999998E-2</v>
      </c>
      <c r="AU1416" s="7" t="str">
        <f>VLOOKUP($AO1416,Mapping!$E$11:$I$96,3,0)</f>
        <v>Augmentation</v>
      </c>
      <c r="AV1416" s="7" t="str">
        <f>VLOOKUP($AQ1416,Mapping!$E$140:$K$2771,5,0)</f>
        <v>Labour</v>
      </c>
      <c r="AW1416" s="7" t="str">
        <f>VLOOKUP($AQ1416,Mapping!$E$140:$K$2771,7,0)</f>
        <v>ENDirect</v>
      </c>
      <c r="AX1416" s="7" t="str">
        <f>IFERROR(HLOOKUP(AV1416,'Calc|Weightings'!$K$5:$M$5,1,0),"Excl")</f>
        <v>Labour</v>
      </c>
      <c r="AY1416" s="7" t="str">
        <f>VLOOKUP(AO1416,Mapping!$E$11:$I$96,5,0)</f>
        <v>SCS</v>
      </c>
    </row>
    <row r="1417" spans="1:51" x14ac:dyDescent="0.2">
      <c r="A1417" s="7"/>
      <c r="B1417" s="7"/>
      <c r="C1417" s="7"/>
      <c r="D1417" s="7"/>
      <c r="E1417" s="36">
        <v>150</v>
      </c>
      <c r="F1417" s="36" t="s">
        <v>2159</v>
      </c>
      <c r="G1417" s="36">
        <v>613261</v>
      </c>
      <c r="H1417" s="36" t="s">
        <v>2091</v>
      </c>
      <c r="I1417" s="37">
        <v>0.1163</v>
      </c>
      <c r="J1417" s="7"/>
      <c r="K1417" s="7" t="str">
        <f>VLOOKUP($E1417,Mapping!$E$11:$I$96,3,0)</f>
        <v>Replacement</v>
      </c>
      <c r="L1417" s="7" t="str">
        <f>VLOOKUP($G1417,Mapping!$E$140:$K$2771,5,0)</f>
        <v>Labour</v>
      </c>
      <c r="M1417" s="7" t="str">
        <f>VLOOKUP($G1417,Mapping!$E$140:$K$2771,7,0)</f>
        <v>ENDirect</v>
      </c>
      <c r="N1417" s="7" t="str">
        <f>IFERROR(HLOOKUP(L1417,'Calc|Weightings'!$K$5:$M$5,1,0),"Excl")</f>
        <v>Labour</v>
      </c>
      <c r="O1417" s="7" t="str">
        <f>VLOOKUP(E1417,Mapping!$E$11:$I$96,5,0)</f>
        <v>SCS</v>
      </c>
      <c r="Q1417" s="33">
        <v>161</v>
      </c>
      <c r="R1417" s="33" t="s">
        <v>2171</v>
      </c>
      <c r="S1417" s="33">
        <v>503350</v>
      </c>
      <c r="T1417" s="33" t="s">
        <v>182</v>
      </c>
      <c r="U1417" s="34">
        <v>0.11258</v>
      </c>
      <c r="V1417" s="7"/>
      <c r="W1417" s="7" t="str">
        <f>VLOOKUP($Q1417,Mapping!$E$11:$I$96,3,0)</f>
        <v>Augmentation</v>
      </c>
      <c r="X1417" s="7" t="str">
        <f>VLOOKUP($S1417,Mapping!$E$140:$K$2771,5,0)</f>
        <v>Contracts</v>
      </c>
      <c r="Y1417" s="7" t="str">
        <f>VLOOKUP($S1417,Mapping!$E$140:$K$2771,7,0)</f>
        <v>ENDirect</v>
      </c>
      <c r="Z1417" s="7" t="str">
        <f>IFERROR(HLOOKUP(X1417,'Calc|Weightings'!$K$5:$M$5,1,0),"Excl")</f>
        <v>Contracts</v>
      </c>
      <c r="AA1417" s="7" t="str">
        <f>VLOOKUP(Q1417,Mapping!$E$11:$I$96,5,0)</f>
        <v>SCS</v>
      </c>
      <c r="AC1417" s="111">
        <v>161</v>
      </c>
      <c r="AD1417" s="111" t="s">
        <v>2171</v>
      </c>
      <c r="AE1417" s="111">
        <v>503281</v>
      </c>
      <c r="AF1417" s="111" t="s">
        <v>2198</v>
      </c>
      <c r="AG1417" s="112">
        <v>3.27928</v>
      </c>
      <c r="AI1417" s="7" t="str">
        <f>VLOOKUP($AC1417,Mapping!$E$11:$I$96,3,0)</f>
        <v>Augmentation</v>
      </c>
      <c r="AJ1417" s="7" t="str">
        <f>VLOOKUP($AE1417,Mapping!$E$140:$K$2771,5,0)</f>
        <v>Contracts</v>
      </c>
      <c r="AK1417" s="7" t="str">
        <f>VLOOKUP($AE1417,Mapping!$E$140:$K$2771,7,0)</f>
        <v>ENDirect</v>
      </c>
      <c r="AL1417" s="7" t="str">
        <f>IFERROR(HLOOKUP(AJ1417,'Calc|Weightings'!$K$5:$M$5,1,0),"Excl")</f>
        <v>Contracts</v>
      </c>
      <c r="AM1417" s="7" t="str">
        <f>VLOOKUP(AC1417,Mapping!$E$11:$I$96,5,0)</f>
        <v>SCS</v>
      </c>
      <c r="AO1417" s="134">
        <v>162</v>
      </c>
      <c r="AP1417" s="135" t="s">
        <v>2172</v>
      </c>
      <c r="AQ1417" s="135">
        <v>613450</v>
      </c>
      <c r="AR1417" s="135" t="s">
        <v>2175</v>
      </c>
      <c r="AS1417" s="136">
        <v>10.400410000000001</v>
      </c>
      <c r="AU1417" s="7" t="str">
        <f>VLOOKUP($AO1417,Mapping!$E$11:$I$96,3,0)</f>
        <v>Augmentation</v>
      </c>
      <c r="AV1417" s="7" t="str">
        <f>VLOOKUP($AQ1417,Mapping!$E$140:$K$2771,5,0)</f>
        <v>Labour</v>
      </c>
      <c r="AW1417" s="7" t="str">
        <f>VLOOKUP($AQ1417,Mapping!$E$140:$K$2771,7,0)</f>
        <v>ENDirect</v>
      </c>
      <c r="AX1417" s="7" t="str">
        <f>IFERROR(HLOOKUP(AV1417,'Calc|Weightings'!$K$5:$M$5,1,0),"Excl")</f>
        <v>Labour</v>
      </c>
      <c r="AY1417" s="7" t="str">
        <f>VLOOKUP(AO1417,Mapping!$E$11:$I$96,5,0)</f>
        <v>SCS</v>
      </c>
    </row>
    <row r="1418" spans="1:51" x14ac:dyDescent="0.2">
      <c r="A1418" s="7"/>
      <c r="B1418" s="7"/>
      <c r="C1418" s="7"/>
      <c r="D1418" s="7"/>
      <c r="E1418" s="36">
        <v>150</v>
      </c>
      <c r="F1418" s="36" t="s">
        <v>2159</v>
      </c>
      <c r="G1418" s="36">
        <v>613268</v>
      </c>
      <c r="H1418" s="36" t="s">
        <v>1335</v>
      </c>
      <c r="I1418" s="37">
        <v>3.4889999999999999</v>
      </c>
      <c r="J1418" s="7"/>
      <c r="K1418" s="7" t="str">
        <f>VLOOKUP($E1418,Mapping!$E$11:$I$96,3,0)</f>
        <v>Replacement</v>
      </c>
      <c r="L1418" s="7" t="str">
        <f>VLOOKUP($G1418,Mapping!$E$140:$K$2771,5,0)</f>
        <v>Labour</v>
      </c>
      <c r="M1418" s="7" t="str">
        <f>VLOOKUP($G1418,Mapping!$E$140:$K$2771,7,0)</f>
        <v>ENDirect</v>
      </c>
      <c r="N1418" s="7" t="str">
        <f>IFERROR(HLOOKUP(L1418,'Calc|Weightings'!$K$5:$M$5,1,0),"Excl")</f>
        <v>Labour</v>
      </c>
      <c r="O1418" s="7" t="str">
        <f>VLOOKUP(E1418,Mapping!$E$11:$I$96,5,0)</f>
        <v>SCS</v>
      </c>
      <c r="Q1418" s="33">
        <v>161</v>
      </c>
      <c r="R1418" s="33" t="s">
        <v>2171</v>
      </c>
      <c r="S1418" s="33">
        <v>520100</v>
      </c>
      <c r="T1418" s="33" t="s">
        <v>2072</v>
      </c>
      <c r="U1418" s="34">
        <v>855.07566999999995</v>
      </c>
      <c r="V1418" s="7"/>
      <c r="W1418" s="7" t="str">
        <f>VLOOKUP($Q1418,Mapping!$E$11:$I$96,3,0)</f>
        <v>Augmentation</v>
      </c>
      <c r="X1418" s="7" t="str">
        <f>VLOOKUP($S1418,Mapping!$E$140:$K$2771,5,0)</f>
        <v>Materials</v>
      </c>
      <c r="Y1418" s="7" t="str">
        <f>VLOOKUP($S1418,Mapping!$E$140:$K$2771,7,0)</f>
        <v>ENDirect</v>
      </c>
      <c r="Z1418" s="7" t="str">
        <f>IFERROR(HLOOKUP(X1418,'Calc|Weightings'!$K$5:$M$5,1,0),"Excl")</f>
        <v>Materials</v>
      </c>
      <c r="AA1418" s="7" t="str">
        <f>VLOOKUP(Q1418,Mapping!$E$11:$I$96,5,0)</f>
        <v>SCS</v>
      </c>
      <c r="AC1418" s="111">
        <v>161</v>
      </c>
      <c r="AD1418" s="111" t="s">
        <v>2171</v>
      </c>
      <c r="AE1418" s="111">
        <v>503330</v>
      </c>
      <c r="AF1418" s="111" t="s">
        <v>180</v>
      </c>
      <c r="AG1418" s="112">
        <v>0.78925000000000001</v>
      </c>
      <c r="AI1418" s="7" t="str">
        <f>VLOOKUP($AC1418,Mapping!$E$11:$I$96,3,0)</f>
        <v>Augmentation</v>
      </c>
      <c r="AJ1418" s="7" t="str">
        <f>VLOOKUP($AE1418,Mapping!$E$140:$K$2771,5,0)</f>
        <v>Contracts</v>
      </c>
      <c r="AK1418" s="7" t="str">
        <f>VLOOKUP($AE1418,Mapping!$E$140:$K$2771,7,0)</f>
        <v>ENDirect</v>
      </c>
      <c r="AL1418" s="7" t="str">
        <f>IFERROR(HLOOKUP(AJ1418,'Calc|Weightings'!$K$5:$M$5,1,0),"Excl")</f>
        <v>Contracts</v>
      </c>
      <c r="AM1418" s="7" t="str">
        <f>VLOOKUP(AC1418,Mapping!$E$11:$I$96,5,0)</f>
        <v>SCS</v>
      </c>
      <c r="AO1418" s="134">
        <v>162</v>
      </c>
      <c r="AP1418" s="135" t="s">
        <v>2172</v>
      </c>
      <c r="AQ1418" s="135">
        <v>613460</v>
      </c>
      <c r="AR1418" s="135" t="s">
        <v>2167</v>
      </c>
      <c r="AS1418" s="136">
        <v>87.938779999999994</v>
      </c>
      <c r="AU1418" s="7" t="str">
        <f>VLOOKUP($AO1418,Mapping!$E$11:$I$96,3,0)</f>
        <v>Augmentation</v>
      </c>
      <c r="AV1418" s="7" t="str">
        <f>VLOOKUP($AQ1418,Mapping!$E$140:$K$2771,5,0)</f>
        <v>Labour</v>
      </c>
      <c r="AW1418" s="7" t="str">
        <f>VLOOKUP($AQ1418,Mapping!$E$140:$K$2771,7,0)</f>
        <v>ENDirect</v>
      </c>
      <c r="AX1418" s="7" t="str">
        <f>IFERROR(HLOOKUP(AV1418,'Calc|Weightings'!$K$5:$M$5,1,0),"Excl")</f>
        <v>Labour</v>
      </c>
      <c r="AY1418" s="7" t="str">
        <f>VLOOKUP(AO1418,Mapping!$E$11:$I$96,5,0)</f>
        <v>SCS</v>
      </c>
    </row>
    <row r="1419" spans="1:51" x14ac:dyDescent="0.2">
      <c r="A1419" s="7"/>
      <c r="B1419" s="7"/>
      <c r="C1419" s="7"/>
      <c r="D1419" s="7"/>
      <c r="E1419" s="36">
        <v>150</v>
      </c>
      <c r="F1419" s="36" t="s">
        <v>2159</v>
      </c>
      <c r="G1419" s="36">
        <v>613269</v>
      </c>
      <c r="H1419" s="36" t="s">
        <v>1336</v>
      </c>
      <c r="I1419" s="37">
        <v>1.6282000000000001</v>
      </c>
      <c r="J1419" s="7"/>
      <c r="K1419" s="7" t="str">
        <f>VLOOKUP($E1419,Mapping!$E$11:$I$96,3,0)</f>
        <v>Replacement</v>
      </c>
      <c r="L1419" s="7" t="str">
        <f>VLOOKUP($G1419,Mapping!$E$140:$K$2771,5,0)</f>
        <v>Labour</v>
      </c>
      <c r="M1419" s="7" t="str">
        <f>VLOOKUP($G1419,Mapping!$E$140:$K$2771,7,0)</f>
        <v>ENDirect</v>
      </c>
      <c r="N1419" s="7" t="str">
        <f>IFERROR(HLOOKUP(L1419,'Calc|Weightings'!$K$5:$M$5,1,0),"Excl")</f>
        <v>Labour</v>
      </c>
      <c r="O1419" s="7" t="str">
        <f>VLOOKUP(E1419,Mapping!$E$11:$I$96,5,0)</f>
        <v>SCS</v>
      </c>
      <c r="Q1419" s="33">
        <v>161</v>
      </c>
      <c r="R1419" s="33" t="s">
        <v>2171</v>
      </c>
      <c r="S1419" s="33">
        <v>520150</v>
      </c>
      <c r="T1419" s="33" t="s">
        <v>2205</v>
      </c>
      <c r="U1419" s="34">
        <v>2.989E-2</v>
      </c>
      <c r="V1419" s="7"/>
      <c r="W1419" s="7" t="str">
        <f>VLOOKUP($Q1419,Mapping!$E$11:$I$96,3,0)</f>
        <v>Augmentation</v>
      </c>
      <c r="X1419" s="7" t="str">
        <f>VLOOKUP($S1419,Mapping!$E$140:$K$2771,5,0)</f>
        <v>Materials</v>
      </c>
      <c r="Y1419" s="7" t="str">
        <f>VLOOKUP($S1419,Mapping!$E$140:$K$2771,7,0)</f>
        <v>ENDirect</v>
      </c>
      <c r="Z1419" s="7" t="str">
        <f>IFERROR(HLOOKUP(X1419,'Calc|Weightings'!$K$5:$M$5,1,0),"Excl")</f>
        <v>Materials</v>
      </c>
      <c r="AA1419" s="7" t="str">
        <f>VLOOKUP(Q1419,Mapping!$E$11:$I$96,5,0)</f>
        <v>SCS</v>
      </c>
      <c r="AC1419" s="111">
        <v>161</v>
      </c>
      <c r="AD1419" s="111" t="s">
        <v>2171</v>
      </c>
      <c r="AE1419" s="111">
        <v>503350</v>
      </c>
      <c r="AF1419" s="111" t="s">
        <v>182</v>
      </c>
      <c r="AG1419" s="112">
        <v>2.0634600000000001</v>
      </c>
      <c r="AI1419" s="7" t="str">
        <f>VLOOKUP($AC1419,Mapping!$E$11:$I$96,3,0)</f>
        <v>Augmentation</v>
      </c>
      <c r="AJ1419" s="7" t="str">
        <f>VLOOKUP($AE1419,Mapping!$E$140:$K$2771,5,0)</f>
        <v>Contracts</v>
      </c>
      <c r="AK1419" s="7" t="str">
        <f>VLOOKUP($AE1419,Mapping!$E$140:$K$2771,7,0)</f>
        <v>ENDirect</v>
      </c>
      <c r="AL1419" s="7" t="str">
        <f>IFERROR(HLOOKUP(AJ1419,'Calc|Weightings'!$K$5:$M$5,1,0),"Excl")</f>
        <v>Contracts</v>
      </c>
      <c r="AM1419" s="7" t="str">
        <f>VLOOKUP(AC1419,Mapping!$E$11:$I$96,5,0)</f>
        <v>SCS</v>
      </c>
      <c r="AO1419" s="134">
        <v>162</v>
      </c>
      <c r="AP1419" s="135" t="s">
        <v>2172</v>
      </c>
      <c r="AQ1419" s="135">
        <v>613461</v>
      </c>
      <c r="AR1419" s="135" t="s">
        <v>2168</v>
      </c>
      <c r="AS1419" s="136">
        <v>5.4690700000000003</v>
      </c>
      <c r="AU1419" s="7" t="str">
        <f>VLOOKUP($AO1419,Mapping!$E$11:$I$96,3,0)</f>
        <v>Augmentation</v>
      </c>
      <c r="AV1419" s="7" t="str">
        <f>VLOOKUP($AQ1419,Mapping!$E$140:$K$2771,5,0)</f>
        <v>Labour</v>
      </c>
      <c r="AW1419" s="7" t="str">
        <f>VLOOKUP($AQ1419,Mapping!$E$140:$K$2771,7,0)</f>
        <v>ENDirect</v>
      </c>
      <c r="AX1419" s="7" t="str">
        <f>IFERROR(HLOOKUP(AV1419,'Calc|Weightings'!$K$5:$M$5,1,0),"Excl")</f>
        <v>Labour</v>
      </c>
      <c r="AY1419" s="7" t="str">
        <f>VLOOKUP(AO1419,Mapping!$E$11:$I$96,5,0)</f>
        <v>SCS</v>
      </c>
    </row>
    <row r="1420" spans="1:51" x14ac:dyDescent="0.2">
      <c r="A1420" s="7"/>
      <c r="B1420" s="7"/>
      <c r="C1420" s="7"/>
      <c r="D1420" s="7"/>
      <c r="E1420" s="36">
        <v>150</v>
      </c>
      <c r="F1420" s="36" t="s">
        <v>2159</v>
      </c>
      <c r="G1420" s="36">
        <v>613270</v>
      </c>
      <c r="H1420" s="36" t="s">
        <v>2092</v>
      </c>
      <c r="I1420" s="37">
        <v>10.639239999999999</v>
      </c>
      <c r="J1420" s="7"/>
      <c r="K1420" s="7" t="str">
        <f>VLOOKUP($E1420,Mapping!$E$11:$I$96,3,0)</f>
        <v>Replacement</v>
      </c>
      <c r="L1420" s="7" t="str">
        <f>VLOOKUP($G1420,Mapping!$E$140:$K$2771,5,0)</f>
        <v>Labour</v>
      </c>
      <c r="M1420" s="7" t="str">
        <f>VLOOKUP($G1420,Mapping!$E$140:$K$2771,7,0)</f>
        <v>ENDirect</v>
      </c>
      <c r="N1420" s="7" t="str">
        <f>IFERROR(HLOOKUP(L1420,'Calc|Weightings'!$K$5:$M$5,1,0),"Excl")</f>
        <v>Labour</v>
      </c>
      <c r="O1420" s="7" t="str">
        <f>VLOOKUP(E1420,Mapping!$E$11:$I$96,5,0)</f>
        <v>SCS</v>
      </c>
      <c r="Q1420" s="33">
        <v>161</v>
      </c>
      <c r="R1420" s="33" t="s">
        <v>2171</v>
      </c>
      <c r="S1420" s="33">
        <v>520200</v>
      </c>
      <c r="T1420" s="33" t="s">
        <v>2073</v>
      </c>
      <c r="U1420" s="34">
        <v>1454.16038</v>
      </c>
      <c r="V1420" s="7"/>
      <c r="W1420" s="7" t="str">
        <f>VLOOKUP($Q1420,Mapping!$E$11:$I$96,3,0)</f>
        <v>Augmentation</v>
      </c>
      <c r="X1420" s="7" t="str">
        <f>VLOOKUP($S1420,Mapping!$E$140:$K$2771,5,0)</f>
        <v>Materials</v>
      </c>
      <c r="Y1420" s="7" t="str">
        <f>VLOOKUP($S1420,Mapping!$E$140:$K$2771,7,0)</f>
        <v>ENDirect</v>
      </c>
      <c r="Z1420" s="7" t="str">
        <f>IFERROR(HLOOKUP(X1420,'Calc|Weightings'!$K$5:$M$5,1,0),"Excl")</f>
        <v>Materials</v>
      </c>
      <c r="AA1420" s="7" t="str">
        <f>VLOOKUP(Q1420,Mapping!$E$11:$I$96,5,0)</f>
        <v>SCS</v>
      </c>
      <c r="AC1420" s="111">
        <v>161</v>
      </c>
      <c r="AD1420" s="111" t="s">
        <v>2171</v>
      </c>
      <c r="AE1420" s="111">
        <v>520100</v>
      </c>
      <c r="AF1420" s="111" t="s">
        <v>2072</v>
      </c>
      <c r="AG1420" s="112">
        <v>440.16633000000002</v>
      </c>
      <c r="AI1420" s="7" t="str">
        <f>VLOOKUP($AC1420,Mapping!$E$11:$I$96,3,0)</f>
        <v>Augmentation</v>
      </c>
      <c r="AJ1420" s="7" t="str">
        <f>VLOOKUP($AE1420,Mapping!$E$140:$K$2771,5,0)</f>
        <v>Materials</v>
      </c>
      <c r="AK1420" s="7" t="str">
        <f>VLOOKUP($AE1420,Mapping!$E$140:$K$2771,7,0)</f>
        <v>ENDirect</v>
      </c>
      <c r="AL1420" s="7" t="str">
        <f>IFERROR(HLOOKUP(AJ1420,'Calc|Weightings'!$K$5:$M$5,1,0),"Excl")</f>
        <v>Materials</v>
      </c>
      <c r="AM1420" s="7" t="str">
        <f>VLOOKUP(AC1420,Mapping!$E$11:$I$96,5,0)</f>
        <v>SCS</v>
      </c>
      <c r="AO1420" s="134">
        <v>162</v>
      </c>
      <c r="AP1420" s="135" t="s">
        <v>2172</v>
      </c>
      <c r="AQ1420" s="135">
        <v>613566</v>
      </c>
      <c r="AR1420" s="135" t="s">
        <v>1482</v>
      </c>
      <c r="AS1420" s="136">
        <v>44.965780000000002</v>
      </c>
      <c r="AU1420" s="7" t="str">
        <f>VLOOKUP($AO1420,Mapping!$E$11:$I$96,3,0)</f>
        <v>Augmentation</v>
      </c>
      <c r="AV1420" s="7" t="str">
        <f>VLOOKUP($AQ1420,Mapping!$E$140:$K$2771,5,0)</f>
        <v>Labour</v>
      </c>
      <c r="AW1420" s="7" t="str">
        <f>VLOOKUP($AQ1420,Mapping!$E$140:$K$2771,7,0)</f>
        <v>ENDirect</v>
      </c>
      <c r="AX1420" s="7" t="str">
        <f>IFERROR(HLOOKUP(AV1420,'Calc|Weightings'!$K$5:$M$5,1,0),"Excl")</f>
        <v>Labour</v>
      </c>
      <c r="AY1420" s="7" t="str">
        <f>VLOOKUP(AO1420,Mapping!$E$11:$I$96,5,0)</f>
        <v>SCS</v>
      </c>
    </row>
    <row r="1421" spans="1:51" x14ac:dyDescent="0.2">
      <c r="A1421" s="7"/>
      <c r="B1421" s="7"/>
      <c r="C1421" s="7"/>
      <c r="D1421" s="7"/>
      <c r="E1421" s="36">
        <v>150</v>
      </c>
      <c r="F1421" s="36" t="s">
        <v>2159</v>
      </c>
      <c r="G1421" s="36">
        <v>613271</v>
      </c>
      <c r="H1421" s="36" t="s">
        <v>2150</v>
      </c>
      <c r="I1421" s="37">
        <v>1.8898900000000001</v>
      </c>
      <c r="J1421" s="7"/>
      <c r="K1421" s="7" t="str">
        <f>VLOOKUP($E1421,Mapping!$E$11:$I$96,3,0)</f>
        <v>Replacement</v>
      </c>
      <c r="L1421" s="7" t="str">
        <f>VLOOKUP($G1421,Mapping!$E$140:$K$2771,5,0)</f>
        <v>Labour</v>
      </c>
      <c r="M1421" s="7" t="str">
        <f>VLOOKUP($G1421,Mapping!$E$140:$K$2771,7,0)</f>
        <v>ENDirect</v>
      </c>
      <c r="N1421" s="7" t="str">
        <f>IFERROR(HLOOKUP(L1421,'Calc|Weightings'!$K$5:$M$5,1,0),"Excl")</f>
        <v>Labour</v>
      </c>
      <c r="O1421" s="7" t="str">
        <f>VLOOKUP(E1421,Mapping!$E$11:$I$96,5,0)</f>
        <v>SCS</v>
      </c>
      <c r="Q1421" s="33">
        <v>161</v>
      </c>
      <c r="R1421" s="33" t="s">
        <v>2171</v>
      </c>
      <c r="S1421" s="33">
        <v>522300</v>
      </c>
      <c r="T1421" s="33" t="s">
        <v>2191</v>
      </c>
      <c r="U1421" s="34">
        <v>7.6024000000000003</v>
      </c>
      <c r="V1421" s="7"/>
      <c r="W1421" s="7" t="str">
        <f>VLOOKUP($Q1421,Mapping!$E$11:$I$96,3,0)</f>
        <v>Augmentation</v>
      </c>
      <c r="X1421" s="7" t="str">
        <f>VLOOKUP($S1421,Mapping!$E$140:$K$2771,5,0)</f>
        <v>Materials</v>
      </c>
      <c r="Y1421" s="7" t="str">
        <f>VLOOKUP($S1421,Mapping!$E$140:$K$2771,7,0)</f>
        <v>ENDirect</v>
      </c>
      <c r="Z1421" s="7" t="str">
        <f>IFERROR(HLOOKUP(X1421,'Calc|Weightings'!$K$5:$M$5,1,0),"Excl")</f>
        <v>Materials</v>
      </c>
      <c r="AA1421" s="7" t="str">
        <f>VLOOKUP(Q1421,Mapping!$E$11:$I$96,5,0)</f>
        <v>SCS</v>
      </c>
      <c r="AC1421" s="111">
        <v>161</v>
      </c>
      <c r="AD1421" s="111" t="s">
        <v>2171</v>
      </c>
      <c r="AE1421" s="111">
        <v>520200</v>
      </c>
      <c r="AF1421" s="111" t="s">
        <v>2073</v>
      </c>
      <c r="AG1421" s="112">
        <v>17.653700000000001</v>
      </c>
      <c r="AI1421" s="7" t="str">
        <f>VLOOKUP($AC1421,Mapping!$E$11:$I$96,3,0)</f>
        <v>Augmentation</v>
      </c>
      <c r="AJ1421" s="7" t="str">
        <f>VLOOKUP($AE1421,Mapping!$E$140:$K$2771,5,0)</f>
        <v>Materials</v>
      </c>
      <c r="AK1421" s="7" t="str">
        <f>VLOOKUP($AE1421,Mapping!$E$140:$K$2771,7,0)</f>
        <v>ENDirect</v>
      </c>
      <c r="AL1421" s="7" t="str">
        <f>IFERROR(HLOOKUP(AJ1421,'Calc|Weightings'!$K$5:$M$5,1,0),"Excl")</f>
        <v>Materials</v>
      </c>
      <c r="AM1421" s="7" t="str">
        <f>VLOOKUP(AC1421,Mapping!$E$11:$I$96,5,0)</f>
        <v>SCS</v>
      </c>
      <c r="AO1421" s="134">
        <v>162</v>
      </c>
      <c r="AP1421" s="135" t="s">
        <v>2172</v>
      </c>
      <c r="AQ1421" s="135">
        <v>613567</v>
      </c>
      <c r="AR1421" s="135" t="s">
        <v>1483</v>
      </c>
      <c r="AS1421" s="136">
        <v>15.277850000000001</v>
      </c>
      <c r="AU1421" s="7" t="str">
        <f>VLOOKUP($AO1421,Mapping!$E$11:$I$96,3,0)</f>
        <v>Augmentation</v>
      </c>
      <c r="AV1421" s="7" t="str">
        <f>VLOOKUP($AQ1421,Mapping!$E$140:$K$2771,5,0)</f>
        <v>Labour</v>
      </c>
      <c r="AW1421" s="7" t="str">
        <f>VLOOKUP($AQ1421,Mapping!$E$140:$K$2771,7,0)</f>
        <v>ENDirect</v>
      </c>
      <c r="AX1421" s="7" t="str">
        <f>IFERROR(HLOOKUP(AV1421,'Calc|Weightings'!$K$5:$M$5,1,0),"Excl")</f>
        <v>Labour</v>
      </c>
      <c r="AY1421" s="7" t="str">
        <f>VLOOKUP(AO1421,Mapping!$E$11:$I$96,5,0)</f>
        <v>SCS</v>
      </c>
    </row>
    <row r="1422" spans="1:51" x14ac:dyDescent="0.2">
      <c r="A1422" s="7"/>
      <c r="B1422" s="7"/>
      <c r="C1422" s="7"/>
      <c r="D1422" s="7"/>
      <c r="E1422" s="36">
        <v>150</v>
      </c>
      <c r="F1422" s="36" t="s">
        <v>2159</v>
      </c>
      <c r="G1422" s="36">
        <v>613278</v>
      </c>
      <c r="H1422" s="36" t="s">
        <v>2357</v>
      </c>
      <c r="I1422" s="37">
        <v>10.17728</v>
      </c>
      <c r="J1422" s="7"/>
      <c r="K1422" s="7" t="str">
        <f>VLOOKUP($E1422,Mapping!$E$11:$I$96,3,0)</f>
        <v>Replacement</v>
      </c>
      <c r="L1422" s="7" t="str">
        <f>VLOOKUP($G1422,Mapping!$E$140:$K$2771,5,0)</f>
        <v>Labour</v>
      </c>
      <c r="M1422" s="7" t="str">
        <f>VLOOKUP($G1422,Mapping!$E$140:$K$2771,7,0)</f>
        <v>ENDirect</v>
      </c>
      <c r="N1422" s="7" t="str">
        <f>IFERROR(HLOOKUP(L1422,'Calc|Weightings'!$K$5:$M$5,1,0),"Excl")</f>
        <v>Labour</v>
      </c>
      <c r="O1422" s="7" t="str">
        <f>VLOOKUP(E1422,Mapping!$E$11:$I$96,5,0)</f>
        <v>SCS</v>
      </c>
      <c r="Q1422" s="33">
        <v>161</v>
      </c>
      <c r="R1422" s="33" t="s">
        <v>2171</v>
      </c>
      <c r="S1422" s="33">
        <v>523100</v>
      </c>
      <c r="T1422" s="33" t="s">
        <v>2074</v>
      </c>
      <c r="U1422" s="34">
        <v>8.1637799999999991</v>
      </c>
      <c r="V1422" s="7"/>
      <c r="W1422" s="7" t="str">
        <f>VLOOKUP($Q1422,Mapping!$E$11:$I$96,3,0)</f>
        <v>Augmentation</v>
      </c>
      <c r="X1422" s="7" t="str">
        <f>VLOOKUP($S1422,Mapping!$E$140:$K$2771,5,0)</f>
        <v>Materials</v>
      </c>
      <c r="Y1422" s="7" t="str">
        <f>VLOOKUP($S1422,Mapping!$E$140:$K$2771,7,0)</f>
        <v>ENDirect</v>
      </c>
      <c r="Z1422" s="7" t="str">
        <f>IFERROR(HLOOKUP(X1422,'Calc|Weightings'!$K$5:$M$5,1,0),"Excl")</f>
        <v>Materials</v>
      </c>
      <c r="AA1422" s="7" t="str">
        <f>VLOOKUP(Q1422,Mapping!$E$11:$I$96,5,0)</f>
        <v>SCS</v>
      </c>
      <c r="AC1422" s="111">
        <v>161</v>
      </c>
      <c r="AD1422" s="111" t="s">
        <v>2171</v>
      </c>
      <c r="AE1422" s="111">
        <v>522100</v>
      </c>
      <c r="AF1422" s="111" t="s">
        <v>2115</v>
      </c>
      <c r="AG1422" s="112">
        <v>1.3440000000000001E-2</v>
      </c>
      <c r="AI1422" s="7" t="str">
        <f>VLOOKUP($AC1422,Mapping!$E$11:$I$96,3,0)</f>
        <v>Augmentation</v>
      </c>
      <c r="AJ1422" s="7" t="str">
        <f>VLOOKUP($AE1422,Mapping!$E$140:$K$2771,5,0)</f>
        <v>Materials</v>
      </c>
      <c r="AK1422" s="7" t="str">
        <f>VLOOKUP($AE1422,Mapping!$E$140:$K$2771,7,0)</f>
        <v>ENDirect</v>
      </c>
      <c r="AL1422" s="7" t="str">
        <f>IFERROR(HLOOKUP(AJ1422,'Calc|Weightings'!$K$5:$M$5,1,0),"Excl")</f>
        <v>Materials</v>
      </c>
      <c r="AM1422" s="7" t="str">
        <f>VLOOKUP(AC1422,Mapping!$E$11:$I$96,5,0)</f>
        <v>SCS</v>
      </c>
      <c r="AO1422" s="134">
        <v>162</v>
      </c>
      <c r="AP1422" s="135" t="s">
        <v>2172</v>
      </c>
      <c r="AQ1422" s="135">
        <v>613570</v>
      </c>
      <c r="AR1422" s="135" t="s">
        <v>1484</v>
      </c>
      <c r="AS1422" s="136">
        <v>7.6932200000000002</v>
      </c>
      <c r="AU1422" s="7" t="str">
        <f>VLOOKUP($AO1422,Mapping!$E$11:$I$96,3,0)</f>
        <v>Augmentation</v>
      </c>
      <c r="AV1422" s="7" t="str">
        <f>VLOOKUP($AQ1422,Mapping!$E$140:$K$2771,5,0)</f>
        <v>Labour</v>
      </c>
      <c r="AW1422" s="7" t="str">
        <f>VLOOKUP($AQ1422,Mapping!$E$140:$K$2771,7,0)</f>
        <v>ENDirect</v>
      </c>
      <c r="AX1422" s="7" t="str">
        <f>IFERROR(HLOOKUP(AV1422,'Calc|Weightings'!$K$5:$M$5,1,0),"Excl")</f>
        <v>Labour</v>
      </c>
      <c r="AY1422" s="7" t="str">
        <f>VLOOKUP(AO1422,Mapping!$E$11:$I$96,5,0)</f>
        <v>SCS</v>
      </c>
    </row>
    <row r="1423" spans="1:51" x14ac:dyDescent="0.2">
      <c r="A1423" s="7"/>
      <c r="B1423" s="7"/>
      <c r="C1423" s="7"/>
      <c r="D1423" s="7"/>
      <c r="E1423" s="36">
        <v>150</v>
      </c>
      <c r="F1423" s="36" t="s">
        <v>2159</v>
      </c>
      <c r="G1423" s="36">
        <v>613279</v>
      </c>
      <c r="H1423" s="36" t="s">
        <v>2360</v>
      </c>
      <c r="I1423" s="37">
        <v>1.2599100000000001</v>
      </c>
      <c r="J1423" s="7"/>
      <c r="K1423" s="7" t="str">
        <f>VLOOKUP($E1423,Mapping!$E$11:$I$96,3,0)</f>
        <v>Replacement</v>
      </c>
      <c r="L1423" s="7" t="str">
        <f>VLOOKUP($G1423,Mapping!$E$140:$K$2771,5,0)</f>
        <v>Labour</v>
      </c>
      <c r="M1423" s="7" t="str">
        <f>VLOOKUP($G1423,Mapping!$E$140:$K$2771,7,0)</f>
        <v>ENDirect</v>
      </c>
      <c r="N1423" s="7" t="str">
        <f>IFERROR(HLOOKUP(L1423,'Calc|Weightings'!$K$5:$M$5,1,0),"Excl")</f>
        <v>Labour</v>
      </c>
      <c r="O1423" s="7" t="str">
        <f>VLOOKUP(E1423,Mapping!$E$11:$I$96,5,0)</f>
        <v>SCS</v>
      </c>
      <c r="Q1423" s="33">
        <v>161</v>
      </c>
      <c r="R1423" s="33" t="s">
        <v>2171</v>
      </c>
      <c r="S1423" s="33">
        <v>531000</v>
      </c>
      <c r="T1423" s="33" t="s">
        <v>242</v>
      </c>
      <c r="U1423" s="34">
        <v>41.20966</v>
      </c>
      <c r="V1423" s="7"/>
      <c r="W1423" s="7" t="str">
        <f>VLOOKUP($Q1423,Mapping!$E$11:$I$96,3,0)</f>
        <v>Augmentation</v>
      </c>
      <c r="X1423" s="7" t="str">
        <f>VLOOKUP($S1423,Mapping!$E$140:$K$2771,5,0)</f>
        <v>Contracts</v>
      </c>
      <c r="Y1423" s="7" t="str">
        <f>VLOOKUP($S1423,Mapping!$E$140:$K$2771,7,0)</f>
        <v>ENDirect</v>
      </c>
      <c r="Z1423" s="7" t="str">
        <f>IFERROR(HLOOKUP(X1423,'Calc|Weightings'!$K$5:$M$5,1,0),"Excl")</f>
        <v>Contracts</v>
      </c>
      <c r="AA1423" s="7" t="str">
        <f>VLOOKUP(Q1423,Mapping!$E$11:$I$96,5,0)</f>
        <v>SCS</v>
      </c>
      <c r="AC1423" s="111">
        <v>161</v>
      </c>
      <c r="AD1423" s="111" t="s">
        <v>2171</v>
      </c>
      <c r="AE1423" s="111">
        <v>522200</v>
      </c>
      <c r="AF1423" s="111" t="s">
        <v>2121</v>
      </c>
      <c r="AG1423" s="112">
        <v>2647.87012</v>
      </c>
      <c r="AI1423" s="7" t="str">
        <f>VLOOKUP($AC1423,Mapping!$E$11:$I$96,3,0)</f>
        <v>Augmentation</v>
      </c>
      <c r="AJ1423" s="7" t="str">
        <f>VLOOKUP($AE1423,Mapping!$E$140:$K$2771,5,0)</f>
        <v>Materials</v>
      </c>
      <c r="AK1423" s="7" t="str">
        <f>VLOOKUP($AE1423,Mapping!$E$140:$K$2771,7,0)</f>
        <v>ENDirect</v>
      </c>
      <c r="AL1423" s="7" t="str">
        <f>IFERROR(HLOOKUP(AJ1423,'Calc|Weightings'!$K$5:$M$5,1,0),"Excl")</f>
        <v>Materials</v>
      </c>
      <c r="AM1423" s="7" t="str">
        <f>VLOOKUP(AC1423,Mapping!$E$11:$I$96,5,0)</f>
        <v>SCS</v>
      </c>
      <c r="AO1423" s="134">
        <v>162</v>
      </c>
      <c r="AP1423" s="135" t="s">
        <v>2172</v>
      </c>
      <c r="AQ1423" s="135">
        <v>613571</v>
      </c>
      <c r="AR1423" s="135" t="s">
        <v>1485</v>
      </c>
      <c r="AS1423" s="136">
        <v>1.17726</v>
      </c>
      <c r="AU1423" s="7" t="str">
        <f>VLOOKUP($AO1423,Mapping!$E$11:$I$96,3,0)</f>
        <v>Augmentation</v>
      </c>
      <c r="AV1423" s="7" t="str">
        <f>VLOOKUP($AQ1423,Mapping!$E$140:$K$2771,5,0)</f>
        <v>Labour</v>
      </c>
      <c r="AW1423" s="7" t="str">
        <f>VLOOKUP($AQ1423,Mapping!$E$140:$K$2771,7,0)</f>
        <v>ENDirect</v>
      </c>
      <c r="AX1423" s="7" t="str">
        <f>IFERROR(HLOOKUP(AV1423,'Calc|Weightings'!$K$5:$M$5,1,0),"Excl")</f>
        <v>Labour</v>
      </c>
      <c r="AY1423" s="7" t="str">
        <f>VLOOKUP(AO1423,Mapping!$E$11:$I$96,5,0)</f>
        <v>SCS</v>
      </c>
    </row>
    <row r="1424" spans="1:51" x14ac:dyDescent="0.2">
      <c r="A1424" s="7"/>
      <c r="B1424" s="7"/>
      <c r="C1424" s="7"/>
      <c r="D1424" s="7"/>
      <c r="E1424" s="36">
        <v>150</v>
      </c>
      <c r="F1424" s="36" t="s">
        <v>2159</v>
      </c>
      <c r="G1424" s="36">
        <v>613280</v>
      </c>
      <c r="H1424" s="36" t="s">
        <v>1342</v>
      </c>
      <c r="I1424" s="37">
        <v>0.96220000000000006</v>
      </c>
      <c r="J1424" s="7"/>
      <c r="K1424" s="7" t="str">
        <f>VLOOKUP($E1424,Mapping!$E$11:$I$96,3,0)</f>
        <v>Replacement</v>
      </c>
      <c r="L1424" s="7" t="str">
        <f>VLOOKUP($G1424,Mapping!$E$140:$K$2771,5,0)</f>
        <v>Labour</v>
      </c>
      <c r="M1424" s="7" t="str">
        <f>VLOOKUP($G1424,Mapping!$E$140:$K$2771,7,0)</f>
        <v>ENDirect</v>
      </c>
      <c r="N1424" s="7" t="str">
        <f>IFERROR(HLOOKUP(L1424,'Calc|Weightings'!$K$5:$M$5,1,0),"Excl")</f>
        <v>Labour</v>
      </c>
      <c r="O1424" s="7" t="str">
        <f>VLOOKUP(E1424,Mapping!$E$11:$I$96,5,0)</f>
        <v>SCS</v>
      </c>
      <c r="Q1424" s="33">
        <v>161</v>
      </c>
      <c r="R1424" s="33" t="s">
        <v>2171</v>
      </c>
      <c r="S1424" s="33">
        <v>531020</v>
      </c>
      <c r="T1424" s="33" t="s">
        <v>219</v>
      </c>
      <c r="U1424" s="34">
        <v>-7.4442899999999996</v>
      </c>
      <c r="V1424" s="7"/>
      <c r="W1424" s="7" t="str">
        <f>VLOOKUP($Q1424,Mapping!$E$11:$I$96,3,0)</f>
        <v>Augmentation</v>
      </c>
      <c r="X1424" s="7" t="str">
        <f>VLOOKUP($S1424,Mapping!$E$140:$K$2771,5,0)</f>
        <v>Labour</v>
      </c>
      <c r="Y1424" s="7" t="str">
        <f>VLOOKUP($S1424,Mapping!$E$140:$K$2771,7,0)</f>
        <v>ENDirect</v>
      </c>
      <c r="Z1424" s="7" t="str">
        <f>IFERROR(HLOOKUP(X1424,'Calc|Weightings'!$K$5:$M$5,1,0),"Excl")</f>
        <v>Labour</v>
      </c>
      <c r="AA1424" s="7" t="str">
        <f>VLOOKUP(Q1424,Mapping!$E$11:$I$96,5,0)</f>
        <v>SCS</v>
      </c>
      <c r="AC1424" s="111">
        <v>161</v>
      </c>
      <c r="AD1424" s="111" t="s">
        <v>2171</v>
      </c>
      <c r="AE1424" s="111">
        <v>523100</v>
      </c>
      <c r="AF1424" s="111" t="s">
        <v>2074</v>
      </c>
      <c r="AG1424" s="112">
        <v>7.0218800000000003</v>
      </c>
      <c r="AI1424" s="7" t="str">
        <f>VLOOKUP($AC1424,Mapping!$E$11:$I$96,3,0)</f>
        <v>Augmentation</v>
      </c>
      <c r="AJ1424" s="7" t="str">
        <f>VLOOKUP($AE1424,Mapping!$E$140:$K$2771,5,0)</f>
        <v>Materials</v>
      </c>
      <c r="AK1424" s="7" t="str">
        <f>VLOOKUP($AE1424,Mapping!$E$140:$K$2771,7,0)</f>
        <v>ENDirect</v>
      </c>
      <c r="AL1424" s="7" t="str">
        <f>IFERROR(HLOOKUP(AJ1424,'Calc|Weightings'!$K$5:$M$5,1,0),"Excl")</f>
        <v>Materials</v>
      </c>
      <c r="AM1424" s="7" t="str">
        <f>VLOOKUP(AC1424,Mapping!$E$11:$I$96,5,0)</f>
        <v>SCS</v>
      </c>
      <c r="AO1424" s="134">
        <v>162</v>
      </c>
      <c r="AP1424" s="135" t="s">
        <v>2172</v>
      </c>
      <c r="AQ1424" s="135">
        <v>613574</v>
      </c>
      <c r="AR1424" s="135" t="s">
        <v>1488</v>
      </c>
      <c r="AS1424" s="136">
        <v>49.69444</v>
      </c>
      <c r="AU1424" s="7" t="str">
        <f>VLOOKUP($AO1424,Mapping!$E$11:$I$96,3,0)</f>
        <v>Augmentation</v>
      </c>
      <c r="AV1424" s="7" t="str">
        <f>VLOOKUP($AQ1424,Mapping!$E$140:$K$2771,5,0)</f>
        <v>Labour</v>
      </c>
      <c r="AW1424" s="7" t="str">
        <f>VLOOKUP($AQ1424,Mapping!$E$140:$K$2771,7,0)</f>
        <v>ENDirect</v>
      </c>
      <c r="AX1424" s="7" t="str">
        <f>IFERROR(HLOOKUP(AV1424,'Calc|Weightings'!$K$5:$M$5,1,0),"Excl")</f>
        <v>Labour</v>
      </c>
      <c r="AY1424" s="7" t="str">
        <f>VLOOKUP(AO1424,Mapping!$E$11:$I$96,5,0)</f>
        <v>SCS</v>
      </c>
    </row>
    <row r="1425" spans="1:51" x14ac:dyDescent="0.2">
      <c r="A1425" s="7"/>
      <c r="B1425" s="7"/>
      <c r="C1425" s="7"/>
      <c r="D1425" s="7"/>
      <c r="E1425" s="36">
        <v>150</v>
      </c>
      <c r="F1425" s="36" t="s">
        <v>2159</v>
      </c>
      <c r="G1425" s="36">
        <v>613290</v>
      </c>
      <c r="H1425" s="36" t="s">
        <v>2093</v>
      </c>
      <c r="I1425" s="37">
        <v>45.06165</v>
      </c>
      <c r="J1425" s="7"/>
      <c r="K1425" s="7" t="str">
        <f>VLOOKUP($E1425,Mapping!$E$11:$I$96,3,0)</f>
        <v>Replacement</v>
      </c>
      <c r="L1425" s="7" t="str">
        <f>VLOOKUP($G1425,Mapping!$E$140:$K$2771,5,0)</f>
        <v>Labour</v>
      </c>
      <c r="M1425" s="7" t="str">
        <f>VLOOKUP($G1425,Mapping!$E$140:$K$2771,7,0)</f>
        <v>ENDirect</v>
      </c>
      <c r="N1425" s="7" t="str">
        <f>IFERROR(HLOOKUP(L1425,'Calc|Weightings'!$K$5:$M$5,1,0),"Excl")</f>
        <v>Labour</v>
      </c>
      <c r="O1425" s="7" t="str">
        <f>VLOOKUP(E1425,Mapping!$E$11:$I$96,5,0)</f>
        <v>SCS</v>
      </c>
      <c r="Q1425" s="33">
        <v>161</v>
      </c>
      <c r="R1425" s="33" t="s">
        <v>2171</v>
      </c>
      <c r="S1425" s="33">
        <v>531200</v>
      </c>
      <c r="T1425" s="33" t="s">
        <v>250</v>
      </c>
      <c r="U1425" s="34">
        <v>-1.0000000000000001E-5</v>
      </c>
      <c r="V1425" s="7"/>
      <c r="W1425" s="7" t="str">
        <f>VLOOKUP($Q1425,Mapping!$E$11:$I$96,3,0)</f>
        <v>Augmentation</v>
      </c>
      <c r="X1425" s="7" t="str">
        <f>VLOOKUP($S1425,Mapping!$E$140:$K$2771,5,0)</f>
        <v>Contracts</v>
      </c>
      <c r="Y1425" s="7" t="str">
        <f>VLOOKUP($S1425,Mapping!$E$140:$K$2771,7,0)</f>
        <v>ENDirect</v>
      </c>
      <c r="Z1425" s="7" t="str">
        <f>IFERROR(HLOOKUP(X1425,'Calc|Weightings'!$K$5:$M$5,1,0),"Excl")</f>
        <v>Contracts</v>
      </c>
      <c r="AA1425" s="7" t="str">
        <f>VLOOKUP(Q1425,Mapping!$E$11:$I$96,5,0)</f>
        <v>SCS</v>
      </c>
      <c r="AC1425" s="111">
        <v>161</v>
      </c>
      <c r="AD1425" s="111" t="s">
        <v>2171</v>
      </c>
      <c r="AE1425" s="111">
        <v>531000</v>
      </c>
      <c r="AF1425" s="111" t="s">
        <v>242</v>
      </c>
      <c r="AG1425" s="112">
        <v>227.29129</v>
      </c>
      <c r="AI1425" s="7" t="str">
        <f>VLOOKUP($AC1425,Mapping!$E$11:$I$96,3,0)</f>
        <v>Augmentation</v>
      </c>
      <c r="AJ1425" s="7" t="str">
        <f>VLOOKUP($AE1425,Mapping!$E$140:$K$2771,5,0)</f>
        <v>Contracts</v>
      </c>
      <c r="AK1425" s="7" t="str">
        <f>VLOOKUP($AE1425,Mapping!$E$140:$K$2771,7,0)</f>
        <v>ENDirect</v>
      </c>
      <c r="AL1425" s="7" t="str">
        <f>IFERROR(HLOOKUP(AJ1425,'Calc|Weightings'!$K$5:$M$5,1,0),"Excl")</f>
        <v>Contracts</v>
      </c>
      <c r="AM1425" s="7" t="str">
        <f>VLOOKUP(AC1425,Mapping!$E$11:$I$96,5,0)</f>
        <v>SCS</v>
      </c>
      <c r="AO1425" s="134">
        <v>162</v>
      </c>
      <c r="AP1425" s="135" t="s">
        <v>2172</v>
      </c>
      <c r="AQ1425" s="135">
        <v>613575</v>
      </c>
      <c r="AR1425" s="135" t="s">
        <v>1489</v>
      </c>
      <c r="AS1425" s="136">
        <v>15.334569999999999</v>
      </c>
      <c r="AU1425" s="7" t="str">
        <f>VLOOKUP($AO1425,Mapping!$E$11:$I$96,3,0)</f>
        <v>Augmentation</v>
      </c>
      <c r="AV1425" s="7" t="str">
        <f>VLOOKUP($AQ1425,Mapping!$E$140:$K$2771,5,0)</f>
        <v>Labour</v>
      </c>
      <c r="AW1425" s="7" t="str">
        <f>VLOOKUP($AQ1425,Mapping!$E$140:$K$2771,7,0)</f>
        <v>ENDirect</v>
      </c>
      <c r="AX1425" s="7" t="str">
        <f>IFERROR(HLOOKUP(AV1425,'Calc|Weightings'!$K$5:$M$5,1,0),"Excl")</f>
        <v>Labour</v>
      </c>
      <c r="AY1425" s="7" t="str">
        <f>VLOOKUP(AO1425,Mapping!$E$11:$I$96,5,0)</f>
        <v>SCS</v>
      </c>
    </row>
    <row r="1426" spans="1:51" x14ac:dyDescent="0.2">
      <c r="A1426" s="7"/>
      <c r="B1426" s="7"/>
      <c r="C1426" s="7"/>
      <c r="D1426" s="7"/>
      <c r="E1426" s="36">
        <v>150</v>
      </c>
      <c r="F1426" s="36" t="s">
        <v>2159</v>
      </c>
      <c r="G1426" s="36">
        <v>613291</v>
      </c>
      <c r="H1426" s="36" t="s">
        <v>2094</v>
      </c>
      <c r="I1426" s="37">
        <v>0.23347999999999999</v>
      </c>
      <c r="J1426" s="7"/>
      <c r="K1426" s="7" t="str">
        <f>VLOOKUP($E1426,Mapping!$E$11:$I$96,3,0)</f>
        <v>Replacement</v>
      </c>
      <c r="L1426" s="7" t="str">
        <f>VLOOKUP($G1426,Mapping!$E$140:$K$2771,5,0)</f>
        <v>Labour</v>
      </c>
      <c r="M1426" s="7" t="str">
        <f>VLOOKUP($G1426,Mapping!$E$140:$K$2771,7,0)</f>
        <v>ENDirect</v>
      </c>
      <c r="N1426" s="7" t="str">
        <f>IFERROR(HLOOKUP(L1426,'Calc|Weightings'!$K$5:$M$5,1,0),"Excl")</f>
        <v>Labour</v>
      </c>
      <c r="O1426" s="7" t="str">
        <f>VLOOKUP(E1426,Mapping!$E$11:$I$96,5,0)</f>
        <v>SCS</v>
      </c>
      <c r="Q1426" s="33">
        <v>161</v>
      </c>
      <c r="R1426" s="33" t="s">
        <v>2171</v>
      </c>
      <c r="S1426" s="33">
        <v>531464</v>
      </c>
      <c r="T1426" s="33" t="s">
        <v>256</v>
      </c>
      <c r="U1426" s="34">
        <v>177.96413000000001</v>
      </c>
      <c r="V1426" s="7"/>
      <c r="W1426" s="7" t="str">
        <f>VLOOKUP($Q1426,Mapping!$E$11:$I$96,3,0)</f>
        <v>Augmentation</v>
      </c>
      <c r="X1426" s="7" t="str">
        <f>VLOOKUP($S1426,Mapping!$E$140:$K$2771,5,0)</f>
        <v>Contracts</v>
      </c>
      <c r="Y1426" s="7" t="str">
        <f>VLOOKUP($S1426,Mapping!$E$140:$K$2771,7,0)</f>
        <v>ENDirect</v>
      </c>
      <c r="Z1426" s="7" t="str">
        <f>IFERROR(HLOOKUP(X1426,'Calc|Weightings'!$K$5:$M$5,1,0),"Excl")</f>
        <v>Contracts</v>
      </c>
      <c r="AA1426" s="7" t="str">
        <f>VLOOKUP(Q1426,Mapping!$E$11:$I$96,5,0)</f>
        <v>SCS</v>
      </c>
      <c r="AC1426" s="111">
        <v>161</v>
      </c>
      <c r="AD1426" s="111" t="s">
        <v>2171</v>
      </c>
      <c r="AE1426" s="111">
        <v>531020</v>
      </c>
      <c r="AF1426" s="111" t="s">
        <v>219</v>
      </c>
      <c r="AG1426" s="112">
        <v>24.087</v>
      </c>
      <c r="AI1426" s="7" t="str">
        <f>VLOOKUP($AC1426,Mapping!$E$11:$I$96,3,0)</f>
        <v>Augmentation</v>
      </c>
      <c r="AJ1426" s="7" t="str">
        <f>VLOOKUP($AE1426,Mapping!$E$140:$K$2771,5,0)</f>
        <v>Labour</v>
      </c>
      <c r="AK1426" s="7" t="str">
        <f>VLOOKUP($AE1426,Mapping!$E$140:$K$2771,7,0)</f>
        <v>ENDirect</v>
      </c>
      <c r="AL1426" s="7" t="str">
        <f>IFERROR(HLOOKUP(AJ1426,'Calc|Weightings'!$K$5:$M$5,1,0),"Excl")</f>
        <v>Labour</v>
      </c>
      <c r="AM1426" s="7" t="str">
        <f>VLOOKUP(AC1426,Mapping!$E$11:$I$96,5,0)</f>
        <v>SCS</v>
      </c>
      <c r="AO1426" s="134">
        <v>162</v>
      </c>
      <c r="AP1426" s="135" t="s">
        <v>2172</v>
      </c>
      <c r="AQ1426" s="135">
        <v>613576</v>
      </c>
      <c r="AR1426" s="135" t="s">
        <v>1490</v>
      </c>
      <c r="AS1426" s="136">
        <v>86.030100000000004</v>
      </c>
      <c r="AU1426" s="7" t="str">
        <f>VLOOKUP($AO1426,Mapping!$E$11:$I$96,3,0)</f>
        <v>Augmentation</v>
      </c>
      <c r="AV1426" s="7" t="str">
        <f>VLOOKUP($AQ1426,Mapping!$E$140:$K$2771,5,0)</f>
        <v>Labour</v>
      </c>
      <c r="AW1426" s="7" t="str">
        <f>VLOOKUP($AQ1426,Mapping!$E$140:$K$2771,7,0)</f>
        <v>ENDirect</v>
      </c>
      <c r="AX1426" s="7" t="str">
        <f>IFERROR(HLOOKUP(AV1426,'Calc|Weightings'!$K$5:$M$5,1,0),"Excl")</f>
        <v>Labour</v>
      </c>
      <c r="AY1426" s="7" t="str">
        <f>VLOOKUP(AO1426,Mapping!$E$11:$I$96,5,0)</f>
        <v>SCS</v>
      </c>
    </row>
    <row r="1427" spans="1:51" x14ac:dyDescent="0.2">
      <c r="A1427" s="7"/>
      <c r="B1427" s="7"/>
      <c r="C1427" s="7"/>
      <c r="D1427" s="7"/>
      <c r="E1427" s="36">
        <v>150</v>
      </c>
      <c r="F1427" s="36" t="s">
        <v>2159</v>
      </c>
      <c r="G1427" s="36">
        <v>613298</v>
      </c>
      <c r="H1427" s="36" t="s">
        <v>2122</v>
      </c>
      <c r="I1427" s="37">
        <v>129.70398</v>
      </c>
      <c r="J1427" s="7"/>
      <c r="K1427" s="7" t="str">
        <f>VLOOKUP($E1427,Mapping!$E$11:$I$96,3,0)</f>
        <v>Replacement</v>
      </c>
      <c r="L1427" s="7" t="str">
        <f>VLOOKUP($G1427,Mapping!$E$140:$K$2771,5,0)</f>
        <v>Labour</v>
      </c>
      <c r="M1427" s="7" t="str">
        <f>VLOOKUP($G1427,Mapping!$E$140:$K$2771,7,0)</f>
        <v>ENDirect</v>
      </c>
      <c r="N1427" s="7" t="str">
        <f>IFERROR(HLOOKUP(L1427,'Calc|Weightings'!$K$5:$M$5,1,0),"Excl")</f>
        <v>Labour</v>
      </c>
      <c r="O1427" s="7" t="str">
        <f>VLOOKUP(E1427,Mapping!$E$11:$I$96,5,0)</f>
        <v>SCS</v>
      </c>
      <c r="Q1427" s="33">
        <v>161</v>
      </c>
      <c r="R1427" s="33" t="s">
        <v>2171</v>
      </c>
      <c r="S1427" s="33">
        <v>531467</v>
      </c>
      <c r="T1427" s="33" t="s">
        <v>259</v>
      </c>
      <c r="U1427" s="34">
        <v>0.70725000000000005</v>
      </c>
      <c r="V1427" s="7"/>
      <c r="W1427" s="7" t="str">
        <f>VLOOKUP($Q1427,Mapping!$E$11:$I$96,3,0)</f>
        <v>Augmentation</v>
      </c>
      <c r="X1427" s="7" t="str">
        <f>VLOOKUP($S1427,Mapping!$E$140:$K$2771,5,0)</f>
        <v>Contracts</v>
      </c>
      <c r="Y1427" s="7" t="str">
        <f>VLOOKUP($S1427,Mapping!$E$140:$K$2771,7,0)</f>
        <v>ENDirect</v>
      </c>
      <c r="Z1427" s="7" t="str">
        <f>IFERROR(HLOOKUP(X1427,'Calc|Weightings'!$K$5:$M$5,1,0),"Excl")</f>
        <v>Contracts</v>
      </c>
      <c r="AA1427" s="7" t="str">
        <f>VLOOKUP(Q1427,Mapping!$E$11:$I$96,5,0)</f>
        <v>SCS</v>
      </c>
      <c r="AC1427" s="111">
        <v>161</v>
      </c>
      <c r="AD1427" s="111" t="s">
        <v>2171</v>
      </c>
      <c r="AE1427" s="111">
        <v>531035</v>
      </c>
      <c r="AF1427" s="111" t="s">
        <v>244</v>
      </c>
      <c r="AG1427" s="112">
        <v>52.930329999999998</v>
      </c>
      <c r="AI1427" s="7" t="str">
        <f>VLOOKUP($AC1427,Mapping!$E$11:$I$96,3,0)</f>
        <v>Augmentation</v>
      </c>
      <c r="AJ1427" s="7" t="str">
        <f>VLOOKUP($AE1427,Mapping!$E$140:$K$2771,5,0)</f>
        <v>Labour</v>
      </c>
      <c r="AK1427" s="7" t="str">
        <f>VLOOKUP($AE1427,Mapping!$E$140:$K$2771,7,0)</f>
        <v>ENDirect</v>
      </c>
      <c r="AL1427" s="7" t="str">
        <f>IFERROR(HLOOKUP(AJ1427,'Calc|Weightings'!$K$5:$M$5,1,0),"Excl")</f>
        <v>Labour</v>
      </c>
      <c r="AM1427" s="7" t="str">
        <f>VLOOKUP(AC1427,Mapping!$E$11:$I$96,5,0)</f>
        <v>SCS</v>
      </c>
      <c r="AO1427" s="134">
        <v>162</v>
      </c>
      <c r="AP1427" s="135" t="s">
        <v>2172</v>
      </c>
      <c r="AQ1427" s="135">
        <v>613577</v>
      </c>
      <c r="AR1427" s="135" t="s">
        <v>1491</v>
      </c>
      <c r="AS1427" s="136">
        <v>36.182589999999998</v>
      </c>
      <c r="AU1427" s="7" t="str">
        <f>VLOOKUP($AO1427,Mapping!$E$11:$I$96,3,0)</f>
        <v>Augmentation</v>
      </c>
      <c r="AV1427" s="7" t="str">
        <f>VLOOKUP($AQ1427,Mapping!$E$140:$K$2771,5,0)</f>
        <v>Labour</v>
      </c>
      <c r="AW1427" s="7" t="str">
        <f>VLOOKUP($AQ1427,Mapping!$E$140:$K$2771,7,0)</f>
        <v>ENDirect</v>
      </c>
      <c r="AX1427" s="7" t="str">
        <f>IFERROR(HLOOKUP(AV1427,'Calc|Weightings'!$K$5:$M$5,1,0),"Excl")</f>
        <v>Labour</v>
      </c>
      <c r="AY1427" s="7" t="str">
        <f>VLOOKUP(AO1427,Mapping!$E$11:$I$96,5,0)</f>
        <v>SCS</v>
      </c>
    </row>
    <row r="1428" spans="1:51" x14ac:dyDescent="0.2">
      <c r="A1428" s="7"/>
      <c r="B1428" s="7"/>
      <c r="C1428" s="7"/>
      <c r="D1428" s="7"/>
      <c r="E1428" s="36">
        <v>150</v>
      </c>
      <c r="F1428" s="36" t="s">
        <v>2159</v>
      </c>
      <c r="G1428" s="36">
        <v>613310</v>
      </c>
      <c r="H1428" s="36" t="s">
        <v>2095</v>
      </c>
      <c r="I1428" s="37">
        <v>3.3190499999999998</v>
      </c>
      <c r="J1428" s="7"/>
      <c r="K1428" s="7" t="str">
        <f>VLOOKUP($E1428,Mapping!$E$11:$I$96,3,0)</f>
        <v>Replacement</v>
      </c>
      <c r="L1428" s="7" t="str">
        <f>VLOOKUP($G1428,Mapping!$E$140:$K$2771,5,0)</f>
        <v>Labour</v>
      </c>
      <c r="M1428" s="7" t="str">
        <f>VLOOKUP($G1428,Mapping!$E$140:$K$2771,7,0)</f>
        <v>ENDirect</v>
      </c>
      <c r="N1428" s="7" t="str">
        <f>IFERROR(HLOOKUP(L1428,'Calc|Weightings'!$K$5:$M$5,1,0),"Excl")</f>
        <v>Labour</v>
      </c>
      <c r="O1428" s="7" t="str">
        <f>VLOOKUP(E1428,Mapping!$E$11:$I$96,5,0)</f>
        <v>SCS</v>
      </c>
      <c r="Q1428" s="33">
        <v>161</v>
      </c>
      <c r="R1428" s="33" t="s">
        <v>2171</v>
      </c>
      <c r="S1428" s="33">
        <v>531469</v>
      </c>
      <c r="T1428" s="33" t="s">
        <v>261</v>
      </c>
      <c r="U1428" s="34">
        <v>1086.1813400000001</v>
      </c>
      <c r="V1428" s="7"/>
      <c r="W1428" s="7" t="str">
        <f>VLOOKUP($Q1428,Mapping!$E$11:$I$96,3,0)</f>
        <v>Augmentation</v>
      </c>
      <c r="X1428" s="7" t="str">
        <f>VLOOKUP($S1428,Mapping!$E$140:$K$2771,5,0)</f>
        <v>Labour</v>
      </c>
      <c r="Y1428" s="7" t="str">
        <f>VLOOKUP($S1428,Mapping!$E$140:$K$2771,7,0)</f>
        <v>ENDirect</v>
      </c>
      <c r="Z1428" s="7" t="str">
        <f>IFERROR(HLOOKUP(X1428,'Calc|Weightings'!$K$5:$M$5,1,0),"Excl")</f>
        <v>Labour</v>
      </c>
      <c r="AA1428" s="7" t="str">
        <f>VLOOKUP(Q1428,Mapping!$E$11:$I$96,5,0)</f>
        <v>SCS</v>
      </c>
      <c r="AC1428" s="111">
        <v>161</v>
      </c>
      <c r="AD1428" s="111" t="s">
        <v>2171</v>
      </c>
      <c r="AE1428" s="111">
        <v>531200</v>
      </c>
      <c r="AF1428" s="111" t="s">
        <v>250</v>
      </c>
      <c r="AG1428" s="112">
        <v>39.18</v>
      </c>
      <c r="AI1428" s="7" t="str">
        <f>VLOOKUP($AC1428,Mapping!$E$11:$I$96,3,0)</f>
        <v>Augmentation</v>
      </c>
      <c r="AJ1428" s="7" t="str">
        <f>VLOOKUP($AE1428,Mapping!$E$140:$K$2771,5,0)</f>
        <v>Contracts</v>
      </c>
      <c r="AK1428" s="7" t="str">
        <f>VLOOKUP($AE1428,Mapping!$E$140:$K$2771,7,0)</f>
        <v>ENDirect</v>
      </c>
      <c r="AL1428" s="7" t="str">
        <f>IFERROR(HLOOKUP(AJ1428,'Calc|Weightings'!$K$5:$M$5,1,0),"Excl")</f>
        <v>Contracts</v>
      </c>
      <c r="AM1428" s="7" t="str">
        <f>VLOOKUP(AC1428,Mapping!$E$11:$I$96,5,0)</f>
        <v>SCS</v>
      </c>
      <c r="AO1428" s="134">
        <v>162</v>
      </c>
      <c r="AP1428" s="135" t="s">
        <v>2172</v>
      </c>
      <c r="AQ1428" s="135">
        <v>613602</v>
      </c>
      <c r="AR1428" s="135" t="s">
        <v>1494</v>
      </c>
      <c r="AS1428" s="136">
        <v>15.41268</v>
      </c>
      <c r="AU1428" s="7" t="str">
        <f>VLOOKUP($AO1428,Mapping!$E$11:$I$96,3,0)</f>
        <v>Augmentation</v>
      </c>
      <c r="AV1428" s="7" t="str">
        <f>VLOOKUP($AQ1428,Mapping!$E$140:$K$2771,5,0)</f>
        <v>Labour</v>
      </c>
      <c r="AW1428" s="7" t="str">
        <f>VLOOKUP($AQ1428,Mapping!$E$140:$K$2771,7,0)</f>
        <v>ENDirect</v>
      </c>
      <c r="AX1428" s="7" t="str">
        <f>IFERROR(HLOOKUP(AV1428,'Calc|Weightings'!$K$5:$M$5,1,0),"Excl")</f>
        <v>Labour</v>
      </c>
      <c r="AY1428" s="7" t="str">
        <f>VLOOKUP(AO1428,Mapping!$E$11:$I$96,5,0)</f>
        <v>SCS</v>
      </c>
    </row>
    <row r="1429" spans="1:51" x14ac:dyDescent="0.2">
      <c r="A1429" s="7"/>
      <c r="B1429" s="7"/>
      <c r="C1429" s="7"/>
      <c r="D1429" s="7"/>
      <c r="E1429" s="36">
        <v>150</v>
      </c>
      <c r="F1429" s="36" t="s">
        <v>2159</v>
      </c>
      <c r="G1429" s="36">
        <v>613311</v>
      </c>
      <c r="H1429" s="36" t="s">
        <v>2116</v>
      </c>
      <c r="I1429" s="37">
        <v>0.12644</v>
      </c>
      <c r="J1429" s="7"/>
      <c r="K1429" s="7" t="str">
        <f>VLOOKUP($E1429,Mapping!$E$11:$I$96,3,0)</f>
        <v>Replacement</v>
      </c>
      <c r="L1429" s="7" t="str">
        <f>VLOOKUP($G1429,Mapping!$E$140:$K$2771,5,0)</f>
        <v>Labour</v>
      </c>
      <c r="M1429" s="7" t="str">
        <f>VLOOKUP($G1429,Mapping!$E$140:$K$2771,7,0)</f>
        <v>ENDirect</v>
      </c>
      <c r="N1429" s="7" t="str">
        <f>IFERROR(HLOOKUP(L1429,'Calc|Weightings'!$K$5:$M$5,1,0),"Excl")</f>
        <v>Labour</v>
      </c>
      <c r="O1429" s="7" t="str">
        <f>VLOOKUP(E1429,Mapping!$E$11:$I$96,5,0)</f>
        <v>SCS</v>
      </c>
      <c r="Q1429" s="33" t="s">
        <v>2405</v>
      </c>
      <c r="R1429" s="33" t="s">
        <v>2171</v>
      </c>
      <c r="S1429" s="33">
        <v>532500</v>
      </c>
      <c r="T1429" s="33" t="s">
        <v>308</v>
      </c>
      <c r="U1429" s="34">
        <v>24630.534</v>
      </c>
      <c r="V1429" s="7"/>
      <c r="W1429" s="7" t="str">
        <f>VLOOKUP($Q1429,Mapping!$E$11:$I$96,3,0)</f>
        <v>Land</v>
      </c>
      <c r="X1429" s="7" t="str">
        <f>VLOOKUP($S1429,Mapping!$E$140:$K$2771,5,0)</f>
        <v>Contracts</v>
      </c>
      <c r="Y1429" s="7" t="str">
        <f>VLOOKUP($S1429,Mapping!$E$140:$K$2771,7,0)</f>
        <v>ENDirect</v>
      </c>
      <c r="Z1429" s="7" t="str">
        <f>IFERROR(HLOOKUP(X1429,'Calc|Weightings'!$K$5:$M$5,1,0),"Excl")</f>
        <v>Contracts</v>
      </c>
      <c r="AA1429" s="7" t="str">
        <f>VLOOKUP(Q1429,Mapping!$E$11:$I$96,5,0)</f>
        <v>Land</v>
      </c>
      <c r="AC1429" s="111">
        <v>161</v>
      </c>
      <c r="AD1429" s="111" t="s">
        <v>2171</v>
      </c>
      <c r="AE1429" s="111">
        <v>531464</v>
      </c>
      <c r="AF1429" s="111" t="s">
        <v>256</v>
      </c>
      <c r="AG1429" s="112">
        <v>271.3399</v>
      </c>
      <c r="AI1429" s="7" t="str">
        <f>VLOOKUP($AC1429,Mapping!$E$11:$I$96,3,0)</f>
        <v>Augmentation</v>
      </c>
      <c r="AJ1429" s="7" t="str">
        <f>VLOOKUP($AE1429,Mapping!$E$140:$K$2771,5,0)</f>
        <v>Contracts</v>
      </c>
      <c r="AK1429" s="7" t="str">
        <f>VLOOKUP($AE1429,Mapping!$E$140:$K$2771,7,0)</f>
        <v>ENDirect</v>
      </c>
      <c r="AL1429" s="7" t="str">
        <f>IFERROR(HLOOKUP(AJ1429,'Calc|Weightings'!$K$5:$M$5,1,0),"Excl")</f>
        <v>Contracts</v>
      </c>
      <c r="AM1429" s="7" t="str">
        <f>VLOOKUP(AC1429,Mapping!$E$11:$I$96,5,0)</f>
        <v>SCS</v>
      </c>
      <c r="AO1429" s="134">
        <v>162</v>
      </c>
      <c r="AP1429" s="135" t="s">
        <v>2172</v>
      </c>
      <c r="AQ1429" s="135">
        <v>613630</v>
      </c>
      <c r="AR1429" s="135" t="s">
        <v>1498</v>
      </c>
      <c r="AS1429" s="136">
        <v>128.04866999999999</v>
      </c>
      <c r="AU1429" s="7" t="str">
        <f>VLOOKUP($AO1429,Mapping!$E$11:$I$96,3,0)</f>
        <v>Augmentation</v>
      </c>
      <c r="AV1429" s="7" t="str">
        <f>VLOOKUP($AQ1429,Mapping!$E$140:$K$2771,5,0)</f>
        <v>Labour</v>
      </c>
      <c r="AW1429" s="7" t="str">
        <f>VLOOKUP($AQ1429,Mapping!$E$140:$K$2771,7,0)</f>
        <v>ENDirect</v>
      </c>
      <c r="AX1429" s="7" t="str">
        <f>IFERROR(HLOOKUP(AV1429,'Calc|Weightings'!$K$5:$M$5,1,0),"Excl")</f>
        <v>Labour</v>
      </c>
      <c r="AY1429" s="7" t="str">
        <f>VLOOKUP(AO1429,Mapping!$E$11:$I$96,5,0)</f>
        <v>SCS</v>
      </c>
    </row>
    <row r="1430" spans="1:51" x14ac:dyDescent="0.2">
      <c r="A1430" s="7"/>
      <c r="B1430" s="7"/>
      <c r="C1430" s="7"/>
      <c r="D1430" s="7"/>
      <c r="E1430" s="36">
        <v>150</v>
      </c>
      <c r="F1430" s="36" t="s">
        <v>2159</v>
      </c>
      <c r="G1430" s="36">
        <v>613318</v>
      </c>
      <c r="H1430" s="36" t="s">
        <v>1360</v>
      </c>
      <c r="I1430" s="37">
        <v>42.009650000000001</v>
      </c>
      <c r="J1430" s="7"/>
      <c r="K1430" s="7" t="str">
        <f>VLOOKUP($E1430,Mapping!$E$11:$I$96,3,0)</f>
        <v>Replacement</v>
      </c>
      <c r="L1430" s="7" t="str">
        <f>VLOOKUP($G1430,Mapping!$E$140:$K$2771,5,0)</f>
        <v>Labour</v>
      </c>
      <c r="M1430" s="7" t="str">
        <f>VLOOKUP($G1430,Mapping!$E$140:$K$2771,7,0)</f>
        <v>ENDirect</v>
      </c>
      <c r="N1430" s="7" t="str">
        <f>IFERROR(HLOOKUP(L1430,'Calc|Weightings'!$K$5:$M$5,1,0),"Excl")</f>
        <v>Labour</v>
      </c>
      <c r="O1430" s="7" t="str">
        <f>VLOOKUP(E1430,Mapping!$E$11:$I$96,5,0)</f>
        <v>SCS</v>
      </c>
      <c r="Q1430" s="33">
        <v>161</v>
      </c>
      <c r="R1430" s="33" t="s">
        <v>2171</v>
      </c>
      <c r="S1430" s="33">
        <v>531480</v>
      </c>
      <c r="T1430" s="33" t="s">
        <v>2076</v>
      </c>
      <c r="U1430" s="34">
        <v>33.950000000000003</v>
      </c>
      <c r="V1430" s="7"/>
      <c r="W1430" s="7" t="str">
        <f>VLOOKUP($Q1430,Mapping!$E$11:$I$96,3,0)</f>
        <v>Augmentation</v>
      </c>
      <c r="X1430" s="7" t="str">
        <f>VLOOKUP($S1430,Mapping!$E$140:$K$2771,5,0)</f>
        <v>Labour</v>
      </c>
      <c r="Y1430" s="7" t="str">
        <f>VLOOKUP($S1430,Mapping!$E$140:$K$2771,7,0)</f>
        <v>ENDirect</v>
      </c>
      <c r="Z1430" s="7" t="str">
        <f>IFERROR(HLOOKUP(X1430,'Calc|Weightings'!$K$5:$M$5,1,0),"Excl")</f>
        <v>Labour</v>
      </c>
      <c r="AA1430" s="7" t="str">
        <f>VLOOKUP(Q1430,Mapping!$E$11:$I$96,5,0)</f>
        <v>SCS</v>
      </c>
      <c r="AC1430" s="111">
        <v>161</v>
      </c>
      <c r="AD1430" s="111" t="s">
        <v>2171</v>
      </c>
      <c r="AE1430" s="111">
        <v>531466</v>
      </c>
      <c r="AF1430" s="111" t="s">
        <v>258</v>
      </c>
      <c r="AG1430" s="112">
        <v>0.77046000000000003</v>
      </c>
      <c r="AI1430" s="7" t="str">
        <f>VLOOKUP($AC1430,Mapping!$E$11:$I$96,3,0)</f>
        <v>Augmentation</v>
      </c>
      <c r="AJ1430" s="7" t="str">
        <f>VLOOKUP($AE1430,Mapping!$E$140:$K$2771,5,0)</f>
        <v>Contracts</v>
      </c>
      <c r="AK1430" s="7" t="str">
        <f>VLOOKUP($AE1430,Mapping!$E$140:$K$2771,7,0)</f>
        <v>ENDirect</v>
      </c>
      <c r="AL1430" s="7" t="str">
        <f>IFERROR(HLOOKUP(AJ1430,'Calc|Weightings'!$K$5:$M$5,1,0),"Excl")</f>
        <v>Contracts</v>
      </c>
      <c r="AM1430" s="7" t="str">
        <f>VLOOKUP(AC1430,Mapping!$E$11:$I$96,5,0)</f>
        <v>SCS</v>
      </c>
      <c r="AO1430" s="134">
        <v>162</v>
      </c>
      <c r="AP1430" s="135" t="s">
        <v>2172</v>
      </c>
      <c r="AQ1430" s="135">
        <v>613640</v>
      </c>
      <c r="AR1430" s="135" t="s">
        <v>2201</v>
      </c>
      <c r="AS1430" s="136">
        <v>2.47214</v>
      </c>
      <c r="AU1430" s="7" t="str">
        <f>VLOOKUP($AO1430,Mapping!$E$11:$I$96,3,0)</f>
        <v>Augmentation</v>
      </c>
      <c r="AV1430" s="7" t="str">
        <f>VLOOKUP($AQ1430,Mapping!$E$140:$K$2771,5,0)</f>
        <v>Labour</v>
      </c>
      <c r="AW1430" s="7" t="str">
        <f>VLOOKUP($AQ1430,Mapping!$E$140:$K$2771,7,0)</f>
        <v>ENDirect</v>
      </c>
      <c r="AX1430" s="7" t="str">
        <f>IFERROR(HLOOKUP(AV1430,'Calc|Weightings'!$K$5:$M$5,1,0),"Excl")</f>
        <v>Labour</v>
      </c>
      <c r="AY1430" s="7" t="str">
        <f>VLOOKUP(AO1430,Mapping!$E$11:$I$96,5,0)</f>
        <v>SCS</v>
      </c>
    </row>
    <row r="1431" spans="1:51" x14ac:dyDescent="0.2">
      <c r="A1431" s="7"/>
      <c r="B1431" s="7"/>
      <c r="C1431" s="7"/>
      <c r="D1431" s="7"/>
      <c r="E1431" s="36">
        <v>150</v>
      </c>
      <c r="F1431" s="36" t="s">
        <v>2159</v>
      </c>
      <c r="G1431" s="36">
        <v>613319</v>
      </c>
      <c r="H1431" s="36" t="s">
        <v>2358</v>
      </c>
      <c r="I1431" s="37">
        <v>1.3908400000000001</v>
      </c>
      <c r="J1431" s="7"/>
      <c r="K1431" s="7" t="str">
        <f>VLOOKUP($E1431,Mapping!$E$11:$I$96,3,0)</f>
        <v>Replacement</v>
      </c>
      <c r="L1431" s="7" t="str">
        <f>VLOOKUP($G1431,Mapping!$E$140:$K$2771,5,0)</f>
        <v>Labour</v>
      </c>
      <c r="M1431" s="7" t="str">
        <f>VLOOKUP($G1431,Mapping!$E$140:$K$2771,7,0)</f>
        <v>ENDirect</v>
      </c>
      <c r="N1431" s="7" t="str">
        <f>IFERROR(HLOOKUP(L1431,'Calc|Weightings'!$K$5:$M$5,1,0),"Excl")</f>
        <v>Labour</v>
      </c>
      <c r="O1431" s="7" t="str">
        <f>VLOOKUP(E1431,Mapping!$E$11:$I$96,5,0)</f>
        <v>SCS</v>
      </c>
      <c r="Q1431" s="33">
        <v>161</v>
      </c>
      <c r="R1431" s="33" t="s">
        <v>2171</v>
      </c>
      <c r="S1431" s="33">
        <v>532200</v>
      </c>
      <c r="T1431" s="33" t="s">
        <v>291</v>
      </c>
      <c r="U1431" s="34">
        <v>1.1050899999999999</v>
      </c>
      <c r="V1431" s="7"/>
      <c r="W1431" s="7" t="str">
        <f>VLOOKUP($Q1431,Mapping!$E$11:$I$96,3,0)</f>
        <v>Augmentation</v>
      </c>
      <c r="X1431" s="7" t="str">
        <f>VLOOKUP($S1431,Mapping!$E$140:$K$2771,5,0)</f>
        <v>Contracts</v>
      </c>
      <c r="Y1431" s="7" t="str">
        <f>VLOOKUP($S1431,Mapping!$E$140:$K$2771,7,0)</f>
        <v>ENDirect</v>
      </c>
      <c r="Z1431" s="7" t="str">
        <f>IFERROR(HLOOKUP(X1431,'Calc|Weightings'!$K$5:$M$5,1,0),"Excl")</f>
        <v>Contracts</v>
      </c>
      <c r="AA1431" s="7" t="str">
        <f>VLOOKUP(Q1431,Mapping!$E$11:$I$96,5,0)</f>
        <v>SCS</v>
      </c>
      <c r="AC1431" s="111">
        <v>161</v>
      </c>
      <c r="AD1431" s="111" t="s">
        <v>2171</v>
      </c>
      <c r="AE1431" s="111">
        <v>531467</v>
      </c>
      <c r="AF1431" s="111" t="s">
        <v>259</v>
      </c>
      <c r="AG1431" s="112">
        <v>5.3803599999999996</v>
      </c>
      <c r="AI1431" s="7" t="str">
        <f>VLOOKUP($AC1431,Mapping!$E$11:$I$96,3,0)</f>
        <v>Augmentation</v>
      </c>
      <c r="AJ1431" s="7" t="str">
        <f>VLOOKUP($AE1431,Mapping!$E$140:$K$2771,5,0)</f>
        <v>Contracts</v>
      </c>
      <c r="AK1431" s="7" t="str">
        <f>VLOOKUP($AE1431,Mapping!$E$140:$K$2771,7,0)</f>
        <v>ENDirect</v>
      </c>
      <c r="AL1431" s="7" t="str">
        <f>IFERROR(HLOOKUP(AJ1431,'Calc|Weightings'!$K$5:$M$5,1,0),"Excl")</f>
        <v>Contracts</v>
      </c>
      <c r="AM1431" s="7" t="str">
        <f>VLOOKUP(AC1431,Mapping!$E$11:$I$96,5,0)</f>
        <v>SCS</v>
      </c>
      <c r="AO1431" s="134">
        <v>162</v>
      </c>
      <c r="AP1431" s="135" t="s">
        <v>2172</v>
      </c>
      <c r="AQ1431" s="135">
        <v>613680</v>
      </c>
      <c r="AR1431" s="135" t="s">
        <v>2107</v>
      </c>
      <c r="AS1431" s="136">
        <v>330.68004000000002</v>
      </c>
      <c r="AU1431" s="7" t="str">
        <f>VLOOKUP($AO1431,Mapping!$E$11:$I$96,3,0)</f>
        <v>Augmentation</v>
      </c>
      <c r="AV1431" s="7" t="str">
        <f>VLOOKUP($AQ1431,Mapping!$E$140:$K$2771,5,0)</f>
        <v>Labour</v>
      </c>
      <c r="AW1431" s="7" t="str">
        <f>VLOOKUP($AQ1431,Mapping!$E$140:$K$2771,7,0)</f>
        <v>ENDirect</v>
      </c>
      <c r="AX1431" s="7" t="str">
        <f>IFERROR(HLOOKUP(AV1431,'Calc|Weightings'!$K$5:$M$5,1,0),"Excl")</f>
        <v>Labour</v>
      </c>
      <c r="AY1431" s="7" t="str">
        <f>VLOOKUP(AO1431,Mapping!$E$11:$I$96,5,0)</f>
        <v>SCS</v>
      </c>
    </row>
    <row r="1432" spans="1:51" x14ac:dyDescent="0.2">
      <c r="A1432" s="7"/>
      <c r="B1432" s="7"/>
      <c r="C1432" s="7"/>
      <c r="D1432" s="7"/>
      <c r="E1432" s="36">
        <v>150</v>
      </c>
      <c r="F1432" s="36" t="s">
        <v>2159</v>
      </c>
      <c r="G1432" s="36">
        <v>613350</v>
      </c>
      <c r="H1432" s="36" t="s">
        <v>2096</v>
      </c>
      <c r="I1432" s="37">
        <v>5.0880700000000001</v>
      </c>
      <c r="J1432" s="7"/>
      <c r="K1432" s="7" t="str">
        <f>VLOOKUP($E1432,Mapping!$E$11:$I$96,3,0)</f>
        <v>Replacement</v>
      </c>
      <c r="L1432" s="7" t="str">
        <f>VLOOKUP($G1432,Mapping!$E$140:$K$2771,5,0)</f>
        <v>Labour</v>
      </c>
      <c r="M1432" s="7" t="str">
        <f>VLOOKUP($G1432,Mapping!$E$140:$K$2771,7,0)</f>
        <v>ENDirect</v>
      </c>
      <c r="N1432" s="7" t="str">
        <f>IFERROR(HLOOKUP(L1432,'Calc|Weightings'!$K$5:$M$5,1,0),"Excl")</f>
        <v>Labour</v>
      </c>
      <c r="O1432" s="7" t="str">
        <f>VLOOKUP(E1432,Mapping!$E$11:$I$96,5,0)</f>
        <v>SCS</v>
      </c>
      <c r="Q1432" s="33">
        <v>161</v>
      </c>
      <c r="R1432" s="33" t="s">
        <v>2171</v>
      </c>
      <c r="S1432" s="33">
        <v>532420</v>
      </c>
      <c r="T1432" s="33" t="s">
        <v>307</v>
      </c>
      <c r="U1432" s="34">
        <v>2.1366399999999999</v>
      </c>
      <c r="V1432" s="7"/>
      <c r="W1432" s="7" t="str">
        <f>VLOOKUP($Q1432,Mapping!$E$11:$I$96,3,0)</f>
        <v>Augmentation</v>
      </c>
      <c r="X1432" s="7" t="str">
        <f>VLOOKUP($S1432,Mapping!$E$140:$K$2771,5,0)</f>
        <v>Contracts</v>
      </c>
      <c r="Y1432" s="7" t="str">
        <f>VLOOKUP($S1432,Mapping!$E$140:$K$2771,7,0)</f>
        <v>ENDirect</v>
      </c>
      <c r="Z1432" s="7" t="str">
        <f>IFERROR(HLOOKUP(X1432,'Calc|Weightings'!$K$5:$M$5,1,0),"Excl")</f>
        <v>Contracts</v>
      </c>
      <c r="AA1432" s="7" t="str">
        <f>VLOOKUP(Q1432,Mapping!$E$11:$I$96,5,0)</f>
        <v>SCS</v>
      </c>
      <c r="AC1432" s="111">
        <v>161</v>
      </c>
      <c r="AD1432" s="111" t="s">
        <v>2171</v>
      </c>
      <c r="AE1432" s="111">
        <v>531468</v>
      </c>
      <c r="AF1432" s="111" t="s">
        <v>260</v>
      </c>
      <c r="AG1432" s="112">
        <v>18.199960000000001</v>
      </c>
      <c r="AI1432" s="7" t="str">
        <f>VLOOKUP($AC1432,Mapping!$E$11:$I$96,3,0)</f>
        <v>Augmentation</v>
      </c>
      <c r="AJ1432" s="7" t="str">
        <f>VLOOKUP($AE1432,Mapping!$E$140:$K$2771,5,0)</f>
        <v>Contracts</v>
      </c>
      <c r="AK1432" s="7" t="str">
        <f>VLOOKUP($AE1432,Mapping!$E$140:$K$2771,7,0)</f>
        <v>ENDirect</v>
      </c>
      <c r="AL1432" s="7" t="str">
        <f>IFERROR(HLOOKUP(AJ1432,'Calc|Weightings'!$K$5:$M$5,1,0),"Excl")</f>
        <v>Contracts</v>
      </c>
      <c r="AM1432" s="7" t="str">
        <f>VLOOKUP(AC1432,Mapping!$E$11:$I$96,5,0)</f>
        <v>SCS</v>
      </c>
      <c r="AO1432" s="134">
        <v>162</v>
      </c>
      <c r="AP1432" s="135" t="s">
        <v>2172</v>
      </c>
      <c r="AQ1432" s="135">
        <v>615370</v>
      </c>
      <c r="AR1432" s="135" t="s">
        <v>2422</v>
      </c>
      <c r="AS1432" s="136">
        <v>0.78029999999999999</v>
      </c>
      <c r="AU1432" s="7" t="str">
        <f>VLOOKUP($AO1432,Mapping!$E$11:$I$96,3,0)</f>
        <v>Augmentation</v>
      </c>
      <c r="AV1432" s="7" t="str">
        <f>VLOOKUP($AQ1432,Mapping!$E$140:$K$2771,5,0)</f>
        <v>Contracts</v>
      </c>
      <c r="AW1432" s="7" t="str">
        <f>VLOOKUP($AQ1432,Mapping!$E$140:$K$2771,7,0)</f>
        <v>ENDirect</v>
      </c>
      <c r="AX1432" s="7" t="str">
        <f>IFERROR(HLOOKUP(AV1432,'Calc|Weightings'!$K$5:$M$5,1,0),"Excl")</f>
        <v>Contracts</v>
      </c>
      <c r="AY1432" s="7" t="str">
        <f>VLOOKUP(AO1432,Mapping!$E$11:$I$96,5,0)</f>
        <v>SCS</v>
      </c>
    </row>
    <row r="1433" spans="1:51" x14ac:dyDescent="0.2">
      <c r="A1433" s="7"/>
      <c r="B1433" s="7"/>
      <c r="C1433" s="7"/>
      <c r="D1433" s="7"/>
      <c r="E1433" s="36">
        <v>150</v>
      </c>
      <c r="F1433" s="36" t="s">
        <v>2159</v>
      </c>
      <c r="G1433" s="36">
        <v>613360</v>
      </c>
      <c r="H1433" s="36" t="s">
        <v>2097</v>
      </c>
      <c r="I1433" s="37">
        <v>3.1326800000000001</v>
      </c>
      <c r="J1433" s="7"/>
      <c r="K1433" s="7" t="str">
        <f>VLOOKUP($E1433,Mapping!$E$11:$I$96,3,0)</f>
        <v>Replacement</v>
      </c>
      <c r="L1433" s="7" t="str">
        <f>VLOOKUP($G1433,Mapping!$E$140:$K$2771,5,0)</f>
        <v>Labour</v>
      </c>
      <c r="M1433" s="7" t="str">
        <f>VLOOKUP($G1433,Mapping!$E$140:$K$2771,7,0)</f>
        <v>ENDirect</v>
      </c>
      <c r="N1433" s="7" t="str">
        <f>IFERROR(HLOOKUP(L1433,'Calc|Weightings'!$K$5:$M$5,1,0),"Excl")</f>
        <v>Labour</v>
      </c>
      <c r="O1433" s="7" t="str">
        <f>VLOOKUP(E1433,Mapping!$E$11:$I$96,5,0)</f>
        <v>SCS</v>
      </c>
      <c r="Q1433" s="33">
        <v>161</v>
      </c>
      <c r="R1433" s="33" t="s">
        <v>2171</v>
      </c>
      <c r="S1433" s="33">
        <v>591997</v>
      </c>
      <c r="T1433" s="33" t="s">
        <v>399</v>
      </c>
      <c r="U1433" s="34">
        <v>-0.82625000000000004</v>
      </c>
      <c r="V1433" s="7"/>
      <c r="W1433" s="7" t="str">
        <f>VLOOKUP($Q1433,Mapping!$E$11:$I$96,3,0)</f>
        <v>Augmentation</v>
      </c>
      <c r="X1433" s="7" t="str">
        <f>VLOOKUP($S1433,Mapping!$E$140:$K$2771,5,0)</f>
        <v>Contracts</v>
      </c>
      <c r="Y1433" s="7" t="str">
        <f>VLOOKUP($S1433,Mapping!$E$140:$K$2771,7,0)</f>
        <v>ENDirect</v>
      </c>
      <c r="Z1433" s="7" t="str">
        <f>IFERROR(HLOOKUP(X1433,'Calc|Weightings'!$K$5:$M$5,1,0),"Excl")</f>
        <v>Contracts</v>
      </c>
      <c r="AA1433" s="7" t="str">
        <f>VLOOKUP(Q1433,Mapping!$E$11:$I$96,5,0)</f>
        <v>SCS</v>
      </c>
      <c r="AC1433" s="111">
        <v>161</v>
      </c>
      <c r="AD1433" s="111" t="s">
        <v>2171</v>
      </c>
      <c r="AE1433" s="111">
        <v>531469</v>
      </c>
      <c r="AF1433" s="111" t="s">
        <v>261</v>
      </c>
      <c r="AG1433" s="112">
        <v>1463.63418</v>
      </c>
      <c r="AI1433" s="7" t="str">
        <f>VLOOKUP($AC1433,Mapping!$E$11:$I$96,3,0)</f>
        <v>Augmentation</v>
      </c>
      <c r="AJ1433" s="7" t="str">
        <f>VLOOKUP($AE1433,Mapping!$E$140:$K$2771,5,0)</f>
        <v>Labour</v>
      </c>
      <c r="AK1433" s="7" t="str">
        <f>VLOOKUP($AE1433,Mapping!$E$140:$K$2771,7,0)</f>
        <v>ENDirect</v>
      </c>
      <c r="AL1433" s="7" t="str">
        <f>IFERROR(HLOOKUP(AJ1433,'Calc|Weightings'!$K$5:$M$5,1,0),"Excl")</f>
        <v>Labour</v>
      </c>
      <c r="AM1433" s="7" t="str">
        <f>VLOOKUP(AC1433,Mapping!$E$11:$I$96,5,0)</f>
        <v>SCS</v>
      </c>
      <c r="AO1433" s="134">
        <v>162</v>
      </c>
      <c r="AP1433" s="135" t="s">
        <v>2172</v>
      </c>
      <c r="AQ1433" s="135">
        <v>615395</v>
      </c>
      <c r="AR1433" s="135" t="s">
        <v>2196</v>
      </c>
      <c r="AS1433" s="136">
        <v>1.1526000000000001</v>
      </c>
      <c r="AU1433" s="7" t="str">
        <f>VLOOKUP($AO1433,Mapping!$E$11:$I$96,3,0)</f>
        <v>Augmentation</v>
      </c>
      <c r="AV1433" s="7" t="str">
        <f>VLOOKUP($AQ1433,Mapping!$E$140:$K$2771,5,0)</f>
        <v>Labour</v>
      </c>
      <c r="AW1433" s="7" t="str">
        <f>VLOOKUP($AQ1433,Mapping!$E$140:$K$2771,7,0)</f>
        <v>ENDirect</v>
      </c>
      <c r="AX1433" s="7" t="str">
        <f>IFERROR(HLOOKUP(AV1433,'Calc|Weightings'!$K$5:$M$5,1,0),"Excl")</f>
        <v>Labour</v>
      </c>
      <c r="AY1433" s="7" t="str">
        <f>VLOOKUP(AO1433,Mapping!$E$11:$I$96,5,0)</f>
        <v>SCS</v>
      </c>
    </row>
    <row r="1434" spans="1:51" x14ac:dyDescent="0.2">
      <c r="A1434" s="7"/>
      <c r="B1434" s="7"/>
      <c r="C1434" s="7"/>
      <c r="D1434" s="7"/>
      <c r="E1434" s="36">
        <v>150</v>
      </c>
      <c r="F1434" s="36" t="s">
        <v>2159</v>
      </c>
      <c r="G1434" s="36">
        <v>613408</v>
      </c>
      <c r="H1434" s="36" t="s">
        <v>1418</v>
      </c>
      <c r="I1434" s="37">
        <v>35.356769999999997</v>
      </c>
      <c r="J1434" s="7"/>
      <c r="K1434" s="7" t="str">
        <f>VLOOKUP($E1434,Mapping!$E$11:$I$96,3,0)</f>
        <v>Replacement</v>
      </c>
      <c r="L1434" s="7" t="str">
        <f>VLOOKUP($G1434,Mapping!$E$140:$K$2771,5,0)</f>
        <v>Labour</v>
      </c>
      <c r="M1434" s="7" t="str">
        <f>VLOOKUP($G1434,Mapping!$E$140:$K$2771,7,0)</f>
        <v>ENDirect</v>
      </c>
      <c r="N1434" s="7" t="str">
        <f>IFERROR(HLOOKUP(L1434,'Calc|Weightings'!$K$5:$M$5,1,0),"Excl")</f>
        <v>Labour</v>
      </c>
      <c r="O1434" s="7" t="str">
        <f>VLOOKUP(E1434,Mapping!$E$11:$I$96,5,0)</f>
        <v>SCS</v>
      </c>
      <c r="Q1434" s="33">
        <v>161</v>
      </c>
      <c r="R1434" s="33" t="s">
        <v>2171</v>
      </c>
      <c r="S1434" s="33">
        <v>591998</v>
      </c>
      <c r="T1434" s="33" t="s">
        <v>2077</v>
      </c>
      <c r="U1434" s="34">
        <v>-20.603359999999999</v>
      </c>
      <c r="V1434" s="7"/>
      <c r="W1434" s="7" t="str">
        <f>VLOOKUP($Q1434,Mapping!$E$11:$I$96,3,0)</f>
        <v>Augmentation</v>
      </c>
      <c r="X1434" s="7" t="str">
        <f>VLOOKUP($S1434,Mapping!$E$140:$K$2771,5,0)</f>
        <v>Contracts</v>
      </c>
      <c r="Y1434" s="7" t="str">
        <f>VLOOKUP($S1434,Mapping!$E$140:$K$2771,7,0)</f>
        <v>ENDirect</v>
      </c>
      <c r="Z1434" s="7" t="str">
        <f>IFERROR(HLOOKUP(X1434,'Calc|Weightings'!$K$5:$M$5,1,0),"Excl")</f>
        <v>Contracts</v>
      </c>
      <c r="AA1434" s="7" t="str">
        <f>VLOOKUP(Q1434,Mapping!$E$11:$I$96,5,0)</f>
        <v>SCS</v>
      </c>
      <c r="AC1434" s="111">
        <v>161</v>
      </c>
      <c r="AD1434" s="111" t="s">
        <v>2171</v>
      </c>
      <c r="AE1434" s="111">
        <v>531480</v>
      </c>
      <c r="AF1434" s="111" t="s">
        <v>2076</v>
      </c>
      <c r="AG1434" s="112">
        <v>46.170870000000001</v>
      </c>
      <c r="AI1434" s="7" t="str">
        <f>VLOOKUP($AC1434,Mapping!$E$11:$I$96,3,0)</f>
        <v>Augmentation</v>
      </c>
      <c r="AJ1434" s="7" t="str">
        <f>VLOOKUP($AE1434,Mapping!$E$140:$K$2771,5,0)</f>
        <v>Labour</v>
      </c>
      <c r="AK1434" s="7" t="str">
        <f>VLOOKUP($AE1434,Mapping!$E$140:$K$2771,7,0)</f>
        <v>ENDirect</v>
      </c>
      <c r="AL1434" s="7" t="str">
        <f>IFERROR(HLOOKUP(AJ1434,'Calc|Weightings'!$K$5:$M$5,1,0),"Excl")</f>
        <v>Labour</v>
      </c>
      <c r="AM1434" s="7" t="str">
        <f>VLOOKUP(AC1434,Mapping!$E$11:$I$96,5,0)</f>
        <v>SCS</v>
      </c>
      <c r="AO1434" s="134">
        <v>162</v>
      </c>
      <c r="AP1434" s="135" t="s">
        <v>2172</v>
      </c>
      <c r="AQ1434" s="135">
        <v>634001</v>
      </c>
      <c r="AR1434" s="135" t="s">
        <v>2110</v>
      </c>
      <c r="AS1434" s="136">
        <v>466.71996000000001</v>
      </c>
      <c r="AU1434" s="7" t="str">
        <f>VLOOKUP($AO1434,Mapping!$E$11:$I$96,3,0)</f>
        <v>Augmentation</v>
      </c>
      <c r="AV1434" s="7" t="str">
        <f>VLOOKUP($AQ1434,Mapping!$E$140:$K$2771,5,0)</f>
        <v>Local OH</v>
      </c>
      <c r="AW1434" s="7" t="str">
        <f>VLOOKUP($AQ1434,Mapping!$E$140:$K$2771,7,0)</f>
        <v>OH</v>
      </c>
      <c r="AX1434" s="7" t="str">
        <f>IFERROR(HLOOKUP(AV1434,'Calc|Weightings'!$K$5:$M$5,1,0),"Excl")</f>
        <v>Excl</v>
      </c>
      <c r="AY1434" s="7" t="str">
        <f>VLOOKUP(AO1434,Mapping!$E$11:$I$96,5,0)</f>
        <v>SCS</v>
      </c>
    </row>
    <row r="1435" spans="1:51" x14ac:dyDescent="0.2">
      <c r="A1435" s="7"/>
      <c r="B1435" s="7"/>
      <c r="C1435" s="7"/>
      <c r="D1435" s="7"/>
      <c r="E1435" s="36">
        <v>150</v>
      </c>
      <c r="F1435" s="36" t="s">
        <v>2159</v>
      </c>
      <c r="G1435" s="36">
        <v>613409</v>
      </c>
      <c r="H1435" s="36" t="s">
        <v>1419</v>
      </c>
      <c r="I1435" s="37">
        <v>3.1644600000000001</v>
      </c>
      <c r="J1435" s="7"/>
      <c r="K1435" s="7" t="str">
        <f>VLOOKUP($E1435,Mapping!$E$11:$I$96,3,0)</f>
        <v>Replacement</v>
      </c>
      <c r="L1435" s="7" t="str">
        <f>VLOOKUP($G1435,Mapping!$E$140:$K$2771,5,0)</f>
        <v>Labour</v>
      </c>
      <c r="M1435" s="7" t="str">
        <f>VLOOKUP($G1435,Mapping!$E$140:$K$2771,7,0)</f>
        <v>ENDirect</v>
      </c>
      <c r="N1435" s="7" t="str">
        <f>IFERROR(HLOOKUP(L1435,'Calc|Weightings'!$K$5:$M$5,1,0),"Excl")</f>
        <v>Labour</v>
      </c>
      <c r="O1435" s="7" t="str">
        <f>VLOOKUP(E1435,Mapping!$E$11:$I$96,5,0)</f>
        <v>SCS</v>
      </c>
      <c r="Q1435" s="33">
        <v>161</v>
      </c>
      <c r="R1435" s="33" t="s">
        <v>2171</v>
      </c>
      <c r="S1435" s="33">
        <v>591999</v>
      </c>
      <c r="T1435" s="33" t="s">
        <v>2078</v>
      </c>
      <c r="U1435" s="34">
        <v>-46.516959999999997</v>
      </c>
      <c r="V1435" s="7"/>
      <c r="W1435" s="7" t="str">
        <f>VLOOKUP($Q1435,Mapping!$E$11:$I$96,3,0)</f>
        <v>Augmentation</v>
      </c>
      <c r="X1435" s="7" t="str">
        <f>VLOOKUP($S1435,Mapping!$E$140:$K$2771,5,0)</f>
        <v>Contracts</v>
      </c>
      <c r="Y1435" s="7" t="str">
        <f>VLOOKUP($S1435,Mapping!$E$140:$K$2771,7,0)</f>
        <v>ENDirect</v>
      </c>
      <c r="Z1435" s="7" t="str">
        <f>IFERROR(HLOOKUP(X1435,'Calc|Weightings'!$K$5:$M$5,1,0),"Excl")</f>
        <v>Contracts</v>
      </c>
      <c r="AA1435" s="7" t="str">
        <f>VLOOKUP(Q1435,Mapping!$E$11:$I$96,5,0)</f>
        <v>SCS</v>
      </c>
      <c r="AC1435" s="111">
        <v>161</v>
      </c>
      <c r="AD1435" s="111" t="s">
        <v>2171</v>
      </c>
      <c r="AE1435" s="111">
        <v>532100</v>
      </c>
      <c r="AF1435" s="111" t="s">
        <v>286</v>
      </c>
      <c r="AG1435" s="112">
        <v>4.6940000000000003E-2</v>
      </c>
      <c r="AI1435" s="7" t="str">
        <f>VLOOKUP($AC1435,Mapping!$E$11:$I$96,3,0)</f>
        <v>Augmentation</v>
      </c>
      <c r="AJ1435" s="7" t="str">
        <f>VLOOKUP($AE1435,Mapping!$E$140:$K$2771,5,0)</f>
        <v>Contracts</v>
      </c>
      <c r="AK1435" s="7" t="str">
        <f>VLOOKUP($AE1435,Mapping!$E$140:$K$2771,7,0)</f>
        <v>ENDirect</v>
      </c>
      <c r="AL1435" s="7" t="str">
        <f>IFERROR(HLOOKUP(AJ1435,'Calc|Weightings'!$K$5:$M$5,1,0),"Excl")</f>
        <v>Contracts</v>
      </c>
      <c r="AM1435" s="7" t="str">
        <f>VLOOKUP(AC1435,Mapping!$E$11:$I$96,5,0)</f>
        <v>SCS</v>
      </c>
      <c r="AO1435" s="134">
        <v>162</v>
      </c>
      <c r="AP1435" s="135" t="s">
        <v>2172</v>
      </c>
      <c r="AQ1435" s="135">
        <v>635001</v>
      </c>
      <c r="AR1435" s="135" t="s">
        <v>1929</v>
      </c>
      <c r="AS1435" s="136">
        <v>377.51249000000001</v>
      </c>
      <c r="AU1435" s="7" t="str">
        <f>VLOOKUP($AO1435,Mapping!$E$11:$I$96,3,0)</f>
        <v>Augmentation</v>
      </c>
      <c r="AV1435" s="7" t="str">
        <f>VLOOKUP($AQ1435,Mapping!$E$140:$K$2771,5,0)</f>
        <v>PNS MG</v>
      </c>
      <c r="AW1435" s="7" t="str">
        <f>VLOOKUP($AQ1435,Mapping!$E$140:$K$2771,7,0)</f>
        <v>ENDirect</v>
      </c>
      <c r="AX1435" s="7" t="str">
        <f>IFERROR(HLOOKUP(AV1435,'Calc|Weightings'!$K$5:$M$5,1,0),"Excl")</f>
        <v>Excl</v>
      </c>
      <c r="AY1435" s="7" t="str">
        <f>VLOOKUP(AO1435,Mapping!$E$11:$I$96,5,0)</f>
        <v>SCS</v>
      </c>
    </row>
    <row r="1436" spans="1:51" x14ac:dyDescent="0.2">
      <c r="A1436" s="7"/>
      <c r="B1436" s="7"/>
      <c r="C1436" s="7"/>
      <c r="D1436" s="7"/>
      <c r="E1436" s="36">
        <v>150</v>
      </c>
      <c r="F1436" s="36" t="s">
        <v>2159</v>
      </c>
      <c r="G1436" s="36">
        <v>613418</v>
      </c>
      <c r="H1436" s="36" t="s">
        <v>1424</v>
      </c>
      <c r="I1436" s="37">
        <v>7.9884000000000004</v>
      </c>
      <c r="J1436" s="7"/>
      <c r="K1436" s="7" t="str">
        <f>VLOOKUP($E1436,Mapping!$E$11:$I$96,3,0)</f>
        <v>Replacement</v>
      </c>
      <c r="L1436" s="7" t="str">
        <f>VLOOKUP($G1436,Mapping!$E$140:$K$2771,5,0)</f>
        <v>Labour</v>
      </c>
      <c r="M1436" s="7" t="str">
        <f>VLOOKUP($G1436,Mapping!$E$140:$K$2771,7,0)</f>
        <v>ENDirect</v>
      </c>
      <c r="N1436" s="7" t="str">
        <f>IFERROR(HLOOKUP(L1436,'Calc|Weightings'!$K$5:$M$5,1,0),"Excl")</f>
        <v>Labour</v>
      </c>
      <c r="O1436" s="7" t="str">
        <f>VLOOKUP(E1436,Mapping!$E$11:$I$96,5,0)</f>
        <v>SCS</v>
      </c>
      <c r="Q1436" s="33">
        <v>161</v>
      </c>
      <c r="R1436" s="33" t="s">
        <v>2171</v>
      </c>
      <c r="S1436" s="33">
        <v>611900</v>
      </c>
      <c r="T1436" s="33" t="s">
        <v>2079</v>
      </c>
      <c r="U1436" s="34">
        <v>2.3899400000000002</v>
      </c>
      <c r="V1436" s="7"/>
      <c r="W1436" s="7" t="str">
        <f>VLOOKUP($Q1436,Mapping!$E$11:$I$96,3,0)</f>
        <v>Augmentation</v>
      </c>
      <c r="X1436" s="7" t="str">
        <f>VLOOKUP($S1436,Mapping!$E$140:$K$2771,5,0)</f>
        <v>Contracts</v>
      </c>
      <c r="Y1436" s="7" t="str">
        <f>VLOOKUP($S1436,Mapping!$E$140:$K$2771,7,0)</f>
        <v>ENDirect</v>
      </c>
      <c r="Z1436" s="7" t="str">
        <f>IFERROR(HLOOKUP(X1436,'Calc|Weightings'!$K$5:$M$5,1,0),"Excl")</f>
        <v>Contracts</v>
      </c>
      <c r="AA1436" s="7" t="str">
        <f>VLOOKUP(Q1436,Mapping!$E$11:$I$96,5,0)</f>
        <v>SCS</v>
      </c>
      <c r="AC1436" s="111">
        <v>161</v>
      </c>
      <c r="AD1436" s="111" t="s">
        <v>2171</v>
      </c>
      <c r="AE1436" s="111">
        <v>532140</v>
      </c>
      <c r="AF1436" s="111" t="s">
        <v>288</v>
      </c>
      <c r="AG1436" s="112">
        <v>56.667700000000004</v>
      </c>
      <c r="AI1436" s="7" t="str">
        <f>VLOOKUP($AC1436,Mapping!$E$11:$I$96,3,0)</f>
        <v>Augmentation</v>
      </c>
      <c r="AJ1436" s="7" t="str">
        <f>VLOOKUP($AE1436,Mapping!$E$140:$K$2771,5,0)</f>
        <v>Contracts</v>
      </c>
      <c r="AK1436" s="7" t="str">
        <f>VLOOKUP($AE1436,Mapping!$E$140:$K$2771,7,0)</f>
        <v>ENDirect</v>
      </c>
      <c r="AL1436" s="7" t="str">
        <f>IFERROR(HLOOKUP(AJ1436,'Calc|Weightings'!$K$5:$M$5,1,0),"Excl")</f>
        <v>Contracts</v>
      </c>
      <c r="AM1436" s="7" t="str">
        <f>VLOOKUP(AC1436,Mapping!$E$11:$I$96,5,0)</f>
        <v>SCS</v>
      </c>
      <c r="AO1436" s="134">
        <v>162</v>
      </c>
      <c r="AP1436" s="135" t="s">
        <v>2172</v>
      </c>
      <c r="AQ1436" s="135">
        <v>636001</v>
      </c>
      <c r="AR1436" s="135" t="s">
        <v>2111</v>
      </c>
      <c r="AS1436" s="136">
        <v>320.00238999999999</v>
      </c>
      <c r="AU1436" s="7" t="str">
        <f>VLOOKUP($AO1436,Mapping!$E$11:$I$96,3,0)</f>
        <v>Augmentation</v>
      </c>
      <c r="AV1436" s="7" t="str">
        <f>VLOOKUP($AQ1436,Mapping!$E$140:$K$2771,5,0)</f>
        <v>System Control OH</v>
      </c>
      <c r="AW1436" s="7" t="str">
        <f>VLOOKUP($AQ1436,Mapping!$E$140:$K$2771,7,0)</f>
        <v>OH</v>
      </c>
      <c r="AX1436" s="7" t="str">
        <f>IFERROR(HLOOKUP(AV1436,'Calc|Weightings'!$K$5:$M$5,1,0),"Excl")</f>
        <v>Excl</v>
      </c>
      <c r="AY1436" s="7" t="str">
        <f>VLOOKUP(AO1436,Mapping!$E$11:$I$96,5,0)</f>
        <v>SCS</v>
      </c>
    </row>
    <row r="1437" spans="1:51" x14ac:dyDescent="0.2">
      <c r="A1437" s="7"/>
      <c r="B1437" s="7"/>
      <c r="C1437" s="7"/>
      <c r="D1437" s="7"/>
      <c r="E1437" s="36">
        <v>150</v>
      </c>
      <c r="F1437" s="36" t="s">
        <v>2159</v>
      </c>
      <c r="G1437" s="36">
        <v>613419</v>
      </c>
      <c r="H1437" s="36" t="s">
        <v>1425</v>
      </c>
      <c r="I1437" s="37">
        <v>2.2633800000000002</v>
      </c>
      <c r="J1437" s="7"/>
      <c r="K1437" s="7" t="str">
        <f>VLOOKUP($E1437,Mapping!$E$11:$I$96,3,0)</f>
        <v>Replacement</v>
      </c>
      <c r="L1437" s="7" t="str">
        <f>VLOOKUP($G1437,Mapping!$E$140:$K$2771,5,0)</f>
        <v>Labour</v>
      </c>
      <c r="M1437" s="7" t="str">
        <f>VLOOKUP($G1437,Mapping!$E$140:$K$2771,7,0)</f>
        <v>ENDirect</v>
      </c>
      <c r="N1437" s="7" t="str">
        <f>IFERROR(HLOOKUP(L1437,'Calc|Weightings'!$K$5:$M$5,1,0),"Excl")</f>
        <v>Labour</v>
      </c>
      <c r="O1437" s="7" t="str">
        <f>VLOOKUP(E1437,Mapping!$E$11:$I$96,5,0)</f>
        <v>SCS</v>
      </c>
      <c r="Q1437" s="33">
        <v>161</v>
      </c>
      <c r="R1437" s="33" t="s">
        <v>2171</v>
      </c>
      <c r="S1437" s="33">
        <v>611901</v>
      </c>
      <c r="T1437" s="33" t="s">
        <v>2080</v>
      </c>
      <c r="U1437" s="34">
        <v>12.16713</v>
      </c>
      <c r="V1437" s="7"/>
      <c r="W1437" s="7" t="str">
        <f>VLOOKUP($Q1437,Mapping!$E$11:$I$96,3,0)</f>
        <v>Augmentation</v>
      </c>
      <c r="X1437" s="7" t="str">
        <f>VLOOKUP($S1437,Mapping!$E$140:$K$2771,5,0)</f>
        <v>Contracts</v>
      </c>
      <c r="Y1437" s="7" t="str">
        <f>VLOOKUP($S1437,Mapping!$E$140:$K$2771,7,0)</f>
        <v>ENDirect</v>
      </c>
      <c r="Z1437" s="7" t="str">
        <f>IFERROR(HLOOKUP(X1437,'Calc|Weightings'!$K$5:$M$5,1,0),"Excl")</f>
        <v>Contracts</v>
      </c>
      <c r="AA1437" s="7" t="str">
        <f>VLOOKUP(Q1437,Mapping!$E$11:$I$96,5,0)</f>
        <v>SCS</v>
      </c>
      <c r="AC1437" s="111">
        <v>161</v>
      </c>
      <c r="AD1437" s="111" t="s">
        <v>2171</v>
      </c>
      <c r="AE1437" s="111">
        <v>532200</v>
      </c>
      <c r="AF1437" s="111" t="s">
        <v>291</v>
      </c>
      <c r="AG1437" s="112">
        <v>7.64194</v>
      </c>
      <c r="AI1437" s="7" t="str">
        <f>VLOOKUP($AC1437,Mapping!$E$11:$I$96,3,0)</f>
        <v>Augmentation</v>
      </c>
      <c r="AJ1437" s="7" t="str">
        <f>VLOOKUP($AE1437,Mapping!$E$140:$K$2771,5,0)</f>
        <v>Contracts</v>
      </c>
      <c r="AK1437" s="7" t="str">
        <f>VLOOKUP($AE1437,Mapping!$E$140:$K$2771,7,0)</f>
        <v>ENDirect</v>
      </c>
      <c r="AL1437" s="7" t="str">
        <f>IFERROR(HLOOKUP(AJ1437,'Calc|Weightings'!$K$5:$M$5,1,0),"Excl")</f>
        <v>Contracts</v>
      </c>
      <c r="AM1437" s="7" t="str">
        <f>VLOOKUP(AC1437,Mapping!$E$11:$I$96,5,0)</f>
        <v>SCS</v>
      </c>
      <c r="AO1437" s="134">
        <v>162</v>
      </c>
      <c r="AP1437" s="135" t="s">
        <v>2172</v>
      </c>
      <c r="AQ1437" s="135">
        <v>639000</v>
      </c>
      <c r="AR1437" s="135" t="s">
        <v>2112</v>
      </c>
      <c r="AS1437" s="136">
        <v>294.46458000000001</v>
      </c>
      <c r="AU1437" s="7" t="str">
        <f>VLOOKUP($AO1437,Mapping!$E$11:$I$96,3,0)</f>
        <v>Augmentation</v>
      </c>
      <c r="AV1437" s="7" t="str">
        <f>VLOOKUP($AQ1437,Mapping!$E$140:$K$2771,5,0)</f>
        <v>PNS Corporate OH</v>
      </c>
      <c r="AW1437" s="7" t="str">
        <f>VLOOKUP($AQ1437,Mapping!$E$140:$K$2771,7,0)</f>
        <v>OH</v>
      </c>
      <c r="AX1437" s="7" t="str">
        <f>IFERROR(HLOOKUP(AV1437,'Calc|Weightings'!$K$5:$M$5,1,0),"Excl")</f>
        <v>Excl</v>
      </c>
      <c r="AY1437" s="7" t="str">
        <f>VLOOKUP(AO1437,Mapping!$E$11:$I$96,5,0)</f>
        <v>SCS</v>
      </c>
    </row>
    <row r="1438" spans="1:51" x14ac:dyDescent="0.2">
      <c r="A1438" s="7"/>
      <c r="B1438" s="7"/>
      <c r="C1438" s="7"/>
      <c r="D1438" s="7"/>
      <c r="E1438" s="36">
        <v>150</v>
      </c>
      <c r="F1438" s="36" t="s">
        <v>2159</v>
      </c>
      <c r="G1438" s="36">
        <v>613428</v>
      </c>
      <c r="H1438" s="36" t="s">
        <v>1430</v>
      </c>
      <c r="I1438" s="37">
        <v>11.822139999999999</v>
      </c>
      <c r="J1438" s="7"/>
      <c r="K1438" s="7" t="str">
        <f>VLOOKUP($E1438,Mapping!$E$11:$I$96,3,0)</f>
        <v>Replacement</v>
      </c>
      <c r="L1438" s="7" t="str">
        <f>VLOOKUP($G1438,Mapping!$E$140:$K$2771,5,0)</f>
        <v>Labour</v>
      </c>
      <c r="M1438" s="7" t="str">
        <f>VLOOKUP($G1438,Mapping!$E$140:$K$2771,7,0)</f>
        <v>ENDirect</v>
      </c>
      <c r="N1438" s="7" t="str">
        <f>IFERROR(HLOOKUP(L1438,'Calc|Weightings'!$K$5:$M$5,1,0),"Excl")</f>
        <v>Labour</v>
      </c>
      <c r="O1438" s="7" t="str">
        <f>VLOOKUP(E1438,Mapping!$E$11:$I$96,5,0)</f>
        <v>SCS</v>
      </c>
      <c r="Q1438" s="33">
        <v>161</v>
      </c>
      <c r="R1438" s="33" t="s">
        <v>2171</v>
      </c>
      <c r="S1438" s="33">
        <v>611902</v>
      </c>
      <c r="T1438" s="33" t="s">
        <v>2081</v>
      </c>
      <c r="U1438" s="34">
        <v>34.220590000000001</v>
      </c>
      <c r="V1438" s="7"/>
      <c r="W1438" s="7" t="str">
        <f>VLOOKUP($Q1438,Mapping!$E$11:$I$96,3,0)</f>
        <v>Augmentation</v>
      </c>
      <c r="X1438" s="7" t="str">
        <f>VLOOKUP($S1438,Mapping!$E$140:$K$2771,5,0)</f>
        <v>Contracts</v>
      </c>
      <c r="Y1438" s="7" t="str">
        <f>VLOOKUP($S1438,Mapping!$E$140:$K$2771,7,0)</f>
        <v>ENDirect</v>
      </c>
      <c r="Z1438" s="7" t="str">
        <f>IFERROR(HLOOKUP(X1438,'Calc|Weightings'!$K$5:$M$5,1,0),"Excl")</f>
        <v>Contracts</v>
      </c>
      <c r="AA1438" s="7" t="str">
        <f>VLOOKUP(Q1438,Mapping!$E$11:$I$96,5,0)</f>
        <v>SCS</v>
      </c>
      <c r="AC1438" s="111">
        <v>161</v>
      </c>
      <c r="AD1438" s="111" t="s">
        <v>2171</v>
      </c>
      <c r="AE1438" s="111">
        <v>532360</v>
      </c>
      <c r="AF1438" s="111" t="s">
        <v>2131</v>
      </c>
      <c r="AG1438" s="112">
        <v>0.1239</v>
      </c>
      <c r="AI1438" s="7" t="str">
        <f>VLOOKUP($AC1438,Mapping!$E$11:$I$96,3,0)</f>
        <v>Augmentation</v>
      </c>
      <c r="AJ1438" s="7" t="str">
        <f>VLOOKUP($AE1438,Mapping!$E$140:$K$2771,5,0)</f>
        <v>Contracts</v>
      </c>
      <c r="AK1438" s="7" t="str">
        <f>VLOOKUP($AE1438,Mapping!$E$140:$K$2771,7,0)</f>
        <v>ENDirect</v>
      </c>
      <c r="AL1438" s="7" t="str">
        <f>IFERROR(HLOOKUP(AJ1438,'Calc|Weightings'!$K$5:$M$5,1,0),"Excl")</f>
        <v>Contracts</v>
      </c>
      <c r="AM1438" s="7" t="str">
        <f>VLOOKUP(AC1438,Mapping!$E$11:$I$96,5,0)</f>
        <v>SCS</v>
      </c>
      <c r="AO1438" s="134">
        <v>162</v>
      </c>
      <c r="AP1438" s="135" t="s">
        <v>2172</v>
      </c>
      <c r="AQ1438" s="135">
        <v>639050</v>
      </c>
      <c r="AR1438" s="135" t="s">
        <v>2113</v>
      </c>
      <c r="AS1438" s="136">
        <v>80.241990000000001</v>
      </c>
      <c r="AU1438" s="7" t="str">
        <f>VLOOKUP($AO1438,Mapping!$E$11:$I$96,3,0)</f>
        <v>Augmentation</v>
      </c>
      <c r="AV1438" s="7" t="str">
        <f>VLOOKUP($AQ1438,Mapping!$E$140:$K$2771,5,0)</f>
        <v>PNS Fleet &amp; Property OH</v>
      </c>
      <c r="AW1438" s="7" t="str">
        <f>VLOOKUP($AQ1438,Mapping!$E$140:$K$2771,7,0)</f>
        <v>OH</v>
      </c>
      <c r="AX1438" s="7" t="str">
        <f>IFERROR(HLOOKUP(AV1438,'Calc|Weightings'!$K$5:$M$5,1,0),"Excl")</f>
        <v>Excl</v>
      </c>
      <c r="AY1438" s="7" t="str">
        <f>VLOOKUP(AO1438,Mapping!$E$11:$I$96,5,0)</f>
        <v>SCS</v>
      </c>
    </row>
    <row r="1439" spans="1:51" x14ac:dyDescent="0.2">
      <c r="A1439" s="7"/>
      <c r="B1439" s="7"/>
      <c r="C1439" s="7"/>
      <c r="D1439" s="7"/>
      <c r="E1439" s="36">
        <v>150</v>
      </c>
      <c r="F1439" s="36" t="s">
        <v>2159</v>
      </c>
      <c r="G1439" s="36">
        <v>613429</v>
      </c>
      <c r="H1439" s="36" t="s">
        <v>1431</v>
      </c>
      <c r="I1439" s="37">
        <v>1.7069399999999999</v>
      </c>
      <c r="J1439" s="7"/>
      <c r="K1439" s="7" t="str">
        <f>VLOOKUP($E1439,Mapping!$E$11:$I$96,3,0)</f>
        <v>Replacement</v>
      </c>
      <c r="L1439" s="7" t="str">
        <f>VLOOKUP($G1439,Mapping!$E$140:$K$2771,5,0)</f>
        <v>Labour</v>
      </c>
      <c r="M1439" s="7" t="str">
        <f>VLOOKUP($G1439,Mapping!$E$140:$K$2771,7,0)</f>
        <v>ENDirect</v>
      </c>
      <c r="N1439" s="7" t="str">
        <f>IFERROR(HLOOKUP(L1439,'Calc|Weightings'!$K$5:$M$5,1,0),"Excl")</f>
        <v>Labour</v>
      </c>
      <c r="O1439" s="7" t="str">
        <f>VLOOKUP(E1439,Mapping!$E$11:$I$96,5,0)</f>
        <v>SCS</v>
      </c>
      <c r="Q1439" s="33">
        <v>161</v>
      </c>
      <c r="R1439" s="33" t="s">
        <v>2171</v>
      </c>
      <c r="S1439" s="33">
        <v>612210</v>
      </c>
      <c r="T1439" s="33" t="s">
        <v>1184</v>
      </c>
      <c r="U1439" s="34">
        <v>12.445790000000001</v>
      </c>
      <c r="V1439" s="7"/>
      <c r="W1439" s="7" t="str">
        <f>VLOOKUP($Q1439,Mapping!$E$11:$I$96,3,0)</f>
        <v>Augmentation</v>
      </c>
      <c r="X1439" s="7" t="str">
        <f>VLOOKUP($S1439,Mapping!$E$140:$K$2771,5,0)</f>
        <v>Labour</v>
      </c>
      <c r="Y1439" s="7" t="str">
        <f>VLOOKUP($S1439,Mapping!$E$140:$K$2771,7,0)</f>
        <v>ENDirect</v>
      </c>
      <c r="Z1439" s="7" t="str">
        <f>IFERROR(HLOOKUP(X1439,'Calc|Weightings'!$K$5:$M$5,1,0),"Excl")</f>
        <v>Labour</v>
      </c>
      <c r="AA1439" s="7" t="str">
        <f>VLOOKUP(Q1439,Mapping!$E$11:$I$96,5,0)</f>
        <v>SCS</v>
      </c>
      <c r="AC1439" s="111">
        <v>161</v>
      </c>
      <c r="AD1439" s="111" t="s">
        <v>2171</v>
      </c>
      <c r="AE1439" s="111">
        <v>532420</v>
      </c>
      <c r="AF1439" s="111" t="s">
        <v>307</v>
      </c>
      <c r="AG1439" s="112">
        <v>1.52796</v>
      </c>
      <c r="AI1439" s="7" t="str">
        <f>VLOOKUP($AC1439,Mapping!$E$11:$I$96,3,0)</f>
        <v>Augmentation</v>
      </c>
      <c r="AJ1439" s="7" t="str">
        <f>VLOOKUP($AE1439,Mapping!$E$140:$K$2771,5,0)</f>
        <v>Contracts</v>
      </c>
      <c r="AK1439" s="7" t="str">
        <f>VLOOKUP($AE1439,Mapping!$E$140:$K$2771,7,0)</f>
        <v>ENDirect</v>
      </c>
      <c r="AL1439" s="7" t="str">
        <f>IFERROR(HLOOKUP(AJ1439,'Calc|Weightings'!$K$5:$M$5,1,0),"Excl")</f>
        <v>Contracts</v>
      </c>
      <c r="AM1439" s="7" t="str">
        <f>VLOOKUP(AC1439,Mapping!$E$11:$I$96,5,0)</f>
        <v>SCS</v>
      </c>
      <c r="AO1439" s="134">
        <v>163</v>
      </c>
      <c r="AP1439" s="135" t="s">
        <v>2173</v>
      </c>
      <c r="AQ1439" s="135">
        <v>520100</v>
      </c>
      <c r="AR1439" s="135" t="s">
        <v>2072</v>
      </c>
      <c r="AS1439" s="136">
        <v>215.83404999999999</v>
      </c>
      <c r="AU1439" s="7" t="str">
        <f>VLOOKUP($AO1439,Mapping!$E$11:$I$96,3,0)</f>
        <v>Replacement</v>
      </c>
      <c r="AV1439" s="7" t="str">
        <f>VLOOKUP($AQ1439,Mapping!$E$140:$K$2771,5,0)</f>
        <v>Materials</v>
      </c>
      <c r="AW1439" s="7" t="str">
        <f>VLOOKUP($AQ1439,Mapping!$E$140:$K$2771,7,0)</f>
        <v>ENDirect</v>
      </c>
      <c r="AX1439" s="7" t="str">
        <f>IFERROR(HLOOKUP(AV1439,'Calc|Weightings'!$K$5:$M$5,1,0),"Excl")</f>
        <v>Materials</v>
      </c>
      <c r="AY1439" s="7" t="str">
        <f>VLOOKUP(AO1439,Mapping!$E$11:$I$96,5,0)</f>
        <v>SCS</v>
      </c>
    </row>
    <row r="1440" spans="1:51" x14ac:dyDescent="0.2">
      <c r="A1440" s="7"/>
      <c r="B1440" s="7"/>
      <c r="C1440" s="7"/>
      <c r="D1440" s="7"/>
      <c r="E1440" s="36">
        <v>150</v>
      </c>
      <c r="F1440" s="36" t="s">
        <v>2159</v>
      </c>
      <c r="G1440" s="36">
        <v>613438</v>
      </c>
      <c r="H1440" s="36" t="s">
        <v>1436</v>
      </c>
      <c r="I1440" s="37">
        <v>1.11992</v>
      </c>
      <c r="J1440" s="7"/>
      <c r="K1440" s="7" t="str">
        <f>VLOOKUP($E1440,Mapping!$E$11:$I$96,3,0)</f>
        <v>Replacement</v>
      </c>
      <c r="L1440" s="7" t="str">
        <f>VLOOKUP($G1440,Mapping!$E$140:$K$2771,5,0)</f>
        <v>Labour</v>
      </c>
      <c r="M1440" s="7" t="str">
        <f>VLOOKUP($G1440,Mapping!$E$140:$K$2771,7,0)</f>
        <v>ENDirect</v>
      </c>
      <c r="N1440" s="7" t="str">
        <f>IFERROR(HLOOKUP(L1440,'Calc|Weightings'!$K$5:$M$5,1,0),"Excl")</f>
        <v>Labour</v>
      </c>
      <c r="O1440" s="7" t="str">
        <f>VLOOKUP(E1440,Mapping!$E$11:$I$96,5,0)</f>
        <v>SCS</v>
      </c>
      <c r="Q1440" s="33">
        <v>161</v>
      </c>
      <c r="R1440" s="33" t="s">
        <v>2171</v>
      </c>
      <c r="S1440" s="33">
        <v>613250</v>
      </c>
      <c r="T1440" s="33" t="s">
        <v>2086</v>
      </c>
      <c r="U1440" s="34">
        <v>1.3189</v>
      </c>
      <c r="V1440" s="7"/>
      <c r="W1440" s="7" t="str">
        <f>VLOOKUP($Q1440,Mapping!$E$11:$I$96,3,0)</f>
        <v>Augmentation</v>
      </c>
      <c r="X1440" s="7" t="str">
        <f>VLOOKUP($S1440,Mapping!$E$140:$K$2771,5,0)</f>
        <v>Labour</v>
      </c>
      <c r="Y1440" s="7" t="str">
        <f>VLOOKUP($S1440,Mapping!$E$140:$K$2771,7,0)</f>
        <v>ENDirect</v>
      </c>
      <c r="Z1440" s="7" t="str">
        <f>IFERROR(HLOOKUP(X1440,'Calc|Weightings'!$K$5:$M$5,1,0),"Excl")</f>
        <v>Labour</v>
      </c>
      <c r="AA1440" s="7" t="str">
        <f>VLOOKUP(Q1440,Mapping!$E$11:$I$96,5,0)</f>
        <v>SCS</v>
      </c>
      <c r="AC1440" s="111">
        <v>161</v>
      </c>
      <c r="AD1440" s="111" t="s">
        <v>2171</v>
      </c>
      <c r="AE1440" s="111">
        <v>533200</v>
      </c>
      <c r="AF1440" s="111" t="s">
        <v>322</v>
      </c>
      <c r="AG1440" s="112">
        <v>0.14909</v>
      </c>
      <c r="AI1440" s="7" t="str">
        <f>VLOOKUP($AC1440,Mapping!$E$11:$I$96,3,0)</f>
        <v>Augmentation</v>
      </c>
      <c r="AJ1440" s="7" t="str">
        <f>VLOOKUP($AE1440,Mapping!$E$140:$K$2771,5,0)</f>
        <v>Contracts</v>
      </c>
      <c r="AK1440" s="7" t="str">
        <f>VLOOKUP($AE1440,Mapping!$E$140:$K$2771,7,0)</f>
        <v>ENDirect</v>
      </c>
      <c r="AL1440" s="7" t="str">
        <f>IFERROR(HLOOKUP(AJ1440,'Calc|Weightings'!$K$5:$M$5,1,0),"Excl")</f>
        <v>Contracts</v>
      </c>
      <c r="AM1440" s="7" t="str">
        <f>VLOOKUP(AC1440,Mapping!$E$11:$I$96,5,0)</f>
        <v>SCS</v>
      </c>
      <c r="AO1440" s="134">
        <v>163</v>
      </c>
      <c r="AP1440" s="135" t="s">
        <v>2173</v>
      </c>
      <c r="AQ1440" s="135">
        <v>531000</v>
      </c>
      <c r="AR1440" s="135" t="s">
        <v>242</v>
      </c>
      <c r="AS1440" s="136">
        <v>54.237000000000002</v>
      </c>
      <c r="AU1440" s="7" t="str">
        <f>VLOOKUP($AO1440,Mapping!$E$11:$I$96,3,0)</f>
        <v>Replacement</v>
      </c>
      <c r="AV1440" s="7" t="str">
        <f>VLOOKUP($AQ1440,Mapping!$E$140:$K$2771,5,0)</f>
        <v>Contracts</v>
      </c>
      <c r="AW1440" s="7" t="str">
        <f>VLOOKUP($AQ1440,Mapping!$E$140:$K$2771,7,0)</f>
        <v>ENDirect</v>
      </c>
      <c r="AX1440" s="7" t="str">
        <f>IFERROR(HLOOKUP(AV1440,'Calc|Weightings'!$K$5:$M$5,1,0),"Excl")</f>
        <v>Contracts</v>
      </c>
      <c r="AY1440" s="7" t="str">
        <f>VLOOKUP(AO1440,Mapping!$E$11:$I$96,5,0)</f>
        <v>SCS</v>
      </c>
    </row>
    <row r="1441" spans="1:51" x14ac:dyDescent="0.2">
      <c r="A1441" s="7"/>
      <c r="B1441" s="7"/>
      <c r="C1441" s="7"/>
      <c r="D1441" s="7"/>
      <c r="E1441" s="36">
        <v>150</v>
      </c>
      <c r="F1441" s="36" t="s">
        <v>2159</v>
      </c>
      <c r="G1441" s="36">
        <v>613566</v>
      </c>
      <c r="H1441" s="36" t="s">
        <v>1482</v>
      </c>
      <c r="I1441" s="37">
        <v>0.97367999999999999</v>
      </c>
      <c r="J1441" s="7"/>
      <c r="K1441" s="7" t="str">
        <f>VLOOKUP($E1441,Mapping!$E$11:$I$96,3,0)</f>
        <v>Replacement</v>
      </c>
      <c r="L1441" s="7" t="str">
        <f>VLOOKUP($G1441,Mapping!$E$140:$K$2771,5,0)</f>
        <v>Labour</v>
      </c>
      <c r="M1441" s="7" t="str">
        <f>VLOOKUP($G1441,Mapping!$E$140:$K$2771,7,0)</f>
        <v>ENDirect</v>
      </c>
      <c r="N1441" s="7" t="str">
        <f>IFERROR(HLOOKUP(L1441,'Calc|Weightings'!$K$5:$M$5,1,0),"Excl")</f>
        <v>Labour</v>
      </c>
      <c r="O1441" s="7" t="str">
        <f>VLOOKUP(E1441,Mapping!$E$11:$I$96,5,0)</f>
        <v>SCS</v>
      </c>
      <c r="Q1441" s="33">
        <v>161</v>
      </c>
      <c r="R1441" s="33" t="s">
        <v>2171</v>
      </c>
      <c r="S1441" s="33">
        <v>613260</v>
      </c>
      <c r="T1441" s="33" t="s">
        <v>2090</v>
      </c>
      <c r="U1441" s="34">
        <v>253.40020999999999</v>
      </c>
      <c r="V1441" s="7"/>
      <c r="W1441" s="7" t="str">
        <f>VLOOKUP($Q1441,Mapping!$E$11:$I$96,3,0)</f>
        <v>Augmentation</v>
      </c>
      <c r="X1441" s="7" t="str">
        <f>VLOOKUP($S1441,Mapping!$E$140:$K$2771,5,0)</f>
        <v>Labour</v>
      </c>
      <c r="Y1441" s="7" t="str">
        <f>VLOOKUP($S1441,Mapping!$E$140:$K$2771,7,0)</f>
        <v>ENDirect</v>
      </c>
      <c r="Z1441" s="7" t="str">
        <f>IFERROR(HLOOKUP(X1441,'Calc|Weightings'!$K$5:$M$5,1,0),"Excl")</f>
        <v>Labour</v>
      </c>
      <c r="AA1441" s="7" t="str">
        <f>VLOOKUP(Q1441,Mapping!$E$11:$I$96,5,0)</f>
        <v>SCS</v>
      </c>
      <c r="AC1441" s="111">
        <v>161</v>
      </c>
      <c r="AD1441" s="111" t="s">
        <v>2171</v>
      </c>
      <c r="AE1441" s="111">
        <v>545150</v>
      </c>
      <c r="AF1441" s="111" t="s">
        <v>345</v>
      </c>
      <c r="AG1441" s="112">
        <v>0.17960000000000001</v>
      </c>
      <c r="AI1441" s="7" t="str">
        <f>VLOOKUP($AC1441,Mapping!$E$11:$I$96,3,0)</f>
        <v>Augmentation</v>
      </c>
      <c r="AJ1441" s="7" t="str">
        <f>VLOOKUP($AE1441,Mapping!$E$140:$K$2771,5,0)</f>
        <v>Contracts</v>
      </c>
      <c r="AK1441" s="7" t="str">
        <f>VLOOKUP($AE1441,Mapping!$E$140:$K$2771,7,0)</f>
        <v>ENDirect</v>
      </c>
      <c r="AL1441" s="7" t="str">
        <f>IFERROR(HLOOKUP(AJ1441,'Calc|Weightings'!$K$5:$M$5,1,0),"Excl")</f>
        <v>Contracts</v>
      </c>
      <c r="AM1441" s="7" t="str">
        <f>VLOOKUP(AC1441,Mapping!$E$11:$I$96,5,0)</f>
        <v>SCS</v>
      </c>
      <c r="AO1441" s="134">
        <v>163</v>
      </c>
      <c r="AP1441" s="135" t="s">
        <v>2173</v>
      </c>
      <c r="AQ1441" s="135">
        <v>531200</v>
      </c>
      <c r="AR1441" s="135" t="s">
        <v>250</v>
      </c>
      <c r="AS1441" s="136">
        <v>6.27</v>
      </c>
      <c r="AU1441" s="7" t="str">
        <f>VLOOKUP($AO1441,Mapping!$E$11:$I$96,3,0)</f>
        <v>Replacement</v>
      </c>
      <c r="AV1441" s="7" t="str">
        <f>VLOOKUP($AQ1441,Mapping!$E$140:$K$2771,5,0)</f>
        <v>Contracts</v>
      </c>
      <c r="AW1441" s="7" t="str">
        <f>VLOOKUP($AQ1441,Mapping!$E$140:$K$2771,7,0)</f>
        <v>ENDirect</v>
      </c>
      <c r="AX1441" s="7" t="str">
        <f>IFERROR(HLOOKUP(AV1441,'Calc|Weightings'!$K$5:$M$5,1,0),"Excl")</f>
        <v>Contracts</v>
      </c>
      <c r="AY1441" s="7" t="str">
        <f>VLOOKUP(AO1441,Mapping!$E$11:$I$96,5,0)</f>
        <v>SCS</v>
      </c>
    </row>
    <row r="1442" spans="1:51" x14ac:dyDescent="0.2">
      <c r="A1442" s="7"/>
      <c r="B1442" s="7"/>
      <c r="C1442" s="7"/>
      <c r="D1442" s="7"/>
      <c r="E1442" s="36">
        <v>150</v>
      </c>
      <c r="F1442" s="36" t="s">
        <v>2159</v>
      </c>
      <c r="G1442" s="36">
        <v>613570</v>
      </c>
      <c r="H1442" s="36" t="s">
        <v>1484</v>
      </c>
      <c r="I1442" s="37">
        <v>0.60855000000000004</v>
      </c>
      <c r="J1442" s="7"/>
      <c r="K1442" s="7" t="str">
        <f>VLOOKUP($E1442,Mapping!$E$11:$I$96,3,0)</f>
        <v>Replacement</v>
      </c>
      <c r="L1442" s="7" t="str">
        <f>VLOOKUP($G1442,Mapping!$E$140:$K$2771,5,0)</f>
        <v>Labour</v>
      </c>
      <c r="M1442" s="7" t="str">
        <f>VLOOKUP($G1442,Mapping!$E$140:$K$2771,7,0)</f>
        <v>ENDirect</v>
      </c>
      <c r="N1442" s="7" t="str">
        <f>IFERROR(HLOOKUP(L1442,'Calc|Weightings'!$K$5:$M$5,1,0),"Excl")</f>
        <v>Labour</v>
      </c>
      <c r="O1442" s="7" t="str">
        <f>VLOOKUP(E1442,Mapping!$E$11:$I$96,5,0)</f>
        <v>SCS</v>
      </c>
      <c r="Q1442" s="33">
        <v>161</v>
      </c>
      <c r="R1442" s="33" t="s">
        <v>2171</v>
      </c>
      <c r="S1442" s="33">
        <v>613261</v>
      </c>
      <c r="T1442" s="33" t="s">
        <v>2091</v>
      </c>
      <c r="U1442" s="34">
        <v>26.430599999999998</v>
      </c>
      <c r="V1442" s="7"/>
      <c r="W1442" s="7" t="str">
        <f>VLOOKUP($Q1442,Mapping!$E$11:$I$96,3,0)</f>
        <v>Augmentation</v>
      </c>
      <c r="X1442" s="7" t="str">
        <f>VLOOKUP($S1442,Mapping!$E$140:$K$2771,5,0)</f>
        <v>Labour</v>
      </c>
      <c r="Y1442" s="7" t="str">
        <f>VLOOKUP($S1442,Mapping!$E$140:$K$2771,7,0)</f>
        <v>ENDirect</v>
      </c>
      <c r="Z1442" s="7" t="str">
        <f>IFERROR(HLOOKUP(X1442,'Calc|Weightings'!$K$5:$M$5,1,0),"Excl")</f>
        <v>Labour</v>
      </c>
      <c r="AA1442" s="7" t="str">
        <f>VLOOKUP(Q1442,Mapping!$E$11:$I$96,5,0)</f>
        <v>SCS</v>
      </c>
      <c r="AC1442" s="111">
        <v>161</v>
      </c>
      <c r="AD1442" s="111" t="s">
        <v>2171</v>
      </c>
      <c r="AE1442" s="111">
        <v>555000</v>
      </c>
      <c r="AF1442" s="111" t="s">
        <v>367</v>
      </c>
      <c r="AG1442" s="112">
        <v>15.14283</v>
      </c>
      <c r="AI1442" s="7" t="str">
        <f>VLOOKUP($AC1442,Mapping!$E$11:$I$96,3,0)</f>
        <v>Augmentation</v>
      </c>
      <c r="AJ1442" s="7" t="str">
        <f>VLOOKUP($AE1442,Mapping!$E$140:$K$2771,5,0)</f>
        <v>Contracts</v>
      </c>
      <c r="AK1442" s="7" t="str">
        <f>VLOOKUP($AE1442,Mapping!$E$140:$K$2771,7,0)</f>
        <v>ENDirect</v>
      </c>
      <c r="AL1442" s="7" t="str">
        <f>IFERROR(HLOOKUP(AJ1442,'Calc|Weightings'!$K$5:$M$5,1,0),"Excl")</f>
        <v>Contracts</v>
      </c>
      <c r="AM1442" s="7" t="str">
        <f>VLOOKUP(AC1442,Mapping!$E$11:$I$96,5,0)</f>
        <v>SCS</v>
      </c>
      <c r="AO1442" s="134">
        <v>163</v>
      </c>
      <c r="AP1442" s="135" t="s">
        <v>2173</v>
      </c>
      <c r="AQ1442" s="135">
        <v>531201</v>
      </c>
      <c r="AR1442" s="135" t="s">
        <v>251</v>
      </c>
      <c r="AS1442" s="136">
        <v>18.609000000000002</v>
      </c>
      <c r="AU1442" s="7" t="str">
        <f>VLOOKUP($AO1442,Mapping!$E$11:$I$96,3,0)</f>
        <v>Replacement</v>
      </c>
      <c r="AV1442" s="7" t="str">
        <f>VLOOKUP($AQ1442,Mapping!$E$140:$K$2771,5,0)</f>
        <v>Contracts</v>
      </c>
      <c r="AW1442" s="7" t="str">
        <f>VLOOKUP($AQ1442,Mapping!$E$140:$K$2771,7,0)</f>
        <v>ENDirect</v>
      </c>
      <c r="AX1442" s="7" t="str">
        <f>IFERROR(HLOOKUP(AV1442,'Calc|Weightings'!$K$5:$M$5,1,0),"Excl")</f>
        <v>Contracts</v>
      </c>
      <c r="AY1442" s="7" t="str">
        <f>VLOOKUP(AO1442,Mapping!$E$11:$I$96,5,0)</f>
        <v>SCS</v>
      </c>
    </row>
    <row r="1443" spans="1:51" x14ac:dyDescent="0.2">
      <c r="A1443" s="7"/>
      <c r="B1443" s="7"/>
      <c r="C1443" s="7"/>
      <c r="D1443" s="7"/>
      <c r="E1443" s="36">
        <v>150</v>
      </c>
      <c r="F1443" s="36" t="s">
        <v>2159</v>
      </c>
      <c r="G1443" s="36">
        <v>613574</v>
      </c>
      <c r="H1443" s="36" t="s">
        <v>1488</v>
      </c>
      <c r="I1443" s="37">
        <v>2.5667300000000002</v>
      </c>
      <c r="J1443" s="7"/>
      <c r="K1443" s="7" t="str">
        <f>VLOOKUP($E1443,Mapping!$E$11:$I$96,3,0)</f>
        <v>Replacement</v>
      </c>
      <c r="L1443" s="7" t="str">
        <f>VLOOKUP($G1443,Mapping!$E$140:$K$2771,5,0)</f>
        <v>Labour</v>
      </c>
      <c r="M1443" s="7" t="str">
        <f>VLOOKUP($G1443,Mapping!$E$140:$K$2771,7,0)</f>
        <v>ENDirect</v>
      </c>
      <c r="N1443" s="7" t="str">
        <f>IFERROR(HLOOKUP(L1443,'Calc|Weightings'!$K$5:$M$5,1,0),"Excl")</f>
        <v>Labour</v>
      </c>
      <c r="O1443" s="7" t="str">
        <f>VLOOKUP(E1443,Mapping!$E$11:$I$96,5,0)</f>
        <v>SCS</v>
      </c>
      <c r="Q1443" s="33">
        <v>161</v>
      </c>
      <c r="R1443" s="33" t="s">
        <v>2171</v>
      </c>
      <c r="S1443" s="33">
        <v>613280</v>
      </c>
      <c r="T1443" s="33" t="s">
        <v>1342</v>
      </c>
      <c r="U1443" s="34">
        <v>243.08679000000001</v>
      </c>
      <c r="V1443" s="7"/>
      <c r="W1443" s="7" t="str">
        <f>VLOOKUP($Q1443,Mapping!$E$11:$I$96,3,0)</f>
        <v>Augmentation</v>
      </c>
      <c r="X1443" s="7" t="str">
        <f>VLOOKUP($S1443,Mapping!$E$140:$K$2771,5,0)</f>
        <v>Labour</v>
      </c>
      <c r="Y1443" s="7" t="str">
        <f>VLOOKUP($S1443,Mapping!$E$140:$K$2771,7,0)</f>
        <v>ENDirect</v>
      </c>
      <c r="Z1443" s="7" t="str">
        <f>IFERROR(HLOOKUP(X1443,'Calc|Weightings'!$K$5:$M$5,1,0),"Excl")</f>
        <v>Labour</v>
      </c>
      <c r="AA1443" s="7" t="str">
        <f>VLOOKUP(Q1443,Mapping!$E$11:$I$96,5,0)</f>
        <v>SCS</v>
      </c>
      <c r="AC1443" s="111">
        <v>161</v>
      </c>
      <c r="AD1443" s="111" t="s">
        <v>2171</v>
      </c>
      <c r="AE1443" s="111">
        <v>582300</v>
      </c>
      <c r="AF1443" s="111" t="s">
        <v>381</v>
      </c>
      <c r="AG1443" s="112">
        <v>1.3579600000000001</v>
      </c>
      <c r="AI1443" s="7" t="str">
        <f>VLOOKUP($AC1443,Mapping!$E$11:$I$96,3,0)</f>
        <v>Augmentation</v>
      </c>
      <c r="AJ1443" s="7" t="str">
        <f>VLOOKUP($AE1443,Mapping!$E$140:$K$2771,5,0)</f>
        <v>Contracts</v>
      </c>
      <c r="AK1443" s="7" t="str">
        <f>VLOOKUP($AE1443,Mapping!$E$140:$K$2771,7,0)</f>
        <v>ENDirect</v>
      </c>
      <c r="AL1443" s="7" t="str">
        <f>IFERROR(HLOOKUP(AJ1443,'Calc|Weightings'!$K$5:$M$5,1,0),"Excl")</f>
        <v>Contracts</v>
      </c>
      <c r="AM1443" s="7" t="str">
        <f>VLOOKUP(AC1443,Mapping!$E$11:$I$96,5,0)</f>
        <v>SCS</v>
      </c>
      <c r="AO1443" s="134">
        <v>163</v>
      </c>
      <c r="AP1443" s="135" t="s">
        <v>2173</v>
      </c>
      <c r="AQ1443" s="135">
        <v>531468</v>
      </c>
      <c r="AR1443" s="135" t="s">
        <v>260</v>
      </c>
      <c r="AS1443" s="136">
        <v>241.5487</v>
      </c>
      <c r="AU1443" s="7" t="str">
        <f>VLOOKUP($AO1443,Mapping!$E$11:$I$96,3,0)</f>
        <v>Replacement</v>
      </c>
      <c r="AV1443" s="7" t="str">
        <f>VLOOKUP($AQ1443,Mapping!$E$140:$K$2771,5,0)</f>
        <v>Contracts</v>
      </c>
      <c r="AW1443" s="7" t="str">
        <f>VLOOKUP($AQ1443,Mapping!$E$140:$K$2771,7,0)</f>
        <v>ENDirect</v>
      </c>
      <c r="AX1443" s="7" t="str">
        <f>IFERROR(HLOOKUP(AV1443,'Calc|Weightings'!$K$5:$M$5,1,0),"Excl")</f>
        <v>Contracts</v>
      </c>
      <c r="AY1443" s="7" t="str">
        <f>VLOOKUP(AO1443,Mapping!$E$11:$I$96,5,0)</f>
        <v>SCS</v>
      </c>
    </row>
    <row r="1444" spans="1:51" x14ac:dyDescent="0.2">
      <c r="A1444" s="7"/>
      <c r="B1444" s="7"/>
      <c r="C1444" s="7"/>
      <c r="D1444" s="7"/>
      <c r="E1444" s="36">
        <v>150</v>
      </c>
      <c r="F1444" s="36" t="s">
        <v>2159</v>
      </c>
      <c r="G1444" s="36">
        <v>613680</v>
      </c>
      <c r="H1444" s="36" t="s">
        <v>2107</v>
      </c>
      <c r="I1444" s="37">
        <v>3.1049699999999998</v>
      </c>
      <c r="J1444" s="7"/>
      <c r="K1444" s="7" t="str">
        <f>VLOOKUP($E1444,Mapping!$E$11:$I$96,3,0)</f>
        <v>Replacement</v>
      </c>
      <c r="L1444" s="7" t="str">
        <f>VLOOKUP($G1444,Mapping!$E$140:$K$2771,5,0)</f>
        <v>Labour</v>
      </c>
      <c r="M1444" s="7" t="str">
        <f>VLOOKUP($G1444,Mapping!$E$140:$K$2771,7,0)</f>
        <v>ENDirect</v>
      </c>
      <c r="N1444" s="7" t="str">
        <f>IFERROR(HLOOKUP(L1444,'Calc|Weightings'!$K$5:$M$5,1,0),"Excl")</f>
        <v>Labour</v>
      </c>
      <c r="O1444" s="7" t="str">
        <f>VLOOKUP(E1444,Mapping!$E$11:$I$96,5,0)</f>
        <v>SCS</v>
      </c>
      <c r="Q1444" s="33">
        <v>161</v>
      </c>
      <c r="R1444" s="33" t="s">
        <v>2171</v>
      </c>
      <c r="S1444" s="33">
        <v>613281</v>
      </c>
      <c r="T1444" s="33" t="s">
        <v>1343</v>
      </c>
      <c r="U1444" s="34">
        <v>11.48221</v>
      </c>
      <c r="V1444" s="7"/>
      <c r="W1444" s="7" t="str">
        <f>VLOOKUP($Q1444,Mapping!$E$11:$I$96,3,0)</f>
        <v>Augmentation</v>
      </c>
      <c r="X1444" s="7" t="str">
        <f>VLOOKUP($S1444,Mapping!$E$140:$K$2771,5,0)</f>
        <v>Labour</v>
      </c>
      <c r="Y1444" s="7" t="str">
        <f>VLOOKUP($S1444,Mapping!$E$140:$K$2771,7,0)</f>
        <v>ENDirect</v>
      </c>
      <c r="Z1444" s="7" t="str">
        <f>IFERROR(HLOOKUP(X1444,'Calc|Weightings'!$K$5:$M$5,1,0),"Excl")</f>
        <v>Labour</v>
      </c>
      <c r="AA1444" s="7" t="str">
        <f>VLOOKUP(Q1444,Mapping!$E$11:$I$96,5,0)</f>
        <v>SCS</v>
      </c>
      <c r="AC1444" s="111">
        <v>161</v>
      </c>
      <c r="AD1444" s="111" t="s">
        <v>2171</v>
      </c>
      <c r="AE1444" s="111">
        <v>582301</v>
      </c>
      <c r="AF1444" s="111" t="s">
        <v>382</v>
      </c>
      <c r="AG1444" s="112">
        <v>9.2700000000000005E-2</v>
      </c>
      <c r="AI1444" s="7" t="str">
        <f>VLOOKUP($AC1444,Mapping!$E$11:$I$96,3,0)</f>
        <v>Augmentation</v>
      </c>
      <c r="AJ1444" s="7" t="str">
        <f>VLOOKUP($AE1444,Mapping!$E$140:$K$2771,5,0)</f>
        <v>Contracts</v>
      </c>
      <c r="AK1444" s="7" t="str">
        <f>VLOOKUP($AE1444,Mapping!$E$140:$K$2771,7,0)</f>
        <v>ENDirect</v>
      </c>
      <c r="AL1444" s="7" t="str">
        <f>IFERROR(HLOOKUP(AJ1444,'Calc|Weightings'!$K$5:$M$5,1,0),"Excl")</f>
        <v>Contracts</v>
      </c>
      <c r="AM1444" s="7" t="str">
        <f>VLOOKUP(AC1444,Mapping!$E$11:$I$96,5,0)</f>
        <v>SCS</v>
      </c>
      <c r="AO1444" s="134">
        <v>163</v>
      </c>
      <c r="AP1444" s="135" t="s">
        <v>2173</v>
      </c>
      <c r="AQ1444" s="135">
        <v>532340</v>
      </c>
      <c r="AR1444" s="135" t="s">
        <v>299</v>
      </c>
      <c r="AS1444" s="136">
        <v>489.7</v>
      </c>
      <c r="AU1444" s="7" t="str">
        <f>VLOOKUP($AO1444,Mapping!$E$11:$I$96,3,0)</f>
        <v>Replacement</v>
      </c>
      <c r="AV1444" s="7" t="str">
        <f>VLOOKUP($AQ1444,Mapping!$E$140:$K$2771,5,0)</f>
        <v>Contracts</v>
      </c>
      <c r="AW1444" s="7" t="str">
        <f>VLOOKUP($AQ1444,Mapping!$E$140:$K$2771,7,0)</f>
        <v>ENDirect</v>
      </c>
      <c r="AX1444" s="7" t="str">
        <f>IFERROR(HLOOKUP(AV1444,'Calc|Weightings'!$K$5:$M$5,1,0),"Excl")</f>
        <v>Contracts</v>
      </c>
      <c r="AY1444" s="7" t="str">
        <f>VLOOKUP(AO1444,Mapping!$E$11:$I$96,5,0)</f>
        <v>SCS</v>
      </c>
    </row>
    <row r="1445" spans="1:51" x14ac:dyDescent="0.2">
      <c r="A1445" s="7"/>
      <c r="B1445" s="7"/>
      <c r="C1445" s="7"/>
      <c r="D1445" s="7"/>
      <c r="E1445" s="36">
        <v>150</v>
      </c>
      <c r="F1445" s="36" t="s">
        <v>2159</v>
      </c>
      <c r="G1445" s="36">
        <v>613963</v>
      </c>
      <c r="H1445" s="36" t="s">
        <v>1649</v>
      </c>
      <c r="I1445" s="37">
        <v>0.76100000000000001</v>
      </c>
      <c r="J1445" s="7"/>
      <c r="K1445" s="7" t="str">
        <f>VLOOKUP($E1445,Mapping!$E$11:$I$96,3,0)</f>
        <v>Replacement</v>
      </c>
      <c r="L1445" s="7" t="str">
        <f>VLOOKUP($G1445,Mapping!$E$140:$K$2771,5,0)</f>
        <v>Contracts</v>
      </c>
      <c r="M1445" s="7" t="str">
        <f>VLOOKUP($G1445,Mapping!$E$140:$K$2771,7,0)</f>
        <v>ENDirect</v>
      </c>
      <c r="N1445" s="7" t="str">
        <f>IFERROR(HLOOKUP(L1445,'Calc|Weightings'!$K$5:$M$5,1,0),"Excl")</f>
        <v>Contracts</v>
      </c>
      <c r="O1445" s="7" t="str">
        <f>VLOOKUP(E1445,Mapping!$E$11:$I$96,5,0)</f>
        <v>SCS</v>
      </c>
      <c r="Q1445" s="33">
        <v>161</v>
      </c>
      <c r="R1445" s="33" t="s">
        <v>2171</v>
      </c>
      <c r="S1445" s="33">
        <v>613290</v>
      </c>
      <c r="T1445" s="33" t="s">
        <v>2093</v>
      </c>
      <c r="U1445" s="34">
        <v>299.36860000000001</v>
      </c>
      <c r="V1445" s="7"/>
      <c r="W1445" s="7" t="str">
        <f>VLOOKUP($Q1445,Mapping!$E$11:$I$96,3,0)</f>
        <v>Augmentation</v>
      </c>
      <c r="X1445" s="7" t="str">
        <f>VLOOKUP($S1445,Mapping!$E$140:$K$2771,5,0)</f>
        <v>Labour</v>
      </c>
      <c r="Y1445" s="7" t="str">
        <f>VLOOKUP($S1445,Mapping!$E$140:$K$2771,7,0)</f>
        <v>ENDirect</v>
      </c>
      <c r="Z1445" s="7" t="str">
        <f>IFERROR(HLOOKUP(X1445,'Calc|Weightings'!$K$5:$M$5,1,0),"Excl")</f>
        <v>Labour</v>
      </c>
      <c r="AA1445" s="7" t="str">
        <f>VLOOKUP(Q1445,Mapping!$E$11:$I$96,5,0)</f>
        <v>SCS</v>
      </c>
      <c r="AC1445" s="111">
        <v>161</v>
      </c>
      <c r="AD1445" s="111" t="s">
        <v>2171</v>
      </c>
      <c r="AE1445" s="111">
        <v>591997</v>
      </c>
      <c r="AF1445" s="111" t="s">
        <v>2194</v>
      </c>
      <c r="AG1445" s="112">
        <v>-4.1827300000000003</v>
      </c>
      <c r="AI1445" s="7" t="str">
        <f>VLOOKUP($AC1445,Mapping!$E$11:$I$96,3,0)</f>
        <v>Augmentation</v>
      </c>
      <c r="AJ1445" s="7" t="str">
        <f>VLOOKUP($AE1445,Mapping!$E$140:$K$2771,5,0)</f>
        <v>Contracts</v>
      </c>
      <c r="AK1445" s="7" t="str">
        <f>VLOOKUP($AE1445,Mapping!$E$140:$K$2771,7,0)</f>
        <v>ENDirect</v>
      </c>
      <c r="AL1445" s="7" t="str">
        <f>IFERROR(HLOOKUP(AJ1445,'Calc|Weightings'!$K$5:$M$5,1,0),"Excl")</f>
        <v>Contracts</v>
      </c>
      <c r="AM1445" s="7" t="str">
        <f>VLOOKUP(AC1445,Mapping!$E$11:$I$96,5,0)</f>
        <v>SCS</v>
      </c>
      <c r="AO1445" s="134">
        <v>163</v>
      </c>
      <c r="AP1445" s="135" t="s">
        <v>2173</v>
      </c>
      <c r="AQ1445" s="135">
        <v>532500</v>
      </c>
      <c r="AR1445" s="135" t="s">
        <v>308</v>
      </c>
      <c r="AS1445" s="136">
        <v>1.4</v>
      </c>
      <c r="AU1445" s="7" t="str">
        <f>VLOOKUP($AO1445,Mapping!$E$11:$I$96,3,0)</f>
        <v>Replacement</v>
      </c>
      <c r="AV1445" s="7" t="str">
        <f>VLOOKUP($AQ1445,Mapping!$E$140:$K$2771,5,0)</f>
        <v>Contracts</v>
      </c>
      <c r="AW1445" s="7" t="str">
        <f>VLOOKUP($AQ1445,Mapping!$E$140:$K$2771,7,0)</f>
        <v>ENDirect</v>
      </c>
      <c r="AX1445" s="7" t="str">
        <f>IFERROR(HLOOKUP(AV1445,'Calc|Weightings'!$K$5:$M$5,1,0),"Excl")</f>
        <v>Contracts</v>
      </c>
      <c r="AY1445" s="7" t="str">
        <f>VLOOKUP(AO1445,Mapping!$E$11:$I$96,5,0)</f>
        <v>SCS</v>
      </c>
    </row>
    <row r="1446" spans="1:51" x14ac:dyDescent="0.2">
      <c r="A1446" s="7"/>
      <c r="B1446" s="7"/>
      <c r="C1446" s="7"/>
      <c r="D1446" s="7"/>
      <c r="E1446" s="36">
        <v>150</v>
      </c>
      <c r="F1446" s="36" t="s">
        <v>2159</v>
      </c>
      <c r="G1446" s="36">
        <v>615375</v>
      </c>
      <c r="H1446" s="36" t="s">
        <v>1717</v>
      </c>
      <c r="I1446" s="37">
        <v>0.72</v>
      </c>
      <c r="J1446" s="7"/>
      <c r="K1446" s="7" t="str">
        <f>VLOOKUP($E1446,Mapping!$E$11:$I$96,3,0)</f>
        <v>Replacement</v>
      </c>
      <c r="L1446" s="7" t="str">
        <f>VLOOKUP($G1446,Mapping!$E$140:$K$2771,5,0)</f>
        <v>Labour</v>
      </c>
      <c r="M1446" s="7" t="str">
        <f>VLOOKUP($G1446,Mapping!$E$140:$K$2771,7,0)</f>
        <v>ENDirect</v>
      </c>
      <c r="N1446" s="7" t="str">
        <f>IFERROR(HLOOKUP(L1446,'Calc|Weightings'!$K$5:$M$5,1,0),"Excl")</f>
        <v>Labour</v>
      </c>
      <c r="O1446" s="7" t="str">
        <f>VLOOKUP(E1446,Mapping!$E$11:$I$96,5,0)</f>
        <v>SCS</v>
      </c>
      <c r="Q1446" s="33">
        <v>161</v>
      </c>
      <c r="R1446" s="33" t="s">
        <v>2171</v>
      </c>
      <c r="S1446" s="33">
        <v>613298</v>
      </c>
      <c r="T1446" s="33" t="s">
        <v>2122</v>
      </c>
      <c r="U1446" s="34">
        <v>90.687600000000003</v>
      </c>
      <c r="V1446" s="7"/>
      <c r="W1446" s="7" t="str">
        <f>VLOOKUP($Q1446,Mapping!$E$11:$I$96,3,0)</f>
        <v>Augmentation</v>
      </c>
      <c r="X1446" s="7" t="str">
        <f>VLOOKUP($S1446,Mapping!$E$140:$K$2771,5,0)</f>
        <v>Labour</v>
      </c>
      <c r="Y1446" s="7" t="str">
        <f>VLOOKUP($S1446,Mapping!$E$140:$K$2771,7,0)</f>
        <v>ENDirect</v>
      </c>
      <c r="Z1446" s="7" t="str">
        <f>IFERROR(HLOOKUP(X1446,'Calc|Weightings'!$K$5:$M$5,1,0),"Excl")</f>
        <v>Labour</v>
      </c>
      <c r="AA1446" s="7" t="str">
        <f>VLOOKUP(Q1446,Mapping!$E$11:$I$96,5,0)</f>
        <v>SCS</v>
      </c>
      <c r="AC1446" s="111">
        <v>161</v>
      </c>
      <c r="AD1446" s="111" t="s">
        <v>2171</v>
      </c>
      <c r="AE1446" s="111">
        <v>591998</v>
      </c>
      <c r="AF1446" s="111" t="s">
        <v>2077</v>
      </c>
      <c r="AG1446" s="112">
        <v>7.8049999999999994E-2</v>
      </c>
      <c r="AI1446" s="7" t="str">
        <f>VLOOKUP($AC1446,Mapping!$E$11:$I$96,3,0)</f>
        <v>Augmentation</v>
      </c>
      <c r="AJ1446" s="7" t="str">
        <f>VLOOKUP($AE1446,Mapping!$E$140:$K$2771,5,0)</f>
        <v>Contracts</v>
      </c>
      <c r="AK1446" s="7" t="str">
        <f>VLOOKUP($AE1446,Mapping!$E$140:$K$2771,7,0)</f>
        <v>ENDirect</v>
      </c>
      <c r="AL1446" s="7" t="str">
        <f>IFERROR(HLOOKUP(AJ1446,'Calc|Weightings'!$K$5:$M$5,1,0),"Excl")</f>
        <v>Contracts</v>
      </c>
      <c r="AM1446" s="7" t="str">
        <f>VLOOKUP(AC1446,Mapping!$E$11:$I$96,5,0)</f>
        <v>SCS</v>
      </c>
      <c r="AO1446" s="134">
        <v>163</v>
      </c>
      <c r="AP1446" s="135" t="s">
        <v>2173</v>
      </c>
      <c r="AQ1446" s="135">
        <v>611902</v>
      </c>
      <c r="AR1446" s="135" t="s">
        <v>2081</v>
      </c>
      <c r="AS1446" s="136">
        <v>4.6947000000000001</v>
      </c>
      <c r="AU1446" s="7" t="str">
        <f>VLOOKUP($AO1446,Mapping!$E$11:$I$96,3,0)</f>
        <v>Replacement</v>
      </c>
      <c r="AV1446" s="7" t="str">
        <f>VLOOKUP($AQ1446,Mapping!$E$140:$K$2771,5,0)</f>
        <v>Contracts</v>
      </c>
      <c r="AW1446" s="7" t="str">
        <f>VLOOKUP($AQ1446,Mapping!$E$140:$K$2771,7,0)</f>
        <v>ENDirect</v>
      </c>
      <c r="AX1446" s="7" t="str">
        <f>IFERROR(HLOOKUP(AV1446,'Calc|Weightings'!$K$5:$M$5,1,0),"Excl")</f>
        <v>Contracts</v>
      </c>
      <c r="AY1446" s="7" t="str">
        <f>VLOOKUP(AO1446,Mapping!$E$11:$I$96,5,0)</f>
        <v>SCS</v>
      </c>
    </row>
    <row r="1447" spans="1:51" x14ac:dyDescent="0.2">
      <c r="A1447" s="7"/>
      <c r="B1447" s="7"/>
      <c r="C1447" s="7"/>
      <c r="D1447" s="7"/>
      <c r="E1447" s="36">
        <v>150</v>
      </c>
      <c r="F1447" s="36" t="s">
        <v>2159</v>
      </c>
      <c r="G1447" s="36">
        <v>633000</v>
      </c>
      <c r="H1447" s="36" t="s">
        <v>2202</v>
      </c>
      <c r="I1447" s="37">
        <v>270.36435999999998</v>
      </c>
      <c r="J1447" s="7"/>
      <c r="K1447" s="7" t="str">
        <f>VLOOKUP($E1447,Mapping!$E$11:$I$96,3,0)</f>
        <v>Replacement</v>
      </c>
      <c r="L1447" s="7" t="str">
        <f>VLOOKUP($G1447,Mapping!$E$140:$K$2771,5,0)</f>
        <v>Contracts</v>
      </c>
      <c r="M1447" s="7" t="str">
        <f>VLOOKUP($G1447,Mapping!$E$140:$K$2771,7,0)</f>
        <v>OH</v>
      </c>
      <c r="N1447" s="7" t="str">
        <f>IFERROR(HLOOKUP(L1447,'Calc|Weightings'!$K$5:$M$5,1,0),"Excl")</f>
        <v>Contracts</v>
      </c>
      <c r="O1447" s="7" t="str">
        <f>VLOOKUP(E1447,Mapping!$E$11:$I$96,5,0)</f>
        <v>SCS</v>
      </c>
      <c r="Q1447" s="33">
        <v>161</v>
      </c>
      <c r="R1447" s="33" t="s">
        <v>2171</v>
      </c>
      <c r="S1447" s="33">
        <v>613310</v>
      </c>
      <c r="T1447" s="33" t="s">
        <v>2095</v>
      </c>
      <c r="U1447" s="34">
        <v>179.17338000000001</v>
      </c>
      <c r="V1447" s="7"/>
      <c r="W1447" s="7" t="str">
        <f>VLOOKUP($Q1447,Mapping!$E$11:$I$96,3,0)</f>
        <v>Augmentation</v>
      </c>
      <c r="X1447" s="7" t="str">
        <f>VLOOKUP($S1447,Mapping!$E$140:$K$2771,5,0)</f>
        <v>Labour</v>
      </c>
      <c r="Y1447" s="7" t="str">
        <f>VLOOKUP($S1447,Mapping!$E$140:$K$2771,7,0)</f>
        <v>ENDirect</v>
      </c>
      <c r="Z1447" s="7" t="str">
        <f>IFERROR(HLOOKUP(X1447,'Calc|Weightings'!$K$5:$M$5,1,0),"Excl")</f>
        <v>Labour</v>
      </c>
      <c r="AA1447" s="7" t="str">
        <f>VLOOKUP(Q1447,Mapping!$E$11:$I$96,5,0)</f>
        <v>SCS</v>
      </c>
      <c r="AC1447" s="111">
        <v>161</v>
      </c>
      <c r="AD1447" s="111" t="s">
        <v>2171</v>
      </c>
      <c r="AE1447" s="111">
        <v>591999</v>
      </c>
      <c r="AF1447" s="111" t="s">
        <v>2195</v>
      </c>
      <c r="AG1447" s="112">
        <v>-18.105720000000002</v>
      </c>
      <c r="AI1447" s="7" t="str">
        <f>VLOOKUP($AC1447,Mapping!$E$11:$I$96,3,0)</f>
        <v>Augmentation</v>
      </c>
      <c r="AJ1447" s="7" t="str">
        <f>VLOOKUP($AE1447,Mapping!$E$140:$K$2771,5,0)</f>
        <v>Contracts</v>
      </c>
      <c r="AK1447" s="7" t="str">
        <f>VLOOKUP($AE1447,Mapping!$E$140:$K$2771,7,0)</f>
        <v>ENDirect</v>
      </c>
      <c r="AL1447" s="7" t="str">
        <f>IFERROR(HLOOKUP(AJ1447,'Calc|Weightings'!$K$5:$M$5,1,0),"Excl")</f>
        <v>Contracts</v>
      </c>
      <c r="AM1447" s="7" t="str">
        <f>VLOOKUP(AC1447,Mapping!$E$11:$I$96,5,0)</f>
        <v>SCS</v>
      </c>
      <c r="AO1447" s="134">
        <v>163</v>
      </c>
      <c r="AP1447" s="135" t="s">
        <v>2173</v>
      </c>
      <c r="AQ1447" s="135">
        <v>612210</v>
      </c>
      <c r="AR1447" s="135" t="s">
        <v>1184</v>
      </c>
      <c r="AS1447" s="136">
        <v>0.77858000000000005</v>
      </c>
      <c r="AU1447" s="7" t="str">
        <f>VLOOKUP($AO1447,Mapping!$E$11:$I$96,3,0)</f>
        <v>Replacement</v>
      </c>
      <c r="AV1447" s="7" t="str">
        <f>VLOOKUP($AQ1447,Mapping!$E$140:$K$2771,5,0)</f>
        <v>Labour</v>
      </c>
      <c r="AW1447" s="7" t="str">
        <f>VLOOKUP($AQ1447,Mapping!$E$140:$K$2771,7,0)</f>
        <v>ENDirect</v>
      </c>
      <c r="AX1447" s="7" t="str">
        <f>IFERROR(HLOOKUP(AV1447,'Calc|Weightings'!$K$5:$M$5,1,0),"Excl")</f>
        <v>Labour</v>
      </c>
      <c r="AY1447" s="7" t="str">
        <f>VLOOKUP(AO1447,Mapping!$E$11:$I$96,5,0)</f>
        <v>SCS</v>
      </c>
    </row>
    <row r="1448" spans="1:51" x14ac:dyDescent="0.2">
      <c r="A1448" s="7"/>
      <c r="B1448" s="7"/>
      <c r="C1448" s="7"/>
      <c r="D1448" s="7"/>
      <c r="E1448" s="36">
        <v>150</v>
      </c>
      <c r="F1448" s="36" t="s">
        <v>2159</v>
      </c>
      <c r="G1448" s="36">
        <v>634001</v>
      </c>
      <c r="H1448" s="36" t="s">
        <v>2110</v>
      </c>
      <c r="I1448" s="37">
        <v>107.45220999999999</v>
      </c>
      <c r="J1448" s="7"/>
      <c r="K1448" s="7" t="str">
        <f>VLOOKUP($E1448,Mapping!$E$11:$I$96,3,0)</f>
        <v>Replacement</v>
      </c>
      <c r="L1448" s="7" t="str">
        <f>VLOOKUP($G1448,Mapping!$E$140:$K$2771,5,0)</f>
        <v>Local OH</v>
      </c>
      <c r="M1448" s="7" t="str">
        <f>VLOOKUP($G1448,Mapping!$E$140:$K$2771,7,0)</f>
        <v>OH</v>
      </c>
      <c r="N1448" s="7" t="str">
        <f>IFERROR(HLOOKUP(L1448,'Calc|Weightings'!$K$5:$M$5,1,0),"Excl")</f>
        <v>Excl</v>
      </c>
      <c r="O1448" s="7" t="str">
        <f>VLOOKUP(E1448,Mapping!$E$11:$I$96,5,0)</f>
        <v>SCS</v>
      </c>
      <c r="Q1448" s="33">
        <v>161</v>
      </c>
      <c r="R1448" s="33" t="s">
        <v>2171</v>
      </c>
      <c r="S1448" s="33">
        <v>613311</v>
      </c>
      <c r="T1448" s="33" t="s">
        <v>2116</v>
      </c>
      <c r="U1448" s="34">
        <v>0.40555000000000002</v>
      </c>
      <c r="V1448" s="7"/>
      <c r="W1448" s="7" t="str">
        <f>VLOOKUP($Q1448,Mapping!$E$11:$I$96,3,0)</f>
        <v>Augmentation</v>
      </c>
      <c r="X1448" s="7" t="str">
        <f>VLOOKUP($S1448,Mapping!$E$140:$K$2771,5,0)</f>
        <v>Labour</v>
      </c>
      <c r="Y1448" s="7" t="str">
        <f>VLOOKUP($S1448,Mapping!$E$140:$K$2771,7,0)</f>
        <v>ENDirect</v>
      </c>
      <c r="Z1448" s="7" t="str">
        <f>IFERROR(HLOOKUP(X1448,'Calc|Weightings'!$K$5:$M$5,1,0),"Excl")</f>
        <v>Labour</v>
      </c>
      <c r="AA1448" s="7" t="str">
        <f>VLOOKUP(Q1448,Mapping!$E$11:$I$96,5,0)</f>
        <v>SCS</v>
      </c>
      <c r="AC1448" s="111">
        <v>161</v>
      </c>
      <c r="AD1448" s="111" t="s">
        <v>2171</v>
      </c>
      <c r="AE1448" s="111">
        <v>611900</v>
      </c>
      <c r="AF1448" s="111" t="s">
        <v>2079</v>
      </c>
      <c r="AG1448" s="112">
        <v>30.25705</v>
      </c>
      <c r="AI1448" s="7" t="str">
        <f>VLOOKUP($AC1448,Mapping!$E$11:$I$96,3,0)</f>
        <v>Augmentation</v>
      </c>
      <c r="AJ1448" s="7" t="str">
        <f>VLOOKUP($AE1448,Mapping!$E$140:$K$2771,5,0)</f>
        <v>Contracts</v>
      </c>
      <c r="AK1448" s="7" t="str">
        <f>VLOOKUP($AE1448,Mapping!$E$140:$K$2771,7,0)</f>
        <v>ENDirect</v>
      </c>
      <c r="AL1448" s="7" t="str">
        <f>IFERROR(HLOOKUP(AJ1448,'Calc|Weightings'!$K$5:$M$5,1,0),"Excl")</f>
        <v>Contracts</v>
      </c>
      <c r="AM1448" s="7" t="str">
        <f>VLOOKUP(AC1448,Mapping!$E$11:$I$96,5,0)</f>
        <v>SCS</v>
      </c>
      <c r="AO1448" s="134">
        <v>163</v>
      </c>
      <c r="AP1448" s="135" t="s">
        <v>2173</v>
      </c>
      <c r="AQ1448" s="135">
        <v>613260</v>
      </c>
      <c r="AR1448" s="135" t="s">
        <v>2090</v>
      </c>
      <c r="AS1448" s="136">
        <v>6.9660000000000002</v>
      </c>
      <c r="AU1448" s="7" t="str">
        <f>VLOOKUP($AO1448,Mapping!$E$11:$I$96,3,0)</f>
        <v>Replacement</v>
      </c>
      <c r="AV1448" s="7" t="str">
        <f>VLOOKUP($AQ1448,Mapping!$E$140:$K$2771,5,0)</f>
        <v>Labour</v>
      </c>
      <c r="AW1448" s="7" t="str">
        <f>VLOOKUP($AQ1448,Mapping!$E$140:$K$2771,7,0)</f>
        <v>ENDirect</v>
      </c>
      <c r="AX1448" s="7" t="str">
        <f>IFERROR(HLOOKUP(AV1448,'Calc|Weightings'!$K$5:$M$5,1,0),"Excl")</f>
        <v>Labour</v>
      </c>
      <c r="AY1448" s="7" t="str">
        <f>VLOOKUP(AO1448,Mapping!$E$11:$I$96,5,0)</f>
        <v>SCS</v>
      </c>
    </row>
    <row r="1449" spans="1:51" x14ac:dyDescent="0.2">
      <c r="A1449" s="7"/>
      <c r="B1449" s="7"/>
      <c r="C1449" s="7"/>
      <c r="D1449" s="7"/>
      <c r="E1449" s="36">
        <v>150</v>
      </c>
      <c r="F1449" s="36" t="s">
        <v>2159</v>
      </c>
      <c r="G1449" s="36">
        <v>635001</v>
      </c>
      <c r="H1449" s="36" t="s">
        <v>1929</v>
      </c>
      <c r="I1449" s="37">
        <v>76.523240000000001</v>
      </c>
      <c r="J1449" s="7"/>
      <c r="K1449" s="7" t="str">
        <f>VLOOKUP($E1449,Mapping!$E$11:$I$96,3,0)</f>
        <v>Replacement</v>
      </c>
      <c r="L1449" s="7" t="str">
        <f>VLOOKUP($G1449,Mapping!$E$140:$K$2771,5,0)</f>
        <v>PNS MG</v>
      </c>
      <c r="M1449" s="7" t="str">
        <f>VLOOKUP($G1449,Mapping!$E$140:$K$2771,7,0)</f>
        <v>ENDirect</v>
      </c>
      <c r="N1449" s="7" t="str">
        <f>IFERROR(HLOOKUP(L1449,'Calc|Weightings'!$K$5:$M$5,1,0),"Excl")</f>
        <v>Excl</v>
      </c>
      <c r="O1449" s="7" t="str">
        <f>VLOOKUP(E1449,Mapping!$E$11:$I$96,5,0)</f>
        <v>SCS</v>
      </c>
      <c r="Q1449" s="33">
        <v>161</v>
      </c>
      <c r="R1449" s="33" t="s">
        <v>2171</v>
      </c>
      <c r="S1449" s="33">
        <v>613350</v>
      </c>
      <c r="T1449" s="33" t="s">
        <v>2096</v>
      </c>
      <c r="U1449" s="34">
        <v>24.981339999999999</v>
      </c>
      <c r="V1449" s="7"/>
      <c r="W1449" s="7" t="str">
        <f>VLOOKUP($Q1449,Mapping!$E$11:$I$96,3,0)</f>
        <v>Augmentation</v>
      </c>
      <c r="X1449" s="7" t="str">
        <f>VLOOKUP($S1449,Mapping!$E$140:$K$2771,5,0)</f>
        <v>Labour</v>
      </c>
      <c r="Y1449" s="7" t="str">
        <f>VLOOKUP($S1449,Mapping!$E$140:$K$2771,7,0)</f>
        <v>ENDirect</v>
      </c>
      <c r="Z1449" s="7" t="str">
        <f>IFERROR(HLOOKUP(X1449,'Calc|Weightings'!$K$5:$M$5,1,0),"Excl")</f>
        <v>Labour</v>
      </c>
      <c r="AA1449" s="7" t="str">
        <f>VLOOKUP(Q1449,Mapping!$E$11:$I$96,5,0)</f>
        <v>SCS</v>
      </c>
      <c r="AC1449" s="111">
        <v>161</v>
      </c>
      <c r="AD1449" s="111" t="s">
        <v>2171</v>
      </c>
      <c r="AE1449" s="111">
        <v>611901</v>
      </c>
      <c r="AF1449" s="111" t="s">
        <v>2080</v>
      </c>
      <c r="AG1449" s="112">
        <v>8.5899300000000007</v>
      </c>
      <c r="AI1449" s="7" t="str">
        <f>VLOOKUP($AC1449,Mapping!$E$11:$I$96,3,0)</f>
        <v>Augmentation</v>
      </c>
      <c r="AJ1449" s="7" t="str">
        <f>VLOOKUP($AE1449,Mapping!$E$140:$K$2771,5,0)</f>
        <v>Contracts</v>
      </c>
      <c r="AK1449" s="7" t="str">
        <f>VLOOKUP($AE1449,Mapping!$E$140:$K$2771,7,0)</f>
        <v>ENDirect</v>
      </c>
      <c r="AL1449" s="7" t="str">
        <f>IFERROR(HLOOKUP(AJ1449,'Calc|Weightings'!$K$5:$M$5,1,0),"Excl")</f>
        <v>Contracts</v>
      </c>
      <c r="AM1449" s="7" t="str">
        <f>VLOOKUP(AC1449,Mapping!$E$11:$I$96,5,0)</f>
        <v>SCS</v>
      </c>
      <c r="AO1449" s="134">
        <v>163</v>
      </c>
      <c r="AP1449" s="135" t="s">
        <v>2173</v>
      </c>
      <c r="AQ1449" s="135">
        <v>613280</v>
      </c>
      <c r="AR1449" s="135" t="s">
        <v>1342</v>
      </c>
      <c r="AS1449" s="136">
        <v>27.723230000000001</v>
      </c>
      <c r="AU1449" s="7" t="str">
        <f>VLOOKUP($AO1449,Mapping!$E$11:$I$96,3,0)</f>
        <v>Replacement</v>
      </c>
      <c r="AV1449" s="7" t="str">
        <f>VLOOKUP($AQ1449,Mapping!$E$140:$K$2771,5,0)</f>
        <v>Labour</v>
      </c>
      <c r="AW1449" s="7" t="str">
        <f>VLOOKUP($AQ1449,Mapping!$E$140:$K$2771,7,0)</f>
        <v>ENDirect</v>
      </c>
      <c r="AX1449" s="7" t="str">
        <f>IFERROR(HLOOKUP(AV1449,'Calc|Weightings'!$K$5:$M$5,1,0),"Excl")</f>
        <v>Labour</v>
      </c>
      <c r="AY1449" s="7" t="str">
        <f>VLOOKUP(AO1449,Mapping!$E$11:$I$96,5,0)</f>
        <v>SCS</v>
      </c>
    </row>
    <row r="1450" spans="1:51" x14ac:dyDescent="0.2">
      <c r="A1450" s="7"/>
      <c r="B1450" s="7"/>
      <c r="C1450" s="7"/>
      <c r="D1450" s="7"/>
      <c r="E1450" s="36">
        <v>150</v>
      </c>
      <c r="F1450" s="36" t="s">
        <v>2159</v>
      </c>
      <c r="G1450" s="36">
        <v>636001</v>
      </c>
      <c r="H1450" s="36" t="s">
        <v>2111</v>
      </c>
      <c r="I1450" s="37">
        <v>34.257809999999999</v>
      </c>
      <c r="J1450" s="7"/>
      <c r="K1450" s="7" t="str">
        <f>VLOOKUP($E1450,Mapping!$E$11:$I$96,3,0)</f>
        <v>Replacement</v>
      </c>
      <c r="L1450" s="7" t="str">
        <f>VLOOKUP($G1450,Mapping!$E$140:$K$2771,5,0)</f>
        <v>System Control OH</v>
      </c>
      <c r="M1450" s="7" t="str">
        <f>VLOOKUP($G1450,Mapping!$E$140:$K$2771,7,0)</f>
        <v>OH</v>
      </c>
      <c r="N1450" s="7" t="str">
        <f>IFERROR(HLOOKUP(L1450,'Calc|Weightings'!$K$5:$M$5,1,0),"Excl")</f>
        <v>Excl</v>
      </c>
      <c r="O1450" s="7" t="str">
        <f>VLOOKUP(E1450,Mapping!$E$11:$I$96,5,0)</f>
        <v>SCS</v>
      </c>
      <c r="Q1450" s="33">
        <v>161</v>
      </c>
      <c r="R1450" s="33" t="s">
        <v>2171</v>
      </c>
      <c r="S1450" s="33">
        <v>613360</v>
      </c>
      <c r="T1450" s="33" t="s">
        <v>2097</v>
      </c>
      <c r="U1450" s="34">
        <v>11.56564</v>
      </c>
      <c r="V1450" s="7"/>
      <c r="W1450" s="7" t="str">
        <f>VLOOKUP($Q1450,Mapping!$E$11:$I$96,3,0)</f>
        <v>Augmentation</v>
      </c>
      <c r="X1450" s="7" t="str">
        <f>VLOOKUP($S1450,Mapping!$E$140:$K$2771,5,0)</f>
        <v>Labour</v>
      </c>
      <c r="Y1450" s="7" t="str">
        <f>VLOOKUP($S1450,Mapping!$E$140:$K$2771,7,0)</f>
        <v>ENDirect</v>
      </c>
      <c r="Z1450" s="7" t="str">
        <f>IFERROR(HLOOKUP(X1450,'Calc|Weightings'!$K$5:$M$5,1,0),"Excl")</f>
        <v>Labour</v>
      </c>
      <c r="AA1450" s="7" t="str">
        <f>VLOOKUP(Q1450,Mapping!$E$11:$I$96,5,0)</f>
        <v>SCS</v>
      </c>
      <c r="AC1450" s="111">
        <v>161</v>
      </c>
      <c r="AD1450" s="111" t="s">
        <v>2171</v>
      </c>
      <c r="AE1450" s="111">
        <v>611902</v>
      </c>
      <c r="AF1450" s="111" t="s">
        <v>2081</v>
      </c>
      <c r="AG1450" s="112">
        <v>1.61348</v>
      </c>
      <c r="AI1450" s="7" t="str">
        <f>VLOOKUP($AC1450,Mapping!$E$11:$I$96,3,0)</f>
        <v>Augmentation</v>
      </c>
      <c r="AJ1450" s="7" t="str">
        <f>VLOOKUP($AE1450,Mapping!$E$140:$K$2771,5,0)</f>
        <v>Contracts</v>
      </c>
      <c r="AK1450" s="7" t="str">
        <f>VLOOKUP($AE1450,Mapping!$E$140:$K$2771,7,0)</f>
        <v>ENDirect</v>
      </c>
      <c r="AL1450" s="7" t="str">
        <f>IFERROR(HLOOKUP(AJ1450,'Calc|Weightings'!$K$5:$M$5,1,0),"Excl")</f>
        <v>Contracts</v>
      </c>
      <c r="AM1450" s="7" t="str">
        <f>VLOOKUP(AC1450,Mapping!$E$11:$I$96,5,0)</f>
        <v>SCS</v>
      </c>
      <c r="AO1450" s="134">
        <v>163</v>
      </c>
      <c r="AP1450" s="135" t="s">
        <v>2173</v>
      </c>
      <c r="AQ1450" s="135">
        <v>613290</v>
      </c>
      <c r="AR1450" s="135" t="s">
        <v>2093</v>
      </c>
      <c r="AS1450" s="136">
        <v>53.789839999999998</v>
      </c>
      <c r="AU1450" s="7" t="str">
        <f>VLOOKUP($AO1450,Mapping!$E$11:$I$96,3,0)</f>
        <v>Replacement</v>
      </c>
      <c r="AV1450" s="7" t="str">
        <f>VLOOKUP($AQ1450,Mapping!$E$140:$K$2771,5,0)</f>
        <v>Labour</v>
      </c>
      <c r="AW1450" s="7" t="str">
        <f>VLOOKUP($AQ1450,Mapping!$E$140:$K$2771,7,0)</f>
        <v>ENDirect</v>
      </c>
      <c r="AX1450" s="7" t="str">
        <f>IFERROR(HLOOKUP(AV1450,'Calc|Weightings'!$K$5:$M$5,1,0),"Excl")</f>
        <v>Labour</v>
      </c>
      <c r="AY1450" s="7" t="str">
        <f>VLOOKUP(AO1450,Mapping!$E$11:$I$96,5,0)</f>
        <v>SCS</v>
      </c>
    </row>
    <row r="1451" spans="1:51" x14ac:dyDescent="0.2">
      <c r="A1451" s="7"/>
      <c r="B1451" s="7"/>
      <c r="C1451" s="7"/>
      <c r="D1451" s="7"/>
      <c r="E1451" s="36">
        <v>150</v>
      </c>
      <c r="F1451" s="36" t="s">
        <v>2159</v>
      </c>
      <c r="G1451" s="36">
        <v>639000</v>
      </c>
      <c r="H1451" s="36" t="s">
        <v>2112</v>
      </c>
      <c r="I1451" s="37">
        <v>69.762900000000002</v>
      </c>
      <c r="J1451" s="7"/>
      <c r="K1451" s="7" t="str">
        <f>VLOOKUP($E1451,Mapping!$E$11:$I$96,3,0)</f>
        <v>Replacement</v>
      </c>
      <c r="L1451" s="7" t="str">
        <f>VLOOKUP($G1451,Mapping!$E$140:$K$2771,5,0)</f>
        <v>PNS Corporate OH</v>
      </c>
      <c r="M1451" s="7" t="str">
        <f>VLOOKUP($G1451,Mapping!$E$140:$K$2771,7,0)</f>
        <v>OH</v>
      </c>
      <c r="N1451" s="7" t="str">
        <f>IFERROR(HLOOKUP(L1451,'Calc|Weightings'!$K$5:$M$5,1,0),"Excl")</f>
        <v>Excl</v>
      </c>
      <c r="O1451" s="7" t="str">
        <f>VLOOKUP(E1451,Mapping!$E$11:$I$96,5,0)</f>
        <v>SCS</v>
      </c>
      <c r="Q1451" s="33">
        <v>161</v>
      </c>
      <c r="R1451" s="33" t="s">
        <v>2171</v>
      </c>
      <c r="S1451" s="33">
        <v>613361</v>
      </c>
      <c r="T1451" s="33" t="s">
        <v>2098</v>
      </c>
      <c r="U1451" s="34">
        <v>1.54088</v>
      </c>
      <c r="V1451" s="7"/>
      <c r="W1451" s="7" t="str">
        <f>VLOOKUP($Q1451,Mapping!$E$11:$I$96,3,0)</f>
        <v>Augmentation</v>
      </c>
      <c r="X1451" s="7" t="str">
        <f>VLOOKUP($S1451,Mapping!$E$140:$K$2771,5,0)</f>
        <v>Labour</v>
      </c>
      <c r="Y1451" s="7" t="str">
        <f>VLOOKUP($S1451,Mapping!$E$140:$K$2771,7,0)</f>
        <v>ENDirect</v>
      </c>
      <c r="Z1451" s="7" t="str">
        <f>IFERROR(HLOOKUP(X1451,'Calc|Weightings'!$K$5:$M$5,1,0),"Excl")</f>
        <v>Labour</v>
      </c>
      <c r="AA1451" s="7" t="str">
        <f>VLOOKUP(Q1451,Mapping!$E$11:$I$96,5,0)</f>
        <v>SCS</v>
      </c>
      <c r="AC1451" s="111">
        <v>161</v>
      </c>
      <c r="AD1451" s="111" t="s">
        <v>2171</v>
      </c>
      <c r="AE1451" s="111">
        <v>612210</v>
      </c>
      <c r="AF1451" s="111" t="s">
        <v>1184</v>
      </c>
      <c r="AG1451" s="112">
        <v>9.3886299999999991</v>
      </c>
      <c r="AI1451" s="7" t="str">
        <f>VLOOKUP($AC1451,Mapping!$E$11:$I$96,3,0)</f>
        <v>Augmentation</v>
      </c>
      <c r="AJ1451" s="7" t="str">
        <f>VLOOKUP($AE1451,Mapping!$E$140:$K$2771,5,0)</f>
        <v>Labour</v>
      </c>
      <c r="AK1451" s="7" t="str">
        <f>VLOOKUP($AE1451,Mapping!$E$140:$K$2771,7,0)</f>
        <v>ENDirect</v>
      </c>
      <c r="AL1451" s="7" t="str">
        <f>IFERROR(HLOOKUP(AJ1451,'Calc|Weightings'!$K$5:$M$5,1,0),"Excl")</f>
        <v>Labour</v>
      </c>
      <c r="AM1451" s="7" t="str">
        <f>VLOOKUP(AC1451,Mapping!$E$11:$I$96,5,0)</f>
        <v>SCS</v>
      </c>
      <c r="AO1451" s="134">
        <v>163</v>
      </c>
      <c r="AP1451" s="135" t="s">
        <v>2173</v>
      </c>
      <c r="AQ1451" s="135">
        <v>613350</v>
      </c>
      <c r="AR1451" s="135" t="s">
        <v>2096</v>
      </c>
      <c r="AS1451" s="136">
        <v>18.44407</v>
      </c>
      <c r="AU1451" s="7" t="str">
        <f>VLOOKUP($AO1451,Mapping!$E$11:$I$96,3,0)</f>
        <v>Replacement</v>
      </c>
      <c r="AV1451" s="7" t="str">
        <f>VLOOKUP($AQ1451,Mapping!$E$140:$K$2771,5,0)</f>
        <v>Labour</v>
      </c>
      <c r="AW1451" s="7" t="str">
        <f>VLOOKUP($AQ1451,Mapping!$E$140:$K$2771,7,0)</f>
        <v>ENDirect</v>
      </c>
      <c r="AX1451" s="7" t="str">
        <f>IFERROR(HLOOKUP(AV1451,'Calc|Weightings'!$K$5:$M$5,1,0),"Excl")</f>
        <v>Labour</v>
      </c>
      <c r="AY1451" s="7" t="str">
        <f>VLOOKUP(AO1451,Mapping!$E$11:$I$96,5,0)</f>
        <v>SCS</v>
      </c>
    </row>
    <row r="1452" spans="1:51" x14ac:dyDescent="0.2">
      <c r="A1452" s="7"/>
      <c r="B1452" s="7"/>
      <c r="C1452" s="7"/>
      <c r="D1452" s="7"/>
      <c r="E1452" s="36">
        <v>150</v>
      </c>
      <c r="F1452" s="36" t="s">
        <v>2159</v>
      </c>
      <c r="G1452" s="36">
        <v>639050</v>
      </c>
      <c r="H1452" s="36" t="s">
        <v>2113</v>
      </c>
      <c r="I1452" s="37">
        <v>10.360440000000001</v>
      </c>
      <c r="J1452" s="7"/>
      <c r="K1452" s="7" t="str">
        <f>VLOOKUP($E1452,Mapping!$E$11:$I$96,3,0)</f>
        <v>Replacement</v>
      </c>
      <c r="L1452" s="7" t="str">
        <f>VLOOKUP($G1452,Mapping!$E$140:$K$2771,5,0)</f>
        <v>PNS Fleet &amp; Property OH</v>
      </c>
      <c r="M1452" s="7" t="str">
        <f>VLOOKUP($G1452,Mapping!$E$140:$K$2771,7,0)</f>
        <v>OH</v>
      </c>
      <c r="N1452" s="7" t="str">
        <f>IFERROR(HLOOKUP(L1452,'Calc|Weightings'!$K$5:$M$5,1,0),"Excl")</f>
        <v>Excl</v>
      </c>
      <c r="O1452" s="7" t="str">
        <f>VLOOKUP(E1452,Mapping!$E$11:$I$96,5,0)</f>
        <v>SCS</v>
      </c>
      <c r="Q1452" s="33">
        <v>161</v>
      </c>
      <c r="R1452" s="33" t="s">
        <v>2171</v>
      </c>
      <c r="S1452" s="33">
        <v>613370</v>
      </c>
      <c r="T1452" s="33" t="s">
        <v>1402</v>
      </c>
      <c r="U1452" s="34">
        <v>13.873250000000001</v>
      </c>
      <c r="V1452" s="7"/>
      <c r="W1452" s="7" t="str">
        <f>VLOOKUP($Q1452,Mapping!$E$11:$I$96,3,0)</f>
        <v>Augmentation</v>
      </c>
      <c r="X1452" s="7" t="str">
        <f>VLOOKUP($S1452,Mapping!$E$140:$K$2771,5,0)</f>
        <v>Labour</v>
      </c>
      <c r="Y1452" s="7" t="str">
        <f>VLOOKUP($S1452,Mapping!$E$140:$K$2771,7,0)</f>
        <v>ENDirect</v>
      </c>
      <c r="Z1452" s="7" t="str">
        <f>IFERROR(HLOOKUP(X1452,'Calc|Weightings'!$K$5:$M$5,1,0),"Excl")</f>
        <v>Labour</v>
      </c>
      <c r="AA1452" s="7" t="str">
        <f>VLOOKUP(Q1452,Mapping!$E$11:$I$96,5,0)</f>
        <v>SCS</v>
      </c>
      <c r="AC1452" s="111">
        <v>161</v>
      </c>
      <c r="AD1452" s="111" t="s">
        <v>2171</v>
      </c>
      <c r="AE1452" s="111">
        <v>612310</v>
      </c>
      <c r="AF1452" s="111" t="s">
        <v>1208</v>
      </c>
      <c r="AG1452" s="112">
        <v>-0.58084000000000002</v>
      </c>
      <c r="AI1452" s="7" t="str">
        <f>VLOOKUP($AC1452,Mapping!$E$11:$I$96,3,0)</f>
        <v>Augmentation</v>
      </c>
      <c r="AJ1452" s="7" t="str">
        <f>VLOOKUP($AE1452,Mapping!$E$140:$K$2771,5,0)</f>
        <v>Labour</v>
      </c>
      <c r="AK1452" s="7" t="str">
        <f>VLOOKUP($AE1452,Mapping!$E$140:$K$2771,7,0)</f>
        <v>ENDirect</v>
      </c>
      <c r="AL1452" s="7" t="str">
        <f>IFERROR(HLOOKUP(AJ1452,'Calc|Weightings'!$K$5:$M$5,1,0),"Excl")</f>
        <v>Labour</v>
      </c>
      <c r="AM1452" s="7" t="str">
        <f>VLOOKUP(AC1452,Mapping!$E$11:$I$96,5,0)</f>
        <v>SCS</v>
      </c>
      <c r="AO1452" s="134">
        <v>163</v>
      </c>
      <c r="AP1452" s="135" t="s">
        <v>2173</v>
      </c>
      <c r="AQ1452" s="135">
        <v>613370</v>
      </c>
      <c r="AR1452" s="135" t="s">
        <v>1402</v>
      </c>
      <c r="AS1452" s="136">
        <v>0.95474999999999999</v>
      </c>
      <c r="AU1452" s="7" t="str">
        <f>VLOOKUP($AO1452,Mapping!$E$11:$I$96,3,0)</f>
        <v>Replacement</v>
      </c>
      <c r="AV1452" s="7" t="str">
        <f>VLOOKUP($AQ1452,Mapping!$E$140:$K$2771,5,0)</f>
        <v>Labour</v>
      </c>
      <c r="AW1452" s="7" t="str">
        <f>VLOOKUP($AQ1452,Mapping!$E$140:$K$2771,7,0)</f>
        <v>ENDirect</v>
      </c>
      <c r="AX1452" s="7" t="str">
        <f>IFERROR(HLOOKUP(AV1452,'Calc|Weightings'!$K$5:$M$5,1,0),"Excl")</f>
        <v>Labour</v>
      </c>
      <c r="AY1452" s="7" t="str">
        <f>VLOOKUP(AO1452,Mapping!$E$11:$I$96,5,0)</f>
        <v>SCS</v>
      </c>
    </row>
    <row r="1453" spans="1:51" x14ac:dyDescent="0.2">
      <c r="A1453" s="7"/>
      <c r="B1453" s="7"/>
      <c r="C1453" s="7"/>
      <c r="D1453" s="7"/>
      <c r="E1453" s="36">
        <v>152</v>
      </c>
      <c r="F1453" s="36" t="s">
        <v>2161</v>
      </c>
      <c r="G1453" s="36">
        <v>520100</v>
      </c>
      <c r="H1453" s="36" t="s">
        <v>2072</v>
      </c>
      <c r="I1453" s="37">
        <v>18.315709999999999</v>
      </c>
      <c r="J1453" s="7"/>
      <c r="K1453" s="7" t="str">
        <f>VLOOKUP($E1453,Mapping!$E$11:$I$96,3,0)</f>
        <v>Replacement</v>
      </c>
      <c r="L1453" s="7" t="str">
        <f>VLOOKUP($G1453,Mapping!$E$140:$K$2771,5,0)</f>
        <v>Materials</v>
      </c>
      <c r="M1453" s="7" t="str">
        <f>VLOOKUP($G1453,Mapping!$E$140:$K$2771,7,0)</f>
        <v>ENDirect</v>
      </c>
      <c r="N1453" s="7" t="str">
        <f>IFERROR(HLOOKUP(L1453,'Calc|Weightings'!$K$5:$M$5,1,0),"Excl")</f>
        <v>Materials</v>
      </c>
      <c r="O1453" s="7" t="str">
        <f>VLOOKUP(E1453,Mapping!$E$11:$I$96,5,0)</f>
        <v>SCS</v>
      </c>
      <c r="Q1453" s="33">
        <v>161</v>
      </c>
      <c r="R1453" s="33" t="s">
        <v>2171</v>
      </c>
      <c r="S1453" s="33">
        <v>613400</v>
      </c>
      <c r="T1453" s="33" t="s">
        <v>2099</v>
      </c>
      <c r="U1453" s="34">
        <v>0.50983999999999996</v>
      </c>
      <c r="V1453" s="7"/>
      <c r="W1453" s="7" t="str">
        <f>VLOOKUP($Q1453,Mapping!$E$11:$I$96,3,0)</f>
        <v>Augmentation</v>
      </c>
      <c r="X1453" s="7" t="str">
        <f>VLOOKUP($S1453,Mapping!$E$140:$K$2771,5,0)</f>
        <v>Labour</v>
      </c>
      <c r="Y1453" s="7" t="str">
        <f>VLOOKUP($S1453,Mapping!$E$140:$K$2771,7,0)</f>
        <v>ENDirect</v>
      </c>
      <c r="Z1453" s="7" t="str">
        <f>IFERROR(HLOOKUP(X1453,'Calc|Weightings'!$K$5:$M$5,1,0),"Excl")</f>
        <v>Labour</v>
      </c>
      <c r="AA1453" s="7" t="str">
        <f>VLOOKUP(Q1453,Mapping!$E$11:$I$96,5,0)</f>
        <v>SCS</v>
      </c>
      <c r="AC1453" s="111">
        <v>161</v>
      </c>
      <c r="AD1453" s="111" t="s">
        <v>2171</v>
      </c>
      <c r="AE1453" s="111">
        <v>613250</v>
      </c>
      <c r="AF1453" s="111" t="s">
        <v>2086</v>
      </c>
      <c r="AG1453" s="112">
        <v>1.7745599999999999</v>
      </c>
      <c r="AI1453" s="7" t="str">
        <f>VLOOKUP($AC1453,Mapping!$E$11:$I$96,3,0)</f>
        <v>Augmentation</v>
      </c>
      <c r="AJ1453" s="7" t="str">
        <f>VLOOKUP($AE1453,Mapping!$E$140:$K$2771,5,0)</f>
        <v>Labour</v>
      </c>
      <c r="AK1453" s="7" t="str">
        <f>VLOOKUP($AE1453,Mapping!$E$140:$K$2771,7,0)</f>
        <v>ENDirect</v>
      </c>
      <c r="AL1453" s="7" t="str">
        <f>IFERROR(HLOOKUP(AJ1453,'Calc|Weightings'!$K$5:$M$5,1,0),"Excl")</f>
        <v>Labour</v>
      </c>
      <c r="AM1453" s="7" t="str">
        <f>VLOOKUP(AC1453,Mapping!$E$11:$I$96,5,0)</f>
        <v>SCS</v>
      </c>
      <c r="AO1453" s="134">
        <v>163</v>
      </c>
      <c r="AP1453" s="135" t="s">
        <v>2173</v>
      </c>
      <c r="AQ1453" s="135">
        <v>613460</v>
      </c>
      <c r="AR1453" s="135" t="s">
        <v>2167</v>
      </c>
      <c r="AS1453" s="136">
        <v>3.34368</v>
      </c>
      <c r="AU1453" s="7" t="str">
        <f>VLOOKUP($AO1453,Mapping!$E$11:$I$96,3,0)</f>
        <v>Replacement</v>
      </c>
      <c r="AV1453" s="7" t="str">
        <f>VLOOKUP($AQ1453,Mapping!$E$140:$K$2771,5,0)</f>
        <v>Labour</v>
      </c>
      <c r="AW1453" s="7" t="str">
        <f>VLOOKUP($AQ1453,Mapping!$E$140:$K$2771,7,0)</f>
        <v>ENDirect</v>
      </c>
      <c r="AX1453" s="7" t="str">
        <f>IFERROR(HLOOKUP(AV1453,'Calc|Weightings'!$K$5:$M$5,1,0),"Excl")</f>
        <v>Labour</v>
      </c>
      <c r="AY1453" s="7" t="str">
        <f>VLOOKUP(AO1453,Mapping!$E$11:$I$96,5,0)</f>
        <v>SCS</v>
      </c>
    </row>
    <row r="1454" spans="1:51" x14ac:dyDescent="0.2">
      <c r="A1454" s="7"/>
      <c r="B1454" s="7"/>
      <c r="C1454" s="7"/>
      <c r="D1454" s="7"/>
      <c r="E1454" s="36">
        <v>152</v>
      </c>
      <c r="F1454" s="36" t="s">
        <v>2161</v>
      </c>
      <c r="G1454" s="36">
        <v>523100</v>
      </c>
      <c r="H1454" s="36" t="s">
        <v>2074</v>
      </c>
      <c r="I1454" s="37">
        <v>1.388E-2</v>
      </c>
      <c r="J1454" s="7"/>
      <c r="K1454" s="7" t="str">
        <f>VLOOKUP($E1454,Mapping!$E$11:$I$96,3,0)</f>
        <v>Replacement</v>
      </c>
      <c r="L1454" s="7" t="str">
        <f>VLOOKUP($G1454,Mapping!$E$140:$K$2771,5,0)</f>
        <v>Materials</v>
      </c>
      <c r="M1454" s="7" t="str">
        <f>VLOOKUP($G1454,Mapping!$E$140:$K$2771,7,0)</f>
        <v>ENDirect</v>
      </c>
      <c r="N1454" s="7" t="str">
        <f>IFERROR(HLOOKUP(L1454,'Calc|Weightings'!$K$5:$M$5,1,0),"Excl")</f>
        <v>Materials</v>
      </c>
      <c r="O1454" s="7" t="str">
        <f>VLOOKUP(E1454,Mapping!$E$11:$I$96,5,0)</f>
        <v>SCS</v>
      </c>
      <c r="Q1454" s="33">
        <v>161</v>
      </c>
      <c r="R1454" s="33" t="s">
        <v>2171</v>
      </c>
      <c r="S1454" s="33">
        <v>613440</v>
      </c>
      <c r="T1454" s="33" t="s">
        <v>2103</v>
      </c>
      <c r="U1454" s="34">
        <v>32.752249999999997</v>
      </c>
      <c r="V1454" s="7"/>
      <c r="W1454" s="7" t="str">
        <f>VLOOKUP($Q1454,Mapping!$E$11:$I$96,3,0)</f>
        <v>Augmentation</v>
      </c>
      <c r="X1454" s="7" t="str">
        <f>VLOOKUP($S1454,Mapping!$E$140:$K$2771,5,0)</f>
        <v>Labour</v>
      </c>
      <c r="Y1454" s="7" t="str">
        <f>VLOOKUP($S1454,Mapping!$E$140:$K$2771,7,0)</f>
        <v>ENDirect</v>
      </c>
      <c r="Z1454" s="7" t="str">
        <f>IFERROR(HLOOKUP(X1454,'Calc|Weightings'!$K$5:$M$5,1,0),"Excl")</f>
        <v>Labour</v>
      </c>
      <c r="AA1454" s="7" t="str">
        <f>VLOOKUP(Q1454,Mapping!$E$11:$I$96,5,0)</f>
        <v>SCS</v>
      </c>
      <c r="AC1454" s="111">
        <v>161</v>
      </c>
      <c r="AD1454" s="111" t="s">
        <v>2171</v>
      </c>
      <c r="AE1454" s="111">
        <v>613260</v>
      </c>
      <c r="AF1454" s="111" t="s">
        <v>2090</v>
      </c>
      <c r="AG1454" s="112">
        <v>391.88443000000001</v>
      </c>
      <c r="AI1454" s="7" t="str">
        <f>VLOOKUP($AC1454,Mapping!$E$11:$I$96,3,0)</f>
        <v>Augmentation</v>
      </c>
      <c r="AJ1454" s="7" t="str">
        <f>VLOOKUP($AE1454,Mapping!$E$140:$K$2771,5,0)</f>
        <v>Labour</v>
      </c>
      <c r="AK1454" s="7" t="str">
        <f>VLOOKUP($AE1454,Mapping!$E$140:$K$2771,7,0)</f>
        <v>ENDirect</v>
      </c>
      <c r="AL1454" s="7" t="str">
        <f>IFERROR(HLOOKUP(AJ1454,'Calc|Weightings'!$K$5:$M$5,1,0),"Excl")</f>
        <v>Labour</v>
      </c>
      <c r="AM1454" s="7" t="str">
        <f>VLOOKUP(AC1454,Mapping!$E$11:$I$96,5,0)</f>
        <v>SCS</v>
      </c>
      <c r="AO1454" s="134">
        <v>163</v>
      </c>
      <c r="AP1454" s="135" t="s">
        <v>2173</v>
      </c>
      <c r="AQ1454" s="135">
        <v>613566</v>
      </c>
      <c r="AR1454" s="135" t="s">
        <v>1482</v>
      </c>
      <c r="AS1454" s="136">
        <v>0.93423999999999996</v>
      </c>
      <c r="AU1454" s="7" t="str">
        <f>VLOOKUP($AO1454,Mapping!$E$11:$I$96,3,0)</f>
        <v>Replacement</v>
      </c>
      <c r="AV1454" s="7" t="str">
        <f>VLOOKUP($AQ1454,Mapping!$E$140:$K$2771,5,0)</f>
        <v>Labour</v>
      </c>
      <c r="AW1454" s="7" t="str">
        <f>VLOOKUP($AQ1454,Mapping!$E$140:$K$2771,7,0)</f>
        <v>ENDirect</v>
      </c>
      <c r="AX1454" s="7" t="str">
        <f>IFERROR(HLOOKUP(AV1454,'Calc|Weightings'!$K$5:$M$5,1,0),"Excl")</f>
        <v>Labour</v>
      </c>
      <c r="AY1454" s="7" t="str">
        <f>VLOOKUP(AO1454,Mapping!$E$11:$I$96,5,0)</f>
        <v>SCS</v>
      </c>
    </row>
    <row r="1455" spans="1:51" x14ac:dyDescent="0.2">
      <c r="A1455" s="7"/>
      <c r="B1455" s="7"/>
      <c r="C1455" s="7"/>
      <c r="D1455" s="7"/>
      <c r="E1455" s="36">
        <v>152</v>
      </c>
      <c r="F1455" s="36" t="s">
        <v>2161</v>
      </c>
      <c r="G1455" s="36">
        <v>523300</v>
      </c>
      <c r="H1455" s="36" t="s">
        <v>2075</v>
      </c>
      <c r="I1455" s="37">
        <v>1.0000000000000001E-5</v>
      </c>
      <c r="J1455" s="7"/>
      <c r="K1455" s="7" t="str">
        <f>VLOOKUP($E1455,Mapping!$E$11:$I$96,3,0)</f>
        <v>Replacement</v>
      </c>
      <c r="L1455" s="7" t="str">
        <f>VLOOKUP($G1455,Mapping!$E$140:$K$2771,5,0)</f>
        <v>Materials</v>
      </c>
      <c r="M1455" s="7" t="str">
        <f>VLOOKUP($G1455,Mapping!$E$140:$K$2771,7,0)</f>
        <v>ENDirect</v>
      </c>
      <c r="N1455" s="7" t="str">
        <f>IFERROR(HLOOKUP(L1455,'Calc|Weightings'!$K$5:$M$5,1,0),"Excl")</f>
        <v>Materials</v>
      </c>
      <c r="O1455" s="7" t="str">
        <f>VLOOKUP(E1455,Mapping!$E$11:$I$96,5,0)</f>
        <v>SCS</v>
      </c>
      <c r="Q1455" s="33">
        <v>161</v>
      </c>
      <c r="R1455" s="33" t="s">
        <v>2171</v>
      </c>
      <c r="S1455" s="33">
        <v>613460</v>
      </c>
      <c r="T1455" s="33" t="s">
        <v>2167</v>
      </c>
      <c r="U1455" s="34">
        <v>28.714559999999999</v>
      </c>
      <c r="V1455" s="7"/>
      <c r="W1455" s="7" t="str">
        <f>VLOOKUP($Q1455,Mapping!$E$11:$I$96,3,0)</f>
        <v>Augmentation</v>
      </c>
      <c r="X1455" s="7" t="str">
        <f>VLOOKUP($S1455,Mapping!$E$140:$K$2771,5,0)</f>
        <v>Labour</v>
      </c>
      <c r="Y1455" s="7" t="str">
        <f>VLOOKUP($S1455,Mapping!$E$140:$K$2771,7,0)</f>
        <v>ENDirect</v>
      </c>
      <c r="Z1455" s="7" t="str">
        <f>IFERROR(HLOOKUP(X1455,'Calc|Weightings'!$K$5:$M$5,1,0),"Excl")</f>
        <v>Labour</v>
      </c>
      <c r="AA1455" s="7" t="str">
        <f>VLOOKUP(Q1455,Mapping!$E$11:$I$96,5,0)</f>
        <v>SCS</v>
      </c>
      <c r="AC1455" s="111">
        <v>161</v>
      </c>
      <c r="AD1455" s="111" t="s">
        <v>2171</v>
      </c>
      <c r="AE1455" s="111">
        <v>613261</v>
      </c>
      <c r="AF1455" s="111" t="s">
        <v>2091</v>
      </c>
      <c r="AG1455" s="112">
        <v>51.503250000000001</v>
      </c>
      <c r="AI1455" s="7" t="str">
        <f>VLOOKUP($AC1455,Mapping!$E$11:$I$96,3,0)</f>
        <v>Augmentation</v>
      </c>
      <c r="AJ1455" s="7" t="str">
        <f>VLOOKUP($AE1455,Mapping!$E$140:$K$2771,5,0)</f>
        <v>Labour</v>
      </c>
      <c r="AK1455" s="7" t="str">
        <f>VLOOKUP($AE1455,Mapping!$E$140:$K$2771,7,0)</f>
        <v>ENDirect</v>
      </c>
      <c r="AL1455" s="7" t="str">
        <f>IFERROR(HLOOKUP(AJ1455,'Calc|Weightings'!$K$5:$M$5,1,0),"Excl")</f>
        <v>Labour</v>
      </c>
      <c r="AM1455" s="7" t="str">
        <f>VLOOKUP(AC1455,Mapping!$E$11:$I$96,5,0)</f>
        <v>SCS</v>
      </c>
      <c r="AO1455" s="134">
        <v>163</v>
      </c>
      <c r="AP1455" s="135" t="s">
        <v>2173</v>
      </c>
      <c r="AQ1455" s="135">
        <v>613576</v>
      </c>
      <c r="AR1455" s="135" t="s">
        <v>1490</v>
      </c>
      <c r="AS1455" s="136">
        <v>5.8514400000000002</v>
      </c>
      <c r="AU1455" s="7" t="str">
        <f>VLOOKUP($AO1455,Mapping!$E$11:$I$96,3,0)</f>
        <v>Replacement</v>
      </c>
      <c r="AV1455" s="7" t="str">
        <f>VLOOKUP($AQ1455,Mapping!$E$140:$K$2771,5,0)</f>
        <v>Labour</v>
      </c>
      <c r="AW1455" s="7" t="str">
        <f>VLOOKUP($AQ1455,Mapping!$E$140:$K$2771,7,0)</f>
        <v>ENDirect</v>
      </c>
      <c r="AX1455" s="7" t="str">
        <f>IFERROR(HLOOKUP(AV1455,'Calc|Weightings'!$K$5:$M$5,1,0),"Excl")</f>
        <v>Labour</v>
      </c>
      <c r="AY1455" s="7" t="str">
        <f>VLOOKUP(AO1455,Mapping!$E$11:$I$96,5,0)</f>
        <v>SCS</v>
      </c>
    </row>
    <row r="1456" spans="1:51" x14ac:dyDescent="0.2">
      <c r="A1456" s="7"/>
      <c r="B1456" s="7"/>
      <c r="C1456" s="7"/>
      <c r="D1456" s="7"/>
      <c r="E1456" s="36">
        <v>152</v>
      </c>
      <c r="F1456" s="36" t="s">
        <v>2161</v>
      </c>
      <c r="G1456" s="36">
        <v>531035</v>
      </c>
      <c r="H1456" s="36" t="s">
        <v>244</v>
      </c>
      <c r="I1456" s="37">
        <v>3.2300000000000002E-2</v>
      </c>
      <c r="J1456" s="7"/>
      <c r="K1456" s="7" t="str">
        <f>VLOOKUP($E1456,Mapping!$E$11:$I$96,3,0)</f>
        <v>Replacement</v>
      </c>
      <c r="L1456" s="7" t="str">
        <f>VLOOKUP($G1456,Mapping!$E$140:$K$2771,5,0)</f>
        <v>Labour</v>
      </c>
      <c r="M1456" s="7" t="str">
        <f>VLOOKUP($G1456,Mapping!$E$140:$K$2771,7,0)</f>
        <v>ENDirect</v>
      </c>
      <c r="N1456" s="7" t="str">
        <f>IFERROR(HLOOKUP(L1456,'Calc|Weightings'!$K$5:$M$5,1,0),"Excl")</f>
        <v>Labour</v>
      </c>
      <c r="O1456" s="7" t="str">
        <f>VLOOKUP(E1456,Mapping!$E$11:$I$96,5,0)</f>
        <v>SCS</v>
      </c>
      <c r="Q1456" s="33">
        <v>161</v>
      </c>
      <c r="R1456" s="33" t="s">
        <v>2171</v>
      </c>
      <c r="S1456" s="33">
        <v>613566</v>
      </c>
      <c r="T1456" s="33" t="s">
        <v>1482</v>
      </c>
      <c r="U1456" s="34">
        <v>11.6938</v>
      </c>
      <c r="V1456" s="7"/>
      <c r="W1456" s="7" t="str">
        <f>VLOOKUP($Q1456,Mapping!$E$11:$I$96,3,0)</f>
        <v>Augmentation</v>
      </c>
      <c r="X1456" s="7" t="str">
        <f>VLOOKUP($S1456,Mapping!$E$140:$K$2771,5,0)</f>
        <v>Labour</v>
      </c>
      <c r="Y1456" s="7" t="str">
        <f>VLOOKUP($S1456,Mapping!$E$140:$K$2771,7,0)</f>
        <v>ENDirect</v>
      </c>
      <c r="Z1456" s="7" t="str">
        <f>IFERROR(HLOOKUP(X1456,'Calc|Weightings'!$K$5:$M$5,1,0),"Excl")</f>
        <v>Labour</v>
      </c>
      <c r="AA1456" s="7" t="str">
        <f>VLOOKUP(Q1456,Mapping!$E$11:$I$96,5,0)</f>
        <v>SCS</v>
      </c>
      <c r="AC1456" s="111">
        <v>161</v>
      </c>
      <c r="AD1456" s="111" t="s">
        <v>2171</v>
      </c>
      <c r="AE1456" s="111">
        <v>613280</v>
      </c>
      <c r="AF1456" s="111" t="s">
        <v>1342</v>
      </c>
      <c r="AG1456" s="112">
        <v>26.30172</v>
      </c>
      <c r="AI1456" s="7" t="str">
        <f>VLOOKUP($AC1456,Mapping!$E$11:$I$96,3,0)</f>
        <v>Augmentation</v>
      </c>
      <c r="AJ1456" s="7" t="str">
        <f>VLOOKUP($AE1456,Mapping!$E$140:$K$2771,5,0)</f>
        <v>Labour</v>
      </c>
      <c r="AK1456" s="7" t="str">
        <f>VLOOKUP($AE1456,Mapping!$E$140:$K$2771,7,0)</f>
        <v>ENDirect</v>
      </c>
      <c r="AL1456" s="7" t="str">
        <f>IFERROR(HLOOKUP(AJ1456,'Calc|Weightings'!$K$5:$M$5,1,0),"Excl")</f>
        <v>Labour</v>
      </c>
      <c r="AM1456" s="7" t="str">
        <f>VLOOKUP(AC1456,Mapping!$E$11:$I$96,5,0)</f>
        <v>SCS</v>
      </c>
      <c r="AO1456" s="134">
        <v>163</v>
      </c>
      <c r="AP1456" s="135" t="s">
        <v>2173</v>
      </c>
      <c r="AQ1456" s="135">
        <v>613577</v>
      </c>
      <c r="AR1456" s="135" t="s">
        <v>1491</v>
      </c>
      <c r="AS1456" s="136">
        <v>2.66784</v>
      </c>
      <c r="AU1456" s="7" t="str">
        <f>VLOOKUP($AO1456,Mapping!$E$11:$I$96,3,0)</f>
        <v>Replacement</v>
      </c>
      <c r="AV1456" s="7" t="str">
        <f>VLOOKUP($AQ1456,Mapping!$E$140:$K$2771,5,0)</f>
        <v>Labour</v>
      </c>
      <c r="AW1456" s="7" t="str">
        <f>VLOOKUP($AQ1456,Mapping!$E$140:$K$2771,7,0)</f>
        <v>ENDirect</v>
      </c>
      <c r="AX1456" s="7" t="str">
        <f>IFERROR(HLOOKUP(AV1456,'Calc|Weightings'!$K$5:$M$5,1,0),"Excl")</f>
        <v>Labour</v>
      </c>
      <c r="AY1456" s="7" t="str">
        <f>VLOOKUP(AO1456,Mapping!$E$11:$I$96,5,0)</f>
        <v>SCS</v>
      </c>
    </row>
    <row r="1457" spans="1:51" x14ac:dyDescent="0.2">
      <c r="A1457" s="7"/>
      <c r="B1457" s="7"/>
      <c r="C1457" s="7"/>
      <c r="D1457" s="7"/>
      <c r="E1457" s="36">
        <v>152</v>
      </c>
      <c r="F1457" s="36" t="s">
        <v>2161</v>
      </c>
      <c r="G1457" s="36">
        <v>531200</v>
      </c>
      <c r="H1457" s="36" t="s">
        <v>250</v>
      </c>
      <c r="I1457" s="37">
        <v>-84.020899999999997</v>
      </c>
      <c r="J1457" s="7"/>
      <c r="K1457" s="7" t="str">
        <f>VLOOKUP($E1457,Mapping!$E$11:$I$96,3,0)</f>
        <v>Replacement</v>
      </c>
      <c r="L1457" s="7" t="str">
        <f>VLOOKUP($G1457,Mapping!$E$140:$K$2771,5,0)</f>
        <v>Contracts</v>
      </c>
      <c r="M1457" s="7" t="str">
        <f>VLOOKUP($G1457,Mapping!$E$140:$K$2771,7,0)</f>
        <v>ENDirect</v>
      </c>
      <c r="N1457" s="7" t="str">
        <f>IFERROR(HLOOKUP(L1457,'Calc|Weightings'!$K$5:$M$5,1,0),"Excl")</f>
        <v>Contracts</v>
      </c>
      <c r="O1457" s="7" t="str">
        <f>VLOOKUP(E1457,Mapping!$E$11:$I$96,5,0)</f>
        <v>SCS</v>
      </c>
      <c r="Q1457" s="33">
        <v>161</v>
      </c>
      <c r="R1457" s="33" t="s">
        <v>2171</v>
      </c>
      <c r="S1457" s="33">
        <v>613567</v>
      </c>
      <c r="T1457" s="33" t="s">
        <v>1483</v>
      </c>
      <c r="U1457" s="34">
        <v>0.29282000000000002</v>
      </c>
      <c r="V1457" s="7"/>
      <c r="W1457" s="7" t="str">
        <f>VLOOKUP($Q1457,Mapping!$E$11:$I$96,3,0)</f>
        <v>Augmentation</v>
      </c>
      <c r="X1457" s="7" t="str">
        <f>VLOOKUP($S1457,Mapping!$E$140:$K$2771,5,0)</f>
        <v>Labour</v>
      </c>
      <c r="Y1457" s="7" t="str">
        <f>VLOOKUP($S1457,Mapping!$E$140:$K$2771,7,0)</f>
        <v>ENDirect</v>
      </c>
      <c r="Z1457" s="7" t="str">
        <f>IFERROR(HLOOKUP(X1457,'Calc|Weightings'!$K$5:$M$5,1,0),"Excl")</f>
        <v>Labour</v>
      </c>
      <c r="AA1457" s="7" t="str">
        <f>VLOOKUP(Q1457,Mapping!$E$11:$I$96,5,0)</f>
        <v>SCS</v>
      </c>
      <c r="AC1457" s="111">
        <v>161</v>
      </c>
      <c r="AD1457" s="111" t="s">
        <v>2171</v>
      </c>
      <c r="AE1457" s="111">
        <v>613290</v>
      </c>
      <c r="AF1457" s="111" t="s">
        <v>2093</v>
      </c>
      <c r="AG1457" s="112">
        <v>288.69832000000002</v>
      </c>
      <c r="AI1457" s="7" t="str">
        <f>VLOOKUP($AC1457,Mapping!$E$11:$I$96,3,0)</f>
        <v>Augmentation</v>
      </c>
      <c r="AJ1457" s="7" t="str">
        <f>VLOOKUP($AE1457,Mapping!$E$140:$K$2771,5,0)</f>
        <v>Labour</v>
      </c>
      <c r="AK1457" s="7" t="str">
        <f>VLOOKUP($AE1457,Mapping!$E$140:$K$2771,7,0)</f>
        <v>ENDirect</v>
      </c>
      <c r="AL1457" s="7" t="str">
        <f>IFERROR(HLOOKUP(AJ1457,'Calc|Weightings'!$K$5:$M$5,1,0),"Excl")</f>
        <v>Labour</v>
      </c>
      <c r="AM1457" s="7" t="str">
        <f>VLOOKUP(AC1457,Mapping!$E$11:$I$96,5,0)</f>
        <v>SCS</v>
      </c>
      <c r="AO1457" s="134">
        <v>163</v>
      </c>
      <c r="AP1457" s="135" t="s">
        <v>2173</v>
      </c>
      <c r="AQ1457" s="135">
        <v>613630</v>
      </c>
      <c r="AR1457" s="135" t="s">
        <v>1498</v>
      </c>
      <c r="AS1457" s="136">
        <v>16.451799999999999</v>
      </c>
      <c r="AU1457" s="7" t="str">
        <f>VLOOKUP($AO1457,Mapping!$E$11:$I$96,3,0)</f>
        <v>Replacement</v>
      </c>
      <c r="AV1457" s="7" t="str">
        <f>VLOOKUP($AQ1457,Mapping!$E$140:$K$2771,5,0)</f>
        <v>Labour</v>
      </c>
      <c r="AW1457" s="7" t="str">
        <f>VLOOKUP($AQ1457,Mapping!$E$140:$K$2771,7,0)</f>
        <v>ENDirect</v>
      </c>
      <c r="AX1457" s="7" t="str">
        <f>IFERROR(HLOOKUP(AV1457,'Calc|Weightings'!$K$5:$M$5,1,0),"Excl")</f>
        <v>Labour</v>
      </c>
      <c r="AY1457" s="7" t="str">
        <f>VLOOKUP(AO1457,Mapping!$E$11:$I$96,5,0)</f>
        <v>SCS</v>
      </c>
    </row>
    <row r="1458" spans="1:51" x14ac:dyDescent="0.2">
      <c r="A1458" s="7"/>
      <c r="B1458" s="7"/>
      <c r="C1458" s="7"/>
      <c r="D1458" s="7"/>
      <c r="E1458" s="36">
        <v>152</v>
      </c>
      <c r="F1458" s="36" t="s">
        <v>2161</v>
      </c>
      <c r="G1458" s="36">
        <v>531464</v>
      </c>
      <c r="H1458" s="36" t="s">
        <v>256</v>
      </c>
      <c r="I1458" s="37">
        <v>1.88253</v>
      </c>
      <c r="J1458" s="7"/>
      <c r="K1458" s="7" t="str">
        <f>VLOOKUP($E1458,Mapping!$E$11:$I$96,3,0)</f>
        <v>Replacement</v>
      </c>
      <c r="L1458" s="7" t="str">
        <f>VLOOKUP($G1458,Mapping!$E$140:$K$2771,5,0)</f>
        <v>Contracts</v>
      </c>
      <c r="M1458" s="7" t="str">
        <f>VLOOKUP($G1458,Mapping!$E$140:$K$2771,7,0)</f>
        <v>ENDirect</v>
      </c>
      <c r="N1458" s="7" t="str">
        <f>IFERROR(HLOOKUP(L1458,'Calc|Weightings'!$K$5:$M$5,1,0),"Excl")</f>
        <v>Contracts</v>
      </c>
      <c r="O1458" s="7" t="str">
        <f>VLOOKUP(E1458,Mapping!$E$11:$I$96,5,0)</f>
        <v>SCS</v>
      </c>
      <c r="Q1458" s="33">
        <v>161</v>
      </c>
      <c r="R1458" s="33" t="s">
        <v>2171</v>
      </c>
      <c r="S1458" s="33">
        <v>613570</v>
      </c>
      <c r="T1458" s="33" t="s">
        <v>1484</v>
      </c>
      <c r="U1458" s="34">
        <v>2.9315799999999999</v>
      </c>
      <c r="V1458" s="7"/>
      <c r="W1458" s="7" t="str">
        <f>VLOOKUP($Q1458,Mapping!$E$11:$I$96,3,0)</f>
        <v>Augmentation</v>
      </c>
      <c r="X1458" s="7" t="str">
        <f>VLOOKUP($S1458,Mapping!$E$140:$K$2771,5,0)</f>
        <v>Labour</v>
      </c>
      <c r="Y1458" s="7" t="str">
        <f>VLOOKUP($S1458,Mapping!$E$140:$K$2771,7,0)</f>
        <v>ENDirect</v>
      </c>
      <c r="Z1458" s="7" t="str">
        <f>IFERROR(HLOOKUP(X1458,'Calc|Weightings'!$K$5:$M$5,1,0),"Excl")</f>
        <v>Labour</v>
      </c>
      <c r="AA1458" s="7" t="str">
        <f>VLOOKUP(Q1458,Mapping!$E$11:$I$96,5,0)</f>
        <v>SCS</v>
      </c>
      <c r="AC1458" s="111">
        <v>161</v>
      </c>
      <c r="AD1458" s="111" t="s">
        <v>2171</v>
      </c>
      <c r="AE1458" s="111">
        <v>613298</v>
      </c>
      <c r="AF1458" s="111" t="s">
        <v>2122</v>
      </c>
      <c r="AG1458" s="112">
        <v>-2.9157700000000002</v>
      </c>
      <c r="AI1458" s="7" t="str">
        <f>VLOOKUP($AC1458,Mapping!$E$11:$I$96,3,0)</f>
        <v>Augmentation</v>
      </c>
      <c r="AJ1458" s="7" t="str">
        <f>VLOOKUP($AE1458,Mapping!$E$140:$K$2771,5,0)</f>
        <v>Labour</v>
      </c>
      <c r="AK1458" s="7" t="str">
        <f>VLOOKUP($AE1458,Mapping!$E$140:$K$2771,7,0)</f>
        <v>ENDirect</v>
      </c>
      <c r="AL1458" s="7" t="str">
        <f>IFERROR(HLOOKUP(AJ1458,'Calc|Weightings'!$K$5:$M$5,1,0),"Excl")</f>
        <v>Labour</v>
      </c>
      <c r="AM1458" s="7" t="str">
        <f>VLOOKUP(AC1458,Mapping!$E$11:$I$96,5,0)</f>
        <v>SCS</v>
      </c>
      <c r="AO1458" s="134">
        <v>163</v>
      </c>
      <c r="AP1458" s="135" t="s">
        <v>2173</v>
      </c>
      <c r="AQ1458" s="135">
        <v>613680</v>
      </c>
      <c r="AR1458" s="135" t="s">
        <v>2107</v>
      </c>
      <c r="AS1458" s="136">
        <v>106.97736</v>
      </c>
      <c r="AU1458" s="7" t="str">
        <f>VLOOKUP($AO1458,Mapping!$E$11:$I$96,3,0)</f>
        <v>Replacement</v>
      </c>
      <c r="AV1458" s="7" t="str">
        <f>VLOOKUP($AQ1458,Mapping!$E$140:$K$2771,5,0)</f>
        <v>Labour</v>
      </c>
      <c r="AW1458" s="7" t="str">
        <f>VLOOKUP($AQ1458,Mapping!$E$140:$K$2771,7,0)</f>
        <v>ENDirect</v>
      </c>
      <c r="AX1458" s="7" t="str">
        <f>IFERROR(HLOOKUP(AV1458,'Calc|Weightings'!$K$5:$M$5,1,0),"Excl")</f>
        <v>Labour</v>
      </c>
      <c r="AY1458" s="7" t="str">
        <f>VLOOKUP(AO1458,Mapping!$E$11:$I$96,5,0)</f>
        <v>SCS</v>
      </c>
    </row>
    <row r="1459" spans="1:51" x14ac:dyDescent="0.2">
      <c r="A1459" s="7"/>
      <c r="B1459" s="7"/>
      <c r="C1459" s="7"/>
      <c r="D1459" s="7"/>
      <c r="E1459" s="36">
        <v>152</v>
      </c>
      <c r="F1459" s="36" t="s">
        <v>2161</v>
      </c>
      <c r="G1459" s="36">
        <v>531466</v>
      </c>
      <c r="H1459" s="36" t="s">
        <v>258</v>
      </c>
      <c r="I1459" s="37">
        <v>1.4252</v>
      </c>
      <c r="J1459" s="7"/>
      <c r="K1459" s="7" t="str">
        <f>VLOOKUP($E1459,Mapping!$E$11:$I$96,3,0)</f>
        <v>Replacement</v>
      </c>
      <c r="L1459" s="7" t="str">
        <f>VLOOKUP($G1459,Mapping!$E$140:$K$2771,5,0)</f>
        <v>Contracts</v>
      </c>
      <c r="M1459" s="7" t="str">
        <f>VLOOKUP($G1459,Mapping!$E$140:$K$2771,7,0)</f>
        <v>ENDirect</v>
      </c>
      <c r="N1459" s="7" t="str">
        <f>IFERROR(HLOOKUP(L1459,'Calc|Weightings'!$K$5:$M$5,1,0),"Excl")</f>
        <v>Contracts</v>
      </c>
      <c r="O1459" s="7" t="str">
        <f>VLOOKUP(E1459,Mapping!$E$11:$I$96,5,0)</f>
        <v>SCS</v>
      </c>
      <c r="Q1459" s="33">
        <v>161</v>
      </c>
      <c r="R1459" s="33" t="s">
        <v>2171</v>
      </c>
      <c r="S1459" s="33">
        <v>613574</v>
      </c>
      <c r="T1459" s="33" t="s">
        <v>1488</v>
      </c>
      <c r="U1459" s="34">
        <v>6.5233699999999999</v>
      </c>
      <c r="V1459" s="7"/>
      <c r="W1459" s="7" t="str">
        <f>VLOOKUP($Q1459,Mapping!$E$11:$I$96,3,0)</f>
        <v>Augmentation</v>
      </c>
      <c r="X1459" s="7" t="str">
        <f>VLOOKUP($S1459,Mapping!$E$140:$K$2771,5,0)</f>
        <v>Labour</v>
      </c>
      <c r="Y1459" s="7" t="str">
        <f>VLOOKUP($S1459,Mapping!$E$140:$K$2771,7,0)</f>
        <v>ENDirect</v>
      </c>
      <c r="Z1459" s="7" t="str">
        <f>IFERROR(HLOOKUP(X1459,'Calc|Weightings'!$K$5:$M$5,1,0),"Excl")</f>
        <v>Labour</v>
      </c>
      <c r="AA1459" s="7" t="str">
        <f>VLOOKUP(Q1459,Mapping!$E$11:$I$96,5,0)</f>
        <v>SCS</v>
      </c>
      <c r="AC1459" s="111">
        <v>161</v>
      </c>
      <c r="AD1459" s="111" t="s">
        <v>2171</v>
      </c>
      <c r="AE1459" s="111">
        <v>613310</v>
      </c>
      <c r="AF1459" s="111" t="s">
        <v>2095</v>
      </c>
      <c r="AG1459" s="112">
        <v>134.80414999999999</v>
      </c>
      <c r="AI1459" s="7" t="str">
        <f>VLOOKUP($AC1459,Mapping!$E$11:$I$96,3,0)</f>
        <v>Augmentation</v>
      </c>
      <c r="AJ1459" s="7" t="str">
        <f>VLOOKUP($AE1459,Mapping!$E$140:$K$2771,5,0)</f>
        <v>Labour</v>
      </c>
      <c r="AK1459" s="7" t="str">
        <f>VLOOKUP($AE1459,Mapping!$E$140:$K$2771,7,0)</f>
        <v>ENDirect</v>
      </c>
      <c r="AL1459" s="7" t="str">
        <f>IFERROR(HLOOKUP(AJ1459,'Calc|Weightings'!$K$5:$M$5,1,0),"Excl")</f>
        <v>Labour</v>
      </c>
      <c r="AM1459" s="7" t="str">
        <f>VLOOKUP(AC1459,Mapping!$E$11:$I$96,5,0)</f>
        <v>SCS</v>
      </c>
      <c r="AO1459" s="134">
        <v>163</v>
      </c>
      <c r="AP1459" s="135" t="s">
        <v>2173</v>
      </c>
      <c r="AQ1459" s="135">
        <v>634001</v>
      </c>
      <c r="AR1459" s="135" t="s">
        <v>2110</v>
      </c>
      <c r="AS1459" s="136">
        <v>77.883780000000002</v>
      </c>
      <c r="AU1459" s="7" t="str">
        <f>VLOOKUP($AO1459,Mapping!$E$11:$I$96,3,0)</f>
        <v>Replacement</v>
      </c>
      <c r="AV1459" s="7" t="str">
        <f>VLOOKUP($AQ1459,Mapping!$E$140:$K$2771,5,0)</f>
        <v>Local OH</v>
      </c>
      <c r="AW1459" s="7" t="str">
        <f>VLOOKUP($AQ1459,Mapping!$E$140:$K$2771,7,0)</f>
        <v>OH</v>
      </c>
      <c r="AX1459" s="7" t="str">
        <f>IFERROR(HLOOKUP(AV1459,'Calc|Weightings'!$K$5:$M$5,1,0),"Excl")</f>
        <v>Excl</v>
      </c>
      <c r="AY1459" s="7" t="str">
        <f>VLOOKUP(AO1459,Mapping!$E$11:$I$96,5,0)</f>
        <v>SCS</v>
      </c>
    </row>
    <row r="1460" spans="1:51" x14ac:dyDescent="0.2">
      <c r="A1460" s="7"/>
      <c r="B1460" s="7"/>
      <c r="C1460" s="7"/>
      <c r="D1460" s="7"/>
      <c r="E1460" s="36">
        <v>152</v>
      </c>
      <c r="F1460" s="36" t="s">
        <v>2161</v>
      </c>
      <c r="G1460" s="36">
        <v>531467</v>
      </c>
      <c r="H1460" s="36" t="s">
        <v>259</v>
      </c>
      <c r="I1460" s="37">
        <v>21.823799999999999</v>
      </c>
      <c r="J1460" s="7"/>
      <c r="K1460" s="7" t="str">
        <f>VLOOKUP($E1460,Mapping!$E$11:$I$96,3,0)</f>
        <v>Replacement</v>
      </c>
      <c r="L1460" s="7" t="str">
        <f>VLOOKUP($G1460,Mapping!$E$140:$K$2771,5,0)</f>
        <v>Contracts</v>
      </c>
      <c r="M1460" s="7" t="str">
        <f>VLOOKUP($G1460,Mapping!$E$140:$K$2771,7,0)</f>
        <v>ENDirect</v>
      </c>
      <c r="N1460" s="7" t="str">
        <f>IFERROR(HLOOKUP(L1460,'Calc|Weightings'!$K$5:$M$5,1,0),"Excl")</f>
        <v>Contracts</v>
      </c>
      <c r="O1460" s="7" t="str">
        <f>VLOOKUP(E1460,Mapping!$E$11:$I$96,5,0)</f>
        <v>SCS</v>
      </c>
      <c r="Q1460" s="33">
        <v>161</v>
      </c>
      <c r="R1460" s="33" t="s">
        <v>2171</v>
      </c>
      <c r="S1460" s="33">
        <v>613575</v>
      </c>
      <c r="T1460" s="33" t="s">
        <v>1489</v>
      </c>
      <c r="U1460" s="34">
        <v>0.45422000000000001</v>
      </c>
      <c r="V1460" s="7"/>
      <c r="W1460" s="7" t="str">
        <f>VLOOKUP($Q1460,Mapping!$E$11:$I$96,3,0)</f>
        <v>Augmentation</v>
      </c>
      <c r="X1460" s="7" t="str">
        <f>VLOOKUP($S1460,Mapping!$E$140:$K$2771,5,0)</f>
        <v>Labour</v>
      </c>
      <c r="Y1460" s="7" t="str">
        <f>VLOOKUP($S1460,Mapping!$E$140:$K$2771,7,0)</f>
        <v>ENDirect</v>
      </c>
      <c r="Z1460" s="7" t="str">
        <f>IFERROR(HLOOKUP(X1460,'Calc|Weightings'!$K$5:$M$5,1,0),"Excl")</f>
        <v>Labour</v>
      </c>
      <c r="AA1460" s="7" t="str">
        <f>VLOOKUP(Q1460,Mapping!$E$11:$I$96,5,0)</f>
        <v>SCS</v>
      </c>
      <c r="AC1460" s="111">
        <v>161</v>
      </c>
      <c r="AD1460" s="111" t="s">
        <v>2171</v>
      </c>
      <c r="AE1460" s="111">
        <v>613311</v>
      </c>
      <c r="AF1460" s="111" t="s">
        <v>2116</v>
      </c>
      <c r="AG1460" s="112">
        <v>32.193959999999997</v>
      </c>
      <c r="AI1460" s="7" t="str">
        <f>VLOOKUP($AC1460,Mapping!$E$11:$I$96,3,0)</f>
        <v>Augmentation</v>
      </c>
      <c r="AJ1460" s="7" t="str">
        <f>VLOOKUP($AE1460,Mapping!$E$140:$K$2771,5,0)</f>
        <v>Labour</v>
      </c>
      <c r="AK1460" s="7" t="str">
        <f>VLOOKUP($AE1460,Mapping!$E$140:$K$2771,7,0)</f>
        <v>ENDirect</v>
      </c>
      <c r="AL1460" s="7" t="str">
        <f>IFERROR(HLOOKUP(AJ1460,'Calc|Weightings'!$K$5:$M$5,1,0),"Excl")</f>
        <v>Labour</v>
      </c>
      <c r="AM1460" s="7" t="str">
        <f>VLOOKUP(AC1460,Mapping!$E$11:$I$96,5,0)</f>
        <v>SCS</v>
      </c>
      <c r="AO1460" s="134">
        <v>163</v>
      </c>
      <c r="AP1460" s="135" t="s">
        <v>2173</v>
      </c>
      <c r="AQ1460" s="135">
        <v>635001</v>
      </c>
      <c r="AR1460" s="135" t="s">
        <v>1929</v>
      </c>
      <c r="AS1460" s="136">
        <v>29.0854</v>
      </c>
      <c r="AU1460" s="7" t="str">
        <f>VLOOKUP($AO1460,Mapping!$E$11:$I$96,3,0)</f>
        <v>Replacement</v>
      </c>
      <c r="AV1460" s="7" t="str">
        <f>VLOOKUP($AQ1460,Mapping!$E$140:$K$2771,5,0)</f>
        <v>PNS MG</v>
      </c>
      <c r="AW1460" s="7" t="str">
        <f>VLOOKUP($AQ1460,Mapping!$E$140:$K$2771,7,0)</f>
        <v>ENDirect</v>
      </c>
      <c r="AX1460" s="7" t="str">
        <f>IFERROR(HLOOKUP(AV1460,'Calc|Weightings'!$K$5:$M$5,1,0),"Excl")</f>
        <v>Excl</v>
      </c>
      <c r="AY1460" s="7" t="str">
        <f>VLOOKUP(AO1460,Mapping!$E$11:$I$96,5,0)</f>
        <v>SCS</v>
      </c>
    </row>
    <row r="1461" spans="1:51" x14ac:dyDescent="0.2">
      <c r="A1461" s="7"/>
      <c r="B1461" s="7"/>
      <c r="C1461" s="7"/>
      <c r="D1461" s="7"/>
      <c r="E1461" s="36">
        <v>152</v>
      </c>
      <c r="F1461" s="36" t="s">
        <v>2161</v>
      </c>
      <c r="G1461" s="36">
        <v>531468</v>
      </c>
      <c r="H1461" s="36" t="s">
        <v>260</v>
      </c>
      <c r="I1461" s="37">
        <v>1.62934</v>
      </c>
      <c r="J1461" s="7"/>
      <c r="K1461" s="7" t="str">
        <f>VLOOKUP($E1461,Mapping!$E$11:$I$96,3,0)</f>
        <v>Replacement</v>
      </c>
      <c r="L1461" s="7" t="str">
        <f>VLOOKUP($G1461,Mapping!$E$140:$K$2771,5,0)</f>
        <v>Contracts</v>
      </c>
      <c r="M1461" s="7" t="str">
        <f>VLOOKUP($G1461,Mapping!$E$140:$K$2771,7,0)</f>
        <v>ENDirect</v>
      </c>
      <c r="N1461" s="7" t="str">
        <f>IFERROR(HLOOKUP(L1461,'Calc|Weightings'!$K$5:$M$5,1,0),"Excl")</f>
        <v>Contracts</v>
      </c>
      <c r="O1461" s="7" t="str">
        <f>VLOOKUP(E1461,Mapping!$E$11:$I$96,5,0)</f>
        <v>SCS</v>
      </c>
      <c r="Q1461" s="33">
        <v>161</v>
      </c>
      <c r="R1461" s="33" t="s">
        <v>2171</v>
      </c>
      <c r="S1461" s="33">
        <v>613576</v>
      </c>
      <c r="T1461" s="33" t="s">
        <v>1490</v>
      </c>
      <c r="U1461" s="34">
        <v>3.8456999999999999</v>
      </c>
      <c r="V1461" s="7"/>
      <c r="W1461" s="7" t="str">
        <f>VLOOKUP($Q1461,Mapping!$E$11:$I$96,3,0)</f>
        <v>Augmentation</v>
      </c>
      <c r="X1461" s="7" t="str">
        <f>VLOOKUP($S1461,Mapping!$E$140:$K$2771,5,0)</f>
        <v>Labour</v>
      </c>
      <c r="Y1461" s="7" t="str">
        <f>VLOOKUP($S1461,Mapping!$E$140:$K$2771,7,0)</f>
        <v>ENDirect</v>
      </c>
      <c r="Z1461" s="7" t="str">
        <f>IFERROR(HLOOKUP(X1461,'Calc|Weightings'!$K$5:$M$5,1,0),"Excl")</f>
        <v>Labour</v>
      </c>
      <c r="AA1461" s="7" t="str">
        <f>VLOOKUP(Q1461,Mapping!$E$11:$I$96,5,0)</f>
        <v>SCS</v>
      </c>
      <c r="AC1461" s="111">
        <v>161</v>
      </c>
      <c r="AD1461" s="111" t="s">
        <v>2171</v>
      </c>
      <c r="AE1461" s="111">
        <v>613350</v>
      </c>
      <c r="AF1461" s="111" t="s">
        <v>2096</v>
      </c>
      <c r="AG1461" s="112">
        <v>4.54983</v>
      </c>
      <c r="AI1461" s="7" t="str">
        <f>VLOOKUP($AC1461,Mapping!$E$11:$I$96,3,0)</f>
        <v>Augmentation</v>
      </c>
      <c r="AJ1461" s="7" t="str">
        <f>VLOOKUP($AE1461,Mapping!$E$140:$K$2771,5,0)</f>
        <v>Labour</v>
      </c>
      <c r="AK1461" s="7" t="str">
        <f>VLOOKUP($AE1461,Mapping!$E$140:$K$2771,7,0)</f>
        <v>ENDirect</v>
      </c>
      <c r="AL1461" s="7" t="str">
        <f>IFERROR(HLOOKUP(AJ1461,'Calc|Weightings'!$K$5:$M$5,1,0),"Excl")</f>
        <v>Labour</v>
      </c>
      <c r="AM1461" s="7" t="str">
        <f>VLOOKUP(AC1461,Mapping!$E$11:$I$96,5,0)</f>
        <v>SCS</v>
      </c>
      <c r="AO1461" s="134">
        <v>163</v>
      </c>
      <c r="AP1461" s="135" t="s">
        <v>2173</v>
      </c>
      <c r="AQ1461" s="135">
        <v>636001</v>
      </c>
      <c r="AR1461" s="135" t="s">
        <v>2111</v>
      </c>
      <c r="AS1461" s="136">
        <v>57.916150000000002</v>
      </c>
      <c r="AU1461" s="7" t="str">
        <f>VLOOKUP($AO1461,Mapping!$E$11:$I$96,3,0)</f>
        <v>Replacement</v>
      </c>
      <c r="AV1461" s="7" t="str">
        <f>VLOOKUP($AQ1461,Mapping!$E$140:$K$2771,5,0)</f>
        <v>System Control OH</v>
      </c>
      <c r="AW1461" s="7" t="str">
        <f>VLOOKUP($AQ1461,Mapping!$E$140:$K$2771,7,0)</f>
        <v>OH</v>
      </c>
      <c r="AX1461" s="7" t="str">
        <f>IFERROR(HLOOKUP(AV1461,'Calc|Weightings'!$K$5:$M$5,1,0),"Excl")</f>
        <v>Excl</v>
      </c>
      <c r="AY1461" s="7" t="str">
        <f>VLOOKUP(AO1461,Mapping!$E$11:$I$96,5,0)</f>
        <v>SCS</v>
      </c>
    </row>
    <row r="1462" spans="1:51" x14ac:dyDescent="0.2">
      <c r="A1462" s="7"/>
      <c r="B1462" s="7"/>
      <c r="C1462" s="7"/>
      <c r="D1462" s="7"/>
      <c r="E1462" s="36">
        <v>152</v>
      </c>
      <c r="F1462" s="36" t="s">
        <v>2161</v>
      </c>
      <c r="G1462" s="36">
        <v>531480</v>
      </c>
      <c r="H1462" s="36" t="s">
        <v>2076</v>
      </c>
      <c r="I1462" s="37">
        <v>4.9919999999999999E-2</v>
      </c>
      <c r="J1462" s="7"/>
      <c r="K1462" s="7" t="str">
        <f>VLOOKUP($E1462,Mapping!$E$11:$I$96,3,0)</f>
        <v>Replacement</v>
      </c>
      <c r="L1462" s="7" t="str">
        <f>VLOOKUP($G1462,Mapping!$E$140:$K$2771,5,0)</f>
        <v>Labour</v>
      </c>
      <c r="M1462" s="7" t="str">
        <f>VLOOKUP($G1462,Mapping!$E$140:$K$2771,7,0)</f>
        <v>ENDirect</v>
      </c>
      <c r="N1462" s="7" t="str">
        <f>IFERROR(HLOOKUP(L1462,'Calc|Weightings'!$K$5:$M$5,1,0),"Excl")</f>
        <v>Labour</v>
      </c>
      <c r="O1462" s="7" t="str">
        <f>VLOOKUP(E1462,Mapping!$E$11:$I$96,5,0)</f>
        <v>SCS</v>
      </c>
      <c r="Q1462" s="33">
        <v>161</v>
      </c>
      <c r="R1462" s="33" t="s">
        <v>2171</v>
      </c>
      <c r="S1462" s="33">
        <v>613577</v>
      </c>
      <c r="T1462" s="33" t="s">
        <v>1491</v>
      </c>
      <c r="U1462" s="34">
        <v>0.60760000000000003</v>
      </c>
      <c r="V1462" s="7"/>
      <c r="W1462" s="7" t="str">
        <f>VLOOKUP($Q1462,Mapping!$E$11:$I$96,3,0)</f>
        <v>Augmentation</v>
      </c>
      <c r="X1462" s="7" t="str">
        <f>VLOOKUP($S1462,Mapping!$E$140:$K$2771,5,0)</f>
        <v>Labour</v>
      </c>
      <c r="Y1462" s="7" t="str">
        <f>VLOOKUP($S1462,Mapping!$E$140:$K$2771,7,0)</f>
        <v>ENDirect</v>
      </c>
      <c r="Z1462" s="7" t="str">
        <f>IFERROR(HLOOKUP(X1462,'Calc|Weightings'!$K$5:$M$5,1,0),"Excl")</f>
        <v>Labour</v>
      </c>
      <c r="AA1462" s="7" t="str">
        <f>VLOOKUP(Q1462,Mapping!$E$11:$I$96,5,0)</f>
        <v>SCS</v>
      </c>
      <c r="AC1462" s="111">
        <v>161</v>
      </c>
      <c r="AD1462" s="111" t="s">
        <v>2171</v>
      </c>
      <c r="AE1462" s="111">
        <v>613360</v>
      </c>
      <c r="AF1462" s="111" t="s">
        <v>2097</v>
      </c>
      <c r="AG1462" s="112">
        <v>15.417249999999999</v>
      </c>
      <c r="AI1462" s="7" t="str">
        <f>VLOOKUP($AC1462,Mapping!$E$11:$I$96,3,0)</f>
        <v>Augmentation</v>
      </c>
      <c r="AJ1462" s="7" t="str">
        <f>VLOOKUP($AE1462,Mapping!$E$140:$K$2771,5,0)</f>
        <v>Labour</v>
      </c>
      <c r="AK1462" s="7" t="str">
        <f>VLOOKUP($AE1462,Mapping!$E$140:$K$2771,7,0)</f>
        <v>ENDirect</v>
      </c>
      <c r="AL1462" s="7" t="str">
        <f>IFERROR(HLOOKUP(AJ1462,'Calc|Weightings'!$K$5:$M$5,1,0),"Excl")</f>
        <v>Labour</v>
      </c>
      <c r="AM1462" s="7" t="str">
        <f>VLOOKUP(AC1462,Mapping!$E$11:$I$96,5,0)</f>
        <v>SCS</v>
      </c>
      <c r="AO1462" s="134">
        <v>163</v>
      </c>
      <c r="AP1462" s="135" t="s">
        <v>2173</v>
      </c>
      <c r="AQ1462" s="135">
        <v>639000</v>
      </c>
      <c r="AR1462" s="135" t="s">
        <v>2112</v>
      </c>
      <c r="AS1462" s="136">
        <v>29.377140000000001</v>
      </c>
      <c r="AU1462" s="7" t="str">
        <f>VLOOKUP($AO1462,Mapping!$E$11:$I$96,3,0)</f>
        <v>Replacement</v>
      </c>
      <c r="AV1462" s="7" t="str">
        <f>VLOOKUP($AQ1462,Mapping!$E$140:$K$2771,5,0)</f>
        <v>PNS Corporate OH</v>
      </c>
      <c r="AW1462" s="7" t="str">
        <f>VLOOKUP($AQ1462,Mapping!$E$140:$K$2771,7,0)</f>
        <v>OH</v>
      </c>
      <c r="AX1462" s="7" t="str">
        <f>IFERROR(HLOOKUP(AV1462,'Calc|Weightings'!$K$5:$M$5,1,0),"Excl")</f>
        <v>Excl</v>
      </c>
      <c r="AY1462" s="7" t="str">
        <f>VLOOKUP(AO1462,Mapping!$E$11:$I$96,5,0)</f>
        <v>SCS</v>
      </c>
    </row>
    <row r="1463" spans="1:51" x14ac:dyDescent="0.2">
      <c r="A1463" s="7"/>
      <c r="B1463" s="7"/>
      <c r="C1463" s="7"/>
      <c r="D1463" s="7"/>
      <c r="E1463" s="36">
        <v>152</v>
      </c>
      <c r="F1463" s="36" t="s">
        <v>2161</v>
      </c>
      <c r="G1463" s="36">
        <v>531485</v>
      </c>
      <c r="H1463" s="36" t="s">
        <v>2350</v>
      </c>
      <c r="I1463" s="37">
        <v>-0.67184999999999995</v>
      </c>
      <c r="J1463" s="7"/>
      <c r="K1463" s="7" t="str">
        <f>VLOOKUP($E1463,Mapping!$E$11:$I$96,3,0)</f>
        <v>Replacement</v>
      </c>
      <c r="L1463" s="7" t="str">
        <f>VLOOKUP($G1463,Mapping!$E$140:$K$2771,5,0)</f>
        <v>Contracts</v>
      </c>
      <c r="M1463" s="7" t="str">
        <f>VLOOKUP($G1463,Mapping!$E$140:$K$2771,7,0)</f>
        <v>ENDirect</v>
      </c>
      <c r="N1463" s="7" t="str">
        <f>IFERROR(HLOOKUP(L1463,'Calc|Weightings'!$K$5:$M$5,1,0),"Excl")</f>
        <v>Contracts</v>
      </c>
      <c r="O1463" s="7" t="str">
        <f>VLOOKUP(E1463,Mapping!$E$11:$I$96,5,0)</f>
        <v>SCS</v>
      </c>
      <c r="Q1463" s="33">
        <v>161</v>
      </c>
      <c r="R1463" s="33" t="s">
        <v>2171</v>
      </c>
      <c r="S1463" s="33">
        <v>613602</v>
      </c>
      <c r="T1463" s="33" t="s">
        <v>1494</v>
      </c>
      <c r="U1463" s="34">
        <v>3.5893199999999998</v>
      </c>
      <c r="V1463" s="7"/>
      <c r="W1463" s="7" t="str">
        <f>VLOOKUP($Q1463,Mapping!$E$11:$I$96,3,0)</f>
        <v>Augmentation</v>
      </c>
      <c r="X1463" s="7" t="str">
        <f>VLOOKUP($S1463,Mapping!$E$140:$K$2771,5,0)</f>
        <v>Labour</v>
      </c>
      <c r="Y1463" s="7" t="str">
        <f>VLOOKUP($S1463,Mapping!$E$140:$K$2771,7,0)</f>
        <v>ENDirect</v>
      </c>
      <c r="Z1463" s="7" t="str">
        <f>IFERROR(HLOOKUP(X1463,'Calc|Weightings'!$K$5:$M$5,1,0),"Excl")</f>
        <v>Labour</v>
      </c>
      <c r="AA1463" s="7" t="str">
        <f>VLOOKUP(Q1463,Mapping!$E$11:$I$96,5,0)</f>
        <v>SCS</v>
      </c>
      <c r="AC1463" s="111">
        <v>161</v>
      </c>
      <c r="AD1463" s="111" t="s">
        <v>2171</v>
      </c>
      <c r="AE1463" s="111">
        <v>613361</v>
      </c>
      <c r="AF1463" s="111" t="s">
        <v>2098</v>
      </c>
      <c r="AG1463" s="112">
        <v>2.6913499999999999</v>
      </c>
      <c r="AI1463" s="7" t="str">
        <f>VLOOKUP($AC1463,Mapping!$E$11:$I$96,3,0)</f>
        <v>Augmentation</v>
      </c>
      <c r="AJ1463" s="7" t="str">
        <f>VLOOKUP($AE1463,Mapping!$E$140:$K$2771,5,0)</f>
        <v>Labour</v>
      </c>
      <c r="AK1463" s="7" t="str">
        <f>VLOOKUP($AE1463,Mapping!$E$140:$K$2771,7,0)</f>
        <v>ENDirect</v>
      </c>
      <c r="AL1463" s="7" t="str">
        <f>IFERROR(HLOOKUP(AJ1463,'Calc|Weightings'!$K$5:$M$5,1,0),"Excl")</f>
        <v>Labour</v>
      </c>
      <c r="AM1463" s="7" t="str">
        <f>VLOOKUP(AC1463,Mapping!$E$11:$I$96,5,0)</f>
        <v>SCS</v>
      </c>
      <c r="AO1463" s="134">
        <v>163</v>
      </c>
      <c r="AP1463" s="135" t="s">
        <v>2173</v>
      </c>
      <c r="AQ1463" s="135">
        <v>639050</v>
      </c>
      <c r="AR1463" s="135" t="s">
        <v>2113</v>
      </c>
      <c r="AS1463" s="136">
        <v>6.0366999999999997</v>
      </c>
      <c r="AU1463" s="7" t="str">
        <f>VLOOKUP($AO1463,Mapping!$E$11:$I$96,3,0)</f>
        <v>Replacement</v>
      </c>
      <c r="AV1463" s="7" t="str">
        <f>VLOOKUP($AQ1463,Mapping!$E$140:$K$2771,5,0)</f>
        <v>PNS Fleet &amp; Property OH</v>
      </c>
      <c r="AW1463" s="7" t="str">
        <f>VLOOKUP($AQ1463,Mapping!$E$140:$K$2771,7,0)</f>
        <v>OH</v>
      </c>
      <c r="AX1463" s="7" t="str">
        <f>IFERROR(HLOOKUP(AV1463,'Calc|Weightings'!$K$5:$M$5,1,0),"Excl")</f>
        <v>Excl</v>
      </c>
      <c r="AY1463" s="7" t="str">
        <f>VLOOKUP(AO1463,Mapping!$E$11:$I$96,5,0)</f>
        <v>SCS</v>
      </c>
    </row>
    <row r="1464" spans="1:51" x14ac:dyDescent="0.2">
      <c r="A1464" s="7"/>
      <c r="B1464" s="7"/>
      <c r="C1464" s="7"/>
      <c r="D1464" s="7"/>
      <c r="E1464" s="36">
        <v>152</v>
      </c>
      <c r="F1464" s="36" t="s">
        <v>2161</v>
      </c>
      <c r="G1464" s="36">
        <v>531495</v>
      </c>
      <c r="H1464" s="36" t="s">
        <v>2353</v>
      </c>
      <c r="I1464" s="37">
        <v>-7.5509999999999994E-2</v>
      </c>
      <c r="J1464" s="7"/>
      <c r="K1464" s="7" t="str">
        <f>VLOOKUP($E1464,Mapping!$E$11:$I$96,3,0)</f>
        <v>Replacement</v>
      </c>
      <c r="L1464" s="7" t="str">
        <f>VLOOKUP($G1464,Mapping!$E$140:$K$2771,5,0)</f>
        <v>Contracts</v>
      </c>
      <c r="M1464" s="7" t="str">
        <f>VLOOKUP($G1464,Mapping!$E$140:$K$2771,7,0)</f>
        <v>ENDirect</v>
      </c>
      <c r="N1464" s="7" t="str">
        <f>IFERROR(HLOOKUP(L1464,'Calc|Weightings'!$K$5:$M$5,1,0),"Excl")</f>
        <v>Contracts</v>
      </c>
      <c r="O1464" s="7" t="str">
        <f>VLOOKUP(E1464,Mapping!$E$11:$I$96,5,0)</f>
        <v>SCS</v>
      </c>
      <c r="Q1464" s="33">
        <v>161</v>
      </c>
      <c r="R1464" s="33" t="s">
        <v>2171</v>
      </c>
      <c r="S1464" s="33">
        <v>613603</v>
      </c>
      <c r="T1464" s="33" t="s">
        <v>1495</v>
      </c>
      <c r="U1464" s="34">
        <v>0.22785</v>
      </c>
      <c r="V1464" s="7"/>
      <c r="W1464" s="7" t="str">
        <f>VLOOKUP($Q1464,Mapping!$E$11:$I$96,3,0)</f>
        <v>Augmentation</v>
      </c>
      <c r="X1464" s="7" t="str">
        <f>VLOOKUP($S1464,Mapping!$E$140:$K$2771,5,0)</f>
        <v>Labour</v>
      </c>
      <c r="Y1464" s="7" t="str">
        <f>VLOOKUP($S1464,Mapping!$E$140:$K$2771,7,0)</f>
        <v>ENDirect</v>
      </c>
      <c r="Z1464" s="7" t="str">
        <f>IFERROR(HLOOKUP(X1464,'Calc|Weightings'!$K$5:$M$5,1,0),"Excl")</f>
        <v>Labour</v>
      </c>
      <c r="AA1464" s="7" t="str">
        <f>VLOOKUP(Q1464,Mapping!$E$11:$I$96,5,0)</f>
        <v>SCS</v>
      </c>
      <c r="AC1464" s="111">
        <v>161</v>
      </c>
      <c r="AD1464" s="111" t="s">
        <v>2171</v>
      </c>
      <c r="AE1464" s="111">
        <v>613370</v>
      </c>
      <c r="AF1464" s="111" t="s">
        <v>1402</v>
      </c>
      <c r="AG1464" s="112">
        <v>5.2964200000000003</v>
      </c>
      <c r="AI1464" s="7" t="str">
        <f>VLOOKUP($AC1464,Mapping!$E$11:$I$96,3,0)</f>
        <v>Augmentation</v>
      </c>
      <c r="AJ1464" s="7" t="str">
        <f>VLOOKUP($AE1464,Mapping!$E$140:$K$2771,5,0)</f>
        <v>Labour</v>
      </c>
      <c r="AK1464" s="7" t="str">
        <f>VLOOKUP($AE1464,Mapping!$E$140:$K$2771,7,0)</f>
        <v>ENDirect</v>
      </c>
      <c r="AL1464" s="7" t="str">
        <f>IFERROR(HLOOKUP(AJ1464,'Calc|Weightings'!$K$5:$M$5,1,0),"Excl")</f>
        <v>Labour</v>
      </c>
      <c r="AM1464" s="7" t="str">
        <f>VLOOKUP(AC1464,Mapping!$E$11:$I$96,5,0)</f>
        <v>SCS</v>
      </c>
      <c r="AO1464" s="134">
        <v>165</v>
      </c>
      <c r="AP1464" s="135" t="s">
        <v>2206</v>
      </c>
      <c r="AQ1464" s="135">
        <v>520100</v>
      </c>
      <c r="AR1464" s="135" t="s">
        <v>2072</v>
      </c>
      <c r="AS1464" s="136">
        <v>-3.7719999999999997E-2</v>
      </c>
      <c r="AU1464" s="7" t="str">
        <f>VLOOKUP($AO1464,Mapping!$E$11:$I$96,3,0)</f>
        <v>Replacement</v>
      </c>
      <c r="AV1464" s="7" t="str">
        <f>VLOOKUP($AQ1464,Mapping!$E$140:$K$2771,5,0)</f>
        <v>Materials</v>
      </c>
      <c r="AW1464" s="7" t="str">
        <f>VLOOKUP($AQ1464,Mapping!$E$140:$K$2771,7,0)</f>
        <v>ENDirect</v>
      </c>
      <c r="AX1464" s="7" t="str">
        <f>IFERROR(HLOOKUP(AV1464,'Calc|Weightings'!$K$5:$M$5,1,0),"Excl")</f>
        <v>Materials</v>
      </c>
      <c r="AY1464" s="7" t="str">
        <f>VLOOKUP(AO1464,Mapping!$E$11:$I$96,5,0)</f>
        <v>SCS</v>
      </c>
    </row>
    <row r="1465" spans="1:51" x14ac:dyDescent="0.2">
      <c r="A1465" s="7"/>
      <c r="B1465" s="7"/>
      <c r="C1465" s="7"/>
      <c r="D1465" s="7"/>
      <c r="E1465" s="36">
        <v>152</v>
      </c>
      <c r="F1465" s="36" t="s">
        <v>2161</v>
      </c>
      <c r="G1465" s="36">
        <v>591200</v>
      </c>
      <c r="H1465" s="36" t="s">
        <v>398</v>
      </c>
      <c r="I1465" s="37">
        <v>3.5000000000000003E-2</v>
      </c>
      <c r="J1465" s="7"/>
      <c r="K1465" s="7" t="str">
        <f>VLOOKUP($E1465,Mapping!$E$11:$I$96,3,0)</f>
        <v>Replacement</v>
      </c>
      <c r="L1465" s="7" t="str">
        <f>VLOOKUP($G1465,Mapping!$E$140:$K$2771,5,0)</f>
        <v>Contracts</v>
      </c>
      <c r="M1465" s="7" t="str">
        <f>VLOOKUP($G1465,Mapping!$E$140:$K$2771,7,0)</f>
        <v>ENDirect</v>
      </c>
      <c r="N1465" s="7" t="str">
        <f>IFERROR(HLOOKUP(L1465,'Calc|Weightings'!$K$5:$M$5,1,0),"Excl")</f>
        <v>Contracts</v>
      </c>
      <c r="O1465" s="7" t="str">
        <f>VLOOKUP(E1465,Mapping!$E$11:$I$96,5,0)</f>
        <v>SCS</v>
      </c>
      <c r="Q1465" s="33">
        <v>161</v>
      </c>
      <c r="R1465" s="33" t="s">
        <v>2171</v>
      </c>
      <c r="S1465" s="33">
        <v>613630</v>
      </c>
      <c r="T1465" s="33" t="s">
        <v>1498</v>
      </c>
      <c r="U1465" s="34">
        <v>73.854020000000006</v>
      </c>
      <c r="V1465" s="7"/>
      <c r="W1465" s="7" t="str">
        <f>VLOOKUP($Q1465,Mapping!$E$11:$I$96,3,0)</f>
        <v>Augmentation</v>
      </c>
      <c r="X1465" s="7" t="str">
        <f>VLOOKUP($S1465,Mapping!$E$140:$K$2771,5,0)</f>
        <v>Labour</v>
      </c>
      <c r="Y1465" s="7" t="str">
        <f>VLOOKUP($S1465,Mapping!$E$140:$K$2771,7,0)</f>
        <v>ENDirect</v>
      </c>
      <c r="Z1465" s="7" t="str">
        <f>IFERROR(HLOOKUP(X1465,'Calc|Weightings'!$K$5:$M$5,1,0),"Excl")</f>
        <v>Labour</v>
      </c>
      <c r="AA1465" s="7" t="str">
        <f>VLOOKUP(Q1465,Mapping!$E$11:$I$96,5,0)</f>
        <v>SCS</v>
      </c>
      <c r="AC1465" s="111">
        <v>161</v>
      </c>
      <c r="AD1465" s="111" t="s">
        <v>2171</v>
      </c>
      <c r="AE1465" s="111">
        <v>613400</v>
      </c>
      <c r="AF1465" s="111" t="s">
        <v>2099</v>
      </c>
      <c r="AG1465" s="112">
        <v>2.38842</v>
      </c>
      <c r="AI1465" s="7" t="str">
        <f>VLOOKUP($AC1465,Mapping!$E$11:$I$96,3,0)</f>
        <v>Augmentation</v>
      </c>
      <c r="AJ1465" s="7" t="str">
        <f>VLOOKUP($AE1465,Mapping!$E$140:$K$2771,5,0)</f>
        <v>Labour</v>
      </c>
      <c r="AK1465" s="7" t="str">
        <f>VLOOKUP($AE1465,Mapping!$E$140:$K$2771,7,0)</f>
        <v>ENDirect</v>
      </c>
      <c r="AL1465" s="7" t="str">
        <f>IFERROR(HLOOKUP(AJ1465,'Calc|Weightings'!$K$5:$M$5,1,0),"Excl")</f>
        <v>Labour</v>
      </c>
      <c r="AM1465" s="7" t="str">
        <f>VLOOKUP(AC1465,Mapping!$E$11:$I$96,5,0)</f>
        <v>SCS</v>
      </c>
      <c r="AO1465" s="134">
        <v>165</v>
      </c>
      <c r="AP1465" s="135" t="s">
        <v>2206</v>
      </c>
      <c r="AQ1465" s="135">
        <v>531467</v>
      </c>
      <c r="AR1465" s="135" t="s">
        <v>259</v>
      </c>
      <c r="AS1465" s="136">
        <v>-3.0641500000000002</v>
      </c>
      <c r="AU1465" s="7" t="str">
        <f>VLOOKUP($AO1465,Mapping!$E$11:$I$96,3,0)</f>
        <v>Replacement</v>
      </c>
      <c r="AV1465" s="7" t="str">
        <f>VLOOKUP($AQ1465,Mapping!$E$140:$K$2771,5,0)</f>
        <v>Contracts</v>
      </c>
      <c r="AW1465" s="7" t="str">
        <f>VLOOKUP($AQ1465,Mapping!$E$140:$K$2771,7,0)</f>
        <v>ENDirect</v>
      </c>
      <c r="AX1465" s="7" t="str">
        <f>IFERROR(HLOOKUP(AV1465,'Calc|Weightings'!$K$5:$M$5,1,0),"Excl")</f>
        <v>Contracts</v>
      </c>
      <c r="AY1465" s="7" t="str">
        <f>VLOOKUP(AO1465,Mapping!$E$11:$I$96,5,0)</f>
        <v>SCS</v>
      </c>
    </row>
    <row r="1466" spans="1:51" x14ac:dyDescent="0.2">
      <c r="A1466" s="7"/>
      <c r="B1466" s="7"/>
      <c r="C1466" s="7"/>
      <c r="D1466" s="7"/>
      <c r="E1466" s="36">
        <v>152</v>
      </c>
      <c r="F1466" s="36" t="s">
        <v>2161</v>
      </c>
      <c r="G1466" s="36">
        <v>611860</v>
      </c>
      <c r="H1466" s="36" t="s">
        <v>2125</v>
      </c>
      <c r="I1466" s="37">
        <v>-49.420909999999999</v>
      </c>
      <c r="J1466" s="7"/>
      <c r="K1466" s="7" t="str">
        <f>VLOOKUP($E1466,Mapping!$E$11:$I$96,3,0)</f>
        <v>Replacement</v>
      </c>
      <c r="L1466" s="7" t="str">
        <f>VLOOKUP($G1466,Mapping!$E$140:$K$2771,5,0)</f>
        <v>Labour</v>
      </c>
      <c r="M1466" s="7" t="str">
        <f>VLOOKUP($G1466,Mapping!$E$140:$K$2771,7,0)</f>
        <v>ENDirect</v>
      </c>
      <c r="N1466" s="7" t="str">
        <f>IFERROR(HLOOKUP(L1466,'Calc|Weightings'!$K$5:$M$5,1,0),"Excl")</f>
        <v>Labour</v>
      </c>
      <c r="O1466" s="7" t="str">
        <f>VLOOKUP(E1466,Mapping!$E$11:$I$96,5,0)</f>
        <v>SCS</v>
      </c>
      <c r="Q1466" s="33">
        <v>161</v>
      </c>
      <c r="R1466" s="33" t="s">
        <v>2171</v>
      </c>
      <c r="S1466" s="33">
        <v>613680</v>
      </c>
      <c r="T1466" s="33" t="s">
        <v>2107</v>
      </c>
      <c r="U1466" s="34">
        <v>491.56040000000002</v>
      </c>
      <c r="V1466" s="7"/>
      <c r="W1466" s="7" t="str">
        <f>VLOOKUP($Q1466,Mapping!$E$11:$I$96,3,0)</f>
        <v>Augmentation</v>
      </c>
      <c r="X1466" s="7" t="str">
        <f>VLOOKUP($S1466,Mapping!$E$140:$K$2771,5,0)</f>
        <v>Labour</v>
      </c>
      <c r="Y1466" s="7" t="str">
        <f>VLOOKUP($S1466,Mapping!$E$140:$K$2771,7,0)</f>
        <v>ENDirect</v>
      </c>
      <c r="Z1466" s="7" t="str">
        <f>IFERROR(HLOOKUP(X1466,'Calc|Weightings'!$K$5:$M$5,1,0),"Excl")</f>
        <v>Labour</v>
      </c>
      <c r="AA1466" s="7" t="str">
        <f>VLOOKUP(Q1466,Mapping!$E$11:$I$96,5,0)</f>
        <v>SCS</v>
      </c>
      <c r="AC1466" s="111">
        <v>161</v>
      </c>
      <c r="AD1466" s="111" t="s">
        <v>2171</v>
      </c>
      <c r="AE1466" s="111">
        <v>613401</v>
      </c>
      <c r="AF1466" s="111" t="s">
        <v>2117</v>
      </c>
      <c r="AG1466" s="112">
        <v>0.76729999999999998</v>
      </c>
      <c r="AI1466" s="7" t="str">
        <f>VLOOKUP($AC1466,Mapping!$E$11:$I$96,3,0)</f>
        <v>Augmentation</v>
      </c>
      <c r="AJ1466" s="7" t="str">
        <f>VLOOKUP($AE1466,Mapping!$E$140:$K$2771,5,0)</f>
        <v>Labour</v>
      </c>
      <c r="AK1466" s="7" t="str">
        <f>VLOOKUP($AE1466,Mapping!$E$140:$K$2771,7,0)</f>
        <v>ENDirect</v>
      </c>
      <c r="AL1466" s="7" t="str">
        <f>IFERROR(HLOOKUP(AJ1466,'Calc|Weightings'!$K$5:$M$5,1,0),"Excl")</f>
        <v>Labour</v>
      </c>
      <c r="AM1466" s="7" t="str">
        <f>VLOOKUP(AC1466,Mapping!$E$11:$I$96,5,0)</f>
        <v>SCS</v>
      </c>
      <c r="AO1466" s="134">
        <v>165</v>
      </c>
      <c r="AP1466" s="135" t="s">
        <v>2206</v>
      </c>
      <c r="AQ1466" s="135">
        <v>613240</v>
      </c>
      <c r="AR1466" s="135" t="s">
        <v>2082</v>
      </c>
      <c r="AS1466" s="136">
        <v>-8.3555100000000007</v>
      </c>
      <c r="AU1466" s="7" t="str">
        <f>VLOOKUP($AO1466,Mapping!$E$11:$I$96,3,0)</f>
        <v>Replacement</v>
      </c>
      <c r="AV1466" s="7" t="str">
        <f>VLOOKUP($AQ1466,Mapping!$E$140:$K$2771,5,0)</f>
        <v>Labour</v>
      </c>
      <c r="AW1466" s="7" t="str">
        <f>VLOOKUP($AQ1466,Mapping!$E$140:$K$2771,7,0)</f>
        <v>ENDirect</v>
      </c>
      <c r="AX1466" s="7" t="str">
        <f>IFERROR(HLOOKUP(AV1466,'Calc|Weightings'!$K$5:$M$5,1,0),"Excl")</f>
        <v>Labour</v>
      </c>
      <c r="AY1466" s="7" t="str">
        <f>VLOOKUP(AO1466,Mapping!$E$11:$I$96,5,0)</f>
        <v>SCS</v>
      </c>
    </row>
    <row r="1467" spans="1:51" x14ac:dyDescent="0.2">
      <c r="A1467" s="7"/>
      <c r="B1467" s="7"/>
      <c r="C1467" s="7"/>
      <c r="D1467" s="7"/>
      <c r="E1467" s="36">
        <v>152</v>
      </c>
      <c r="F1467" s="36" t="s">
        <v>2161</v>
      </c>
      <c r="G1467" s="36">
        <v>611861</v>
      </c>
      <c r="H1467" s="36" t="s">
        <v>2140</v>
      </c>
      <c r="I1467" s="37">
        <v>-12.382809999999999</v>
      </c>
      <c r="J1467" s="7"/>
      <c r="K1467" s="7" t="str">
        <f>VLOOKUP($E1467,Mapping!$E$11:$I$96,3,0)</f>
        <v>Replacement</v>
      </c>
      <c r="L1467" s="7" t="str">
        <f>VLOOKUP($G1467,Mapping!$E$140:$K$2771,5,0)</f>
        <v>Labour</v>
      </c>
      <c r="M1467" s="7" t="str">
        <f>VLOOKUP($G1467,Mapping!$E$140:$K$2771,7,0)</f>
        <v>ENDirect</v>
      </c>
      <c r="N1467" s="7" t="str">
        <f>IFERROR(HLOOKUP(L1467,'Calc|Weightings'!$K$5:$M$5,1,0),"Excl")</f>
        <v>Labour</v>
      </c>
      <c r="O1467" s="7" t="str">
        <f>VLOOKUP(E1467,Mapping!$E$11:$I$96,5,0)</f>
        <v>SCS</v>
      </c>
      <c r="Q1467" s="33">
        <v>161</v>
      </c>
      <c r="R1467" s="33" t="s">
        <v>2171</v>
      </c>
      <c r="S1467" s="33">
        <v>615375</v>
      </c>
      <c r="T1467" s="33" t="s">
        <v>1717</v>
      </c>
      <c r="U1467" s="34">
        <v>7.7350000000000003</v>
      </c>
      <c r="V1467" s="7"/>
      <c r="W1467" s="7" t="str">
        <f>VLOOKUP($Q1467,Mapping!$E$11:$I$96,3,0)</f>
        <v>Augmentation</v>
      </c>
      <c r="X1467" s="7" t="str">
        <f>VLOOKUP($S1467,Mapping!$E$140:$K$2771,5,0)</f>
        <v>Labour</v>
      </c>
      <c r="Y1467" s="7" t="str">
        <f>VLOOKUP($S1467,Mapping!$E$140:$K$2771,7,0)</f>
        <v>ENDirect</v>
      </c>
      <c r="Z1467" s="7" t="str">
        <f>IFERROR(HLOOKUP(X1467,'Calc|Weightings'!$K$5:$M$5,1,0),"Excl")</f>
        <v>Labour</v>
      </c>
      <c r="AA1467" s="7" t="str">
        <f>VLOOKUP(Q1467,Mapping!$E$11:$I$96,5,0)</f>
        <v>SCS</v>
      </c>
      <c r="AC1467" s="111">
        <v>161</v>
      </c>
      <c r="AD1467" s="111" t="s">
        <v>2171</v>
      </c>
      <c r="AE1467" s="111">
        <v>613410</v>
      </c>
      <c r="AF1467" s="111" t="s">
        <v>2100</v>
      </c>
      <c r="AG1467" s="112">
        <v>4.1406400000000003</v>
      </c>
      <c r="AI1467" s="7" t="str">
        <f>VLOOKUP($AC1467,Mapping!$E$11:$I$96,3,0)</f>
        <v>Augmentation</v>
      </c>
      <c r="AJ1467" s="7" t="str">
        <f>VLOOKUP($AE1467,Mapping!$E$140:$K$2771,5,0)</f>
        <v>Labour</v>
      </c>
      <c r="AK1467" s="7" t="str">
        <f>VLOOKUP($AE1467,Mapping!$E$140:$K$2771,7,0)</f>
        <v>ENDirect</v>
      </c>
      <c r="AL1467" s="7" t="str">
        <f>IFERROR(HLOOKUP(AJ1467,'Calc|Weightings'!$K$5:$M$5,1,0),"Excl")</f>
        <v>Labour</v>
      </c>
      <c r="AM1467" s="7" t="str">
        <f>VLOOKUP(AC1467,Mapping!$E$11:$I$96,5,0)</f>
        <v>SCS</v>
      </c>
      <c r="AO1467" s="134">
        <v>165</v>
      </c>
      <c r="AP1467" s="135" t="s">
        <v>2206</v>
      </c>
      <c r="AQ1467" s="135">
        <v>613250</v>
      </c>
      <c r="AR1467" s="135" t="s">
        <v>2086</v>
      </c>
      <c r="AS1467" s="136">
        <v>-18.854749999999999</v>
      </c>
      <c r="AU1467" s="7" t="str">
        <f>VLOOKUP($AO1467,Mapping!$E$11:$I$96,3,0)</f>
        <v>Replacement</v>
      </c>
      <c r="AV1467" s="7" t="str">
        <f>VLOOKUP($AQ1467,Mapping!$E$140:$K$2771,5,0)</f>
        <v>Labour</v>
      </c>
      <c r="AW1467" s="7" t="str">
        <f>VLOOKUP($AQ1467,Mapping!$E$140:$K$2771,7,0)</f>
        <v>ENDirect</v>
      </c>
      <c r="AX1467" s="7" t="str">
        <f>IFERROR(HLOOKUP(AV1467,'Calc|Weightings'!$K$5:$M$5,1,0),"Excl")</f>
        <v>Labour</v>
      </c>
      <c r="AY1467" s="7" t="str">
        <f>VLOOKUP(AO1467,Mapping!$E$11:$I$96,5,0)</f>
        <v>SCS</v>
      </c>
    </row>
    <row r="1468" spans="1:51" x14ac:dyDescent="0.2">
      <c r="A1468" s="7"/>
      <c r="B1468" s="7"/>
      <c r="C1468" s="7"/>
      <c r="D1468" s="7"/>
      <c r="E1468" s="36">
        <v>152</v>
      </c>
      <c r="F1468" s="36" t="s">
        <v>2161</v>
      </c>
      <c r="G1468" s="36">
        <v>611900</v>
      </c>
      <c r="H1468" s="36" t="s">
        <v>2079</v>
      </c>
      <c r="I1468" s="37">
        <v>1.3738600000000001</v>
      </c>
      <c r="J1468" s="7"/>
      <c r="K1468" s="7" t="str">
        <f>VLOOKUP($E1468,Mapping!$E$11:$I$96,3,0)</f>
        <v>Replacement</v>
      </c>
      <c r="L1468" s="7" t="str">
        <f>VLOOKUP($G1468,Mapping!$E$140:$K$2771,5,0)</f>
        <v>Contracts</v>
      </c>
      <c r="M1468" s="7" t="str">
        <f>VLOOKUP($G1468,Mapping!$E$140:$K$2771,7,0)</f>
        <v>ENDirect</v>
      </c>
      <c r="N1468" s="7" t="str">
        <f>IFERROR(HLOOKUP(L1468,'Calc|Weightings'!$K$5:$M$5,1,0),"Excl")</f>
        <v>Contracts</v>
      </c>
      <c r="O1468" s="7" t="str">
        <f>VLOOKUP(E1468,Mapping!$E$11:$I$96,5,0)</f>
        <v>SCS</v>
      </c>
      <c r="Q1468" s="33">
        <v>161</v>
      </c>
      <c r="R1468" s="33" t="s">
        <v>2171</v>
      </c>
      <c r="S1468" s="33">
        <v>634001</v>
      </c>
      <c r="T1468" s="33" t="s">
        <v>2110</v>
      </c>
      <c r="U1468" s="34">
        <v>405.45670999999999</v>
      </c>
      <c r="V1468" s="7"/>
      <c r="W1468" s="7" t="str">
        <f>VLOOKUP($Q1468,Mapping!$E$11:$I$96,3,0)</f>
        <v>Augmentation</v>
      </c>
      <c r="X1468" s="7" t="str">
        <f>VLOOKUP($S1468,Mapping!$E$140:$K$2771,5,0)</f>
        <v>Local OH</v>
      </c>
      <c r="Y1468" s="7" t="str">
        <f>VLOOKUP($S1468,Mapping!$E$140:$K$2771,7,0)</f>
        <v>OH</v>
      </c>
      <c r="Z1468" s="7" t="str">
        <f>IFERROR(HLOOKUP(X1468,'Calc|Weightings'!$K$5:$M$5,1,0),"Excl")</f>
        <v>Excl</v>
      </c>
      <c r="AA1468" s="7" t="str">
        <f>VLOOKUP(Q1468,Mapping!$E$11:$I$96,5,0)</f>
        <v>SCS</v>
      </c>
      <c r="AC1468" s="111">
        <v>161</v>
      </c>
      <c r="AD1468" s="111" t="s">
        <v>2171</v>
      </c>
      <c r="AE1468" s="111">
        <v>613411</v>
      </c>
      <c r="AF1468" s="111" t="s">
        <v>2101</v>
      </c>
      <c r="AG1468" s="112">
        <v>0.84796000000000005</v>
      </c>
      <c r="AI1468" s="7" t="str">
        <f>VLOOKUP($AC1468,Mapping!$E$11:$I$96,3,0)</f>
        <v>Augmentation</v>
      </c>
      <c r="AJ1468" s="7" t="str">
        <f>VLOOKUP($AE1468,Mapping!$E$140:$K$2771,5,0)</f>
        <v>Labour</v>
      </c>
      <c r="AK1468" s="7" t="str">
        <f>VLOOKUP($AE1468,Mapping!$E$140:$K$2771,7,0)</f>
        <v>ENDirect</v>
      </c>
      <c r="AL1468" s="7" t="str">
        <f>IFERROR(HLOOKUP(AJ1468,'Calc|Weightings'!$K$5:$M$5,1,0),"Excl")</f>
        <v>Labour</v>
      </c>
      <c r="AM1468" s="7" t="str">
        <f>VLOOKUP(AC1468,Mapping!$E$11:$I$96,5,0)</f>
        <v>SCS</v>
      </c>
      <c r="AO1468" s="134">
        <v>165</v>
      </c>
      <c r="AP1468" s="135" t="s">
        <v>2206</v>
      </c>
      <c r="AQ1468" s="135">
        <v>613251</v>
      </c>
      <c r="AR1468" s="135" t="s">
        <v>2087</v>
      </c>
      <c r="AS1468" s="136">
        <v>-2.7134299999999998</v>
      </c>
      <c r="AU1468" s="7" t="str">
        <f>VLOOKUP($AO1468,Mapping!$E$11:$I$96,3,0)</f>
        <v>Replacement</v>
      </c>
      <c r="AV1468" s="7" t="str">
        <f>VLOOKUP($AQ1468,Mapping!$E$140:$K$2771,5,0)</f>
        <v>Labour</v>
      </c>
      <c r="AW1468" s="7" t="str">
        <f>VLOOKUP($AQ1468,Mapping!$E$140:$K$2771,7,0)</f>
        <v>ENDirect</v>
      </c>
      <c r="AX1468" s="7" t="str">
        <f>IFERROR(HLOOKUP(AV1468,'Calc|Weightings'!$K$5:$M$5,1,0),"Excl")</f>
        <v>Labour</v>
      </c>
      <c r="AY1468" s="7" t="str">
        <f>VLOOKUP(AO1468,Mapping!$E$11:$I$96,5,0)</f>
        <v>SCS</v>
      </c>
    </row>
    <row r="1469" spans="1:51" x14ac:dyDescent="0.2">
      <c r="A1469" s="7"/>
      <c r="B1469" s="7"/>
      <c r="C1469" s="7"/>
      <c r="D1469" s="7"/>
      <c r="E1469" s="36">
        <v>152</v>
      </c>
      <c r="F1469" s="36" t="s">
        <v>2161</v>
      </c>
      <c r="G1469" s="36">
        <v>611901</v>
      </c>
      <c r="H1469" s="36" t="s">
        <v>2080</v>
      </c>
      <c r="I1469" s="37">
        <v>-1.9135</v>
      </c>
      <c r="J1469" s="7"/>
      <c r="K1469" s="7" t="str">
        <f>VLOOKUP($E1469,Mapping!$E$11:$I$96,3,0)</f>
        <v>Replacement</v>
      </c>
      <c r="L1469" s="7" t="str">
        <f>VLOOKUP($G1469,Mapping!$E$140:$K$2771,5,0)</f>
        <v>Contracts</v>
      </c>
      <c r="M1469" s="7" t="str">
        <f>VLOOKUP($G1469,Mapping!$E$140:$K$2771,7,0)</f>
        <v>ENDirect</v>
      </c>
      <c r="N1469" s="7" t="str">
        <f>IFERROR(HLOOKUP(L1469,'Calc|Weightings'!$K$5:$M$5,1,0),"Excl")</f>
        <v>Contracts</v>
      </c>
      <c r="O1469" s="7" t="str">
        <f>VLOOKUP(E1469,Mapping!$E$11:$I$96,5,0)</f>
        <v>SCS</v>
      </c>
      <c r="Q1469" s="33">
        <v>161</v>
      </c>
      <c r="R1469" s="33" t="s">
        <v>2171</v>
      </c>
      <c r="S1469" s="33">
        <v>635001</v>
      </c>
      <c r="T1469" s="33" t="s">
        <v>1929</v>
      </c>
      <c r="U1469" s="34">
        <v>166.78722999999999</v>
      </c>
      <c r="V1469" s="7"/>
      <c r="W1469" s="7" t="str">
        <f>VLOOKUP($Q1469,Mapping!$E$11:$I$96,3,0)</f>
        <v>Augmentation</v>
      </c>
      <c r="X1469" s="7" t="str">
        <f>VLOOKUP($S1469,Mapping!$E$140:$K$2771,5,0)</f>
        <v>PNS MG</v>
      </c>
      <c r="Y1469" s="7" t="str">
        <f>VLOOKUP($S1469,Mapping!$E$140:$K$2771,7,0)</f>
        <v>ENDirect</v>
      </c>
      <c r="Z1469" s="7" t="str">
        <f>IFERROR(HLOOKUP(X1469,'Calc|Weightings'!$K$5:$M$5,1,0),"Excl")</f>
        <v>Excl</v>
      </c>
      <c r="AA1469" s="7" t="str">
        <f>VLOOKUP(Q1469,Mapping!$E$11:$I$96,5,0)</f>
        <v>SCS</v>
      </c>
      <c r="AC1469" s="111">
        <v>161</v>
      </c>
      <c r="AD1469" s="111" t="s">
        <v>2171</v>
      </c>
      <c r="AE1469" s="111">
        <v>613420</v>
      </c>
      <c r="AF1469" s="111" t="s">
        <v>2393</v>
      </c>
      <c r="AG1469" s="112">
        <v>0.45290999999999998</v>
      </c>
      <c r="AI1469" s="7" t="str">
        <f>VLOOKUP($AC1469,Mapping!$E$11:$I$96,3,0)</f>
        <v>Augmentation</v>
      </c>
      <c r="AJ1469" s="7" t="str">
        <f>VLOOKUP($AE1469,Mapping!$E$140:$K$2771,5,0)</f>
        <v>Labour</v>
      </c>
      <c r="AK1469" s="7" t="str">
        <f>VLOOKUP($AE1469,Mapping!$E$140:$K$2771,7,0)</f>
        <v>ENDirect</v>
      </c>
      <c r="AL1469" s="7" t="str">
        <f>IFERROR(HLOOKUP(AJ1469,'Calc|Weightings'!$K$5:$M$5,1,0),"Excl")</f>
        <v>Labour</v>
      </c>
      <c r="AM1469" s="7" t="str">
        <f>VLOOKUP(AC1469,Mapping!$E$11:$I$96,5,0)</f>
        <v>SCS</v>
      </c>
      <c r="AO1469" s="134">
        <v>165</v>
      </c>
      <c r="AP1469" s="135" t="s">
        <v>2206</v>
      </c>
      <c r="AQ1469" s="135">
        <v>613260</v>
      </c>
      <c r="AR1469" s="135" t="s">
        <v>2090</v>
      </c>
      <c r="AS1469" s="136">
        <v>-13.46974</v>
      </c>
      <c r="AU1469" s="7" t="str">
        <f>VLOOKUP($AO1469,Mapping!$E$11:$I$96,3,0)</f>
        <v>Replacement</v>
      </c>
      <c r="AV1469" s="7" t="str">
        <f>VLOOKUP($AQ1469,Mapping!$E$140:$K$2771,5,0)</f>
        <v>Labour</v>
      </c>
      <c r="AW1469" s="7" t="str">
        <f>VLOOKUP($AQ1469,Mapping!$E$140:$K$2771,7,0)</f>
        <v>ENDirect</v>
      </c>
      <c r="AX1469" s="7" t="str">
        <f>IFERROR(HLOOKUP(AV1469,'Calc|Weightings'!$K$5:$M$5,1,0),"Excl")</f>
        <v>Labour</v>
      </c>
      <c r="AY1469" s="7" t="str">
        <f>VLOOKUP(AO1469,Mapping!$E$11:$I$96,5,0)</f>
        <v>SCS</v>
      </c>
    </row>
    <row r="1470" spans="1:51" x14ac:dyDescent="0.2">
      <c r="A1470" s="7"/>
      <c r="B1470" s="7"/>
      <c r="C1470" s="7"/>
      <c r="D1470" s="7"/>
      <c r="E1470" s="36">
        <v>152</v>
      </c>
      <c r="F1470" s="36" t="s">
        <v>2161</v>
      </c>
      <c r="G1470" s="36">
        <v>611902</v>
      </c>
      <c r="H1470" s="36" t="s">
        <v>2081</v>
      </c>
      <c r="I1470" s="37">
        <v>4.2000000000000002E-4</v>
      </c>
      <c r="J1470" s="7"/>
      <c r="K1470" s="7" t="str">
        <f>VLOOKUP($E1470,Mapping!$E$11:$I$96,3,0)</f>
        <v>Replacement</v>
      </c>
      <c r="L1470" s="7" t="str">
        <f>VLOOKUP($G1470,Mapping!$E$140:$K$2771,5,0)</f>
        <v>Contracts</v>
      </c>
      <c r="M1470" s="7" t="str">
        <f>VLOOKUP($G1470,Mapping!$E$140:$K$2771,7,0)</f>
        <v>ENDirect</v>
      </c>
      <c r="N1470" s="7" t="str">
        <f>IFERROR(HLOOKUP(L1470,'Calc|Weightings'!$K$5:$M$5,1,0),"Excl")</f>
        <v>Contracts</v>
      </c>
      <c r="O1470" s="7" t="str">
        <f>VLOOKUP(E1470,Mapping!$E$11:$I$96,5,0)</f>
        <v>SCS</v>
      </c>
      <c r="Q1470" s="33">
        <v>161</v>
      </c>
      <c r="R1470" s="33" t="s">
        <v>2171</v>
      </c>
      <c r="S1470" s="33">
        <v>636001</v>
      </c>
      <c r="T1470" s="33" t="s">
        <v>2111</v>
      </c>
      <c r="U1470" s="34">
        <v>119.51526</v>
      </c>
      <c r="V1470" s="7"/>
      <c r="W1470" s="7" t="str">
        <f>VLOOKUP($Q1470,Mapping!$E$11:$I$96,3,0)</f>
        <v>Augmentation</v>
      </c>
      <c r="X1470" s="7" t="str">
        <f>VLOOKUP($S1470,Mapping!$E$140:$K$2771,5,0)</f>
        <v>System Control OH</v>
      </c>
      <c r="Y1470" s="7" t="str">
        <f>VLOOKUP($S1470,Mapping!$E$140:$K$2771,7,0)</f>
        <v>OH</v>
      </c>
      <c r="Z1470" s="7" t="str">
        <f>IFERROR(HLOOKUP(X1470,'Calc|Weightings'!$K$5:$M$5,1,0),"Excl")</f>
        <v>Excl</v>
      </c>
      <c r="AA1470" s="7" t="str">
        <f>VLOOKUP(Q1470,Mapping!$E$11:$I$96,5,0)</f>
        <v>SCS</v>
      </c>
      <c r="AC1470" s="111">
        <v>161</v>
      </c>
      <c r="AD1470" s="111" t="s">
        <v>2171</v>
      </c>
      <c r="AE1470" s="111">
        <v>613440</v>
      </c>
      <c r="AF1470" s="111" t="s">
        <v>2103</v>
      </c>
      <c r="AG1470" s="112">
        <v>0.46209</v>
      </c>
      <c r="AI1470" s="7" t="str">
        <f>VLOOKUP($AC1470,Mapping!$E$11:$I$96,3,0)</f>
        <v>Augmentation</v>
      </c>
      <c r="AJ1470" s="7" t="str">
        <f>VLOOKUP($AE1470,Mapping!$E$140:$K$2771,5,0)</f>
        <v>Labour</v>
      </c>
      <c r="AK1470" s="7" t="str">
        <f>VLOOKUP($AE1470,Mapping!$E$140:$K$2771,7,0)</f>
        <v>ENDirect</v>
      </c>
      <c r="AL1470" s="7" t="str">
        <f>IFERROR(HLOOKUP(AJ1470,'Calc|Weightings'!$K$5:$M$5,1,0),"Excl")</f>
        <v>Labour</v>
      </c>
      <c r="AM1470" s="7" t="str">
        <f>VLOOKUP(AC1470,Mapping!$E$11:$I$96,5,0)</f>
        <v>SCS</v>
      </c>
      <c r="AO1470" s="134">
        <v>165</v>
      </c>
      <c r="AP1470" s="135" t="s">
        <v>2206</v>
      </c>
      <c r="AQ1470" s="135">
        <v>613261</v>
      </c>
      <c r="AR1470" s="135" t="s">
        <v>2091</v>
      </c>
      <c r="AS1470" s="136">
        <v>-2.7947299999999999</v>
      </c>
      <c r="AU1470" s="7" t="str">
        <f>VLOOKUP($AO1470,Mapping!$E$11:$I$96,3,0)</f>
        <v>Replacement</v>
      </c>
      <c r="AV1470" s="7" t="str">
        <f>VLOOKUP($AQ1470,Mapping!$E$140:$K$2771,5,0)</f>
        <v>Labour</v>
      </c>
      <c r="AW1470" s="7" t="str">
        <f>VLOOKUP($AQ1470,Mapping!$E$140:$K$2771,7,0)</f>
        <v>ENDirect</v>
      </c>
      <c r="AX1470" s="7" t="str">
        <f>IFERROR(HLOOKUP(AV1470,'Calc|Weightings'!$K$5:$M$5,1,0),"Excl")</f>
        <v>Labour</v>
      </c>
      <c r="AY1470" s="7" t="str">
        <f>VLOOKUP(AO1470,Mapping!$E$11:$I$96,5,0)</f>
        <v>SCS</v>
      </c>
    </row>
    <row r="1471" spans="1:51" x14ac:dyDescent="0.2">
      <c r="A1471" s="7"/>
      <c r="B1471" s="7"/>
      <c r="C1471" s="7"/>
      <c r="D1471" s="7"/>
      <c r="E1471" s="36">
        <v>152</v>
      </c>
      <c r="F1471" s="36" t="s">
        <v>2161</v>
      </c>
      <c r="G1471" s="36">
        <v>612210</v>
      </c>
      <c r="H1471" s="36" t="s">
        <v>1184</v>
      </c>
      <c r="I1471" s="37">
        <v>1.67181</v>
      </c>
      <c r="J1471" s="7"/>
      <c r="K1471" s="7" t="str">
        <f>VLOOKUP($E1471,Mapping!$E$11:$I$96,3,0)</f>
        <v>Replacement</v>
      </c>
      <c r="L1471" s="7" t="str">
        <f>VLOOKUP($G1471,Mapping!$E$140:$K$2771,5,0)</f>
        <v>Labour</v>
      </c>
      <c r="M1471" s="7" t="str">
        <f>VLOOKUP($G1471,Mapping!$E$140:$K$2771,7,0)</f>
        <v>ENDirect</v>
      </c>
      <c r="N1471" s="7" t="str">
        <f>IFERROR(HLOOKUP(L1471,'Calc|Weightings'!$K$5:$M$5,1,0),"Excl")</f>
        <v>Labour</v>
      </c>
      <c r="O1471" s="7" t="str">
        <f>VLOOKUP(E1471,Mapping!$E$11:$I$96,5,0)</f>
        <v>SCS</v>
      </c>
      <c r="Q1471" s="33">
        <v>161</v>
      </c>
      <c r="R1471" s="33" t="s">
        <v>2171</v>
      </c>
      <c r="S1471" s="33">
        <v>639000</v>
      </c>
      <c r="T1471" s="33" t="s">
        <v>2112</v>
      </c>
      <c r="U1471" s="34">
        <v>328.89150000000001</v>
      </c>
      <c r="V1471" s="7"/>
      <c r="W1471" s="7" t="str">
        <f>VLOOKUP($Q1471,Mapping!$E$11:$I$96,3,0)</f>
        <v>Augmentation</v>
      </c>
      <c r="X1471" s="7" t="str">
        <f>VLOOKUP($S1471,Mapping!$E$140:$K$2771,5,0)</f>
        <v>PNS Corporate OH</v>
      </c>
      <c r="Y1471" s="7" t="str">
        <f>VLOOKUP($S1471,Mapping!$E$140:$K$2771,7,0)</f>
        <v>OH</v>
      </c>
      <c r="Z1471" s="7" t="str">
        <f>IFERROR(HLOOKUP(X1471,'Calc|Weightings'!$K$5:$M$5,1,0),"Excl")</f>
        <v>Excl</v>
      </c>
      <c r="AA1471" s="7" t="str">
        <f>VLOOKUP(Q1471,Mapping!$E$11:$I$96,5,0)</f>
        <v>SCS</v>
      </c>
      <c r="AC1471" s="111">
        <v>161</v>
      </c>
      <c r="AD1471" s="111" t="s">
        <v>2171</v>
      </c>
      <c r="AE1471" s="111">
        <v>613450</v>
      </c>
      <c r="AF1471" s="111" t="s">
        <v>2175</v>
      </c>
      <c r="AG1471" s="112">
        <v>7.7606700000000002</v>
      </c>
      <c r="AI1471" s="7" t="str">
        <f>VLOOKUP($AC1471,Mapping!$E$11:$I$96,3,0)</f>
        <v>Augmentation</v>
      </c>
      <c r="AJ1471" s="7" t="str">
        <f>VLOOKUP($AE1471,Mapping!$E$140:$K$2771,5,0)</f>
        <v>Labour</v>
      </c>
      <c r="AK1471" s="7" t="str">
        <f>VLOOKUP($AE1471,Mapping!$E$140:$K$2771,7,0)</f>
        <v>ENDirect</v>
      </c>
      <c r="AL1471" s="7" t="str">
        <f>IFERROR(HLOOKUP(AJ1471,'Calc|Weightings'!$K$5:$M$5,1,0),"Excl")</f>
        <v>Labour</v>
      </c>
      <c r="AM1471" s="7" t="str">
        <f>VLOOKUP(AC1471,Mapping!$E$11:$I$96,5,0)</f>
        <v>SCS</v>
      </c>
      <c r="AO1471" s="134">
        <v>165</v>
      </c>
      <c r="AP1471" s="135" t="s">
        <v>2206</v>
      </c>
      <c r="AQ1471" s="135">
        <v>613280</v>
      </c>
      <c r="AR1471" s="135" t="s">
        <v>1342</v>
      </c>
      <c r="AS1471" s="136">
        <v>-8.5897500000000004</v>
      </c>
      <c r="AU1471" s="7" t="str">
        <f>VLOOKUP($AO1471,Mapping!$E$11:$I$96,3,0)</f>
        <v>Replacement</v>
      </c>
      <c r="AV1471" s="7" t="str">
        <f>VLOOKUP($AQ1471,Mapping!$E$140:$K$2771,5,0)</f>
        <v>Labour</v>
      </c>
      <c r="AW1471" s="7" t="str">
        <f>VLOOKUP($AQ1471,Mapping!$E$140:$K$2771,7,0)</f>
        <v>ENDirect</v>
      </c>
      <c r="AX1471" s="7" t="str">
        <f>IFERROR(HLOOKUP(AV1471,'Calc|Weightings'!$K$5:$M$5,1,0),"Excl")</f>
        <v>Labour</v>
      </c>
      <c r="AY1471" s="7" t="str">
        <f>VLOOKUP(AO1471,Mapping!$E$11:$I$96,5,0)</f>
        <v>SCS</v>
      </c>
    </row>
    <row r="1472" spans="1:51" x14ac:dyDescent="0.2">
      <c r="A1472" s="7"/>
      <c r="B1472" s="7"/>
      <c r="C1472" s="7"/>
      <c r="D1472" s="7"/>
      <c r="E1472" s="36">
        <v>152</v>
      </c>
      <c r="F1472" s="36" t="s">
        <v>2161</v>
      </c>
      <c r="G1472" s="36">
        <v>612462</v>
      </c>
      <c r="H1472" s="36" t="s">
        <v>1244</v>
      </c>
      <c r="I1472" s="37">
        <v>-0.83789999999999998</v>
      </c>
      <c r="J1472" s="7"/>
      <c r="K1472" s="7" t="str">
        <f>VLOOKUP($E1472,Mapping!$E$11:$I$96,3,0)</f>
        <v>Replacement</v>
      </c>
      <c r="L1472" s="7" t="str">
        <f>VLOOKUP($G1472,Mapping!$E$140:$K$2771,5,0)</f>
        <v>Labour</v>
      </c>
      <c r="M1472" s="7" t="str">
        <f>VLOOKUP($G1472,Mapping!$E$140:$K$2771,7,0)</f>
        <v>ENDirect</v>
      </c>
      <c r="N1472" s="7" t="str">
        <f>IFERROR(HLOOKUP(L1472,'Calc|Weightings'!$K$5:$M$5,1,0),"Excl")</f>
        <v>Labour</v>
      </c>
      <c r="O1472" s="7" t="str">
        <f>VLOOKUP(E1472,Mapping!$E$11:$I$96,5,0)</f>
        <v>SCS</v>
      </c>
      <c r="Q1472" s="33">
        <v>161</v>
      </c>
      <c r="R1472" s="33" t="s">
        <v>2171</v>
      </c>
      <c r="S1472" s="33">
        <v>639050</v>
      </c>
      <c r="T1472" s="33" t="s">
        <v>2113</v>
      </c>
      <c r="U1472" s="34">
        <v>35.197290000000002</v>
      </c>
      <c r="V1472" s="7"/>
      <c r="W1472" s="7" t="str">
        <f>VLOOKUP($Q1472,Mapping!$E$11:$I$96,3,0)</f>
        <v>Augmentation</v>
      </c>
      <c r="X1472" s="7" t="str">
        <f>VLOOKUP($S1472,Mapping!$E$140:$K$2771,5,0)</f>
        <v>PNS Fleet &amp; Property OH</v>
      </c>
      <c r="Y1472" s="7" t="str">
        <f>VLOOKUP($S1472,Mapping!$E$140:$K$2771,7,0)</f>
        <v>OH</v>
      </c>
      <c r="Z1472" s="7" t="str">
        <f>IFERROR(HLOOKUP(X1472,'Calc|Weightings'!$K$5:$M$5,1,0),"Excl")</f>
        <v>Excl</v>
      </c>
      <c r="AA1472" s="7" t="str">
        <f>VLOOKUP(Q1472,Mapping!$E$11:$I$96,5,0)</f>
        <v>SCS</v>
      </c>
      <c r="AC1472" s="111">
        <v>161</v>
      </c>
      <c r="AD1472" s="111" t="s">
        <v>2171</v>
      </c>
      <c r="AE1472" s="111">
        <v>613460</v>
      </c>
      <c r="AF1472" s="111" t="s">
        <v>2167</v>
      </c>
      <c r="AG1472" s="112">
        <v>18.778880000000001</v>
      </c>
      <c r="AI1472" s="7" t="str">
        <f>VLOOKUP($AC1472,Mapping!$E$11:$I$96,3,0)</f>
        <v>Augmentation</v>
      </c>
      <c r="AJ1472" s="7" t="str">
        <f>VLOOKUP($AE1472,Mapping!$E$140:$K$2771,5,0)</f>
        <v>Labour</v>
      </c>
      <c r="AK1472" s="7" t="str">
        <f>VLOOKUP($AE1472,Mapping!$E$140:$K$2771,7,0)</f>
        <v>ENDirect</v>
      </c>
      <c r="AL1472" s="7" t="str">
        <f>IFERROR(HLOOKUP(AJ1472,'Calc|Weightings'!$K$5:$M$5,1,0),"Excl")</f>
        <v>Labour</v>
      </c>
      <c r="AM1472" s="7" t="str">
        <f>VLOOKUP(AC1472,Mapping!$E$11:$I$96,5,0)</f>
        <v>SCS</v>
      </c>
      <c r="AO1472" s="134">
        <v>165</v>
      </c>
      <c r="AP1472" s="135" t="s">
        <v>2206</v>
      </c>
      <c r="AQ1472" s="135">
        <v>613290</v>
      </c>
      <c r="AR1472" s="135" t="s">
        <v>2093</v>
      </c>
      <c r="AS1472" s="136">
        <v>-5.5156999999999998</v>
      </c>
      <c r="AU1472" s="7" t="str">
        <f>VLOOKUP($AO1472,Mapping!$E$11:$I$96,3,0)</f>
        <v>Replacement</v>
      </c>
      <c r="AV1472" s="7" t="str">
        <f>VLOOKUP($AQ1472,Mapping!$E$140:$K$2771,5,0)</f>
        <v>Labour</v>
      </c>
      <c r="AW1472" s="7" t="str">
        <f>VLOOKUP($AQ1472,Mapping!$E$140:$K$2771,7,0)</f>
        <v>ENDirect</v>
      </c>
      <c r="AX1472" s="7" t="str">
        <f>IFERROR(HLOOKUP(AV1472,'Calc|Weightings'!$K$5:$M$5,1,0),"Excl")</f>
        <v>Labour</v>
      </c>
      <c r="AY1472" s="7" t="str">
        <f>VLOOKUP(AO1472,Mapping!$E$11:$I$96,5,0)</f>
        <v>SCS</v>
      </c>
    </row>
    <row r="1473" spans="1:51" x14ac:dyDescent="0.2">
      <c r="A1473" s="7"/>
      <c r="B1473" s="7"/>
      <c r="C1473" s="7"/>
      <c r="D1473" s="7"/>
      <c r="E1473" s="36">
        <v>152</v>
      </c>
      <c r="F1473" s="36" t="s">
        <v>2161</v>
      </c>
      <c r="G1473" s="36">
        <v>613240</v>
      </c>
      <c r="H1473" s="36" t="s">
        <v>2082</v>
      </c>
      <c r="I1473" s="37">
        <v>0.89214000000000004</v>
      </c>
      <c r="J1473" s="7"/>
      <c r="K1473" s="7" t="str">
        <f>VLOOKUP($E1473,Mapping!$E$11:$I$96,3,0)</f>
        <v>Replacement</v>
      </c>
      <c r="L1473" s="7" t="str">
        <f>VLOOKUP($G1473,Mapping!$E$140:$K$2771,5,0)</f>
        <v>Labour</v>
      </c>
      <c r="M1473" s="7" t="str">
        <f>VLOOKUP($G1473,Mapping!$E$140:$K$2771,7,0)</f>
        <v>ENDirect</v>
      </c>
      <c r="N1473" s="7" t="str">
        <f>IFERROR(HLOOKUP(L1473,'Calc|Weightings'!$K$5:$M$5,1,0),"Excl")</f>
        <v>Labour</v>
      </c>
      <c r="O1473" s="7" t="str">
        <f>VLOOKUP(E1473,Mapping!$E$11:$I$96,5,0)</f>
        <v>SCS</v>
      </c>
      <c r="Q1473" s="33">
        <v>162</v>
      </c>
      <c r="R1473" s="33" t="s">
        <v>2172</v>
      </c>
      <c r="S1473" s="33">
        <v>503240</v>
      </c>
      <c r="T1473" s="33" t="s">
        <v>169</v>
      </c>
      <c r="U1473" s="34">
        <v>0.53680000000000005</v>
      </c>
      <c r="V1473" s="7"/>
      <c r="W1473" s="7" t="str">
        <f>VLOOKUP($Q1473,Mapping!$E$11:$I$96,3,0)</f>
        <v>Augmentation</v>
      </c>
      <c r="X1473" s="7" t="str">
        <f>VLOOKUP($S1473,Mapping!$E$140:$K$2771,5,0)</f>
        <v>Contracts</v>
      </c>
      <c r="Y1473" s="7" t="str">
        <f>VLOOKUP($S1473,Mapping!$E$140:$K$2771,7,0)</f>
        <v>ENDirect</v>
      </c>
      <c r="Z1473" s="7" t="str">
        <f>IFERROR(HLOOKUP(X1473,'Calc|Weightings'!$K$5:$M$5,1,0),"Excl")</f>
        <v>Contracts</v>
      </c>
      <c r="AA1473" s="7" t="str">
        <f>VLOOKUP(Q1473,Mapping!$E$11:$I$96,5,0)</f>
        <v>SCS</v>
      </c>
      <c r="AC1473" s="111">
        <v>161</v>
      </c>
      <c r="AD1473" s="111" t="s">
        <v>2171</v>
      </c>
      <c r="AE1473" s="111">
        <v>613477</v>
      </c>
      <c r="AF1473" s="111" t="s">
        <v>2200</v>
      </c>
      <c r="AG1473" s="112">
        <v>0.40947</v>
      </c>
      <c r="AI1473" s="7" t="str">
        <f>VLOOKUP($AC1473,Mapping!$E$11:$I$96,3,0)</f>
        <v>Augmentation</v>
      </c>
      <c r="AJ1473" s="7" t="str">
        <f>VLOOKUP($AE1473,Mapping!$E$140:$K$2771,5,0)</f>
        <v>Labour</v>
      </c>
      <c r="AK1473" s="7" t="str">
        <f>VLOOKUP($AE1473,Mapping!$E$140:$K$2771,7,0)</f>
        <v>ENDirect</v>
      </c>
      <c r="AL1473" s="7" t="str">
        <f>IFERROR(HLOOKUP(AJ1473,'Calc|Weightings'!$K$5:$M$5,1,0),"Excl")</f>
        <v>Labour</v>
      </c>
      <c r="AM1473" s="7" t="str">
        <f>VLOOKUP(AC1473,Mapping!$E$11:$I$96,5,0)</f>
        <v>SCS</v>
      </c>
      <c r="AO1473" s="134">
        <v>165</v>
      </c>
      <c r="AP1473" s="135" t="s">
        <v>2206</v>
      </c>
      <c r="AQ1473" s="135">
        <v>613310</v>
      </c>
      <c r="AR1473" s="135" t="s">
        <v>2095</v>
      </c>
      <c r="AS1473" s="136">
        <v>-25.307120000000001</v>
      </c>
      <c r="AU1473" s="7" t="str">
        <f>VLOOKUP($AO1473,Mapping!$E$11:$I$96,3,0)</f>
        <v>Replacement</v>
      </c>
      <c r="AV1473" s="7" t="str">
        <f>VLOOKUP($AQ1473,Mapping!$E$140:$K$2771,5,0)</f>
        <v>Labour</v>
      </c>
      <c r="AW1473" s="7" t="str">
        <f>VLOOKUP($AQ1473,Mapping!$E$140:$K$2771,7,0)</f>
        <v>ENDirect</v>
      </c>
      <c r="AX1473" s="7" t="str">
        <f>IFERROR(HLOOKUP(AV1473,'Calc|Weightings'!$K$5:$M$5,1,0),"Excl")</f>
        <v>Labour</v>
      </c>
      <c r="AY1473" s="7" t="str">
        <f>VLOOKUP(AO1473,Mapping!$E$11:$I$96,5,0)</f>
        <v>SCS</v>
      </c>
    </row>
    <row r="1474" spans="1:51" x14ac:dyDescent="0.2">
      <c r="A1474" s="7"/>
      <c r="B1474" s="7"/>
      <c r="C1474" s="7"/>
      <c r="D1474" s="7"/>
      <c r="E1474" s="36">
        <v>152</v>
      </c>
      <c r="F1474" s="36" t="s">
        <v>2161</v>
      </c>
      <c r="G1474" s="36">
        <v>613248</v>
      </c>
      <c r="H1474" s="36" t="s">
        <v>2383</v>
      </c>
      <c r="I1474" s="37">
        <v>74.930779999999999</v>
      </c>
      <c r="J1474" s="7"/>
      <c r="K1474" s="7" t="str">
        <f>VLOOKUP($E1474,Mapping!$E$11:$I$96,3,0)</f>
        <v>Replacement</v>
      </c>
      <c r="L1474" s="7" t="str">
        <f>VLOOKUP($G1474,Mapping!$E$140:$K$2771,5,0)</f>
        <v>Labour</v>
      </c>
      <c r="M1474" s="7" t="str">
        <f>VLOOKUP($G1474,Mapping!$E$140:$K$2771,7,0)</f>
        <v>ENDirect</v>
      </c>
      <c r="N1474" s="7" t="str">
        <f>IFERROR(HLOOKUP(L1474,'Calc|Weightings'!$K$5:$M$5,1,0),"Excl")</f>
        <v>Labour</v>
      </c>
      <c r="O1474" s="7" t="str">
        <f>VLOOKUP(E1474,Mapping!$E$11:$I$96,5,0)</f>
        <v>SCS</v>
      </c>
      <c r="Q1474" s="33">
        <v>162</v>
      </c>
      <c r="R1474" s="33" t="s">
        <v>2172</v>
      </c>
      <c r="S1474" s="33">
        <v>503281</v>
      </c>
      <c r="T1474" s="33" t="s">
        <v>174</v>
      </c>
      <c r="U1474" s="34">
        <v>3.6360000000000003E-2</v>
      </c>
      <c r="V1474" s="7"/>
      <c r="W1474" s="7" t="str">
        <f>VLOOKUP($Q1474,Mapping!$E$11:$I$96,3,0)</f>
        <v>Augmentation</v>
      </c>
      <c r="X1474" s="7" t="str">
        <f>VLOOKUP($S1474,Mapping!$E$140:$K$2771,5,0)</f>
        <v>Contracts</v>
      </c>
      <c r="Y1474" s="7" t="str">
        <f>VLOOKUP($S1474,Mapping!$E$140:$K$2771,7,0)</f>
        <v>ENDirect</v>
      </c>
      <c r="Z1474" s="7" t="str">
        <f>IFERROR(HLOOKUP(X1474,'Calc|Weightings'!$K$5:$M$5,1,0),"Excl")</f>
        <v>Contracts</v>
      </c>
      <c r="AA1474" s="7" t="str">
        <f>VLOOKUP(Q1474,Mapping!$E$11:$I$96,5,0)</f>
        <v>SCS</v>
      </c>
      <c r="AC1474" s="111">
        <v>161</v>
      </c>
      <c r="AD1474" s="111" t="s">
        <v>2171</v>
      </c>
      <c r="AE1474" s="111">
        <v>613566</v>
      </c>
      <c r="AF1474" s="111" t="s">
        <v>1482</v>
      </c>
      <c r="AG1474" s="112">
        <v>55.69585</v>
      </c>
      <c r="AI1474" s="7" t="str">
        <f>VLOOKUP($AC1474,Mapping!$E$11:$I$96,3,0)</f>
        <v>Augmentation</v>
      </c>
      <c r="AJ1474" s="7" t="str">
        <f>VLOOKUP($AE1474,Mapping!$E$140:$K$2771,5,0)</f>
        <v>Labour</v>
      </c>
      <c r="AK1474" s="7" t="str">
        <f>VLOOKUP($AE1474,Mapping!$E$140:$K$2771,7,0)</f>
        <v>ENDirect</v>
      </c>
      <c r="AL1474" s="7" t="str">
        <f>IFERROR(HLOOKUP(AJ1474,'Calc|Weightings'!$K$5:$M$5,1,0),"Excl")</f>
        <v>Labour</v>
      </c>
      <c r="AM1474" s="7" t="str">
        <f>VLOOKUP(AC1474,Mapping!$E$11:$I$96,5,0)</f>
        <v>SCS</v>
      </c>
      <c r="AO1474" s="134">
        <v>165</v>
      </c>
      <c r="AP1474" s="135" t="s">
        <v>2206</v>
      </c>
      <c r="AQ1474" s="135">
        <v>613311</v>
      </c>
      <c r="AR1474" s="135" t="s">
        <v>2116</v>
      </c>
      <c r="AS1474" s="136">
        <v>-0.34164</v>
      </c>
      <c r="AU1474" s="7" t="str">
        <f>VLOOKUP($AO1474,Mapping!$E$11:$I$96,3,0)</f>
        <v>Replacement</v>
      </c>
      <c r="AV1474" s="7" t="str">
        <f>VLOOKUP($AQ1474,Mapping!$E$140:$K$2771,5,0)</f>
        <v>Labour</v>
      </c>
      <c r="AW1474" s="7" t="str">
        <f>VLOOKUP($AQ1474,Mapping!$E$140:$K$2771,7,0)</f>
        <v>ENDirect</v>
      </c>
      <c r="AX1474" s="7" t="str">
        <f>IFERROR(HLOOKUP(AV1474,'Calc|Weightings'!$K$5:$M$5,1,0),"Excl")</f>
        <v>Labour</v>
      </c>
      <c r="AY1474" s="7" t="str">
        <f>VLOOKUP(AO1474,Mapping!$E$11:$I$96,5,0)</f>
        <v>SCS</v>
      </c>
    </row>
    <row r="1475" spans="1:51" x14ac:dyDescent="0.2">
      <c r="A1475" s="7"/>
      <c r="B1475" s="7"/>
      <c r="C1475" s="7"/>
      <c r="D1475" s="7"/>
      <c r="E1475" s="36">
        <v>152</v>
      </c>
      <c r="F1475" s="36" t="s">
        <v>2161</v>
      </c>
      <c r="G1475" s="36">
        <v>613249</v>
      </c>
      <c r="H1475" s="36" t="s">
        <v>2384</v>
      </c>
      <c r="I1475" s="37">
        <v>9.9809999999999996E-2</v>
      </c>
      <c r="J1475" s="7"/>
      <c r="K1475" s="7" t="str">
        <f>VLOOKUP($E1475,Mapping!$E$11:$I$96,3,0)</f>
        <v>Replacement</v>
      </c>
      <c r="L1475" s="7" t="str">
        <f>VLOOKUP($G1475,Mapping!$E$140:$K$2771,5,0)</f>
        <v>Labour</v>
      </c>
      <c r="M1475" s="7" t="str">
        <f>VLOOKUP($G1475,Mapping!$E$140:$K$2771,7,0)</f>
        <v>ENDirect</v>
      </c>
      <c r="N1475" s="7" t="str">
        <f>IFERROR(HLOOKUP(L1475,'Calc|Weightings'!$K$5:$M$5,1,0),"Excl")</f>
        <v>Labour</v>
      </c>
      <c r="O1475" s="7" t="str">
        <f>VLOOKUP(E1475,Mapping!$E$11:$I$96,5,0)</f>
        <v>SCS</v>
      </c>
      <c r="Q1475" s="33">
        <v>162</v>
      </c>
      <c r="R1475" s="33" t="s">
        <v>2172</v>
      </c>
      <c r="S1475" s="33">
        <v>503330</v>
      </c>
      <c r="T1475" s="33" t="s">
        <v>180</v>
      </c>
      <c r="U1475" s="34">
        <v>0.14441000000000001</v>
      </c>
      <c r="V1475" s="7"/>
      <c r="W1475" s="7" t="str">
        <f>VLOOKUP($Q1475,Mapping!$E$11:$I$96,3,0)</f>
        <v>Augmentation</v>
      </c>
      <c r="X1475" s="7" t="str">
        <f>VLOOKUP($S1475,Mapping!$E$140:$K$2771,5,0)</f>
        <v>Contracts</v>
      </c>
      <c r="Y1475" s="7" t="str">
        <f>VLOOKUP($S1475,Mapping!$E$140:$K$2771,7,0)</f>
        <v>ENDirect</v>
      </c>
      <c r="Z1475" s="7" t="str">
        <f>IFERROR(HLOOKUP(X1475,'Calc|Weightings'!$K$5:$M$5,1,0),"Excl")</f>
        <v>Contracts</v>
      </c>
      <c r="AA1475" s="7" t="str">
        <f>VLOOKUP(Q1475,Mapping!$E$11:$I$96,5,0)</f>
        <v>SCS</v>
      </c>
      <c r="AC1475" s="111">
        <v>161</v>
      </c>
      <c r="AD1475" s="111" t="s">
        <v>2171</v>
      </c>
      <c r="AE1475" s="111">
        <v>613567</v>
      </c>
      <c r="AF1475" s="111" t="s">
        <v>1483</v>
      </c>
      <c r="AG1475" s="112">
        <v>7.9564300000000001</v>
      </c>
      <c r="AI1475" s="7" t="str">
        <f>VLOOKUP($AC1475,Mapping!$E$11:$I$96,3,0)</f>
        <v>Augmentation</v>
      </c>
      <c r="AJ1475" s="7" t="str">
        <f>VLOOKUP($AE1475,Mapping!$E$140:$K$2771,5,0)</f>
        <v>Labour</v>
      </c>
      <c r="AK1475" s="7" t="str">
        <f>VLOOKUP($AE1475,Mapping!$E$140:$K$2771,7,0)</f>
        <v>ENDirect</v>
      </c>
      <c r="AL1475" s="7" t="str">
        <f>IFERROR(HLOOKUP(AJ1475,'Calc|Weightings'!$K$5:$M$5,1,0),"Excl")</f>
        <v>Labour</v>
      </c>
      <c r="AM1475" s="7" t="str">
        <f>VLOOKUP(AC1475,Mapping!$E$11:$I$96,5,0)</f>
        <v>SCS</v>
      </c>
      <c r="AO1475" s="134">
        <v>165</v>
      </c>
      <c r="AP1475" s="135" t="s">
        <v>2206</v>
      </c>
      <c r="AQ1475" s="135">
        <v>613360</v>
      </c>
      <c r="AR1475" s="135" t="s">
        <v>2097</v>
      </c>
      <c r="AS1475" s="136">
        <v>-0.12518000000000001</v>
      </c>
      <c r="AU1475" s="7" t="str">
        <f>VLOOKUP($AO1475,Mapping!$E$11:$I$96,3,0)</f>
        <v>Replacement</v>
      </c>
      <c r="AV1475" s="7" t="str">
        <f>VLOOKUP($AQ1475,Mapping!$E$140:$K$2771,5,0)</f>
        <v>Labour</v>
      </c>
      <c r="AW1475" s="7" t="str">
        <f>VLOOKUP($AQ1475,Mapping!$E$140:$K$2771,7,0)</f>
        <v>ENDirect</v>
      </c>
      <c r="AX1475" s="7" t="str">
        <f>IFERROR(HLOOKUP(AV1475,'Calc|Weightings'!$K$5:$M$5,1,0),"Excl")</f>
        <v>Labour</v>
      </c>
      <c r="AY1475" s="7" t="str">
        <f>VLOOKUP(AO1475,Mapping!$E$11:$I$96,5,0)</f>
        <v>SCS</v>
      </c>
    </row>
    <row r="1476" spans="1:51" x14ac:dyDescent="0.2">
      <c r="A1476" s="7"/>
      <c r="B1476" s="7"/>
      <c r="C1476" s="7"/>
      <c r="D1476" s="7"/>
      <c r="E1476" s="36">
        <v>152</v>
      </c>
      <c r="F1476" s="36" t="s">
        <v>2161</v>
      </c>
      <c r="G1476" s="36">
        <v>613258</v>
      </c>
      <c r="H1476" s="36" t="s">
        <v>2356</v>
      </c>
      <c r="I1476" s="37">
        <v>13.85454</v>
      </c>
      <c r="J1476" s="7"/>
      <c r="K1476" s="7" t="str">
        <f>VLOOKUP($E1476,Mapping!$E$11:$I$96,3,0)</f>
        <v>Replacement</v>
      </c>
      <c r="L1476" s="7" t="str">
        <f>VLOOKUP($G1476,Mapping!$E$140:$K$2771,5,0)</f>
        <v>Labour</v>
      </c>
      <c r="M1476" s="7" t="str">
        <f>VLOOKUP($G1476,Mapping!$E$140:$K$2771,7,0)</f>
        <v>ENDirect</v>
      </c>
      <c r="N1476" s="7" t="str">
        <f>IFERROR(HLOOKUP(L1476,'Calc|Weightings'!$K$5:$M$5,1,0),"Excl")</f>
        <v>Labour</v>
      </c>
      <c r="O1476" s="7" t="str">
        <f>VLOOKUP(E1476,Mapping!$E$11:$I$96,5,0)</f>
        <v>SCS</v>
      </c>
      <c r="Q1476" s="33">
        <v>162</v>
      </c>
      <c r="R1476" s="33" t="s">
        <v>2172</v>
      </c>
      <c r="S1476" s="33">
        <v>503350</v>
      </c>
      <c r="T1476" s="33" t="s">
        <v>182</v>
      </c>
      <c r="U1476" s="34">
        <v>9.9330000000000002E-2</v>
      </c>
      <c r="V1476" s="7"/>
      <c r="W1476" s="7" t="str">
        <f>VLOOKUP($Q1476,Mapping!$E$11:$I$96,3,0)</f>
        <v>Augmentation</v>
      </c>
      <c r="X1476" s="7" t="str">
        <f>VLOOKUP($S1476,Mapping!$E$140:$K$2771,5,0)</f>
        <v>Contracts</v>
      </c>
      <c r="Y1476" s="7" t="str">
        <f>VLOOKUP($S1476,Mapping!$E$140:$K$2771,7,0)</f>
        <v>ENDirect</v>
      </c>
      <c r="Z1476" s="7" t="str">
        <f>IFERROR(HLOOKUP(X1476,'Calc|Weightings'!$K$5:$M$5,1,0),"Excl")</f>
        <v>Contracts</v>
      </c>
      <c r="AA1476" s="7" t="str">
        <f>VLOOKUP(Q1476,Mapping!$E$11:$I$96,5,0)</f>
        <v>SCS</v>
      </c>
      <c r="AC1476" s="111">
        <v>161</v>
      </c>
      <c r="AD1476" s="111" t="s">
        <v>2171</v>
      </c>
      <c r="AE1476" s="111">
        <v>613570</v>
      </c>
      <c r="AF1476" s="111" t="s">
        <v>1484</v>
      </c>
      <c r="AG1476" s="112">
        <v>3.7153200000000002</v>
      </c>
      <c r="AI1476" s="7" t="str">
        <f>VLOOKUP($AC1476,Mapping!$E$11:$I$96,3,0)</f>
        <v>Augmentation</v>
      </c>
      <c r="AJ1476" s="7" t="str">
        <f>VLOOKUP($AE1476,Mapping!$E$140:$K$2771,5,0)</f>
        <v>Labour</v>
      </c>
      <c r="AK1476" s="7" t="str">
        <f>VLOOKUP($AE1476,Mapping!$E$140:$K$2771,7,0)</f>
        <v>ENDirect</v>
      </c>
      <c r="AL1476" s="7" t="str">
        <f>IFERROR(HLOOKUP(AJ1476,'Calc|Weightings'!$K$5:$M$5,1,0),"Excl")</f>
        <v>Labour</v>
      </c>
      <c r="AM1476" s="7" t="str">
        <f>VLOOKUP(AC1476,Mapping!$E$11:$I$96,5,0)</f>
        <v>SCS</v>
      </c>
      <c r="AO1476" s="134">
        <v>165</v>
      </c>
      <c r="AP1476" s="135" t="s">
        <v>2206</v>
      </c>
      <c r="AQ1476" s="135">
        <v>613420</v>
      </c>
      <c r="AR1476" s="135" t="s">
        <v>2393</v>
      </c>
      <c r="AS1476" s="136">
        <v>-3.5523899999999999</v>
      </c>
      <c r="AU1476" s="7" t="str">
        <f>VLOOKUP($AO1476,Mapping!$E$11:$I$96,3,0)</f>
        <v>Replacement</v>
      </c>
      <c r="AV1476" s="7" t="str">
        <f>VLOOKUP($AQ1476,Mapping!$E$140:$K$2771,5,0)</f>
        <v>Labour</v>
      </c>
      <c r="AW1476" s="7" t="str">
        <f>VLOOKUP($AQ1476,Mapping!$E$140:$K$2771,7,0)</f>
        <v>ENDirect</v>
      </c>
      <c r="AX1476" s="7" t="str">
        <f>IFERROR(HLOOKUP(AV1476,'Calc|Weightings'!$K$5:$M$5,1,0),"Excl")</f>
        <v>Labour</v>
      </c>
      <c r="AY1476" s="7" t="str">
        <f>VLOOKUP(AO1476,Mapping!$E$11:$I$96,5,0)</f>
        <v>SCS</v>
      </c>
    </row>
    <row r="1477" spans="1:51" x14ac:dyDescent="0.2">
      <c r="A1477" s="7"/>
      <c r="B1477" s="7"/>
      <c r="C1477" s="7"/>
      <c r="D1477" s="7"/>
      <c r="E1477" s="36">
        <v>152</v>
      </c>
      <c r="F1477" s="36" t="s">
        <v>2161</v>
      </c>
      <c r="G1477" s="36">
        <v>613259</v>
      </c>
      <c r="H1477" s="36" t="s">
        <v>2359</v>
      </c>
      <c r="I1477" s="37">
        <v>7.9900000000000006E-3</v>
      </c>
      <c r="J1477" s="7"/>
      <c r="K1477" s="7" t="str">
        <f>VLOOKUP($E1477,Mapping!$E$11:$I$96,3,0)</f>
        <v>Replacement</v>
      </c>
      <c r="L1477" s="7" t="str">
        <f>VLOOKUP($G1477,Mapping!$E$140:$K$2771,5,0)</f>
        <v>Labour</v>
      </c>
      <c r="M1477" s="7" t="str">
        <f>VLOOKUP($G1477,Mapping!$E$140:$K$2771,7,0)</f>
        <v>ENDirect</v>
      </c>
      <c r="N1477" s="7" t="str">
        <f>IFERROR(HLOOKUP(L1477,'Calc|Weightings'!$K$5:$M$5,1,0),"Excl")</f>
        <v>Labour</v>
      </c>
      <c r="O1477" s="7" t="str">
        <f>VLOOKUP(E1477,Mapping!$E$11:$I$96,5,0)</f>
        <v>SCS</v>
      </c>
      <c r="Q1477" s="33">
        <v>162</v>
      </c>
      <c r="R1477" s="33" t="s">
        <v>2172</v>
      </c>
      <c r="S1477" s="33">
        <v>520100</v>
      </c>
      <c r="T1477" s="33" t="s">
        <v>2072</v>
      </c>
      <c r="U1477" s="34">
        <v>90.198729999999998</v>
      </c>
      <c r="V1477" s="7"/>
      <c r="W1477" s="7" t="str">
        <f>VLOOKUP($Q1477,Mapping!$E$11:$I$96,3,0)</f>
        <v>Augmentation</v>
      </c>
      <c r="X1477" s="7" t="str">
        <f>VLOOKUP($S1477,Mapping!$E$140:$K$2771,5,0)</f>
        <v>Materials</v>
      </c>
      <c r="Y1477" s="7" t="str">
        <f>VLOOKUP($S1477,Mapping!$E$140:$K$2771,7,0)</f>
        <v>ENDirect</v>
      </c>
      <c r="Z1477" s="7" t="str">
        <f>IFERROR(HLOOKUP(X1477,'Calc|Weightings'!$K$5:$M$5,1,0),"Excl")</f>
        <v>Materials</v>
      </c>
      <c r="AA1477" s="7" t="str">
        <f>VLOOKUP(Q1477,Mapping!$E$11:$I$96,5,0)</f>
        <v>SCS</v>
      </c>
      <c r="AC1477" s="111">
        <v>161</v>
      </c>
      <c r="AD1477" s="111" t="s">
        <v>2171</v>
      </c>
      <c r="AE1477" s="111">
        <v>613571</v>
      </c>
      <c r="AF1477" s="111" t="s">
        <v>1485</v>
      </c>
      <c r="AG1477" s="112">
        <v>0.98407</v>
      </c>
      <c r="AI1477" s="7" t="str">
        <f>VLOOKUP($AC1477,Mapping!$E$11:$I$96,3,0)</f>
        <v>Augmentation</v>
      </c>
      <c r="AJ1477" s="7" t="str">
        <f>VLOOKUP($AE1477,Mapping!$E$140:$K$2771,5,0)</f>
        <v>Labour</v>
      </c>
      <c r="AK1477" s="7" t="str">
        <f>VLOOKUP($AE1477,Mapping!$E$140:$K$2771,7,0)</f>
        <v>ENDirect</v>
      </c>
      <c r="AL1477" s="7" t="str">
        <f>IFERROR(HLOOKUP(AJ1477,'Calc|Weightings'!$K$5:$M$5,1,0),"Excl")</f>
        <v>Labour</v>
      </c>
      <c r="AM1477" s="7" t="str">
        <f>VLOOKUP(AC1477,Mapping!$E$11:$I$96,5,0)</f>
        <v>SCS</v>
      </c>
      <c r="AO1477" s="134">
        <v>165</v>
      </c>
      <c r="AP1477" s="135" t="s">
        <v>2206</v>
      </c>
      <c r="AQ1477" s="135">
        <v>613566</v>
      </c>
      <c r="AR1477" s="135" t="s">
        <v>1482</v>
      </c>
      <c r="AS1477" s="136">
        <v>-1.69845</v>
      </c>
      <c r="AU1477" s="7" t="str">
        <f>VLOOKUP($AO1477,Mapping!$E$11:$I$96,3,0)</f>
        <v>Replacement</v>
      </c>
      <c r="AV1477" s="7" t="str">
        <f>VLOOKUP($AQ1477,Mapping!$E$140:$K$2771,5,0)</f>
        <v>Labour</v>
      </c>
      <c r="AW1477" s="7" t="str">
        <f>VLOOKUP($AQ1477,Mapping!$E$140:$K$2771,7,0)</f>
        <v>ENDirect</v>
      </c>
      <c r="AX1477" s="7" t="str">
        <f>IFERROR(HLOOKUP(AV1477,'Calc|Weightings'!$K$5:$M$5,1,0),"Excl")</f>
        <v>Labour</v>
      </c>
      <c r="AY1477" s="7" t="str">
        <f>VLOOKUP(AO1477,Mapping!$E$11:$I$96,5,0)</f>
        <v>SCS</v>
      </c>
    </row>
    <row r="1478" spans="1:51" x14ac:dyDescent="0.2">
      <c r="A1478" s="7"/>
      <c r="B1478" s="7"/>
      <c r="C1478" s="7"/>
      <c r="D1478" s="7"/>
      <c r="E1478" s="36">
        <v>152</v>
      </c>
      <c r="F1478" s="36" t="s">
        <v>2161</v>
      </c>
      <c r="G1478" s="36">
        <v>613268</v>
      </c>
      <c r="H1478" s="36" t="s">
        <v>1335</v>
      </c>
      <c r="I1478" s="37">
        <v>6.0479999999999999E-2</v>
      </c>
      <c r="J1478" s="7"/>
      <c r="K1478" s="7" t="str">
        <f>VLOOKUP($E1478,Mapping!$E$11:$I$96,3,0)</f>
        <v>Replacement</v>
      </c>
      <c r="L1478" s="7" t="str">
        <f>VLOOKUP($G1478,Mapping!$E$140:$K$2771,5,0)</f>
        <v>Labour</v>
      </c>
      <c r="M1478" s="7" t="str">
        <f>VLOOKUP($G1478,Mapping!$E$140:$K$2771,7,0)</f>
        <v>ENDirect</v>
      </c>
      <c r="N1478" s="7" t="str">
        <f>IFERROR(HLOOKUP(L1478,'Calc|Weightings'!$K$5:$M$5,1,0),"Excl")</f>
        <v>Labour</v>
      </c>
      <c r="O1478" s="7" t="str">
        <f>VLOOKUP(E1478,Mapping!$E$11:$I$96,5,0)</f>
        <v>SCS</v>
      </c>
      <c r="Q1478" s="33">
        <v>162</v>
      </c>
      <c r="R1478" s="33" t="s">
        <v>2172</v>
      </c>
      <c r="S1478" s="33">
        <v>520200</v>
      </c>
      <c r="T1478" s="33" t="s">
        <v>2073</v>
      </c>
      <c r="U1478" s="34">
        <v>61.0306</v>
      </c>
      <c r="V1478" s="7"/>
      <c r="W1478" s="7" t="str">
        <f>VLOOKUP($Q1478,Mapping!$E$11:$I$96,3,0)</f>
        <v>Augmentation</v>
      </c>
      <c r="X1478" s="7" t="str">
        <f>VLOOKUP($S1478,Mapping!$E$140:$K$2771,5,0)</f>
        <v>Materials</v>
      </c>
      <c r="Y1478" s="7" t="str">
        <f>VLOOKUP($S1478,Mapping!$E$140:$K$2771,7,0)</f>
        <v>ENDirect</v>
      </c>
      <c r="Z1478" s="7" t="str">
        <f>IFERROR(HLOOKUP(X1478,'Calc|Weightings'!$K$5:$M$5,1,0),"Excl")</f>
        <v>Materials</v>
      </c>
      <c r="AA1478" s="7" t="str">
        <f>VLOOKUP(Q1478,Mapping!$E$11:$I$96,5,0)</f>
        <v>SCS</v>
      </c>
      <c r="AC1478" s="111">
        <v>161</v>
      </c>
      <c r="AD1478" s="111" t="s">
        <v>2171</v>
      </c>
      <c r="AE1478" s="111">
        <v>613574</v>
      </c>
      <c r="AF1478" s="111" t="s">
        <v>1488</v>
      </c>
      <c r="AG1478" s="112">
        <v>29.191659999999999</v>
      </c>
      <c r="AI1478" s="7" t="str">
        <f>VLOOKUP($AC1478,Mapping!$E$11:$I$96,3,0)</f>
        <v>Augmentation</v>
      </c>
      <c r="AJ1478" s="7" t="str">
        <f>VLOOKUP($AE1478,Mapping!$E$140:$K$2771,5,0)</f>
        <v>Labour</v>
      </c>
      <c r="AK1478" s="7" t="str">
        <f>VLOOKUP($AE1478,Mapping!$E$140:$K$2771,7,0)</f>
        <v>ENDirect</v>
      </c>
      <c r="AL1478" s="7" t="str">
        <f>IFERROR(HLOOKUP(AJ1478,'Calc|Weightings'!$K$5:$M$5,1,0),"Excl")</f>
        <v>Labour</v>
      </c>
      <c r="AM1478" s="7" t="str">
        <f>VLOOKUP(AC1478,Mapping!$E$11:$I$96,5,0)</f>
        <v>SCS</v>
      </c>
      <c r="AO1478" s="134">
        <v>165</v>
      </c>
      <c r="AP1478" s="135" t="s">
        <v>2206</v>
      </c>
      <c r="AQ1478" s="135">
        <v>613575</v>
      </c>
      <c r="AR1478" s="135" t="s">
        <v>1489</v>
      </c>
      <c r="AS1478" s="136">
        <v>-1.53712</v>
      </c>
      <c r="AU1478" s="7" t="str">
        <f>VLOOKUP($AO1478,Mapping!$E$11:$I$96,3,0)</f>
        <v>Replacement</v>
      </c>
      <c r="AV1478" s="7" t="str">
        <f>VLOOKUP($AQ1478,Mapping!$E$140:$K$2771,5,0)</f>
        <v>Labour</v>
      </c>
      <c r="AW1478" s="7" t="str">
        <f>VLOOKUP($AQ1478,Mapping!$E$140:$K$2771,7,0)</f>
        <v>ENDirect</v>
      </c>
      <c r="AX1478" s="7" t="str">
        <f>IFERROR(HLOOKUP(AV1478,'Calc|Weightings'!$K$5:$M$5,1,0),"Excl")</f>
        <v>Labour</v>
      </c>
      <c r="AY1478" s="7" t="str">
        <f>VLOOKUP(AO1478,Mapping!$E$11:$I$96,5,0)</f>
        <v>SCS</v>
      </c>
    </row>
    <row r="1479" spans="1:51" x14ac:dyDescent="0.2">
      <c r="A1479" s="7"/>
      <c r="B1479" s="7"/>
      <c r="C1479" s="7"/>
      <c r="D1479" s="7"/>
      <c r="E1479" s="36">
        <v>152</v>
      </c>
      <c r="F1479" s="36" t="s">
        <v>2161</v>
      </c>
      <c r="G1479" s="36">
        <v>613278</v>
      </c>
      <c r="H1479" s="36" t="s">
        <v>2357</v>
      </c>
      <c r="I1479" s="37">
        <v>8.3854299999999995</v>
      </c>
      <c r="J1479" s="7"/>
      <c r="K1479" s="7" t="str">
        <f>VLOOKUP($E1479,Mapping!$E$11:$I$96,3,0)</f>
        <v>Replacement</v>
      </c>
      <c r="L1479" s="7" t="str">
        <f>VLOOKUP($G1479,Mapping!$E$140:$K$2771,5,0)</f>
        <v>Labour</v>
      </c>
      <c r="M1479" s="7" t="str">
        <f>VLOOKUP($G1479,Mapping!$E$140:$K$2771,7,0)</f>
        <v>ENDirect</v>
      </c>
      <c r="N1479" s="7" t="str">
        <f>IFERROR(HLOOKUP(L1479,'Calc|Weightings'!$K$5:$M$5,1,0),"Excl")</f>
        <v>Labour</v>
      </c>
      <c r="O1479" s="7" t="str">
        <f>VLOOKUP(E1479,Mapping!$E$11:$I$96,5,0)</f>
        <v>SCS</v>
      </c>
      <c r="Q1479" s="33">
        <v>162</v>
      </c>
      <c r="R1479" s="33" t="s">
        <v>2172</v>
      </c>
      <c r="S1479" s="33">
        <v>522100</v>
      </c>
      <c r="T1479" s="33" t="s">
        <v>2115</v>
      </c>
      <c r="U1479" s="34">
        <v>4.5449999999999997E-2</v>
      </c>
      <c r="V1479" s="7"/>
      <c r="W1479" s="7" t="str">
        <f>VLOOKUP($Q1479,Mapping!$E$11:$I$96,3,0)</f>
        <v>Augmentation</v>
      </c>
      <c r="X1479" s="7" t="str">
        <f>VLOOKUP($S1479,Mapping!$E$140:$K$2771,5,0)</f>
        <v>Materials</v>
      </c>
      <c r="Y1479" s="7" t="str">
        <f>VLOOKUP($S1479,Mapping!$E$140:$K$2771,7,0)</f>
        <v>ENDirect</v>
      </c>
      <c r="Z1479" s="7" t="str">
        <f>IFERROR(HLOOKUP(X1479,'Calc|Weightings'!$K$5:$M$5,1,0),"Excl")</f>
        <v>Materials</v>
      </c>
      <c r="AA1479" s="7" t="str">
        <f>VLOOKUP(Q1479,Mapping!$E$11:$I$96,5,0)</f>
        <v>SCS</v>
      </c>
      <c r="AC1479" s="111">
        <v>161</v>
      </c>
      <c r="AD1479" s="111" t="s">
        <v>2171</v>
      </c>
      <c r="AE1479" s="111">
        <v>613575</v>
      </c>
      <c r="AF1479" s="111" t="s">
        <v>1489</v>
      </c>
      <c r="AG1479" s="112">
        <v>1.92737</v>
      </c>
      <c r="AI1479" s="7" t="str">
        <f>VLOOKUP($AC1479,Mapping!$E$11:$I$96,3,0)</f>
        <v>Augmentation</v>
      </c>
      <c r="AJ1479" s="7" t="str">
        <f>VLOOKUP($AE1479,Mapping!$E$140:$K$2771,5,0)</f>
        <v>Labour</v>
      </c>
      <c r="AK1479" s="7" t="str">
        <f>VLOOKUP($AE1479,Mapping!$E$140:$K$2771,7,0)</f>
        <v>ENDirect</v>
      </c>
      <c r="AL1479" s="7" t="str">
        <f>IFERROR(HLOOKUP(AJ1479,'Calc|Weightings'!$K$5:$M$5,1,0),"Excl")</f>
        <v>Labour</v>
      </c>
      <c r="AM1479" s="7" t="str">
        <f>VLOOKUP(AC1479,Mapping!$E$11:$I$96,5,0)</f>
        <v>SCS</v>
      </c>
      <c r="AO1479" s="134">
        <v>165</v>
      </c>
      <c r="AP1479" s="135" t="s">
        <v>2206</v>
      </c>
      <c r="AQ1479" s="135">
        <v>613576</v>
      </c>
      <c r="AR1479" s="135" t="s">
        <v>1490</v>
      </c>
      <c r="AS1479" s="136">
        <v>-52.608490000000003</v>
      </c>
      <c r="AU1479" s="7" t="str">
        <f>VLOOKUP($AO1479,Mapping!$E$11:$I$96,3,0)</f>
        <v>Replacement</v>
      </c>
      <c r="AV1479" s="7" t="str">
        <f>VLOOKUP($AQ1479,Mapping!$E$140:$K$2771,5,0)</f>
        <v>Labour</v>
      </c>
      <c r="AW1479" s="7" t="str">
        <f>VLOOKUP($AQ1479,Mapping!$E$140:$K$2771,7,0)</f>
        <v>ENDirect</v>
      </c>
      <c r="AX1479" s="7" t="str">
        <f>IFERROR(HLOOKUP(AV1479,'Calc|Weightings'!$K$5:$M$5,1,0),"Excl")</f>
        <v>Labour</v>
      </c>
      <c r="AY1479" s="7" t="str">
        <f>VLOOKUP(AO1479,Mapping!$E$11:$I$96,5,0)</f>
        <v>SCS</v>
      </c>
    </row>
    <row r="1480" spans="1:51" x14ac:dyDescent="0.2">
      <c r="A1480" s="7"/>
      <c r="B1480" s="7"/>
      <c r="C1480" s="7"/>
      <c r="D1480" s="7"/>
      <c r="E1480" s="36">
        <v>152</v>
      </c>
      <c r="F1480" s="36" t="s">
        <v>2161</v>
      </c>
      <c r="G1480" s="36">
        <v>613279</v>
      </c>
      <c r="H1480" s="36" t="s">
        <v>2360</v>
      </c>
      <c r="I1480" s="37">
        <v>0.24499000000000001</v>
      </c>
      <c r="J1480" s="7"/>
      <c r="K1480" s="7" t="str">
        <f>VLOOKUP($E1480,Mapping!$E$11:$I$96,3,0)</f>
        <v>Replacement</v>
      </c>
      <c r="L1480" s="7" t="str">
        <f>VLOOKUP($G1480,Mapping!$E$140:$K$2771,5,0)</f>
        <v>Labour</v>
      </c>
      <c r="M1480" s="7" t="str">
        <f>VLOOKUP($G1480,Mapping!$E$140:$K$2771,7,0)</f>
        <v>ENDirect</v>
      </c>
      <c r="N1480" s="7" t="str">
        <f>IFERROR(HLOOKUP(L1480,'Calc|Weightings'!$K$5:$M$5,1,0),"Excl")</f>
        <v>Labour</v>
      </c>
      <c r="O1480" s="7" t="str">
        <f>VLOOKUP(E1480,Mapping!$E$11:$I$96,5,0)</f>
        <v>SCS</v>
      </c>
      <c r="Q1480" s="33">
        <v>162</v>
      </c>
      <c r="R1480" s="33" t="s">
        <v>2172</v>
      </c>
      <c r="S1480" s="33">
        <v>522200</v>
      </c>
      <c r="T1480" s="33" t="s">
        <v>2121</v>
      </c>
      <c r="U1480" s="34">
        <v>0.11704000000000001</v>
      </c>
      <c r="V1480" s="7"/>
      <c r="W1480" s="7" t="str">
        <f>VLOOKUP($Q1480,Mapping!$E$11:$I$96,3,0)</f>
        <v>Augmentation</v>
      </c>
      <c r="X1480" s="7" t="str">
        <f>VLOOKUP($S1480,Mapping!$E$140:$K$2771,5,0)</f>
        <v>Materials</v>
      </c>
      <c r="Y1480" s="7" t="str">
        <f>VLOOKUP($S1480,Mapping!$E$140:$K$2771,7,0)</f>
        <v>ENDirect</v>
      </c>
      <c r="Z1480" s="7" t="str">
        <f>IFERROR(HLOOKUP(X1480,'Calc|Weightings'!$K$5:$M$5,1,0),"Excl")</f>
        <v>Materials</v>
      </c>
      <c r="AA1480" s="7" t="str">
        <f>VLOOKUP(Q1480,Mapping!$E$11:$I$96,5,0)</f>
        <v>SCS</v>
      </c>
      <c r="AC1480" s="111">
        <v>161</v>
      </c>
      <c r="AD1480" s="111" t="s">
        <v>2171</v>
      </c>
      <c r="AE1480" s="111">
        <v>613576</v>
      </c>
      <c r="AF1480" s="111" t="s">
        <v>1490</v>
      </c>
      <c r="AG1480" s="112">
        <v>2.0021599999999999</v>
      </c>
      <c r="AI1480" s="7" t="str">
        <f>VLOOKUP($AC1480,Mapping!$E$11:$I$96,3,0)</f>
        <v>Augmentation</v>
      </c>
      <c r="AJ1480" s="7" t="str">
        <f>VLOOKUP($AE1480,Mapping!$E$140:$K$2771,5,0)</f>
        <v>Labour</v>
      </c>
      <c r="AK1480" s="7" t="str">
        <f>VLOOKUP($AE1480,Mapping!$E$140:$K$2771,7,0)</f>
        <v>ENDirect</v>
      </c>
      <c r="AL1480" s="7" t="str">
        <f>IFERROR(HLOOKUP(AJ1480,'Calc|Weightings'!$K$5:$M$5,1,0),"Excl")</f>
        <v>Labour</v>
      </c>
      <c r="AM1480" s="7" t="str">
        <f>VLOOKUP(AC1480,Mapping!$E$11:$I$96,5,0)</f>
        <v>SCS</v>
      </c>
      <c r="AO1480" s="134">
        <v>165</v>
      </c>
      <c r="AP1480" s="135" t="s">
        <v>2206</v>
      </c>
      <c r="AQ1480" s="135">
        <v>613577</v>
      </c>
      <c r="AR1480" s="135" t="s">
        <v>1491</v>
      </c>
      <c r="AS1480" s="136">
        <v>-24.434080000000002</v>
      </c>
      <c r="AU1480" s="7" t="str">
        <f>VLOOKUP($AO1480,Mapping!$E$11:$I$96,3,0)</f>
        <v>Replacement</v>
      </c>
      <c r="AV1480" s="7" t="str">
        <f>VLOOKUP($AQ1480,Mapping!$E$140:$K$2771,5,0)</f>
        <v>Labour</v>
      </c>
      <c r="AW1480" s="7" t="str">
        <f>VLOOKUP($AQ1480,Mapping!$E$140:$K$2771,7,0)</f>
        <v>ENDirect</v>
      </c>
      <c r="AX1480" s="7" t="str">
        <f>IFERROR(HLOOKUP(AV1480,'Calc|Weightings'!$K$5:$M$5,1,0),"Excl")</f>
        <v>Labour</v>
      </c>
      <c r="AY1480" s="7" t="str">
        <f>VLOOKUP(AO1480,Mapping!$E$11:$I$96,5,0)</f>
        <v>SCS</v>
      </c>
    </row>
    <row r="1481" spans="1:51" x14ac:dyDescent="0.2">
      <c r="A1481" s="7"/>
      <c r="B1481" s="7"/>
      <c r="C1481" s="7"/>
      <c r="D1481" s="7"/>
      <c r="E1481" s="36">
        <v>152</v>
      </c>
      <c r="F1481" s="36" t="s">
        <v>2161</v>
      </c>
      <c r="G1481" s="36">
        <v>613280</v>
      </c>
      <c r="H1481" s="36" t="s">
        <v>1342</v>
      </c>
      <c r="I1481" s="37">
        <v>0.53203999999999996</v>
      </c>
      <c r="J1481" s="7"/>
      <c r="K1481" s="7" t="str">
        <f>VLOOKUP($E1481,Mapping!$E$11:$I$96,3,0)</f>
        <v>Replacement</v>
      </c>
      <c r="L1481" s="7" t="str">
        <f>VLOOKUP($G1481,Mapping!$E$140:$K$2771,5,0)</f>
        <v>Labour</v>
      </c>
      <c r="M1481" s="7" t="str">
        <f>VLOOKUP($G1481,Mapping!$E$140:$K$2771,7,0)</f>
        <v>ENDirect</v>
      </c>
      <c r="N1481" s="7" t="str">
        <f>IFERROR(HLOOKUP(L1481,'Calc|Weightings'!$K$5:$M$5,1,0),"Excl")</f>
        <v>Labour</v>
      </c>
      <c r="O1481" s="7" t="str">
        <f>VLOOKUP(E1481,Mapping!$E$11:$I$96,5,0)</f>
        <v>SCS</v>
      </c>
      <c r="Q1481" s="33">
        <v>162</v>
      </c>
      <c r="R1481" s="33" t="s">
        <v>2172</v>
      </c>
      <c r="S1481" s="33">
        <v>523100</v>
      </c>
      <c r="T1481" s="33" t="s">
        <v>2074</v>
      </c>
      <c r="U1481" s="34">
        <v>4.6876600000000002</v>
      </c>
      <c r="V1481" s="7"/>
      <c r="W1481" s="7" t="str">
        <f>VLOOKUP($Q1481,Mapping!$E$11:$I$96,3,0)</f>
        <v>Augmentation</v>
      </c>
      <c r="X1481" s="7" t="str">
        <f>VLOOKUP($S1481,Mapping!$E$140:$K$2771,5,0)</f>
        <v>Materials</v>
      </c>
      <c r="Y1481" s="7" t="str">
        <f>VLOOKUP($S1481,Mapping!$E$140:$K$2771,7,0)</f>
        <v>ENDirect</v>
      </c>
      <c r="Z1481" s="7" t="str">
        <f>IFERROR(HLOOKUP(X1481,'Calc|Weightings'!$K$5:$M$5,1,0),"Excl")</f>
        <v>Materials</v>
      </c>
      <c r="AA1481" s="7" t="str">
        <f>VLOOKUP(Q1481,Mapping!$E$11:$I$96,5,0)</f>
        <v>SCS</v>
      </c>
      <c r="AC1481" s="111">
        <v>161</v>
      </c>
      <c r="AD1481" s="111" t="s">
        <v>2171</v>
      </c>
      <c r="AE1481" s="111">
        <v>613602</v>
      </c>
      <c r="AF1481" s="111" t="s">
        <v>1494</v>
      </c>
      <c r="AG1481" s="112">
        <v>14.084160000000001</v>
      </c>
      <c r="AI1481" s="7" t="str">
        <f>VLOOKUP($AC1481,Mapping!$E$11:$I$96,3,0)</f>
        <v>Augmentation</v>
      </c>
      <c r="AJ1481" s="7" t="str">
        <f>VLOOKUP($AE1481,Mapping!$E$140:$K$2771,5,0)</f>
        <v>Labour</v>
      </c>
      <c r="AK1481" s="7" t="str">
        <f>VLOOKUP($AE1481,Mapping!$E$140:$K$2771,7,0)</f>
        <v>ENDirect</v>
      </c>
      <c r="AL1481" s="7" t="str">
        <f>IFERROR(HLOOKUP(AJ1481,'Calc|Weightings'!$K$5:$M$5,1,0),"Excl")</f>
        <v>Labour</v>
      </c>
      <c r="AM1481" s="7" t="str">
        <f>VLOOKUP(AC1481,Mapping!$E$11:$I$96,5,0)</f>
        <v>SCS</v>
      </c>
      <c r="AO1481" s="134">
        <v>165</v>
      </c>
      <c r="AP1481" s="135" t="s">
        <v>2206</v>
      </c>
      <c r="AQ1481" s="135">
        <v>613602</v>
      </c>
      <c r="AR1481" s="135" t="s">
        <v>1494</v>
      </c>
      <c r="AS1481" s="136">
        <v>-0.41428999999999999</v>
      </c>
      <c r="AU1481" s="7" t="str">
        <f>VLOOKUP($AO1481,Mapping!$E$11:$I$96,3,0)</f>
        <v>Replacement</v>
      </c>
      <c r="AV1481" s="7" t="str">
        <f>VLOOKUP($AQ1481,Mapping!$E$140:$K$2771,5,0)</f>
        <v>Labour</v>
      </c>
      <c r="AW1481" s="7" t="str">
        <f>VLOOKUP($AQ1481,Mapping!$E$140:$K$2771,7,0)</f>
        <v>ENDirect</v>
      </c>
      <c r="AX1481" s="7" t="str">
        <f>IFERROR(HLOOKUP(AV1481,'Calc|Weightings'!$K$5:$M$5,1,0),"Excl")</f>
        <v>Labour</v>
      </c>
      <c r="AY1481" s="7" t="str">
        <f>VLOOKUP(AO1481,Mapping!$E$11:$I$96,5,0)</f>
        <v>SCS</v>
      </c>
    </row>
    <row r="1482" spans="1:51" x14ac:dyDescent="0.2">
      <c r="A1482" s="7"/>
      <c r="B1482" s="7"/>
      <c r="C1482" s="7"/>
      <c r="D1482" s="7"/>
      <c r="E1482" s="36">
        <v>152</v>
      </c>
      <c r="F1482" s="36" t="s">
        <v>2161</v>
      </c>
      <c r="G1482" s="36">
        <v>613290</v>
      </c>
      <c r="H1482" s="36" t="s">
        <v>2093</v>
      </c>
      <c r="I1482" s="37">
        <v>4.9094699999999998</v>
      </c>
      <c r="J1482" s="7"/>
      <c r="K1482" s="7" t="str">
        <f>VLOOKUP($E1482,Mapping!$E$11:$I$96,3,0)</f>
        <v>Replacement</v>
      </c>
      <c r="L1482" s="7" t="str">
        <f>VLOOKUP($G1482,Mapping!$E$140:$K$2771,5,0)</f>
        <v>Labour</v>
      </c>
      <c r="M1482" s="7" t="str">
        <f>VLOOKUP($G1482,Mapping!$E$140:$K$2771,7,0)</f>
        <v>ENDirect</v>
      </c>
      <c r="N1482" s="7" t="str">
        <f>IFERROR(HLOOKUP(L1482,'Calc|Weightings'!$K$5:$M$5,1,0),"Excl")</f>
        <v>Labour</v>
      </c>
      <c r="O1482" s="7" t="str">
        <f>VLOOKUP(E1482,Mapping!$E$11:$I$96,5,0)</f>
        <v>SCS</v>
      </c>
      <c r="Q1482" s="33">
        <v>162</v>
      </c>
      <c r="R1482" s="33" t="s">
        <v>2172</v>
      </c>
      <c r="S1482" s="33">
        <v>531000</v>
      </c>
      <c r="T1482" s="33" t="s">
        <v>242</v>
      </c>
      <c r="U1482" s="34">
        <v>0.52569999999999995</v>
      </c>
      <c r="V1482" s="7"/>
      <c r="W1482" s="7" t="str">
        <f>VLOOKUP($Q1482,Mapping!$E$11:$I$96,3,0)</f>
        <v>Augmentation</v>
      </c>
      <c r="X1482" s="7" t="str">
        <f>VLOOKUP($S1482,Mapping!$E$140:$K$2771,5,0)</f>
        <v>Contracts</v>
      </c>
      <c r="Y1482" s="7" t="str">
        <f>VLOOKUP($S1482,Mapping!$E$140:$K$2771,7,0)</f>
        <v>ENDirect</v>
      </c>
      <c r="Z1482" s="7" t="str">
        <f>IFERROR(HLOOKUP(X1482,'Calc|Weightings'!$K$5:$M$5,1,0),"Excl")</f>
        <v>Contracts</v>
      </c>
      <c r="AA1482" s="7" t="str">
        <f>VLOOKUP(Q1482,Mapping!$E$11:$I$96,5,0)</f>
        <v>SCS</v>
      </c>
      <c r="AC1482" s="111">
        <v>161</v>
      </c>
      <c r="AD1482" s="111" t="s">
        <v>2171</v>
      </c>
      <c r="AE1482" s="111">
        <v>613630</v>
      </c>
      <c r="AF1482" s="111" t="s">
        <v>1498</v>
      </c>
      <c r="AG1482" s="112">
        <v>123.6086</v>
      </c>
      <c r="AI1482" s="7" t="str">
        <f>VLOOKUP($AC1482,Mapping!$E$11:$I$96,3,0)</f>
        <v>Augmentation</v>
      </c>
      <c r="AJ1482" s="7" t="str">
        <f>VLOOKUP($AE1482,Mapping!$E$140:$K$2771,5,0)</f>
        <v>Labour</v>
      </c>
      <c r="AK1482" s="7" t="str">
        <f>VLOOKUP($AE1482,Mapping!$E$140:$K$2771,7,0)</f>
        <v>ENDirect</v>
      </c>
      <c r="AL1482" s="7" t="str">
        <f>IFERROR(HLOOKUP(AJ1482,'Calc|Weightings'!$K$5:$M$5,1,0),"Excl")</f>
        <v>Labour</v>
      </c>
      <c r="AM1482" s="7" t="str">
        <f>VLOOKUP(AC1482,Mapping!$E$11:$I$96,5,0)</f>
        <v>SCS</v>
      </c>
      <c r="AO1482" s="134">
        <v>165</v>
      </c>
      <c r="AP1482" s="135" t="s">
        <v>2206</v>
      </c>
      <c r="AQ1482" s="135">
        <v>634001</v>
      </c>
      <c r="AR1482" s="135" t="s">
        <v>2110</v>
      </c>
      <c r="AS1482" s="136">
        <v>-11.152240000000001</v>
      </c>
      <c r="AU1482" s="7" t="str">
        <f>VLOOKUP($AO1482,Mapping!$E$11:$I$96,3,0)</f>
        <v>Replacement</v>
      </c>
      <c r="AV1482" s="7" t="str">
        <f>VLOOKUP($AQ1482,Mapping!$E$140:$K$2771,5,0)</f>
        <v>Local OH</v>
      </c>
      <c r="AW1482" s="7" t="str">
        <f>VLOOKUP($AQ1482,Mapping!$E$140:$K$2771,7,0)</f>
        <v>OH</v>
      </c>
      <c r="AX1482" s="7" t="str">
        <f>IFERROR(HLOOKUP(AV1482,'Calc|Weightings'!$K$5:$M$5,1,0),"Excl")</f>
        <v>Excl</v>
      </c>
      <c r="AY1482" s="7" t="str">
        <f>VLOOKUP(AO1482,Mapping!$E$11:$I$96,5,0)</f>
        <v>SCS</v>
      </c>
    </row>
    <row r="1483" spans="1:51" x14ac:dyDescent="0.2">
      <c r="A1483" s="7"/>
      <c r="B1483" s="7"/>
      <c r="C1483" s="7"/>
      <c r="D1483" s="7"/>
      <c r="E1483" s="36">
        <v>152</v>
      </c>
      <c r="F1483" s="36" t="s">
        <v>2161</v>
      </c>
      <c r="G1483" s="36">
        <v>613318</v>
      </c>
      <c r="H1483" s="36" t="s">
        <v>1360</v>
      </c>
      <c r="I1483" s="37">
        <v>0.19744999999999999</v>
      </c>
      <c r="J1483" s="7"/>
      <c r="K1483" s="7" t="str">
        <f>VLOOKUP($E1483,Mapping!$E$11:$I$96,3,0)</f>
        <v>Replacement</v>
      </c>
      <c r="L1483" s="7" t="str">
        <f>VLOOKUP($G1483,Mapping!$E$140:$K$2771,5,0)</f>
        <v>Labour</v>
      </c>
      <c r="M1483" s="7" t="str">
        <f>VLOOKUP($G1483,Mapping!$E$140:$K$2771,7,0)</f>
        <v>ENDirect</v>
      </c>
      <c r="N1483" s="7" t="str">
        <f>IFERROR(HLOOKUP(L1483,'Calc|Weightings'!$K$5:$M$5,1,0),"Excl")</f>
        <v>Labour</v>
      </c>
      <c r="O1483" s="7" t="str">
        <f>VLOOKUP(E1483,Mapping!$E$11:$I$96,5,0)</f>
        <v>SCS</v>
      </c>
      <c r="Q1483" s="33">
        <v>162</v>
      </c>
      <c r="R1483" s="33" t="s">
        <v>2172</v>
      </c>
      <c r="S1483" s="33">
        <v>531020</v>
      </c>
      <c r="T1483" s="33" t="s">
        <v>219</v>
      </c>
      <c r="U1483" s="34">
        <v>-6.45</v>
      </c>
      <c r="V1483" s="7"/>
      <c r="W1483" s="7" t="str">
        <f>VLOOKUP($Q1483,Mapping!$E$11:$I$96,3,0)</f>
        <v>Augmentation</v>
      </c>
      <c r="X1483" s="7" t="str">
        <f>VLOOKUP($S1483,Mapping!$E$140:$K$2771,5,0)</f>
        <v>Labour</v>
      </c>
      <c r="Y1483" s="7" t="str">
        <f>VLOOKUP($S1483,Mapping!$E$140:$K$2771,7,0)</f>
        <v>ENDirect</v>
      </c>
      <c r="Z1483" s="7" t="str">
        <f>IFERROR(HLOOKUP(X1483,'Calc|Weightings'!$K$5:$M$5,1,0),"Excl")</f>
        <v>Labour</v>
      </c>
      <c r="AA1483" s="7" t="str">
        <f>VLOOKUP(Q1483,Mapping!$E$11:$I$96,5,0)</f>
        <v>SCS</v>
      </c>
      <c r="AC1483" s="111">
        <v>161</v>
      </c>
      <c r="AD1483" s="111" t="s">
        <v>2171</v>
      </c>
      <c r="AE1483" s="111">
        <v>613640</v>
      </c>
      <c r="AF1483" s="111" t="s">
        <v>2201</v>
      </c>
      <c r="AG1483" s="112">
        <v>1.2556700000000001</v>
      </c>
      <c r="AI1483" s="7" t="str">
        <f>VLOOKUP($AC1483,Mapping!$E$11:$I$96,3,0)</f>
        <v>Augmentation</v>
      </c>
      <c r="AJ1483" s="7" t="str">
        <f>VLOOKUP($AE1483,Mapping!$E$140:$K$2771,5,0)</f>
        <v>Labour</v>
      </c>
      <c r="AK1483" s="7" t="str">
        <f>VLOOKUP($AE1483,Mapping!$E$140:$K$2771,7,0)</f>
        <v>ENDirect</v>
      </c>
      <c r="AL1483" s="7" t="str">
        <f>IFERROR(HLOOKUP(AJ1483,'Calc|Weightings'!$K$5:$M$5,1,0),"Excl")</f>
        <v>Labour</v>
      </c>
      <c r="AM1483" s="7" t="str">
        <f>VLOOKUP(AC1483,Mapping!$E$11:$I$96,5,0)</f>
        <v>SCS</v>
      </c>
      <c r="AO1483" s="134">
        <v>165</v>
      </c>
      <c r="AP1483" s="135" t="s">
        <v>2206</v>
      </c>
      <c r="AQ1483" s="135">
        <v>635001</v>
      </c>
      <c r="AR1483" s="135" t="s">
        <v>1929</v>
      </c>
      <c r="AS1483" s="136">
        <v>-5.7178199999999997</v>
      </c>
      <c r="AU1483" s="7" t="str">
        <f>VLOOKUP($AO1483,Mapping!$E$11:$I$96,3,0)</f>
        <v>Replacement</v>
      </c>
      <c r="AV1483" s="7" t="str">
        <f>VLOOKUP($AQ1483,Mapping!$E$140:$K$2771,5,0)</f>
        <v>PNS MG</v>
      </c>
      <c r="AW1483" s="7" t="str">
        <f>VLOOKUP($AQ1483,Mapping!$E$140:$K$2771,7,0)</f>
        <v>ENDirect</v>
      </c>
      <c r="AX1483" s="7" t="str">
        <f>IFERROR(HLOOKUP(AV1483,'Calc|Weightings'!$K$5:$M$5,1,0),"Excl")</f>
        <v>Excl</v>
      </c>
      <c r="AY1483" s="7" t="str">
        <f>VLOOKUP(AO1483,Mapping!$E$11:$I$96,5,0)</f>
        <v>SCS</v>
      </c>
    </row>
    <row r="1484" spans="1:51" x14ac:dyDescent="0.2">
      <c r="A1484" s="7"/>
      <c r="B1484" s="7"/>
      <c r="C1484" s="7"/>
      <c r="D1484" s="7"/>
      <c r="E1484" s="36">
        <v>152</v>
      </c>
      <c r="F1484" s="36" t="s">
        <v>2161</v>
      </c>
      <c r="G1484" s="36">
        <v>613350</v>
      </c>
      <c r="H1484" s="36" t="s">
        <v>2096</v>
      </c>
      <c r="I1484" s="37">
        <v>0.65407999999999999</v>
      </c>
      <c r="J1484" s="7"/>
      <c r="K1484" s="7" t="str">
        <f>VLOOKUP($E1484,Mapping!$E$11:$I$96,3,0)</f>
        <v>Replacement</v>
      </c>
      <c r="L1484" s="7" t="str">
        <f>VLOOKUP($G1484,Mapping!$E$140:$K$2771,5,0)</f>
        <v>Labour</v>
      </c>
      <c r="M1484" s="7" t="str">
        <f>VLOOKUP($G1484,Mapping!$E$140:$K$2771,7,0)</f>
        <v>ENDirect</v>
      </c>
      <c r="N1484" s="7" t="str">
        <f>IFERROR(HLOOKUP(L1484,'Calc|Weightings'!$K$5:$M$5,1,0),"Excl")</f>
        <v>Labour</v>
      </c>
      <c r="O1484" s="7" t="str">
        <f>VLOOKUP(E1484,Mapping!$E$11:$I$96,5,0)</f>
        <v>SCS</v>
      </c>
      <c r="Q1484" s="33">
        <v>162</v>
      </c>
      <c r="R1484" s="33" t="s">
        <v>2172</v>
      </c>
      <c r="S1484" s="33">
        <v>531035</v>
      </c>
      <c r="T1484" s="33" t="s">
        <v>244</v>
      </c>
      <c r="U1484" s="34">
        <v>-54.7</v>
      </c>
      <c r="V1484" s="7"/>
      <c r="W1484" s="7" t="str">
        <f>VLOOKUP($Q1484,Mapping!$E$11:$I$96,3,0)</f>
        <v>Augmentation</v>
      </c>
      <c r="X1484" s="7" t="str">
        <f>VLOOKUP($S1484,Mapping!$E$140:$K$2771,5,0)</f>
        <v>Labour</v>
      </c>
      <c r="Y1484" s="7" t="str">
        <f>VLOOKUP($S1484,Mapping!$E$140:$K$2771,7,0)</f>
        <v>ENDirect</v>
      </c>
      <c r="Z1484" s="7" t="str">
        <f>IFERROR(HLOOKUP(X1484,'Calc|Weightings'!$K$5:$M$5,1,0),"Excl")</f>
        <v>Labour</v>
      </c>
      <c r="AA1484" s="7" t="str">
        <f>VLOOKUP(Q1484,Mapping!$E$11:$I$96,5,0)</f>
        <v>SCS</v>
      </c>
      <c r="AC1484" s="111">
        <v>161</v>
      </c>
      <c r="AD1484" s="111" t="s">
        <v>2171</v>
      </c>
      <c r="AE1484" s="111">
        <v>613641</v>
      </c>
      <c r="AF1484" s="111" t="s">
        <v>2199</v>
      </c>
      <c r="AG1484" s="112">
        <v>3.2030000000000003E-2</v>
      </c>
      <c r="AI1484" s="7" t="str">
        <f>VLOOKUP($AC1484,Mapping!$E$11:$I$96,3,0)</f>
        <v>Augmentation</v>
      </c>
      <c r="AJ1484" s="7" t="str">
        <f>VLOOKUP($AE1484,Mapping!$E$140:$K$2771,5,0)</f>
        <v>Labour</v>
      </c>
      <c r="AK1484" s="7" t="str">
        <f>VLOOKUP($AE1484,Mapping!$E$140:$K$2771,7,0)</f>
        <v>ENDirect</v>
      </c>
      <c r="AL1484" s="7" t="str">
        <f>IFERROR(HLOOKUP(AJ1484,'Calc|Weightings'!$K$5:$M$5,1,0),"Excl")</f>
        <v>Labour</v>
      </c>
      <c r="AM1484" s="7" t="str">
        <f>VLOOKUP(AC1484,Mapping!$E$11:$I$96,5,0)</f>
        <v>SCS</v>
      </c>
      <c r="AO1484" s="134">
        <v>165</v>
      </c>
      <c r="AP1484" s="135" t="s">
        <v>2206</v>
      </c>
      <c r="AQ1484" s="135">
        <v>636001</v>
      </c>
      <c r="AR1484" s="135" t="s">
        <v>2111</v>
      </c>
      <c r="AS1484" s="136">
        <v>-8.6229099999999992</v>
      </c>
      <c r="AU1484" s="7" t="str">
        <f>VLOOKUP($AO1484,Mapping!$E$11:$I$96,3,0)</f>
        <v>Replacement</v>
      </c>
      <c r="AV1484" s="7" t="str">
        <f>VLOOKUP($AQ1484,Mapping!$E$140:$K$2771,5,0)</f>
        <v>System Control OH</v>
      </c>
      <c r="AW1484" s="7" t="str">
        <f>VLOOKUP($AQ1484,Mapping!$E$140:$K$2771,7,0)</f>
        <v>OH</v>
      </c>
      <c r="AX1484" s="7" t="str">
        <f>IFERROR(HLOOKUP(AV1484,'Calc|Weightings'!$K$5:$M$5,1,0),"Excl")</f>
        <v>Excl</v>
      </c>
      <c r="AY1484" s="7" t="str">
        <f>VLOOKUP(AO1484,Mapping!$E$11:$I$96,5,0)</f>
        <v>SCS</v>
      </c>
    </row>
    <row r="1485" spans="1:51" x14ac:dyDescent="0.2">
      <c r="A1485" s="7"/>
      <c r="B1485" s="7"/>
      <c r="C1485" s="7"/>
      <c r="D1485" s="7"/>
      <c r="E1485" s="36">
        <v>152</v>
      </c>
      <c r="F1485" s="36" t="s">
        <v>2161</v>
      </c>
      <c r="G1485" s="36">
        <v>613360</v>
      </c>
      <c r="H1485" s="36" t="s">
        <v>2097</v>
      </c>
      <c r="I1485" s="37">
        <v>0.22505</v>
      </c>
      <c r="J1485" s="7"/>
      <c r="K1485" s="7" t="str">
        <f>VLOOKUP($E1485,Mapping!$E$11:$I$96,3,0)</f>
        <v>Replacement</v>
      </c>
      <c r="L1485" s="7" t="str">
        <f>VLOOKUP($G1485,Mapping!$E$140:$K$2771,5,0)</f>
        <v>Labour</v>
      </c>
      <c r="M1485" s="7" t="str">
        <f>VLOOKUP($G1485,Mapping!$E$140:$K$2771,7,0)</f>
        <v>ENDirect</v>
      </c>
      <c r="N1485" s="7" t="str">
        <f>IFERROR(HLOOKUP(L1485,'Calc|Weightings'!$K$5:$M$5,1,0),"Excl")</f>
        <v>Labour</v>
      </c>
      <c r="O1485" s="7" t="str">
        <f>VLOOKUP(E1485,Mapping!$E$11:$I$96,5,0)</f>
        <v>SCS</v>
      </c>
      <c r="Q1485" s="33">
        <v>162</v>
      </c>
      <c r="R1485" s="33" t="s">
        <v>2172</v>
      </c>
      <c r="S1485" s="33">
        <v>531200</v>
      </c>
      <c r="T1485" s="33" t="s">
        <v>250</v>
      </c>
      <c r="U1485" s="34">
        <v>7.4640000000000004</v>
      </c>
      <c r="V1485" s="7"/>
      <c r="W1485" s="7" t="str">
        <f>VLOOKUP($Q1485,Mapping!$E$11:$I$96,3,0)</f>
        <v>Augmentation</v>
      </c>
      <c r="X1485" s="7" t="str">
        <f>VLOOKUP($S1485,Mapping!$E$140:$K$2771,5,0)</f>
        <v>Contracts</v>
      </c>
      <c r="Y1485" s="7" t="str">
        <f>VLOOKUP($S1485,Mapping!$E$140:$K$2771,7,0)</f>
        <v>ENDirect</v>
      </c>
      <c r="Z1485" s="7" t="str">
        <f>IFERROR(HLOOKUP(X1485,'Calc|Weightings'!$K$5:$M$5,1,0),"Excl")</f>
        <v>Contracts</v>
      </c>
      <c r="AA1485" s="7" t="str">
        <f>VLOOKUP(Q1485,Mapping!$E$11:$I$96,5,0)</f>
        <v>SCS</v>
      </c>
      <c r="AC1485" s="111">
        <v>161</v>
      </c>
      <c r="AD1485" s="111" t="s">
        <v>2171</v>
      </c>
      <c r="AE1485" s="111">
        <v>613680</v>
      </c>
      <c r="AF1485" s="111" t="s">
        <v>2107</v>
      </c>
      <c r="AG1485" s="112">
        <v>123.95226</v>
      </c>
      <c r="AI1485" s="7" t="str">
        <f>VLOOKUP($AC1485,Mapping!$E$11:$I$96,3,0)</f>
        <v>Augmentation</v>
      </c>
      <c r="AJ1485" s="7" t="str">
        <f>VLOOKUP($AE1485,Mapping!$E$140:$K$2771,5,0)</f>
        <v>Labour</v>
      </c>
      <c r="AK1485" s="7" t="str">
        <f>VLOOKUP($AE1485,Mapping!$E$140:$K$2771,7,0)</f>
        <v>ENDirect</v>
      </c>
      <c r="AL1485" s="7" t="str">
        <f>IFERROR(HLOOKUP(AJ1485,'Calc|Weightings'!$K$5:$M$5,1,0),"Excl")</f>
        <v>Labour</v>
      </c>
      <c r="AM1485" s="7" t="str">
        <f>VLOOKUP(AC1485,Mapping!$E$11:$I$96,5,0)</f>
        <v>SCS</v>
      </c>
      <c r="AO1485" s="134">
        <v>165</v>
      </c>
      <c r="AP1485" s="135" t="s">
        <v>2206</v>
      </c>
      <c r="AQ1485" s="135">
        <v>639000</v>
      </c>
      <c r="AR1485" s="135" t="s">
        <v>2112</v>
      </c>
      <c r="AS1485" s="136">
        <v>-7.2140000000000004</v>
      </c>
      <c r="AU1485" s="7" t="str">
        <f>VLOOKUP($AO1485,Mapping!$E$11:$I$96,3,0)</f>
        <v>Replacement</v>
      </c>
      <c r="AV1485" s="7" t="str">
        <f>VLOOKUP($AQ1485,Mapping!$E$140:$K$2771,5,0)</f>
        <v>PNS Corporate OH</v>
      </c>
      <c r="AW1485" s="7" t="str">
        <f>VLOOKUP($AQ1485,Mapping!$E$140:$K$2771,7,0)</f>
        <v>OH</v>
      </c>
      <c r="AX1485" s="7" t="str">
        <f>IFERROR(HLOOKUP(AV1485,'Calc|Weightings'!$K$5:$M$5,1,0),"Excl")</f>
        <v>Excl</v>
      </c>
      <c r="AY1485" s="7" t="str">
        <f>VLOOKUP(AO1485,Mapping!$E$11:$I$96,5,0)</f>
        <v>SCS</v>
      </c>
    </row>
    <row r="1486" spans="1:51" x14ac:dyDescent="0.2">
      <c r="A1486" s="7"/>
      <c r="B1486" s="7"/>
      <c r="C1486" s="7"/>
      <c r="D1486" s="7"/>
      <c r="E1486" s="36">
        <v>152</v>
      </c>
      <c r="F1486" s="36" t="s">
        <v>2161</v>
      </c>
      <c r="G1486" s="36">
        <v>613370</v>
      </c>
      <c r="H1486" s="36" t="s">
        <v>1402</v>
      </c>
      <c r="I1486" s="37">
        <v>2.4299999999999999E-3</v>
      </c>
      <c r="J1486" s="7"/>
      <c r="K1486" s="7" t="str">
        <f>VLOOKUP($E1486,Mapping!$E$11:$I$96,3,0)</f>
        <v>Replacement</v>
      </c>
      <c r="L1486" s="7" t="str">
        <f>VLOOKUP($G1486,Mapping!$E$140:$K$2771,5,0)</f>
        <v>Labour</v>
      </c>
      <c r="M1486" s="7" t="str">
        <f>VLOOKUP($G1486,Mapping!$E$140:$K$2771,7,0)</f>
        <v>ENDirect</v>
      </c>
      <c r="N1486" s="7" t="str">
        <f>IFERROR(HLOOKUP(L1486,'Calc|Weightings'!$K$5:$M$5,1,0),"Excl")</f>
        <v>Labour</v>
      </c>
      <c r="O1486" s="7" t="str">
        <f>VLOOKUP(E1486,Mapping!$E$11:$I$96,5,0)</f>
        <v>SCS</v>
      </c>
      <c r="Q1486" s="33">
        <v>162</v>
      </c>
      <c r="R1486" s="33" t="s">
        <v>2172</v>
      </c>
      <c r="S1486" s="33">
        <v>531201</v>
      </c>
      <c r="T1486" s="33" t="s">
        <v>251</v>
      </c>
      <c r="U1486" s="34">
        <v>80.320800000000006</v>
      </c>
      <c r="V1486" s="7"/>
      <c r="W1486" s="7" t="str">
        <f>VLOOKUP($Q1486,Mapping!$E$11:$I$96,3,0)</f>
        <v>Augmentation</v>
      </c>
      <c r="X1486" s="7" t="str">
        <f>VLOOKUP($S1486,Mapping!$E$140:$K$2771,5,0)</f>
        <v>Contracts</v>
      </c>
      <c r="Y1486" s="7" t="str">
        <f>VLOOKUP($S1486,Mapping!$E$140:$K$2771,7,0)</f>
        <v>ENDirect</v>
      </c>
      <c r="Z1486" s="7" t="str">
        <f>IFERROR(HLOOKUP(X1486,'Calc|Weightings'!$K$5:$M$5,1,0),"Excl")</f>
        <v>Contracts</v>
      </c>
      <c r="AA1486" s="7" t="str">
        <f>VLOOKUP(Q1486,Mapping!$E$11:$I$96,5,0)</f>
        <v>SCS</v>
      </c>
      <c r="AC1486" s="111">
        <v>161</v>
      </c>
      <c r="AD1486" s="111" t="s">
        <v>2171</v>
      </c>
      <c r="AE1486" s="111">
        <v>615375</v>
      </c>
      <c r="AF1486" s="111" t="s">
        <v>1717</v>
      </c>
      <c r="AG1486" s="112">
        <v>0.85</v>
      </c>
      <c r="AI1486" s="7" t="str">
        <f>VLOOKUP($AC1486,Mapping!$E$11:$I$96,3,0)</f>
        <v>Augmentation</v>
      </c>
      <c r="AJ1486" s="7" t="str">
        <f>VLOOKUP($AE1486,Mapping!$E$140:$K$2771,5,0)</f>
        <v>Labour</v>
      </c>
      <c r="AK1486" s="7" t="str">
        <f>VLOOKUP($AE1486,Mapping!$E$140:$K$2771,7,0)</f>
        <v>ENDirect</v>
      </c>
      <c r="AL1486" s="7" t="str">
        <f>IFERROR(HLOOKUP(AJ1486,'Calc|Weightings'!$K$5:$M$5,1,0),"Excl")</f>
        <v>Labour</v>
      </c>
      <c r="AM1486" s="7" t="str">
        <f>VLOOKUP(AC1486,Mapping!$E$11:$I$96,5,0)</f>
        <v>SCS</v>
      </c>
      <c r="AO1486" s="134">
        <v>165</v>
      </c>
      <c r="AP1486" s="135" t="s">
        <v>2206</v>
      </c>
      <c r="AQ1486" s="135">
        <v>639050</v>
      </c>
      <c r="AR1486" s="135" t="s">
        <v>2113</v>
      </c>
      <c r="AS1486" s="136">
        <v>-2.0494300000000001</v>
      </c>
      <c r="AU1486" s="7" t="str">
        <f>VLOOKUP($AO1486,Mapping!$E$11:$I$96,3,0)</f>
        <v>Replacement</v>
      </c>
      <c r="AV1486" s="7" t="str">
        <f>VLOOKUP($AQ1486,Mapping!$E$140:$K$2771,5,0)</f>
        <v>PNS Fleet &amp; Property OH</v>
      </c>
      <c r="AW1486" s="7" t="str">
        <f>VLOOKUP($AQ1486,Mapping!$E$140:$K$2771,7,0)</f>
        <v>OH</v>
      </c>
      <c r="AX1486" s="7" t="str">
        <f>IFERROR(HLOOKUP(AV1486,'Calc|Weightings'!$K$5:$M$5,1,0),"Excl")</f>
        <v>Excl</v>
      </c>
      <c r="AY1486" s="7" t="str">
        <f>VLOOKUP(AO1486,Mapping!$E$11:$I$96,5,0)</f>
        <v>SCS</v>
      </c>
    </row>
    <row r="1487" spans="1:51" x14ac:dyDescent="0.2">
      <c r="A1487" s="7"/>
      <c r="B1487" s="7"/>
      <c r="C1487" s="7"/>
      <c r="D1487" s="7"/>
      <c r="E1487" s="36">
        <v>152</v>
      </c>
      <c r="F1487" s="36" t="s">
        <v>2161</v>
      </c>
      <c r="G1487" s="36">
        <v>613390</v>
      </c>
      <c r="H1487" s="36" t="s">
        <v>2141</v>
      </c>
      <c r="I1487" s="37">
        <v>-27.034469999999999</v>
      </c>
      <c r="J1487" s="7"/>
      <c r="K1487" s="7" t="str">
        <f>VLOOKUP($E1487,Mapping!$E$11:$I$96,3,0)</f>
        <v>Replacement</v>
      </c>
      <c r="L1487" s="7" t="str">
        <f>VLOOKUP($G1487,Mapping!$E$140:$K$2771,5,0)</f>
        <v>Contracts</v>
      </c>
      <c r="M1487" s="7" t="str">
        <f>VLOOKUP($G1487,Mapping!$E$140:$K$2771,7,0)</f>
        <v>ENDirect</v>
      </c>
      <c r="N1487" s="7" t="str">
        <f>IFERROR(HLOOKUP(L1487,'Calc|Weightings'!$K$5:$M$5,1,0),"Excl")</f>
        <v>Contracts</v>
      </c>
      <c r="O1487" s="7" t="str">
        <f>VLOOKUP(E1487,Mapping!$E$11:$I$96,5,0)</f>
        <v>SCS</v>
      </c>
      <c r="Q1487" s="33">
        <v>162</v>
      </c>
      <c r="R1487" s="33" t="s">
        <v>2172</v>
      </c>
      <c r="S1487" s="33">
        <v>531464</v>
      </c>
      <c r="T1487" s="33" t="s">
        <v>256</v>
      </c>
      <c r="U1487" s="34">
        <v>368.12333000000001</v>
      </c>
      <c r="V1487" s="7"/>
      <c r="W1487" s="7" t="str">
        <f>VLOOKUP($Q1487,Mapping!$E$11:$I$96,3,0)</f>
        <v>Augmentation</v>
      </c>
      <c r="X1487" s="7" t="str">
        <f>VLOOKUP($S1487,Mapping!$E$140:$K$2771,5,0)</f>
        <v>Contracts</v>
      </c>
      <c r="Y1487" s="7" t="str">
        <f>VLOOKUP($S1487,Mapping!$E$140:$K$2771,7,0)</f>
        <v>ENDirect</v>
      </c>
      <c r="Z1487" s="7" t="str">
        <f>IFERROR(HLOOKUP(X1487,'Calc|Weightings'!$K$5:$M$5,1,0),"Excl")</f>
        <v>Contracts</v>
      </c>
      <c r="AA1487" s="7" t="str">
        <f>VLOOKUP(Q1487,Mapping!$E$11:$I$96,5,0)</f>
        <v>SCS</v>
      </c>
      <c r="AC1487" s="111">
        <v>161</v>
      </c>
      <c r="AD1487" s="111" t="s">
        <v>2171</v>
      </c>
      <c r="AE1487" s="111">
        <v>615395</v>
      </c>
      <c r="AF1487" s="111" t="s">
        <v>2196</v>
      </c>
      <c r="AG1487" s="112">
        <v>11.52402</v>
      </c>
      <c r="AI1487" s="7" t="str">
        <f>VLOOKUP($AC1487,Mapping!$E$11:$I$96,3,0)</f>
        <v>Augmentation</v>
      </c>
      <c r="AJ1487" s="7" t="str">
        <f>VLOOKUP($AE1487,Mapping!$E$140:$K$2771,5,0)</f>
        <v>Labour</v>
      </c>
      <c r="AK1487" s="7" t="str">
        <f>VLOOKUP($AE1487,Mapping!$E$140:$K$2771,7,0)</f>
        <v>ENDirect</v>
      </c>
      <c r="AL1487" s="7" t="str">
        <f>IFERROR(HLOOKUP(AJ1487,'Calc|Weightings'!$K$5:$M$5,1,0),"Excl")</f>
        <v>Labour</v>
      </c>
      <c r="AM1487" s="7" t="str">
        <f>VLOOKUP(AC1487,Mapping!$E$11:$I$96,5,0)</f>
        <v>SCS</v>
      </c>
      <c r="AO1487" s="134">
        <v>166</v>
      </c>
      <c r="AP1487" s="135" t="s">
        <v>2174</v>
      </c>
      <c r="AQ1487" s="135">
        <v>520100</v>
      </c>
      <c r="AR1487" s="135" t="s">
        <v>2072</v>
      </c>
      <c r="AS1487" s="136">
        <v>40.137949999999996</v>
      </c>
      <c r="AU1487" s="7" t="str">
        <f>VLOOKUP($AO1487,Mapping!$E$11:$I$96,3,0)</f>
        <v>Augmentation</v>
      </c>
      <c r="AV1487" s="7" t="str">
        <f>VLOOKUP($AQ1487,Mapping!$E$140:$K$2771,5,0)</f>
        <v>Materials</v>
      </c>
      <c r="AW1487" s="7" t="str">
        <f>VLOOKUP($AQ1487,Mapping!$E$140:$K$2771,7,0)</f>
        <v>ENDirect</v>
      </c>
      <c r="AX1487" s="7" t="str">
        <f>IFERROR(HLOOKUP(AV1487,'Calc|Weightings'!$K$5:$M$5,1,0),"Excl")</f>
        <v>Materials</v>
      </c>
      <c r="AY1487" s="7" t="str">
        <f>VLOOKUP(AO1487,Mapping!$E$11:$I$96,5,0)</f>
        <v>SCS</v>
      </c>
    </row>
    <row r="1488" spans="1:51" x14ac:dyDescent="0.2">
      <c r="A1488" s="7"/>
      <c r="B1488" s="7"/>
      <c r="C1488" s="7"/>
      <c r="D1488" s="7"/>
      <c r="E1488" s="36">
        <v>152</v>
      </c>
      <c r="F1488" s="36" t="s">
        <v>2161</v>
      </c>
      <c r="G1488" s="36">
        <v>613408</v>
      </c>
      <c r="H1488" s="36" t="s">
        <v>1418</v>
      </c>
      <c r="I1488" s="37">
        <v>67.239320000000006</v>
      </c>
      <c r="J1488" s="7"/>
      <c r="K1488" s="7" t="str">
        <f>VLOOKUP($E1488,Mapping!$E$11:$I$96,3,0)</f>
        <v>Replacement</v>
      </c>
      <c r="L1488" s="7" t="str">
        <f>VLOOKUP($G1488,Mapping!$E$140:$K$2771,5,0)</f>
        <v>Labour</v>
      </c>
      <c r="M1488" s="7" t="str">
        <f>VLOOKUP($G1488,Mapping!$E$140:$K$2771,7,0)</f>
        <v>ENDirect</v>
      </c>
      <c r="N1488" s="7" t="str">
        <f>IFERROR(HLOOKUP(L1488,'Calc|Weightings'!$K$5:$M$5,1,0),"Excl")</f>
        <v>Labour</v>
      </c>
      <c r="O1488" s="7" t="str">
        <f>VLOOKUP(E1488,Mapping!$E$11:$I$96,5,0)</f>
        <v>SCS</v>
      </c>
      <c r="Q1488" s="33">
        <v>162</v>
      </c>
      <c r="R1488" s="33" t="s">
        <v>2172</v>
      </c>
      <c r="S1488" s="33">
        <v>531466</v>
      </c>
      <c r="T1488" s="33" t="s">
        <v>258</v>
      </c>
      <c r="U1488" s="34">
        <v>4.4661299999999997</v>
      </c>
      <c r="V1488" s="7"/>
      <c r="W1488" s="7" t="str">
        <f>VLOOKUP($Q1488,Mapping!$E$11:$I$96,3,0)</f>
        <v>Augmentation</v>
      </c>
      <c r="X1488" s="7" t="str">
        <f>VLOOKUP($S1488,Mapping!$E$140:$K$2771,5,0)</f>
        <v>Contracts</v>
      </c>
      <c r="Y1488" s="7" t="str">
        <f>VLOOKUP($S1488,Mapping!$E$140:$K$2771,7,0)</f>
        <v>ENDirect</v>
      </c>
      <c r="Z1488" s="7" t="str">
        <f>IFERROR(HLOOKUP(X1488,'Calc|Weightings'!$K$5:$M$5,1,0),"Excl")</f>
        <v>Contracts</v>
      </c>
      <c r="AA1488" s="7" t="str">
        <f>VLOOKUP(Q1488,Mapping!$E$11:$I$96,5,0)</f>
        <v>SCS</v>
      </c>
      <c r="AC1488" s="111">
        <v>161</v>
      </c>
      <c r="AD1488" s="111" t="s">
        <v>2171</v>
      </c>
      <c r="AE1488" s="111">
        <v>634001</v>
      </c>
      <c r="AF1488" s="111" t="s">
        <v>2110</v>
      </c>
      <c r="AG1488" s="112">
        <v>254.46391</v>
      </c>
      <c r="AI1488" s="7" t="str">
        <f>VLOOKUP($AC1488,Mapping!$E$11:$I$96,3,0)</f>
        <v>Augmentation</v>
      </c>
      <c r="AJ1488" s="7" t="str">
        <f>VLOOKUP($AE1488,Mapping!$E$140:$K$2771,5,0)</f>
        <v>Local OH</v>
      </c>
      <c r="AK1488" s="7" t="str">
        <f>VLOOKUP($AE1488,Mapping!$E$140:$K$2771,7,0)</f>
        <v>OH</v>
      </c>
      <c r="AL1488" s="7" t="str">
        <f>IFERROR(HLOOKUP(AJ1488,'Calc|Weightings'!$K$5:$M$5,1,0),"Excl")</f>
        <v>Excl</v>
      </c>
      <c r="AM1488" s="7" t="str">
        <f>VLOOKUP(AC1488,Mapping!$E$11:$I$96,5,0)</f>
        <v>SCS</v>
      </c>
      <c r="AO1488" s="134">
        <v>166</v>
      </c>
      <c r="AP1488" s="135" t="s">
        <v>2174</v>
      </c>
      <c r="AQ1488" s="135">
        <v>523100</v>
      </c>
      <c r="AR1488" s="135" t="s">
        <v>2074</v>
      </c>
      <c r="AS1488" s="136">
        <v>0.20676</v>
      </c>
      <c r="AU1488" s="7" t="str">
        <f>VLOOKUP($AO1488,Mapping!$E$11:$I$96,3,0)</f>
        <v>Augmentation</v>
      </c>
      <c r="AV1488" s="7" t="str">
        <f>VLOOKUP($AQ1488,Mapping!$E$140:$K$2771,5,0)</f>
        <v>Materials</v>
      </c>
      <c r="AW1488" s="7" t="str">
        <f>VLOOKUP($AQ1488,Mapping!$E$140:$K$2771,7,0)</f>
        <v>ENDirect</v>
      </c>
      <c r="AX1488" s="7" t="str">
        <f>IFERROR(HLOOKUP(AV1488,'Calc|Weightings'!$K$5:$M$5,1,0),"Excl")</f>
        <v>Materials</v>
      </c>
      <c r="AY1488" s="7" t="str">
        <f>VLOOKUP(AO1488,Mapping!$E$11:$I$96,5,0)</f>
        <v>SCS</v>
      </c>
    </row>
    <row r="1489" spans="1:51" x14ac:dyDescent="0.2">
      <c r="A1489" s="7"/>
      <c r="B1489" s="7"/>
      <c r="C1489" s="7"/>
      <c r="D1489" s="7"/>
      <c r="E1489" s="36">
        <v>152</v>
      </c>
      <c r="F1489" s="36" t="s">
        <v>2161</v>
      </c>
      <c r="G1489" s="36">
        <v>613409</v>
      </c>
      <c r="H1489" s="36" t="s">
        <v>1419</v>
      </c>
      <c r="I1489" s="37">
        <v>3.2131400000000001</v>
      </c>
      <c r="J1489" s="7"/>
      <c r="K1489" s="7" t="str">
        <f>VLOOKUP($E1489,Mapping!$E$11:$I$96,3,0)</f>
        <v>Replacement</v>
      </c>
      <c r="L1489" s="7" t="str">
        <f>VLOOKUP($G1489,Mapping!$E$140:$K$2771,5,0)</f>
        <v>Labour</v>
      </c>
      <c r="M1489" s="7" t="str">
        <f>VLOOKUP($G1489,Mapping!$E$140:$K$2771,7,0)</f>
        <v>ENDirect</v>
      </c>
      <c r="N1489" s="7" t="str">
        <f>IFERROR(HLOOKUP(L1489,'Calc|Weightings'!$K$5:$M$5,1,0),"Excl")</f>
        <v>Labour</v>
      </c>
      <c r="O1489" s="7" t="str">
        <f>VLOOKUP(E1489,Mapping!$E$11:$I$96,5,0)</f>
        <v>SCS</v>
      </c>
      <c r="Q1489" s="33">
        <v>162</v>
      </c>
      <c r="R1489" s="33" t="s">
        <v>2172</v>
      </c>
      <c r="S1489" s="33">
        <v>531467</v>
      </c>
      <c r="T1489" s="33" t="s">
        <v>259</v>
      </c>
      <c r="U1489" s="34">
        <v>102.66067</v>
      </c>
      <c r="V1489" s="7"/>
      <c r="W1489" s="7" t="str">
        <f>VLOOKUP($Q1489,Mapping!$E$11:$I$96,3,0)</f>
        <v>Augmentation</v>
      </c>
      <c r="X1489" s="7" t="str">
        <f>VLOOKUP($S1489,Mapping!$E$140:$K$2771,5,0)</f>
        <v>Contracts</v>
      </c>
      <c r="Y1489" s="7" t="str">
        <f>VLOOKUP($S1489,Mapping!$E$140:$K$2771,7,0)</f>
        <v>ENDirect</v>
      </c>
      <c r="Z1489" s="7" t="str">
        <f>IFERROR(HLOOKUP(X1489,'Calc|Weightings'!$K$5:$M$5,1,0),"Excl")</f>
        <v>Contracts</v>
      </c>
      <c r="AA1489" s="7" t="str">
        <f>VLOOKUP(Q1489,Mapping!$E$11:$I$96,5,0)</f>
        <v>SCS</v>
      </c>
      <c r="AC1489" s="111">
        <v>161</v>
      </c>
      <c r="AD1489" s="111" t="s">
        <v>2171</v>
      </c>
      <c r="AE1489" s="111">
        <v>635001</v>
      </c>
      <c r="AF1489" s="111" t="s">
        <v>1929</v>
      </c>
      <c r="AG1489" s="112">
        <v>144.50895</v>
      </c>
      <c r="AI1489" s="7" t="str">
        <f>VLOOKUP($AC1489,Mapping!$E$11:$I$96,3,0)</f>
        <v>Augmentation</v>
      </c>
      <c r="AJ1489" s="7" t="str">
        <f>VLOOKUP($AE1489,Mapping!$E$140:$K$2771,5,0)</f>
        <v>PNS MG</v>
      </c>
      <c r="AK1489" s="7" t="str">
        <f>VLOOKUP($AE1489,Mapping!$E$140:$K$2771,7,0)</f>
        <v>ENDirect</v>
      </c>
      <c r="AL1489" s="7" t="str">
        <f>IFERROR(HLOOKUP(AJ1489,'Calc|Weightings'!$K$5:$M$5,1,0),"Excl")</f>
        <v>Excl</v>
      </c>
      <c r="AM1489" s="7" t="str">
        <f>VLOOKUP(AC1489,Mapping!$E$11:$I$96,5,0)</f>
        <v>SCS</v>
      </c>
      <c r="AO1489" s="134">
        <v>166</v>
      </c>
      <c r="AP1489" s="135" t="s">
        <v>2174</v>
      </c>
      <c r="AQ1489" s="135">
        <v>531464</v>
      </c>
      <c r="AR1489" s="135" t="s">
        <v>256</v>
      </c>
      <c r="AS1489" s="136">
        <v>10.170310000000001</v>
      </c>
      <c r="AU1489" s="7" t="str">
        <f>VLOOKUP($AO1489,Mapping!$E$11:$I$96,3,0)</f>
        <v>Augmentation</v>
      </c>
      <c r="AV1489" s="7" t="str">
        <f>VLOOKUP($AQ1489,Mapping!$E$140:$K$2771,5,0)</f>
        <v>Contracts</v>
      </c>
      <c r="AW1489" s="7" t="str">
        <f>VLOOKUP($AQ1489,Mapping!$E$140:$K$2771,7,0)</f>
        <v>ENDirect</v>
      </c>
      <c r="AX1489" s="7" t="str">
        <f>IFERROR(HLOOKUP(AV1489,'Calc|Weightings'!$K$5:$M$5,1,0),"Excl")</f>
        <v>Contracts</v>
      </c>
      <c r="AY1489" s="7" t="str">
        <f>VLOOKUP(AO1489,Mapping!$E$11:$I$96,5,0)</f>
        <v>SCS</v>
      </c>
    </row>
    <row r="1490" spans="1:51" x14ac:dyDescent="0.2">
      <c r="A1490" s="7"/>
      <c r="B1490" s="7"/>
      <c r="C1490" s="7"/>
      <c r="D1490" s="7"/>
      <c r="E1490" s="36">
        <v>152</v>
      </c>
      <c r="F1490" s="36" t="s">
        <v>2161</v>
      </c>
      <c r="G1490" s="36">
        <v>613418</v>
      </c>
      <c r="H1490" s="36" t="s">
        <v>1424</v>
      </c>
      <c r="I1490" s="37">
        <v>28.80217</v>
      </c>
      <c r="J1490" s="7"/>
      <c r="K1490" s="7" t="str">
        <f>VLOOKUP($E1490,Mapping!$E$11:$I$96,3,0)</f>
        <v>Replacement</v>
      </c>
      <c r="L1490" s="7" t="str">
        <f>VLOOKUP($G1490,Mapping!$E$140:$K$2771,5,0)</f>
        <v>Labour</v>
      </c>
      <c r="M1490" s="7" t="str">
        <f>VLOOKUP($G1490,Mapping!$E$140:$K$2771,7,0)</f>
        <v>ENDirect</v>
      </c>
      <c r="N1490" s="7" t="str">
        <f>IFERROR(HLOOKUP(L1490,'Calc|Weightings'!$K$5:$M$5,1,0),"Excl")</f>
        <v>Labour</v>
      </c>
      <c r="O1490" s="7" t="str">
        <f>VLOOKUP(E1490,Mapping!$E$11:$I$96,5,0)</f>
        <v>SCS</v>
      </c>
      <c r="Q1490" s="33">
        <v>162</v>
      </c>
      <c r="R1490" s="33" t="s">
        <v>2172</v>
      </c>
      <c r="S1490" s="33">
        <v>531468</v>
      </c>
      <c r="T1490" s="33" t="s">
        <v>260</v>
      </c>
      <c r="U1490" s="34">
        <v>-37.532119999999999</v>
      </c>
      <c r="V1490" s="7"/>
      <c r="W1490" s="7" t="str">
        <f>VLOOKUP($Q1490,Mapping!$E$11:$I$96,3,0)</f>
        <v>Augmentation</v>
      </c>
      <c r="X1490" s="7" t="str">
        <f>VLOOKUP($S1490,Mapping!$E$140:$K$2771,5,0)</f>
        <v>Contracts</v>
      </c>
      <c r="Y1490" s="7" t="str">
        <f>VLOOKUP($S1490,Mapping!$E$140:$K$2771,7,0)</f>
        <v>ENDirect</v>
      </c>
      <c r="Z1490" s="7" t="str">
        <f>IFERROR(HLOOKUP(X1490,'Calc|Weightings'!$K$5:$M$5,1,0),"Excl")</f>
        <v>Contracts</v>
      </c>
      <c r="AA1490" s="7" t="str">
        <f>VLOOKUP(Q1490,Mapping!$E$11:$I$96,5,0)</f>
        <v>SCS</v>
      </c>
      <c r="AC1490" s="111">
        <v>161</v>
      </c>
      <c r="AD1490" s="111" t="s">
        <v>2171</v>
      </c>
      <c r="AE1490" s="111">
        <v>636001</v>
      </c>
      <c r="AF1490" s="111" t="s">
        <v>2111</v>
      </c>
      <c r="AG1490" s="112">
        <v>101.55958</v>
      </c>
      <c r="AI1490" s="7" t="str">
        <f>VLOOKUP($AC1490,Mapping!$E$11:$I$96,3,0)</f>
        <v>Augmentation</v>
      </c>
      <c r="AJ1490" s="7" t="str">
        <f>VLOOKUP($AE1490,Mapping!$E$140:$K$2771,5,0)</f>
        <v>System Control OH</v>
      </c>
      <c r="AK1490" s="7" t="str">
        <f>VLOOKUP($AE1490,Mapping!$E$140:$K$2771,7,0)</f>
        <v>OH</v>
      </c>
      <c r="AL1490" s="7" t="str">
        <f>IFERROR(HLOOKUP(AJ1490,'Calc|Weightings'!$K$5:$M$5,1,0),"Excl")</f>
        <v>Excl</v>
      </c>
      <c r="AM1490" s="7" t="str">
        <f>VLOOKUP(AC1490,Mapping!$E$11:$I$96,5,0)</f>
        <v>SCS</v>
      </c>
      <c r="AO1490" s="134">
        <v>166</v>
      </c>
      <c r="AP1490" s="135" t="s">
        <v>2174</v>
      </c>
      <c r="AQ1490" s="135">
        <v>531467</v>
      </c>
      <c r="AR1490" s="135" t="s">
        <v>259</v>
      </c>
      <c r="AS1490" s="136">
        <v>13.44924</v>
      </c>
      <c r="AU1490" s="7" t="str">
        <f>VLOOKUP($AO1490,Mapping!$E$11:$I$96,3,0)</f>
        <v>Augmentation</v>
      </c>
      <c r="AV1490" s="7" t="str">
        <f>VLOOKUP($AQ1490,Mapping!$E$140:$K$2771,5,0)</f>
        <v>Contracts</v>
      </c>
      <c r="AW1490" s="7" t="str">
        <f>VLOOKUP($AQ1490,Mapping!$E$140:$K$2771,7,0)</f>
        <v>ENDirect</v>
      </c>
      <c r="AX1490" s="7" t="str">
        <f>IFERROR(HLOOKUP(AV1490,'Calc|Weightings'!$K$5:$M$5,1,0),"Excl")</f>
        <v>Contracts</v>
      </c>
      <c r="AY1490" s="7" t="str">
        <f>VLOOKUP(AO1490,Mapping!$E$11:$I$96,5,0)</f>
        <v>SCS</v>
      </c>
    </row>
    <row r="1491" spans="1:51" x14ac:dyDescent="0.2">
      <c r="A1491" s="7"/>
      <c r="B1491" s="7"/>
      <c r="C1491" s="7"/>
      <c r="D1491" s="7"/>
      <c r="E1491" s="36">
        <v>152</v>
      </c>
      <c r="F1491" s="36" t="s">
        <v>2161</v>
      </c>
      <c r="G1491" s="36">
        <v>613419</v>
      </c>
      <c r="H1491" s="36" t="s">
        <v>1425</v>
      </c>
      <c r="I1491" s="37">
        <v>4.8635999999999999</v>
      </c>
      <c r="J1491" s="7"/>
      <c r="K1491" s="7" t="str">
        <f>VLOOKUP($E1491,Mapping!$E$11:$I$96,3,0)</f>
        <v>Replacement</v>
      </c>
      <c r="L1491" s="7" t="str">
        <f>VLOOKUP($G1491,Mapping!$E$140:$K$2771,5,0)</f>
        <v>Labour</v>
      </c>
      <c r="M1491" s="7" t="str">
        <f>VLOOKUP($G1491,Mapping!$E$140:$K$2771,7,0)</f>
        <v>ENDirect</v>
      </c>
      <c r="N1491" s="7" t="str">
        <f>IFERROR(HLOOKUP(L1491,'Calc|Weightings'!$K$5:$M$5,1,0),"Excl")</f>
        <v>Labour</v>
      </c>
      <c r="O1491" s="7" t="str">
        <f>VLOOKUP(E1491,Mapping!$E$11:$I$96,5,0)</f>
        <v>SCS</v>
      </c>
      <c r="Q1491" s="33">
        <v>162</v>
      </c>
      <c r="R1491" s="33" t="s">
        <v>2172</v>
      </c>
      <c r="S1491" s="33">
        <v>531469</v>
      </c>
      <c r="T1491" s="33" t="s">
        <v>261</v>
      </c>
      <c r="U1491" s="34">
        <v>5123.2466299999996</v>
      </c>
      <c r="V1491" s="7"/>
      <c r="W1491" s="7" t="str">
        <f>VLOOKUP($Q1491,Mapping!$E$11:$I$96,3,0)</f>
        <v>Augmentation</v>
      </c>
      <c r="X1491" s="7" t="str">
        <f>VLOOKUP($S1491,Mapping!$E$140:$K$2771,5,0)</f>
        <v>Labour</v>
      </c>
      <c r="Y1491" s="7" t="str">
        <f>VLOOKUP($S1491,Mapping!$E$140:$K$2771,7,0)</f>
        <v>ENDirect</v>
      </c>
      <c r="Z1491" s="7" t="str">
        <f>IFERROR(HLOOKUP(X1491,'Calc|Weightings'!$K$5:$M$5,1,0),"Excl")</f>
        <v>Labour</v>
      </c>
      <c r="AA1491" s="7" t="str">
        <f>VLOOKUP(Q1491,Mapping!$E$11:$I$96,5,0)</f>
        <v>SCS</v>
      </c>
      <c r="AC1491" s="111">
        <v>161</v>
      </c>
      <c r="AD1491" s="111" t="s">
        <v>2171</v>
      </c>
      <c r="AE1491" s="111">
        <v>639000</v>
      </c>
      <c r="AF1491" s="111" t="s">
        <v>2112</v>
      </c>
      <c r="AG1491" s="112">
        <v>158.26494</v>
      </c>
      <c r="AI1491" s="7" t="str">
        <f>VLOOKUP($AC1491,Mapping!$E$11:$I$96,3,0)</f>
        <v>Augmentation</v>
      </c>
      <c r="AJ1491" s="7" t="str">
        <f>VLOOKUP($AE1491,Mapping!$E$140:$K$2771,5,0)</f>
        <v>PNS Corporate OH</v>
      </c>
      <c r="AK1491" s="7" t="str">
        <f>VLOOKUP($AE1491,Mapping!$E$140:$K$2771,7,0)</f>
        <v>OH</v>
      </c>
      <c r="AL1491" s="7" t="str">
        <f>IFERROR(HLOOKUP(AJ1491,'Calc|Weightings'!$K$5:$M$5,1,0),"Excl")</f>
        <v>Excl</v>
      </c>
      <c r="AM1491" s="7" t="str">
        <f>VLOOKUP(AC1491,Mapping!$E$11:$I$96,5,0)</f>
        <v>SCS</v>
      </c>
      <c r="AO1491" s="134">
        <v>166</v>
      </c>
      <c r="AP1491" s="135" t="s">
        <v>2174</v>
      </c>
      <c r="AQ1491" s="135">
        <v>531468</v>
      </c>
      <c r="AR1491" s="135" t="s">
        <v>260</v>
      </c>
      <c r="AS1491" s="136">
        <v>6.2670000000000003</v>
      </c>
      <c r="AU1491" s="7" t="str">
        <f>VLOOKUP($AO1491,Mapping!$E$11:$I$96,3,0)</f>
        <v>Augmentation</v>
      </c>
      <c r="AV1491" s="7" t="str">
        <f>VLOOKUP($AQ1491,Mapping!$E$140:$K$2771,5,0)</f>
        <v>Contracts</v>
      </c>
      <c r="AW1491" s="7" t="str">
        <f>VLOOKUP($AQ1491,Mapping!$E$140:$K$2771,7,0)</f>
        <v>ENDirect</v>
      </c>
      <c r="AX1491" s="7" t="str">
        <f>IFERROR(HLOOKUP(AV1491,'Calc|Weightings'!$K$5:$M$5,1,0),"Excl")</f>
        <v>Contracts</v>
      </c>
      <c r="AY1491" s="7" t="str">
        <f>VLOOKUP(AO1491,Mapping!$E$11:$I$96,5,0)</f>
        <v>SCS</v>
      </c>
    </row>
    <row r="1492" spans="1:51" x14ac:dyDescent="0.2">
      <c r="A1492" s="7"/>
      <c r="B1492" s="7"/>
      <c r="C1492" s="7"/>
      <c r="D1492" s="7"/>
      <c r="E1492" s="36">
        <v>152</v>
      </c>
      <c r="F1492" s="36" t="s">
        <v>2161</v>
      </c>
      <c r="G1492" s="36">
        <v>613428</v>
      </c>
      <c r="H1492" s="36" t="s">
        <v>1430</v>
      </c>
      <c r="I1492" s="37">
        <v>0.12961</v>
      </c>
      <c r="J1492" s="7"/>
      <c r="K1492" s="7" t="str">
        <f>VLOOKUP($E1492,Mapping!$E$11:$I$96,3,0)</f>
        <v>Replacement</v>
      </c>
      <c r="L1492" s="7" t="str">
        <f>VLOOKUP($G1492,Mapping!$E$140:$K$2771,5,0)</f>
        <v>Labour</v>
      </c>
      <c r="M1492" s="7" t="str">
        <f>VLOOKUP($G1492,Mapping!$E$140:$K$2771,7,0)</f>
        <v>ENDirect</v>
      </c>
      <c r="N1492" s="7" t="str">
        <f>IFERROR(HLOOKUP(L1492,'Calc|Weightings'!$K$5:$M$5,1,0),"Excl")</f>
        <v>Labour</v>
      </c>
      <c r="O1492" s="7" t="str">
        <f>VLOOKUP(E1492,Mapping!$E$11:$I$96,5,0)</f>
        <v>SCS</v>
      </c>
      <c r="Q1492" s="33">
        <v>162</v>
      </c>
      <c r="R1492" s="33" t="s">
        <v>2172</v>
      </c>
      <c r="S1492" s="33">
        <v>545150</v>
      </c>
      <c r="T1492" s="33" t="s">
        <v>345</v>
      </c>
      <c r="U1492" s="34">
        <v>4.6550000000000001E-2</v>
      </c>
      <c r="V1492" s="7"/>
      <c r="W1492" s="7" t="str">
        <f>VLOOKUP($Q1492,Mapping!$E$11:$I$96,3,0)</f>
        <v>Augmentation</v>
      </c>
      <c r="X1492" s="7" t="str">
        <f>VLOOKUP($S1492,Mapping!$E$140:$K$2771,5,0)</f>
        <v>Contracts</v>
      </c>
      <c r="Y1492" s="7" t="str">
        <f>VLOOKUP($S1492,Mapping!$E$140:$K$2771,7,0)</f>
        <v>ENDirect</v>
      </c>
      <c r="Z1492" s="7" t="str">
        <f>IFERROR(HLOOKUP(X1492,'Calc|Weightings'!$K$5:$M$5,1,0),"Excl")</f>
        <v>Contracts</v>
      </c>
      <c r="AA1492" s="7" t="str">
        <f>VLOOKUP(Q1492,Mapping!$E$11:$I$96,5,0)</f>
        <v>SCS</v>
      </c>
      <c r="AC1492" s="111">
        <v>161</v>
      </c>
      <c r="AD1492" s="111" t="s">
        <v>2171</v>
      </c>
      <c r="AE1492" s="111">
        <v>639050</v>
      </c>
      <c r="AF1492" s="111" t="s">
        <v>2113</v>
      </c>
      <c r="AG1492" s="112">
        <v>21.134049999999998</v>
      </c>
      <c r="AI1492" s="7" t="str">
        <f>VLOOKUP($AC1492,Mapping!$E$11:$I$96,3,0)</f>
        <v>Augmentation</v>
      </c>
      <c r="AJ1492" s="7" t="str">
        <f>VLOOKUP($AE1492,Mapping!$E$140:$K$2771,5,0)</f>
        <v>PNS Fleet &amp; Property OH</v>
      </c>
      <c r="AK1492" s="7" t="str">
        <f>VLOOKUP($AE1492,Mapping!$E$140:$K$2771,7,0)</f>
        <v>OH</v>
      </c>
      <c r="AL1492" s="7" t="str">
        <f>IFERROR(HLOOKUP(AJ1492,'Calc|Weightings'!$K$5:$M$5,1,0),"Excl")</f>
        <v>Excl</v>
      </c>
      <c r="AM1492" s="7" t="str">
        <f>VLOOKUP(AC1492,Mapping!$E$11:$I$96,5,0)</f>
        <v>SCS</v>
      </c>
      <c r="AO1492" s="134">
        <v>166</v>
      </c>
      <c r="AP1492" s="135" t="s">
        <v>2174</v>
      </c>
      <c r="AQ1492" s="135">
        <v>532410</v>
      </c>
      <c r="AR1492" s="135" t="s">
        <v>305</v>
      </c>
      <c r="AS1492" s="136">
        <v>0.87119999999999997</v>
      </c>
      <c r="AU1492" s="7" t="str">
        <f>VLOOKUP($AO1492,Mapping!$E$11:$I$96,3,0)</f>
        <v>Augmentation</v>
      </c>
      <c r="AV1492" s="7" t="str">
        <f>VLOOKUP($AQ1492,Mapping!$E$140:$K$2771,5,0)</f>
        <v>Labour</v>
      </c>
      <c r="AW1492" s="7" t="str">
        <f>VLOOKUP($AQ1492,Mapping!$E$140:$K$2771,7,0)</f>
        <v>ENDirect</v>
      </c>
      <c r="AX1492" s="7" t="str">
        <f>IFERROR(HLOOKUP(AV1492,'Calc|Weightings'!$K$5:$M$5,1,0),"Excl")</f>
        <v>Labour</v>
      </c>
      <c r="AY1492" s="7" t="str">
        <f>VLOOKUP(AO1492,Mapping!$E$11:$I$96,5,0)</f>
        <v>SCS</v>
      </c>
    </row>
    <row r="1493" spans="1:51" x14ac:dyDescent="0.2">
      <c r="A1493" s="7"/>
      <c r="B1493" s="7"/>
      <c r="C1493" s="7"/>
      <c r="D1493" s="7"/>
      <c r="E1493" s="36">
        <v>152</v>
      </c>
      <c r="F1493" s="36" t="s">
        <v>2161</v>
      </c>
      <c r="G1493" s="36">
        <v>613429</v>
      </c>
      <c r="H1493" s="36" t="s">
        <v>1431</v>
      </c>
      <c r="I1493" s="37">
        <v>1.8970000000000001E-2</v>
      </c>
      <c r="J1493" s="7"/>
      <c r="K1493" s="7" t="str">
        <f>VLOOKUP($E1493,Mapping!$E$11:$I$96,3,0)</f>
        <v>Replacement</v>
      </c>
      <c r="L1493" s="7" t="str">
        <f>VLOOKUP($G1493,Mapping!$E$140:$K$2771,5,0)</f>
        <v>Labour</v>
      </c>
      <c r="M1493" s="7" t="str">
        <f>VLOOKUP($G1493,Mapping!$E$140:$K$2771,7,0)</f>
        <v>ENDirect</v>
      </c>
      <c r="N1493" s="7" t="str">
        <f>IFERROR(HLOOKUP(L1493,'Calc|Weightings'!$K$5:$M$5,1,0),"Excl")</f>
        <v>Labour</v>
      </c>
      <c r="O1493" s="7" t="str">
        <f>VLOOKUP(E1493,Mapping!$E$11:$I$96,5,0)</f>
        <v>SCS</v>
      </c>
      <c r="Q1493" s="33">
        <v>162</v>
      </c>
      <c r="R1493" s="33" t="s">
        <v>2172</v>
      </c>
      <c r="S1493" s="33">
        <v>591997</v>
      </c>
      <c r="T1493" s="33" t="s">
        <v>399</v>
      </c>
      <c r="U1493" s="34">
        <v>-20.04196</v>
      </c>
      <c r="V1493" s="7"/>
      <c r="W1493" s="7" t="str">
        <f>VLOOKUP($Q1493,Mapping!$E$11:$I$96,3,0)</f>
        <v>Augmentation</v>
      </c>
      <c r="X1493" s="7" t="str">
        <f>VLOOKUP($S1493,Mapping!$E$140:$K$2771,5,0)</f>
        <v>Contracts</v>
      </c>
      <c r="Y1493" s="7" t="str">
        <f>VLOOKUP($S1493,Mapping!$E$140:$K$2771,7,0)</f>
        <v>ENDirect</v>
      </c>
      <c r="Z1493" s="7" t="str">
        <f>IFERROR(HLOOKUP(X1493,'Calc|Weightings'!$K$5:$M$5,1,0),"Excl")</f>
        <v>Contracts</v>
      </c>
      <c r="AA1493" s="7" t="str">
        <f>VLOOKUP(Q1493,Mapping!$E$11:$I$96,5,0)</f>
        <v>SCS</v>
      </c>
      <c r="AC1493" s="111">
        <v>162</v>
      </c>
      <c r="AD1493" s="111" t="s">
        <v>2172</v>
      </c>
      <c r="AE1493" s="111">
        <v>503240</v>
      </c>
      <c r="AF1493" s="111" t="s">
        <v>169</v>
      </c>
      <c r="AG1493" s="112">
        <v>0.25850000000000001</v>
      </c>
      <c r="AI1493" s="7" t="str">
        <f>VLOOKUP($AC1493,Mapping!$E$11:$I$96,3,0)</f>
        <v>Augmentation</v>
      </c>
      <c r="AJ1493" s="7" t="str">
        <f>VLOOKUP($AE1493,Mapping!$E$140:$K$2771,5,0)</f>
        <v>Contracts</v>
      </c>
      <c r="AK1493" s="7" t="str">
        <f>VLOOKUP($AE1493,Mapping!$E$140:$K$2771,7,0)</f>
        <v>ENDirect</v>
      </c>
      <c r="AL1493" s="7" t="str">
        <f>IFERROR(HLOOKUP(AJ1493,'Calc|Weightings'!$K$5:$M$5,1,0),"Excl")</f>
        <v>Contracts</v>
      </c>
      <c r="AM1493" s="7" t="str">
        <f>VLOOKUP(AC1493,Mapping!$E$11:$I$96,5,0)</f>
        <v>SCS</v>
      </c>
      <c r="AO1493" s="134">
        <v>166</v>
      </c>
      <c r="AP1493" s="135" t="s">
        <v>2174</v>
      </c>
      <c r="AQ1493" s="135">
        <v>611900</v>
      </c>
      <c r="AR1493" s="135" t="s">
        <v>2079</v>
      </c>
      <c r="AS1493" s="136">
        <v>0.60987000000000002</v>
      </c>
      <c r="AU1493" s="7" t="str">
        <f>VLOOKUP($AO1493,Mapping!$E$11:$I$96,3,0)</f>
        <v>Augmentation</v>
      </c>
      <c r="AV1493" s="7" t="str">
        <f>VLOOKUP($AQ1493,Mapping!$E$140:$K$2771,5,0)</f>
        <v>Contracts</v>
      </c>
      <c r="AW1493" s="7" t="str">
        <f>VLOOKUP($AQ1493,Mapping!$E$140:$K$2771,7,0)</f>
        <v>ENDirect</v>
      </c>
      <c r="AX1493" s="7" t="str">
        <f>IFERROR(HLOOKUP(AV1493,'Calc|Weightings'!$K$5:$M$5,1,0),"Excl")</f>
        <v>Contracts</v>
      </c>
      <c r="AY1493" s="7" t="str">
        <f>VLOOKUP(AO1493,Mapping!$E$11:$I$96,5,0)</f>
        <v>SCS</v>
      </c>
    </row>
    <row r="1494" spans="1:51" x14ac:dyDescent="0.2">
      <c r="A1494" s="7"/>
      <c r="B1494" s="7"/>
      <c r="C1494" s="7"/>
      <c r="D1494" s="7"/>
      <c r="E1494" s="36">
        <v>152</v>
      </c>
      <c r="F1494" s="36" t="s">
        <v>2161</v>
      </c>
      <c r="G1494" s="36">
        <v>613438</v>
      </c>
      <c r="H1494" s="36" t="s">
        <v>1436</v>
      </c>
      <c r="I1494" s="37">
        <v>0.39196999999999999</v>
      </c>
      <c r="J1494" s="7"/>
      <c r="K1494" s="7" t="str">
        <f>VLOOKUP($E1494,Mapping!$E$11:$I$96,3,0)</f>
        <v>Replacement</v>
      </c>
      <c r="L1494" s="7" t="str">
        <f>VLOOKUP($G1494,Mapping!$E$140:$K$2771,5,0)</f>
        <v>Labour</v>
      </c>
      <c r="M1494" s="7" t="str">
        <f>VLOOKUP($G1494,Mapping!$E$140:$K$2771,7,0)</f>
        <v>ENDirect</v>
      </c>
      <c r="N1494" s="7" t="str">
        <f>IFERROR(HLOOKUP(L1494,'Calc|Weightings'!$K$5:$M$5,1,0),"Excl")</f>
        <v>Labour</v>
      </c>
      <c r="O1494" s="7" t="str">
        <f>VLOOKUP(E1494,Mapping!$E$11:$I$96,5,0)</f>
        <v>SCS</v>
      </c>
      <c r="Q1494" s="33">
        <v>162</v>
      </c>
      <c r="R1494" s="33" t="s">
        <v>2172</v>
      </c>
      <c r="S1494" s="33">
        <v>591998</v>
      </c>
      <c r="T1494" s="33" t="s">
        <v>2077</v>
      </c>
      <c r="U1494" s="34">
        <v>-6.8146000000000004</v>
      </c>
      <c r="V1494" s="7"/>
      <c r="W1494" s="7" t="str">
        <f>VLOOKUP($Q1494,Mapping!$E$11:$I$96,3,0)</f>
        <v>Augmentation</v>
      </c>
      <c r="X1494" s="7" t="str">
        <f>VLOOKUP($S1494,Mapping!$E$140:$K$2771,5,0)</f>
        <v>Contracts</v>
      </c>
      <c r="Y1494" s="7" t="str">
        <f>VLOOKUP($S1494,Mapping!$E$140:$K$2771,7,0)</f>
        <v>ENDirect</v>
      </c>
      <c r="Z1494" s="7" t="str">
        <f>IFERROR(HLOOKUP(X1494,'Calc|Weightings'!$K$5:$M$5,1,0),"Excl")</f>
        <v>Contracts</v>
      </c>
      <c r="AA1494" s="7" t="str">
        <f>VLOOKUP(Q1494,Mapping!$E$11:$I$96,5,0)</f>
        <v>SCS</v>
      </c>
      <c r="AC1494" s="111">
        <v>162</v>
      </c>
      <c r="AD1494" s="111" t="s">
        <v>2172</v>
      </c>
      <c r="AE1494" s="111">
        <v>503250</v>
      </c>
      <c r="AF1494" s="111" t="s">
        <v>170</v>
      </c>
      <c r="AG1494" s="112">
        <v>0.16722000000000001</v>
      </c>
      <c r="AI1494" s="7" t="str">
        <f>VLOOKUP($AC1494,Mapping!$E$11:$I$96,3,0)</f>
        <v>Augmentation</v>
      </c>
      <c r="AJ1494" s="7" t="str">
        <f>VLOOKUP($AE1494,Mapping!$E$140:$K$2771,5,0)</f>
        <v>Contracts</v>
      </c>
      <c r="AK1494" s="7" t="str">
        <f>VLOOKUP($AE1494,Mapping!$E$140:$K$2771,7,0)</f>
        <v>ENDirect</v>
      </c>
      <c r="AL1494" s="7" t="str">
        <f>IFERROR(HLOOKUP(AJ1494,'Calc|Weightings'!$K$5:$M$5,1,0),"Excl")</f>
        <v>Contracts</v>
      </c>
      <c r="AM1494" s="7" t="str">
        <f>VLOOKUP(AC1494,Mapping!$E$11:$I$96,5,0)</f>
        <v>SCS</v>
      </c>
      <c r="AO1494" s="134">
        <v>166</v>
      </c>
      <c r="AP1494" s="135" t="s">
        <v>2174</v>
      </c>
      <c r="AQ1494" s="135">
        <v>611901</v>
      </c>
      <c r="AR1494" s="135" t="s">
        <v>2080</v>
      </c>
      <c r="AS1494" s="136">
        <v>5.2909999999999999E-2</v>
      </c>
      <c r="AU1494" s="7" t="str">
        <f>VLOOKUP($AO1494,Mapping!$E$11:$I$96,3,0)</f>
        <v>Augmentation</v>
      </c>
      <c r="AV1494" s="7" t="str">
        <f>VLOOKUP($AQ1494,Mapping!$E$140:$K$2771,5,0)</f>
        <v>Contracts</v>
      </c>
      <c r="AW1494" s="7" t="str">
        <f>VLOOKUP($AQ1494,Mapping!$E$140:$K$2771,7,0)</f>
        <v>ENDirect</v>
      </c>
      <c r="AX1494" s="7" t="str">
        <f>IFERROR(HLOOKUP(AV1494,'Calc|Weightings'!$K$5:$M$5,1,0),"Excl")</f>
        <v>Contracts</v>
      </c>
      <c r="AY1494" s="7" t="str">
        <f>VLOOKUP(AO1494,Mapping!$E$11:$I$96,5,0)</f>
        <v>SCS</v>
      </c>
    </row>
    <row r="1495" spans="1:51" x14ac:dyDescent="0.2">
      <c r="A1495" s="7"/>
      <c r="B1495" s="7"/>
      <c r="C1495" s="7"/>
      <c r="D1495" s="7"/>
      <c r="E1495" s="36">
        <v>152</v>
      </c>
      <c r="F1495" s="36" t="s">
        <v>2161</v>
      </c>
      <c r="G1495" s="36">
        <v>613439</v>
      </c>
      <c r="H1495" s="36" t="s">
        <v>1437</v>
      </c>
      <c r="I1495" s="37">
        <v>9.0990000000000001E-2</v>
      </c>
      <c r="J1495" s="7"/>
      <c r="K1495" s="7" t="str">
        <f>VLOOKUP($E1495,Mapping!$E$11:$I$96,3,0)</f>
        <v>Replacement</v>
      </c>
      <c r="L1495" s="7" t="str">
        <f>VLOOKUP($G1495,Mapping!$E$140:$K$2771,5,0)</f>
        <v>Labour</v>
      </c>
      <c r="M1495" s="7" t="str">
        <f>VLOOKUP($G1495,Mapping!$E$140:$K$2771,7,0)</f>
        <v>ENDirect</v>
      </c>
      <c r="N1495" s="7" t="str">
        <f>IFERROR(HLOOKUP(L1495,'Calc|Weightings'!$K$5:$M$5,1,0),"Excl")</f>
        <v>Labour</v>
      </c>
      <c r="O1495" s="7" t="str">
        <f>VLOOKUP(E1495,Mapping!$E$11:$I$96,5,0)</f>
        <v>SCS</v>
      </c>
      <c r="Q1495" s="33">
        <v>162</v>
      </c>
      <c r="R1495" s="33" t="s">
        <v>2172</v>
      </c>
      <c r="S1495" s="33">
        <v>591999</v>
      </c>
      <c r="T1495" s="33" t="s">
        <v>2078</v>
      </c>
      <c r="U1495" s="34">
        <v>-51.431759999999997</v>
      </c>
      <c r="V1495" s="7"/>
      <c r="W1495" s="7" t="str">
        <f>VLOOKUP($Q1495,Mapping!$E$11:$I$96,3,0)</f>
        <v>Augmentation</v>
      </c>
      <c r="X1495" s="7" t="str">
        <f>VLOOKUP($S1495,Mapping!$E$140:$K$2771,5,0)</f>
        <v>Contracts</v>
      </c>
      <c r="Y1495" s="7" t="str">
        <f>VLOOKUP($S1495,Mapping!$E$140:$K$2771,7,0)</f>
        <v>ENDirect</v>
      </c>
      <c r="Z1495" s="7" t="str">
        <f>IFERROR(HLOOKUP(X1495,'Calc|Weightings'!$K$5:$M$5,1,0),"Excl")</f>
        <v>Contracts</v>
      </c>
      <c r="AA1495" s="7" t="str">
        <f>VLOOKUP(Q1495,Mapping!$E$11:$I$96,5,0)</f>
        <v>SCS</v>
      </c>
      <c r="AC1495" s="111">
        <v>162</v>
      </c>
      <c r="AD1495" s="111" t="s">
        <v>2172</v>
      </c>
      <c r="AE1495" s="111">
        <v>503281</v>
      </c>
      <c r="AF1495" s="111" t="s">
        <v>2198</v>
      </c>
      <c r="AG1495" s="112">
        <v>0.72041999999999995</v>
      </c>
      <c r="AI1495" s="7" t="str">
        <f>VLOOKUP($AC1495,Mapping!$E$11:$I$96,3,0)</f>
        <v>Augmentation</v>
      </c>
      <c r="AJ1495" s="7" t="str">
        <f>VLOOKUP($AE1495,Mapping!$E$140:$K$2771,5,0)</f>
        <v>Contracts</v>
      </c>
      <c r="AK1495" s="7" t="str">
        <f>VLOOKUP($AE1495,Mapping!$E$140:$K$2771,7,0)</f>
        <v>ENDirect</v>
      </c>
      <c r="AL1495" s="7" t="str">
        <f>IFERROR(HLOOKUP(AJ1495,'Calc|Weightings'!$K$5:$M$5,1,0),"Excl")</f>
        <v>Contracts</v>
      </c>
      <c r="AM1495" s="7" t="str">
        <f>VLOOKUP(AC1495,Mapping!$E$11:$I$96,5,0)</f>
        <v>SCS</v>
      </c>
      <c r="AO1495" s="134">
        <v>166</v>
      </c>
      <c r="AP1495" s="135" t="s">
        <v>2174</v>
      </c>
      <c r="AQ1495" s="135">
        <v>611902</v>
      </c>
      <c r="AR1495" s="135" t="s">
        <v>2081</v>
      </c>
      <c r="AS1495" s="136">
        <v>0.68345999999999996</v>
      </c>
      <c r="AU1495" s="7" t="str">
        <f>VLOOKUP($AO1495,Mapping!$E$11:$I$96,3,0)</f>
        <v>Augmentation</v>
      </c>
      <c r="AV1495" s="7" t="str">
        <f>VLOOKUP($AQ1495,Mapping!$E$140:$K$2771,5,0)</f>
        <v>Contracts</v>
      </c>
      <c r="AW1495" s="7" t="str">
        <f>VLOOKUP($AQ1495,Mapping!$E$140:$K$2771,7,0)</f>
        <v>ENDirect</v>
      </c>
      <c r="AX1495" s="7" t="str">
        <f>IFERROR(HLOOKUP(AV1495,'Calc|Weightings'!$K$5:$M$5,1,0),"Excl")</f>
        <v>Contracts</v>
      </c>
      <c r="AY1495" s="7" t="str">
        <f>VLOOKUP(AO1495,Mapping!$E$11:$I$96,5,0)</f>
        <v>SCS</v>
      </c>
    </row>
    <row r="1496" spans="1:51" x14ac:dyDescent="0.2">
      <c r="A1496" s="7"/>
      <c r="B1496" s="7"/>
      <c r="C1496" s="7"/>
      <c r="D1496" s="7"/>
      <c r="E1496" s="36">
        <v>152</v>
      </c>
      <c r="F1496" s="36" t="s">
        <v>2161</v>
      </c>
      <c r="G1496" s="36">
        <v>613680</v>
      </c>
      <c r="H1496" s="36" t="s">
        <v>2107</v>
      </c>
      <c r="I1496" s="37">
        <v>0.81891000000000003</v>
      </c>
      <c r="J1496" s="7"/>
      <c r="K1496" s="7" t="str">
        <f>VLOOKUP($E1496,Mapping!$E$11:$I$96,3,0)</f>
        <v>Replacement</v>
      </c>
      <c r="L1496" s="7" t="str">
        <f>VLOOKUP($G1496,Mapping!$E$140:$K$2771,5,0)</f>
        <v>Labour</v>
      </c>
      <c r="M1496" s="7" t="str">
        <f>VLOOKUP($G1496,Mapping!$E$140:$K$2771,7,0)</f>
        <v>ENDirect</v>
      </c>
      <c r="N1496" s="7" t="str">
        <f>IFERROR(HLOOKUP(L1496,'Calc|Weightings'!$K$5:$M$5,1,0),"Excl")</f>
        <v>Labour</v>
      </c>
      <c r="O1496" s="7" t="str">
        <f>VLOOKUP(E1496,Mapping!$E$11:$I$96,5,0)</f>
        <v>SCS</v>
      </c>
      <c r="Q1496" s="33">
        <v>162</v>
      </c>
      <c r="R1496" s="33" t="s">
        <v>2172</v>
      </c>
      <c r="S1496" s="33">
        <v>611900</v>
      </c>
      <c r="T1496" s="33" t="s">
        <v>2079</v>
      </c>
      <c r="U1496" s="34">
        <v>2.6535899999999999</v>
      </c>
      <c r="V1496" s="7"/>
      <c r="W1496" s="7" t="str">
        <f>VLOOKUP($Q1496,Mapping!$E$11:$I$96,3,0)</f>
        <v>Augmentation</v>
      </c>
      <c r="X1496" s="7" t="str">
        <f>VLOOKUP($S1496,Mapping!$E$140:$K$2771,5,0)</f>
        <v>Contracts</v>
      </c>
      <c r="Y1496" s="7" t="str">
        <f>VLOOKUP($S1496,Mapping!$E$140:$K$2771,7,0)</f>
        <v>ENDirect</v>
      </c>
      <c r="Z1496" s="7" t="str">
        <f>IFERROR(HLOOKUP(X1496,'Calc|Weightings'!$K$5:$M$5,1,0),"Excl")</f>
        <v>Contracts</v>
      </c>
      <c r="AA1496" s="7" t="str">
        <f>VLOOKUP(Q1496,Mapping!$E$11:$I$96,5,0)</f>
        <v>SCS</v>
      </c>
      <c r="AC1496" s="111">
        <v>162</v>
      </c>
      <c r="AD1496" s="111" t="s">
        <v>2172</v>
      </c>
      <c r="AE1496" s="111">
        <v>503330</v>
      </c>
      <c r="AF1496" s="111" t="s">
        <v>180</v>
      </c>
      <c r="AG1496" s="112">
        <v>0.40864</v>
      </c>
      <c r="AI1496" s="7" t="str">
        <f>VLOOKUP($AC1496,Mapping!$E$11:$I$96,3,0)</f>
        <v>Augmentation</v>
      </c>
      <c r="AJ1496" s="7" t="str">
        <f>VLOOKUP($AE1496,Mapping!$E$140:$K$2771,5,0)</f>
        <v>Contracts</v>
      </c>
      <c r="AK1496" s="7" t="str">
        <f>VLOOKUP($AE1496,Mapping!$E$140:$K$2771,7,0)</f>
        <v>ENDirect</v>
      </c>
      <c r="AL1496" s="7" t="str">
        <f>IFERROR(HLOOKUP(AJ1496,'Calc|Weightings'!$K$5:$M$5,1,0),"Excl")</f>
        <v>Contracts</v>
      </c>
      <c r="AM1496" s="7" t="str">
        <f>VLOOKUP(AC1496,Mapping!$E$11:$I$96,5,0)</f>
        <v>SCS</v>
      </c>
      <c r="AO1496" s="134">
        <v>166</v>
      </c>
      <c r="AP1496" s="135" t="s">
        <v>2174</v>
      </c>
      <c r="AQ1496" s="135">
        <v>612210</v>
      </c>
      <c r="AR1496" s="135" t="s">
        <v>1184</v>
      </c>
      <c r="AS1496" s="136">
        <v>1.0900099999999999</v>
      </c>
      <c r="AU1496" s="7" t="str">
        <f>VLOOKUP($AO1496,Mapping!$E$11:$I$96,3,0)</f>
        <v>Augmentation</v>
      </c>
      <c r="AV1496" s="7" t="str">
        <f>VLOOKUP($AQ1496,Mapping!$E$140:$K$2771,5,0)</f>
        <v>Labour</v>
      </c>
      <c r="AW1496" s="7" t="str">
        <f>VLOOKUP($AQ1496,Mapping!$E$140:$K$2771,7,0)</f>
        <v>ENDirect</v>
      </c>
      <c r="AX1496" s="7" t="str">
        <f>IFERROR(HLOOKUP(AV1496,'Calc|Weightings'!$K$5:$M$5,1,0),"Excl")</f>
        <v>Labour</v>
      </c>
      <c r="AY1496" s="7" t="str">
        <f>VLOOKUP(AO1496,Mapping!$E$11:$I$96,5,0)</f>
        <v>SCS</v>
      </c>
    </row>
    <row r="1497" spans="1:51" x14ac:dyDescent="0.2">
      <c r="A1497" s="7"/>
      <c r="B1497" s="7"/>
      <c r="C1497" s="7"/>
      <c r="D1497" s="7"/>
      <c r="E1497" s="36">
        <v>152</v>
      </c>
      <c r="F1497" s="36" t="s">
        <v>2161</v>
      </c>
      <c r="G1497" s="36">
        <v>613800</v>
      </c>
      <c r="H1497" s="36" t="s">
        <v>2142</v>
      </c>
      <c r="I1497" s="37">
        <v>-20.26727</v>
      </c>
      <c r="J1497" s="7"/>
      <c r="K1497" s="7" t="str">
        <f>VLOOKUP($E1497,Mapping!$E$11:$I$96,3,0)</f>
        <v>Replacement</v>
      </c>
      <c r="L1497" s="7" t="str">
        <f>VLOOKUP($G1497,Mapping!$E$140:$K$2771,5,0)</f>
        <v>Materials</v>
      </c>
      <c r="M1497" s="7" t="str">
        <f>VLOOKUP($G1497,Mapping!$E$140:$K$2771,7,0)</f>
        <v>ENDirect</v>
      </c>
      <c r="N1497" s="7" t="str">
        <f>IFERROR(HLOOKUP(L1497,'Calc|Weightings'!$K$5:$M$5,1,0),"Excl")</f>
        <v>Materials</v>
      </c>
      <c r="O1497" s="7" t="str">
        <f>VLOOKUP(E1497,Mapping!$E$11:$I$96,5,0)</f>
        <v>SCS</v>
      </c>
      <c r="Q1497" s="33">
        <v>162</v>
      </c>
      <c r="R1497" s="33" t="s">
        <v>2172</v>
      </c>
      <c r="S1497" s="33">
        <v>611901</v>
      </c>
      <c r="T1497" s="33" t="s">
        <v>2080</v>
      </c>
      <c r="U1497" s="34">
        <v>1.2196499999999999</v>
      </c>
      <c r="V1497" s="7"/>
      <c r="W1497" s="7" t="str">
        <f>VLOOKUP($Q1497,Mapping!$E$11:$I$96,3,0)</f>
        <v>Augmentation</v>
      </c>
      <c r="X1497" s="7" t="str">
        <f>VLOOKUP($S1497,Mapping!$E$140:$K$2771,5,0)</f>
        <v>Contracts</v>
      </c>
      <c r="Y1497" s="7" t="str">
        <f>VLOOKUP($S1497,Mapping!$E$140:$K$2771,7,0)</f>
        <v>ENDirect</v>
      </c>
      <c r="Z1497" s="7" t="str">
        <f>IFERROR(HLOOKUP(X1497,'Calc|Weightings'!$K$5:$M$5,1,0),"Excl")</f>
        <v>Contracts</v>
      </c>
      <c r="AA1497" s="7" t="str">
        <f>VLOOKUP(Q1497,Mapping!$E$11:$I$96,5,0)</f>
        <v>SCS</v>
      </c>
      <c r="AC1497" s="111">
        <v>162</v>
      </c>
      <c r="AD1497" s="111" t="s">
        <v>2172</v>
      </c>
      <c r="AE1497" s="111">
        <v>503350</v>
      </c>
      <c r="AF1497" s="111" t="s">
        <v>182</v>
      </c>
      <c r="AG1497" s="112">
        <v>0.46581</v>
      </c>
      <c r="AI1497" s="7" t="str">
        <f>VLOOKUP($AC1497,Mapping!$E$11:$I$96,3,0)</f>
        <v>Augmentation</v>
      </c>
      <c r="AJ1497" s="7" t="str">
        <f>VLOOKUP($AE1497,Mapping!$E$140:$K$2771,5,0)</f>
        <v>Contracts</v>
      </c>
      <c r="AK1497" s="7" t="str">
        <f>VLOOKUP($AE1497,Mapping!$E$140:$K$2771,7,0)</f>
        <v>ENDirect</v>
      </c>
      <c r="AL1497" s="7" t="str">
        <f>IFERROR(HLOOKUP(AJ1497,'Calc|Weightings'!$K$5:$M$5,1,0),"Excl")</f>
        <v>Contracts</v>
      </c>
      <c r="AM1497" s="7" t="str">
        <f>VLOOKUP(AC1497,Mapping!$E$11:$I$96,5,0)</f>
        <v>SCS</v>
      </c>
      <c r="AO1497" s="134">
        <v>166</v>
      </c>
      <c r="AP1497" s="135" t="s">
        <v>2174</v>
      </c>
      <c r="AQ1497" s="135">
        <v>613240</v>
      </c>
      <c r="AR1497" s="135" t="s">
        <v>2082</v>
      </c>
      <c r="AS1497" s="136">
        <v>11.98582</v>
      </c>
      <c r="AU1497" s="7" t="str">
        <f>VLOOKUP($AO1497,Mapping!$E$11:$I$96,3,0)</f>
        <v>Augmentation</v>
      </c>
      <c r="AV1497" s="7" t="str">
        <f>VLOOKUP($AQ1497,Mapping!$E$140:$K$2771,5,0)</f>
        <v>Labour</v>
      </c>
      <c r="AW1497" s="7" t="str">
        <f>VLOOKUP($AQ1497,Mapping!$E$140:$K$2771,7,0)</f>
        <v>ENDirect</v>
      </c>
      <c r="AX1497" s="7" t="str">
        <f>IFERROR(HLOOKUP(AV1497,'Calc|Weightings'!$K$5:$M$5,1,0),"Excl")</f>
        <v>Labour</v>
      </c>
      <c r="AY1497" s="7" t="str">
        <f>VLOOKUP(AO1497,Mapping!$E$11:$I$96,5,0)</f>
        <v>SCS</v>
      </c>
    </row>
    <row r="1498" spans="1:51" x14ac:dyDescent="0.2">
      <c r="A1498" s="7"/>
      <c r="B1498" s="7"/>
      <c r="C1498" s="7"/>
      <c r="D1498" s="7"/>
      <c r="E1498" s="36">
        <v>152</v>
      </c>
      <c r="F1498" s="36" t="s">
        <v>2161</v>
      </c>
      <c r="G1498" s="36">
        <v>633000</v>
      </c>
      <c r="H1498" s="36" t="s">
        <v>2202</v>
      </c>
      <c r="I1498" s="37">
        <v>4.05016</v>
      </c>
      <c r="J1498" s="7"/>
      <c r="K1498" s="7" t="str">
        <f>VLOOKUP($E1498,Mapping!$E$11:$I$96,3,0)</f>
        <v>Replacement</v>
      </c>
      <c r="L1498" s="7" t="str">
        <f>VLOOKUP($G1498,Mapping!$E$140:$K$2771,5,0)</f>
        <v>Contracts</v>
      </c>
      <c r="M1498" s="7" t="str">
        <f>VLOOKUP($G1498,Mapping!$E$140:$K$2771,7,0)</f>
        <v>OH</v>
      </c>
      <c r="N1498" s="7" t="str">
        <f>IFERROR(HLOOKUP(L1498,'Calc|Weightings'!$K$5:$M$5,1,0),"Excl")</f>
        <v>Contracts</v>
      </c>
      <c r="O1498" s="7" t="str">
        <f>VLOOKUP(E1498,Mapping!$E$11:$I$96,5,0)</f>
        <v>SCS</v>
      </c>
      <c r="Q1498" s="33">
        <v>162</v>
      </c>
      <c r="R1498" s="33" t="s">
        <v>2172</v>
      </c>
      <c r="S1498" s="33">
        <v>611902</v>
      </c>
      <c r="T1498" s="33" t="s">
        <v>2081</v>
      </c>
      <c r="U1498" s="34">
        <v>6.7895099999999999</v>
      </c>
      <c r="V1498" s="7"/>
      <c r="W1498" s="7" t="str">
        <f>VLOOKUP($Q1498,Mapping!$E$11:$I$96,3,0)</f>
        <v>Augmentation</v>
      </c>
      <c r="X1498" s="7" t="str">
        <f>VLOOKUP($S1498,Mapping!$E$140:$K$2771,5,0)</f>
        <v>Contracts</v>
      </c>
      <c r="Y1498" s="7" t="str">
        <f>VLOOKUP($S1498,Mapping!$E$140:$K$2771,7,0)</f>
        <v>ENDirect</v>
      </c>
      <c r="Z1498" s="7" t="str">
        <f>IFERROR(HLOOKUP(X1498,'Calc|Weightings'!$K$5:$M$5,1,0),"Excl")</f>
        <v>Contracts</v>
      </c>
      <c r="AA1498" s="7" t="str">
        <f>VLOOKUP(Q1498,Mapping!$E$11:$I$96,5,0)</f>
        <v>SCS</v>
      </c>
      <c r="AC1498" s="111">
        <v>162</v>
      </c>
      <c r="AD1498" s="111" t="s">
        <v>2172</v>
      </c>
      <c r="AE1498" s="111">
        <v>520100</v>
      </c>
      <c r="AF1498" s="111" t="s">
        <v>2072</v>
      </c>
      <c r="AG1498" s="112">
        <v>772.52955999999995</v>
      </c>
      <c r="AI1498" s="7" t="str">
        <f>VLOOKUP($AC1498,Mapping!$E$11:$I$96,3,0)</f>
        <v>Augmentation</v>
      </c>
      <c r="AJ1498" s="7" t="str">
        <f>VLOOKUP($AE1498,Mapping!$E$140:$K$2771,5,0)</f>
        <v>Materials</v>
      </c>
      <c r="AK1498" s="7" t="str">
        <f>VLOOKUP($AE1498,Mapping!$E$140:$K$2771,7,0)</f>
        <v>ENDirect</v>
      </c>
      <c r="AL1498" s="7" t="str">
        <f>IFERROR(HLOOKUP(AJ1498,'Calc|Weightings'!$K$5:$M$5,1,0),"Excl")</f>
        <v>Materials</v>
      </c>
      <c r="AM1498" s="7" t="str">
        <f>VLOOKUP(AC1498,Mapping!$E$11:$I$96,5,0)</f>
        <v>SCS</v>
      </c>
      <c r="AO1498" s="134">
        <v>166</v>
      </c>
      <c r="AP1498" s="135" t="s">
        <v>2174</v>
      </c>
      <c r="AQ1498" s="135">
        <v>613241</v>
      </c>
      <c r="AR1498" s="135" t="s">
        <v>2083</v>
      </c>
      <c r="AS1498" s="136">
        <v>0.81189999999999996</v>
      </c>
      <c r="AU1498" s="7" t="str">
        <f>VLOOKUP($AO1498,Mapping!$E$11:$I$96,3,0)</f>
        <v>Augmentation</v>
      </c>
      <c r="AV1498" s="7" t="str">
        <f>VLOOKUP($AQ1498,Mapping!$E$140:$K$2771,5,0)</f>
        <v>Labour</v>
      </c>
      <c r="AW1498" s="7" t="str">
        <f>VLOOKUP($AQ1498,Mapping!$E$140:$K$2771,7,0)</f>
        <v>ENDirect</v>
      </c>
      <c r="AX1498" s="7" t="str">
        <f>IFERROR(HLOOKUP(AV1498,'Calc|Weightings'!$K$5:$M$5,1,0),"Excl")</f>
        <v>Labour</v>
      </c>
      <c r="AY1498" s="7" t="str">
        <f>VLOOKUP(AO1498,Mapping!$E$11:$I$96,5,0)</f>
        <v>SCS</v>
      </c>
    </row>
    <row r="1499" spans="1:51" x14ac:dyDescent="0.2">
      <c r="A1499" s="7"/>
      <c r="B1499" s="7"/>
      <c r="C1499" s="7"/>
      <c r="D1499" s="7"/>
      <c r="E1499" s="36">
        <v>152</v>
      </c>
      <c r="F1499" s="36" t="s">
        <v>2161</v>
      </c>
      <c r="G1499" s="36">
        <v>634001</v>
      </c>
      <c r="H1499" s="36" t="s">
        <v>2110</v>
      </c>
      <c r="I1499" s="37">
        <v>4.2060500000000003</v>
      </c>
      <c r="J1499" s="7"/>
      <c r="K1499" s="7" t="str">
        <f>VLOOKUP($E1499,Mapping!$E$11:$I$96,3,0)</f>
        <v>Replacement</v>
      </c>
      <c r="L1499" s="7" t="str">
        <f>VLOOKUP($G1499,Mapping!$E$140:$K$2771,5,0)</f>
        <v>Local OH</v>
      </c>
      <c r="M1499" s="7" t="str">
        <f>VLOOKUP($G1499,Mapping!$E$140:$K$2771,7,0)</f>
        <v>OH</v>
      </c>
      <c r="N1499" s="7" t="str">
        <f>IFERROR(HLOOKUP(L1499,'Calc|Weightings'!$K$5:$M$5,1,0),"Excl")</f>
        <v>Excl</v>
      </c>
      <c r="O1499" s="7" t="str">
        <f>VLOOKUP(E1499,Mapping!$E$11:$I$96,5,0)</f>
        <v>SCS</v>
      </c>
      <c r="Q1499" s="33">
        <v>162</v>
      </c>
      <c r="R1499" s="33" t="s">
        <v>2172</v>
      </c>
      <c r="S1499" s="33">
        <v>612210</v>
      </c>
      <c r="T1499" s="33" t="s">
        <v>1184</v>
      </c>
      <c r="U1499" s="34">
        <v>21.651630000000001</v>
      </c>
      <c r="V1499" s="7"/>
      <c r="W1499" s="7" t="str">
        <f>VLOOKUP($Q1499,Mapping!$E$11:$I$96,3,0)</f>
        <v>Augmentation</v>
      </c>
      <c r="X1499" s="7" t="str">
        <f>VLOOKUP($S1499,Mapping!$E$140:$K$2771,5,0)</f>
        <v>Labour</v>
      </c>
      <c r="Y1499" s="7" t="str">
        <f>VLOOKUP($S1499,Mapping!$E$140:$K$2771,7,0)</f>
        <v>ENDirect</v>
      </c>
      <c r="Z1499" s="7" t="str">
        <f>IFERROR(HLOOKUP(X1499,'Calc|Weightings'!$K$5:$M$5,1,0),"Excl")</f>
        <v>Labour</v>
      </c>
      <c r="AA1499" s="7" t="str">
        <f>VLOOKUP(Q1499,Mapping!$E$11:$I$96,5,0)</f>
        <v>SCS</v>
      </c>
      <c r="AC1499" s="111">
        <v>162</v>
      </c>
      <c r="AD1499" s="111" t="s">
        <v>2172</v>
      </c>
      <c r="AE1499" s="111">
        <v>520200</v>
      </c>
      <c r="AF1499" s="111" t="s">
        <v>2073</v>
      </c>
      <c r="AG1499" s="112">
        <v>0.91220000000000001</v>
      </c>
      <c r="AI1499" s="7" t="str">
        <f>VLOOKUP($AC1499,Mapping!$E$11:$I$96,3,0)</f>
        <v>Augmentation</v>
      </c>
      <c r="AJ1499" s="7" t="str">
        <f>VLOOKUP($AE1499,Mapping!$E$140:$K$2771,5,0)</f>
        <v>Materials</v>
      </c>
      <c r="AK1499" s="7" t="str">
        <f>VLOOKUP($AE1499,Mapping!$E$140:$K$2771,7,0)</f>
        <v>ENDirect</v>
      </c>
      <c r="AL1499" s="7" t="str">
        <f>IFERROR(HLOOKUP(AJ1499,'Calc|Weightings'!$K$5:$M$5,1,0),"Excl")</f>
        <v>Materials</v>
      </c>
      <c r="AM1499" s="7" t="str">
        <f>VLOOKUP(AC1499,Mapping!$E$11:$I$96,5,0)</f>
        <v>SCS</v>
      </c>
      <c r="AO1499" s="134">
        <v>166</v>
      </c>
      <c r="AP1499" s="135" t="s">
        <v>2174</v>
      </c>
      <c r="AQ1499" s="135">
        <v>613250</v>
      </c>
      <c r="AR1499" s="135" t="s">
        <v>2086</v>
      </c>
      <c r="AS1499" s="136">
        <v>44.410600000000002</v>
      </c>
      <c r="AU1499" s="7" t="str">
        <f>VLOOKUP($AO1499,Mapping!$E$11:$I$96,3,0)</f>
        <v>Augmentation</v>
      </c>
      <c r="AV1499" s="7" t="str">
        <f>VLOOKUP($AQ1499,Mapping!$E$140:$K$2771,5,0)</f>
        <v>Labour</v>
      </c>
      <c r="AW1499" s="7" t="str">
        <f>VLOOKUP($AQ1499,Mapping!$E$140:$K$2771,7,0)</f>
        <v>ENDirect</v>
      </c>
      <c r="AX1499" s="7" t="str">
        <f>IFERROR(HLOOKUP(AV1499,'Calc|Weightings'!$K$5:$M$5,1,0),"Excl")</f>
        <v>Labour</v>
      </c>
      <c r="AY1499" s="7" t="str">
        <f>VLOOKUP(AO1499,Mapping!$E$11:$I$96,5,0)</f>
        <v>SCS</v>
      </c>
    </row>
    <row r="1500" spans="1:51" x14ac:dyDescent="0.2">
      <c r="A1500" s="7"/>
      <c r="B1500" s="7"/>
      <c r="C1500" s="7"/>
      <c r="D1500" s="7"/>
      <c r="E1500" s="36">
        <v>152</v>
      </c>
      <c r="F1500" s="36" t="s">
        <v>2161</v>
      </c>
      <c r="G1500" s="36">
        <v>635001</v>
      </c>
      <c r="H1500" s="36" t="s">
        <v>1929</v>
      </c>
      <c r="I1500" s="37">
        <v>11.369960000000001</v>
      </c>
      <c r="J1500" s="7"/>
      <c r="K1500" s="7" t="str">
        <f>VLOOKUP($E1500,Mapping!$E$11:$I$96,3,0)</f>
        <v>Replacement</v>
      </c>
      <c r="L1500" s="7" t="str">
        <f>VLOOKUP($G1500,Mapping!$E$140:$K$2771,5,0)</f>
        <v>PNS MG</v>
      </c>
      <c r="M1500" s="7" t="str">
        <f>VLOOKUP($G1500,Mapping!$E$140:$K$2771,7,0)</f>
        <v>ENDirect</v>
      </c>
      <c r="N1500" s="7" t="str">
        <f>IFERROR(HLOOKUP(L1500,'Calc|Weightings'!$K$5:$M$5,1,0),"Excl")</f>
        <v>Excl</v>
      </c>
      <c r="O1500" s="7" t="str">
        <f>VLOOKUP(E1500,Mapping!$E$11:$I$96,5,0)</f>
        <v>SCS</v>
      </c>
      <c r="Q1500" s="33">
        <v>162</v>
      </c>
      <c r="R1500" s="33" t="s">
        <v>2172</v>
      </c>
      <c r="S1500" s="33">
        <v>613250</v>
      </c>
      <c r="T1500" s="33" t="s">
        <v>2086</v>
      </c>
      <c r="U1500" s="34">
        <v>9.1004100000000001</v>
      </c>
      <c r="V1500" s="7"/>
      <c r="W1500" s="7" t="str">
        <f>VLOOKUP($Q1500,Mapping!$E$11:$I$96,3,0)</f>
        <v>Augmentation</v>
      </c>
      <c r="X1500" s="7" t="str">
        <f>VLOOKUP($S1500,Mapping!$E$140:$K$2771,5,0)</f>
        <v>Labour</v>
      </c>
      <c r="Y1500" s="7" t="str">
        <f>VLOOKUP($S1500,Mapping!$E$140:$K$2771,7,0)</f>
        <v>ENDirect</v>
      </c>
      <c r="Z1500" s="7" t="str">
        <f>IFERROR(HLOOKUP(X1500,'Calc|Weightings'!$K$5:$M$5,1,0),"Excl")</f>
        <v>Labour</v>
      </c>
      <c r="AA1500" s="7" t="str">
        <f>VLOOKUP(Q1500,Mapping!$E$11:$I$96,5,0)</f>
        <v>SCS</v>
      </c>
      <c r="AC1500" s="111">
        <v>162</v>
      </c>
      <c r="AD1500" s="111" t="s">
        <v>2172</v>
      </c>
      <c r="AE1500" s="111">
        <v>522100</v>
      </c>
      <c r="AF1500" s="111" t="s">
        <v>2115</v>
      </c>
      <c r="AG1500" s="112">
        <v>2.3709999999999998E-2</v>
      </c>
      <c r="AI1500" s="7" t="str">
        <f>VLOOKUP($AC1500,Mapping!$E$11:$I$96,3,0)</f>
        <v>Augmentation</v>
      </c>
      <c r="AJ1500" s="7" t="str">
        <f>VLOOKUP($AE1500,Mapping!$E$140:$K$2771,5,0)</f>
        <v>Materials</v>
      </c>
      <c r="AK1500" s="7" t="str">
        <f>VLOOKUP($AE1500,Mapping!$E$140:$K$2771,7,0)</f>
        <v>ENDirect</v>
      </c>
      <c r="AL1500" s="7" t="str">
        <f>IFERROR(HLOOKUP(AJ1500,'Calc|Weightings'!$K$5:$M$5,1,0),"Excl")</f>
        <v>Materials</v>
      </c>
      <c r="AM1500" s="7" t="str">
        <f>VLOOKUP(AC1500,Mapping!$E$11:$I$96,5,0)</f>
        <v>SCS</v>
      </c>
      <c r="AO1500" s="134">
        <v>166</v>
      </c>
      <c r="AP1500" s="135" t="s">
        <v>2174</v>
      </c>
      <c r="AQ1500" s="135">
        <v>613260</v>
      </c>
      <c r="AR1500" s="135" t="s">
        <v>2090</v>
      </c>
      <c r="AS1500" s="136">
        <v>3.34368</v>
      </c>
      <c r="AU1500" s="7" t="str">
        <f>VLOOKUP($AO1500,Mapping!$E$11:$I$96,3,0)</f>
        <v>Augmentation</v>
      </c>
      <c r="AV1500" s="7" t="str">
        <f>VLOOKUP($AQ1500,Mapping!$E$140:$K$2771,5,0)</f>
        <v>Labour</v>
      </c>
      <c r="AW1500" s="7" t="str">
        <f>VLOOKUP($AQ1500,Mapping!$E$140:$K$2771,7,0)</f>
        <v>ENDirect</v>
      </c>
      <c r="AX1500" s="7" t="str">
        <f>IFERROR(HLOOKUP(AV1500,'Calc|Weightings'!$K$5:$M$5,1,0),"Excl")</f>
        <v>Labour</v>
      </c>
      <c r="AY1500" s="7" t="str">
        <f>VLOOKUP(AO1500,Mapping!$E$11:$I$96,5,0)</f>
        <v>SCS</v>
      </c>
    </row>
    <row r="1501" spans="1:51" x14ac:dyDescent="0.2">
      <c r="A1501" s="7"/>
      <c r="B1501" s="7"/>
      <c r="C1501" s="7"/>
      <c r="D1501" s="7"/>
      <c r="E1501" s="36">
        <v>152</v>
      </c>
      <c r="F1501" s="36" t="s">
        <v>2161</v>
      </c>
      <c r="G1501" s="36">
        <v>636001</v>
      </c>
      <c r="H1501" s="36" t="s">
        <v>2111</v>
      </c>
      <c r="I1501" s="37">
        <v>1.7761199999999999</v>
      </c>
      <c r="J1501" s="7"/>
      <c r="K1501" s="7" t="str">
        <f>VLOOKUP($E1501,Mapping!$E$11:$I$96,3,0)</f>
        <v>Replacement</v>
      </c>
      <c r="L1501" s="7" t="str">
        <f>VLOOKUP($G1501,Mapping!$E$140:$K$2771,5,0)</f>
        <v>System Control OH</v>
      </c>
      <c r="M1501" s="7" t="str">
        <f>VLOOKUP($G1501,Mapping!$E$140:$K$2771,7,0)</f>
        <v>OH</v>
      </c>
      <c r="N1501" s="7" t="str">
        <f>IFERROR(HLOOKUP(L1501,'Calc|Weightings'!$K$5:$M$5,1,0),"Excl")</f>
        <v>Excl</v>
      </c>
      <c r="O1501" s="7" t="str">
        <f>VLOOKUP(E1501,Mapping!$E$11:$I$96,5,0)</f>
        <v>SCS</v>
      </c>
      <c r="Q1501" s="33">
        <v>162</v>
      </c>
      <c r="R1501" s="33" t="s">
        <v>2172</v>
      </c>
      <c r="S1501" s="33">
        <v>613260</v>
      </c>
      <c r="T1501" s="33" t="s">
        <v>2090</v>
      </c>
      <c r="U1501" s="34">
        <v>127.133</v>
      </c>
      <c r="V1501" s="7"/>
      <c r="W1501" s="7" t="str">
        <f>VLOOKUP($Q1501,Mapping!$E$11:$I$96,3,0)</f>
        <v>Augmentation</v>
      </c>
      <c r="X1501" s="7" t="str">
        <f>VLOOKUP($S1501,Mapping!$E$140:$K$2771,5,0)</f>
        <v>Labour</v>
      </c>
      <c r="Y1501" s="7" t="str">
        <f>VLOOKUP($S1501,Mapping!$E$140:$K$2771,7,0)</f>
        <v>ENDirect</v>
      </c>
      <c r="Z1501" s="7" t="str">
        <f>IFERROR(HLOOKUP(X1501,'Calc|Weightings'!$K$5:$M$5,1,0),"Excl")</f>
        <v>Labour</v>
      </c>
      <c r="AA1501" s="7" t="str">
        <f>VLOOKUP(Q1501,Mapping!$E$11:$I$96,5,0)</f>
        <v>SCS</v>
      </c>
      <c r="AC1501" s="111">
        <v>162</v>
      </c>
      <c r="AD1501" s="111" t="s">
        <v>2172</v>
      </c>
      <c r="AE1501" s="111">
        <v>522200</v>
      </c>
      <c r="AF1501" s="111" t="s">
        <v>2121</v>
      </c>
      <c r="AG1501" s="112">
        <v>4.4999999999999997E-3</v>
      </c>
      <c r="AI1501" s="7" t="str">
        <f>VLOOKUP($AC1501,Mapping!$E$11:$I$96,3,0)</f>
        <v>Augmentation</v>
      </c>
      <c r="AJ1501" s="7" t="str">
        <f>VLOOKUP($AE1501,Mapping!$E$140:$K$2771,5,0)</f>
        <v>Materials</v>
      </c>
      <c r="AK1501" s="7" t="str">
        <f>VLOOKUP($AE1501,Mapping!$E$140:$K$2771,7,0)</f>
        <v>ENDirect</v>
      </c>
      <c r="AL1501" s="7" t="str">
        <f>IFERROR(HLOOKUP(AJ1501,'Calc|Weightings'!$K$5:$M$5,1,0),"Excl")</f>
        <v>Materials</v>
      </c>
      <c r="AM1501" s="7" t="str">
        <f>VLOOKUP(AC1501,Mapping!$E$11:$I$96,5,0)</f>
        <v>SCS</v>
      </c>
      <c r="AO1501" s="134">
        <v>166</v>
      </c>
      <c r="AP1501" s="135" t="s">
        <v>2174</v>
      </c>
      <c r="AQ1501" s="135">
        <v>613280</v>
      </c>
      <c r="AR1501" s="135" t="s">
        <v>1342</v>
      </c>
      <c r="AS1501" s="136">
        <v>13.314629999999999</v>
      </c>
      <c r="AU1501" s="7" t="str">
        <f>VLOOKUP($AO1501,Mapping!$E$11:$I$96,3,0)</f>
        <v>Augmentation</v>
      </c>
      <c r="AV1501" s="7" t="str">
        <f>VLOOKUP($AQ1501,Mapping!$E$140:$K$2771,5,0)</f>
        <v>Labour</v>
      </c>
      <c r="AW1501" s="7" t="str">
        <f>VLOOKUP($AQ1501,Mapping!$E$140:$K$2771,7,0)</f>
        <v>ENDirect</v>
      </c>
      <c r="AX1501" s="7" t="str">
        <f>IFERROR(HLOOKUP(AV1501,'Calc|Weightings'!$K$5:$M$5,1,0),"Excl")</f>
        <v>Labour</v>
      </c>
      <c r="AY1501" s="7" t="str">
        <f>VLOOKUP(AO1501,Mapping!$E$11:$I$96,5,0)</f>
        <v>SCS</v>
      </c>
    </row>
    <row r="1502" spans="1:51" x14ac:dyDescent="0.2">
      <c r="A1502" s="7"/>
      <c r="B1502" s="7"/>
      <c r="C1502" s="7"/>
      <c r="D1502" s="7"/>
      <c r="E1502" s="36">
        <v>152</v>
      </c>
      <c r="F1502" s="36" t="s">
        <v>2161</v>
      </c>
      <c r="G1502" s="36">
        <v>639000</v>
      </c>
      <c r="H1502" s="36" t="s">
        <v>2112</v>
      </c>
      <c r="I1502" s="37">
        <v>6.8290800000000003</v>
      </c>
      <c r="J1502" s="7"/>
      <c r="K1502" s="7" t="str">
        <f>VLOOKUP($E1502,Mapping!$E$11:$I$96,3,0)</f>
        <v>Replacement</v>
      </c>
      <c r="L1502" s="7" t="str">
        <f>VLOOKUP($G1502,Mapping!$E$140:$K$2771,5,0)</f>
        <v>PNS Corporate OH</v>
      </c>
      <c r="M1502" s="7" t="str">
        <f>VLOOKUP($G1502,Mapping!$E$140:$K$2771,7,0)</f>
        <v>OH</v>
      </c>
      <c r="N1502" s="7" t="str">
        <f>IFERROR(HLOOKUP(L1502,'Calc|Weightings'!$K$5:$M$5,1,0),"Excl")</f>
        <v>Excl</v>
      </c>
      <c r="O1502" s="7" t="str">
        <f>VLOOKUP(E1502,Mapping!$E$11:$I$96,5,0)</f>
        <v>SCS</v>
      </c>
      <c r="Q1502" s="33">
        <v>162</v>
      </c>
      <c r="R1502" s="33" t="s">
        <v>2172</v>
      </c>
      <c r="S1502" s="33">
        <v>613261</v>
      </c>
      <c r="T1502" s="33" t="s">
        <v>2091</v>
      </c>
      <c r="U1502" s="34">
        <v>21.949549999999999</v>
      </c>
      <c r="V1502" s="7"/>
      <c r="W1502" s="7" t="str">
        <f>VLOOKUP($Q1502,Mapping!$E$11:$I$96,3,0)</f>
        <v>Augmentation</v>
      </c>
      <c r="X1502" s="7" t="str">
        <f>VLOOKUP($S1502,Mapping!$E$140:$K$2771,5,0)</f>
        <v>Labour</v>
      </c>
      <c r="Y1502" s="7" t="str">
        <f>VLOOKUP($S1502,Mapping!$E$140:$K$2771,7,0)</f>
        <v>ENDirect</v>
      </c>
      <c r="Z1502" s="7" t="str">
        <f>IFERROR(HLOOKUP(X1502,'Calc|Weightings'!$K$5:$M$5,1,0),"Excl")</f>
        <v>Labour</v>
      </c>
      <c r="AA1502" s="7" t="str">
        <f>VLOOKUP(Q1502,Mapping!$E$11:$I$96,5,0)</f>
        <v>SCS</v>
      </c>
      <c r="AC1502" s="111">
        <v>162</v>
      </c>
      <c r="AD1502" s="111" t="s">
        <v>2172</v>
      </c>
      <c r="AE1502" s="111">
        <v>523100</v>
      </c>
      <c r="AF1502" s="111" t="s">
        <v>2074</v>
      </c>
      <c r="AG1502" s="112">
        <v>27.423310000000001</v>
      </c>
      <c r="AI1502" s="7" t="str">
        <f>VLOOKUP($AC1502,Mapping!$E$11:$I$96,3,0)</f>
        <v>Augmentation</v>
      </c>
      <c r="AJ1502" s="7" t="str">
        <f>VLOOKUP($AE1502,Mapping!$E$140:$K$2771,5,0)</f>
        <v>Materials</v>
      </c>
      <c r="AK1502" s="7" t="str">
        <f>VLOOKUP($AE1502,Mapping!$E$140:$K$2771,7,0)</f>
        <v>ENDirect</v>
      </c>
      <c r="AL1502" s="7" t="str">
        <f>IFERROR(HLOOKUP(AJ1502,'Calc|Weightings'!$K$5:$M$5,1,0),"Excl")</f>
        <v>Materials</v>
      </c>
      <c r="AM1502" s="7" t="str">
        <f>VLOOKUP(AC1502,Mapping!$E$11:$I$96,5,0)</f>
        <v>SCS</v>
      </c>
      <c r="AO1502" s="134">
        <v>166</v>
      </c>
      <c r="AP1502" s="135" t="s">
        <v>2174</v>
      </c>
      <c r="AQ1502" s="135">
        <v>613290</v>
      </c>
      <c r="AR1502" s="135" t="s">
        <v>2093</v>
      </c>
      <c r="AS1502" s="136">
        <v>21.95805</v>
      </c>
      <c r="AU1502" s="7" t="str">
        <f>VLOOKUP($AO1502,Mapping!$E$11:$I$96,3,0)</f>
        <v>Augmentation</v>
      </c>
      <c r="AV1502" s="7" t="str">
        <f>VLOOKUP($AQ1502,Mapping!$E$140:$K$2771,5,0)</f>
        <v>Labour</v>
      </c>
      <c r="AW1502" s="7" t="str">
        <f>VLOOKUP($AQ1502,Mapping!$E$140:$K$2771,7,0)</f>
        <v>ENDirect</v>
      </c>
      <c r="AX1502" s="7" t="str">
        <f>IFERROR(HLOOKUP(AV1502,'Calc|Weightings'!$K$5:$M$5,1,0),"Excl")</f>
        <v>Labour</v>
      </c>
      <c r="AY1502" s="7" t="str">
        <f>VLOOKUP(AO1502,Mapping!$E$11:$I$96,5,0)</f>
        <v>SCS</v>
      </c>
    </row>
    <row r="1503" spans="1:51" x14ac:dyDescent="0.2">
      <c r="A1503" s="7"/>
      <c r="B1503" s="7"/>
      <c r="C1503" s="7"/>
      <c r="D1503" s="7"/>
      <c r="E1503" s="36">
        <v>152</v>
      </c>
      <c r="F1503" s="36" t="s">
        <v>2161</v>
      </c>
      <c r="G1503" s="36">
        <v>639050</v>
      </c>
      <c r="H1503" s="36" t="s">
        <v>2113</v>
      </c>
      <c r="I1503" s="37">
        <v>0.99517</v>
      </c>
      <c r="J1503" s="7"/>
      <c r="K1503" s="7" t="str">
        <f>VLOOKUP($E1503,Mapping!$E$11:$I$96,3,0)</f>
        <v>Replacement</v>
      </c>
      <c r="L1503" s="7" t="str">
        <f>VLOOKUP($G1503,Mapping!$E$140:$K$2771,5,0)</f>
        <v>PNS Fleet &amp; Property OH</v>
      </c>
      <c r="M1503" s="7" t="str">
        <f>VLOOKUP($G1503,Mapping!$E$140:$K$2771,7,0)</f>
        <v>OH</v>
      </c>
      <c r="N1503" s="7" t="str">
        <f>IFERROR(HLOOKUP(L1503,'Calc|Weightings'!$K$5:$M$5,1,0),"Excl")</f>
        <v>Excl</v>
      </c>
      <c r="O1503" s="7" t="str">
        <f>VLOOKUP(E1503,Mapping!$E$11:$I$96,5,0)</f>
        <v>SCS</v>
      </c>
      <c r="Q1503" s="33">
        <v>162</v>
      </c>
      <c r="R1503" s="33" t="s">
        <v>2172</v>
      </c>
      <c r="S1503" s="33">
        <v>613280</v>
      </c>
      <c r="T1503" s="33" t="s">
        <v>1342</v>
      </c>
      <c r="U1503" s="34">
        <v>66.934979999999996</v>
      </c>
      <c r="V1503" s="7"/>
      <c r="W1503" s="7" t="str">
        <f>VLOOKUP($Q1503,Mapping!$E$11:$I$96,3,0)</f>
        <v>Augmentation</v>
      </c>
      <c r="X1503" s="7" t="str">
        <f>VLOOKUP($S1503,Mapping!$E$140:$K$2771,5,0)</f>
        <v>Labour</v>
      </c>
      <c r="Y1503" s="7" t="str">
        <f>VLOOKUP($S1503,Mapping!$E$140:$K$2771,7,0)</f>
        <v>ENDirect</v>
      </c>
      <c r="Z1503" s="7" t="str">
        <f>IFERROR(HLOOKUP(X1503,'Calc|Weightings'!$K$5:$M$5,1,0),"Excl")</f>
        <v>Labour</v>
      </c>
      <c r="AA1503" s="7" t="str">
        <f>VLOOKUP(Q1503,Mapping!$E$11:$I$96,5,0)</f>
        <v>SCS</v>
      </c>
      <c r="AC1503" s="111">
        <v>162</v>
      </c>
      <c r="AD1503" s="111" t="s">
        <v>2172</v>
      </c>
      <c r="AE1503" s="111">
        <v>523300</v>
      </c>
      <c r="AF1503" s="111" t="s">
        <v>2075</v>
      </c>
      <c r="AG1503" s="112">
        <v>0.34886</v>
      </c>
      <c r="AI1503" s="7" t="str">
        <f>VLOOKUP($AC1503,Mapping!$E$11:$I$96,3,0)</f>
        <v>Augmentation</v>
      </c>
      <c r="AJ1503" s="7" t="str">
        <f>VLOOKUP($AE1503,Mapping!$E$140:$K$2771,5,0)</f>
        <v>Materials</v>
      </c>
      <c r="AK1503" s="7" t="str">
        <f>VLOOKUP($AE1503,Mapping!$E$140:$K$2771,7,0)</f>
        <v>ENDirect</v>
      </c>
      <c r="AL1503" s="7" t="str">
        <f>IFERROR(HLOOKUP(AJ1503,'Calc|Weightings'!$K$5:$M$5,1,0),"Excl")</f>
        <v>Materials</v>
      </c>
      <c r="AM1503" s="7" t="str">
        <f>VLOOKUP(AC1503,Mapping!$E$11:$I$96,5,0)</f>
        <v>SCS</v>
      </c>
      <c r="AO1503" s="134">
        <v>166</v>
      </c>
      <c r="AP1503" s="135" t="s">
        <v>2174</v>
      </c>
      <c r="AQ1503" s="135">
        <v>613310</v>
      </c>
      <c r="AR1503" s="135" t="s">
        <v>2095</v>
      </c>
      <c r="AS1503" s="136">
        <v>14.67933</v>
      </c>
      <c r="AU1503" s="7" t="str">
        <f>VLOOKUP($AO1503,Mapping!$E$11:$I$96,3,0)</f>
        <v>Augmentation</v>
      </c>
      <c r="AV1503" s="7" t="str">
        <f>VLOOKUP($AQ1503,Mapping!$E$140:$K$2771,5,0)</f>
        <v>Labour</v>
      </c>
      <c r="AW1503" s="7" t="str">
        <f>VLOOKUP($AQ1503,Mapping!$E$140:$K$2771,7,0)</f>
        <v>ENDirect</v>
      </c>
      <c r="AX1503" s="7" t="str">
        <f>IFERROR(HLOOKUP(AV1503,'Calc|Weightings'!$K$5:$M$5,1,0),"Excl")</f>
        <v>Labour</v>
      </c>
      <c r="AY1503" s="7" t="str">
        <f>VLOOKUP(AO1503,Mapping!$E$11:$I$96,5,0)</f>
        <v>SCS</v>
      </c>
    </row>
    <row r="1504" spans="1:51" x14ac:dyDescent="0.2">
      <c r="A1504" s="7"/>
      <c r="B1504" s="7"/>
      <c r="C1504" s="7"/>
      <c r="D1504" s="7"/>
      <c r="E1504" s="36">
        <v>153</v>
      </c>
      <c r="F1504" s="36" t="s">
        <v>2162</v>
      </c>
      <c r="G1504" s="36">
        <v>624589</v>
      </c>
      <c r="H1504" s="36" t="s">
        <v>1868</v>
      </c>
      <c r="I1504" s="37">
        <v>55.17568</v>
      </c>
      <c r="J1504" s="7"/>
      <c r="K1504" s="7" t="s">
        <v>2299</v>
      </c>
      <c r="L1504" s="7" t="str">
        <f>VLOOKUP($G1504,Mapping!$E$140:$K$2771,5,0)</f>
        <v>Labour (50%)/ Contracts (50%)</v>
      </c>
      <c r="M1504" s="7" t="str">
        <f>VLOOKUP($G1504,Mapping!$E$140:$K$2771,7,0)</f>
        <v>ENDirect</v>
      </c>
      <c r="N1504" s="7" t="str">
        <f>IFERROR(HLOOKUP(L1504,'Calc|Weightings'!$K$5:$M$5,1,0),"Excl")</f>
        <v>Excl</v>
      </c>
      <c r="O1504" s="7" t="s">
        <v>28</v>
      </c>
      <c r="Q1504" s="33">
        <v>162</v>
      </c>
      <c r="R1504" s="33" t="s">
        <v>2172</v>
      </c>
      <c r="S1504" s="33">
        <v>613290</v>
      </c>
      <c r="T1504" s="33" t="s">
        <v>2093</v>
      </c>
      <c r="U1504" s="34">
        <v>594.30233999999996</v>
      </c>
      <c r="V1504" s="7"/>
      <c r="W1504" s="7" t="str">
        <f>VLOOKUP($Q1504,Mapping!$E$11:$I$96,3,0)</f>
        <v>Augmentation</v>
      </c>
      <c r="X1504" s="7" t="str">
        <f>VLOOKUP($S1504,Mapping!$E$140:$K$2771,5,0)</f>
        <v>Labour</v>
      </c>
      <c r="Y1504" s="7" t="str">
        <f>VLOOKUP($S1504,Mapping!$E$140:$K$2771,7,0)</f>
        <v>ENDirect</v>
      </c>
      <c r="Z1504" s="7" t="str">
        <f>IFERROR(HLOOKUP(X1504,'Calc|Weightings'!$K$5:$M$5,1,0),"Excl")</f>
        <v>Labour</v>
      </c>
      <c r="AA1504" s="7" t="str">
        <f>VLOOKUP(Q1504,Mapping!$E$11:$I$96,5,0)</f>
        <v>SCS</v>
      </c>
      <c r="AC1504" s="111">
        <v>162</v>
      </c>
      <c r="AD1504" s="111" t="s">
        <v>2172</v>
      </c>
      <c r="AE1504" s="111">
        <v>531000</v>
      </c>
      <c r="AF1504" s="111" t="s">
        <v>242</v>
      </c>
      <c r="AG1504" s="112">
        <v>3.69191</v>
      </c>
      <c r="AI1504" s="7" t="str">
        <f>VLOOKUP($AC1504,Mapping!$E$11:$I$96,3,0)</f>
        <v>Augmentation</v>
      </c>
      <c r="AJ1504" s="7" t="str">
        <f>VLOOKUP($AE1504,Mapping!$E$140:$K$2771,5,0)</f>
        <v>Contracts</v>
      </c>
      <c r="AK1504" s="7" t="str">
        <f>VLOOKUP($AE1504,Mapping!$E$140:$K$2771,7,0)</f>
        <v>ENDirect</v>
      </c>
      <c r="AL1504" s="7" t="str">
        <f>IFERROR(HLOOKUP(AJ1504,'Calc|Weightings'!$K$5:$M$5,1,0),"Excl")</f>
        <v>Contracts</v>
      </c>
      <c r="AM1504" s="7" t="str">
        <f>VLOOKUP(AC1504,Mapping!$E$11:$I$96,5,0)</f>
        <v>SCS</v>
      </c>
      <c r="AO1504" s="134">
        <v>166</v>
      </c>
      <c r="AP1504" s="135" t="s">
        <v>2174</v>
      </c>
      <c r="AQ1504" s="135">
        <v>613311</v>
      </c>
      <c r="AR1504" s="135" t="s">
        <v>2116</v>
      </c>
      <c r="AS1504" s="136">
        <v>2.1958799999999998</v>
      </c>
      <c r="AU1504" s="7" t="str">
        <f>VLOOKUP($AO1504,Mapping!$E$11:$I$96,3,0)</f>
        <v>Augmentation</v>
      </c>
      <c r="AV1504" s="7" t="str">
        <f>VLOOKUP($AQ1504,Mapping!$E$140:$K$2771,5,0)</f>
        <v>Labour</v>
      </c>
      <c r="AW1504" s="7" t="str">
        <f>VLOOKUP($AQ1504,Mapping!$E$140:$K$2771,7,0)</f>
        <v>ENDirect</v>
      </c>
      <c r="AX1504" s="7" t="str">
        <f>IFERROR(HLOOKUP(AV1504,'Calc|Weightings'!$K$5:$M$5,1,0),"Excl")</f>
        <v>Labour</v>
      </c>
      <c r="AY1504" s="7" t="str">
        <f>VLOOKUP(AO1504,Mapping!$E$11:$I$96,5,0)</f>
        <v>SCS</v>
      </c>
    </row>
    <row r="1505" spans="1:51" x14ac:dyDescent="0.2">
      <c r="A1505" s="7"/>
      <c r="B1505" s="7"/>
      <c r="C1505" s="7"/>
      <c r="D1505" s="7"/>
      <c r="E1505" s="36">
        <v>153</v>
      </c>
      <c r="F1505" s="36" t="s">
        <v>2162</v>
      </c>
      <c r="G1505" s="36">
        <v>624591</v>
      </c>
      <c r="H1505" s="36" t="s">
        <v>1868</v>
      </c>
      <c r="I1505" s="37">
        <v>612.73379999999997</v>
      </c>
      <c r="J1505" s="7"/>
      <c r="K1505" s="7" t="s">
        <v>2299</v>
      </c>
      <c r="L1505" s="7" t="str">
        <f>VLOOKUP($G1505,Mapping!$E$140:$K$2771,5,0)</f>
        <v>Contracts</v>
      </c>
      <c r="M1505" s="7" t="str">
        <f>VLOOKUP($G1505,Mapping!$E$140:$K$2771,7,0)</f>
        <v>ENDirect</v>
      </c>
      <c r="N1505" s="7" t="str">
        <f>IFERROR(HLOOKUP(L1505,'Calc|Weightings'!$K$5:$M$5,1,0),"Excl")</f>
        <v>Contracts</v>
      </c>
      <c r="O1505" s="7" t="s">
        <v>28</v>
      </c>
      <c r="Q1505" s="33">
        <v>162</v>
      </c>
      <c r="R1505" s="33" t="s">
        <v>2172</v>
      </c>
      <c r="S1505" s="33">
        <v>613298</v>
      </c>
      <c r="T1505" s="33" t="s">
        <v>2122</v>
      </c>
      <c r="U1505" s="34">
        <v>286.92860000000002</v>
      </c>
      <c r="V1505" s="7"/>
      <c r="W1505" s="7" t="str">
        <f>VLOOKUP($Q1505,Mapping!$E$11:$I$96,3,0)</f>
        <v>Augmentation</v>
      </c>
      <c r="X1505" s="7" t="str">
        <f>VLOOKUP($S1505,Mapping!$E$140:$K$2771,5,0)</f>
        <v>Labour</v>
      </c>
      <c r="Y1505" s="7" t="str">
        <f>VLOOKUP($S1505,Mapping!$E$140:$K$2771,7,0)</f>
        <v>ENDirect</v>
      </c>
      <c r="Z1505" s="7" t="str">
        <f>IFERROR(HLOOKUP(X1505,'Calc|Weightings'!$K$5:$M$5,1,0),"Excl")</f>
        <v>Labour</v>
      </c>
      <c r="AA1505" s="7" t="str">
        <f>VLOOKUP(Q1505,Mapping!$E$11:$I$96,5,0)</f>
        <v>SCS</v>
      </c>
      <c r="AC1505" s="111">
        <v>162</v>
      </c>
      <c r="AD1505" s="111" t="s">
        <v>2172</v>
      </c>
      <c r="AE1505" s="111">
        <v>531020</v>
      </c>
      <c r="AF1505" s="111" t="s">
        <v>219</v>
      </c>
      <c r="AG1505" s="112">
        <v>32.842039999999997</v>
      </c>
      <c r="AI1505" s="7" t="str">
        <f>VLOOKUP($AC1505,Mapping!$E$11:$I$96,3,0)</f>
        <v>Augmentation</v>
      </c>
      <c r="AJ1505" s="7" t="str">
        <f>VLOOKUP($AE1505,Mapping!$E$140:$K$2771,5,0)</f>
        <v>Labour</v>
      </c>
      <c r="AK1505" s="7" t="str">
        <f>VLOOKUP($AE1505,Mapping!$E$140:$K$2771,7,0)</f>
        <v>ENDirect</v>
      </c>
      <c r="AL1505" s="7" t="str">
        <f>IFERROR(HLOOKUP(AJ1505,'Calc|Weightings'!$K$5:$M$5,1,0),"Excl")</f>
        <v>Labour</v>
      </c>
      <c r="AM1505" s="7" t="str">
        <f>VLOOKUP(AC1505,Mapping!$E$11:$I$96,5,0)</f>
        <v>SCS</v>
      </c>
      <c r="AO1505" s="134">
        <v>166</v>
      </c>
      <c r="AP1505" s="135" t="s">
        <v>2174</v>
      </c>
      <c r="AQ1505" s="135">
        <v>613360</v>
      </c>
      <c r="AR1505" s="135" t="s">
        <v>2097</v>
      </c>
      <c r="AS1505" s="136">
        <v>2.1902499999999998</v>
      </c>
      <c r="AU1505" s="7" t="str">
        <f>VLOOKUP($AO1505,Mapping!$E$11:$I$96,3,0)</f>
        <v>Augmentation</v>
      </c>
      <c r="AV1505" s="7" t="str">
        <f>VLOOKUP($AQ1505,Mapping!$E$140:$K$2771,5,0)</f>
        <v>Labour</v>
      </c>
      <c r="AW1505" s="7" t="str">
        <f>VLOOKUP($AQ1505,Mapping!$E$140:$K$2771,7,0)</f>
        <v>ENDirect</v>
      </c>
      <c r="AX1505" s="7" t="str">
        <f>IFERROR(HLOOKUP(AV1505,'Calc|Weightings'!$K$5:$M$5,1,0),"Excl")</f>
        <v>Labour</v>
      </c>
      <c r="AY1505" s="7" t="str">
        <f>VLOOKUP(AO1505,Mapping!$E$11:$I$96,5,0)</f>
        <v>SCS</v>
      </c>
    </row>
    <row r="1506" spans="1:51" x14ac:dyDescent="0.2">
      <c r="A1506" s="7"/>
      <c r="B1506" s="7"/>
      <c r="C1506" s="7"/>
      <c r="D1506" s="7"/>
      <c r="E1506" s="36">
        <v>153</v>
      </c>
      <c r="F1506" s="36" t="s">
        <v>2162</v>
      </c>
      <c r="G1506" s="36">
        <v>624592</v>
      </c>
      <c r="H1506" s="36" t="s">
        <v>1869</v>
      </c>
      <c r="I1506" s="37">
        <v>438.6816</v>
      </c>
      <c r="J1506" s="7"/>
      <c r="K1506" s="7" t="s">
        <v>2299</v>
      </c>
      <c r="L1506" s="7" t="str">
        <f>VLOOKUP($G1506,Mapping!$E$140:$K$2771,5,0)</f>
        <v>Labour (50%)/ Contracts (50%)</v>
      </c>
      <c r="M1506" s="7" t="str">
        <f>VLOOKUP($G1506,Mapping!$E$140:$K$2771,7,0)</f>
        <v>ENDirect</v>
      </c>
      <c r="N1506" s="7" t="str">
        <f>IFERROR(HLOOKUP(L1506,'Calc|Weightings'!$K$5:$M$5,1,0),"Excl")</f>
        <v>Excl</v>
      </c>
      <c r="O1506" s="7" t="s">
        <v>28</v>
      </c>
      <c r="Q1506" s="33">
        <v>162</v>
      </c>
      <c r="R1506" s="33" t="s">
        <v>2172</v>
      </c>
      <c r="S1506" s="33">
        <v>613310</v>
      </c>
      <c r="T1506" s="33" t="s">
        <v>2095</v>
      </c>
      <c r="U1506" s="34">
        <v>43.134169999999997</v>
      </c>
      <c r="V1506" s="7"/>
      <c r="W1506" s="7" t="str">
        <f>VLOOKUP($Q1506,Mapping!$E$11:$I$96,3,0)</f>
        <v>Augmentation</v>
      </c>
      <c r="X1506" s="7" t="str">
        <f>VLOOKUP($S1506,Mapping!$E$140:$K$2771,5,0)</f>
        <v>Labour</v>
      </c>
      <c r="Y1506" s="7" t="str">
        <f>VLOOKUP($S1506,Mapping!$E$140:$K$2771,7,0)</f>
        <v>ENDirect</v>
      </c>
      <c r="Z1506" s="7" t="str">
        <f>IFERROR(HLOOKUP(X1506,'Calc|Weightings'!$K$5:$M$5,1,0),"Excl")</f>
        <v>Labour</v>
      </c>
      <c r="AA1506" s="7" t="str">
        <f>VLOOKUP(Q1506,Mapping!$E$11:$I$96,5,0)</f>
        <v>SCS</v>
      </c>
      <c r="AC1506" s="111">
        <v>162</v>
      </c>
      <c r="AD1506" s="111" t="s">
        <v>2172</v>
      </c>
      <c r="AE1506" s="111">
        <v>531035</v>
      </c>
      <c r="AF1506" s="111" t="s">
        <v>244</v>
      </c>
      <c r="AG1506" s="112">
        <v>0.69</v>
      </c>
      <c r="AI1506" s="7" t="str">
        <f>VLOOKUP($AC1506,Mapping!$E$11:$I$96,3,0)</f>
        <v>Augmentation</v>
      </c>
      <c r="AJ1506" s="7" t="str">
        <f>VLOOKUP($AE1506,Mapping!$E$140:$K$2771,5,0)</f>
        <v>Labour</v>
      </c>
      <c r="AK1506" s="7" t="str">
        <f>VLOOKUP($AE1506,Mapping!$E$140:$K$2771,7,0)</f>
        <v>ENDirect</v>
      </c>
      <c r="AL1506" s="7" t="str">
        <f>IFERROR(HLOOKUP(AJ1506,'Calc|Weightings'!$K$5:$M$5,1,0),"Excl")</f>
        <v>Labour</v>
      </c>
      <c r="AM1506" s="7" t="str">
        <f>VLOOKUP(AC1506,Mapping!$E$11:$I$96,5,0)</f>
        <v>SCS</v>
      </c>
      <c r="AO1506" s="134">
        <v>166</v>
      </c>
      <c r="AP1506" s="135" t="s">
        <v>2174</v>
      </c>
      <c r="AQ1506" s="135">
        <v>613400</v>
      </c>
      <c r="AR1506" s="135" t="s">
        <v>2099</v>
      </c>
      <c r="AS1506" s="136">
        <v>4.4598399999999998</v>
      </c>
      <c r="AU1506" s="7" t="str">
        <f>VLOOKUP($AO1506,Mapping!$E$11:$I$96,3,0)</f>
        <v>Augmentation</v>
      </c>
      <c r="AV1506" s="7" t="str">
        <f>VLOOKUP($AQ1506,Mapping!$E$140:$K$2771,5,0)</f>
        <v>Labour</v>
      </c>
      <c r="AW1506" s="7" t="str">
        <f>VLOOKUP($AQ1506,Mapping!$E$140:$K$2771,7,0)</f>
        <v>ENDirect</v>
      </c>
      <c r="AX1506" s="7" t="str">
        <f>IFERROR(HLOOKUP(AV1506,'Calc|Weightings'!$K$5:$M$5,1,0),"Excl")</f>
        <v>Labour</v>
      </c>
      <c r="AY1506" s="7" t="str">
        <f>VLOOKUP(AO1506,Mapping!$E$11:$I$96,5,0)</f>
        <v>SCS</v>
      </c>
    </row>
    <row r="1507" spans="1:51" x14ac:dyDescent="0.2">
      <c r="A1507" s="7"/>
      <c r="B1507" s="7"/>
      <c r="C1507" s="7"/>
      <c r="D1507" s="7"/>
      <c r="E1507" s="36">
        <v>153</v>
      </c>
      <c r="F1507" s="36" t="s">
        <v>2162</v>
      </c>
      <c r="G1507" s="36">
        <v>633000</v>
      </c>
      <c r="H1507" s="36" t="s">
        <v>2202</v>
      </c>
      <c r="I1507" s="37">
        <v>181.31726</v>
      </c>
      <c r="J1507" s="7"/>
      <c r="K1507" s="7" t="s">
        <v>2299</v>
      </c>
      <c r="L1507" s="7" t="str">
        <f>VLOOKUP($G1507,Mapping!$E$140:$K$2771,5,0)</f>
        <v>Contracts</v>
      </c>
      <c r="M1507" s="7" t="str">
        <f>VLOOKUP($G1507,Mapping!$E$140:$K$2771,7,0)</f>
        <v>OH</v>
      </c>
      <c r="N1507" s="7" t="str">
        <f>IFERROR(HLOOKUP(L1507,'Calc|Weightings'!$K$5:$M$5,1,0),"Excl")</f>
        <v>Contracts</v>
      </c>
      <c r="O1507" s="7" t="s">
        <v>28</v>
      </c>
      <c r="Q1507" s="33">
        <v>162</v>
      </c>
      <c r="R1507" s="33" t="s">
        <v>2172</v>
      </c>
      <c r="S1507" s="33">
        <v>613311</v>
      </c>
      <c r="T1507" s="33" t="s">
        <v>2116</v>
      </c>
      <c r="U1507" s="34">
        <v>3.32551</v>
      </c>
      <c r="V1507" s="7"/>
      <c r="W1507" s="7" t="str">
        <f>VLOOKUP($Q1507,Mapping!$E$11:$I$96,3,0)</f>
        <v>Augmentation</v>
      </c>
      <c r="X1507" s="7" t="str">
        <f>VLOOKUP($S1507,Mapping!$E$140:$K$2771,5,0)</f>
        <v>Labour</v>
      </c>
      <c r="Y1507" s="7" t="str">
        <f>VLOOKUP($S1507,Mapping!$E$140:$K$2771,7,0)</f>
        <v>ENDirect</v>
      </c>
      <c r="Z1507" s="7" t="str">
        <f>IFERROR(HLOOKUP(X1507,'Calc|Weightings'!$K$5:$M$5,1,0),"Excl")</f>
        <v>Labour</v>
      </c>
      <c r="AA1507" s="7" t="str">
        <f>VLOOKUP(Q1507,Mapping!$E$11:$I$96,5,0)</f>
        <v>SCS</v>
      </c>
      <c r="AC1507" s="111">
        <v>162</v>
      </c>
      <c r="AD1507" s="111" t="s">
        <v>2172</v>
      </c>
      <c r="AE1507" s="111">
        <v>531200</v>
      </c>
      <c r="AF1507" s="111" t="s">
        <v>250</v>
      </c>
      <c r="AG1507" s="112">
        <v>47.886000000000003</v>
      </c>
      <c r="AI1507" s="7" t="str">
        <f>VLOOKUP($AC1507,Mapping!$E$11:$I$96,3,0)</f>
        <v>Augmentation</v>
      </c>
      <c r="AJ1507" s="7" t="str">
        <f>VLOOKUP($AE1507,Mapping!$E$140:$K$2771,5,0)</f>
        <v>Contracts</v>
      </c>
      <c r="AK1507" s="7" t="str">
        <f>VLOOKUP($AE1507,Mapping!$E$140:$K$2771,7,0)</f>
        <v>ENDirect</v>
      </c>
      <c r="AL1507" s="7" t="str">
        <f>IFERROR(HLOOKUP(AJ1507,'Calc|Weightings'!$K$5:$M$5,1,0),"Excl")</f>
        <v>Contracts</v>
      </c>
      <c r="AM1507" s="7" t="str">
        <f>VLOOKUP(AC1507,Mapping!$E$11:$I$96,5,0)</f>
        <v>SCS</v>
      </c>
      <c r="AO1507" s="134">
        <v>166</v>
      </c>
      <c r="AP1507" s="135" t="s">
        <v>2174</v>
      </c>
      <c r="AQ1507" s="135">
        <v>613410</v>
      </c>
      <c r="AR1507" s="135" t="s">
        <v>2100</v>
      </c>
      <c r="AS1507" s="136">
        <v>6.5850200000000001</v>
      </c>
      <c r="AU1507" s="7" t="str">
        <f>VLOOKUP($AO1507,Mapping!$E$11:$I$96,3,0)</f>
        <v>Augmentation</v>
      </c>
      <c r="AV1507" s="7" t="str">
        <f>VLOOKUP($AQ1507,Mapping!$E$140:$K$2771,5,0)</f>
        <v>Labour</v>
      </c>
      <c r="AW1507" s="7" t="str">
        <f>VLOOKUP($AQ1507,Mapping!$E$140:$K$2771,7,0)</f>
        <v>ENDirect</v>
      </c>
      <c r="AX1507" s="7" t="str">
        <f>IFERROR(HLOOKUP(AV1507,'Calc|Weightings'!$K$5:$M$5,1,0),"Excl")</f>
        <v>Labour</v>
      </c>
      <c r="AY1507" s="7" t="str">
        <f>VLOOKUP(AO1507,Mapping!$E$11:$I$96,5,0)</f>
        <v>SCS</v>
      </c>
    </row>
    <row r="1508" spans="1:51" x14ac:dyDescent="0.2">
      <c r="A1508" s="7"/>
      <c r="B1508" s="7"/>
      <c r="C1508" s="7"/>
      <c r="D1508" s="7"/>
      <c r="E1508" s="36">
        <v>153</v>
      </c>
      <c r="F1508" s="36" t="s">
        <v>2162</v>
      </c>
      <c r="G1508" s="36">
        <v>638000</v>
      </c>
      <c r="H1508" s="36" t="s">
        <v>1147</v>
      </c>
      <c r="I1508" s="37">
        <v>30.805910000000001</v>
      </c>
      <c r="J1508" s="7"/>
      <c r="K1508" s="7" t="s">
        <v>2299</v>
      </c>
      <c r="L1508" s="7" t="str">
        <f>VLOOKUP($G1508,Mapping!$E$140:$K$2771,5,0)</f>
        <v>CHEDS AMI BAU MG</v>
      </c>
      <c r="M1508" s="7" t="str">
        <f>VLOOKUP($G1508,Mapping!$E$140:$K$2771,7,0)</f>
        <v>ENDirect</v>
      </c>
      <c r="N1508" s="7" t="str">
        <f>IFERROR(HLOOKUP(L1508,'Calc|Weightings'!$K$5:$M$5,1,0),"Excl")</f>
        <v>Excl</v>
      </c>
      <c r="O1508" s="7" t="s">
        <v>28</v>
      </c>
      <c r="Q1508" s="33">
        <v>162</v>
      </c>
      <c r="R1508" s="33" t="s">
        <v>2172</v>
      </c>
      <c r="S1508" s="33">
        <v>613350</v>
      </c>
      <c r="T1508" s="33" t="s">
        <v>2096</v>
      </c>
      <c r="U1508" s="34">
        <v>8.8221299999999996</v>
      </c>
      <c r="V1508" s="7"/>
      <c r="W1508" s="7" t="str">
        <f>VLOOKUP($Q1508,Mapping!$E$11:$I$96,3,0)</f>
        <v>Augmentation</v>
      </c>
      <c r="X1508" s="7" t="str">
        <f>VLOOKUP($S1508,Mapping!$E$140:$K$2771,5,0)</f>
        <v>Labour</v>
      </c>
      <c r="Y1508" s="7" t="str">
        <f>VLOOKUP($S1508,Mapping!$E$140:$K$2771,7,0)</f>
        <v>ENDirect</v>
      </c>
      <c r="Z1508" s="7" t="str">
        <f>IFERROR(HLOOKUP(X1508,'Calc|Weightings'!$K$5:$M$5,1,0),"Excl")</f>
        <v>Labour</v>
      </c>
      <c r="AA1508" s="7" t="str">
        <f>VLOOKUP(Q1508,Mapping!$E$11:$I$96,5,0)</f>
        <v>SCS</v>
      </c>
      <c r="AC1508" s="111">
        <v>162</v>
      </c>
      <c r="AD1508" s="111" t="s">
        <v>2172</v>
      </c>
      <c r="AE1508" s="111">
        <v>531201</v>
      </c>
      <c r="AF1508" s="111" t="s">
        <v>251</v>
      </c>
      <c r="AG1508" s="112">
        <v>22.408899999999999</v>
      </c>
      <c r="AI1508" s="7" t="str">
        <f>VLOOKUP($AC1508,Mapping!$E$11:$I$96,3,0)</f>
        <v>Augmentation</v>
      </c>
      <c r="AJ1508" s="7" t="str">
        <f>VLOOKUP($AE1508,Mapping!$E$140:$K$2771,5,0)</f>
        <v>Contracts</v>
      </c>
      <c r="AK1508" s="7" t="str">
        <f>VLOOKUP($AE1508,Mapping!$E$140:$K$2771,7,0)</f>
        <v>ENDirect</v>
      </c>
      <c r="AL1508" s="7" t="str">
        <f>IFERROR(HLOOKUP(AJ1508,'Calc|Weightings'!$K$5:$M$5,1,0),"Excl")</f>
        <v>Contracts</v>
      </c>
      <c r="AM1508" s="7" t="str">
        <f>VLOOKUP(AC1508,Mapping!$E$11:$I$96,5,0)</f>
        <v>SCS</v>
      </c>
      <c r="AO1508" s="134">
        <v>166</v>
      </c>
      <c r="AP1508" s="135" t="s">
        <v>2174</v>
      </c>
      <c r="AQ1508" s="135">
        <v>613434</v>
      </c>
      <c r="AR1508" s="135" t="s">
        <v>2102</v>
      </c>
      <c r="AS1508" s="136">
        <v>1.7502800000000001</v>
      </c>
      <c r="AU1508" s="7" t="str">
        <f>VLOOKUP($AO1508,Mapping!$E$11:$I$96,3,0)</f>
        <v>Augmentation</v>
      </c>
      <c r="AV1508" s="7" t="str">
        <f>VLOOKUP($AQ1508,Mapping!$E$140:$K$2771,5,0)</f>
        <v>Labour</v>
      </c>
      <c r="AW1508" s="7" t="str">
        <f>VLOOKUP($AQ1508,Mapping!$E$140:$K$2771,7,0)</f>
        <v>ENDirect</v>
      </c>
      <c r="AX1508" s="7" t="str">
        <f>IFERROR(HLOOKUP(AV1508,'Calc|Weightings'!$K$5:$M$5,1,0),"Excl")</f>
        <v>Labour</v>
      </c>
      <c r="AY1508" s="7" t="str">
        <f>VLOOKUP(AO1508,Mapping!$E$11:$I$96,5,0)</f>
        <v>SCS</v>
      </c>
    </row>
    <row r="1509" spans="1:51" x14ac:dyDescent="0.2">
      <c r="A1509" s="7"/>
      <c r="B1509" s="7"/>
      <c r="C1509" s="7"/>
      <c r="D1509" s="7"/>
      <c r="E1509" s="36">
        <v>153</v>
      </c>
      <c r="F1509" s="36" t="s">
        <v>2162</v>
      </c>
      <c r="G1509" s="36">
        <v>639050</v>
      </c>
      <c r="H1509" s="36" t="s">
        <v>2113</v>
      </c>
      <c r="I1509" s="37">
        <v>7.1409099999999999</v>
      </c>
      <c r="J1509" s="7"/>
      <c r="K1509" s="7" t="s">
        <v>2299</v>
      </c>
      <c r="L1509" s="7" t="str">
        <f>VLOOKUP($G1509,Mapping!$E$140:$K$2771,5,0)</f>
        <v>PNS Fleet &amp; Property OH</v>
      </c>
      <c r="M1509" s="7" t="str">
        <f>VLOOKUP($G1509,Mapping!$E$140:$K$2771,7,0)</f>
        <v>OH</v>
      </c>
      <c r="N1509" s="7" t="str">
        <f>IFERROR(HLOOKUP(L1509,'Calc|Weightings'!$K$5:$M$5,1,0),"Excl")</f>
        <v>Excl</v>
      </c>
      <c r="O1509" s="7" t="s">
        <v>28</v>
      </c>
      <c r="Q1509" s="33">
        <v>162</v>
      </c>
      <c r="R1509" s="33" t="s">
        <v>2172</v>
      </c>
      <c r="S1509" s="33">
        <v>613360</v>
      </c>
      <c r="T1509" s="33" t="s">
        <v>2097</v>
      </c>
      <c r="U1509" s="34">
        <v>39.226680000000002</v>
      </c>
      <c r="V1509" s="7"/>
      <c r="W1509" s="7" t="str">
        <f>VLOOKUP($Q1509,Mapping!$E$11:$I$96,3,0)</f>
        <v>Augmentation</v>
      </c>
      <c r="X1509" s="7" t="str">
        <f>VLOOKUP($S1509,Mapping!$E$140:$K$2771,5,0)</f>
        <v>Labour</v>
      </c>
      <c r="Y1509" s="7" t="str">
        <f>VLOOKUP($S1509,Mapping!$E$140:$K$2771,7,0)</f>
        <v>ENDirect</v>
      </c>
      <c r="Z1509" s="7" t="str">
        <f>IFERROR(HLOOKUP(X1509,'Calc|Weightings'!$K$5:$M$5,1,0),"Excl")</f>
        <v>Labour</v>
      </c>
      <c r="AA1509" s="7" t="str">
        <f>VLOOKUP(Q1509,Mapping!$E$11:$I$96,5,0)</f>
        <v>SCS</v>
      </c>
      <c r="AC1509" s="111">
        <v>162</v>
      </c>
      <c r="AD1509" s="111" t="s">
        <v>2172</v>
      </c>
      <c r="AE1509" s="111">
        <v>531210</v>
      </c>
      <c r="AF1509" s="111" t="s">
        <v>252</v>
      </c>
      <c r="AG1509" s="112">
        <v>21.6</v>
      </c>
      <c r="AI1509" s="7" t="str">
        <f>VLOOKUP($AC1509,Mapping!$E$11:$I$96,3,0)</f>
        <v>Augmentation</v>
      </c>
      <c r="AJ1509" s="7" t="str">
        <f>VLOOKUP($AE1509,Mapping!$E$140:$K$2771,5,0)</f>
        <v>Labour</v>
      </c>
      <c r="AK1509" s="7" t="str">
        <f>VLOOKUP($AE1509,Mapping!$E$140:$K$2771,7,0)</f>
        <v>ENDirect</v>
      </c>
      <c r="AL1509" s="7" t="str">
        <f>IFERROR(HLOOKUP(AJ1509,'Calc|Weightings'!$K$5:$M$5,1,0),"Excl")</f>
        <v>Labour</v>
      </c>
      <c r="AM1509" s="7" t="str">
        <f>VLOOKUP(AC1509,Mapping!$E$11:$I$96,5,0)</f>
        <v>SCS</v>
      </c>
      <c r="AO1509" s="134">
        <v>166</v>
      </c>
      <c r="AP1509" s="135" t="s">
        <v>2174</v>
      </c>
      <c r="AQ1509" s="135">
        <v>613440</v>
      </c>
      <c r="AR1509" s="135" t="s">
        <v>2103</v>
      </c>
      <c r="AS1509" s="136">
        <v>0.48519000000000001</v>
      </c>
      <c r="AU1509" s="7" t="str">
        <f>VLOOKUP($AO1509,Mapping!$E$11:$I$96,3,0)</f>
        <v>Augmentation</v>
      </c>
      <c r="AV1509" s="7" t="str">
        <f>VLOOKUP($AQ1509,Mapping!$E$140:$K$2771,5,0)</f>
        <v>Labour</v>
      </c>
      <c r="AW1509" s="7" t="str">
        <f>VLOOKUP($AQ1509,Mapping!$E$140:$K$2771,7,0)</f>
        <v>ENDirect</v>
      </c>
      <c r="AX1509" s="7" t="str">
        <f>IFERROR(HLOOKUP(AV1509,'Calc|Weightings'!$K$5:$M$5,1,0),"Excl")</f>
        <v>Labour</v>
      </c>
      <c r="AY1509" s="7" t="str">
        <f>VLOOKUP(AO1509,Mapping!$E$11:$I$96,5,0)</f>
        <v>SCS</v>
      </c>
    </row>
    <row r="1510" spans="1:51" x14ac:dyDescent="0.2">
      <c r="A1510" s="7"/>
      <c r="B1510" s="7"/>
      <c r="C1510" s="7"/>
      <c r="D1510" s="7"/>
      <c r="E1510" s="36">
        <v>154</v>
      </c>
      <c r="F1510" s="36" t="s">
        <v>2163</v>
      </c>
      <c r="G1510" s="36">
        <v>503190</v>
      </c>
      <c r="H1510" s="36" t="s">
        <v>158</v>
      </c>
      <c r="I1510" s="37">
        <v>0.27682000000000001</v>
      </c>
      <c r="J1510" s="7"/>
      <c r="K1510" s="7" t="str">
        <f>VLOOKUP($E1510,Mapping!$E$11:$I$96,3,0)</f>
        <v>Replacement</v>
      </c>
      <c r="L1510" s="7" t="str">
        <f>VLOOKUP($G1510,Mapping!$E$140:$K$2771,5,0)</f>
        <v>Contracts</v>
      </c>
      <c r="M1510" s="7" t="str">
        <f>VLOOKUP($G1510,Mapping!$E$140:$K$2771,7,0)</f>
        <v>ENDirect</v>
      </c>
      <c r="N1510" s="7" t="str">
        <f>IFERROR(HLOOKUP(L1510,'Calc|Weightings'!$K$5:$M$5,1,0),"Excl")</f>
        <v>Contracts</v>
      </c>
      <c r="O1510" s="7" t="str">
        <f>VLOOKUP(E1510,Mapping!$E$11:$I$96,5,0)</f>
        <v>SCS</v>
      </c>
      <c r="Q1510" s="33">
        <v>162</v>
      </c>
      <c r="R1510" s="33" t="s">
        <v>2172</v>
      </c>
      <c r="S1510" s="33">
        <v>613370</v>
      </c>
      <c r="T1510" s="33" t="s">
        <v>1402</v>
      </c>
      <c r="U1510" s="34">
        <v>39.482880000000002</v>
      </c>
      <c r="V1510" s="7"/>
      <c r="W1510" s="7" t="str">
        <f>VLOOKUP($Q1510,Mapping!$E$11:$I$96,3,0)</f>
        <v>Augmentation</v>
      </c>
      <c r="X1510" s="7" t="str">
        <f>VLOOKUP($S1510,Mapping!$E$140:$K$2771,5,0)</f>
        <v>Labour</v>
      </c>
      <c r="Y1510" s="7" t="str">
        <f>VLOOKUP($S1510,Mapping!$E$140:$K$2771,7,0)</f>
        <v>ENDirect</v>
      </c>
      <c r="Z1510" s="7" t="str">
        <f>IFERROR(HLOOKUP(X1510,'Calc|Weightings'!$K$5:$M$5,1,0),"Excl")</f>
        <v>Labour</v>
      </c>
      <c r="AA1510" s="7" t="str">
        <f>VLOOKUP(Q1510,Mapping!$E$11:$I$96,5,0)</f>
        <v>SCS</v>
      </c>
      <c r="AC1510" s="111">
        <v>162</v>
      </c>
      <c r="AD1510" s="111" t="s">
        <v>2172</v>
      </c>
      <c r="AE1510" s="111">
        <v>531464</v>
      </c>
      <c r="AF1510" s="111" t="s">
        <v>256</v>
      </c>
      <c r="AG1510" s="112">
        <v>409.72694000000001</v>
      </c>
      <c r="AI1510" s="7" t="str">
        <f>VLOOKUP($AC1510,Mapping!$E$11:$I$96,3,0)</f>
        <v>Augmentation</v>
      </c>
      <c r="AJ1510" s="7" t="str">
        <f>VLOOKUP($AE1510,Mapping!$E$140:$K$2771,5,0)</f>
        <v>Contracts</v>
      </c>
      <c r="AK1510" s="7" t="str">
        <f>VLOOKUP($AE1510,Mapping!$E$140:$K$2771,7,0)</f>
        <v>ENDirect</v>
      </c>
      <c r="AL1510" s="7" t="str">
        <f>IFERROR(HLOOKUP(AJ1510,'Calc|Weightings'!$K$5:$M$5,1,0),"Excl")</f>
        <v>Contracts</v>
      </c>
      <c r="AM1510" s="7" t="str">
        <f>VLOOKUP(AC1510,Mapping!$E$11:$I$96,5,0)</f>
        <v>SCS</v>
      </c>
      <c r="AO1510" s="134">
        <v>166</v>
      </c>
      <c r="AP1510" s="135" t="s">
        <v>2174</v>
      </c>
      <c r="AQ1510" s="135">
        <v>613450</v>
      </c>
      <c r="AR1510" s="135" t="s">
        <v>2175</v>
      </c>
      <c r="AS1510" s="136">
        <v>1.5276000000000001</v>
      </c>
      <c r="AU1510" s="7" t="str">
        <f>VLOOKUP($AO1510,Mapping!$E$11:$I$96,3,0)</f>
        <v>Augmentation</v>
      </c>
      <c r="AV1510" s="7" t="str">
        <f>VLOOKUP($AQ1510,Mapping!$E$140:$K$2771,5,0)</f>
        <v>Labour</v>
      </c>
      <c r="AW1510" s="7" t="str">
        <f>VLOOKUP($AQ1510,Mapping!$E$140:$K$2771,7,0)</f>
        <v>ENDirect</v>
      </c>
      <c r="AX1510" s="7" t="str">
        <f>IFERROR(HLOOKUP(AV1510,'Calc|Weightings'!$K$5:$M$5,1,0),"Excl")</f>
        <v>Labour</v>
      </c>
      <c r="AY1510" s="7" t="str">
        <f>VLOOKUP(AO1510,Mapping!$E$11:$I$96,5,0)</f>
        <v>SCS</v>
      </c>
    </row>
    <row r="1511" spans="1:51" x14ac:dyDescent="0.2">
      <c r="A1511" s="7"/>
      <c r="B1511" s="7"/>
      <c r="C1511" s="7"/>
      <c r="D1511" s="7"/>
      <c r="E1511" s="36">
        <v>154</v>
      </c>
      <c r="F1511" s="36" t="s">
        <v>2163</v>
      </c>
      <c r="G1511" s="36">
        <v>520100</v>
      </c>
      <c r="H1511" s="36" t="s">
        <v>2072</v>
      </c>
      <c r="I1511" s="37">
        <v>0.22472</v>
      </c>
      <c r="J1511" s="7"/>
      <c r="K1511" s="7" t="str">
        <f>VLOOKUP($E1511,Mapping!$E$11:$I$96,3,0)</f>
        <v>Replacement</v>
      </c>
      <c r="L1511" s="7" t="str">
        <f>VLOOKUP($G1511,Mapping!$E$140:$K$2771,5,0)</f>
        <v>Materials</v>
      </c>
      <c r="M1511" s="7" t="str">
        <f>VLOOKUP($G1511,Mapping!$E$140:$K$2771,7,0)</f>
        <v>ENDirect</v>
      </c>
      <c r="N1511" s="7" t="str">
        <f>IFERROR(HLOOKUP(L1511,'Calc|Weightings'!$K$5:$M$5,1,0),"Excl")</f>
        <v>Materials</v>
      </c>
      <c r="O1511" s="7" t="str">
        <f>VLOOKUP(E1511,Mapping!$E$11:$I$96,5,0)</f>
        <v>SCS</v>
      </c>
      <c r="Q1511" s="33">
        <v>162</v>
      </c>
      <c r="R1511" s="33" t="s">
        <v>2172</v>
      </c>
      <c r="S1511" s="33">
        <v>613371</v>
      </c>
      <c r="T1511" s="33" t="s">
        <v>1403</v>
      </c>
      <c r="U1511" s="34">
        <v>1.70126</v>
      </c>
      <c r="V1511" s="7"/>
      <c r="W1511" s="7" t="str">
        <f>VLOOKUP($Q1511,Mapping!$E$11:$I$96,3,0)</f>
        <v>Augmentation</v>
      </c>
      <c r="X1511" s="7" t="str">
        <f>VLOOKUP($S1511,Mapping!$E$140:$K$2771,5,0)</f>
        <v>Labour</v>
      </c>
      <c r="Y1511" s="7" t="str">
        <f>VLOOKUP($S1511,Mapping!$E$140:$K$2771,7,0)</f>
        <v>ENDirect</v>
      </c>
      <c r="Z1511" s="7" t="str">
        <f>IFERROR(HLOOKUP(X1511,'Calc|Weightings'!$K$5:$M$5,1,0),"Excl")</f>
        <v>Labour</v>
      </c>
      <c r="AA1511" s="7" t="str">
        <f>VLOOKUP(Q1511,Mapping!$E$11:$I$96,5,0)</f>
        <v>SCS</v>
      </c>
      <c r="AC1511" s="111">
        <v>162</v>
      </c>
      <c r="AD1511" s="111" t="s">
        <v>2172</v>
      </c>
      <c r="AE1511" s="111">
        <v>531466</v>
      </c>
      <c r="AF1511" s="111" t="s">
        <v>258</v>
      </c>
      <c r="AG1511" s="112">
        <v>0.60843999999999998</v>
      </c>
      <c r="AI1511" s="7" t="str">
        <f>VLOOKUP($AC1511,Mapping!$E$11:$I$96,3,0)</f>
        <v>Augmentation</v>
      </c>
      <c r="AJ1511" s="7" t="str">
        <f>VLOOKUP($AE1511,Mapping!$E$140:$K$2771,5,0)</f>
        <v>Contracts</v>
      </c>
      <c r="AK1511" s="7" t="str">
        <f>VLOOKUP($AE1511,Mapping!$E$140:$K$2771,7,0)</f>
        <v>ENDirect</v>
      </c>
      <c r="AL1511" s="7" t="str">
        <f>IFERROR(HLOOKUP(AJ1511,'Calc|Weightings'!$K$5:$M$5,1,0),"Excl")</f>
        <v>Contracts</v>
      </c>
      <c r="AM1511" s="7" t="str">
        <f>VLOOKUP(AC1511,Mapping!$E$11:$I$96,5,0)</f>
        <v>SCS</v>
      </c>
      <c r="AO1511" s="134">
        <v>166</v>
      </c>
      <c r="AP1511" s="135" t="s">
        <v>2174</v>
      </c>
      <c r="AQ1511" s="135">
        <v>613566</v>
      </c>
      <c r="AR1511" s="135" t="s">
        <v>1482</v>
      </c>
      <c r="AS1511" s="136">
        <v>3.62018</v>
      </c>
      <c r="AU1511" s="7" t="str">
        <f>VLOOKUP($AO1511,Mapping!$E$11:$I$96,3,0)</f>
        <v>Augmentation</v>
      </c>
      <c r="AV1511" s="7" t="str">
        <f>VLOOKUP($AQ1511,Mapping!$E$140:$K$2771,5,0)</f>
        <v>Labour</v>
      </c>
      <c r="AW1511" s="7" t="str">
        <f>VLOOKUP($AQ1511,Mapping!$E$140:$K$2771,7,0)</f>
        <v>ENDirect</v>
      </c>
      <c r="AX1511" s="7" t="str">
        <f>IFERROR(HLOOKUP(AV1511,'Calc|Weightings'!$K$5:$M$5,1,0),"Excl")</f>
        <v>Labour</v>
      </c>
      <c r="AY1511" s="7" t="str">
        <f>VLOOKUP(AO1511,Mapping!$E$11:$I$96,5,0)</f>
        <v>SCS</v>
      </c>
    </row>
    <row r="1512" spans="1:51" x14ac:dyDescent="0.2">
      <c r="A1512" s="7"/>
      <c r="B1512" s="7"/>
      <c r="C1512" s="7"/>
      <c r="D1512" s="7"/>
      <c r="E1512" s="36">
        <v>154</v>
      </c>
      <c r="F1512" s="36" t="s">
        <v>2163</v>
      </c>
      <c r="G1512" s="36">
        <v>523100</v>
      </c>
      <c r="H1512" s="36" t="s">
        <v>2074</v>
      </c>
      <c r="I1512" s="37">
        <v>0.14968000000000001</v>
      </c>
      <c r="J1512" s="7"/>
      <c r="K1512" s="7" t="str">
        <f>VLOOKUP($E1512,Mapping!$E$11:$I$96,3,0)</f>
        <v>Replacement</v>
      </c>
      <c r="L1512" s="7" t="str">
        <f>VLOOKUP($G1512,Mapping!$E$140:$K$2771,5,0)</f>
        <v>Materials</v>
      </c>
      <c r="M1512" s="7" t="str">
        <f>VLOOKUP($G1512,Mapping!$E$140:$K$2771,7,0)</f>
        <v>ENDirect</v>
      </c>
      <c r="N1512" s="7" t="str">
        <f>IFERROR(HLOOKUP(L1512,'Calc|Weightings'!$K$5:$M$5,1,0),"Excl")</f>
        <v>Materials</v>
      </c>
      <c r="O1512" s="7" t="str">
        <f>VLOOKUP(E1512,Mapping!$E$11:$I$96,5,0)</f>
        <v>SCS</v>
      </c>
      <c r="Q1512" s="33">
        <v>162</v>
      </c>
      <c r="R1512" s="33" t="s">
        <v>2172</v>
      </c>
      <c r="S1512" s="33">
        <v>613400</v>
      </c>
      <c r="T1512" s="33" t="s">
        <v>2099</v>
      </c>
      <c r="U1512" s="34">
        <v>7.0103</v>
      </c>
      <c r="V1512" s="7"/>
      <c r="W1512" s="7" t="str">
        <f>VLOOKUP($Q1512,Mapping!$E$11:$I$96,3,0)</f>
        <v>Augmentation</v>
      </c>
      <c r="X1512" s="7" t="str">
        <f>VLOOKUP($S1512,Mapping!$E$140:$K$2771,5,0)</f>
        <v>Labour</v>
      </c>
      <c r="Y1512" s="7" t="str">
        <f>VLOOKUP($S1512,Mapping!$E$140:$K$2771,7,0)</f>
        <v>ENDirect</v>
      </c>
      <c r="Z1512" s="7" t="str">
        <f>IFERROR(HLOOKUP(X1512,'Calc|Weightings'!$K$5:$M$5,1,0),"Excl")</f>
        <v>Labour</v>
      </c>
      <c r="AA1512" s="7" t="str">
        <f>VLOOKUP(Q1512,Mapping!$E$11:$I$96,5,0)</f>
        <v>SCS</v>
      </c>
      <c r="AC1512" s="111">
        <v>162</v>
      </c>
      <c r="AD1512" s="111" t="s">
        <v>2172</v>
      </c>
      <c r="AE1512" s="111">
        <v>531467</v>
      </c>
      <c r="AF1512" s="111" t="s">
        <v>259</v>
      </c>
      <c r="AG1512" s="112">
        <v>129.38677000000001</v>
      </c>
      <c r="AI1512" s="7" t="str">
        <f>VLOOKUP($AC1512,Mapping!$E$11:$I$96,3,0)</f>
        <v>Augmentation</v>
      </c>
      <c r="AJ1512" s="7" t="str">
        <f>VLOOKUP($AE1512,Mapping!$E$140:$K$2771,5,0)</f>
        <v>Contracts</v>
      </c>
      <c r="AK1512" s="7" t="str">
        <f>VLOOKUP($AE1512,Mapping!$E$140:$K$2771,7,0)</f>
        <v>ENDirect</v>
      </c>
      <c r="AL1512" s="7" t="str">
        <f>IFERROR(HLOOKUP(AJ1512,'Calc|Weightings'!$K$5:$M$5,1,0),"Excl")</f>
        <v>Contracts</v>
      </c>
      <c r="AM1512" s="7" t="str">
        <f>VLOOKUP(AC1512,Mapping!$E$11:$I$96,5,0)</f>
        <v>SCS</v>
      </c>
      <c r="AO1512" s="134">
        <v>166</v>
      </c>
      <c r="AP1512" s="135" t="s">
        <v>2174</v>
      </c>
      <c r="AQ1512" s="135">
        <v>613567</v>
      </c>
      <c r="AR1512" s="135" t="s">
        <v>1483</v>
      </c>
      <c r="AS1512" s="136">
        <v>0.12509999999999999</v>
      </c>
      <c r="AU1512" s="7" t="str">
        <f>VLOOKUP($AO1512,Mapping!$E$11:$I$96,3,0)</f>
        <v>Augmentation</v>
      </c>
      <c r="AV1512" s="7" t="str">
        <f>VLOOKUP($AQ1512,Mapping!$E$140:$K$2771,5,0)</f>
        <v>Labour</v>
      </c>
      <c r="AW1512" s="7" t="str">
        <f>VLOOKUP($AQ1512,Mapping!$E$140:$K$2771,7,0)</f>
        <v>ENDirect</v>
      </c>
      <c r="AX1512" s="7" t="str">
        <f>IFERROR(HLOOKUP(AV1512,'Calc|Weightings'!$K$5:$M$5,1,0),"Excl")</f>
        <v>Labour</v>
      </c>
      <c r="AY1512" s="7" t="str">
        <f>VLOOKUP(AO1512,Mapping!$E$11:$I$96,5,0)</f>
        <v>SCS</v>
      </c>
    </row>
    <row r="1513" spans="1:51" x14ac:dyDescent="0.2">
      <c r="A1513" s="7"/>
      <c r="B1513" s="7"/>
      <c r="C1513" s="7"/>
      <c r="D1513" s="7"/>
      <c r="E1513" s="36">
        <v>154</v>
      </c>
      <c r="F1513" s="36" t="s">
        <v>2163</v>
      </c>
      <c r="G1513" s="36">
        <v>531200</v>
      </c>
      <c r="H1513" s="36" t="s">
        <v>250</v>
      </c>
      <c r="I1513" s="37">
        <v>26.771049999999999</v>
      </c>
      <c r="J1513" s="7"/>
      <c r="K1513" s="7" t="str">
        <f>VLOOKUP($E1513,Mapping!$E$11:$I$96,3,0)</f>
        <v>Replacement</v>
      </c>
      <c r="L1513" s="7" t="str">
        <f>VLOOKUP($G1513,Mapping!$E$140:$K$2771,5,0)</f>
        <v>Contracts</v>
      </c>
      <c r="M1513" s="7" t="str">
        <f>VLOOKUP($G1513,Mapping!$E$140:$K$2771,7,0)</f>
        <v>ENDirect</v>
      </c>
      <c r="N1513" s="7" t="str">
        <f>IFERROR(HLOOKUP(L1513,'Calc|Weightings'!$K$5:$M$5,1,0),"Excl")</f>
        <v>Contracts</v>
      </c>
      <c r="O1513" s="7" t="str">
        <f>VLOOKUP(E1513,Mapping!$E$11:$I$96,5,0)</f>
        <v>SCS</v>
      </c>
      <c r="Q1513" s="33">
        <v>162</v>
      </c>
      <c r="R1513" s="33" t="s">
        <v>2172</v>
      </c>
      <c r="S1513" s="33">
        <v>613410</v>
      </c>
      <c r="T1513" s="33" t="s">
        <v>2100</v>
      </c>
      <c r="U1513" s="34">
        <v>29.279610000000002</v>
      </c>
      <c r="V1513" s="7"/>
      <c r="W1513" s="7" t="str">
        <f>VLOOKUP($Q1513,Mapping!$E$11:$I$96,3,0)</f>
        <v>Augmentation</v>
      </c>
      <c r="X1513" s="7" t="str">
        <f>VLOOKUP($S1513,Mapping!$E$140:$K$2771,5,0)</f>
        <v>Labour</v>
      </c>
      <c r="Y1513" s="7" t="str">
        <f>VLOOKUP($S1513,Mapping!$E$140:$K$2771,7,0)</f>
        <v>ENDirect</v>
      </c>
      <c r="Z1513" s="7" t="str">
        <f>IFERROR(HLOOKUP(X1513,'Calc|Weightings'!$K$5:$M$5,1,0),"Excl")</f>
        <v>Labour</v>
      </c>
      <c r="AA1513" s="7" t="str">
        <f>VLOOKUP(Q1513,Mapping!$E$11:$I$96,5,0)</f>
        <v>SCS</v>
      </c>
      <c r="AC1513" s="111">
        <v>162</v>
      </c>
      <c r="AD1513" s="111" t="s">
        <v>2172</v>
      </c>
      <c r="AE1513" s="111">
        <v>531468</v>
      </c>
      <c r="AF1513" s="111" t="s">
        <v>260</v>
      </c>
      <c r="AG1513" s="112">
        <v>107.11685</v>
      </c>
      <c r="AI1513" s="7" t="str">
        <f>VLOOKUP($AC1513,Mapping!$E$11:$I$96,3,0)</f>
        <v>Augmentation</v>
      </c>
      <c r="AJ1513" s="7" t="str">
        <f>VLOOKUP($AE1513,Mapping!$E$140:$K$2771,5,0)</f>
        <v>Contracts</v>
      </c>
      <c r="AK1513" s="7" t="str">
        <f>VLOOKUP($AE1513,Mapping!$E$140:$K$2771,7,0)</f>
        <v>ENDirect</v>
      </c>
      <c r="AL1513" s="7" t="str">
        <f>IFERROR(HLOOKUP(AJ1513,'Calc|Weightings'!$K$5:$M$5,1,0),"Excl")</f>
        <v>Contracts</v>
      </c>
      <c r="AM1513" s="7" t="str">
        <f>VLOOKUP(AC1513,Mapping!$E$11:$I$96,5,0)</f>
        <v>SCS</v>
      </c>
      <c r="AO1513" s="134">
        <v>166</v>
      </c>
      <c r="AP1513" s="135" t="s">
        <v>2174</v>
      </c>
      <c r="AQ1513" s="135">
        <v>613574</v>
      </c>
      <c r="AR1513" s="135" t="s">
        <v>1488</v>
      </c>
      <c r="AS1513" s="136">
        <v>0.61484000000000005</v>
      </c>
      <c r="AU1513" s="7" t="str">
        <f>VLOOKUP($AO1513,Mapping!$E$11:$I$96,3,0)</f>
        <v>Augmentation</v>
      </c>
      <c r="AV1513" s="7" t="str">
        <f>VLOOKUP($AQ1513,Mapping!$E$140:$K$2771,5,0)</f>
        <v>Labour</v>
      </c>
      <c r="AW1513" s="7" t="str">
        <f>VLOOKUP($AQ1513,Mapping!$E$140:$K$2771,7,0)</f>
        <v>ENDirect</v>
      </c>
      <c r="AX1513" s="7" t="str">
        <f>IFERROR(HLOOKUP(AV1513,'Calc|Weightings'!$K$5:$M$5,1,0),"Excl")</f>
        <v>Labour</v>
      </c>
      <c r="AY1513" s="7" t="str">
        <f>VLOOKUP(AO1513,Mapping!$E$11:$I$96,5,0)</f>
        <v>SCS</v>
      </c>
    </row>
    <row r="1514" spans="1:51" x14ac:dyDescent="0.2">
      <c r="A1514" s="7"/>
      <c r="B1514" s="7"/>
      <c r="C1514" s="7"/>
      <c r="D1514" s="7"/>
      <c r="E1514" s="36">
        <v>154</v>
      </c>
      <c r="F1514" s="36" t="s">
        <v>2163</v>
      </c>
      <c r="G1514" s="36">
        <v>531464</v>
      </c>
      <c r="H1514" s="36" t="s">
        <v>256</v>
      </c>
      <c r="I1514" s="37">
        <v>387.08708000000001</v>
      </c>
      <c r="J1514" s="7"/>
      <c r="K1514" s="7" t="str">
        <f>VLOOKUP($E1514,Mapping!$E$11:$I$96,3,0)</f>
        <v>Replacement</v>
      </c>
      <c r="L1514" s="7" t="str">
        <f>VLOOKUP($G1514,Mapping!$E$140:$K$2771,5,0)</f>
        <v>Contracts</v>
      </c>
      <c r="M1514" s="7" t="str">
        <f>VLOOKUP($G1514,Mapping!$E$140:$K$2771,7,0)</f>
        <v>ENDirect</v>
      </c>
      <c r="N1514" s="7" t="str">
        <f>IFERROR(HLOOKUP(L1514,'Calc|Weightings'!$K$5:$M$5,1,0),"Excl")</f>
        <v>Contracts</v>
      </c>
      <c r="O1514" s="7" t="str">
        <f>VLOOKUP(E1514,Mapping!$E$11:$I$96,5,0)</f>
        <v>SCS</v>
      </c>
      <c r="Q1514" s="33">
        <v>162</v>
      </c>
      <c r="R1514" s="33" t="s">
        <v>2172</v>
      </c>
      <c r="S1514" s="33">
        <v>613411</v>
      </c>
      <c r="T1514" s="33" t="s">
        <v>2101</v>
      </c>
      <c r="U1514" s="34">
        <v>0.24027000000000001</v>
      </c>
      <c r="V1514" s="7"/>
      <c r="W1514" s="7" t="str">
        <f>VLOOKUP($Q1514,Mapping!$E$11:$I$96,3,0)</f>
        <v>Augmentation</v>
      </c>
      <c r="X1514" s="7" t="str">
        <f>VLOOKUP($S1514,Mapping!$E$140:$K$2771,5,0)</f>
        <v>Labour</v>
      </c>
      <c r="Y1514" s="7" t="str">
        <f>VLOOKUP($S1514,Mapping!$E$140:$K$2771,7,0)</f>
        <v>ENDirect</v>
      </c>
      <c r="Z1514" s="7" t="str">
        <f>IFERROR(HLOOKUP(X1514,'Calc|Weightings'!$K$5:$M$5,1,0),"Excl")</f>
        <v>Labour</v>
      </c>
      <c r="AA1514" s="7" t="str">
        <f>VLOOKUP(Q1514,Mapping!$E$11:$I$96,5,0)</f>
        <v>SCS</v>
      </c>
      <c r="AC1514" s="111">
        <v>162</v>
      </c>
      <c r="AD1514" s="111" t="s">
        <v>2172</v>
      </c>
      <c r="AE1514" s="111">
        <v>531469</v>
      </c>
      <c r="AF1514" s="111" t="s">
        <v>261</v>
      </c>
      <c r="AG1514" s="112">
        <v>773.27701000000002</v>
      </c>
      <c r="AI1514" s="7" t="str">
        <f>VLOOKUP($AC1514,Mapping!$E$11:$I$96,3,0)</f>
        <v>Augmentation</v>
      </c>
      <c r="AJ1514" s="7" t="str">
        <f>VLOOKUP($AE1514,Mapping!$E$140:$K$2771,5,0)</f>
        <v>Labour</v>
      </c>
      <c r="AK1514" s="7" t="str">
        <f>VLOOKUP($AE1514,Mapping!$E$140:$K$2771,7,0)</f>
        <v>ENDirect</v>
      </c>
      <c r="AL1514" s="7" t="str">
        <f>IFERROR(HLOOKUP(AJ1514,'Calc|Weightings'!$K$5:$M$5,1,0),"Excl")</f>
        <v>Labour</v>
      </c>
      <c r="AM1514" s="7" t="str">
        <f>VLOOKUP(AC1514,Mapping!$E$11:$I$96,5,0)</f>
        <v>SCS</v>
      </c>
      <c r="AO1514" s="134">
        <v>166</v>
      </c>
      <c r="AP1514" s="135" t="s">
        <v>2174</v>
      </c>
      <c r="AQ1514" s="135">
        <v>613680</v>
      </c>
      <c r="AR1514" s="135" t="s">
        <v>2107</v>
      </c>
      <c r="AS1514" s="136">
        <v>14.690440000000001</v>
      </c>
      <c r="AU1514" s="7" t="str">
        <f>VLOOKUP($AO1514,Mapping!$E$11:$I$96,3,0)</f>
        <v>Augmentation</v>
      </c>
      <c r="AV1514" s="7" t="str">
        <f>VLOOKUP($AQ1514,Mapping!$E$140:$K$2771,5,0)</f>
        <v>Labour</v>
      </c>
      <c r="AW1514" s="7" t="str">
        <f>VLOOKUP($AQ1514,Mapping!$E$140:$K$2771,7,0)</f>
        <v>ENDirect</v>
      </c>
      <c r="AX1514" s="7" t="str">
        <f>IFERROR(HLOOKUP(AV1514,'Calc|Weightings'!$K$5:$M$5,1,0),"Excl")</f>
        <v>Labour</v>
      </c>
      <c r="AY1514" s="7" t="str">
        <f>VLOOKUP(AO1514,Mapping!$E$11:$I$96,5,0)</f>
        <v>SCS</v>
      </c>
    </row>
    <row r="1515" spans="1:51" x14ac:dyDescent="0.2">
      <c r="A1515" s="7"/>
      <c r="B1515" s="7"/>
      <c r="C1515" s="7"/>
      <c r="D1515" s="7"/>
      <c r="E1515" s="36">
        <v>154</v>
      </c>
      <c r="F1515" s="36" t="s">
        <v>2163</v>
      </c>
      <c r="G1515" s="36">
        <v>531492</v>
      </c>
      <c r="H1515" s="36" t="s">
        <v>2382</v>
      </c>
      <c r="I1515" s="37">
        <v>233.18616</v>
      </c>
      <c r="J1515" s="7"/>
      <c r="K1515" s="7" t="str">
        <f>VLOOKUP($E1515,Mapping!$E$11:$I$96,3,0)</f>
        <v>Replacement</v>
      </c>
      <c r="L1515" s="7" t="str">
        <f>VLOOKUP($G1515,Mapping!$E$140:$K$2771,5,0)</f>
        <v>Contracts</v>
      </c>
      <c r="M1515" s="7" t="str">
        <f>VLOOKUP($G1515,Mapping!$E$140:$K$2771,7,0)</f>
        <v>ENDirect</v>
      </c>
      <c r="N1515" s="7" t="str">
        <f>IFERROR(HLOOKUP(L1515,'Calc|Weightings'!$K$5:$M$5,1,0),"Excl")</f>
        <v>Contracts</v>
      </c>
      <c r="O1515" s="7" t="str">
        <f>VLOOKUP(E1515,Mapping!$E$11:$I$96,5,0)</f>
        <v>SCS</v>
      </c>
      <c r="Q1515" s="33">
        <v>162</v>
      </c>
      <c r="R1515" s="33" t="s">
        <v>2172</v>
      </c>
      <c r="S1515" s="33">
        <v>613434</v>
      </c>
      <c r="T1515" s="33" t="s">
        <v>2102</v>
      </c>
      <c r="U1515" s="34">
        <v>1.7365600000000001</v>
      </c>
      <c r="V1515" s="7"/>
      <c r="W1515" s="7" t="str">
        <f>VLOOKUP($Q1515,Mapping!$E$11:$I$96,3,0)</f>
        <v>Augmentation</v>
      </c>
      <c r="X1515" s="7" t="str">
        <f>VLOOKUP($S1515,Mapping!$E$140:$K$2771,5,0)</f>
        <v>Labour</v>
      </c>
      <c r="Y1515" s="7" t="str">
        <f>VLOOKUP($S1515,Mapping!$E$140:$K$2771,7,0)</f>
        <v>ENDirect</v>
      </c>
      <c r="Z1515" s="7" t="str">
        <f>IFERROR(HLOOKUP(X1515,'Calc|Weightings'!$K$5:$M$5,1,0),"Excl")</f>
        <v>Labour</v>
      </c>
      <c r="AA1515" s="7" t="str">
        <f>VLOOKUP(Q1515,Mapping!$E$11:$I$96,5,0)</f>
        <v>SCS</v>
      </c>
      <c r="AC1515" s="111">
        <v>162</v>
      </c>
      <c r="AD1515" s="111" t="s">
        <v>2172</v>
      </c>
      <c r="AE1515" s="111">
        <v>531480</v>
      </c>
      <c r="AF1515" s="111" t="s">
        <v>2076</v>
      </c>
      <c r="AG1515" s="112">
        <v>18.697199999999999</v>
      </c>
      <c r="AI1515" s="7" t="str">
        <f>VLOOKUP($AC1515,Mapping!$E$11:$I$96,3,0)</f>
        <v>Augmentation</v>
      </c>
      <c r="AJ1515" s="7" t="str">
        <f>VLOOKUP($AE1515,Mapping!$E$140:$K$2771,5,0)</f>
        <v>Labour</v>
      </c>
      <c r="AK1515" s="7" t="str">
        <f>VLOOKUP($AE1515,Mapping!$E$140:$K$2771,7,0)</f>
        <v>ENDirect</v>
      </c>
      <c r="AL1515" s="7" t="str">
        <f>IFERROR(HLOOKUP(AJ1515,'Calc|Weightings'!$K$5:$M$5,1,0),"Excl")</f>
        <v>Labour</v>
      </c>
      <c r="AM1515" s="7" t="str">
        <f>VLOOKUP(AC1515,Mapping!$E$11:$I$96,5,0)</f>
        <v>SCS</v>
      </c>
      <c r="AO1515" s="134">
        <v>166</v>
      </c>
      <c r="AP1515" s="135" t="s">
        <v>2174</v>
      </c>
      <c r="AQ1515" s="135">
        <v>615375</v>
      </c>
      <c r="AR1515" s="135" t="s">
        <v>1717</v>
      </c>
      <c r="AS1515" s="136">
        <v>0.71399999999999997</v>
      </c>
      <c r="AU1515" s="7" t="str">
        <f>VLOOKUP($AO1515,Mapping!$E$11:$I$96,3,0)</f>
        <v>Augmentation</v>
      </c>
      <c r="AV1515" s="7" t="str">
        <f>VLOOKUP($AQ1515,Mapping!$E$140:$K$2771,5,0)</f>
        <v>Labour</v>
      </c>
      <c r="AW1515" s="7" t="str">
        <f>VLOOKUP($AQ1515,Mapping!$E$140:$K$2771,7,0)</f>
        <v>ENDirect</v>
      </c>
      <c r="AX1515" s="7" t="str">
        <f>IFERROR(HLOOKUP(AV1515,'Calc|Weightings'!$K$5:$M$5,1,0),"Excl")</f>
        <v>Labour</v>
      </c>
      <c r="AY1515" s="7" t="str">
        <f>VLOOKUP(AO1515,Mapping!$E$11:$I$96,5,0)</f>
        <v>SCS</v>
      </c>
    </row>
    <row r="1516" spans="1:51" x14ac:dyDescent="0.2">
      <c r="A1516" s="7"/>
      <c r="B1516" s="7"/>
      <c r="C1516" s="7"/>
      <c r="D1516" s="7"/>
      <c r="E1516" s="36">
        <v>154</v>
      </c>
      <c r="F1516" s="36" t="s">
        <v>2163</v>
      </c>
      <c r="G1516" s="36">
        <v>532140</v>
      </c>
      <c r="H1516" s="36" t="s">
        <v>288</v>
      </c>
      <c r="I1516" s="37">
        <v>4.68</v>
      </c>
      <c r="J1516" s="7"/>
      <c r="K1516" s="7" t="str">
        <f>VLOOKUP($E1516,Mapping!$E$11:$I$96,3,0)</f>
        <v>Replacement</v>
      </c>
      <c r="L1516" s="7" t="str">
        <f>VLOOKUP($G1516,Mapping!$E$140:$K$2771,5,0)</f>
        <v>Contracts</v>
      </c>
      <c r="M1516" s="7" t="str">
        <f>VLOOKUP($G1516,Mapping!$E$140:$K$2771,7,0)</f>
        <v>ENDirect</v>
      </c>
      <c r="N1516" s="7" t="str">
        <f>IFERROR(HLOOKUP(L1516,'Calc|Weightings'!$K$5:$M$5,1,0),"Excl")</f>
        <v>Contracts</v>
      </c>
      <c r="O1516" s="7" t="str">
        <f>VLOOKUP(E1516,Mapping!$E$11:$I$96,5,0)</f>
        <v>SCS</v>
      </c>
      <c r="Q1516" s="33">
        <v>162</v>
      </c>
      <c r="R1516" s="33" t="s">
        <v>2172</v>
      </c>
      <c r="S1516" s="33">
        <v>613440</v>
      </c>
      <c r="T1516" s="33" t="s">
        <v>2103</v>
      </c>
      <c r="U1516" s="34">
        <v>0.52214000000000005</v>
      </c>
      <c r="V1516" s="7"/>
      <c r="W1516" s="7" t="str">
        <f>VLOOKUP($Q1516,Mapping!$E$11:$I$96,3,0)</f>
        <v>Augmentation</v>
      </c>
      <c r="X1516" s="7" t="str">
        <f>VLOOKUP($S1516,Mapping!$E$140:$K$2771,5,0)</f>
        <v>Labour</v>
      </c>
      <c r="Y1516" s="7" t="str">
        <f>VLOOKUP($S1516,Mapping!$E$140:$K$2771,7,0)</f>
        <v>ENDirect</v>
      </c>
      <c r="Z1516" s="7" t="str">
        <f>IFERROR(HLOOKUP(X1516,'Calc|Weightings'!$K$5:$M$5,1,0),"Excl")</f>
        <v>Labour</v>
      </c>
      <c r="AA1516" s="7" t="str">
        <f>VLOOKUP(Q1516,Mapping!$E$11:$I$96,5,0)</f>
        <v>SCS</v>
      </c>
      <c r="AC1516" s="111">
        <v>162</v>
      </c>
      <c r="AD1516" s="111" t="s">
        <v>2172</v>
      </c>
      <c r="AE1516" s="111">
        <v>532100</v>
      </c>
      <c r="AF1516" s="111" t="s">
        <v>286</v>
      </c>
      <c r="AG1516" s="112">
        <v>8.2839999999999997E-2</v>
      </c>
      <c r="AI1516" s="7" t="str">
        <f>VLOOKUP($AC1516,Mapping!$E$11:$I$96,3,0)</f>
        <v>Augmentation</v>
      </c>
      <c r="AJ1516" s="7" t="str">
        <f>VLOOKUP($AE1516,Mapping!$E$140:$K$2771,5,0)</f>
        <v>Contracts</v>
      </c>
      <c r="AK1516" s="7" t="str">
        <f>VLOOKUP($AE1516,Mapping!$E$140:$K$2771,7,0)</f>
        <v>ENDirect</v>
      </c>
      <c r="AL1516" s="7" t="str">
        <f>IFERROR(HLOOKUP(AJ1516,'Calc|Weightings'!$K$5:$M$5,1,0),"Excl")</f>
        <v>Contracts</v>
      </c>
      <c r="AM1516" s="7" t="str">
        <f>VLOOKUP(AC1516,Mapping!$E$11:$I$96,5,0)</f>
        <v>SCS</v>
      </c>
      <c r="AO1516" s="134">
        <v>166</v>
      </c>
      <c r="AP1516" s="135" t="s">
        <v>2174</v>
      </c>
      <c r="AQ1516" s="135">
        <v>615395</v>
      </c>
      <c r="AR1516" s="135" t="s">
        <v>2196</v>
      </c>
      <c r="AS1516" s="136">
        <v>3.39</v>
      </c>
      <c r="AU1516" s="7" t="str">
        <f>VLOOKUP($AO1516,Mapping!$E$11:$I$96,3,0)</f>
        <v>Augmentation</v>
      </c>
      <c r="AV1516" s="7" t="str">
        <f>VLOOKUP($AQ1516,Mapping!$E$140:$K$2771,5,0)</f>
        <v>Labour</v>
      </c>
      <c r="AW1516" s="7" t="str">
        <f>VLOOKUP($AQ1516,Mapping!$E$140:$K$2771,7,0)</f>
        <v>ENDirect</v>
      </c>
      <c r="AX1516" s="7" t="str">
        <f>IFERROR(HLOOKUP(AV1516,'Calc|Weightings'!$K$5:$M$5,1,0),"Excl")</f>
        <v>Labour</v>
      </c>
      <c r="AY1516" s="7" t="str">
        <f>VLOOKUP(AO1516,Mapping!$E$11:$I$96,5,0)</f>
        <v>SCS</v>
      </c>
    </row>
    <row r="1517" spans="1:51" x14ac:dyDescent="0.2">
      <c r="A1517" s="7"/>
      <c r="B1517" s="7"/>
      <c r="C1517" s="7"/>
      <c r="D1517" s="7"/>
      <c r="E1517" s="36">
        <v>154</v>
      </c>
      <c r="F1517" s="36" t="s">
        <v>2163</v>
      </c>
      <c r="G1517" s="36">
        <v>545150</v>
      </c>
      <c r="H1517" s="36" t="s">
        <v>345</v>
      </c>
      <c r="I1517" s="37">
        <v>3.7949999999999998E-2</v>
      </c>
      <c r="J1517" s="7"/>
      <c r="K1517" s="7" t="str">
        <f>VLOOKUP($E1517,Mapping!$E$11:$I$96,3,0)</f>
        <v>Replacement</v>
      </c>
      <c r="L1517" s="7" t="str">
        <f>VLOOKUP($G1517,Mapping!$E$140:$K$2771,5,0)</f>
        <v>Contracts</v>
      </c>
      <c r="M1517" s="7" t="str">
        <f>VLOOKUP($G1517,Mapping!$E$140:$K$2771,7,0)</f>
        <v>ENDirect</v>
      </c>
      <c r="N1517" s="7" t="str">
        <f>IFERROR(HLOOKUP(L1517,'Calc|Weightings'!$K$5:$M$5,1,0),"Excl")</f>
        <v>Contracts</v>
      </c>
      <c r="O1517" s="7" t="str">
        <f>VLOOKUP(E1517,Mapping!$E$11:$I$96,5,0)</f>
        <v>SCS</v>
      </c>
      <c r="Q1517" s="33">
        <v>162</v>
      </c>
      <c r="R1517" s="33" t="s">
        <v>2172</v>
      </c>
      <c r="S1517" s="33">
        <v>613441</v>
      </c>
      <c r="T1517" s="33" t="s">
        <v>2104</v>
      </c>
      <c r="U1517" s="34">
        <v>0.20343</v>
      </c>
      <c r="V1517" s="7"/>
      <c r="W1517" s="7" t="str">
        <f>VLOOKUP($Q1517,Mapping!$E$11:$I$96,3,0)</f>
        <v>Augmentation</v>
      </c>
      <c r="X1517" s="7" t="str">
        <f>VLOOKUP($S1517,Mapping!$E$140:$K$2771,5,0)</f>
        <v>Labour</v>
      </c>
      <c r="Y1517" s="7" t="str">
        <f>VLOOKUP($S1517,Mapping!$E$140:$K$2771,7,0)</f>
        <v>ENDirect</v>
      </c>
      <c r="Z1517" s="7" t="str">
        <f>IFERROR(HLOOKUP(X1517,'Calc|Weightings'!$K$5:$M$5,1,0),"Excl")</f>
        <v>Labour</v>
      </c>
      <c r="AA1517" s="7" t="str">
        <f>VLOOKUP(Q1517,Mapping!$E$11:$I$96,5,0)</f>
        <v>SCS</v>
      </c>
      <c r="AC1517" s="111">
        <v>162</v>
      </c>
      <c r="AD1517" s="111" t="s">
        <v>2172</v>
      </c>
      <c r="AE1517" s="111">
        <v>532140</v>
      </c>
      <c r="AF1517" s="111" t="s">
        <v>288</v>
      </c>
      <c r="AG1517" s="112">
        <v>12.39241</v>
      </c>
      <c r="AI1517" s="7" t="str">
        <f>VLOOKUP($AC1517,Mapping!$E$11:$I$96,3,0)</f>
        <v>Augmentation</v>
      </c>
      <c r="AJ1517" s="7" t="str">
        <f>VLOOKUP($AE1517,Mapping!$E$140:$K$2771,5,0)</f>
        <v>Contracts</v>
      </c>
      <c r="AK1517" s="7" t="str">
        <f>VLOOKUP($AE1517,Mapping!$E$140:$K$2771,7,0)</f>
        <v>ENDirect</v>
      </c>
      <c r="AL1517" s="7" t="str">
        <f>IFERROR(HLOOKUP(AJ1517,'Calc|Weightings'!$K$5:$M$5,1,0),"Excl")</f>
        <v>Contracts</v>
      </c>
      <c r="AM1517" s="7" t="str">
        <f>VLOOKUP(AC1517,Mapping!$E$11:$I$96,5,0)</f>
        <v>SCS</v>
      </c>
      <c r="AO1517" s="134">
        <v>166</v>
      </c>
      <c r="AP1517" s="135" t="s">
        <v>2174</v>
      </c>
      <c r="AQ1517" s="135">
        <v>634001</v>
      </c>
      <c r="AR1517" s="135" t="s">
        <v>2110</v>
      </c>
      <c r="AS1517" s="136">
        <v>13.62801</v>
      </c>
      <c r="AU1517" s="7" t="str">
        <f>VLOOKUP($AO1517,Mapping!$E$11:$I$96,3,0)</f>
        <v>Augmentation</v>
      </c>
      <c r="AV1517" s="7" t="str">
        <f>VLOOKUP($AQ1517,Mapping!$E$140:$K$2771,5,0)</f>
        <v>Local OH</v>
      </c>
      <c r="AW1517" s="7" t="str">
        <f>VLOOKUP($AQ1517,Mapping!$E$140:$K$2771,7,0)</f>
        <v>OH</v>
      </c>
      <c r="AX1517" s="7" t="str">
        <f>IFERROR(HLOOKUP(AV1517,'Calc|Weightings'!$K$5:$M$5,1,0),"Excl")</f>
        <v>Excl</v>
      </c>
      <c r="AY1517" s="7" t="str">
        <f>VLOOKUP(AO1517,Mapping!$E$11:$I$96,5,0)</f>
        <v>SCS</v>
      </c>
    </row>
    <row r="1518" spans="1:51" x14ac:dyDescent="0.2">
      <c r="A1518" s="7"/>
      <c r="B1518" s="7"/>
      <c r="C1518" s="7"/>
      <c r="D1518" s="7"/>
      <c r="E1518" s="36">
        <v>154</v>
      </c>
      <c r="F1518" s="36" t="s">
        <v>2163</v>
      </c>
      <c r="G1518" s="36">
        <v>591997</v>
      </c>
      <c r="H1518" s="36" t="s">
        <v>2194</v>
      </c>
      <c r="I1518" s="37">
        <v>0.21421999999999999</v>
      </c>
      <c r="J1518" s="7"/>
      <c r="K1518" s="7" t="str">
        <f>VLOOKUP($E1518,Mapping!$E$11:$I$96,3,0)</f>
        <v>Replacement</v>
      </c>
      <c r="L1518" s="7" t="str">
        <f>VLOOKUP($G1518,Mapping!$E$140:$K$2771,5,0)</f>
        <v>Contracts</v>
      </c>
      <c r="M1518" s="7" t="str">
        <f>VLOOKUP($G1518,Mapping!$E$140:$K$2771,7,0)</f>
        <v>ENDirect</v>
      </c>
      <c r="N1518" s="7" t="str">
        <f>IFERROR(HLOOKUP(L1518,'Calc|Weightings'!$K$5:$M$5,1,0),"Excl")</f>
        <v>Contracts</v>
      </c>
      <c r="O1518" s="7" t="str">
        <f>VLOOKUP(E1518,Mapping!$E$11:$I$96,5,0)</f>
        <v>SCS</v>
      </c>
      <c r="Q1518" s="33">
        <v>162</v>
      </c>
      <c r="R1518" s="33" t="s">
        <v>2172</v>
      </c>
      <c r="S1518" s="33">
        <v>613448</v>
      </c>
      <c r="T1518" s="33" t="s">
        <v>2105</v>
      </c>
      <c r="U1518" s="34">
        <v>2.2355</v>
      </c>
      <c r="V1518" s="7"/>
      <c r="W1518" s="7" t="str">
        <f>VLOOKUP($Q1518,Mapping!$E$11:$I$96,3,0)</f>
        <v>Augmentation</v>
      </c>
      <c r="X1518" s="7" t="str">
        <f>VLOOKUP($S1518,Mapping!$E$140:$K$2771,5,0)</f>
        <v>Labour</v>
      </c>
      <c r="Y1518" s="7" t="str">
        <f>VLOOKUP($S1518,Mapping!$E$140:$K$2771,7,0)</f>
        <v>ENDirect</v>
      </c>
      <c r="Z1518" s="7" t="str">
        <f>IFERROR(HLOOKUP(X1518,'Calc|Weightings'!$K$5:$M$5,1,0),"Excl")</f>
        <v>Labour</v>
      </c>
      <c r="AA1518" s="7" t="str">
        <f>VLOOKUP(Q1518,Mapping!$E$11:$I$96,5,0)</f>
        <v>SCS</v>
      </c>
      <c r="AC1518" s="111">
        <v>162</v>
      </c>
      <c r="AD1518" s="111" t="s">
        <v>2172</v>
      </c>
      <c r="AE1518" s="111">
        <v>532200</v>
      </c>
      <c r="AF1518" s="111" t="s">
        <v>291</v>
      </c>
      <c r="AG1518" s="112">
        <v>10.72606</v>
      </c>
      <c r="AI1518" s="7" t="str">
        <f>VLOOKUP($AC1518,Mapping!$E$11:$I$96,3,0)</f>
        <v>Augmentation</v>
      </c>
      <c r="AJ1518" s="7" t="str">
        <f>VLOOKUP($AE1518,Mapping!$E$140:$K$2771,5,0)</f>
        <v>Contracts</v>
      </c>
      <c r="AK1518" s="7" t="str">
        <f>VLOOKUP($AE1518,Mapping!$E$140:$K$2771,7,0)</f>
        <v>ENDirect</v>
      </c>
      <c r="AL1518" s="7" t="str">
        <f>IFERROR(HLOOKUP(AJ1518,'Calc|Weightings'!$K$5:$M$5,1,0),"Excl")</f>
        <v>Contracts</v>
      </c>
      <c r="AM1518" s="7" t="str">
        <f>VLOOKUP(AC1518,Mapping!$E$11:$I$96,5,0)</f>
        <v>SCS</v>
      </c>
      <c r="AO1518" s="134">
        <v>166</v>
      </c>
      <c r="AP1518" s="135" t="s">
        <v>2174</v>
      </c>
      <c r="AQ1518" s="135">
        <v>635001</v>
      </c>
      <c r="AR1518" s="135" t="s">
        <v>1929</v>
      </c>
      <c r="AS1518" s="136">
        <v>10.52488</v>
      </c>
      <c r="AU1518" s="7" t="str">
        <f>VLOOKUP($AO1518,Mapping!$E$11:$I$96,3,0)</f>
        <v>Augmentation</v>
      </c>
      <c r="AV1518" s="7" t="str">
        <f>VLOOKUP($AQ1518,Mapping!$E$140:$K$2771,5,0)</f>
        <v>PNS MG</v>
      </c>
      <c r="AW1518" s="7" t="str">
        <f>VLOOKUP($AQ1518,Mapping!$E$140:$K$2771,7,0)</f>
        <v>ENDirect</v>
      </c>
      <c r="AX1518" s="7" t="str">
        <f>IFERROR(HLOOKUP(AV1518,'Calc|Weightings'!$K$5:$M$5,1,0),"Excl")</f>
        <v>Excl</v>
      </c>
      <c r="AY1518" s="7" t="str">
        <f>VLOOKUP(AO1518,Mapping!$E$11:$I$96,5,0)</f>
        <v>SCS</v>
      </c>
    </row>
    <row r="1519" spans="1:51" x14ac:dyDescent="0.2">
      <c r="A1519" s="7"/>
      <c r="B1519" s="7"/>
      <c r="C1519" s="7"/>
      <c r="D1519" s="7"/>
      <c r="E1519" s="36">
        <v>154</v>
      </c>
      <c r="F1519" s="36" t="s">
        <v>2163</v>
      </c>
      <c r="G1519" s="36">
        <v>591999</v>
      </c>
      <c r="H1519" s="36" t="s">
        <v>2195</v>
      </c>
      <c r="I1519" s="37">
        <v>-1.0583199999999999</v>
      </c>
      <c r="J1519" s="7"/>
      <c r="K1519" s="7" t="str">
        <f>VLOOKUP($E1519,Mapping!$E$11:$I$96,3,0)</f>
        <v>Replacement</v>
      </c>
      <c r="L1519" s="7" t="str">
        <f>VLOOKUP($G1519,Mapping!$E$140:$K$2771,5,0)</f>
        <v>Contracts</v>
      </c>
      <c r="M1519" s="7" t="str">
        <f>VLOOKUP($G1519,Mapping!$E$140:$K$2771,7,0)</f>
        <v>ENDirect</v>
      </c>
      <c r="N1519" s="7" t="str">
        <f>IFERROR(HLOOKUP(L1519,'Calc|Weightings'!$K$5:$M$5,1,0),"Excl")</f>
        <v>Contracts</v>
      </c>
      <c r="O1519" s="7" t="str">
        <f>VLOOKUP(E1519,Mapping!$E$11:$I$96,5,0)</f>
        <v>SCS</v>
      </c>
      <c r="Q1519" s="33">
        <v>162</v>
      </c>
      <c r="R1519" s="33" t="s">
        <v>2172</v>
      </c>
      <c r="S1519" s="33">
        <v>613566</v>
      </c>
      <c r="T1519" s="33" t="s">
        <v>1482</v>
      </c>
      <c r="U1519" s="34">
        <v>15.21185</v>
      </c>
      <c r="V1519" s="7"/>
      <c r="W1519" s="7" t="str">
        <f>VLOOKUP($Q1519,Mapping!$E$11:$I$96,3,0)</f>
        <v>Augmentation</v>
      </c>
      <c r="X1519" s="7" t="str">
        <f>VLOOKUP($S1519,Mapping!$E$140:$K$2771,5,0)</f>
        <v>Labour</v>
      </c>
      <c r="Y1519" s="7" t="str">
        <f>VLOOKUP($S1519,Mapping!$E$140:$K$2771,7,0)</f>
        <v>ENDirect</v>
      </c>
      <c r="Z1519" s="7" t="str">
        <f>IFERROR(HLOOKUP(X1519,'Calc|Weightings'!$K$5:$M$5,1,0),"Excl")</f>
        <v>Labour</v>
      </c>
      <c r="AA1519" s="7" t="str">
        <f>VLOOKUP(Q1519,Mapping!$E$11:$I$96,5,0)</f>
        <v>SCS</v>
      </c>
      <c r="AC1519" s="111">
        <v>162</v>
      </c>
      <c r="AD1519" s="111" t="s">
        <v>2172</v>
      </c>
      <c r="AE1519" s="111">
        <v>532420</v>
      </c>
      <c r="AF1519" s="111" t="s">
        <v>307</v>
      </c>
      <c r="AG1519" s="112">
        <v>0.32313999999999998</v>
      </c>
      <c r="AI1519" s="7" t="str">
        <f>VLOOKUP($AC1519,Mapping!$E$11:$I$96,3,0)</f>
        <v>Augmentation</v>
      </c>
      <c r="AJ1519" s="7" t="str">
        <f>VLOOKUP($AE1519,Mapping!$E$140:$K$2771,5,0)</f>
        <v>Contracts</v>
      </c>
      <c r="AK1519" s="7" t="str">
        <f>VLOOKUP($AE1519,Mapping!$E$140:$K$2771,7,0)</f>
        <v>ENDirect</v>
      </c>
      <c r="AL1519" s="7" t="str">
        <f>IFERROR(HLOOKUP(AJ1519,'Calc|Weightings'!$K$5:$M$5,1,0),"Excl")</f>
        <v>Contracts</v>
      </c>
      <c r="AM1519" s="7" t="str">
        <f>VLOOKUP(AC1519,Mapping!$E$11:$I$96,5,0)</f>
        <v>SCS</v>
      </c>
      <c r="AO1519" s="134">
        <v>166</v>
      </c>
      <c r="AP1519" s="135" t="s">
        <v>2174</v>
      </c>
      <c r="AQ1519" s="135">
        <v>636001</v>
      </c>
      <c r="AR1519" s="135" t="s">
        <v>2111</v>
      </c>
      <c r="AS1519" s="136">
        <v>8.6187900000000006</v>
      </c>
      <c r="AU1519" s="7" t="str">
        <f>VLOOKUP($AO1519,Mapping!$E$11:$I$96,3,0)</f>
        <v>Augmentation</v>
      </c>
      <c r="AV1519" s="7" t="str">
        <f>VLOOKUP($AQ1519,Mapping!$E$140:$K$2771,5,0)</f>
        <v>System Control OH</v>
      </c>
      <c r="AW1519" s="7" t="str">
        <f>VLOOKUP($AQ1519,Mapping!$E$140:$K$2771,7,0)</f>
        <v>OH</v>
      </c>
      <c r="AX1519" s="7" t="str">
        <f>IFERROR(HLOOKUP(AV1519,'Calc|Weightings'!$K$5:$M$5,1,0),"Excl")</f>
        <v>Excl</v>
      </c>
      <c r="AY1519" s="7" t="str">
        <f>VLOOKUP(AO1519,Mapping!$E$11:$I$96,5,0)</f>
        <v>SCS</v>
      </c>
    </row>
    <row r="1520" spans="1:51" x14ac:dyDescent="0.2">
      <c r="A1520" s="7"/>
      <c r="B1520" s="7"/>
      <c r="C1520" s="7"/>
      <c r="D1520" s="7"/>
      <c r="E1520" s="36">
        <v>154</v>
      </c>
      <c r="F1520" s="36" t="s">
        <v>2163</v>
      </c>
      <c r="G1520" s="36">
        <v>611860</v>
      </c>
      <c r="H1520" s="36" t="s">
        <v>2125</v>
      </c>
      <c r="I1520" s="37">
        <v>-10.996449999999999</v>
      </c>
      <c r="J1520" s="7"/>
      <c r="K1520" s="7" t="str">
        <f>VLOOKUP($E1520,Mapping!$E$11:$I$96,3,0)</f>
        <v>Replacement</v>
      </c>
      <c r="L1520" s="7" t="str">
        <f>VLOOKUP($G1520,Mapping!$E$140:$K$2771,5,0)</f>
        <v>Labour</v>
      </c>
      <c r="M1520" s="7" t="str">
        <f>VLOOKUP($G1520,Mapping!$E$140:$K$2771,7,0)</f>
        <v>ENDirect</v>
      </c>
      <c r="N1520" s="7" t="str">
        <f>IFERROR(HLOOKUP(L1520,'Calc|Weightings'!$K$5:$M$5,1,0),"Excl")</f>
        <v>Labour</v>
      </c>
      <c r="O1520" s="7" t="str">
        <f>VLOOKUP(E1520,Mapping!$E$11:$I$96,5,0)</f>
        <v>SCS</v>
      </c>
      <c r="Q1520" s="33">
        <v>162</v>
      </c>
      <c r="R1520" s="33" t="s">
        <v>2172</v>
      </c>
      <c r="S1520" s="33">
        <v>613567</v>
      </c>
      <c r="T1520" s="33" t="s">
        <v>1483</v>
      </c>
      <c r="U1520" s="34">
        <v>1.4745699999999999</v>
      </c>
      <c r="V1520" s="7"/>
      <c r="W1520" s="7" t="str">
        <f>VLOOKUP($Q1520,Mapping!$E$11:$I$96,3,0)</f>
        <v>Augmentation</v>
      </c>
      <c r="X1520" s="7" t="str">
        <f>VLOOKUP($S1520,Mapping!$E$140:$K$2771,5,0)</f>
        <v>Labour</v>
      </c>
      <c r="Y1520" s="7" t="str">
        <f>VLOOKUP($S1520,Mapping!$E$140:$K$2771,7,0)</f>
        <v>ENDirect</v>
      </c>
      <c r="Z1520" s="7" t="str">
        <f>IFERROR(HLOOKUP(X1520,'Calc|Weightings'!$K$5:$M$5,1,0),"Excl")</f>
        <v>Labour</v>
      </c>
      <c r="AA1520" s="7" t="str">
        <f>VLOOKUP(Q1520,Mapping!$E$11:$I$96,5,0)</f>
        <v>SCS</v>
      </c>
      <c r="AC1520" s="111">
        <v>162</v>
      </c>
      <c r="AD1520" s="111" t="s">
        <v>2172</v>
      </c>
      <c r="AE1520" s="111">
        <v>545150</v>
      </c>
      <c r="AF1520" s="111" t="s">
        <v>345</v>
      </c>
      <c r="AG1520" s="112">
        <v>0.76859</v>
      </c>
      <c r="AI1520" s="7" t="str">
        <f>VLOOKUP($AC1520,Mapping!$E$11:$I$96,3,0)</f>
        <v>Augmentation</v>
      </c>
      <c r="AJ1520" s="7" t="str">
        <f>VLOOKUP($AE1520,Mapping!$E$140:$K$2771,5,0)</f>
        <v>Contracts</v>
      </c>
      <c r="AK1520" s="7" t="str">
        <f>VLOOKUP($AE1520,Mapping!$E$140:$K$2771,7,0)</f>
        <v>ENDirect</v>
      </c>
      <c r="AL1520" s="7" t="str">
        <f>IFERROR(HLOOKUP(AJ1520,'Calc|Weightings'!$K$5:$M$5,1,0),"Excl")</f>
        <v>Contracts</v>
      </c>
      <c r="AM1520" s="7" t="str">
        <f>VLOOKUP(AC1520,Mapping!$E$11:$I$96,5,0)</f>
        <v>SCS</v>
      </c>
      <c r="AO1520" s="134">
        <v>166</v>
      </c>
      <c r="AP1520" s="135" t="s">
        <v>2174</v>
      </c>
      <c r="AQ1520" s="135">
        <v>639000</v>
      </c>
      <c r="AR1520" s="135" t="s">
        <v>2112</v>
      </c>
      <c r="AS1520" s="136">
        <v>9.1517099999999996</v>
      </c>
      <c r="AU1520" s="7" t="str">
        <f>VLOOKUP($AO1520,Mapping!$E$11:$I$96,3,0)</f>
        <v>Augmentation</v>
      </c>
      <c r="AV1520" s="7" t="str">
        <f>VLOOKUP($AQ1520,Mapping!$E$140:$K$2771,5,0)</f>
        <v>PNS Corporate OH</v>
      </c>
      <c r="AW1520" s="7" t="str">
        <f>VLOOKUP($AQ1520,Mapping!$E$140:$K$2771,7,0)</f>
        <v>OH</v>
      </c>
      <c r="AX1520" s="7" t="str">
        <f>IFERROR(HLOOKUP(AV1520,'Calc|Weightings'!$K$5:$M$5,1,0),"Excl")</f>
        <v>Excl</v>
      </c>
      <c r="AY1520" s="7" t="str">
        <f>VLOOKUP(AO1520,Mapping!$E$11:$I$96,5,0)</f>
        <v>SCS</v>
      </c>
    </row>
    <row r="1521" spans="1:51" x14ac:dyDescent="0.2">
      <c r="A1521" s="7"/>
      <c r="B1521" s="7"/>
      <c r="C1521" s="7"/>
      <c r="D1521" s="7"/>
      <c r="E1521" s="36">
        <v>154</v>
      </c>
      <c r="F1521" s="36" t="s">
        <v>2163</v>
      </c>
      <c r="G1521" s="36">
        <v>611901</v>
      </c>
      <c r="H1521" s="36" t="s">
        <v>2080</v>
      </c>
      <c r="I1521" s="37">
        <v>7.8170000000000003E-2</v>
      </c>
      <c r="J1521" s="7"/>
      <c r="K1521" s="7" t="str">
        <f>VLOOKUP($E1521,Mapping!$E$11:$I$96,3,0)</f>
        <v>Replacement</v>
      </c>
      <c r="L1521" s="7" t="str">
        <f>VLOOKUP($G1521,Mapping!$E$140:$K$2771,5,0)</f>
        <v>Contracts</v>
      </c>
      <c r="M1521" s="7" t="str">
        <f>VLOOKUP($G1521,Mapping!$E$140:$K$2771,7,0)</f>
        <v>ENDirect</v>
      </c>
      <c r="N1521" s="7" t="str">
        <f>IFERROR(HLOOKUP(L1521,'Calc|Weightings'!$K$5:$M$5,1,0),"Excl")</f>
        <v>Contracts</v>
      </c>
      <c r="O1521" s="7" t="str">
        <f>VLOOKUP(E1521,Mapping!$E$11:$I$96,5,0)</f>
        <v>SCS</v>
      </c>
      <c r="Q1521" s="33">
        <v>162</v>
      </c>
      <c r="R1521" s="33" t="s">
        <v>2172</v>
      </c>
      <c r="S1521" s="33">
        <v>613570</v>
      </c>
      <c r="T1521" s="33" t="s">
        <v>1484</v>
      </c>
      <c r="U1521" s="34">
        <v>1.4020600000000001</v>
      </c>
      <c r="V1521" s="7"/>
      <c r="W1521" s="7" t="str">
        <f>VLOOKUP($Q1521,Mapping!$E$11:$I$96,3,0)</f>
        <v>Augmentation</v>
      </c>
      <c r="X1521" s="7" t="str">
        <f>VLOOKUP($S1521,Mapping!$E$140:$K$2771,5,0)</f>
        <v>Labour</v>
      </c>
      <c r="Y1521" s="7" t="str">
        <f>VLOOKUP($S1521,Mapping!$E$140:$K$2771,7,0)</f>
        <v>ENDirect</v>
      </c>
      <c r="Z1521" s="7" t="str">
        <f>IFERROR(HLOOKUP(X1521,'Calc|Weightings'!$K$5:$M$5,1,0),"Excl")</f>
        <v>Labour</v>
      </c>
      <c r="AA1521" s="7" t="str">
        <f>VLOOKUP(Q1521,Mapping!$E$11:$I$96,5,0)</f>
        <v>SCS</v>
      </c>
      <c r="AC1521" s="111">
        <v>162</v>
      </c>
      <c r="AD1521" s="111" t="s">
        <v>2172</v>
      </c>
      <c r="AE1521" s="111">
        <v>555000</v>
      </c>
      <c r="AF1521" s="111" t="s">
        <v>367</v>
      </c>
      <c r="AG1521" s="112">
        <v>26.722639999999998</v>
      </c>
      <c r="AI1521" s="7" t="str">
        <f>VLOOKUP($AC1521,Mapping!$E$11:$I$96,3,0)</f>
        <v>Augmentation</v>
      </c>
      <c r="AJ1521" s="7" t="str">
        <f>VLOOKUP($AE1521,Mapping!$E$140:$K$2771,5,0)</f>
        <v>Contracts</v>
      </c>
      <c r="AK1521" s="7" t="str">
        <f>VLOOKUP($AE1521,Mapping!$E$140:$K$2771,7,0)</f>
        <v>ENDirect</v>
      </c>
      <c r="AL1521" s="7" t="str">
        <f>IFERROR(HLOOKUP(AJ1521,'Calc|Weightings'!$K$5:$M$5,1,0),"Excl")</f>
        <v>Contracts</v>
      </c>
      <c r="AM1521" s="7" t="str">
        <f>VLOOKUP(AC1521,Mapping!$E$11:$I$96,5,0)</f>
        <v>SCS</v>
      </c>
      <c r="AO1521" s="134">
        <v>166</v>
      </c>
      <c r="AP1521" s="135" t="s">
        <v>2174</v>
      </c>
      <c r="AQ1521" s="135">
        <v>639050</v>
      </c>
      <c r="AR1521" s="135" t="s">
        <v>2113</v>
      </c>
      <c r="AS1521" s="136">
        <v>2.1948400000000001</v>
      </c>
      <c r="AU1521" s="7" t="str">
        <f>VLOOKUP($AO1521,Mapping!$E$11:$I$96,3,0)</f>
        <v>Augmentation</v>
      </c>
      <c r="AV1521" s="7" t="str">
        <f>VLOOKUP($AQ1521,Mapping!$E$140:$K$2771,5,0)</f>
        <v>PNS Fleet &amp; Property OH</v>
      </c>
      <c r="AW1521" s="7" t="str">
        <f>VLOOKUP($AQ1521,Mapping!$E$140:$K$2771,7,0)</f>
        <v>OH</v>
      </c>
      <c r="AX1521" s="7" t="str">
        <f>IFERROR(HLOOKUP(AV1521,'Calc|Weightings'!$K$5:$M$5,1,0),"Excl")</f>
        <v>Excl</v>
      </c>
      <c r="AY1521" s="7" t="str">
        <f>VLOOKUP(AO1521,Mapping!$E$11:$I$96,5,0)</f>
        <v>SCS</v>
      </c>
    </row>
    <row r="1522" spans="1:51" x14ac:dyDescent="0.2">
      <c r="A1522" s="7"/>
      <c r="B1522" s="7"/>
      <c r="C1522" s="7"/>
      <c r="D1522" s="7"/>
      <c r="E1522" s="36">
        <v>154</v>
      </c>
      <c r="F1522" s="36" t="s">
        <v>2163</v>
      </c>
      <c r="G1522" s="36">
        <v>613240</v>
      </c>
      <c r="H1522" s="36" t="s">
        <v>2082</v>
      </c>
      <c r="I1522" s="37">
        <v>-0.12044000000000001</v>
      </c>
      <c r="J1522" s="7"/>
      <c r="K1522" s="7" t="str">
        <f>VLOOKUP($E1522,Mapping!$E$11:$I$96,3,0)</f>
        <v>Replacement</v>
      </c>
      <c r="L1522" s="7" t="str">
        <f>VLOOKUP($G1522,Mapping!$E$140:$K$2771,5,0)</f>
        <v>Labour</v>
      </c>
      <c r="M1522" s="7" t="str">
        <f>VLOOKUP($G1522,Mapping!$E$140:$K$2771,7,0)</f>
        <v>ENDirect</v>
      </c>
      <c r="N1522" s="7" t="str">
        <f>IFERROR(HLOOKUP(L1522,'Calc|Weightings'!$K$5:$M$5,1,0),"Excl")</f>
        <v>Labour</v>
      </c>
      <c r="O1522" s="7" t="str">
        <f>VLOOKUP(E1522,Mapping!$E$11:$I$96,5,0)</f>
        <v>SCS</v>
      </c>
      <c r="Q1522" s="33">
        <v>162</v>
      </c>
      <c r="R1522" s="33" t="s">
        <v>2172</v>
      </c>
      <c r="S1522" s="33">
        <v>613571</v>
      </c>
      <c r="T1522" s="33" t="s">
        <v>1485</v>
      </c>
      <c r="U1522" s="34">
        <v>1.5258799999999999</v>
      </c>
      <c r="V1522" s="7"/>
      <c r="W1522" s="7" t="str">
        <f>VLOOKUP($Q1522,Mapping!$E$11:$I$96,3,0)</f>
        <v>Augmentation</v>
      </c>
      <c r="X1522" s="7" t="str">
        <f>VLOOKUP($S1522,Mapping!$E$140:$K$2771,5,0)</f>
        <v>Labour</v>
      </c>
      <c r="Y1522" s="7" t="str">
        <f>VLOOKUP($S1522,Mapping!$E$140:$K$2771,7,0)</f>
        <v>ENDirect</v>
      </c>
      <c r="Z1522" s="7" t="str">
        <f>IFERROR(HLOOKUP(X1522,'Calc|Weightings'!$K$5:$M$5,1,0),"Excl")</f>
        <v>Labour</v>
      </c>
      <c r="AA1522" s="7" t="str">
        <f>VLOOKUP(Q1522,Mapping!$E$11:$I$96,5,0)</f>
        <v>SCS</v>
      </c>
      <c r="AC1522" s="111">
        <v>162</v>
      </c>
      <c r="AD1522" s="111" t="s">
        <v>2172</v>
      </c>
      <c r="AE1522" s="111">
        <v>582300</v>
      </c>
      <c r="AF1522" s="111" t="s">
        <v>381</v>
      </c>
      <c r="AG1522" s="112">
        <v>0.40949999999999998</v>
      </c>
      <c r="AI1522" s="7" t="str">
        <f>VLOOKUP($AC1522,Mapping!$E$11:$I$96,3,0)</f>
        <v>Augmentation</v>
      </c>
      <c r="AJ1522" s="7" t="str">
        <f>VLOOKUP($AE1522,Mapping!$E$140:$K$2771,5,0)</f>
        <v>Contracts</v>
      </c>
      <c r="AK1522" s="7" t="str">
        <f>VLOOKUP($AE1522,Mapping!$E$140:$K$2771,7,0)</f>
        <v>ENDirect</v>
      </c>
      <c r="AL1522" s="7" t="str">
        <f>IFERROR(HLOOKUP(AJ1522,'Calc|Weightings'!$K$5:$M$5,1,0),"Excl")</f>
        <v>Contracts</v>
      </c>
      <c r="AM1522" s="7" t="str">
        <f>VLOOKUP(AC1522,Mapping!$E$11:$I$96,5,0)</f>
        <v>SCS</v>
      </c>
      <c r="AO1522" s="134">
        <v>167</v>
      </c>
      <c r="AP1522" s="135" t="s">
        <v>2423</v>
      </c>
      <c r="AQ1522" s="135">
        <v>520100</v>
      </c>
      <c r="AR1522" s="135" t="s">
        <v>2072</v>
      </c>
      <c r="AS1522" s="136">
        <v>1.34511</v>
      </c>
      <c r="AU1522" s="7" t="str">
        <f>VLOOKUP($AO1522,Mapping!$E$11:$I$96,3,0)</f>
        <v>VBRC Calc</v>
      </c>
      <c r="AV1522" s="7" t="str">
        <f>VLOOKUP($AQ1522,Mapping!$E$140:$K$2771,5,0)</f>
        <v>Materials</v>
      </c>
      <c r="AW1522" s="7" t="str">
        <f>VLOOKUP($AQ1522,Mapping!$E$140:$K$2771,7,0)</f>
        <v>ENDirect</v>
      </c>
      <c r="AX1522" s="7" t="str">
        <f>IFERROR(HLOOKUP(AV1522,'Calc|Weightings'!$K$5:$M$5,1,0),"Excl")</f>
        <v>Materials</v>
      </c>
      <c r="AY1522" s="7" t="str">
        <f>VLOOKUP(AO1522,Mapping!$E$11:$I$96,5,0)</f>
        <v>SCS</v>
      </c>
    </row>
    <row r="1523" spans="1:51" x14ac:dyDescent="0.2">
      <c r="A1523" s="7"/>
      <c r="B1523" s="7"/>
      <c r="C1523" s="7"/>
      <c r="D1523" s="7"/>
      <c r="E1523" s="36">
        <v>154</v>
      </c>
      <c r="F1523" s="36" t="s">
        <v>2163</v>
      </c>
      <c r="G1523" s="36">
        <v>613248</v>
      </c>
      <c r="H1523" s="36" t="s">
        <v>2383</v>
      </c>
      <c r="I1523" s="37">
        <v>0.48683999999999999</v>
      </c>
      <c r="J1523" s="7"/>
      <c r="K1523" s="7" t="str">
        <f>VLOOKUP($E1523,Mapping!$E$11:$I$96,3,0)</f>
        <v>Replacement</v>
      </c>
      <c r="L1523" s="7" t="str">
        <f>VLOOKUP($G1523,Mapping!$E$140:$K$2771,5,0)</f>
        <v>Labour</v>
      </c>
      <c r="M1523" s="7" t="str">
        <f>VLOOKUP($G1523,Mapping!$E$140:$K$2771,7,0)</f>
        <v>ENDirect</v>
      </c>
      <c r="N1523" s="7" t="str">
        <f>IFERROR(HLOOKUP(L1523,'Calc|Weightings'!$K$5:$M$5,1,0),"Excl")</f>
        <v>Labour</v>
      </c>
      <c r="O1523" s="7" t="str">
        <f>VLOOKUP(E1523,Mapping!$E$11:$I$96,5,0)</f>
        <v>SCS</v>
      </c>
      <c r="Q1523" s="33">
        <v>162</v>
      </c>
      <c r="R1523" s="33" t="s">
        <v>2172</v>
      </c>
      <c r="S1523" s="33">
        <v>613574</v>
      </c>
      <c r="T1523" s="33" t="s">
        <v>1488</v>
      </c>
      <c r="U1523" s="34">
        <v>27.225090000000002</v>
      </c>
      <c r="V1523" s="7"/>
      <c r="W1523" s="7" t="str">
        <f>VLOOKUP($Q1523,Mapping!$E$11:$I$96,3,0)</f>
        <v>Augmentation</v>
      </c>
      <c r="X1523" s="7" t="str">
        <f>VLOOKUP($S1523,Mapping!$E$140:$K$2771,5,0)</f>
        <v>Labour</v>
      </c>
      <c r="Y1523" s="7" t="str">
        <f>VLOOKUP($S1523,Mapping!$E$140:$K$2771,7,0)</f>
        <v>ENDirect</v>
      </c>
      <c r="Z1523" s="7" t="str">
        <f>IFERROR(HLOOKUP(X1523,'Calc|Weightings'!$K$5:$M$5,1,0),"Excl")</f>
        <v>Labour</v>
      </c>
      <c r="AA1523" s="7" t="str">
        <f>VLOOKUP(Q1523,Mapping!$E$11:$I$96,5,0)</f>
        <v>SCS</v>
      </c>
      <c r="AC1523" s="111">
        <v>162</v>
      </c>
      <c r="AD1523" s="111" t="s">
        <v>2172</v>
      </c>
      <c r="AE1523" s="111">
        <v>591997</v>
      </c>
      <c r="AF1523" s="111" t="s">
        <v>2194</v>
      </c>
      <c r="AG1523" s="112">
        <v>-5.2795500000000004</v>
      </c>
      <c r="AI1523" s="7" t="str">
        <f>VLOOKUP($AC1523,Mapping!$E$11:$I$96,3,0)</f>
        <v>Augmentation</v>
      </c>
      <c r="AJ1523" s="7" t="str">
        <f>VLOOKUP($AE1523,Mapping!$E$140:$K$2771,5,0)</f>
        <v>Contracts</v>
      </c>
      <c r="AK1523" s="7" t="str">
        <f>VLOOKUP($AE1523,Mapping!$E$140:$K$2771,7,0)</f>
        <v>ENDirect</v>
      </c>
      <c r="AL1523" s="7" t="str">
        <f>IFERROR(HLOOKUP(AJ1523,'Calc|Weightings'!$K$5:$M$5,1,0),"Excl")</f>
        <v>Contracts</v>
      </c>
      <c r="AM1523" s="7" t="str">
        <f>VLOOKUP(AC1523,Mapping!$E$11:$I$96,5,0)</f>
        <v>SCS</v>
      </c>
      <c r="AO1523" s="134">
        <v>167</v>
      </c>
      <c r="AP1523" s="135" t="s">
        <v>2423</v>
      </c>
      <c r="AQ1523" s="135">
        <v>531464</v>
      </c>
      <c r="AR1523" s="135" t="s">
        <v>256</v>
      </c>
      <c r="AS1523" s="136">
        <v>3.1709999999999998</v>
      </c>
      <c r="AU1523" s="7" t="str">
        <f>VLOOKUP($AO1523,Mapping!$E$11:$I$96,3,0)</f>
        <v>VBRC Calc</v>
      </c>
      <c r="AV1523" s="7" t="str">
        <f>VLOOKUP($AQ1523,Mapping!$E$140:$K$2771,5,0)</f>
        <v>Contracts</v>
      </c>
      <c r="AW1523" s="7" t="str">
        <f>VLOOKUP($AQ1523,Mapping!$E$140:$K$2771,7,0)</f>
        <v>ENDirect</v>
      </c>
      <c r="AX1523" s="7" t="str">
        <f>IFERROR(HLOOKUP(AV1523,'Calc|Weightings'!$K$5:$M$5,1,0),"Excl")</f>
        <v>Contracts</v>
      </c>
      <c r="AY1523" s="7" t="str">
        <f>VLOOKUP(AO1523,Mapping!$E$11:$I$96,5,0)</f>
        <v>SCS</v>
      </c>
    </row>
    <row r="1524" spans="1:51" x14ac:dyDescent="0.2">
      <c r="A1524" s="7"/>
      <c r="B1524" s="7"/>
      <c r="C1524" s="7"/>
      <c r="D1524" s="7"/>
      <c r="E1524" s="36">
        <v>154</v>
      </c>
      <c r="F1524" s="36" t="s">
        <v>2163</v>
      </c>
      <c r="G1524" s="36">
        <v>613258</v>
      </c>
      <c r="H1524" s="36" t="s">
        <v>2356</v>
      </c>
      <c r="I1524" s="37">
        <v>0.53256000000000003</v>
      </c>
      <c r="J1524" s="7"/>
      <c r="K1524" s="7" t="str">
        <f>VLOOKUP($E1524,Mapping!$E$11:$I$96,3,0)</f>
        <v>Replacement</v>
      </c>
      <c r="L1524" s="7" t="str">
        <f>VLOOKUP($G1524,Mapping!$E$140:$K$2771,5,0)</f>
        <v>Labour</v>
      </c>
      <c r="M1524" s="7" t="str">
        <f>VLOOKUP($G1524,Mapping!$E$140:$K$2771,7,0)</f>
        <v>ENDirect</v>
      </c>
      <c r="N1524" s="7" t="str">
        <f>IFERROR(HLOOKUP(L1524,'Calc|Weightings'!$K$5:$M$5,1,0),"Excl")</f>
        <v>Labour</v>
      </c>
      <c r="O1524" s="7" t="str">
        <f>VLOOKUP(E1524,Mapping!$E$11:$I$96,5,0)</f>
        <v>SCS</v>
      </c>
      <c r="Q1524" s="33">
        <v>162</v>
      </c>
      <c r="R1524" s="33" t="s">
        <v>2172</v>
      </c>
      <c r="S1524" s="33">
        <v>613575</v>
      </c>
      <c r="T1524" s="33" t="s">
        <v>1489</v>
      </c>
      <c r="U1524" s="34">
        <v>2.5630799999999998</v>
      </c>
      <c r="V1524" s="7"/>
      <c r="W1524" s="7" t="str">
        <f>VLOOKUP($Q1524,Mapping!$E$11:$I$96,3,0)</f>
        <v>Augmentation</v>
      </c>
      <c r="X1524" s="7" t="str">
        <f>VLOOKUP($S1524,Mapping!$E$140:$K$2771,5,0)</f>
        <v>Labour</v>
      </c>
      <c r="Y1524" s="7" t="str">
        <f>VLOOKUP($S1524,Mapping!$E$140:$K$2771,7,0)</f>
        <v>ENDirect</v>
      </c>
      <c r="Z1524" s="7" t="str">
        <f>IFERROR(HLOOKUP(X1524,'Calc|Weightings'!$K$5:$M$5,1,0),"Excl")</f>
        <v>Labour</v>
      </c>
      <c r="AA1524" s="7" t="str">
        <f>VLOOKUP(Q1524,Mapping!$E$11:$I$96,5,0)</f>
        <v>SCS</v>
      </c>
      <c r="AC1524" s="111">
        <v>162</v>
      </c>
      <c r="AD1524" s="111" t="s">
        <v>2172</v>
      </c>
      <c r="AE1524" s="111">
        <v>591998</v>
      </c>
      <c r="AF1524" s="111" t="s">
        <v>2077</v>
      </c>
      <c r="AG1524" s="112">
        <v>-1.29691</v>
      </c>
      <c r="AI1524" s="7" t="str">
        <f>VLOOKUP($AC1524,Mapping!$E$11:$I$96,3,0)</f>
        <v>Augmentation</v>
      </c>
      <c r="AJ1524" s="7" t="str">
        <f>VLOOKUP($AE1524,Mapping!$E$140:$K$2771,5,0)</f>
        <v>Contracts</v>
      </c>
      <c r="AK1524" s="7" t="str">
        <f>VLOOKUP($AE1524,Mapping!$E$140:$K$2771,7,0)</f>
        <v>ENDirect</v>
      </c>
      <c r="AL1524" s="7" t="str">
        <f>IFERROR(HLOOKUP(AJ1524,'Calc|Weightings'!$K$5:$M$5,1,0),"Excl")</f>
        <v>Contracts</v>
      </c>
      <c r="AM1524" s="7" t="str">
        <f>VLOOKUP(AC1524,Mapping!$E$11:$I$96,5,0)</f>
        <v>SCS</v>
      </c>
      <c r="AO1524" s="134">
        <v>167</v>
      </c>
      <c r="AP1524" s="135" t="s">
        <v>2423</v>
      </c>
      <c r="AQ1524" s="135">
        <v>531467</v>
      </c>
      <c r="AR1524" s="135" t="s">
        <v>259</v>
      </c>
      <c r="AS1524" s="136">
        <v>3.6267</v>
      </c>
      <c r="AU1524" s="7" t="str">
        <f>VLOOKUP($AO1524,Mapping!$E$11:$I$96,3,0)</f>
        <v>VBRC Calc</v>
      </c>
      <c r="AV1524" s="7" t="str">
        <f>VLOOKUP($AQ1524,Mapping!$E$140:$K$2771,5,0)</f>
        <v>Contracts</v>
      </c>
      <c r="AW1524" s="7" t="str">
        <f>VLOOKUP($AQ1524,Mapping!$E$140:$K$2771,7,0)</f>
        <v>ENDirect</v>
      </c>
      <c r="AX1524" s="7" t="str">
        <f>IFERROR(HLOOKUP(AV1524,'Calc|Weightings'!$K$5:$M$5,1,0),"Excl")</f>
        <v>Contracts</v>
      </c>
      <c r="AY1524" s="7" t="str">
        <f>VLOOKUP(AO1524,Mapping!$E$11:$I$96,5,0)</f>
        <v>SCS</v>
      </c>
    </row>
    <row r="1525" spans="1:51" x14ac:dyDescent="0.2">
      <c r="A1525" s="7"/>
      <c r="B1525" s="7"/>
      <c r="C1525" s="7"/>
      <c r="D1525" s="7"/>
      <c r="E1525" s="36">
        <v>154</v>
      </c>
      <c r="F1525" s="36" t="s">
        <v>2163</v>
      </c>
      <c r="G1525" s="36">
        <v>613268</v>
      </c>
      <c r="H1525" s="36" t="s">
        <v>1335</v>
      </c>
      <c r="I1525" s="37">
        <v>4.8845999999999998</v>
      </c>
      <c r="J1525" s="7"/>
      <c r="K1525" s="7" t="str">
        <f>VLOOKUP($E1525,Mapping!$E$11:$I$96,3,0)</f>
        <v>Replacement</v>
      </c>
      <c r="L1525" s="7" t="str">
        <f>VLOOKUP($G1525,Mapping!$E$140:$K$2771,5,0)</f>
        <v>Labour</v>
      </c>
      <c r="M1525" s="7" t="str">
        <f>VLOOKUP($G1525,Mapping!$E$140:$K$2771,7,0)</f>
        <v>ENDirect</v>
      </c>
      <c r="N1525" s="7" t="str">
        <f>IFERROR(HLOOKUP(L1525,'Calc|Weightings'!$K$5:$M$5,1,0),"Excl")</f>
        <v>Labour</v>
      </c>
      <c r="O1525" s="7" t="str">
        <f>VLOOKUP(E1525,Mapping!$E$11:$I$96,5,0)</f>
        <v>SCS</v>
      </c>
      <c r="Q1525" s="33">
        <v>162</v>
      </c>
      <c r="R1525" s="33" t="s">
        <v>2172</v>
      </c>
      <c r="S1525" s="33">
        <v>613576</v>
      </c>
      <c r="T1525" s="33" t="s">
        <v>1490</v>
      </c>
      <c r="U1525" s="34">
        <v>21.279540000000001</v>
      </c>
      <c r="V1525" s="7"/>
      <c r="W1525" s="7" t="str">
        <f>VLOOKUP($Q1525,Mapping!$E$11:$I$96,3,0)</f>
        <v>Augmentation</v>
      </c>
      <c r="X1525" s="7" t="str">
        <f>VLOOKUP($S1525,Mapping!$E$140:$K$2771,5,0)</f>
        <v>Labour</v>
      </c>
      <c r="Y1525" s="7" t="str">
        <f>VLOOKUP($S1525,Mapping!$E$140:$K$2771,7,0)</f>
        <v>ENDirect</v>
      </c>
      <c r="Z1525" s="7" t="str">
        <f>IFERROR(HLOOKUP(X1525,'Calc|Weightings'!$K$5:$M$5,1,0),"Excl")</f>
        <v>Labour</v>
      </c>
      <c r="AA1525" s="7" t="str">
        <f>VLOOKUP(Q1525,Mapping!$E$11:$I$96,5,0)</f>
        <v>SCS</v>
      </c>
      <c r="AC1525" s="111">
        <v>162</v>
      </c>
      <c r="AD1525" s="111" t="s">
        <v>2172</v>
      </c>
      <c r="AE1525" s="111">
        <v>591999</v>
      </c>
      <c r="AF1525" s="111" t="s">
        <v>2195</v>
      </c>
      <c r="AG1525" s="112">
        <v>-25.150690000000001</v>
      </c>
      <c r="AI1525" s="7" t="str">
        <f>VLOOKUP($AC1525,Mapping!$E$11:$I$96,3,0)</f>
        <v>Augmentation</v>
      </c>
      <c r="AJ1525" s="7" t="str">
        <f>VLOOKUP($AE1525,Mapping!$E$140:$K$2771,5,0)</f>
        <v>Contracts</v>
      </c>
      <c r="AK1525" s="7" t="str">
        <f>VLOOKUP($AE1525,Mapping!$E$140:$K$2771,7,0)</f>
        <v>ENDirect</v>
      </c>
      <c r="AL1525" s="7" t="str">
        <f>IFERROR(HLOOKUP(AJ1525,'Calc|Weightings'!$K$5:$M$5,1,0),"Excl")</f>
        <v>Contracts</v>
      </c>
      <c r="AM1525" s="7" t="str">
        <f>VLOOKUP(AC1525,Mapping!$E$11:$I$96,5,0)</f>
        <v>SCS</v>
      </c>
      <c r="AO1525" s="134">
        <v>167</v>
      </c>
      <c r="AP1525" s="135" t="s">
        <v>2423</v>
      </c>
      <c r="AQ1525" s="135">
        <v>611900</v>
      </c>
      <c r="AR1525" s="135" t="s">
        <v>2079</v>
      </c>
      <c r="AS1525" s="136">
        <v>7.8390000000000001E-2</v>
      </c>
      <c r="AU1525" s="7" t="str">
        <f>VLOOKUP($AO1525,Mapping!$E$11:$I$96,3,0)</f>
        <v>VBRC Calc</v>
      </c>
      <c r="AV1525" s="7" t="str">
        <f>VLOOKUP($AQ1525,Mapping!$E$140:$K$2771,5,0)</f>
        <v>Contracts</v>
      </c>
      <c r="AW1525" s="7" t="str">
        <f>VLOOKUP($AQ1525,Mapping!$E$140:$K$2771,7,0)</f>
        <v>ENDirect</v>
      </c>
      <c r="AX1525" s="7" t="str">
        <f>IFERROR(HLOOKUP(AV1525,'Calc|Weightings'!$K$5:$M$5,1,0),"Excl")</f>
        <v>Contracts</v>
      </c>
      <c r="AY1525" s="7" t="str">
        <f>VLOOKUP(AO1525,Mapping!$E$11:$I$96,5,0)</f>
        <v>SCS</v>
      </c>
    </row>
    <row r="1526" spans="1:51" x14ac:dyDescent="0.2">
      <c r="A1526" s="7"/>
      <c r="B1526" s="7"/>
      <c r="C1526" s="7"/>
      <c r="D1526" s="7"/>
      <c r="E1526" s="36">
        <v>154</v>
      </c>
      <c r="F1526" s="36" t="s">
        <v>2163</v>
      </c>
      <c r="G1526" s="36">
        <v>613290</v>
      </c>
      <c r="H1526" s="36" t="s">
        <v>2093</v>
      </c>
      <c r="I1526" s="37">
        <v>23.523109999999999</v>
      </c>
      <c r="J1526" s="7"/>
      <c r="K1526" s="7" t="str">
        <f>VLOOKUP($E1526,Mapping!$E$11:$I$96,3,0)</f>
        <v>Replacement</v>
      </c>
      <c r="L1526" s="7" t="str">
        <f>VLOOKUP($G1526,Mapping!$E$140:$K$2771,5,0)</f>
        <v>Labour</v>
      </c>
      <c r="M1526" s="7" t="str">
        <f>VLOOKUP($G1526,Mapping!$E$140:$K$2771,7,0)</f>
        <v>ENDirect</v>
      </c>
      <c r="N1526" s="7" t="str">
        <f>IFERROR(HLOOKUP(L1526,'Calc|Weightings'!$K$5:$M$5,1,0),"Excl")</f>
        <v>Labour</v>
      </c>
      <c r="O1526" s="7" t="str">
        <f>VLOOKUP(E1526,Mapping!$E$11:$I$96,5,0)</f>
        <v>SCS</v>
      </c>
      <c r="Q1526" s="33">
        <v>162</v>
      </c>
      <c r="R1526" s="33" t="s">
        <v>2172</v>
      </c>
      <c r="S1526" s="33">
        <v>613602</v>
      </c>
      <c r="T1526" s="33" t="s">
        <v>1494</v>
      </c>
      <c r="U1526" s="34">
        <v>5.1276000000000002</v>
      </c>
      <c r="V1526" s="7"/>
      <c r="W1526" s="7" t="str">
        <f>VLOOKUP($Q1526,Mapping!$E$11:$I$96,3,0)</f>
        <v>Augmentation</v>
      </c>
      <c r="X1526" s="7" t="str">
        <f>VLOOKUP($S1526,Mapping!$E$140:$K$2771,5,0)</f>
        <v>Labour</v>
      </c>
      <c r="Y1526" s="7" t="str">
        <f>VLOOKUP($S1526,Mapping!$E$140:$K$2771,7,0)</f>
        <v>ENDirect</v>
      </c>
      <c r="Z1526" s="7" t="str">
        <f>IFERROR(HLOOKUP(X1526,'Calc|Weightings'!$K$5:$M$5,1,0),"Excl")</f>
        <v>Labour</v>
      </c>
      <c r="AA1526" s="7" t="str">
        <f>VLOOKUP(Q1526,Mapping!$E$11:$I$96,5,0)</f>
        <v>SCS</v>
      </c>
      <c r="AC1526" s="111">
        <v>162</v>
      </c>
      <c r="AD1526" s="111" t="s">
        <v>2172</v>
      </c>
      <c r="AE1526" s="111">
        <v>611900</v>
      </c>
      <c r="AF1526" s="111" t="s">
        <v>2079</v>
      </c>
      <c r="AG1526" s="112">
        <v>15.514010000000001</v>
      </c>
      <c r="AI1526" s="7" t="str">
        <f>VLOOKUP($AC1526,Mapping!$E$11:$I$96,3,0)</f>
        <v>Augmentation</v>
      </c>
      <c r="AJ1526" s="7" t="str">
        <f>VLOOKUP($AE1526,Mapping!$E$140:$K$2771,5,0)</f>
        <v>Contracts</v>
      </c>
      <c r="AK1526" s="7" t="str">
        <f>VLOOKUP($AE1526,Mapping!$E$140:$K$2771,7,0)</f>
        <v>ENDirect</v>
      </c>
      <c r="AL1526" s="7" t="str">
        <f>IFERROR(HLOOKUP(AJ1526,'Calc|Weightings'!$K$5:$M$5,1,0),"Excl")</f>
        <v>Contracts</v>
      </c>
      <c r="AM1526" s="7" t="str">
        <f>VLOOKUP(AC1526,Mapping!$E$11:$I$96,5,0)</f>
        <v>SCS</v>
      </c>
      <c r="AO1526" s="134">
        <v>167</v>
      </c>
      <c r="AP1526" s="135" t="s">
        <v>2423</v>
      </c>
      <c r="AQ1526" s="135">
        <v>613236</v>
      </c>
      <c r="AR1526" s="135" t="s">
        <v>2420</v>
      </c>
      <c r="AS1526" s="136">
        <v>0.30628</v>
      </c>
      <c r="AU1526" s="7" t="str">
        <f>VLOOKUP($AO1526,Mapping!$E$11:$I$96,3,0)</f>
        <v>VBRC Calc</v>
      </c>
      <c r="AV1526" s="7" t="str">
        <f>VLOOKUP($AQ1526,Mapping!$E$140:$K$2771,5,0)</f>
        <v>Labour</v>
      </c>
      <c r="AW1526" s="7" t="str">
        <f>VLOOKUP($AQ1526,Mapping!$E$140:$K$2771,7,0)</f>
        <v>ENDirect</v>
      </c>
      <c r="AX1526" s="7" t="str">
        <f>IFERROR(HLOOKUP(AV1526,'Calc|Weightings'!$K$5:$M$5,1,0),"Excl")</f>
        <v>Labour</v>
      </c>
      <c r="AY1526" s="7" t="str">
        <f>VLOOKUP(AO1526,Mapping!$E$11:$I$96,5,0)</f>
        <v>SCS</v>
      </c>
    </row>
    <row r="1527" spans="1:51" x14ac:dyDescent="0.2">
      <c r="A1527" s="7"/>
      <c r="B1527" s="7"/>
      <c r="C1527" s="7"/>
      <c r="D1527" s="7"/>
      <c r="E1527" s="36">
        <v>154</v>
      </c>
      <c r="F1527" s="36" t="s">
        <v>2163</v>
      </c>
      <c r="G1527" s="36">
        <v>613310</v>
      </c>
      <c r="H1527" s="36" t="s">
        <v>2095</v>
      </c>
      <c r="I1527" s="37">
        <v>0.50575999999999999</v>
      </c>
      <c r="J1527" s="7"/>
      <c r="K1527" s="7" t="str">
        <f>VLOOKUP($E1527,Mapping!$E$11:$I$96,3,0)</f>
        <v>Replacement</v>
      </c>
      <c r="L1527" s="7" t="str">
        <f>VLOOKUP($G1527,Mapping!$E$140:$K$2771,5,0)</f>
        <v>Labour</v>
      </c>
      <c r="M1527" s="7" t="str">
        <f>VLOOKUP($G1527,Mapping!$E$140:$K$2771,7,0)</f>
        <v>ENDirect</v>
      </c>
      <c r="N1527" s="7" t="str">
        <f>IFERROR(HLOOKUP(L1527,'Calc|Weightings'!$K$5:$M$5,1,0),"Excl")</f>
        <v>Labour</v>
      </c>
      <c r="O1527" s="7" t="str">
        <f>VLOOKUP(E1527,Mapping!$E$11:$I$96,5,0)</f>
        <v>SCS</v>
      </c>
      <c r="Q1527" s="33">
        <v>162</v>
      </c>
      <c r="R1527" s="33" t="s">
        <v>2172</v>
      </c>
      <c r="S1527" s="33">
        <v>613630</v>
      </c>
      <c r="T1527" s="33" t="s">
        <v>1498</v>
      </c>
      <c r="U1527" s="34">
        <v>4.1310700000000002</v>
      </c>
      <c r="V1527" s="7"/>
      <c r="W1527" s="7" t="str">
        <f>VLOOKUP($Q1527,Mapping!$E$11:$I$96,3,0)</f>
        <v>Augmentation</v>
      </c>
      <c r="X1527" s="7" t="str">
        <f>VLOOKUP($S1527,Mapping!$E$140:$K$2771,5,0)</f>
        <v>Labour</v>
      </c>
      <c r="Y1527" s="7" t="str">
        <f>VLOOKUP($S1527,Mapping!$E$140:$K$2771,7,0)</f>
        <v>ENDirect</v>
      </c>
      <c r="Z1527" s="7" t="str">
        <f>IFERROR(HLOOKUP(X1527,'Calc|Weightings'!$K$5:$M$5,1,0),"Excl")</f>
        <v>Labour</v>
      </c>
      <c r="AA1527" s="7" t="str">
        <f>VLOOKUP(Q1527,Mapping!$E$11:$I$96,5,0)</f>
        <v>SCS</v>
      </c>
      <c r="AC1527" s="111">
        <v>162</v>
      </c>
      <c r="AD1527" s="111" t="s">
        <v>2172</v>
      </c>
      <c r="AE1527" s="111">
        <v>611901</v>
      </c>
      <c r="AF1527" s="111" t="s">
        <v>2080</v>
      </c>
      <c r="AG1527" s="112">
        <v>16.073</v>
      </c>
      <c r="AI1527" s="7" t="str">
        <f>VLOOKUP($AC1527,Mapping!$E$11:$I$96,3,0)</f>
        <v>Augmentation</v>
      </c>
      <c r="AJ1527" s="7" t="str">
        <f>VLOOKUP($AE1527,Mapping!$E$140:$K$2771,5,0)</f>
        <v>Contracts</v>
      </c>
      <c r="AK1527" s="7" t="str">
        <f>VLOOKUP($AE1527,Mapping!$E$140:$K$2771,7,0)</f>
        <v>ENDirect</v>
      </c>
      <c r="AL1527" s="7" t="str">
        <f>IFERROR(HLOOKUP(AJ1527,'Calc|Weightings'!$K$5:$M$5,1,0),"Excl")</f>
        <v>Contracts</v>
      </c>
      <c r="AM1527" s="7" t="str">
        <f>VLOOKUP(AC1527,Mapping!$E$11:$I$96,5,0)</f>
        <v>SCS</v>
      </c>
      <c r="AO1527" s="134">
        <v>167</v>
      </c>
      <c r="AP1527" s="135" t="s">
        <v>2423</v>
      </c>
      <c r="AQ1527" s="135">
        <v>613240</v>
      </c>
      <c r="AR1527" s="135" t="s">
        <v>2082</v>
      </c>
      <c r="AS1527" s="136">
        <v>6.8291300000000001</v>
      </c>
      <c r="AU1527" s="7" t="str">
        <f>VLOOKUP($AO1527,Mapping!$E$11:$I$96,3,0)</f>
        <v>VBRC Calc</v>
      </c>
      <c r="AV1527" s="7" t="str">
        <f>VLOOKUP($AQ1527,Mapping!$E$140:$K$2771,5,0)</f>
        <v>Labour</v>
      </c>
      <c r="AW1527" s="7" t="str">
        <f>VLOOKUP($AQ1527,Mapping!$E$140:$K$2771,7,0)</f>
        <v>ENDirect</v>
      </c>
      <c r="AX1527" s="7" t="str">
        <f>IFERROR(HLOOKUP(AV1527,'Calc|Weightings'!$K$5:$M$5,1,0),"Excl")</f>
        <v>Labour</v>
      </c>
      <c r="AY1527" s="7" t="str">
        <f>VLOOKUP(AO1527,Mapping!$E$11:$I$96,5,0)</f>
        <v>SCS</v>
      </c>
    </row>
    <row r="1528" spans="1:51" x14ac:dyDescent="0.2">
      <c r="A1528" s="7"/>
      <c r="B1528" s="7"/>
      <c r="C1528" s="7"/>
      <c r="D1528" s="7"/>
      <c r="E1528" s="36">
        <v>154</v>
      </c>
      <c r="F1528" s="36" t="s">
        <v>2163</v>
      </c>
      <c r="G1528" s="36">
        <v>613311</v>
      </c>
      <c r="H1528" s="36" t="s">
        <v>2116</v>
      </c>
      <c r="I1528" s="37">
        <v>0.63219999999999998</v>
      </c>
      <c r="J1528" s="7"/>
      <c r="K1528" s="7" t="str">
        <f>VLOOKUP($E1528,Mapping!$E$11:$I$96,3,0)</f>
        <v>Replacement</v>
      </c>
      <c r="L1528" s="7" t="str">
        <f>VLOOKUP($G1528,Mapping!$E$140:$K$2771,5,0)</f>
        <v>Labour</v>
      </c>
      <c r="M1528" s="7" t="str">
        <f>VLOOKUP($G1528,Mapping!$E$140:$K$2771,7,0)</f>
        <v>ENDirect</v>
      </c>
      <c r="N1528" s="7" t="str">
        <f>IFERROR(HLOOKUP(L1528,'Calc|Weightings'!$K$5:$M$5,1,0),"Excl")</f>
        <v>Labour</v>
      </c>
      <c r="O1528" s="7" t="str">
        <f>VLOOKUP(E1528,Mapping!$E$11:$I$96,5,0)</f>
        <v>SCS</v>
      </c>
      <c r="Q1528" s="33">
        <v>162</v>
      </c>
      <c r="R1528" s="33" t="s">
        <v>2172</v>
      </c>
      <c r="S1528" s="33">
        <v>613680</v>
      </c>
      <c r="T1528" s="33" t="s">
        <v>2107</v>
      </c>
      <c r="U1528" s="34">
        <v>108.32111999999999</v>
      </c>
      <c r="V1528" s="7"/>
      <c r="W1528" s="7" t="str">
        <f>VLOOKUP($Q1528,Mapping!$E$11:$I$96,3,0)</f>
        <v>Augmentation</v>
      </c>
      <c r="X1528" s="7" t="str">
        <f>VLOOKUP($S1528,Mapping!$E$140:$K$2771,5,0)</f>
        <v>Labour</v>
      </c>
      <c r="Y1528" s="7" t="str">
        <f>VLOOKUP($S1528,Mapping!$E$140:$K$2771,7,0)</f>
        <v>ENDirect</v>
      </c>
      <c r="Z1528" s="7" t="str">
        <f>IFERROR(HLOOKUP(X1528,'Calc|Weightings'!$K$5:$M$5,1,0),"Excl")</f>
        <v>Labour</v>
      </c>
      <c r="AA1528" s="7" t="str">
        <f>VLOOKUP(Q1528,Mapping!$E$11:$I$96,5,0)</f>
        <v>SCS</v>
      </c>
      <c r="AC1528" s="111">
        <v>162</v>
      </c>
      <c r="AD1528" s="111" t="s">
        <v>2172</v>
      </c>
      <c r="AE1528" s="111">
        <v>611902</v>
      </c>
      <c r="AF1528" s="111" t="s">
        <v>2081</v>
      </c>
      <c r="AG1528" s="112">
        <v>0.21265000000000001</v>
      </c>
      <c r="AI1528" s="7" t="str">
        <f>VLOOKUP($AC1528,Mapping!$E$11:$I$96,3,0)</f>
        <v>Augmentation</v>
      </c>
      <c r="AJ1528" s="7" t="str">
        <f>VLOOKUP($AE1528,Mapping!$E$140:$K$2771,5,0)</f>
        <v>Contracts</v>
      </c>
      <c r="AK1528" s="7" t="str">
        <f>VLOOKUP($AE1528,Mapping!$E$140:$K$2771,7,0)</f>
        <v>ENDirect</v>
      </c>
      <c r="AL1528" s="7" t="str">
        <f>IFERROR(HLOOKUP(AJ1528,'Calc|Weightings'!$K$5:$M$5,1,0),"Excl")</f>
        <v>Contracts</v>
      </c>
      <c r="AM1528" s="7" t="str">
        <f>VLOOKUP(AC1528,Mapping!$E$11:$I$96,5,0)</f>
        <v>SCS</v>
      </c>
      <c r="AO1528" s="134">
        <v>167</v>
      </c>
      <c r="AP1528" s="135" t="s">
        <v>2423</v>
      </c>
      <c r="AQ1528" s="135">
        <v>613241</v>
      </c>
      <c r="AR1528" s="135" t="s">
        <v>2083</v>
      </c>
      <c r="AS1528" s="136">
        <v>0.32475999999999999</v>
      </c>
      <c r="AU1528" s="7" t="str">
        <f>VLOOKUP($AO1528,Mapping!$E$11:$I$96,3,0)</f>
        <v>VBRC Calc</v>
      </c>
      <c r="AV1528" s="7" t="str">
        <f>VLOOKUP($AQ1528,Mapping!$E$140:$K$2771,5,0)</f>
        <v>Labour</v>
      </c>
      <c r="AW1528" s="7" t="str">
        <f>VLOOKUP($AQ1528,Mapping!$E$140:$K$2771,7,0)</f>
        <v>ENDirect</v>
      </c>
      <c r="AX1528" s="7" t="str">
        <f>IFERROR(HLOOKUP(AV1528,'Calc|Weightings'!$K$5:$M$5,1,0),"Excl")</f>
        <v>Labour</v>
      </c>
      <c r="AY1528" s="7" t="str">
        <f>VLOOKUP(AO1528,Mapping!$E$11:$I$96,5,0)</f>
        <v>SCS</v>
      </c>
    </row>
    <row r="1529" spans="1:51" x14ac:dyDescent="0.2">
      <c r="A1529" s="7"/>
      <c r="B1529" s="7"/>
      <c r="C1529" s="7"/>
      <c r="D1529" s="7"/>
      <c r="E1529" s="36">
        <v>154</v>
      </c>
      <c r="F1529" s="36" t="s">
        <v>2163</v>
      </c>
      <c r="G1529" s="36">
        <v>613318</v>
      </c>
      <c r="H1529" s="36" t="s">
        <v>1360</v>
      </c>
      <c r="I1529" s="37">
        <v>3.2242199999999999</v>
      </c>
      <c r="J1529" s="7"/>
      <c r="K1529" s="7" t="str">
        <f>VLOOKUP($E1529,Mapping!$E$11:$I$96,3,0)</f>
        <v>Replacement</v>
      </c>
      <c r="L1529" s="7" t="str">
        <f>VLOOKUP($G1529,Mapping!$E$140:$K$2771,5,0)</f>
        <v>Labour</v>
      </c>
      <c r="M1529" s="7" t="str">
        <f>VLOOKUP($G1529,Mapping!$E$140:$K$2771,7,0)</f>
        <v>ENDirect</v>
      </c>
      <c r="N1529" s="7" t="str">
        <f>IFERROR(HLOOKUP(L1529,'Calc|Weightings'!$K$5:$M$5,1,0),"Excl")</f>
        <v>Labour</v>
      </c>
      <c r="O1529" s="7" t="str">
        <f>VLOOKUP(E1529,Mapping!$E$11:$I$96,5,0)</f>
        <v>SCS</v>
      </c>
      <c r="Q1529" s="33">
        <v>162</v>
      </c>
      <c r="R1529" s="33" t="s">
        <v>2172</v>
      </c>
      <c r="S1529" s="33">
        <v>613681</v>
      </c>
      <c r="T1529" s="33" t="s">
        <v>2108</v>
      </c>
      <c r="U1529" s="34">
        <v>0.99173999999999995</v>
      </c>
      <c r="V1529" s="7"/>
      <c r="W1529" s="7" t="str">
        <f>VLOOKUP($Q1529,Mapping!$E$11:$I$96,3,0)</f>
        <v>Augmentation</v>
      </c>
      <c r="X1529" s="7" t="str">
        <f>VLOOKUP($S1529,Mapping!$E$140:$K$2771,5,0)</f>
        <v>Labour</v>
      </c>
      <c r="Y1529" s="7" t="str">
        <f>VLOOKUP($S1529,Mapping!$E$140:$K$2771,7,0)</f>
        <v>ENDirect</v>
      </c>
      <c r="Z1529" s="7" t="str">
        <f>IFERROR(HLOOKUP(X1529,'Calc|Weightings'!$K$5:$M$5,1,0),"Excl")</f>
        <v>Labour</v>
      </c>
      <c r="AA1529" s="7" t="str">
        <f>VLOOKUP(Q1529,Mapping!$E$11:$I$96,5,0)</f>
        <v>SCS</v>
      </c>
      <c r="AC1529" s="111">
        <v>162</v>
      </c>
      <c r="AD1529" s="111" t="s">
        <v>2172</v>
      </c>
      <c r="AE1529" s="111">
        <v>612210</v>
      </c>
      <c r="AF1529" s="111" t="s">
        <v>1184</v>
      </c>
      <c r="AG1529" s="112">
        <v>23.229600000000001</v>
      </c>
      <c r="AI1529" s="7" t="str">
        <f>VLOOKUP($AC1529,Mapping!$E$11:$I$96,3,0)</f>
        <v>Augmentation</v>
      </c>
      <c r="AJ1529" s="7" t="str">
        <f>VLOOKUP($AE1529,Mapping!$E$140:$K$2771,5,0)</f>
        <v>Labour</v>
      </c>
      <c r="AK1529" s="7" t="str">
        <f>VLOOKUP($AE1529,Mapping!$E$140:$K$2771,7,0)</f>
        <v>ENDirect</v>
      </c>
      <c r="AL1529" s="7" t="str">
        <f>IFERROR(HLOOKUP(AJ1529,'Calc|Weightings'!$K$5:$M$5,1,0),"Excl")</f>
        <v>Labour</v>
      </c>
      <c r="AM1529" s="7" t="str">
        <f>VLOOKUP(AC1529,Mapping!$E$11:$I$96,5,0)</f>
        <v>SCS</v>
      </c>
      <c r="AO1529" s="134">
        <v>167</v>
      </c>
      <c r="AP1529" s="135" t="s">
        <v>2423</v>
      </c>
      <c r="AQ1529" s="135">
        <v>613250</v>
      </c>
      <c r="AR1529" s="135" t="s">
        <v>2086</v>
      </c>
      <c r="AS1529" s="136">
        <v>15.16086</v>
      </c>
      <c r="AU1529" s="7" t="str">
        <f>VLOOKUP($AO1529,Mapping!$E$11:$I$96,3,0)</f>
        <v>VBRC Calc</v>
      </c>
      <c r="AV1529" s="7" t="str">
        <f>VLOOKUP($AQ1529,Mapping!$E$140:$K$2771,5,0)</f>
        <v>Labour</v>
      </c>
      <c r="AW1529" s="7" t="str">
        <f>VLOOKUP($AQ1529,Mapping!$E$140:$K$2771,7,0)</f>
        <v>ENDirect</v>
      </c>
      <c r="AX1529" s="7" t="str">
        <f>IFERROR(HLOOKUP(AV1529,'Calc|Weightings'!$K$5:$M$5,1,0),"Excl")</f>
        <v>Labour</v>
      </c>
      <c r="AY1529" s="7" t="str">
        <f>VLOOKUP(AO1529,Mapping!$E$11:$I$96,5,0)</f>
        <v>SCS</v>
      </c>
    </row>
    <row r="1530" spans="1:51" x14ac:dyDescent="0.2">
      <c r="A1530" s="7"/>
      <c r="B1530" s="7"/>
      <c r="C1530" s="7"/>
      <c r="D1530" s="7"/>
      <c r="E1530" s="36">
        <v>154</v>
      </c>
      <c r="F1530" s="36" t="s">
        <v>2163</v>
      </c>
      <c r="G1530" s="36">
        <v>613410</v>
      </c>
      <c r="H1530" s="36" t="s">
        <v>2100</v>
      </c>
      <c r="I1530" s="37">
        <v>-5.5528000000000004</v>
      </c>
      <c r="J1530" s="7"/>
      <c r="K1530" s="7" t="str">
        <f>VLOOKUP($E1530,Mapping!$E$11:$I$96,3,0)</f>
        <v>Replacement</v>
      </c>
      <c r="L1530" s="7" t="str">
        <f>VLOOKUP($G1530,Mapping!$E$140:$K$2771,5,0)</f>
        <v>Labour</v>
      </c>
      <c r="M1530" s="7" t="str">
        <f>VLOOKUP($G1530,Mapping!$E$140:$K$2771,7,0)</f>
        <v>ENDirect</v>
      </c>
      <c r="N1530" s="7" t="str">
        <f>IFERROR(HLOOKUP(L1530,'Calc|Weightings'!$K$5:$M$5,1,0),"Excl")</f>
        <v>Labour</v>
      </c>
      <c r="O1530" s="7" t="str">
        <f>VLOOKUP(E1530,Mapping!$E$11:$I$96,5,0)</f>
        <v>SCS</v>
      </c>
      <c r="Q1530" s="33">
        <v>162</v>
      </c>
      <c r="R1530" s="33" t="s">
        <v>2172</v>
      </c>
      <c r="S1530" s="33">
        <v>615375</v>
      </c>
      <c r="T1530" s="33" t="s">
        <v>1717</v>
      </c>
      <c r="U1530" s="34">
        <v>1.56</v>
      </c>
      <c r="V1530" s="7"/>
      <c r="W1530" s="7" t="str">
        <f>VLOOKUP($Q1530,Mapping!$E$11:$I$96,3,0)</f>
        <v>Augmentation</v>
      </c>
      <c r="X1530" s="7" t="str">
        <f>VLOOKUP($S1530,Mapping!$E$140:$K$2771,5,0)</f>
        <v>Labour</v>
      </c>
      <c r="Y1530" s="7" t="str">
        <f>VLOOKUP($S1530,Mapping!$E$140:$K$2771,7,0)</f>
        <v>ENDirect</v>
      </c>
      <c r="Z1530" s="7" t="str">
        <f>IFERROR(HLOOKUP(X1530,'Calc|Weightings'!$K$5:$M$5,1,0),"Excl")</f>
        <v>Labour</v>
      </c>
      <c r="AA1530" s="7" t="str">
        <f>VLOOKUP(Q1530,Mapping!$E$11:$I$96,5,0)</f>
        <v>SCS</v>
      </c>
      <c r="AC1530" s="111">
        <v>162</v>
      </c>
      <c r="AD1530" s="111" t="s">
        <v>2172</v>
      </c>
      <c r="AE1530" s="111">
        <v>612310</v>
      </c>
      <c r="AF1530" s="111" t="s">
        <v>1208</v>
      </c>
      <c r="AG1530" s="112">
        <v>0.58084000000000002</v>
      </c>
      <c r="AI1530" s="7" t="str">
        <f>VLOOKUP($AC1530,Mapping!$E$11:$I$96,3,0)</f>
        <v>Augmentation</v>
      </c>
      <c r="AJ1530" s="7" t="str">
        <f>VLOOKUP($AE1530,Mapping!$E$140:$K$2771,5,0)</f>
        <v>Labour</v>
      </c>
      <c r="AK1530" s="7" t="str">
        <f>VLOOKUP($AE1530,Mapping!$E$140:$K$2771,7,0)</f>
        <v>ENDirect</v>
      </c>
      <c r="AL1530" s="7" t="str">
        <f>IFERROR(HLOOKUP(AJ1530,'Calc|Weightings'!$K$5:$M$5,1,0),"Excl")</f>
        <v>Labour</v>
      </c>
      <c r="AM1530" s="7" t="str">
        <f>VLOOKUP(AC1530,Mapping!$E$11:$I$96,5,0)</f>
        <v>SCS</v>
      </c>
      <c r="AO1530" s="134">
        <v>167</v>
      </c>
      <c r="AP1530" s="135" t="s">
        <v>2423</v>
      </c>
      <c r="AQ1530" s="135">
        <v>613251</v>
      </c>
      <c r="AR1530" s="135" t="s">
        <v>2087</v>
      </c>
      <c r="AS1530" s="136">
        <v>0.70552000000000004</v>
      </c>
      <c r="AU1530" s="7" t="str">
        <f>VLOOKUP($AO1530,Mapping!$E$11:$I$96,3,0)</f>
        <v>VBRC Calc</v>
      </c>
      <c r="AV1530" s="7" t="str">
        <f>VLOOKUP($AQ1530,Mapping!$E$140:$K$2771,5,0)</f>
        <v>Labour</v>
      </c>
      <c r="AW1530" s="7" t="str">
        <f>VLOOKUP($AQ1530,Mapping!$E$140:$K$2771,7,0)</f>
        <v>ENDirect</v>
      </c>
      <c r="AX1530" s="7" t="str">
        <f>IFERROR(HLOOKUP(AV1530,'Calc|Weightings'!$K$5:$M$5,1,0),"Excl")</f>
        <v>Labour</v>
      </c>
      <c r="AY1530" s="7" t="str">
        <f>VLOOKUP(AO1530,Mapping!$E$11:$I$96,5,0)</f>
        <v>SCS</v>
      </c>
    </row>
    <row r="1531" spans="1:51" x14ac:dyDescent="0.2">
      <c r="A1531" s="7"/>
      <c r="B1531" s="7"/>
      <c r="C1531" s="7"/>
      <c r="D1531" s="7"/>
      <c r="E1531" s="36">
        <v>154</v>
      </c>
      <c r="F1531" s="36" t="s">
        <v>2163</v>
      </c>
      <c r="G1531" s="36">
        <v>613428</v>
      </c>
      <c r="H1531" s="36" t="s">
        <v>1430</v>
      </c>
      <c r="I1531" s="37">
        <v>8.4010099999999994</v>
      </c>
      <c r="J1531" s="7"/>
      <c r="K1531" s="7" t="str">
        <f>VLOOKUP($E1531,Mapping!$E$11:$I$96,3,0)</f>
        <v>Replacement</v>
      </c>
      <c r="L1531" s="7" t="str">
        <f>VLOOKUP($G1531,Mapping!$E$140:$K$2771,5,0)</f>
        <v>Labour</v>
      </c>
      <c r="M1531" s="7" t="str">
        <f>VLOOKUP($G1531,Mapping!$E$140:$K$2771,7,0)</f>
        <v>ENDirect</v>
      </c>
      <c r="N1531" s="7" t="str">
        <f>IFERROR(HLOOKUP(L1531,'Calc|Weightings'!$K$5:$M$5,1,0),"Excl")</f>
        <v>Labour</v>
      </c>
      <c r="O1531" s="7" t="str">
        <f>VLOOKUP(E1531,Mapping!$E$11:$I$96,5,0)</f>
        <v>SCS</v>
      </c>
      <c r="Q1531" s="33">
        <v>162</v>
      </c>
      <c r="R1531" s="33" t="s">
        <v>2172</v>
      </c>
      <c r="S1531" s="33">
        <v>615395</v>
      </c>
      <c r="T1531" s="33" t="s">
        <v>1718</v>
      </c>
      <c r="U1531" s="34">
        <v>42.600999999999999</v>
      </c>
      <c r="V1531" s="7"/>
      <c r="W1531" s="7" t="str">
        <f>VLOOKUP($Q1531,Mapping!$E$11:$I$96,3,0)</f>
        <v>Augmentation</v>
      </c>
      <c r="X1531" s="7" t="str">
        <f>VLOOKUP($S1531,Mapping!$E$140:$K$2771,5,0)</f>
        <v>Labour</v>
      </c>
      <c r="Y1531" s="7" t="str">
        <f>VLOOKUP($S1531,Mapping!$E$140:$K$2771,7,0)</f>
        <v>ENDirect</v>
      </c>
      <c r="Z1531" s="7" t="str">
        <f>IFERROR(HLOOKUP(X1531,'Calc|Weightings'!$K$5:$M$5,1,0),"Excl")</f>
        <v>Labour</v>
      </c>
      <c r="AA1531" s="7" t="str">
        <f>VLOOKUP(Q1531,Mapping!$E$11:$I$96,5,0)</f>
        <v>SCS</v>
      </c>
      <c r="AC1531" s="111">
        <v>162</v>
      </c>
      <c r="AD1531" s="111" t="s">
        <v>2172</v>
      </c>
      <c r="AE1531" s="111">
        <v>613240</v>
      </c>
      <c r="AF1531" s="111" t="s">
        <v>2082</v>
      </c>
      <c r="AG1531" s="112">
        <v>41.399299999999997</v>
      </c>
      <c r="AI1531" s="7" t="str">
        <f>VLOOKUP($AC1531,Mapping!$E$11:$I$96,3,0)</f>
        <v>Augmentation</v>
      </c>
      <c r="AJ1531" s="7" t="str">
        <f>VLOOKUP($AE1531,Mapping!$E$140:$K$2771,5,0)</f>
        <v>Labour</v>
      </c>
      <c r="AK1531" s="7" t="str">
        <f>VLOOKUP($AE1531,Mapping!$E$140:$K$2771,7,0)</f>
        <v>ENDirect</v>
      </c>
      <c r="AL1531" s="7" t="str">
        <f>IFERROR(HLOOKUP(AJ1531,'Calc|Weightings'!$K$5:$M$5,1,0),"Excl")</f>
        <v>Labour</v>
      </c>
      <c r="AM1531" s="7" t="str">
        <f>VLOOKUP(AC1531,Mapping!$E$11:$I$96,5,0)</f>
        <v>SCS</v>
      </c>
      <c r="AO1531" s="134">
        <v>167</v>
      </c>
      <c r="AP1531" s="135" t="s">
        <v>2423</v>
      </c>
      <c r="AQ1531" s="135">
        <v>634001</v>
      </c>
      <c r="AR1531" s="135" t="s">
        <v>2110</v>
      </c>
      <c r="AS1531" s="136">
        <v>2.0432700000000001</v>
      </c>
      <c r="AU1531" s="7" t="str">
        <f>VLOOKUP($AO1531,Mapping!$E$11:$I$96,3,0)</f>
        <v>VBRC Calc</v>
      </c>
      <c r="AV1531" s="7" t="str">
        <f>VLOOKUP($AQ1531,Mapping!$E$140:$K$2771,5,0)</f>
        <v>Local OH</v>
      </c>
      <c r="AW1531" s="7" t="str">
        <f>VLOOKUP($AQ1531,Mapping!$E$140:$K$2771,7,0)</f>
        <v>OH</v>
      </c>
      <c r="AX1531" s="7" t="str">
        <f>IFERROR(HLOOKUP(AV1531,'Calc|Weightings'!$K$5:$M$5,1,0),"Excl")</f>
        <v>Excl</v>
      </c>
      <c r="AY1531" s="7" t="str">
        <f>VLOOKUP(AO1531,Mapping!$E$11:$I$96,5,0)</f>
        <v>SCS</v>
      </c>
    </row>
    <row r="1532" spans="1:51" x14ac:dyDescent="0.2">
      <c r="A1532" s="7"/>
      <c r="B1532" s="7"/>
      <c r="C1532" s="7"/>
      <c r="D1532" s="7"/>
      <c r="E1532" s="36">
        <v>154</v>
      </c>
      <c r="F1532" s="36" t="s">
        <v>2163</v>
      </c>
      <c r="G1532" s="36">
        <v>613429</v>
      </c>
      <c r="H1532" s="36" t="s">
        <v>1431</v>
      </c>
      <c r="I1532" s="37">
        <v>2.7816800000000002</v>
      </c>
      <c r="J1532" s="7"/>
      <c r="K1532" s="7" t="str">
        <f>VLOOKUP($E1532,Mapping!$E$11:$I$96,3,0)</f>
        <v>Replacement</v>
      </c>
      <c r="L1532" s="7" t="str">
        <f>VLOOKUP($G1532,Mapping!$E$140:$K$2771,5,0)</f>
        <v>Labour</v>
      </c>
      <c r="M1532" s="7" t="str">
        <f>VLOOKUP($G1532,Mapping!$E$140:$K$2771,7,0)</f>
        <v>ENDirect</v>
      </c>
      <c r="N1532" s="7" t="str">
        <f>IFERROR(HLOOKUP(L1532,'Calc|Weightings'!$K$5:$M$5,1,0),"Excl")</f>
        <v>Labour</v>
      </c>
      <c r="O1532" s="7" t="str">
        <f>VLOOKUP(E1532,Mapping!$E$11:$I$96,5,0)</f>
        <v>SCS</v>
      </c>
      <c r="Q1532" s="33">
        <v>162</v>
      </c>
      <c r="R1532" s="33" t="s">
        <v>2172</v>
      </c>
      <c r="S1532" s="33">
        <v>631000</v>
      </c>
      <c r="T1532" s="33" t="s">
        <v>1923</v>
      </c>
      <c r="U1532" s="34">
        <v>9.7689999999999999E-2</v>
      </c>
      <c r="V1532" s="7"/>
      <c r="W1532" s="7" t="str">
        <f>VLOOKUP($Q1532,Mapping!$E$11:$I$96,3,0)</f>
        <v>Augmentation</v>
      </c>
      <c r="X1532" s="7" t="str">
        <f>VLOOKUP($S1532,Mapping!$E$140:$K$2771,5,0)</f>
        <v>Materials</v>
      </c>
      <c r="Y1532" s="7" t="str">
        <f>VLOOKUP($S1532,Mapping!$E$140:$K$2771,7,0)</f>
        <v>ENDirect</v>
      </c>
      <c r="Z1532" s="7" t="str">
        <f>IFERROR(HLOOKUP(X1532,'Calc|Weightings'!$K$5:$M$5,1,0),"Excl")</f>
        <v>Materials</v>
      </c>
      <c r="AA1532" s="7" t="str">
        <f>VLOOKUP(Q1532,Mapping!$E$11:$I$96,5,0)</f>
        <v>SCS</v>
      </c>
      <c r="AC1532" s="111">
        <v>162</v>
      </c>
      <c r="AD1532" s="111" t="s">
        <v>2172</v>
      </c>
      <c r="AE1532" s="111">
        <v>613241</v>
      </c>
      <c r="AF1532" s="111" t="s">
        <v>2083</v>
      </c>
      <c r="AG1532" s="112">
        <v>5.6780200000000001</v>
      </c>
      <c r="AI1532" s="7" t="str">
        <f>VLOOKUP($AC1532,Mapping!$E$11:$I$96,3,0)</f>
        <v>Augmentation</v>
      </c>
      <c r="AJ1532" s="7" t="str">
        <f>VLOOKUP($AE1532,Mapping!$E$140:$K$2771,5,0)</f>
        <v>Labour</v>
      </c>
      <c r="AK1532" s="7" t="str">
        <f>VLOOKUP($AE1532,Mapping!$E$140:$K$2771,7,0)</f>
        <v>ENDirect</v>
      </c>
      <c r="AL1532" s="7" t="str">
        <f>IFERROR(HLOOKUP(AJ1532,'Calc|Weightings'!$K$5:$M$5,1,0),"Excl")</f>
        <v>Labour</v>
      </c>
      <c r="AM1532" s="7" t="str">
        <f>VLOOKUP(AC1532,Mapping!$E$11:$I$96,5,0)</f>
        <v>SCS</v>
      </c>
      <c r="AO1532" s="134">
        <v>167</v>
      </c>
      <c r="AP1532" s="135" t="s">
        <v>2423</v>
      </c>
      <c r="AQ1532" s="135">
        <v>635001</v>
      </c>
      <c r="AR1532" s="135" t="s">
        <v>1929</v>
      </c>
      <c r="AS1532" s="136">
        <v>1.7956300000000001</v>
      </c>
      <c r="AU1532" s="7" t="str">
        <f>VLOOKUP($AO1532,Mapping!$E$11:$I$96,3,0)</f>
        <v>VBRC Calc</v>
      </c>
      <c r="AV1532" s="7" t="str">
        <f>VLOOKUP($AQ1532,Mapping!$E$140:$K$2771,5,0)</f>
        <v>PNS MG</v>
      </c>
      <c r="AW1532" s="7" t="str">
        <f>VLOOKUP($AQ1532,Mapping!$E$140:$K$2771,7,0)</f>
        <v>ENDirect</v>
      </c>
      <c r="AX1532" s="7" t="str">
        <f>IFERROR(HLOOKUP(AV1532,'Calc|Weightings'!$K$5:$M$5,1,0),"Excl")</f>
        <v>Excl</v>
      </c>
      <c r="AY1532" s="7" t="str">
        <f>VLOOKUP(AO1532,Mapping!$E$11:$I$96,5,0)</f>
        <v>SCS</v>
      </c>
    </row>
    <row r="1533" spans="1:51" x14ac:dyDescent="0.2">
      <c r="A1533" s="7"/>
      <c r="B1533" s="7"/>
      <c r="C1533" s="7"/>
      <c r="D1533" s="7"/>
      <c r="E1533" s="36">
        <v>154</v>
      </c>
      <c r="F1533" s="36" t="s">
        <v>2163</v>
      </c>
      <c r="G1533" s="36">
        <v>613680</v>
      </c>
      <c r="H1533" s="36" t="s">
        <v>2107</v>
      </c>
      <c r="I1533" s="37">
        <v>2.19929</v>
      </c>
      <c r="J1533" s="7"/>
      <c r="K1533" s="7" t="str">
        <f>VLOOKUP($E1533,Mapping!$E$11:$I$96,3,0)</f>
        <v>Replacement</v>
      </c>
      <c r="L1533" s="7" t="str">
        <f>VLOOKUP($G1533,Mapping!$E$140:$K$2771,5,0)</f>
        <v>Labour</v>
      </c>
      <c r="M1533" s="7" t="str">
        <f>VLOOKUP($G1533,Mapping!$E$140:$K$2771,7,0)</f>
        <v>ENDirect</v>
      </c>
      <c r="N1533" s="7" t="str">
        <f>IFERROR(HLOOKUP(L1533,'Calc|Weightings'!$K$5:$M$5,1,0),"Excl")</f>
        <v>Labour</v>
      </c>
      <c r="O1533" s="7" t="str">
        <f>VLOOKUP(E1533,Mapping!$E$11:$I$96,5,0)</f>
        <v>SCS</v>
      </c>
      <c r="Q1533" s="33">
        <v>162</v>
      </c>
      <c r="R1533" s="33" t="s">
        <v>2172</v>
      </c>
      <c r="S1533" s="33">
        <v>634001</v>
      </c>
      <c r="T1533" s="33" t="s">
        <v>2110</v>
      </c>
      <c r="U1533" s="34">
        <v>597.76152000000002</v>
      </c>
      <c r="V1533" s="7"/>
      <c r="W1533" s="7" t="str">
        <f>VLOOKUP($Q1533,Mapping!$E$11:$I$96,3,0)</f>
        <v>Augmentation</v>
      </c>
      <c r="X1533" s="7" t="str">
        <f>VLOOKUP($S1533,Mapping!$E$140:$K$2771,5,0)</f>
        <v>Local OH</v>
      </c>
      <c r="Y1533" s="7" t="str">
        <f>VLOOKUP($S1533,Mapping!$E$140:$K$2771,7,0)</f>
        <v>OH</v>
      </c>
      <c r="Z1533" s="7" t="str">
        <f>IFERROR(HLOOKUP(X1533,'Calc|Weightings'!$K$5:$M$5,1,0),"Excl")</f>
        <v>Excl</v>
      </c>
      <c r="AA1533" s="7" t="str">
        <f>VLOOKUP(Q1533,Mapping!$E$11:$I$96,5,0)</f>
        <v>SCS</v>
      </c>
      <c r="AC1533" s="111">
        <v>162</v>
      </c>
      <c r="AD1533" s="111" t="s">
        <v>2172</v>
      </c>
      <c r="AE1533" s="111">
        <v>613250</v>
      </c>
      <c r="AF1533" s="111" t="s">
        <v>2086</v>
      </c>
      <c r="AG1533" s="112">
        <v>84.957059999999998</v>
      </c>
      <c r="AI1533" s="7" t="str">
        <f>VLOOKUP($AC1533,Mapping!$E$11:$I$96,3,0)</f>
        <v>Augmentation</v>
      </c>
      <c r="AJ1533" s="7" t="str">
        <f>VLOOKUP($AE1533,Mapping!$E$140:$K$2771,5,0)</f>
        <v>Labour</v>
      </c>
      <c r="AK1533" s="7" t="str">
        <f>VLOOKUP($AE1533,Mapping!$E$140:$K$2771,7,0)</f>
        <v>ENDirect</v>
      </c>
      <c r="AL1533" s="7" t="str">
        <f>IFERROR(HLOOKUP(AJ1533,'Calc|Weightings'!$K$5:$M$5,1,0),"Excl")</f>
        <v>Labour</v>
      </c>
      <c r="AM1533" s="7" t="str">
        <f>VLOOKUP(AC1533,Mapping!$E$11:$I$96,5,0)</f>
        <v>SCS</v>
      </c>
      <c r="AO1533" s="134">
        <v>167</v>
      </c>
      <c r="AP1533" s="135" t="s">
        <v>2423</v>
      </c>
      <c r="AQ1533" s="135">
        <v>636001</v>
      </c>
      <c r="AR1533" s="135" t="s">
        <v>2111</v>
      </c>
      <c r="AS1533" s="136">
        <v>1.61816</v>
      </c>
      <c r="AU1533" s="7" t="str">
        <f>VLOOKUP($AO1533,Mapping!$E$11:$I$96,3,0)</f>
        <v>VBRC Calc</v>
      </c>
      <c r="AV1533" s="7" t="str">
        <f>VLOOKUP($AQ1533,Mapping!$E$140:$K$2771,5,0)</f>
        <v>System Control OH</v>
      </c>
      <c r="AW1533" s="7" t="str">
        <f>VLOOKUP($AQ1533,Mapping!$E$140:$K$2771,7,0)</f>
        <v>OH</v>
      </c>
      <c r="AX1533" s="7" t="str">
        <f>IFERROR(HLOOKUP(AV1533,'Calc|Weightings'!$K$5:$M$5,1,0),"Excl")</f>
        <v>Excl</v>
      </c>
      <c r="AY1533" s="7" t="str">
        <f>VLOOKUP(AO1533,Mapping!$E$11:$I$96,5,0)</f>
        <v>SCS</v>
      </c>
    </row>
    <row r="1534" spans="1:51" x14ac:dyDescent="0.2">
      <c r="A1534" s="7"/>
      <c r="B1534" s="7"/>
      <c r="C1534" s="7"/>
      <c r="D1534" s="7"/>
      <c r="E1534" s="36">
        <v>154</v>
      </c>
      <c r="F1534" s="36" t="s">
        <v>2163</v>
      </c>
      <c r="G1534" s="36">
        <v>633000</v>
      </c>
      <c r="H1534" s="36" t="s">
        <v>2202</v>
      </c>
      <c r="I1534" s="37">
        <v>126.78373999999999</v>
      </c>
      <c r="J1534" s="7"/>
      <c r="K1534" s="7" t="str">
        <f>VLOOKUP($E1534,Mapping!$E$11:$I$96,3,0)</f>
        <v>Replacement</v>
      </c>
      <c r="L1534" s="7" t="str">
        <f>VLOOKUP($G1534,Mapping!$E$140:$K$2771,5,0)</f>
        <v>Contracts</v>
      </c>
      <c r="M1534" s="7" t="str">
        <f>VLOOKUP($G1534,Mapping!$E$140:$K$2771,7,0)</f>
        <v>OH</v>
      </c>
      <c r="N1534" s="7" t="str">
        <f>IFERROR(HLOOKUP(L1534,'Calc|Weightings'!$K$5:$M$5,1,0),"Excl")</f>
        <v>Contracts</v>
      </c>
      <c r="O1534" s="7" t="str">
        <f>VLOOKUP(E1534,Mapping!$E$11:$I$96,5,0)</f>
        <v>SCS</v>
      </c>
      <c r="Q1534" s="33">
        <v>162</v>
      </c>
      <c r="R1534" s="33" t="s">
        <v>2172</v>
      </c>
      <c r="S1534" s="33">
        <v>635000</v>
      </c>
      <c r="T1534" s="33" t="s">
        <v>2128</v>
      </c>
      <c r="U1534" s="34">
        <v>25.564499999999999</v>
      </c>
      <c r="V1534" s="7"/>
      <c r="W1534" s="7" t="str">
        <f>VLOOKUP($Q1534,Mapping!$E$11:$I$96,3,0)</f>
        <v>Augmentation</v>
      </c>
      <c r="X1534" s="7" t="str">
        <f>VLOOKUP($S1534,Mapping!$E$140:$K$2771,5,0)</f>
        <v>PNS MG</v>
      </c>
      <c r="Y1534" s="7" t="str">
        <f>VLOOKUP($S1534,Mapping!$E$140:$K$2771,7,0)</f>
        <v>ENDirect</v>
      </c>
      <c r="Z1534" s="7" t="str">
        <f>IFERROR(HLOOKUP(X1534,'Calc|Weightings'!$K$5:$M$5,1,0),"Excl")</f>
        <v>Excl</v>
      </c>
      <c r="AA1534" s="7" t="str">
        <f>VLOOKUP(Q1534,Mapping!$E$11:$I$96,5,0)</f>
        <v>SCS</v>
      </c>
      <c r="AC1534" s="111">
        <v>162</v>
      </c>
      <c r="AD1534" s="111" t="s">
        <v>2172</v>
      </c>
      <c r="AE1534" s="111">
        <v>613251</v>
      </c>
      <c r="AF1534" s="111" t="s">
        <v>2087</v>
      </c>
      <c r="AG1534" s="112">
        <v>17.80697</v>
      </c>
      <c r="AI1534" s="7" t="str">
        <f>VLOOKUP($AC1534,Mapping!$E$11:$I$96,3,0)</f>
        <v>Augmentation</v>
      </c>
      <c r="AJ1534" s="7" t="str">
        <f>VLOOKUP($AE1534,Mapping!$E$140:$K$2771,5,0)</f>
        <v>Labour</v>
      </c>
      <c r="AK1534" s="7" t="str">
        <f>VLOOKUP($AE1534,Mapping!$E$140:$K$2771,7,0)</f>
        <v>ENDirect</v>
      </c>
      <c r="AL1534" s="7" t="str">
        <f>IFERROR(HLOOKUP(AJ1534,'Calc|Weightings'!$K$5:$M$5,1,0),"Excl")</f>
        <v>Labour</v>
      </c>
      <c r="AM1534" s="7" t="str">
        <f>VLOOKUP(AC1534,Mapping!$E$11:$I$96,5,0)</f>
        <v>SCS</v>
      </c>
      <c r="AO1534" s="134">
        <v>167</v>
      </c>
      <c r="AP1534" s="135" t="s">
        <v>2423</v>
      </c>
      <c r="AQ1534" s="135">
        <v>639000</v>
      </c>
      <c r="AR1534" s="135" t="s">
        <v>2112</v>
      </c>
      <c r="AS1534" s="136">
        <v>1.2996399999999999</v>
      </c>
      <c r="AU1534" s="7" t="str">
        <f>VLOOKUP($AO1534,Mapping!$E$11:$I$96,3,0)</f>
        <v>VBRC Calc</v>
      </c>
      <c r="AV1534" s="7" t="str">
        <f>VLOOKUP($AQ1534,Mapping!$E$140:$K$2771,5,0)</f>
        <v>PNS Corporate OH</v>
      </c>
      <c r="AW1534" s="7" t="str">
        <f>VLOOKUP($AQ1534,Mapping!$E$140:$K$2771,7,0)</f>
        <v>OH</v>
      </c>
      <c r="AX1534" s="7" t="str">
        <f>IFERROR(HLOOKUP(AV1534,'Calc|Weightings'!$K$5:$M$5,1,0),"Excl")</f>
        <v>Excl</v>
      </c>
      <c r="AY1534" s="7" t="str">
        <f>VLOOKUP(AO1534,Mapping!$E$11:$I$96,5,0)</f>
        <v>SCS</v>
      </c>
    </row>
    <row r="1535" spans="1:51" x14ac:dyDescent="0.2">
      <c r="A1535" s="7"/>
      <c r="B1535" s="7"/>
      <c r="C1535" s="7"/>
      <c r="D1535" s="7"/>
      <c r="E1535" s="36">
        <v>154</v>
      </c>
      <c r="F1535" s="36" t="s">
        <v>2163</v>
      </c>
      <c r="G1535" s="36">
        <v>634001</v>
      </c>
      <c r="H1535" s="36" t="s">
        <v>2110</v>
      </c>
      <c r="I1535" s="37">
        <v>47.021979999999999</v>
      </c>
      <c r="J1535" s="7"/>
      <c r="K1535" s="7" t="str">
        <f>VLOOKUP($E1535,Mapping!$E$11:$I$96,3,0)</f>
        <v>Replacement</v>
      </c>
      <c r="L1535" s="7" t="str">
        <f>VLOOKUP($G1535,Mapping!$E$140:$K$2771,5,0)</f>
        <v>Local OH</v>
      </c>
      <c r="M1535" s="7" t="str">
        <f>VLOOKUP($G1535,Mapping!$E$140:$K$2771,7,0)</f>
        <v>OH</v>
      </c>
      <c r="N1535" s="7" t="str">
        <f>IFERROR(HLOOKUP(L1535,'Calc|Weightings'!$K$5:$M$5,1,0),"Excl")</f>
        <v>Excl</v>
      </c>
      <c r="O1535" s="7" t="str">
        <f>VLOOKUP(E1535,Mapping!$E$11:$I$96,5,0)</f>
        <v>SCS</v>
      </c>
      <c r="Q1535" s="33">
        <v>162</v>
      </c>
      <c r="R1535" s="33" t="s">
        <v>2172</v>
      </c>
      <c r="S1535" s="33">
        <v>635001</v>
      </c>
      <c r="T1535" s="33" t="s">
        <v>1929</v>
      </c>
      <c r="U1535" s="34">
        <v>363.27147000000002</v>
      </c>
      <c r="V1535" s="7"/>
      <c r="W1535" s="7" t="str">
        <f>VLOOKUP($Q1535,Mapping!$E$11:$I$96,3,0)</f>
        <v>Augmentation</v>
      </c>
      <c r="X1535" s="7" t="str">
        <f>VLOOKUP($S1535,Mapping!$E$140:$K$2771,5,0)</f>
        <v>PNS MG</v>
      </c>
      <c r="Y1535" s="7" t="str">
        <f>VLOOKUP($S1535,Mapping!$E$140:$K$2771,7,0)</f>
        <v>ENDirect</v>
      </c>
      <c r="Z1535" s="7" t="str">
        <f>IFERROR(HLOOKUP(X1535,'Calc|Weightings'!$K$5:$M$5,1,0),"Excl")</f>
        <v>Excl</v>
      </c>
      <c r="AA1535" s="7" t="str">
        <f>VLOOKUP(Q1535,Mapping!$E$11:$I$96,5,0)</f>
        <v>SCS</v>
      </c>
      <c r="AC1535" s="111">
        <v>162</v>
      </c>
      <c r="AD1535" s="111" t="s">
        <v>2172</v>
      </c>
      <c r="AE1535" s="111">
        <v>613260</v>
      </c>
      <c r="AF1535" s="111" t="s">
        <v>2090</v>
      </c>
      <c r="AG1535" s="112">
        <v>54.334479999999999</v>
      </c>
      <c r="AI1535" s="7" t="str">
        <f>VLOOKUP($AC1535,Mapping!$E$11:$I$96,3,0)</f>
        <v>Augmentation</v>
      </c>
      <c r="AJ1535" s="7" t="str">
        <f>VLOOKUP($AE1535,Mapping!$E$140:$K$2771,5,0)</f>
        <v>Labour</v>
      </c>
      <c r="AK1535" s="7" t="str">
        <f>VLOOKUP($AE1535,Mapping!$E$140:$K$2771,7,0)</f>
        <v>ENDirect</v>
      </c>
      <c r="AL1535" s="7" t="str">
        <f>IFERROR(HLOOKUP(AJ1535,'Calc|Weightings'!$K$5:$M$5,1,0),"Excl")</f>
        <v>Labour</v>
      </c>
      <c r="AM1535" s="7" t="str">
        <f>VLOOKUP(AC1535,Mapping!$E$11:$I$96,5,0)</f>
        <v>SCS</v>
      </c>
      <c r="AO1535" s="134">
        <v>167</v>
      </c>
      <c r="AP1535" s="135" t="s">
        <v>2423</v>
      </c>
      <c r="AQ1535" s="135">
        <v>639050</v>
      </c>
      <c r="AR1535" s="135" t="s">
        <v>2113</v>
      </c>
      <c r="AS1535" s="136">
        <v>0.36625999999999997</v>
      </c>
      <c r="AU1535" s="7" t="str">
        <f>VLOOKUP($AO1535,Mapping!$E$11:$I$96,3,0)</f>
        <v>VBRC Calc</v>
      </c>
      <c r="AV1535" s="7" t="str">
        <f>VLOOKUP($AQ1535,Mapping!$E$140:$K$2771,5,0)</f>
        <v>PNS Fleet &amp; Property OH</v>
      </c>
      <c r="AW1535" s="7" t="str">
        <f>VLOOKUP($AQ1535,Mapping!$E$140:$K$2771,7,0)</f>
        <v>OH</v>
      </c>
      <c r="AX1535" s="7" t="str">
        <f>IFERROR(HLOOKUP(AV1535,'Calc|Weightings'!$K$5:$M$5,1,0),"Excl")</f>
        <v>Excl</v>
      </c>
      <c r="AY1535" s="7" t="str">
        <f>VLOOKUP(AO1535,Mapping!$E$11:$I$96,5,0)</f>
        <v>SCS</v>
      </c>
    </row>
    <row r="1536" spans="1:51" x14ac:dyDescent="0.2">
      <c r="A1536" s="7"/>
      <c r="B1536" s="7"/>
      <c r="C1536" s="7"/>
      <c r="D1536" s="7"/>
      <c r="E1536" s="36">
        <v>154</v>
      </c>
      <c r="F1536" s="36" t="s">
        <v>2163</v>
      </c>
      <c r="G1536" s="36">
        <v>635001</v>
      </c>
      <c r="H1536" s="36" t="s">
        <v>1929</v>
      </c>
      <c r="I1536" s="37">
        <v>36.000729999999997</v>
      </c>
      <c r="J1536" s="7"/>
      <c r="K1536" s="7" t="str">
        <f>VLOOKUP($E1536,Mapping!$E$11:$I$96,3,0)</f>
        <v>Replacement</v>
      </c>
      <c r="L1536" s="7" t="str">
        <f>VLOOKUP($G1536,Mapping!$E$140:$K$2771,5,0)</f>
        <v>PNS MG</v>
      </c>
      <c r="M1536" s="7" t="str">
        <f>VLOOKUP($G1536,Mapping!$E$140:$K$2771,7,0)</f>
        <v>ENDirect</v>
      </c>
      <c r="N1536" s="7" t="str">
        <f>IFERROR(HLOOKUP(L1536,'Calc|Weightings'!$K$5:$M$5,1,0),"Excl")</f>
        <v>Excl</v>
      </c>
      <c r="O1536" s="7" t="str">
        <f>VLOOKUP(E1536,Mapping!$E$11:$I$96,5,0)</f>
        <v>SCS</v>
      </c>
      <c r="Q1536" s="33">
        <v>162</v>
      </c>
      <c r="R1536" s="33" t="s">
        <v>2172</v>
      </c>
      <c r="S1536" s="33">
        <v>636001</v>
      </c>
      <c r="T1536" s="33" t="s">
        <v>2111</v>
      </c>
      <c r="U1536" s="34">
        <v>164.37906000000001</v>
      </c>
      <c r="V1536" s="7"/>
      <c r="W1536" s="7" t="str">
        <f>VLOOKUP($Q1536,Mapping!$E$11:$I$96,3,0)</f>
        <v>Augmentation</v>
      </c>
      <c r="X1536" s="7" t="str">
        <f>VLOOKUP($S1536,Mapping!$E$140:$K$2771,5,0)</f>
        <v>System Control OH</v>
      </c>
      <c r="Y1536" s="7" t="str">
        <f>VLOOKUP($S1536,Mapping!$E$140:$K$2771,7,0)</f>
        <v>OH</v>
      </c>
      <c r="Z1536" s="7" t="str">
        <f>IFERROR(HLOOKUP(X1536,'Calc|Weightings'!$K$5:$M$5,1,0),"Excl")</f>
        <v>Excl</v>
      </c>
      <c r="AA1536" s="7" t="str">
        <f>VLOOKUP(Q1536,Mapping!$E$11:$I$96,5,0)</f>
        <v>SCS</v>
      </c>
      <c r="AC1536" s="111">
        <v>162</v>
      </c>
      <c r="AD1536" s="111" t="s">
        <v>2172</v>
      </c>
      <c r="AE1536" s="111">
        <v>613261</v>
      </c>
      <c r="AF1536" s="111" t="s">
        <v>2091</v>
      </c>
      <c r="AG1536" s="112">
        <v>0.27948000000000001</v>
      </c>
      <c r="AI1536" s="7" t="str">
        <f>VLOOKUP($AC1536,Mapping!$E$11:$I$96,3,0)</f>
        <v>Augmentation</v>
      </c>
      <c r="AJ1536" s="7" t="str">
        <f>VLOOKUP($AE1536,Mapping!$E$140:$K$2771,5,0)</f>
        <v>Labour</v>
      </c>
      <c r="AK1536" s="7" t="str">
        <f>VLOOKUP($AE1536,Mapping!$E$140:$K$2771,7,0)</f>
        <v>ENDirect</v>
      </c>
      <c r="AL1536" s="7" t="str">
        <f>IFERROR(HLOOKUP(AJ1536,'Calc|Weightings'!$K$5:$M$5,1,0),"Excl")</f>
        <v>Labour</v>
      </c>
      <c r="AM1536" s="7" t="str">
        <f>VLOOKUP(AC1536,Mapping!$E$11:$I$96,5,0)</f>
        <v>SCS</v>
      </c>
      <c r="AO1536" s="134">
        <v>168</v>
      </c>
      <c r="AP1536" s="135" t="s">
        <v>2176</v>
      </c>
      <c r="AQ1536" s="135">
        <v>503194</v>
      </c>
      <c r="AR1536" s="135" t="s">
        <v>162</v>
      </c>
      <c r="AS1536" s="136">
        <v>0.46317999999999998</v>
      </c>
      <c r="AU1536" s="7" t="str">
        <f>VLOOKUP($AO1536,Mapping!$E$11:$I$96,3,0)</f>
        <v>Augmentation</v>
      </c>
      <c r="AV1536" s="7" t="str">
        <f>VLOOKUP($AQ1536,Mapping!$E$140:$K$2771,5,0)</f>
        <v>Contracts</v>
      </c>
      <c r="AW1536" s="7" t="str">
        <f>VLOOKUP($AQ1536,Mapping!$E$140:$K$2771,7,0)</f>
        <v>ENDirect</v>
      </c>
      <c r="AX1536" s="7" t="str">
        <f>IFERROR(HLOOKUP(AV1536,'Calc|Weightings'!$K$5:$M$5,1,0),"Excl")</f>
        <v>Contracts</v>
      </c>
      <c r="AY1536" s="7" t="str">
        <f>VLOOKUP(AO1536,Mapping!$E$11:$I$96,5,0)</f>
        <v>SCS</v>
      </c>
    </row>
    <row r="1537" spans="1:51" x14ac:dyDescent="0.2">
      <c r="A1537" s="7"/>
      <c r="B1537" s="7"/>
      <c r="C1537" s="7"/>
      <c r="D1537" s="7"/>
      <c r="E1537" s="36">
        <v>154</v>
      </c>
      <c r="F1537" s="36" t="s">
        <v>2163</v>
      </c>
      <c r="G1537" s="36">
        <v>636001</v>
      </c>
      <c r="H1537" s="36" t="s">
        <v>2111</v>
      </c>
      <c r="I1537" s="37">
        <v>15.73198</v>
      </c>
      <c r="J1537" s="7"/>
      <c r="K1537" s="7" t="str">
        <f>VLOOKUP($E1537,Mapping!$E$11:$I$96,3,0)</f>
        <v>Replacement</v>
      </c>
      <c r="L1537" s="7" t="str">
        <f>VLOOKUP($G1537,Mapping!$E$140:$K$2771,5,0)</f>
        <v>System Control OH</v>
      </c>
      <c r="M1537" s="7" t="str">
        <f>VLOOKUP($G1537,Mapping!$E$140:$K$2771,7,0)</f>
        <v>OH</v>
      </c>
      <c r="N1537" s="7" t="str">
        <f>IFERROR(HLOOKUP(L1537,'Calc|Weightings'!$K$5:$M$5,1,0),"Excl")</f>
        <v>Excl</v>
      </c>
      <c r="O1537" s="7" t="str">
        <f>VLOOKUP(E1537,Mapping!$E$11:$I$96,5,0)</f>
        <v>SCS</v>
      </c>
      <c r="Q1537" s="33">
        <v>162</v>
      </c>
      <c r="R1537" s="33" t="s">
        <v>2172</v>
      </c>
      <c r="S1537" s="33">
        <v>639000</v>
      </c>
      <c r="T1537" s="33" t="s">
        <v>2112</v>
      </c>
      <c r="U1537" s="34">
        <v>491.99862000000002</v>
      </c>
      <c r="V1537" s="7"/>
      <c r="W1537" s="7" t="str">
        <f>VLOOKUP($Q1537,Mapping!$E$11:$I$96,3,0)</f>
        <v>Augmentation</v>
      </c>
      <c r="X1537" s="7" t="str">
        <f>VLOOKUP($S1537,Mapping!$E$140:$K$2771,5,0)</f>
        <v>PNS Corporate OH</v>
      </c>
      <c r="Y1537" s="7" t="str">
        <f>VLOOKUP($S1537,Mapping!$E$140:$K$2771,7,0)</f>
        <v>OH</v>
      </c>
      <c r="Z1537" s="7" t="str">
        <f>IFERROR(HLOOKUP(X1537,'Calc|Weightings'!$K$5:$M$5,1,0),"Excl")</f>
        <v>Excl</v>
      </c>
      <c r="AA1537" s="7" t="str">
        <f>VLOOKUP(Q1537,Mapping!$E$11:$I$96,5,0)</f>
        <v>SCS</v>
      </c>
      <c r="AC1537" s="111">
        <v>162</v>
      </c>
      <c r="AD1537" s="111" t="s">
        <v>2172</v>
      </c>
      <c r="AE1537" s="111">
        <v>613280</v>
      </c>
      <c r="AF1537" s="111" t="s">
        <v>1342</v>
      </c>
      <c r="AG1537" s="112">
        <v>226.79320000000001</v>
      </c>
      <c r="AI1537" s="7" t="str">
        <f>VLOOKUP($AC1537,Mapping!$E$11:$I$96,3,0)</f>
        <v>Augmentation</v>
      </c>
      <c r="AJ1537" s="7" t="str">
        <f>VLOOKUP($AE1537,Mapping!$E$140:$K$2771,5,0)</f>
        <v>Labour</v>
      </c>
      <c r="AK1537" s="7" t="str">
        <f>VLOOKUP($AE1537,Mapping!$E$140:$K$2771,7,0)</f>
        <v>ENDirect</v>
      </c>
      <c r="AL1537" s="7" t="str">
        <f>IFERROR(HLOOKUP(AJ1537,'Calc|Weightings'!$K$5:$M$5,1,0),"Excl")</f>
        <v>Labour</v>
      </c>
      <c r="AM1537" s="7" t="str">
        <f>VLOOKUP(AC1537,Mapping!$E$11:$I$96,5,0)</f>
        <v>SCS</v>
      </c>
      <c r="AO1537" s="134">
        <v>168</v>
      </c>
      <c r="AP1537" s="135" t="s">
        <v>2176</v>
      </c>
      <c r="AQ1537" s="135">
        <v>520100</v>
      </c>
      <c r="AR1537" s="135" t="s">
        <v>2072</v>
      </c>
      <c r="AS1537" s="136">
        <v>18.481290000000001</v>
      </c>
      <c r="AU1537" s="7" t="str">
        <f>VLOOKUP($AO1537,Mapping!$E$11:$I$96,3,0)</f>
        <v>Augmentation</v>
      </c>
      <c r="AV1537" s="7" t="str">
        <f>VLOOKUP($AQ1537,Mapping!$E$140:$K$2771,5,0)</f>
        <v>Materials</v>
      </c>
      <c r="AW1537" s="7" t="str">
        <f>VLOOKUP($AQ1537,Mapping!$E$140:$K$2771,7,0)</f>
        <v>ENDirect</v>
      </c>
      <c r="AX1537" s="7" t="str">
        <f>IFERROR(HLOOKUP(AV1537,'Calc|Weightings'!$K$5:$M$5,1,0),"Excl")</f>
        <v>Materials</v>
      </c>
      <c r="AY1537" s="7" t="str">
        <f>VLOOKUP(AO1537,Mapping!$E$11:$I$96,5,0)</f>
        <v>SCS</v>
      </c>
    </row>
    <row r="1538" spans="1:51" x14ac:dyDescent="0.2">
      <c r="A1538" s="7"/>
      <c r="B1538" s="7"/>
      <c r="C1538" s="7"/>
      <c r="D1538" s="7"/>
      <c r="E1538" s="36">
        <v>154</v>
      </c>
      <c r="F1538" s="36" t="s">
        <v>2163</v>
      </c>
      <c r="G1538" s="36">
        <v>639000</v>
      </c>
      <c r="H1538" s="36" t="s">
        <v>2112</v>
      </c>
      <c r="I1538" s="37">
        <v>30.47991</v>
      </c>
      <c r="J1538" s="7"/>
      <c r="K1538" s="7" t="str">
        <f>VLOOKUP($E1538,Mapping!$E$11:$I$96,3,0)</f>
        <v>Replacement</v>
      </c>
      <c r="L1538" s="7" t="str">
        <f>VLOOKUP($G1538,Mapping!$E$140:$K$2771,5,0)</f>
        <v>PNS Corporate OH</v>
      </c>
      <c r="M1538" s="7" t="str">
        <f>VLOOKUP($G1538,Mapping!$E$140:$K$2771,7,0)</f>
        <v>OH</v>
      </c>
      <c r="N1538" s="7" t="str">
        <f>IFERROR(HLOOKUP(L1538,'Calc|Weightings'!$K$5:$M$5,1,0),"Excl")</f>
        <v>Excl</v>
      </c>
      <c r="O1538" s="7" t="str">
        <f>VLOOKUP(E1538,Mapping!$E$11:$I$96,5,0)</f>
        <v>SCS</v>
      </c>
      <c r="Q1538" s="33">
        <v>162</v>
      </c>
      <c r="R1538" s="33" t="s">
        <v>2172</v>
      </c>
      <c r="S1538" s="33">
        <v>639050</v>
      </c>
      <c r="T1538" s="33" t="s">
        <v>2113</v>
      </c>
      <c r="U1538" s="34">
        <v>93.61327</v>
      </c>
      <c r="V1538" s="7"/>
      <c r="W1538" s="7" t="str">
        <f>VLOOKUP($Q1538,Mapping!$E$11:$I$96,3,0)</f>
        <v>Augmentation</v>
      </c>
      <c r="X1538" s="7" t="str">
        <f>VLOOKUP($S1538,Mapping!$E$140:$K$2771,5,0)</f>
        <v>PNS Fleet &amp; Property OH</v>
      </c>
      <c r="Y1538" s="7" t="str">
        <f>VLOOKUP($S1538,Mapping!$E$140:$K$2771,7,0)</f>
        <v>OH</v>
      </c>
      <c r="Z1538" s="7" t="str">
        <f>IFERROR(HLOOKUP(X1538,'Calc|Weightings'!$K$5:$M$5,1,0),"Excl")</f>
        <v>Excl</v>
      </c>
      <c r="AA1538" s="7" t="str">
        <f>VLOOKUP(Q1538,Mapping!$E$11:$I$96,5,0)</f>
        <v>SCS</v>
      </c>
      <c r="AC1538" s="111">
        <v>162</v>
      </c>
      <c r="AD1538" s="111" t="s">
        <v>2172</v>
      </c>
      <c r="AE1538" s="111">
        <v>613281</v>
      </c>
      <c r="AF1538" s="111" t="s">
        <v>1343</v>
      </c>
      <c r="AG1538" s="112">
        <v>4.7551500000000004</v>
      </c>
      <c r="AI1538" s="7" t="str">
        <f>VLOOKUP($AC1538,Mapping!$E$11:$I$96,3,0)</f>
        <v>Augmentation</v>
      </c>
      <c r="AJ1538" s="7" t="str">
        <f>VLOOKUP($AE1538,Mapping!$E$140:$K$2771,5,0)</f>
        <v>Labour</v>
      </c>
      <c r="AK1538" s="7" t="str">
        <f>VLOOKUP($AE1538,Mapping!$E$140:$K$2771,7,0)</f>
        <v>ENDirect</v>
      </c>
      <c r="AL1538" s="7" t="str">
        <f>IFERROR(HLOOKUP(AJ1538,'Calc|Weightings'!$K$5:$M$5,1,0),"Excl")</f>
        <v>Labour</v>
      </c>
      <c r="AM1538" s="7" t="str">
        <f>VLOOKUP(AC1538,Mapping!$E$11:$I$96,5,0)</f>
        <v>SCS</v>
      </c>
      <c r="AO1538" s="134">
        <v>168</v>
      </c>
      <c r="AP1538" s="135" t="s">
        <v>2176</v>
      </c>
      <c r="AQ1538" s="135">
        <v>520200</v>
      </c>
      <c r="AR1538" s="135" t="s">
        <v>2073</v>
      </c>
      <c r="AS1538" s="136">
        <v>28.047360000000001</v>
      </c>
      <c r="AU1538" s="7" t="str">
        <f>VLOOKUP($AO1538,Mapping!$E$11:$I$96,3,0)</f>
        <v>Augmentation</v>
      </c>
      <c r="AV1538" s="7" t="str">
        <f>VLOOKUP($AQ1538,Mapping!$E$140:$K$2771,5,0)</f>
        <v>Materials</v>
      </c>
      <c r="AW1538" s="7" t="str">
        <f>VLOOKUP($AQ1538,Mapping!$E$140:$K$2771,7,0)</f>
        <v>ENDirect</v>
      </c>
      <c r="AX1538" s="7" t="str">
        <f>IFERROR(HLOOKUP(AV1538,'Calc|Weightings'!$K$5:$M$5,1,0),"Excl")</f>
        <v>Materials</v>
      </c>
      <c r="AY1538" s="7" t="str">
        <f>VLOOKUP(AO1538,Mapping!$E$11:$I$96,5,0)</f>
        <v>SCS</v>
      </c>
    </row>
    <row r="1539" spans="1:51" x14ac:dyDescent="0.2">
      <c r="A1539" s="7"/>
      <c r="B1539" s="7"/>
      <c r="C1539" s="7"/>
      <c r="D1539" s="7"/>
      <c r="E1539" s="36">
        <v>154</v>
      </c>
      <c r="F1539" s="36" t="s">
        <v>2163</v>
      </c>
      <c r="G1539" s="36">
        <v>639050</v>
      </c>
      <c r="H1539" s="36" t="s">
        <v>2113</v>
      </c>
      <c r="I1539" s="37">
        <v>5.1066200000000004</v>
      </c>
      <c r="J1539" s="7"/>
      <c r="K1539" s="7" t="str">
        <f>VLOOKUP($E1539,Mapping!$E$11:$I$96,3,0)</f>
        <v>Replacement</v>
      </c>
      <c r="L1539" s="7" t="str">
        <f>VLOOKUP($G1539,Mapping!$E$140:$K$2771,5,0)</f>
        <v>PNS Fleet &amp; Property OH</v>
      </c>
      <c r="M1539" s="7" t="str">
        <f>VLOOKUP($G1539,Mapping!$E$140:$K$2771,7,0)</f>
        <v>OH</v>
      </c>
      <c r="N1539" s="7" t="str">
        <f>IFERROR(HLOOKUP(L1539,'Calc|Weightings'!$K$5:$M$5,1,0),"Excl")</f>
        <v>Excl</v>
      </c>
      <c r="O1539" s="7" t="str">
        <f>VLOOKUP(E1539,Mapping!$E$11:$I$96,5,0)</f>
        <v>SCS</v>
      </c>
      <c r="Q1539" s="33">
        <v>163</v>
      </c>
      <c r="R1539" s="33" t="s">
        <v>2173</v>
      </c>
      <c r="S1539" s="33">
        <v>591997</v>
      </c>
      <c r="T1539" s="33" t="s">
        <v>399</v>
      </c>
      <c r="U1539" s="34">
        <v>-5.7036899999999999</v>
      </c>
      <c r="V1539" s="7"/>
      <c r="W1539" s="7" t="str">
        <f>VLOOKUP($Q1539,Mapping!$E$11:$I$96,3,0)</f>
        <v>Replacement</v>
      </c>
      <c r="X1539" s="7" t="str">
        <f>VLOOKUP($S1539,Mapping!$E$140:$K$2771,5,0)</f>
        <v>Contracts</v>
      </c>
      <c r="Y1539" s="7" t="str">
        <f>VLOOKUP($S1539,Mapping!$E$140:$K$2771,7,0)</f>
        <v>ENDirect</v>
      </c>
      <c r="Z1539" s="7" t="str">
        <f>IFERROR(HLOOKUP(X1539,'Calc|Weightings'!$K$5:$M$5,1,0),"Excl")</f>
        <v>Contracts</v>
      </c>
      <c r="AA1539" s="7" t="str">
        <f>VLOOKUP(Q1539,Mapping!$E$11:$I$96,5,0)</f>
        <v>SCS</v>
      </c>
      <c r="AC1539" s="111">
        <v>162</v>
      </c>
      <c r="AD1539" s="111" t="s">
        <v>2172</v>
      </c>
      <c r="AE1539" s="111">
        <v>613290</v>
      </c>
      <c r="AF1539" s="111" t="s">
        <v>2093</v>
      </c>
      <c r="AG1539" s="112">
        <v>524.80889000000002</v>
      </c>
      <c r="AI1539" s="7" t="str">
        <f>VLOOKUP($AC1539,Mapping!$E$11:$I$96,3,0)</f>
        <v>Augmentation</v>
      </c>
      <c r="AJ1539" s="7" t="str">
        <f>VLOOKUP($AE1539,Mapping!$E$140:$K$2771,5,0)</f>
        <v>Labour</v>
      </c>
      <c r="AK1539" s="7" t="str">
        <f>VLOOKUP($AE1539,Mapping!$E$140:$K$2771,7,0)</f>
        <v>ENDirect</v>
      </c>
      <c r="AL1539" s="7" t="str">
        <f>IFERROR(HLOOKUP(AJ1539,'Calc|Weightings'!$K$5:$M$5,1,0),"Excl")</f>
        <v>Labour</v>
      </c>
      <c r="AM1539" s="7" t="str">
        <f>VLOOKUP(AC1539,Mapping!$E$11:$I$96,5,0)</f>
        <v>SCS</v>
      </c>
      <c r="AO1539" s="134">
        <v>168</v>
      </c>
      <c r="AP1539" s="135" t="s">
        <v>2176</v>
      </c>
      <c r="AQ1539" s="135">
        <v>523100</v>
      </c>
      <c r="AR1539" s="135" t="s">
        <v>2074</v>
      </c>
      <c r="AS1539" s="136">
        <v>4.6609600000000002</v>
      </c>
      <c r="AU1539" s="7" t="str">
        <f>VLOOKUP($AO1539,Mapping!$E$11:$I$96,3,0)</f>
        <v>Augmentation</v>
      </c>
      <c r="AV1539" s="7" t="str">
        <f>VLOOKUP($AQ1539,Mapping!$E$140:$K$2771,5,0)</f>
        <v>Materials</v>
      </c>
      <c r="AW1539" s="7" t="str">
        <f>VLOOKUP($AQ1539,Mapping!$E$140:$K$2771,7,0)</f>
        <v>ENDirect</v>
      </c>
      <c r="AX1539" s="7" t="str">
        <f>IFERROR(HLOOKUP(AV1539,'Calc|Weightings'!$K$5:$M$5,1,0),"Excl")</f>
        <v>Materials</v>
      </c>
      <c r="AY1539" s="7" t="str">
        <f>VLOOKUP(AO1539,Mapping!$E$11:$I$96,5,0)</f>
        <v>SCS</v>
      </c>
    </row>
    <row r="1540" spans="1:51" x14ac:dyDescent="0.2">
      <c r="A1540" s="7"/>
      <c r="B1540" s="7"/>
      <c r="C1540" s="7"/>
      <c r="D1540" s="7"/>
      <c r="E1540" s="36">
        <v>155</v>
      </c>
      <c r="F1540" s="36" t="s">
        <v>2164</v>
      </c>
      <c r="G1540" s="36">
        <v>520100</v>
      </c>
      <c r="H1540" s="36" t="s">
        <v>2072</v>
      </c>
      <c r="I1540" s="37">
        <v>28.99521</v>
      </c>
      <c r="J1540" s="7"/>
      <c r="K1540" s="7" t="str">
        <f>VLOOKUP($E1540,Mapping!$E$11:$I$96,3,0)</f>
        <v>Replacement</v>
      </c>
      <c r="L1540" s="7" t="str">
        <f>VLOOKUP($G1540,Mapping!$E$140:$K$2771,5,0)</f>
        <v>Materials</v>
      </c>
      <c r="M1540" s="7" t="str">
        <f>VLOOKUP($G1540,Mapping!$E$140:$K$2771,7,0)</f>
        <v>ENDirect</v>
      </c>
      <c r="N1540" s="7" t="str">
        <f>IFERROR(HLOOKUP(L1540,'Calc|Weightings'!$K$5:$M$5,1,0),"Excl")</f>
        <v>Materials</v>
      </c>
      <c r="O1540" s="7" t="str">
        <f>VLOOKUP(E1540,Mapping!$E$11:$I$96,5,0)</f>
        <v>SCS</v>
      </c>
      <c r="Q1540" s="33">
        <v>163</v>
      </c>
      <c r="R1540" s="33" t="s">
        <v>2173</v>
      </c>
      <c r="S1540" s="33">
        <v>591998</v>
      </c>
      <c r="T1540" s="33" t="s">
        <v>2077</v>
      </c>
      <c r="U1540" s="34">
        <v>-10.258279999999999</v>
      </c>
      <c r="V1540" s="7"/>
      <c r="W1540" s="7" t="str">
        <f>VLOOKUP($Q1540,Mapping!$E$11:$I$96,3,0)</f>
        <v>Replacement</v>
      </c>
      <c r="X1540" s="7" t="str">
        <f>VLOOKUP($S1540,Mapping!$E$140:$K$2771,5,0)</f>
        <v>Contracts</v>
      </c>
      <c r="Y1540" s="7" t="str">
        <f>VLOOKUP($S1540,Mapping!$E$140:$K$2771,7,0)</f>
        <v>ENDirect</v>
      </c>
      <c r="Z1540" s="7" t="str">
        <f>IFERROR(HLOOKUP(X1540,'Calc|Weightings'!$K$5:$M$5,1,0),"Excl")</f>
        <v>Contracts</v>
      </c>
      <c r="AA1540" s="7" t="str">
        <f>VLOOKUP(Q1540,Mapping!$E$11:$I$96,5,0)</f>
        <v>SCS</v>
      </c>
      <c r="AC1540" s="111">
        <v>162</v>
      </c>
      <c r="AD1540" s="111" t="s">
        <v>2172</v>
      </c>
      <c r="AE1540" s="111">
        <v>613291</v>
      </c>
      <c r="AF1540" s="111" t="s">
        <v>2094</v>
      </c>
      <c r="AG1540" s="112">
        <v>7.5870000000000007E-2</v>
      </c>
      <c r="AI1540" s="7" t="str">
        <f>VLOOKUP($AC1540,Mapping!$E$11:$I$96,3,0)</f>
        <v>Augmentation</v>
      </c>
      <c r="AJ1540" s="7" t="str">
        <f>VLOOKUP($AE1540,Mapping!$E$140:$K$2771,5,0)</f>
        <v>Labour</v>
      </c>
      <c r="AK1540" s="7" t="str">
        <f>VLOOKUP($AE1540,Mapping!$E$140:$K$2771,7,0)</f>
        <v>ENDirect</v>
      </c>
      <c r="AL1540" s="7" t="str">
        <f>IFERROR(HLOOKUP(AJ1540,'Calc|Weightings'!$K$5:$M$5,1,0),"Excl")</f>
        <v>Labour</v>
      </c>
      <c r="AM1540" s="7" t="str">
        <f>VLOOKUP(AC1540,Mapping!$E$11:$I$96,5,0)</f>
        <v>SCS</v>
      </c>
      <c r="AO1540" s="134">
        <v>168</v>
      </c>
      <c r="AP1540" s="135" t="s">
        <v>2176</v>
      </c>
      <c r="AQ1540" s="135">
        <v>531000</v>
      </c>
      <c r="AR1540" s="135" t="s">
        <v>242</v>
      </c>
      <c r="AS1540" s="136">
        <v>0.52163999999999999</v>
      </c>
      <c r="AU1540" s="7" t="str">
        <f>VLOOKUP($AO1540,Mapping!$E$11:$I$96,3,0)</f>
        <v>Augmentation</v>
      </c>
      <c r="AV1540" s="7" t="str">
        <f>VLOOKUP($AQ1540,Mapping!$E$140:$K$2771,5,0)</f>
        <v>Contracts</v>
      </c>
      <c r="AW1540" s="7" t="str">
        <f>VLOOKUP($AQ1540,Mapping!$E$140:$K$2771,7,0)</f>
        <v>ENDirect</v>
      </c>
      <c r="AX1540" s="7" t="str">
        <f>IFERROR(HLOOKUP(AV1540,'Calc|Weightings'!$K$5:$M$5,1,0),"Excl")</f>
        <v>Contracts</v>
      </c>
      <c r="AY1540" s="7" t="str">
        <f>VLOOKUP(AO1540,Mapping!$E$11:$I$96,5,0)</f>
        <v>SCS</v>
      </c>
    </row>
    <row r="1541" spans="1:51" x14ac:dyDescent="0.2">
      <c r="A1541" s="7"/>
      <c r="B1541" s="7"/>
      <c r="C1541" s="7"/>
      <c r="D1541" s="7"/>
      <c r="E1541" s="36">
        <v>155</v>
      </c>
      <c r="F1541" s="36" t="s">
        <v>2164</v>
      </c>
      <c r="G1541" s="36">
        <v>523100</v>
      </c>
      <c r="H1541" s="36" t="s">
        <v>2074</v>
      </c>
      <c r="I1541" s="37">
        <v>0.23224</v>
      </c>
      <c r="J1541" s="7"/>
      <c r="K1541" s="7" t="str">
        <f>VLOOKUP($E1541,Mapping!$E$11:$I$96,3,0)</f>
        <v>Replacement</v>
      </c>
      <c r="L1541" s="7" t="str">
        <f>VLOOKUP($G1541,Mapping!$E$140:$K$2771,5,0)</f>
        <v>Materials</v>
      </c>
      <c r="M1541" s="7" t="str">
        <f>VLOOKUP($G1541,Mapping!$E$140:$K$2771,7,0)</f>
        <v>ENDirect</v>
      </c>
      <c r="N1541" s="7" t="str">
        <f>IFERROR(HLOOKUP(L1541,'Calc|Weightings'!$K$5:$M$5,1,0),"Excl")</f>
        <v>Materials</v>
      </c>
      <c r="O1541" s="7" t="str">
        <f>VLOOKUP(E1541,Mapping!$E$11:$I$96,5,0)</f>
        <v>SCS</v>
      </c>
      <c r="Q1541" s="33">
        <v>163</v>
      </c>
      <c r="R1541" s="33" t="s">
        <v>2173</v>
      </c>
      <c r="S1541" s="33">
        <v>591999</v>
      </c>
      <c r="T1541" s="33" t="s">
        <v>2078</v>
      </c>
      <c r="U1541" s="34">
        <v>-11.87299</v>
      </c>
      <c r="V1541" s="7"/>
      <c r="W1541" s="7" t="str">
        <f>VLOOKUP($Q1541,Mapping!$E$11:$I$96,3,0)</f>
        <v>Replacement</v>
      </c>
      <c r="X1541" s="7" t="str">
        <f>VLOOKUP($S1541,Mapping!$E$140:$K$2771,5,0)</f>
        <v>Contracts</v>
      </c>
      <c r="Y1541" s="7" t="str">
        <f>VLOOKUP($S1541,Mapping!$E$140:$K$2771,7,0)</f>
        <v>ENDirect</v>
      </c>
      <c r="Z1541" s="7" t="str">
        <f>IFERROR(HLOOKUP(X1541,'Calc|Weightings'!$K$5:$M$5,1,0),"Excl")</f>
        <v>Contracts</v>
      </c>
      <c r="AA1541" s="7" t="str">
        <f>VLOOKUP(Q1541,Mapping!$E$11:$I$96,5,0)</f>
        <v>SCS</v>
      </c>
      <c r="AC1541" s="111">
        <v>162</v>
      </c>
      <c r="AD1541" s="111" t="s">
        <v>2172</v>
      </c>
      <c r="AE1541" s="111">
        <v>613298</v>
      </c>
      <c r="AF1541" s="111" t="s">
        <v>2122</v>
      </c>
      <c r="AG1541" s="112">
        <v>2.9157700000000002</v>
      </c>
      <c r="AI1541" s="7" t="str">
        <f>VLOOKUP($AC1541,Mapping!$E$11:$I$96,3,0)</f>
        <v>Augmentation</v>
      </c>
      <c r="AJ1541" s="7" t="str">
        <f>VLOOKUP($AE1541,Mapping!$E$140:$K$2771,5,0)</f>
        <v>Labour</v>
      </c>
      <c r="AK1541" s="7" t="str">
        <f>VLOOKUP($AE1541,Mapping!$E$140:$K$2771,7,0)</f>
        <v>ENDirect</v>
      </c>
      <c r="AL1541" s="7" t="str">
        <f>IFERROR(HLOOKUP(AJ1541,'Calc|Weightings'!$K$5:$M$5,1,0),"Excl")</f>
        <v>Labour</v>
      </c>
      <c r="AM1541" s="7" t="str">
        <f>VLOOKUP(AC1541,Mapping!$E$11:$I$96,5,0)</f>
        <v>SCS</v>
      </c>
      <c r="AO1541" s="134">
        <v>168</v>
      </c>
      <c r="AP1541" s="135" t="s">
        <v>2176</v>
      </c>
      <c r="AQ1541" s="135">
        <v>531020</v>
      </c>
      <c r="AR1541" s="135" t="s">
        <v>219</v>
      </c>
      <c r="AS1541" s="136">
        <v>-68.161100000000005</v>
      </c>
      <c r="AU1541" s="7" t="str">
        <f>VLOOKUP($AO1541,Mapping!$E$11:$I$96,3,0)</f>
        <v>Augmentation</v>
      </c>
      <c r="AV1541" s="7" t="str">
        <f>VLOOKUP($AQ1541,Mapping!$E$140:$K$2771,5,0)</f>
        <v>Labour</v>
      </c>
      <c r="AW1541" s="7" t="str">
        <f>VLOOKUP($AQ1541,Mapping!$E$140:$K$2771,7,0)</f>
        <v>ENDirect</v>
      </c>
      <c r="AX1541" s="7" t="str">
        <f>IFERROR(HLOOKUP(AV1541,'Calc|Weightings'!$K$5:$M$5,1,0),"Excl")</f>
        <v>Labour</v>
      </c>
      <c r="AY1541" s="7" t="str">
        <f>VLOOKUP(AO1541,Mapping!$E$11:$I$96,5,0)</f>
        <v>SCS</v>
      </c>
    </row>
    <row r="1542" spans="1:51" x14ac:dyDescent="0.2">
      <c r="A1542" s="7"/>
      <c r="B1542" s="7"/>
      <c r="C1542" s="7"/>
      <c r="D1542" s="7"/>
      <c r="E1542" s="36">
        <v>155</v>
      </c>
      <c r="F1542" s="36" t="s">
        <v>2164</v>
      </c>
      <c r="G1542" s="36">
        <v>523300</v>
      </c>
      <c r="H1542" s="36" t="s">
        <v>2075</v>
      </c>
      <c r="I1542" s="37">
        <v>1.2E-4</v>
      </c>
      <c r="J1542" s="7"/>
      <c r="K1542" s="7" t="str">
        <f>VLOOKUP($E1542,Mapping!$E$11:$I$96,3,0)</f>
        <v>Replacement</v>
      </c>
      <c r="L1542" s="7" t="str">
        <f>VLOOKUP($G1542,Mapping!$E$140:$K$2771,5,0)</f>
        <v>Materials</v>
      </c>
      <c r="M1542" s="7" t="str">
        <f>VLOOKUP($G1542,Mapping!$E$140:$K$2771,7,0)</f>
        <v>ENDirect</v>
      </c>
      <c r="N1542" s="7" t="str">
        <f>IFERROR(HLOOKUP(L1542,'Calc|Weightings'!$K$5:$M$5,1,0),"Excl")</f>
        <v>Materials</v>
      </c>
      <c r="O1542" s="7" t="str">
        <f>VLOOKUP(E1542,Mapping!$E$11:$I$96,5,0)</f>
        <v>SCS</v>
      </c>
      <c r="Q1542" s="33">
        <v>163</v>
      </c>
      <c r="R1542" s="33" t="s">
        <v>2173</v>
      </c>
      <c r="S1542" s="33">
        <v>613280</v>
      </c>
      <c r="T1542" s="33" t="s">
        <v>1342</v>
      </c>
      <c r="U1542" s="34">
        <v>0.12404</v>
      </c>
      <c r="V1542" s="7"/>
      <c r="W1542" s="7" t="str">
        <f>VLOOKUP($Q1542,Mapping!$E$11:$I$96,3,0)</f>
        <v>Replacement</v>
      </c>
      <c r="X1542" s="7" t="str">
        <f>VLOOKUP($S1542,Mapping!$E$140:$K$2771,5,0)</f>
        <v>Labour</v>
      </c>
      <c r="Y1542" s="7" t="str">
        <f>VLOOKUP($S1542,Mapping!$E$140:$K$2771,7,0)</f>
        <v>ENDirect</v>
      </c>
      <c r="Z1542" s="7" t="str">
        <f>IFERROR(HLOOKUP(X1542,'Calc|Weightings'!$K$5:$M$5,1,0),"Excl")</f>
        <v>Labour</v>
      </c>
      <c r="AA1542" s="7" t="str">
        <f>VLOOKUP(Q1542,Mapping!$E$11:$I$96,5,0)</f>
        <v>SCS</v>
      </c>
      <c r="AC1542" s="111">
        <v>162</v>
      </c>
      <c r="AD1542" s="111" t="s">
        <v>2172</v>
      </c>
      <c r="AE1542" s="111">
        <v>613310</v>
      </c>
      <c r="AF1542" s="111" t="s">
        <v>2095</v>
      </c>
      <c r="AG1542" s="112">
        <v>108.81713999999999</v>
      </c>
      <c r="AI1542" s="7" t="str">
        <f>VLOOKUP($AC1542,Mapping!$E$11:$I$96,3,0)</f>
        <v>Augmentation</v>
      </c>
      <c r="AJ1542" s="7" t="str">
        <f>VLOOKUP($AE1542,Mapping!$E$140:$K$2771,5,0)</f>
        <v>Labour</v>
      </c>
      <c r="AK1542" s="7" t="str">
        <f>VLOOKUP($AE1542,Mapping!$E$140:$K$2771,7,0)</f>
        <v>ENDirect</v>
      </c>
      <c r="AL1542" s="7" t="str">
        <f>IFERROR(HLOOKUP(AJ1542,'Calc|Weightings'!$K$5:$M$5,1,0),"Excl")</f>
        <v>Labour</v>
      </c>
      <c r="AM1542" s="7" t="str">
        <f>VLOOKUP(AC1542,Mapping!$E$11:$I$96,5,0)</f>
        <v>SCS</v>
      </c>
      <c r="AO1542" s="134">
        <v>168</v>
      </c>
      <c r="AP1542" s="135" t="s">
        <v>2176</v>
      </c>
      <c r="AQ1542" s="135">
        <v>531200</v>
      </c>
      <c r="AR1542" s="135" t="s">
        <v>250</v>
      </c>
      <c r="AS1542" s="136">
        <v>193.08045999999999</v>
      </c>
      <c r="AU1542" s="7" t="str">
        <f>VLOOKUP($AO1542,Mapping!$E$11:$I$96,3,0)</f>
        <v>Augmentation</v>
      </c>
      <c r="AV1542" s="7" t="str">
        <f>VLOOKUP($AQ1542,Mapping!$E$140:$K$2771,5,0)</f>
        <v>Contracts</v>
      </c>
      <c r="AW1542" s="7" t="str">
        <f>VLOOKUP($AQ1542,Mapping!$E$140:$K$2771,7,0)</f>
        <v>ENDirect</v>
      </c>
      <c r="AX1542" s="7" t="str">
        <f>IFERROR(HLOOKUP(AV1542,'Calc|Weightings'!$K$5:$M$5,1,0),"Excl")</f>
        <v>Contracts</v>
      </c>
      <c r="AY1542" s="7" t="str">
        <f>VLOOKUP(AO1542,Mapping!$E$11:$I$96,5,0)</f>
        <v>SCS</v>
      </c>
    </row>
    <row r="1543" spans="1:51" x14ac:dyDescent="0.2">
      <c r="A1543" s="7"/>
      <c r="B1543" s="7"/>
      <c r="C1543" s="7"/>
      <c r="D1543" s="7"/>
      <c r="E1543" s="36">
        <v>155</v>
      </c>
      <c r="F1543" s="36" t="s">
        <v>2164</v>
      </c>
      <c r="G1543" s="36">
        <v>531020</v>
      </c>
      <c r="H1543" s="36" t="s">
        <v>219</v>
      </c>
      <c r="I1543" s="37">
        <v>-3.78342</v>
      </c>
      <c r="J1543" s="7"/>
      <c r="K1543" s="7" t="str">
        <f>VLOOKUP($E1543,Mapping!$E$11:$I$96,3,0)</f>
        <v>Replacement</v>
      </c>
      <c r="L1543" s="7" t="str">
        <f>VLOOKUP($G1543,Mapping!$E$140:$K$2771,5,0)</f>
        <v>Labour</v>
      </c>
      <c r="M1543" s="7" t="str">
        <f>VLOOKUP($G1543,Mapping!$E$140:$K$2771,7,0)</f>
        <v>ENDirect</v>
      </c>
      <c r="N1543" s="7" t="str">
        <f>IFERROR(HLOOKUP(L1543,'Calc|Weightings'!$K$5:$M$5,1,0),"Excl")</f>
        <v>Labour</v>
      </c>
      <c r="O1543" s="7" t="str">
        <f>VLOOKUP(E1543,Mapping!$E$11:$I$96,5,0)</f>
        <v>SCS</v>
      </c>
      <c r="Q1543" s="33">
        <v>163</v>
      </c>
      <c r="R1543" s="33" t="s">
        <v>2173</v>
      </c>
      <c r="S1543" s="33">
        <v>613290</v>
      </c>
      <c r="T1543" s="33" t="s">
        <v>2093</v>
      </c>
      <c r="U1543" s="34">
        <v>0.93300000000000005</v>
      </c>
      <c r="V1543" s="7"/>
      <c r="W1543" s="7" t="str">
        <f>VLOOKUP($Q1543,Mapping!$E$11:$I$96,3,0)</f>
        <v>Replacement</v>
      </c>
      <c r="X1543" s="7" t="str">
        <f>VLOOKUP($S1543,Mapping!$E$140:$K$2771,5,0)</f>
        <v>Labour</v>
      </c>
      <c r="Y1543" s="7" t="str">
        <f>VLOOKUP($S1543,Mapping!$E$140:$K$2771,7,0)</f>
        <v>ENDirect</v>
      </c>
      <c r="Z1543" s="7" t="str">
        <f>IFERROR(HLOOKUP(X1543,'Calc|Weightings'!$K$5:$M$5,1,0),"Excl")</f>
        <v>Labour</v>
      </c>
      <c r="AA1543" s="7" t="str">
        <f>VLOOKUP(Q1543,Mapping!$E$11:$I$96,5,0)</f>
        <v>SCS</v>
      </c>
      <c r="AC1543" s="111">
        <v>162</v>
      </c>
      <c r="AD1543" s="111" t="s">
        <v>2172</v>
      </c>
      <c r="AE1543" s="111">
        <v>613311</v>
      </c>
      <c r="AF1543" s="111" t="s">
        <v>2116</v>
      </c>
      <c r="AG1543" s="112">
        <v>1.11015</v>
      </c>
      <c r="AI1543" s="7" t="str">
        <f>VLOOKUP($AC1543,Mapping!$E$11:$I$96,3,0)</f>
        <v>Augmentation</v>
      </c>
      <c r="AJ1543" s="7" t="str">
        <f>VLOOKUP($AE1543,Mapping!$E$140:$K$2771,5,0)</f>
        <v>Labour</v>
      </c>
      <c r="AK1543" s="7" t="str">
        <f>VLOOKUP($AE1543,Mapping!$E$140:$K$2771,7,0)</f>
        <v>ENDirect</v>
      </c>
      <c r="AL1543" s="7" t="str">
        <f>IFERROR(HLOOKUP(AJ1543,'Calc|Weightings'!$K$5:$M$5,1,0),"Excl")</f>
        <v>Labour</v>
      </c>
      <c r="AM1543" s="7" t="str">
        <f>VLOOKUP(AC1543,Mapping!$E$11:$I$96,5,0)</f>
        <v>SCS</v>
      </c>
      <c r="AO1543" s="134">
        <v>168</v>
      </c>
      <c r="AP1543" s="135" t="s">
        <v>2176</v>
      </c>
      <c r="AQ1543" s="135">
        <v>531201</v>
      </c>
      <c r="AR1543" s="135" t="s">
        <v>251</v>
      </c>
      <c r="AS1543" s="136">
        <v>293.14717999999999</v>
      </c>
      <c r="AU1543" s="7" t="str">
        <f>VLOOKUP($AO1543,Mapping!$E$11:$I$96,3,0)</f>
        <v>Augmentation</v>
      </c>
      <c r="AV1543" s="7" t="str">
        <f>VLOOKUP($AQ1543,Mapping!$E$140:$K$2771,5,0)</f>
        <v>Contracts</v>
      </c>
      <c r="AW1543" s="7" t="str">
        <f>VLOOKUP($AQ1543,Mapping!$E$140:$K$2771,7,0)</f>
        <v>ENDirect</v>
      </c>
      <c r="AX1543" s="7" t="str">
        <f>IFERROR(HLOOKUP(AV1543,'Calc|Weightings'!$K$5:$M$5,1,0),"Excl")</f>
        <v>Contracts</v>
      </c>
      <c r="AY1543" s="7" t="str">
        <f>VLOOKUP(AO1543,Mapping!$E$11:$I$96,5,0)</f>
        <v>SCS</v>
      </c>
    </row>
    <row r="1544" spans="1:51" x14ac:dyDescent="0.2">
      <c r="A1544" s="7"/>
      <c r="B1544" s="7"/>
      <c r="C1544" s="7"/>
      <c r="D1544" s="7"/>
      <c r="E1544" s="36">
        <v>155</v>
      </c>
      <c r="F1544" s="36" t="s">
        <v>2164</v>
      </c>
      <c r="G1544" s="36">
        <v>531035</v>
      </c>
      <c r="H1544" s="36" t="s">
        <v>244</v>
      </c>
      <c r="I1544" s="37">
        <v>0.43933</v>
      </c>
      <c r="J1544" s="7"/>
      <c r="K1544" s="7" t="str">
        <f>VLOOKUP($E1544,Mapping!$E$11:$I$96,3,0)</f>
        <v>Replacement</v>
      </c>
      <c r="L1544" s="7" t="str">
        <f>VLOOKUP($G1544,Mapping!$E$140:$K$2771,5,0)</f>
        <v>Labour</v>
      </c>
      <c r="M1544" s="7" t="str">
        <f>VLOOKUP($G1544,Mapping!$E$140:$K$2771,7,0)</f>
        <v>ENDirect</v>
      </c>
      <c r="N1544" s="7" t="str">
        <f>IFERROR(HLOOKUP(L1544,'Calc|Weightings'!$K$5:$M$5,1,0),"Excl")</f>
        <v>Labour</v>
      </c>
      <c r="O1544" s="7" t="str">
        <f>VLOOKUP(E1544,Mapping!$E$11:$I$96,5,0)</f>
        <v>SCS</v>
      </c>
      <c r="Q1544" s="33">
        <v>163</v>
      </c>
      <c r="R1544" s="33" t="s">
        <v>2173</v>
      </c>
      <c r="S1544" s="33">
        <v>613360</v>
      </c>
      <c r="T1544" s="33" t="s">
        <v>2097</v>
      </c>
      <c r="U1544" s="34">
        <v>0.61675000000000002</v>
      </c>
      <c r="V1544" s="7"/>
      <c r="W1544" s="7" t="str">
        <f>VLOOKUP($Q1544,Mapping!$E$11:$I$96,3,0)</f>
        <v>Replacement</v>
      </c>
      <c r="X1544" s="7" t="str">
        <f>VLOOKUP($S1544,Mapping!$E$140:$K$2771,5,0)</f>
        <v>Labour</v>
      </c>
      <c r="Y1544" s="7" t="str">
        <f>VLOOKUP($S1544,Mapping!$E$140:$K$2771,7,0)</f>
        <v>ENDirect</v>
      </c>
      <c r="Z1544" s="7" t="str">
        <f>IFERROR(HLOOKUP(X1544,'Calc|Weightings'!$K$5:$M$5,1,0),"Excl")</f>
        <v>Labour</v>
      </c>
      <c r="AA1544" s="7" t="str">
        <f>VLOOKUP(Q1544,Mapping!$E$11:$I$96,5,0)</f>
        <v>SCS</v>
      </c>
      <c r="AC1544" s="111">
        <v>162</v>
      </c>
      <c r="AD1544" s="111" t="s">
        <v>2172</v>
      </c>
      <c r="AE1544" s="111">
        <v>613350</v>
      </c>
      <c r="AF1544" s="111" t="s">
        <v>2096</v>
      </c>
      <c r="AG1544" s="112">
        <v>9.2418099999999992</v>
      </c>
      <c r="AI1544" s="7" t="str">
        <f>VLOOKUP($AC1544,Mapping!$E$11:$I$96,3,0)</f>
        <v>Augmentation</v>
      </c>
      <c r="AJ1544" s="7" t="str">
        <f>VLOOKUP($AE1544,Mapping!$E$140:$K$2771,5,0)</f>
        <v>Labour</v>
      </c>
      <c r="AK1544" s="7" t="str">
        <f>VLOOKUP($AE1544,Mapping!$E$140:$K$2771,7,0)</f>
        <v>ENDirect</v>
      </c>
      <c r="AL1544" s="7" t="str">
        <f>IFERROR(HLOOKUP(AJ1544,'Calc|Weightings'!$K$5:$M$5,1,0),"Excl")</f>
        <v>Labour</v>
      </c>
      <c r="AM1544" s="7" t="str">
        <f>VLOOKUP(AC1544,Mapping!$E$11:$I$96,5,0)</f>
        <v>SCS</v>
      </c>
      <c r="AO1544" s="134">
        <v>168</v>
      </c>
      <c r="AP1544" s="135" t="s">
        <v>2176</v>
      </c>
      <c r="AQ1544" s="135">
        <v>531464</v>
      </c>
      <c r="AR1544" s="135" t="s">
        <v>256</v>
      </c>
      <c r="AS1544" s="136">
        <v>6.78118</v>
      </c>
      <c r="AU1544" s="7" t="str">
        <f>VLOOKUP($AO1544,Mapping!$E$11:$I$96,3,0)</f>
        <v>Augmentation</v>
      </c>
      <c r="AV1544" s="7" t="str">
        <f>VLOOKUP($AQ1544,Mapping!$E$140:$K$2771,5,0)</f>
        <v>Contracts</v>
      </c>
      <c r="AW1544" s="7" t="str">
        <f>VLOOKUP($AQ1544,Mapping!$E$140:$K$2771,7,0)</f>
        <v>ENDirect</v>
      </c>
      <c r="AX1544" s="7" t="str">
        <f>IFERROR(HLOOKUP(AV1544,'Calc|Weightings'!$K$5:$M$5,1,0),"Excl")</f>
        <v>Contracts</v>
      </c>
      <c r="AY1544" s="7" t="str">
        <f>VLOOKUP(AO1544,Mapping!$E$11:$I$96,5,0)</f>
        <v>SCS</v>
      </c>
    </row>
    <row r="1545" spans="1:51" x14ac:dyDescent="0.2">
      <c r="A1545" s="7"/>
      <c r="B1545" s="7"/>
      <c r="C1545" s="7"/>
      <c r="D1545" s="7"/>
      <c r="E1545" s="36">
        <v>155</v>
      </c>
      <c r="F1545" s="36" t="s">
        <v>2164</v>
      </c>
      <c r="G1545" s="36">
        <v>531200</v>
      </c>
      <c r="H1545" s="36" t="s">
        <v>250</v>
      </c>
      <c r="I1545" s="37">
        <v>-111.5107</v>
      </c>
      <c r="J1545" s="7"/>
      <c r="K1545" s="7" t="str">
        <f>VLOOKUP($E1545,Mapping!$E$11:$I$96,3,0)</f>
        <v>Replacement</v>
      </c>
      <c r="L1545" s="7" t="str">
        <f>VLOOKUP($G1545,Mapping!$E$140:$K$2771,5,0)</f>
        <v>Contracts</v>
      </c>
      <c r="M1545" s="7" t="str">
        <f>VLOOKUP($G1545,Mapping!$E$140:$K$2771,7,0)</f>
        <v>ENDirect</v>
      </c>
      <c r="N1545" s="7" t="str">
        <f>IFERROR(HLOOKUP(L1545,'Calc|Weightings'!$K$5:$M$5,1,0),"Excl")</f>
        <v>Contracts</v>
      </c>
      <c r="O1545" s="7" t="str">
        <f>VLOOKUP(E1545,Mapping!$E$11:$I$96,5,0)</f>
        <v>SCS</v>
      </c>
      <c r="Q1545" s="33">
        <v>163</v>
      </c>
      <c r="R1545" s="33" t="s">
        <v>2173</v>
      </c>
      <c r="S1545" s="33">
        <v>613680</v>
      </c>
      <c r="T1545" s="33" t="s">
        <v>2107</v>
      </c>
      <c r="U1545" s="34">
        <v>0.83448</v>
      </c>
      <c r="V1545" s="7"/>
      <c r="W1545" s="7" t="str">
        <f>VLOOKUP($Q1545,Mapping!$E$11:$I$96,3,0)</f>
        <v>Replacement</v>
      </c>
      <c r="X1545" s="7" t="str">
        <f>VLOOKUP($S1545,Mapping!$E$140:$K$2771,5,0)</f>
        <v>Labour</v>
      </c>
      <c r="Y1545" s="7" t="str">
        <f>VLOOKUP($S1545,Mapping!$E$140:$K$2771,7,0)</f>
        <v>ENDirect</v>
      </c>
      <c r="Z1545" s="7" t="str">
        <f>IFERROR(HLOOKUP(X1545,'Calc|Weightings'!$K$5:$M$5,1,0),"Excl")</f>
        <v>Labour</v>
      </c>
      <c r="AA1545" s="7" t="str">
        <f>VLOOKUP(Q1545,Mapping!$E$11:$I$96,5,0)</f>
        <v>SCS</v>
      </c>
      <c r="AC1545" s="111">
        <v>162</v>
      </c>
      <c r="AD1545" s="111" t="s">
        <v>2172</v>
      </c>
      <c r="AE1545" s="111">
        <v>613360</v>
      </c>
      <c r="AF1545" s="111" t="s">
        <v>2097</v>
      </c>
      <c r="AG1545" s="112">
        <v>58.527979999999999</v>
      </c>
      <c r="AI1545" s="7" t="str">
        <f>VLOOKUP($AC1545,Mapping!$E$11:$I$96,3,0)</f>
        <v>Augmentation</v>
      </c>
      <c r="AJ1545" s="7" t="str">
        <f>VLOOKUP($AE1545,Mapping!$E$140:$K$2771,5,0)</f>
        <v>Labour</v>
      </c>
      <c r="AK1545" s="7" t="str">
        <f>VLOOKUP($AE1545,Mapping!$E$140:$K$2771,7,0)</f>
        <v>ENDirect</v>
      </c>
      <c r="AL1545" s="7" t="str">
        <f>IFERROR(HLOOKUP(AJ1545,'Calc|Weightings'!$K$5:$M$5,1,0),"Excl")</f>
        <v>Labour</v>
      </c>
      <c r="AM1545" s="7" t="str">
        <f>VLOOKUP(AC1545,Mapping!$E$11:$I$96,5,0)</f>
        <v>SCS</v>
      </c>
      <c r="AO1545" s="134">
        <v>168</v>
      </c>
      <c r="AP1545" s="135" t="s">
        <v>2176</v>
      </c>
      <c r="AQ1545" s="135">
        <v>531467</v>
      </c>
      <c r="AR1545" s="135" t="s">
        <v>259</v>
      </c>
      <c r="AS1545" s="136">
        <v>27.37201</v>
      </c>
      <c r="AU1545" s="7" t="str">
        <f>VLOOKUP($AO1545,Mapping!$E$11:$I$96,3,0)</f>
        <v>Augmentation</v>
      </c>
      <c r="AV1545" s="7" t="str">
        <f>VLOOKUP($AQ1545,Mapping!$E$140:$K$2771,5,0)</f>
        <v>Contracts</v>
      </c>
      <c r="AW1545" s="7" t="str">
        <f>VLOOKUP($AQ1545,Mapping!$E$140:$K$2771,7,0)</f>
        <v>ENDirect</v>
      </c>
      <c r="AX1545" s="7" t="str">
        <f>IFERROR(HLOOKUP(AV1545,'Calc|Weightings'!$K$5:$M$5,1,0),"Excl")</f>
        <v>Contracts</v>
      </c>
      <c r="AY1545" s="7" t="str">
        <f>VLOOKUP(AO1545,Mapping!$E$11:$I$96,5,0)</f>
        <v>SCS</v>
      </c>
    </row>
    <row r="1546" spans="1:51" x14ac:dyDescent="0.2">
      <c r="A1546" s="7"/>
      <c r="B1546" s="7"/>
      <c r="C1546" s="7"/>
      <c r="D1546" s="7"/>
      <c r="E1546" s="36">
        <v>155</v>
      </c>
      <c r="F1546" s="36" t="s">
        <v>2164</v>
      </c>
      <c r="G1546" s="36">
        <v>531464</v>
      </c>
      <c r="H1546" s="36" t="s">
        <v>256</v>
      </c>
      <c r="I1546" s="37">
        <v>29.78078</v>
      </c>
      <c r="J1546" s="7"/>
      <c r="K1546" s="7" t="str">
        <f>VLOOKUP($E1546,Mapping!$E$11:$I$96,3,0)</f>
        <v>Replacement</v>
      </c>
      <c r="L1546" s="7" t="str">
        <f>VLOOKUP($G1546,Mapping!$E$140:$K$2771,5,0)</f>
        <v>Contracts</v>
      </c>
      <c r="M1546" s="7" t="str">
        <f>VLOOKUP($G1546,Mapping!$E$140:$K$2771,7,0)</f>
        <v>ENDirect</v>
      </c>
      <c r="N1546" s="7" t="str">
        <f>IFERROR(HLOOKUP(L1546,'Calc|Weightings'!$K$5:$M$5,1,0),"Excl")</f>
        <v>Contracts</v>
      </c>
      <c r="O1546" s="7" t="str">
        <f>VLOOKUP(E1546,Mapping!$E$11:$I$96,5,0)</f>
        <v>SCS</v>
      </c>
      <c r="Q1546" s="33">
        <v>163</v>
      </c>
      <c r="R1546" s="33" t="s">
        <v>2173</v>
      </c>
      <c r="S1546" s="33">
        <v>634001</v>
      </c>
      <c r="T1546" s="33" t="s">
        <v>2110</v>
      </c>
      <c r="U1546" s="34">
        <v>0.70867000000000002</v>
      </c>
      <c r="V1546" s="7"/>
      <c r="W1546" s="7" t="str">
        <f>VLOOKUP($Q1546,Mapping!$E$11:$I$96,3,0)</f>
        <v>Replacement</v>
      </c>
      <c r="X1546" s="7" t="str">
        <f>VLOOKUP($S1546,Mapping!$E$140:$K$2771,5,0)</f>
        <v>Local OH</v>
      </c>
      <c r="Y1546" s="7" t="str">
        <f>VLOOKUP($S1546,Mapping!$E$140:$K$2771,7,0)</f>
        <v>OH</v>
      </c>
      <c r="Z1546" s="7" t="str">
        <f>IFERROR(HLOOKUP(X1546,'Calc|Weightings'!$K$5:$M$5,1,0),"Excl")</f>
        <v>Excl</v>
      </c>
      <c r="AA1546" s="7" t="str">
        <f>VLOOKUP(Q1546,Mapping!$E$11:$I$96,5,0)</f>
        <v>SCS</v>
      </c>
      <c r="AC1546" s="111">
        <v>162</v>
      </c>
      <c r="AD1546" s="111" t="s">
        <v>2172</v>
      </c>
      <c r="AE1546" s="111">
        <v>613361</v>
      </c>
      <c r="AF1546" s="111" t="s">
        <v>2098</v>
      </c>
      <c r="AG1546" s="112">
        <v>4.7494500000000004</v>
      </c>
      <c r="AI1546" s="7" t="str">
        <f>VLOOKUP($AC1546,Mapping!$E$11:$I$96,3,0)</f>
        <v>Augmentation</v>
      </c>
      <c r="AJ1546" s="7" t="str">
        <f>VLOOKUP($AE1546,Mapping!$E$140:$K$2771,5,0)</f>
        <v>Labour</v>
      </c>
      <c r="AK1546" s="7" t="str">
        <f>VLOOKUP($AE1546,Mapping!$E$140:$K$2771,7,0)</f>
        <v>ENDirect</v>
      </c>
      <c r="AL1546" s="7" t="str">
        <f>IFERROR(HLOOKUP(AJ1546,'Calc|Weightings'!$K$5:$M$5,1,0),"Excl")</f>
        <v>Labour</v>
      </c>
      <c r="AM1546" s="7" t="str">
        <f>VLOOKUP(AC1546,Mapping!$E$11:$I$96,5,0)</f>
        <v>SCS</v>
      </c>
      <c r="AO1546" s="134">
        <v>168</v>
      </c>
      <c r="AP1546" s="135" t="s">
        <v>2176</v>
      </c>
      <c r="AQ1546" s="135">
        <v>531468</v>
      </c>
      <c r="AR1546" s="135" t="s">
        <v>260</v>
      </c>
      <c r="AS1546" s="136">
        <v>3.0745200000000001</v>
      </c>
      <c r="AU1546" s="7" t="str">
        <f>VLOOKUP($AO1546,Mapping!$E$11:$I$96,3,0)</f>
        <v>Augmentation</v>
      </c>
      <c r="AV1546" s="7" t="str">
        <f>VLOOKUP($AQ1546,Mapping!$E$140:$K$2771,5,0)</f>
        <v>Contracts</v>
      </c>
      <c r="AW1546" s="7" t="str">
        <f>VLOOKUP($AQ1546,Mapping!$E$140:$K$2771,7,0)</f>
        <v>ENDirect</v>
      </c>
      <c r="AX1546" s="7" t="str">
        <f>IFERROR(HLOOKUP(AV1546,'Calc|Weightings'!$K$5:$M$5,1,0),"Excl")</f>
        <v>Contracts</v>
      </c>
      <c r="AY1546" s="7" t="str">
        <f>VLOOKUP(AO1546,Mapping!$E$11:$I$96,5,0)</f>
        <v>SCS</v>
      </c>
    </row>
    <row r="1547" spans="1:51" x14ac:dyDescent="0.2">
      <c r="A1547" s="7"/>
      <c r="B1547" s="7"/>
      <c r="C1547" s="7"/>
      <c r="D1547" s="7"/>
      <c r="E1547" s="36">
        <v>155</v>
      </c>
      <c r="F1547" s="36" t="s">
        <v>2164</v>
      </c>
      <c r="G1547" s="36">
        <v>531466</v>
      </c>
      <c r="H1547" s="36" t="s">
        <v>258</v>
      </c>
      <c r="I1547" s="37">
        <v>0.87692999999999999</v>
      </c>
      <c r="J1547" s="7"/>
      <c r="K1547" s="7" t="str">
        <f>VLOOKUP($E1547,Mapping!$E$11:$I$96,3,0)</f>
        <v>Replacement</v>
      </c>
      <c r="L1547" s="7" t="str">
        <f>VLOOKUP($G1547,Mapping!$E$140:$K$2771,5,0)</f>
        <v>Contracts</v>
      </c>
      <c r="M1547" s="7" t="str">
        <f>VLOOKUP($G1547,Mapping!$E$140:$K$2771,7,0)</f>
        <v>ENDirect</v>
      </c>
      <c r="N1547" s="7" t="str">
        <f>IFERROR(HLOOKUP(L1547,'Calc|Weightings'!$K$5:$M$5,1,0),"Excl")</f>
        <v>Contracts</v>
      </c>
      <c r="O1547" s="7" t="str">
        <f>VLOOKUP(E1547,Mapping!$E$11:$I$96,5,0)</f>
        <v>SCS</v>
      </c>
      <c r="Q1547" s="33">
        <v>163</v>
      </c>
      <c r="R1547" s="33" t="s">
        <v>2173</v>
      </c>
      <c r="S1547" s="33">
        <v>635001</v>
      </c>
      <c r="T1547" s="33" t="s">
        <v>1929</v>
      </c>
      <c r="U1547" s="34">
        <v>0.64585000000000004</v>
      </c>
      <c r="V1547" s="7"/>
      <c r="W1547" s="7" t="str">
        <f>VLOOKUP($Q1547,Mapping!$E$11:$I$96,3,0)</f>
        <v>Replacement</v>
      </c>
      <c r="X1547" s="7" t="str">
        <f>VLOOKUP($S1547,Mapping!$E$140:$K$2771,5,0)</f>
        <v>PNS MG</v>
      </c>
      <c r="Y1547" s="7" t="str">
        <f>VLOOKUP($S1547,Mapping!$E$140:$K$2771,7,0)</f>
        <v>ENDirect</v>
      </c>
      <c r="Z1547" s="7" t="str">
        <f>IFERROR(HLOOKUP(X1547,'Calc|Weightings'!$K$5:$M$5,1,0),"Excl")</f>
        <v>Excl</v>
      </c>
      <c r="AA1547" s="7" t="str">
        <f>VLOOKUP(Q1547,Mapping!$E$11:$I$96,5,0)</f>
        <v>SCS</v>
      </c>
      <c r="AC1547" s="111">
        <v>162</v>
      </c>
      <c r="AD1547" s="111" t="s">
        <v>2172</v>
      </c>
      <c r="AE1547" s="111">
        <v>613370</v>
      </c>
      <c r="AF1547" s="111" t="s">
        <v>1402</v>
      </c>
      <c r="AG1547" s="112">
        <v>80.699349999999995</v>
      </c>
      <c r="AI1547" s="7" t="str">
        <f>VLOOKUP($AC1547,Mapping!$E$11:$I$96,3,0)</f>
        <v>Augmentation</v>
      </c>
      <c r="AJ1547" s="7" t="str">
        <f>VLOOKUP($AE1547,Mapping!$E$140:$K$2771,5,0)</f>
        <v>Labour</v>
      </c>
      <c r="AK1547" s="7" t="str">
        <f>VLOOKUP($AE1547,Mapping!$E$140:$K$2771,7,0)</f>
        <v>ENDirect</v>
      </c>
      <c r="AL1547" s="7" t="str">
        <f>IFERROR(HLOOKUP(AJ1547,'Calc|Weightings'!$K$5:$M$5,1,0),"Excl")</f>
        <v>Labour</v>
      </c>
      <c r="AM1547" s="7" t="str">
        <f>VLOOKUP(AC1547,Mapping!$E$11:$I$96,5,0)</f>
        <v>SCS</v>
      </c>
      <c r="AO1547" s="134">
        <v>168</v>
      </c>
      <c r="AP1547" s="135" t="s">
        <v>2176</v>
      </c>
      <c r="AQ1547" s="135">
        <v>531469</v>
      </c>
      <c r="AR1547" s="135" t="s">
        <v>261</v>
      </c>
      <c r="AS1547" s="136">
        <v>142.76952</v>
      </c>
      <c r="AU1547" s="7" t="str">
        <f>VLOOKUP($AO1547,Mapping!$E$11:$I$96,3,0)</f>
        <v>Augmentation</v>
      </c>
      <c r="AV1547" s="7" t="str">
        <f>VLOOKUP($AQ1547,Mapping!$E$140:$K$2771,5,0)</f>
        <v>Labour</v>
      </c>
      <c r="AW1547" s="7" t="str">
        <f>VLOOKUP($AQ1547,Mapping!$E$140:$K$2771,7,0)</f>
        <v>ENDirect</v>
      </c>
      <c r="AX1547" s="7" t="str">
        <f>IFERROR(HLOOKUP(AV1547,'Calc|Weightings'!$K$5:$M$5,1,0),"Excl")</f>
        <v>Labour</v>
      </c>
      <c r="AY1547" s="7" t="str">
        <f>VLOOKUP(AO1547,Mapping!$E$11:$I$96,5,0)</f>
        <v>SCS</v>
      </c>
    </row>
    <row r="1548" spans="1:51" x14ac:dyDescent="0.2">
      <c r="A1548" s="7"/>
      <c r="B1548" s="7"/>
      <c r="C1548" s="7"/>
      <c r="D1548" s="7"/>
      <c r="E1548" s="36">
        <v>155</v>
      </c>
      <c r="F1548" s="36" t="s">
        <v>2164</v>
      </c>
      <c r="G1548" s="36">
        <v>531467</v>
      </c>
      <c r="H1548" s="36" t="s">
        <v>259</v>
      </c>
      <c r="I1548" s="37">
        <v>47.220950000000002</v>
      </c>
      <c r="J1548" s="7"/>
      <c r="K1548" s="7" t="str">
        <f>VLOOKUP($E1548,Mapping!$E$11:$I$96,3,0)</f>
        <v>Replacement</v>
      </c>
      <c r="L1548" s="7" t="str">
        <f>VLOOKUP($G1548,Mapping!$E$140:$K$2771,5,0)</f>
        <v>Contracts</v>
      </c>
      <c r="M1548" s="7" t="str">
        <f>VLOOKUP($G1548,Mapping!$E$140:$K$2771,7,0)</f>
        <v>ENDirect</v>
      </c>
      <c r="N1548" s="7" t="str">
        <f>IFERROR(HLOOKUP(L1548,'Calc|Weightings'!$K$5:$M$5,1,0),"Excl")</f>
        <v>Contracts</v>
      </c>
      <c r="O1548" s="7" t="str">
        <f>VLOOKUP(E1548,Mapping!$E$11:$I$96,5,0)</f>
        <v>SCS</v>
      </c>
      <c r="Q1548" s="33">
        <v>163</v>
      </c>
      <c r="R1548" s="33" t="s">
        <v>2173</v>
      </c>
      <c r="S1548" s="33">
        <v>636001</v>
      </c>
      <c r="T1548" s="33" t="s">
        <v>2111</v>
      </c>
      <c r="U1548" s="34">
        <v>0.22203000000000001</v>
      </c>
      <c r="V1548" s="7"/>
      <c r="W1548" s="7" t="str">
        <f>VLOOKUP($Q1548,Mapping!$E$11:$I$96,3,0)</f>
        <v>Replacement</v>
      </c>
      <c r="X1548" s="7" t="str">
        <f>VLOOKUP($S1548,Mapping!$E$140:$K$2771,5,0)</f>
        <v>System Control OH</v>
      </c>
      <c r="Y1548" s="7" t="str">
        <f>VLOOKUP($S1548,Mapping!$E$140:$K$2771,7,0)</f>
        <v>OH</v>
      </c>
      <c r="Z1548" s="7" t="str">
        <f>IFERROR(HLOOKUP(X1548,'Calc|Weightings'!$K$5:$M$5,1,0),"Excl")</f>
        <v>Excl</v>
      </c>
      <c r="AA1548" s="7" t="str">
        <f>VLOOKUP(Q1548,Mapping!$E$11:$I$96,5,0)</f>
        <v>SCS</v>
      </c>
      <c r="AC1548" s="111">
        <v>162</v>
      </c>
      <c r="AD1548" s="111" t="s">
        <v>2172</v>
      </c>
      <c r="AE1548" s="111">
        <v>613371</v>
      </c>
      <c r="AF1548" s="111" t="s">
        <v>1403</v>
      </c>
      <c r="AG1548" s="112">
        <v>2.2801499999999999</v>
      </c>
      <c r="AI1548" s="7" t="str">
        <f>VLOOKUP($AC1548,Mapping!$E$11:$I$96,3,0)</f>
        <v>Augmentation</v>
      </c>
      <c r="AJ1548" s="7" t="str">
        <f>VLOOKUP($AE1548,Mapping!$E$140:$K$2771,5,0)</f>
        <v>Labour</v>
      </c>
      <c r="AK1548" s="7" t="str">
        <f>VLOOKUP($AE1548,Mapping!$E$140:$K$2771,7,0)</f>
        <v>ENDirect</v>
      </c>
      <c r="AL1548" s="7" t="str">
        <f>IFERROR(HLOOKUP(AJ1548,'Calc|Weightings'!$K$5:$M$5,1,0),"Excl")</f>
        <v>Labour</v>
      </c>
      <c r="AM1548" s="7" t="str">
        <f>VLOOKUP(AC1548,Mapping!$E$11:$I$96,5,0)</f>
        <v>SCS</v>
      </c>
      <c r="AO1548" s="134">
        <v>168</v>
      </c>
      <c r="AP1548" s="135" t="s">
        <v>2176</v>
      </c>
      <c r="AQ1548" s="135">
        <v>532140</v>
      </c>
      <c r="AR1548" s="135" t="s">
        <v>288</v>
      </c>
      <c r="AS1548" s="136">
        <v>44.657359999999997</v>
      </c>
      <c r="AU1548" s="7" t="str">
        <f>VLOOKUP($AO1548,Mapping!$E$11:$I$96,3,0)</f>
        <v>Augmentation</v>
      </c>
      <c r="AV1548" s="7" t="str">
        <f>VLOOKUP($AQ1548,Mapping!$E$140:$K$2771,5,0)</f>
        <v>Contracts</v>
      </c>
      <c r="AW1548" s="7" t="str">
        <f>VLOOKUP($AQ1548,Mapping!$E$140:$K$2771,7,0)</f>
        <v>ENDirect</v>
      </c>
      <c r="AX1548" s="7" t="str">
        <f>IFERROR(HLOOKUP(AV1548,'Calc|Weightings'!$K$5:$M$5,1,0),"Excl")</f>
        <v>Contracts</v>
      </c>
      <c r="AY1548" s="7" t="str">
        <f>VLOOKUP(AO1548,Mapping!$E$11:$I$96,5,0)</f>
        <v>SCS</v>
      </c>
    </row>
    <row r="1549" spans="1:51" x14ac:dyDescent="0.2">
      <c r="A1549" s="7"/>
      <c r="B1549" s="7"/>
      <c r="C1549" s="7"/>
      <c r="D1549" s="7"/>
      <c r="E1549" s="36">
        <v>155</v>
      </c>
      <c r="F1549" s="36" t="s">
        <v>2164</v>
      </c>
      <c r="G1549" s="36">
        <v>531468</v>
      </c>
      <c r="H1549" s="36" t="s">
        <v>260</v>
      </c>
      <c r="I1549" s="37">
        <v>8.2392199999999995</v>
      </c>
      <c r="J1549" s="7"/>
      <c r="K1549" s="7" t="str">
        <f>VLOOKUP($E1549,Mapping!$E$11:$I$96,3,0)</f>
        <v>Replacement</v>
      </c>
      <c r="L1549" s="7" t="str">
        <f>VLOOKUP($G1549,Mapping!$E$140:$K$2771,5,0)</f>
        <v>Contracts</v>
      </c>
      <c r="M1549" s="7" t="str">
        <f>VLOOKUP($G1549,Mapping!$E$140:$K$2771,7,0)</f>
        <v>ENDirect</v>
      </c>
      <c r="N1549" s="7" t="str">
        <f>IFERROR(HLOOKUP(L1549,'Calc|Weightings'!$K$5:$M$5,1,0),"Excl")</f>
        <v>Contracts</v>
      </c>
      <c r="O1549" s="7" t="str">
        <f>VLOOKUP(E1549,Mapping!$E$11:$I$96,5,0)</f>
        <v>SCS</v>
      </c>
      <c r="Q1549" s="33">
        <v>163</v>
      </c>
      <c r="R1549" s="33" t="s">
        <v>2173</v>
      </c>
      <c r="S1549" s="33">
        <v>639000</v>
      </c>
      <c r="T1549" s="33" t="s">
        <v>2112</v>
      </c>
      <c r="U1549" s="34">
        <v>0.58911000000000002</v>
      </c>
      <c r="V1549" s="7"/>
      <c r="W1549" s="7" t="str">
        <f>VLOOKUP($Q1549,Mapping!$E$11:$I$96,3,0)</f>
        <v>Replacement</v>
      </c>
      <c r="X1549" s="7" t="str">
        <f>VLOOKUP($S1549,Mapping!$E$140:$K$2771,5,0)</f>
        <v>PNS Corporate OH</v>
      </c>
      <c r="Y1549" s="7" t="str">
        <f>VLOOKUP($S1549,Mapping!$E$140:$K$2771,7,0)</f>
        <v>OH</v>
      </c>
      <c r="Z1549" s="7" t="str">
        <f>IFERROR(HLOOKUP(X1549,'Calc|Weightings'!$K$5:$M$5,1,0),"Excl")</f>
        <v>Excl</v>
      </c>
      <c r="AA1549" s="7" t="str">
        <f>VLOOKUP(Q1549,Mapping!$E$11:$I$96,5,0)</f>
        <v>SCS</v>
      </c>
      <c r="AC1549" s="111">
        <v>162</v>
      </c>
      <c r="AD1549" s="111" t="s">
        <v>2172</v>
      </c>
      <c r="AE1549" s="111">
        <v>613400</v>
      </c>
      <c r="AF1549" s="111" t="s">
        <v>2099</v>
      </c>
      <c r="AG1549" s="112">
        <v>25.940909999999999</v>
      </c>
      <c r="AI1549" s="7" t="str">
        <f>VLOOKUP($AC1549,Mapping!$E$11:$I$96,3,0)</f>
        <v>Augmentation</v>
      </c>
      <c r="AJ1549" s="7" t="str">
        <f>VLOOKUP($AE1549,Mapping!$E$140:$K$2771,5,0)</f>
        <v>Labour</v>
      </c>
      <c r="AK1549" s="7" t="str">
        <f>VLOOKUP($AE1549,Mapping!$E$140:$K$2771,7,0)</f>
        <v>ENDirect</v>
      </c>
      <c r="AL1549" s="7" t="str">
        <f>IFERROR(HLOOKUP(AJ1549,'Calc|Weightings'!$K$5:$M$5,1,0),"Excl")</f>
        <v>Labour</v>
      </c>
      <c r="AM1549" s="7" t="str">
        <f>VLOOKUP(AC1549,Mapping!$E$11:$I$96,5,0)</f>
        <v>SCS</v>
      </c>
      <c r="AO1549" s="134">
        <v>168</v>
      </c>
      <c r="AP1549" s="135" t="s">
        <v>2176</v>
      </c>
      <c r="AQ1549" s="135">
        <v>532200</v>
      </c>
      <c r="AR1549" s="135" t="s">
        <v>291</v>
      </c>
      <c r="AS1549" s="136">
        <v>1.26</v>
      </c>
      <c r="AU1549" s="7" t="str">
        <f>VLOOKUP($AO1549,Mapping!$E$11:$I$96,3,0)</f>
        <v>Augmentation</v>
      </c>
      <c r="AV1549" s="7" t="str">
        <f>VLOOKUP($AQ1549,Mapping!$E$140:$K$2771,5,0)</f>
        <v>Contracts</v>
      </c>
      <c r="AW1549" s="7" t="str">
        <f>VLOOKUP($AQ1549,Mapping!$E$140:$K$2771,7,0)</f>
        <v>ENDirect</v>
      </c>
      <c r="AX1549" s="7" t="str">
        <f>IFERROR(HLOOKUP(AV1549,'Calc|Weightings'!$K$5:$M$5,1,0),"Excl")</f>
        <v>Contracts</v>
      </c>
      <c r="AY1549" s="7" t="str">
        <f>VLOOKUP(AO1549,Mapping!$E$11:$I$96,5,0)</f>
        <v>SCS</v>
      </c>
    </row>
    <row r="1550" spans="1:51" x14ac:dyDescent="0.2">
      <c r="A1550" s="7"/>
      <c r="B1550" s="7"/>
      <c r="C1550" s="7"/>
      <c r="D1550" s="7"/>
      <c r="E1550" s="36">
        <v>155</v>
      </c>
      <c r="F1550" s="36" t="s">
        <v>2164</v>
      </c>
      <c r="G1550" s="36">
        <v>531480</v>
      </c>
      <c r="H1550" s="36" t="s">
        <v>2076</v>
      </c>
      <c r="I1550" s="37">
        <v>0.25344</v>
      </c>
      <c r="J1550" s="7"/>
      <c r="K1550" s="7" t="str">
        <f>VLOOKUP($E1550,Mapping!$E$11:$I$96,3,0)</f>
        <v>Replacement</v>
      </c>
      <c r="L1550" s="7" t="str">
        <f>VLOOKUP($G1550,Mapping!$E$140:$K$2771,5,0)</f>
        <v>Labour</v>
      </c>
      <c r="M1550" s="7" t="str">
        <f>VLOOKUP($G1550,Mapping!$E$140:$K$2771,7,0)</f>
        <v>ENDirect</v>
      </c>
      <c r="N1550" s="7" t="str">
        <f>IFERROR(HLOOKUP(L1550,'Calc|Weightings'!$K$5:$M$5,1,0),"Excl")</f>
        <v>Labour</v>
      </c>
      <c r="O1550" s="7" t="str">
        <f>VLOOKUP(E1550,Mapping!$E$11:$I$96,5,0)</f>
        <v>SCS</v>
      </c>
      <c r="Q1550" s="33">
        <v>163</v>
      </c>
      <c r="R1550" s="33" t="s">
        <v>2173</v>
      </c>
      <c r="S1550" s="33">
        <v>639050</v>
      </c>
      <c r="T1550" s="33" t="s">
        <v>2113</v>
      </c>
      <c r="U1550" s="34">
        <v>7.6980000000000007E-2</v>
      </c>
      <c r="V1550" s="7"/>
      <c r="W1550" s="7" t="str">
        <f>VLOOKUP($Q1550,Mapping!$E$11:$I$96,3,0)</f>
        <v>Replacement</v>
      </c>
      <c r="X1550" s="7" t="str">
        <f>VLOOKUP($S1550,Mapping!$E$140:$K$2771,5,0)</f>
        <v>PNS Fleet &amp; Property OH</v>
      </c>
      <c r="Y1550" s="7" t="str">
        <f>VLOOKUP($S1550,Mapping!$E$140:$K$2771,7,0)</f>
        <v>OH</v>
      </c>
      <c r="Z1550" s="7" t="str">
        <f>IFERROR(HLOOKUP(X1550,'Calc|Weightings'!$K$5:$M$5,1,0),"Excl")</f>
        <v>Excl</v>
      </c>
      <c r="AA1550" s="7" t="str">
        <f>VLOOKUP(Q1550,Mapping!$E$11:$I$96,5,0)</f>
        <v>SCS</v>
      </c>
      <c r="AC1550" s="111">
        <v>162</v>
      </c>
      <c r="AD1550" s="111" t="s">
        <v>2172</v>
      </c>
      <c r="AE1550" s="111">
        <v>613401</v>
      </c>
      <c r="AF1550" s="111" t="s">
        <v>2117</v>
      </c>
      <c r="AG1550" s="112">
        <v>1.7647900000000001</v>
      </c>
      <c r="AI1550" s="7" t="str">
        <f>VLOOKUP($AC1550,Mapping!$E$11:$I$96,3,0)</f>
        <v>Augmentation</v>
      </c>
      <c r="AJ1550" s="7" t="str">
        <f>VLOOKUP($AE1550,Mapping!$E$140:$K$2771,5,0)</f>
        <v>Labour</v>
      </c>
      <c r="AK1550" s="7" t="str">
        <f>VLOOKUP($AE1550,Mapping!$E$140:$K$2771,7,0)</f>
        <v>ENDirect</v>
      </c>
      <c r="AL1550" s="7" t="str">
        <f>IFERROR(HLOOKUP(AJ1550,'Calc|Weightings'!$K$5:$M$5,1,0),"Excl")</f>
        <v>Labour</v>
      </c>
      <c r="AM1550" s="7" t="str">
        <f>VLOOKUP(AC1550,Mapping!$E$11:$I$96,5,0)</f>
        <v>SCS</v>
      </c>
      <c r="AO1550" s="134">
        <v>168</v>
      </c>
      <c r="AP1550" s="135" t="s">
        <v>2176</v>
      </c>
      <c r="AQ1550" s="135">
        <v>591997</v>
      </c>
      <c r="AR1550" s="135" t="s">
        <v>2194</v>
      </c>
      <c r="AS1550" s="136">
        <v>-1.58399</v>
      </c>
      <c r="AU1550" s="7" t="str">
        <f>VLOOKUP($AO1550,Mapping!$E$11:$I$96,3,0)</f>
        <v>Augmentation</v>
      </c>
      <c r="AV1550" s="7" t="str">
        <f>VLOOKUP($AQ1550,Mapping!$E$140:$K$2771,5,0)</f>
        <v>Contracts</v>
      </c>
      <c r="AW1550" s="7" t="str">
        <f>VLOOKUP($AQ1550,Mapping!$E$140:$K$2771,7,0)</f>
        <v>ENDirect</v>
      </c>
      <c r="AX1550" s="7" t="str">
        <f>IFERROR(HLOOKUP(AV1550,'Calc|Weightings'!$K$5:$M$5,1,0),"Excl")</f>
        <v>Contracts</v>
      </c>
      <c r="AY1550" s="7" t="str">
        <f>VLOOKUP(AO1550,Mapping!$E$11:$I$96,5,0)</f>
        <v>SCS</v>
      </c>
    </row>
    <row r="1551" spans="1:51" x14ac:dyDescent="0.2">
      <c r="A1551" s="7"/>
      <c r="B1551" s="7"/>
      <c r="C1551" s="7"/>
      <c r="D1551" s="7"/>
      <c r="E1551" s="36">
        <v>155</v>
      </c>
      <c r="F1551" s="36" t="s">
        <v>2164</v>
      </c>
      <c r="G1551" s="36">
        <v>531485</v>
      </c>
      <c r="H1551" s="36" t="s">
        <v>2350</v>
      </c>
      <c r="I1551" s="37">
        <v>-3.76654</v>
      </c>
      <c r="J1551" s="7"/>
      <c r="K1551" s="7" t="str">
        <f>VLOOKUP($E1551,Mapping!$E$11:$I$96,3,0)</f>
        <v>Replacement</v>
      </c>
      <c r="L1551" s="7" t="str">
        <f>VLOOKUP($G1551,Mapping!$E$140:$K$2771,5,0)</f>
        <v>Contracts</v>
      </c>
      <c r="M1551" s="7" t="str">
        <f>VLOOKUP($G1551,Mapping!$E$140:$K$2771,7,0)</f>
        <v>ENDirect</v>
      </c>
      <c r="N1551" s="7" t="str">
        <f>IFERROR(HLOOKUP(L1551,'Calc|Weightings'!$K$5:$M$5,1,0),"Excl")</f>
        <v>Contracts</v>
      </c>
      <c r="O1551" s="7" t="str">
        <f>VLOOKUP(E1551,Mapping!$E$11:$I$96,5,0)</f>
        <v>SCS</v>
      </c>
      <c r="Q1551" s="33">
        <v>166</v>
      </c>
      <c r="R1551" s="33" t="s">
        <v>2174</v>
      </c>
      <c r="S1551" s="33">
        <v>531020</v>
      </c>
      <c r="T1551" s="33" t="s">
        <v>219</v>
      </c>
      <c r="U1551" s="34">
        <v>1.1499999999999999</v>
      </c>
      <c r="V1551" s="7"/>
      <c r="W1551" s="7" t="str">
        <f>VLOOKUP($Q1551,Mapping!$E$11:$I$96,3,0)</f>
        <v>Augmentation</v>
      </c>
      <c r="X1551" s="7" t="str">
        <f>VLOOKUP($S1551,Mapping!$E$140:$K$2771,5,0)</f>
        <v>Labour</v>
      </c>
      <c r="Y1551" s="7" t="str">
        <f>VLOOKUP($S1551,Mapping!$E$140:$K$2771,7,0)</f>
        <v>ENDirect</v>
      </c>
      <c r="Z1551" s="7" t="str">
        <f>IFERROR(HLOOKUP(X1551,'Calc|Weightings'!$K$5:$M$5,1,0),"Excl")</f>
        <v>Labour</v>
      </c>
      <c r="AA1551" s="7" t="str">
        <f>VLOOKUP(Q1551,Mapping!$E$11:$I$96,5,0)</f>
        <v>SCS</v>
      </c>
      <c r="AC1551" s="111">
        <v>162</v>
      </c>
      <c r="AD1551" s="111" t="s">
        <v>2172</v>
      </c>
      <c r="AE1551" s="111">
        <v>613410</v>
      </c>
      <c r="AF1551" s="111" t="s">
        <v>2100</v>
      </c>
      <c r="AG1551" s="112">
        <v>67.359340000000003</v>
      </c>
      <c r="AI1551" s="7" t="str">
        <f>VLOOKUP($AC1551,Mapping!$E$11:$I$96,3,0)</f>
        <v>Augmentation</v>
      </c>
      <c r="AJ1551" s="7" t="str">
        <f>VLOOKUP($AE1551,Mapping!$E$140:$K$2771,5,0)</f>
        <v>Labour</v>
      </c>
      <c r="AK1551" s="7" t="str">
        <f>VLOOKUP($AE1551,Mapping!$E$140:$K$2771,7,0)</f>
        <v>ENDirect</v>
      </c>
      <c r="AL1551" s="7" t="str">
        <f>IFERROR(HLOOKUP(AJ1551,'Calc|Weightings'!$K$5:$M$5,1,0),"Excl")</f>
        <v>Labour</v>
      </c>
      <c r="AM1551" s="7" t="str">
        <f>VLOOKUP(AC1551,Mapping!$E$11:$I$96,5,0)</f>
        <v>SCS</v>
      </c>
      <c r="AO1551" s="134">
        <v>168</v>
      </c>
      <c r="AP1551" s="135" t="s">
        <v>2176</v>
      </c>
      <c r="AQ1551" s="135">
        <v>591998</v>
      </c>
      <c r="AR1551" s="135" t="s">
        <v>2077</v>
      </c>
      <c r="AS1551" s="136">
        <v>-1.0326900000000001</v>
      </c>
      <c r="AU1551" s="7" t="str">
        <f>VLOOKUP($AO1551,Mapping!$E$11:$I$96,3,0)</f>
        <v>Augmentation</v>
      </c>
      <c r="AV1551" s="7" t="str">
        <f>VLOOKUP($AQ1551,Mapping!$E$140:$K$2771,5,0)</f>
        <v>Contracts</v>
      </c>
      <c r="AW1551" s="7" t="str">
        <f>VLOOKUP($AQ1551,Mapping!$E$140:$K$2771,7,0)</f>
        <v>ENDirect</v>
      </c>
      <c r="AX1551" s="7" t="str">
        <f>IFERROR(HLOOKUP(AV1551,'Calc|Weightings'!$K$5:$M$5,1,0),"Excl")</f>
        <v>Contracts</v>
      </c>
      <c r="AY1551" s="7" t="str">
        <f>VLOOKUP(AO1551,Mapping!$E$11:$I$96,5,0)</f>
        <v>SCS</v>
      </c>
    </row>
    <row r="1552" spans="1:51" x14ac:dyDescent="0.2">
      <c r="A1552" s="7"/>
      <c r="B1552" s="7"/>
      <c r="C1552" s="7"/>
      <c r="D1552" s="7"/>
      <c r="E1552" s="36">
        <v>155</v>
      </c>
      <c r="F1552" s="36" t="s">
        <v>2164</v>
      </c>
      <c r="G1552" s="36">
        <v>531495</v>
      </c>
      <c r="H1552" s="36" t="s">
        <v>2353</v>
      </c>
      <c r="I1552" s="37">
        <v>4.5373299999999999</v>
      </c>
      <c r="J1552" s="7"/>
      <c r="K1552" s="7" t="str">
        <f>VLOOKUP($E1552,Mapping!$E$11:$I$96,3,0)</f>
        <v>Replacement</v>
      </c>
      <c r="L1552" s="7" t="str">
        <f>VLOOKUP($G1552,Mapping!$E$140:$K$2771,5,0)</f>
        <v>Contracts</v>
      </c>
      <c r="M1552" s="7" t="str">
        <f>VLOOKUP($G1552,Mapping!$E$140:$K$2771,7,0)</f>
        <v>ENDirect</v>
      </c>
      <c r="N1552" s="7" t="str">
        <f>IFERROR(HLOOKUP(L1552,'Calc|Weightings'!$K$5:$M$5,1,0),"Excl")</f>
        <v>Contracts</v>
      </c>
      <c r="O1552" s="7" t="str">
        <f>VLOOKUP(E1552,Mapping!$E$11:$I$96,5,0)</f>
        <v>SCS</v>
      </c>
      <c r="Q1552" s="33">
        <v>166</v>
      </c>
      <c r="R1552" s="33" t="s">
        <v>2174</v>
      </c>
      <c r="S1552" s="33">
        <v>634001</v>
      </c>
      <c r="T1552" s="33" t="s">
        <v>2110</v>
      </c>
      <c r="U1552" s="34">
        <v>0.11650000000000001</v>
      </c>
      <c r="V1552" s="7"/>
      <c r="W1552" s="7" t="str">
        <f>VLOOKUP($Q1552,Mapping!$E$11:$I$96,3,0)</f>
        <v>Augmentation</v>
      </c>
      <c r="X1552" s="7" t="str">
        <f>VLOOKUP($S1552,Mapping!$E$140:$K$2771,5,0)</f>
        <v>Local OH</v>
      </c>
      <c r="Y1552" s="7" t="str">
        <f>VLOOKUP($S1552,Mapping!$E$140:$K$2771,7,0)</f>
        <v>OH</v>
      </c>
      <c r="Z1552" s="7" t="str">
        <f>IFERROR(HLOOKUP(X1552,'Calc|Weightings'!$K$5:$M$5,1,0),"Excl")</f>
        <v>Excl</v>
      </c>
      <c r="AA1552" s="7" t="str">
        <f>VLOOKUP(Q1552,Mapping!$E$11:$I$96,5,0)</f>
        <v>SCS</v>
      </c>
      <c r="AC1552" s="111">
        <v>162</v>
      </c>
      <c r="AD1552" s="111" t="s">
        <v>2172</v>
      </c>
      <c r="AE1552" s="111">
        <v>613411</v>
      </c>
      <c r="AF1552" s="111" t="s">
        <v>2101</v>
      </c>
      <c r="AG1552" s="112">
        <v>13.736829999999999</v>
      </c>
      <c r="AI1552" s="7" t="str">
        <f>VLOOKUP($AC1552,Mapping!$E$11:$I$96,3,0)</f>
        <v>Augmentation</v>
      </c>
      <c r="AJ1552" s="7" t="str">
        <f>VLOOKUP($AE1552,Mapping!$E$140:$K$2771,5,0)</f>
        <v>Labour</v>
      </c>
      <c r="AK1552" s="7" t="str">
        <f>VLOOKUP($AE1552,Mapping!$E$140:$K$2771,7,0)</f>
        <v>ENDirect</v>
      </c>
      <c r="AL1552" s="7" t="str">
        <f>IFERROR(HLOOKUP(AJ1552,'Calc|Weightings'!$K$5:$M$5,1,0),"Excl")</f>
        <v>Labour</v>
      </c>
      <c r="AM1552" s="7" t="str">
        <f>VLOOKUP(AC1552,Mapping!$E$11:$I$96,5,0)</f>
        <v>SCS</v>
      </c>
      <c r="AO1552" s="134">
        <v>168</v>
      </c>
      <c r="AP1552" s="135" t="s">
        <v>2176</v>
      </c>
      <c r="AQ1552" s="135">
        <v>591999</v>
      </c>
      <c r="AR1552" s="135" t="s">
        <v>2195</v>
      </c>
      <c r="AS1552" s="136">
        <v>-7.1777699999999998</v>
      </c>
      <c r="AU1552" s="7" t="str">
        <f>VLOOKUP($AO1552,Mapping!$E$11:$I$96,3,0)</f>
        <v>Augmentation</v>
      </c>
      <c r="AV1552" s="7" t="str">
        <f>VLOOKUP($AQ1552,Mapping!$E$140:$K$2771,5,0)</f>
        <v>Contracts</v>
      </c>
      <c r="AW1552" s="7" t="str">
        <f>VLOOKUP($AQ1552,Mapping!$E$140:$K$2771,7,0)</f>
        <v>ENDirect</v>
      </c>
      <c r="AX1552" s="7" t="str">
        <f>IFERROR(HLOOKUP(AV1552,'Calc|Weightings'!$K$5:$M$5,1,0),"Excl")</f>
        <v>Contracts</v>
      </c>
      <c r="AY1552" s="7" t="str">
        <f>VLOOKUP(AO1552,Mapping!$E$11:$I$96,5,0)</f>
        <v>SCS</v>
      </c>
    </row>
    <row r="1553" spans="1:51" x14ac:dyDescent="0.2">
      <c r="A1553" s="7"/>
      <c r="B1553" s="7"/>
      <c r="C1553" s="7"/>
      <c r="D1553" s="7"/>
      <c r="E1553" s="36">
        <v>155</v>
      </c>
      <c r="F1553" s="36" t="s">
        <v>2164</v>
      </c>
      <c r="G1553" s="36">
        <v>591997</v>
      </c>
      <c r="H1553" s="36" t="s">
        <v>2194</v>
      </c>
      <c r="I1553" s="37">
        <v>-1.0402</v>
      </c>
      <c r="J1553" s="7"/>
      <c r="K1553" s="7" t="str">
        <f>VLOOKUP($E1553,Mapping!$E$11:$I$96,3,0)</f>
        <v>Replacement</v>
      </c>
      <c r="L1553" s="7" t="str">
        <f>VLOOKUP($G1553,Mapping!$E$140:$K$2771,5,0)</f>
        <v>Contracts</v>
      </c>
      <c r="M1553" s="7" t="str">
        <f>VLOOKUP($G1553,Mapping!$E$140:$K$2771,7,0)</f>
        <v>ENDirect</v>
      </c>
      <c r="N1553" s="7" t="str">
        <f>IFERROR(HLOOKUP(L1553,'Calc|Weightings'!$K$5:$M$5,1,0),"Excl")</f>
        <v>Contracts</v>
      </c>
      <c r="O1553" s="7" t="str">
        <f>VLOOKUP(E1553,Mapping!$E$11:$I$96,5,0)</f>
        <v>SCS</v>
      </c>
      <c r="Q1553" s="33">
        <v>166</v>
      </c>
      <c r="R1553" s="33" t="s">
        <v>2174</v>
      </c>
      <c r="S1553" s="33">
        <v>636001</v>
      </c>
      <c r="T1553" s="33" t="s">
        <v>2111</v>
      </c>
      <c r="U1553" s="34">
        <v>4.8070000000000002E-2</v>
      </c>
      <c r="V1553" s="7"/>
      <c r="W1553" s="7" t="str">
        <f>VLOOKUP($Q1553,Mapping!$E$11:$I$96,3,0)</f>
        <v>Augmentation</v>
      </c>
      <c r="X1553" s="7" t="str">
        <f>VLOOKUP($S1553,Mapping!$E$140:$K$2771,5,0)</f>
        <v>System Control OH</v>
      </c>
      <c r="Y1553" s="7" t="str">
        <f>VLOOKUP($S1553,Mapping!$E$140:$K$2771,7,0)</f>
        <v>OH</v>
      </c>
      <c r="Z1553" s="7" t="str">
        <f>IFERROR(HLOOKUP(X1553,'Calc|Weightings'!$K$5:$M$5,1,0),"Excl")</f>
        <v>Excl</v>
      </c>
      <c r="AA1553" s="7" t="str">
        <f>VLOOKUP(Q1553,Mapping!$E$11:$I$96,5,0)</f>
        <v>SCS</v>
      </c>
      <c r="AC1553" s="111">
        <v>162</v>
      </c>
      <c r="AD1553" s="111" t="s">
        <v>2172</v>
      </c>
      <c r="AE1553" s="111">
        <v>613420</v>
      </c>
      <c r="AF1553" s="111" t="s">
        <v>2393</v>
      </c>
      <c r="AG1553" s="112">
        <v>0.79925000000000002</v>
      </c>
      <c r="AI1553" s="7" t="str">
        <f>VLOOKUP($AC1553,Mapping!$E$11:$I$96,3,0)</f>
        <v>Augmentation</v>
      </c>
      <c r="AJ1553" s="7" t="str">
        <f>VLOOKUP($AE1553,Mapping!$E$140:$K$2771,5,0)</f>
        <v>Labour</v>
      </c>
      <c r="AK1553" s="7" t="str">
        <f>VLOOKUP($AE1553,Mapping!$E$140:$K$2771,7,0)</f>
        <v>ENDirect</v>
      </c>
      <c r="AL1553" s="7" t="str">
        <f>IFERROR(HLOOKUP(AJ1553,'Calc|Weightings'!$K$5:$M$5,1,0),"Excl")</f>
        <v>Labour</v>
      </c>
      <c r="AM1553" s="7" t="str">
        <f>VLOOKUP(AC1553,Mapping!$E$11:$I$96,5,0)</f>
        <v>SCS</v>
      </c>
      <c r="AO1553" s="134">
        <v>168</v>
      </c>
      <c r="AP1553" s="135" t="s">
        <v>2176</v>
      </c>
      <c r="AQ1553" s="135">
        <v>611900</v>
      </c>
      <c r="AR1553" s="135" t="s">
        <v>2079</v>
      </c>
      <c r="AS1553" s="136">
        <v>1.75536</v>
      </c>
      <c r="AU1553" s="7" t="str">
        <f>VLOOKUP($AO1553,Mapping!$E$11:$I$96,3,0)</f>
        <v>Augmentation</v>
      </c>
      <c r="AV1553" s="7" t="str">
        <f>VLOOKUP($AQ1553,Mapping!$E$140:$K$2771,5,0)</f>
        <v>Contracts</v>
      </c>
      <c r="AW1553" s="7" t="str">
        <f>VLOOKUP($AQ1553,Mapping!$E$140:$K$2771,7,0)</f>
        <v>ENDirect</v>
      </c>
      <c r="AX1553" s="7" t="str">
        <f>IFERROR(HLOOKUP(AV1553,'Calc|Weightings'!$K$5:$M$5,1,0),"Excl")</f>
        <v>Contracts</v>
      </c>
      <c r="AY1553" s="7" t="str">
        <f>VLOOKUP(AO1553,Mapping!$E$11:$I$96,5,0)</f>
        <v>SCS</v>
      </c>
    </row>
    <row r="1554" spans="1:51" x14ac:dyDescent="0.2">
      <c r="A1554" s="7"/>
      <c r="B1554" s="7"/>
      <c r="C1554" s="7"/>
      <c r="D1554" s="7"/>
      <c r="E1554" s="36">
        <v>155</v>
      </c>
      <c r="F1554" s="36" t="s">
        <v>2164</v>
      </c>
      <c r="G1554" s="36">
        <v>591999</v>
      </c>
      <c r="H1554" s="36" t="s">
        <v>2195</v>
      </c>
      <c r="I1554" s="37">
        <v>0.12717000000000001</v>
      </c>
      <c r="J1554" s="7"/>
      <c r="K1554" s="7" t="str">
        <f>VLOOKUP($E1554,Mapping!$E$11:$I$96,3,0)</f>
        <v>Replacement</v>
      </c>
      <c r="L1554" s="7" t="str">
        <f>VLOOKUP($G1554,Mapping!$E$140:$K$2771,5,0)</f>
        <v>Contracts</v>
      </c>
      <c r="M1554" s="7" t="str">
        <f>VLOOKUP($G1554,Mapping!$E$140:$K$2771,7,0)</f>
        <v>ENDirect</v>
      </c>
      <c r="N1554" s="7" t="str">
        <f>IFERROR(HLOOKUP(L1554,'Calc|Weightings'!$K$5:$M$5,1,0),"Excl")</f>
        <v>Contracts</v>
      </c>
      <c r="O1554" s="7" t="str">
        <f>VLOOKUP(E1554,Mapping!$E$11:$I$96,5,0)</f>
        <v>SCS</v>
      </c>
      <c r="Q1554" s="33">
        <v>168</v>
      </c>
      <c r="R1554" s="33" t="s">
        <v>2176</v>
      </c>
      <c r="S1554" s="33">
        <v>500200</v>
      </c>
      <c r="T1554" s="33" t="s">
        <v>136</v>
      </c>
      <c r="U1554" s="34">
        <v>6.6000000000000003E-2</v>
      </c>
      <c r="V1554" s="7"/>
      <c r="W1554" s="7" t="str">
        <f>VLOOKUP($Q1554,Mapping!$E$11:$I$96,3,0)</f>
        <v>Augmentation</v>
      </c>
      <c r="X1554" s="7" t="str">
        <f>VLOOKUP($S1554,Mapping!$E$140:$K$2771,5,0)</f>
        <v>Labour</v>
      </c>
      <c r="Y1554" s="7" t="str">
        <f>VLOOKUP($S1554,Mapping!$E$140:$K$2771,7,0)</f>
        <v>ENDirect</v>
      </c>
      <c r="Z1554" s="7" t="str">
        <f>IFERROR(HLOOKUP(X1554,'Calc|Weightings'!$K$5:$M$5,1,0),"Excl")</f>
        <v>Labour</v>
      </c>
      <c r="AA1554" s="7" t="str">
        <f>VLOOKUP(Q1554,Mapping!$E$11:$I$96,5,0)</f>
        <v>SCS</v>
      </c>
      <c r="AC1554" s="111">
        <v>162</v>
      </c>
      <c r="AD1554" s="111" t="s">
        <v>2172</v>
      </c>
      <c r="AE1554" s="111">
        <v>613434</v>
      </c>
      <c r="AF1554" s="111" t="s">
        <v>2102</v>
      </c>
      <c r="AG1554" s="112">
        <v>19.31456</v>
      </c>
      <c r="AI1554" s="7" t="str">
        <f>VLOOKUP($AC1554,Mapping!$E$11:$I$96,3,0)</f>
        <v>Augmentation</v>
      </c>
      <c r="AJ1554" s="7" t="str">
        <f>VLOOKUP($AE1554,Mapping!$E$140:$K$2771,5,0)</f>
        <v>Labour</v>
      </c>
      <c r="AK1554" s="7" t="str">
        <f>VLOOKUP($AE1554,Mapping!$E$140:$K$2771,7,0)</f>
        <v>ENDirect</v>
      </c>
      <c r="AL1554" s="7" t="str">
        <f>IFERROR(HLOOKUP(AJ1554,'Calc|Weightings'!$K$5:$M$5,1,0),"Excl")</f>
        <v>Labour</v>
      </c>
      <c r="AM1554" s="7" t="str">
        <f>VLOOKUP(AC1554,Mapping!$E$11:$I$96,5,0)</f>
        <v>SCS</v>
      </c>
      <c r="AO1554" s="134">
        <v>168</v>
      </c>
      <c r="AP1554" s="135" t="s">
        <v>2176</v>
      </c>
      <c r="AQ1554" s="135">
        <v>611901</v>
      </c>
      <c r="AR1554" s="135" t="s">
        <v>2080</v>
      </c>
      <c r="AS1554" s="136">
        <v>1.6704399999999999</v>
      </c>
      <c r="AU1554" s="7" t="str">
        <f>VLOOKUP($AO1554,Mapping!$E$11:$I$96,3,0)</f>
        <v>Augmentation</v>
      </c>
      <c r="AV1554" s="7" t="str">
        <f>VLOOKUP($AQ1554,Mapping!$E$140:$K$2771,5,0)</f>
        <v>Contracts</v>
      </c>
      <c r="AW1554" s="7" t="str">
        <f>VLOOKUP($AQ1554,Mapping!$E$140:$K$2771,7,0)</f>
        <v>ENDirect</v>
      </c>
      <c r="AX1554" s="7" t="str">
        <f>IFERROR(HLOOKUP(AV1554,'Calc|Weightings'!$K$5:$M$5,1,0),"Excl")</f>
        <v>Contracts</v>
      </c>
      <c r="AY1554" s="7" t="str">
        <f>VLOOKUP(AO1554,Mapping!$E$11:$I$96,5,0)</f>
        <v>SCS</v>
      </c>
    </row>
    <row r="1555" spans="1:51" x14ac:dyDescent="0.2">
      <c r="A1555" s="7"/>
      <c r="B1555" s="7"/>
      <c r="C1555" s="7"/>
      <c r="D1555" s="7"/>
      <c r="E1555" s="36">
        <v>155</v>
      </c>
      <c r="F1555" s="36" t="s">
        <v>2164</v>
      </c>
      <c r="G1555" s="36">
        <v>611860</v>
      </c>
      <c r="H1555" s="36" t="s">
        <v>2125</v>
      </c>
      <c r="I1555" s="37">
        <v>519.13109999999995</v>
      </c>
      <c r="J1555" s="7"/>
      <c r="K1555" s="7" t="str">
        <f>VLOOKUP($E1555,Mapping!$E$11:$I$96,3,0)</f>
        <v>Replacement</v>
      </c>
      <c r="L1555" s="7" t="str">
        <f>VLOOKUP($G1555,Mapping!$E$140:$K$2771,5,0)</f>
        <v>Labour</v>
      </c>
      <c r="M1555" s="7" t="str">
        <f>VLOOKUP($G1555,Mapping!$E$140:$K$2771,7,0)</f>
        <v>ENDirect</v>
      </c>
      <c r="N1555" s="7" t="str">
        <f>IFERROR(HLOOKUP(L1555,'Calc|Weightings'!$K$5:$M$5,1,0),"Excl")</f>
        <v>Labour</v>
      </c>
      <c r="O1555" s="7" t="str">
        <f>VLOOKUP(E1555,Mapping!$E$11:$I$96,5,0)</f>
        <v>SCS</v>
      </c>
      <c r="Q1555" s="33">
        <v>168</v>
      </c>
      <c r="R1555" s="33" t="s">
        <v>2176</v>
      </c>
      <c r="S1555" s="33">
        <v>503281</v>
      </c>
      <c r="T1555" s="33" t="s">
        <v>174</v>
      </c>
      <c r="U1555" s="34">
        <v>5.4550000000000001E-2</v>
      </c>
      <c r="V1555" s="7"/>
      <c r="W1555" s="7" t="str">
        <f>VLOOKUP($Q1555,Mapping!$E$11:$I$96,3,0)</f>
        <v>Augmentation</v>
      </c>
      <c r="X1555" s="7" t="str">
        <f>VLOOKUP($S1555,Mapping!$E$140:$K$2771,5,0)</f>
        <v>Contracts</v>
      </c>
      <c r="Y1555" s="7" t="str">
        <f>VLOOKUP($S1555,Mapping!$E$140:$K$2771,7,0)</f>
        <v>ENDirect</v>
      </c>
      <c r="Z1555" s="7" t="str">
        <f>IFERROR(HLOOKUP(X1555,'Calc|Weightings'!$K$5:$M$5,1,0),"Excl")</f>
        <v>Contracts</v>
      </c>
      <c r="AA1555" s="7" t="str">
        <f>VLOOKUP(Q1555,Mapping!$E$11:$I$96,5,0)</f>
        <v>SCS</v>
      </c>
      <c r="AC1555" s="111">
        <v>162</v>
      </c>
      <c r="AD1555" s="111" t="s">
        <v>2172</v>
      </c>
      <c r="AE1555" s="111">
        <v>613440</v>
      </c>
      <c r="AF1555" s="111" t="s">
        <v>2103</v>
      </c>
      <c r="AG1555" s="112">
        <v>1.31517</v>
      </c>
      <c r="AI1555" s="7" t="str">
        <f>VLOOKUP($AC1555,Mapping!$E$11:$I$96,3,0)</f>
        <v>Augmentation</v>
      </c>
      <c r="AJ1555" s="7" t="str">
        <f>VLOOKUP($AE1555,Mapping!$E$140:$K$2771,5,0)</f>
        <v>Labour</v>
      </c>
      <c r="AK1555" s="7" t="str">
        <f>VLOOKUP($AE1555,Mapping!$E$140:$K$2771,7,0)</f>
        <v>ENDirect</v>
      </c>
      <c r="AL1555" s="7" t="str">
        <f>IFERROR(HLOOKUP(AJ1555,'Calc|Weightings'!$K$5:$M$5,1,0),"Excl")</f>
        <v>Labour</v>
      </c>
      <c r="AM1555" s="7" t="str">
        <f>VLOOKUP(AC1555,Mapping!$E$11:$I$96,5,0)</f>
        <v>SCS</v>
      </c>
      <c r="AO1555" s="134">
        <v>168</v>
      </c>
      <c r="AP1555" s="135" t="s">
        <v>2176</v>
      </c>
      <c r="AQ1555" s="135">
        <v>611902</v>
      </c>
      <c r="AR1555" s="135" t="s">
        <v>2081</v>
      </c>
      <c r="AS1555" s="136">
        <v>0.27222000000000002</v>
      </c>
      <c r="AU1555" s="7" t="str">
        <f>VLOOKUP($AO1555,Mapping!$E$11:$I$96,3,0)</f>
        <v>Augmentation</v>
      </c>
      <c r="AV1555" s="7" t="str">
        <f>VLOOKUP($AQ1555,Mapping!$E$140:$K$2771,5,0)</f>
        <v>Contracts</v>
      </c>
      <c r="AW1555" s="7" t="str">
        <f>VLOOKUP($AQ1555,Mapping!$E$140:$K$2771,7,0)</f>
        <v>ENDirect</v>
      </c>
      <c r="AX1555" s="7" t="str">
        <f>IFERROR(HLOOKUP(AV1555,'Calc|Weightings'!$K$5:$M$5,1,0),"Excl")</f>
        <v>Contracts</v>
      </c>
      <c r="AY1555" s="7" t="str">
        <f>VLOOKUP(AO1555,Mapping!$E$11:$I$96,5,0)</f>
        <v>SCS</v>
      </c>
    </row>
    <row r="1556" spans="1:51" x14ac:dyDescent="0.2">
      <c r="A1556" s="7"/>
      <c r="B1556" s="7"/>
      <c r="C1556" s="7"/>
      <c r="D1556" s="7"/>
      <c r="E1556" s="36">
        <v>155</v>
      </c>
      <c r="F1556" s="36" t="s">
        <v>2164</v>
      </c>
      <c r="G1556" s="36">
        <v>611861</v>
      </c>
      <c r="H1556" s="36" t="s">
        <v>2140</v>
      </c>
      <c r="I1556" s="37">
        <v>-243.51971</v>
      </c>
      <c r="J1556" s="7"/>
      <c r="K1556" s="7" t="str">
        <f>VLOOKUP($E1556,Mapping!$E$11:$I$96,3,0)</f>
        <v>Replacement</v>
      </c>
      <c r="L1556" s="7" t="str">
        <f>VLOOKUP($G1556,Mapping!$E$140:$K$2771,5,0)</f>
        <v>Labour</v>
      </c>
      <c r="M1556" s="7" t="str">
        <f>VLOOKUP($G1556,Mapping!$E$140:$K$2771,7,0)</f>
        <v>ENDirect</v>
      </c>
      <c r="N1556" s="7" t="str">
        <f>IFERROR(HLOOKUP(L1556,'Calc|Weightings'!$K$5:$M$5,1,0),"Excl")</f>
        <v>Labour</v>
      </c>
      <c r="O1556" s="7" t="str">
        <f>VLOOKUP(E1556,Mapping!$E$11:$I$96,5,0)</f>
        <v>SCS</v>
      </c>
      <c r="Q1556" s="33">
        <v>168</v>
      </c>
      <c r="R1556" s="33" t="s">
        <v>2176</v>
      </c>
      <c r="S1556" s="33">
        <v>520100</v>
      </c>
      <c r="T1556" s="33" t="s">
        <v>2072</v>
      </c>
      <c r="U1556" s="34">
        <v>241.93616</v>
      </c>
      <c r="V1556" s="7"/>
      <c r="W1556" s="7" t="str">
        <f>VLOOKUP($Q1556,Mapping!$E$11:$I$96,3,0)</f>
        <v>Augmentation</v>
      </c>
      <c r="X1556" s="7" t="str">
        <f>VLOOKUP($S1556,Mapping!$E$140:$K$2771,5,0)</f>
        <v>Materials</v>
      </c>
      <c r="Y1556" s="7" t="str">
        <f>VLOOKUP($S1556,Mapping!$E$140:$K$2771,7,0)</f>
        <v>ENDirect</v>
      </c>
      <c r="Z1556" s="7" t="str">
        <f>IFERROR(HLOOKUP(X1556,'Calc|Weightings'!$K$5:$M$5,1,0),"Excl")</f>
        <v>Materials</v>
      </c>
      <c r="AA1556" s="7" t="str">
        <f>VLOOKUP(Q1556,Mapping!$E$11:$I$96,5,0)</f>
        <v>SCS</v>
      </c>
      <c r="AC1556" s="111">
        <v>162</v>
      </c>
      <c r="AD1556" s="111" t="s">
        <v>2172</v>
      </c>
      <c r="AE1556" s="111">
        <v>613450</v>
      </c>
      <c r="AF1556" s="111" t="s">
        <v>2175</v>
      </c>
      <c r="AG1556" s="112">
        <v>13.360530000000001</v>
      </c>
      <c r="AI1556" s="7" t="str">
        <f>VLOOKUP($AC1556,Mapping!$E$11:$I$96,3,0)</f>
        <v>Augmentation</v>
      </c>
      <c r="AJ1556" s="7" t="str">
        <f>VLOOKUP($AE1556,Mapping!$E$140:$K$2771,5,0)</f>
        <v>Labour</v>
      </c>
      <c r="AK1556" s="7" t="str">
        <f>VLOOKUP($AE1556,Mapping!$E$140:$K$2771,7,0)</f>
        <v>ENDirect</v>
      </c>
      <c r="AL1556" s="7" t="str">
        <f>IFERROR(HLOOKUP(AJ1556,'Calc|Weightings'!$K$5:$M$5,1,0),"Excl")</f>
        <v>Labour</v>
      </c>
      <c r="AM1556" s="7" t="str">
        <f>VLOOKUP(AC1556,Mapping!$E$11:$I$96,5,0)</f>
        <v>SCS</v>
      </c>
      <c r="AO1556" s="134">
        <v>168</v>
      </c>
      <c r="AP1556" s="135" t="s">
        <v>2176</v>
      </c>
      <c r="AQ1556" s="135">
        <v>612210</v>
      </c>
      <c r="AR1556" s="135" t="s">
        <v>1184</v>
      </c>
      <c r="AS1556" s="136">
        <v>51.985799999999998</v>
      </c>
      <c r="AU1556" s="7" t="str">
        <f>VLOOKUP($AO1556,Mapping!$E$11:$I$96,3,0)</f>
        <v>Augmentation</v>
      </c>
      <c r="AV1556" s="7" t="str">
        <f>VLOOKUP($AQ1556,Mapping!$E$140:$K$2771,5,0)</f>
        <v>Labour</v>
      </c>
      <c r="AW1556" s="7" t="str">
        <f>VLOOKUP($AQ1556,Mapping!$E$140:$K$2771,7,0)</f>
        <v>ENDirect</v>
      </c>
      <c r="AX1556" s="7" t="str">
        <f>IFERROR(HLOOKUP(AV1556,'Calc|Weightings'!$K$5:$M$5,1,0),"Excl")</f>
        <v>Labour</v>
      </c>
      <c r="AY1556" s="7" t="str">
        <f>VLOOKUP(AO1556,Mapping!$E$11:$I$96,5,0)</f>
        <v>SCS</v>
      </c>
    </row>
    <row r="1557" spans="1:51" x14ac:dyDescent="0.2">
      <c r="A1557" s="7"/>
      <c r="B1557" s="7"/>
      <c r="C1557" s="7"/>
      <c r="D1557" s="7"/>
      <c r="E1557" s="36">
        <v>155</v>
      </c>
      <c r="F1557" s="36" t="s">
        <v>2164</v>
      </c>
      <c r="G1557" s="36">
        <v>611900</v>
      </c>
      <c r="H1557" s="36" t="s">
        <v>2079</v>
      </c>
      <c r="I1557" s="37">
        <v>1.35459</v>
      </c>
      <c r="J1557" s="7"/>
      <c r="K1557" s="7" t="str">
        <f>VLOOKUP($E1557,Mapping!$E$11:$I$96,3,0)</f>
        <v>Replacement</v>
      </c>
      <c r="L1557" s="7" t="str">
        <f>VLOOKUP($G1557,Mapping!$E$140:$K$2771,5,0)</f>
        <v>Contracts</v>
      </c>
      <c r="M1557" s="7" t="str">
        <f>VLOOKUP($G1557,Mapping!$E$140:$K$2771,7,0)</f>
        <v>ENDirect</v>
      </c>
      <c r="N1557" s="7" t="str">
        <f>IFERROR(HLOOKUP(L1557,'Calc|Weightings'!$K$5:$M$5,1,0),"Excl")</f>
        <v>Contracts</v>
      </c>
      <c r="O1557" s="7" t="str">
        <f>VLOOKUP(E1557,Mapping!$E$11:$I$96,5,0)</f>
        <v>SCS</v>
      </c>
      <c r="Q1557" s="33">
        <v>168</v>
      </c>
      <c r="R1557" s="33" t="s">
        <v>2176</v>
      </c>
      <c r="S1557" s="33">
        <v>520150</v>
      </c>
      <c r="T1557" s="33" t="s">
        <v>2205</v>
      </c>
      <c r="U1557" s="34">
        <v>3.7949999999999998E-2</v>
      </c>
      <c r="V1557" s="7"/>
      <c r="W1557" s="7" t="str">
        <f>VLOOKUP($Q1557,Mapping!$E$11:$I$96,3,0)</f>
        <v>Augmentation</v>
      </c>
      <c r="X1557" s="7" t="str">
        <f>VLOOKUP($S1557,Mapping!$E$140:$K$2771,5,0)</f>
        <v>Materials</v>
      </c>
      <c r="Y1557" s="7" t="str">
        <f>VLOOKUP($S1557,Mapping!$E$140:$K$2771,7,0)</f>
        <v>ENDirect</v>
      </c>
      <c r="Z1557" s="7" t="str">
        <f>IFERROR(HLOOKUP(X1557,'Calc|Weightings'!$K$5:$M$5,1,0),"Excl")</f>
        <v>Materials</v>
      </c>
      <c r="AA1557" s="7" t="str">
        <f>VLOOKUP(Q1557,Mapping!$E$11:$I$96,5,0)</f>
        <v>SCS</v>
      </c>
      <c r="AC1557" s="111">
        <v>162</v>
      </c>
      <c r="AD1557" s="111" t="s">
        <v>2172</v>
      </c>
      <c r="AE1557" s="111">
        <v>613460</v>
      </c>
      <c r="AF1557" s="111" t="s">
        <v>2167</v>
      </c>
      <c r="AG1557" s="112">
        <v>85.678640000000001</v>
      </c>
      <c r="AI1557" s="7" t="str">
        <f>VLOOKUP($AC1557,Mapping!$E$11:$I$96,3,0)</f>
        <v>Augmentation</v>
      </c>
      <c r="AJ1557" s="7" t="str">
        <f>VLOOKUP($AE1557,Mapping!$E$140:$K$2771,5,0)</f>
        <v>Labour</v>
      </c>
      <c r="AK1557" s="7" t="str">
        <f>VLOOKUP($AE1557,Mapping!$E$140:$K$2771,7,0)</f>
        <v>ENDirect</v>
      </c>
      <c r="AL1557" s="7" t="str">
        <f>IFERROR(HLOOKUP(AJ1557,'Calc|Weightings'!$K$5:$M$5,1,0),"Excl")</f>
        <v>Labour</v>
      </c>
      <c r="AM1557" s="7" t="str">
        <f>VLOOKUP(AC1557,Mapping!$E$11:$I$96,5,0)</f>
        <v>SCS</v>
      </c>
      <c r="AO1557" s="134">
        <v>168</v>
      </c>
      <c r="AP1557" s="135" t="s">
        <v>2176</v>
      </c>
      <c r="AQ1557" s="135">
        <v>613240</v>
      </c>
      <c r="AR1557" s="135" t="s">
        <v>2082</v>
      </c>
      <c r="AS1557" s="136">
        <v>55.887520000000002</v>
      </c>
      <c r="AU1557" s="7" t="str">
        <f>VLOOKUP($AO1557,Mapping!$E$11:$I$96,3,0)</f>
        <v>Augmentation</v>
      </c>
      <c r="AV1557" s="7" t="str">
        <f>VLOOKUP($AQ1557,Mapping!$E$140:$K$2771,5,0)</f>
        <v>Labour</v>
      </c>
      <c r="AW1557" s="7" t="str">
        <f>VLOOKUP($AQ1557,Mapping!$E$140:$K$2771,7,0)</f>
        <v>ENDirect</v>
      </c>
      <c r="AX1557" s="7" t="str">
        <f>IFERROR(HLOOKUP(AV1557,'Calc|Weightings'!$K$5:$M$5,1,0),"Excl")</f>
        <v>Labour</v>
      </c>
      <c r="AY1557" s="7" t="str">
        <f>VLOOKUP(AO1557,Mapping!$E$11:$I$96,5,0)</f>
        <v>SCS</v>
      </c>
    </row>
    <row r="1558" spans="1:51" x14ac:dyDescent="0.2">
      <c r="A1558" s="7"/>
      <c r="B1558" s="7"/>
      <c r="C1558" s="7"/>
      <c r="D1558" s="7"/>
      <c r="E1558" s="36">
        <v>155</v>
      </c>
      <c r="F1558" s="36" t="s">
        <v>2164</v>
      </c>
      <c r="G1558" s="36">
        <v>611901</v>
      </c>
      <c r="H1558" s="36" t="s">
        <v>2080</v>
      </c>
      <c r="I1558" s="37">
        <v>-5.8017300000000001</v>
      </c>
      <c r="J1558" s="7"/>
      <c r="K1558" s="7" t="str">
        <f>VLOOKUP($E1558,Mapping!$E$11:$I$96,3,0)</f>
        <v>Replacement</v>
      </c>
      <c r="L1558" s="7" t="str">
        <f>VLOOKUP($G1558,Mapping!$E$140:$K$2771,5,0)</f>
        <v>Contracts</v>
      </c>
      <c r="M1558" s="7" t="str">
        <f>VLOOKUP($G1558,Mapping!$E$140:$K$2771,7,0)</f>
        <v>ENDirect</v>
      </c>
      <c r="N1558" s="7" t="str">
        <f>IFERROR(HLOOKUP(L1558,'Calc|Weightings'!$K$5:$M$5,1,0),"Excl")</f>
        <v>Contracts</v>
      </c>
      <c r="O1558" s="7" t="str">
        <f>VLOOKUP(E1558,Mapping!$E$11:$I$96,5,0)</f>
        <v>SCS</v>
      </c>
      <c r="Q1558" s="33">
        <v>168</v>
      </c>
      <c r="R1558" s="33" t="s">
        <v>2176</v>
      </c>
      <c r="S1558" s="33">
        <v>520200</v>
      </c>
      <c r="T1558" s="33" t="s">
        <v>2073</v>
      </c>
      <c r="U1558" s="34">
        <v>42.255409999999998</v>
      </c>
      <c r="V1558" s="7"/>
      <c r="W1558" s="7" t="str">
        <f>VLOOKUP($Q1558,Mapping!$E$11:$I$96,3,0)</f>
        <v>Augmentation</v>
      </c>
      <c r="X1558" s="7" t="str">
        <f>VLOOKUP($S1558,Mapping!$E$140:$K$2771,5,0)</f>
        <v>Materials</v>
      </c>
      <c r="Y1558" s="7" t="str">
        <f>VLOOKUP($S1558,Mapping!$E$140:$K$2771,7,0)</f>
        <v>ENDirect</v>
      </c>
      <c r="Z1558" s="7" t="str">
        <f>IFERROR(HLOOKUP(X1558,'Calc|Weightings'!$K$5:$M$5,1,0),"Excl")</f>
        <v>Materials</v>
      </c>
      <c r="AA1558" s="7" t="str">
        <f>VLOOKUP(Q1558,Mapping!$E$11:$I$96,5,0)</f>
        <v>SCS</v>
      </c>
      <c r="AC1558" s="111">
        <v>162</v>
      </c>
      <c r="AD1558" s="111" t="s">
        <v>2172</v>
      </c>
      <c r="AE1558" s="111">
        <v>613461</v>
      </c>
      <c r="AF1558" s="111" t="s">
        <v>2168</v>
      </c>
      <c r="AG1558" s="112">
        <v>0.23157</v>
      </c>
      <c r="AI1558" s="7" t="str">
        <f>VLOOKUP($AC1558,Mapping!$E$11:$I$96,3,0)</f>
        <v>Augmentation</v>
      </c>
      <c r="AJ1558" s="7" t="str">
        <f>VLOOKUP($AE1558,Mapping!$E$140:$K$2771,5,0)</f>
        <v>Labour</v>
      </c>
      <c r="AK1558" s="7" t="str">
        <f>VLOOKUP($AE1558,Mapping!$E$140:$K$2771,7,0)</f>
        <v>ENDirect</v>
      </c>
      <c r="AL1558" s="7" t="str">
        <f>IFERROR(HLOOKUP(AJ1558,'Calc|Weightings'!$K$5:$M$5,1,0),"Excl")</f>
        <v>Labour</v>
      </c>
      <c r="AM1558" s="7" t="str">
        <f>VLOOKUP(AC1558,Mapping!$E$11:$I$96,5,0)</f>
        <v>SCS</v>
      </c>
      <c r="AO1558" s="134">
        <v>168</v>
      </c>
      <c r="AP1558" s="135" t="s">
        <v>2176</v>
      </c>
      <c r="AQ1558" s="135">
        <v>613241</v>
      </c>
      <c r="AR1558" s="135" t="s">
        <v>2083</v>
      </c>
      <c r="AS1558" s="136">
        <v>10.061059999999999</v>
      </c>
      <c r="AU1558" s="7" t="str">
        <f>VLOOKUP($AO1558,Mapping!$E$11:$I$96,3,0)</f>
        <v>Augmentation</v>
      </c>
      <c r="AV1558" s="7" t="str">
        <f>VLOOKUP($AQ1558,Mapping!$E$140:$K$2771,5,0)</f>
        <v>Labour</v>
      </c>
      <c r="AW1558" s="7" t="str">
        <f>VLOOKUP($AQ1558,Mapping!$E$140:$K$2771,7,0)</f>
        <v>ENDirect</v>
      </c>
      <c r="AX1558" s="7" t="str">
        <f>IFERROR(HLOOKUP(AV1558,'Calc|Weightings'!$K$5:$M$5,1,0),"Excl")</f>
        <v>Labour</v>
      </c>
      <c r="AY1558" s="7" t="str">
        <f>VLOOKUP(AO1558,Mapping!$E$11:$I$96,5,0)</f>
        <v>SCS</v>
      </c>
    </row>
    <row r="1559" spans="1:51" x14ac:dyDescent="0.2">
      <c r="A1559" s="7"/>
      <c r="B1559" s="7"/>
      <c r="C1559" s="7"/>
      <c r="D1559" s="7"/>
      <c r="E1559" s="36">
        <v>155</v>
      </c>
      <c r="F1559" s="36" t="s">
        <v>2164</v>
      </c>
      <c r="G1559" s="36">
        <v>611902</v>
      </c>
      <c r="H1559" s="36" t="s">
        <v>2081</v>
      </c>
      <c r="I1559" s="37">
        <v>2.4299999999999999E-2</v>
      </c>
      <c r="J1559" s="7"/>
      <c r="K1559" s="7" t="str">
        <f>VLOOKUP($E1559,Mapping!$E$11:$I$96,3,0)</f>
        <v>Replacement</v>
      </c>
      <c r="L1559" s="7" t="str">
        <f>VLOOKUP($G1559,Mapping!$E$140:$K$2771,5,0)</f>
        <v>Contracts</v>
      </c>
      <c r="M1559" s="7" t="str">
        <f>VLOOKUP($G1559,Mapping!$E$140:$K$2771,7,0)</f>
        <v>ENDirect</v>
      </c>
      <c r="N1559" s="7" t="str">
        <f>IFERROR(HLOOKUP(L1559,'Calc|Weightings'!$K$5:$M$5,1,0),"Excl")</f>
        <v>Contracts</v>
      </c>
      <c r="O1559" s="7" t="str">
        <f>VLOOKUP(E1559,Mapping!$E$11:$I$96,5,0)</f>
        <v>SCS</v>
      </c>
      <c r="Q1559" s="33">
        <v>168</v>
      </c>
      <c r="R1559" s="33" t="s">
        <v>2176</v>
      </c>
      <c r="S1559" s="33">
        <v>523100</v>
      </c>
      <c r="T1559" s="33" t="s">
        <v>2074</v>
      </c>
      <c r="U1559" s="34">
        <v>3.0249999999999999E-2</v>
      </c>
      <c r="V1559" s="7"/>
      <c r="W1559" s="7" t="str">
        <f>VLOOKUP($Q1559,Mapping!$E$11:$I$96,3,0)</f>
        <v>Augmentation</v>
      </c>
      <c r="X1559" s="7" t="str">
        <f>VLOOKUP($S1559,Mapping!$E$140:$K$2771,5,0)</f>
        <v>Materials</v>
      </c>
      <c r="Y1559" s="7" t="str">
        <f>VLOOKUP($S1559,Mapping!$E$140:$K$2771,7,0)</f>
        <v>ENDirect</v>
      </c>
      <c r="Z1559" s="7" t="str">
        <f>IFERROR(HLOOKUP(X1559,'Calc|Weightings'!$K$5:$M$5,1,0),"Excl")</f>
        <v>Materials</v>
      </c>
      <c r="AA1559" s="7" t="str">
        <f>VLOOKUP(Q1559,Mapping!$E$11:$I$96,5,0)</f>
        <v>SCS</v>
      </c>
      <c r="AC1559" s="111">
        <v>162</v>
      </c>
      <c r="AD1559" s="111" t="s">
        <v>2172</v>
      </c>
      <c r="AE1559" s="111">
        <v>613477</v>
      </c>
      <c r="AF1559" s="111" t="s">
        <v>2200</v>
      </c>
      <c r="AG1559" s="112">
        <v>9.9734300000000005</v>
      </c>
      <c r="AI1559" s="7" t="str">
        <f>VLOOKUP($AC1559,Mapping!$E$11:$I$96,3,0)</f>
        <v>Augmentation</v>
      </c>
      <c r="AJ1559" s="7" t="str">
        <f>VLOOKUP($AE1559,Mapping!$E$140:$K$2771,5,0)</f>
        <v>Labour</v>
      </c>
      <c r="AK1559" s="7" t="str">
        <f>VLOOKUP($AE1559,Mapping!$E$140:$K$2771,7,0)</f>
        <v>ENDirect</v>
      </c>
      <c r="AL1559" s="7" t="str">
        <f>IFERROR(HLOOKUP(AJ1559,'Calc|Weightings'!$K$5:$M$5,1,0),"Excl")</f>
        <v>Labour</v>
      </c>
      <c r="AM1559" s="7" t="str">
        <f>VLOOKUP(AC1559,Mapping!$E$11:$I$96,5,0)</f>
        <v>SCS</v>
      </c>
      <c r="AO1559" s="134">
        <v>168</v>
      </c>
      <c r="AP1559" s="135" t="s">
        <v>2176</v>
      </c>
      <c r="AQ1559" s="135">
        <v>613250</v>
      </c>
      <c r="AR1559" s="135" t="s">
        <v>2086</v>
      </c>
      <c r="AS1559" s="136">
        <v>83.155019999999993</v>
      </c>
      <c r="AU1559" s="7" t="str">
        <f>VLOOKUP($AO1559,Mapping!$E$11:$I$96,3,0)</f>
        <v>Augmentation</v>
      </c>
      <c r="AV1559" s="7" t="str">
        <f>VLOOKUP($AQ1559,Mapping!$E$140:$K$2771,5,0)</f>
        <v>Labour</v>
      </c>
      <c r="AW1559" s="7" t="str">
        <f>VLOOKUP($AQ1559,Mapping!$E$140:$K$2771,7,0)</f>
        <v>ENDirect</v>
      </c>
      <c r="AX1559" s="7" t="str">
        <f>IFERROR(HLOOKUP(AV1559,'Calc|Weightings'!$K$5:$M$5,1,0),"Excl")</f>
        <v>Labour</v>
      </c>
      <c r="AY1559" s="7" t="str">
        <f>VLOOKUP(AO1559,Mapping!$E$11:$I$96,5,0)</f>
        <v>SCS</v>
      </c>
    </row>
    <row r="1560" spans="1:51" x14ac:dyDescent="0.2">
      <c r="A1560" s="7"/>
      <c r="B1560" s="7"/>
      <c r="C1560" s="7"/>
      <c r="D1560" s="7"/>
      <c r="E1560" s="36">
        <v>155</v>
      </c>
      <c r="F1560" s="36" t="s">
        <v>2164</v>
      </c>
      <c r="G1560" s="36">
        <v>612210</v>
      </c>
      <c r="H1560" s="36" t="s">
        <v>1184</v>
      </c>
      <c r="I1560" s="37">
        <v>89.115979999999993</v>
      </c>
      <c r="J1560" s="7"/>
      <c r="K1560" s="7" t="str">
        <f>VLOOKUP($E1560,Mapping!$E$11:$I$96,3,0)</f>
        <v>Replacement</v>
      </c>
      <c r="L1560" s="7" t="str">
        <f>VLOOKUP($G1560,Mapping!$E$140:$K$2771,5,0)</f>
        <v>Labour</v>
      </c>
      <c r="M1560" s="7" t="str">
        <f>VLOOKUP($G1560,Mapping!$E$140:$K$2771,7,0)</f>
        <v>ENDirect</v>
      </c>
      <c r="N1560" s="7" t="str">
        <f>IFERROR(HLOOKUP(L1560,'Calc|Weightings'!$K$5:$M$5,1,0),"Excl")</f>
        <v>Labour</v>
      </c>
      <c r="O1560" s="7" t="str">
        <f>VLOOKUP(E1560,Mapping!$E$11:$I$96,5,0)</f>
        <v>SCS</v>
      </c>
      <c r="Q1560" s="33">
        <v>168</v>
      </c>
      <c r="R1560" s="33" t="s">
        <v>2176</v>
      </c>
      <c r="S1560" s="33">
        <v>523300</v>
      </c>
      <c r="T1560" s="33" t="s">
        <v>2075</v>
      </c>
      <c r="U1560" s="34">
        <v>0.66725999999999996</v>
      </c>
      <c r="V1560" s="7"/>
      <c r="W1560" s="7" t="str">
        <f>VLOOKUP($Q1560,Mapping!$E$11:$I$96,3,0)</f>
        <v>Augmentation</v>
      </c>
      <c r="X1560" s="7" t="str">
        <f>VLOOKUP($S1560,Mapping!$E$140:$K$2771,5,0)</f>
        <v>Materials</v>
      </c>
      <c r="Y1560" s="7" t="str">
        <f>VLOOKUP($S1560,Mapping!$E$140:$K$2771,7,0)</f>
        <v>ENDirect</v>
      </c>
      <c r="Z1560" s="7" t="str">
        <f>IFERROR(HLOOKUP(X1560,'Calc|Weightings'!$K$5:$M$5,1,0),"Excl")</f>
        <v>Materials</v>
      </c>
      <c r="AA1560" s="7" t="str">
        <f>VLOOKUP(Q1560,Mapping!$E$11:$I$96,5,0)</f>
        <v>SCS</v>
      </c>
      <c r="AC1560" s="111">
        <v>162</v>
      </c>
      <c r="AD1560" s="111" t="s">
        <v>2172</v>
      </c>
      <c r="AE1560" s="111">
        <v>613566</v>
      </c>
      <c r="AF1560" s="111" t="s">
        <v>1482</v>
      </c>
      <c r="AG1560" s="112">
        <v>31.112580000000001</v>
      </c>
      <c r="AI1560" s="7" t="str">
        <f>VLOOKUP($AC1560,Mapping!$E$11:$I$96,3,0)</f>
        <v>Augmentation</v>
      </c>
      <c r="AJ1560" s="7" t="str">
        <f>VLOOKUP($AE1560,Mapping!$E$140:$K$2771,5,0)</f>
        <v>Labour</v>
      </c>
      <c r="AK1560" s="7" t="str">
        <f>VLOOKUP($AE1560,Mapping!$E$140:$K$2771,7,0)</f>
        <v>ENDirect</v>
      </c>
      <c r="AL1560" s="7" t="str">
        <f>IFERROR(HLOOKUP(AJ1560,'Calc|Weightings'!$K$5:$M$5,1,0),"Excl")</f>
        <v>Labour</v>
      </c>
      <c r="AM1560" s="7" t="str">
        <f>VLOOKUP(AC1560,Mapping!$E$11:$I$96,5,0)</f>
        <v>SCS</v>
      </c>
      <c r="AO1560" s="134">
        <v>168</v>
      </c>
      <c r="AP1560" s="135" t="s">
        <v>2176</v>
      </c>
      <c r="AQ1560" s="135">
        <v>613251</v>
      </c>
      <c r="AR1560" s="135" t="s">
        <v>2087</v>
      </c>
      <c r="AS1560" s="136">
        <v>3.7040000000000002</v>
      </c>
      <c r="AU1560" s="7" t="str">
        <f>VLOOKUP($AO1560,Mapping!$E$11:$I$96,3,0)</f>
        <v>Augmentation</v>
      </c>
      <c r="AV1560" s="7" t="str">
        <f>VLOOKUP($AQ1560,Mapping!$E$140:$K$2771,5,0)</f>
        <v>Labour</v>
      </c>
      <c r="AW1560" s="7" t="str">
        <f>VLOOKUP($AQ1560,Mapping!$E$140:$K$2771,7,0)</f>
        <v>ENDirect</v>
      </c>
      <c r="AX1560" s="7" t="str">
        <f>IFERROR(HLOOKUP(AV1560,'Calc|Weightings'!$K$5:$M$5,1,0),"Excl")</f>
        <v>Labour</v>
      </c>
      <c r="AY1560" s="7" t="str">
        <f>VLOOKUP(AO1560,Mapping!$E$11:$I$96,5,0)</f>
        <v>SCS</v>
      </c>
    </row>
    <row r="1561" spans="1:51" x14ac:dyDescent="0.2">
      <c r="A1561" s="7"/>
      <c r="B1561" s="7"/>
      <c r="C1561" s="7"/>
      <c r="D1561" s="7"/>
      <c r="E1561" s="36">
        <v>155</v>
      </c>
      <c r="F1561" s="36" t="s">
        <v>2164</v>
      </c>
      <c r="G1561" s="36">
        <v>612462</v>
      </c>
      <c r="H1561" s="36" t="s">
        <v>1244</v>
      </c>
      <c r="I1561" s="37">
        <v>-5.4262100000000002</v>
      </c>
      <c r="J1561" s="7"/>
      <c r="K1561" s="7" t="str">
        <f>VLOOKUP($E1561,Mapping!$E$11:$I$96,3,0)</f>
        <v>Replacement</v>
      </c>
      <c r="L1561" s="7" t="str">
        <f>VLOOKUP($G1561,Mapping!$E$140:$K$2771,5,0)</f>
        <v>Labour</v>
      </c>
      <c r="M1561" s="7" t="str">
        <f>VLOOKUP($G1561,Mapping!$E$140:$K$2771,7,0)</f>
        <v>ENDirect</v>
      </c>
      <c r="N1561" s="7" t="str">
        <f>IFERROR(HLOOKUP(L1561,'Calc|Weightings'!$K$5:$M$5,1,0),"Excl")</f>
        <v>Labour</v>
      </c>
      <c r="O1561" s="7" t="str">
        <f>VLOOKUP(E1561,Mapping!$E$11:$I$96,5,0)</f>
        <v>SCS</v>
      </c>
      <c r="Q1561" s="33">
        <v>168</v>
      </c>
      <c r="R1561" s="33" t="s">
        <v>2176</v>
      </c>
      <c r="S1561" s="33">
        <v>524100</v>
      </c>
      <c r="T1561" s="33" t="s">
        <v>2188</v>
      </c>
      <c r="U1561" s="34">
        <v>0.10639999999999999</v>
      </c>
      <c r="V1561" s="7"/>
      <c r="W1561" s="7" t="str">
        <f>VLOOKUP($Q1561,Mapping!$E$11:$I$96,3,0)</f>
        <v>Augmentation</v>
      </c>
      <c r="X1561" s="7" t="str">
        <f>VLOOKUP($S1561,Mapping!$E$140:$K$2771,5,0)</f>
        <v>Materials</v>
      </c>
      <c r="Y1561" s="7" t="str">
        <f>VLOOKUP($S1561,Mapping!$E$140:$K$2771,7,0)</f>
        <v>ENDirect</v>
      </c>
      <c r="Z1561" s="7" t="str">
        <f>IFERROR(HLOOKUP(X1561,'Calc|Weightings'!$K$5:$M$5,1,0),"Excl")</f>
        <v>Materials</v>
      </c>
      <c r="AA1561" s="7" t="str">
        <f>VLOOKUP(Q1561,Mapping!$E$11:$I$96,5,0)</f>
        <v>SCS</v>
      </c>
      <c r="AC1561" s="111">
        <v>162</v>
      </c>
      <c r="AD1561" s="111" t="s">
        <v>2172</v>
      </c>
      <c r="AE1561" s="111">
        <v>613567</v>
      </c>
      <c r="AF1561" s="111" t="s">
        <v>1483</v>
      </c>
      <c r="AG1561" s="112">
        <v>6.3362299999999996</v>
      </c>
      <c r="AI1561" s="7" t="str">
        <f>VLOOKUP($AC1561,Mapping!$E$11:$I$96,3,0)</f>
        <v>Augmentation</v>
      </c>
      <c r="AJ1561" s="7" t="str">
        <f>VLOOKUP($AE1561,Mapping!$E$140:$K$2771,5,0)</f>
        <v>Labour</v>
      </c>
      <c r="AK1561" s="7" t="str">
        <f>VLOOKUP($AE1561,Mapping!$E$140:$K$2771,7,0)</f>
        <v>ENDirect</v>
      </c>
      <c r="AL1561" s="7" t="str">
        <f>IFERROR(HLOOKUP(AJ1561,'Calc|Weightings'!$K$5:$M$5,1,0),"Excl")</f>
        <v>Labour</v>
      </c>
      <c r="AM1561" s="7" t="str">
        <f>VLOOKUP(AC1561,Mapping!$E$11:$I$96,5,0)</f>
        <v>SCS</v>
      </c>
      <c r="AO1561" s="134">
        <v>168</v>
      </c>
      <c r="AP1561" s="135" t="s">
        <v>2176</v>
      </c>
      <c r="AQ1561" s="135">
        <v>613260</v>
      </c>
      <c r="AR1561" s="135" t="s">
        <v>2090</v>
      </c>
      <c r="AS1561" s="136">
        <v>10.449</v>
      </c>
      <c r="AU1561" s="7" t="str">
        <f>VLOOKUP($AO1561,Mapping!$E$11:$I$96,3,0)</f>
        <v>Augmentation</v>
      </c>
      <c r="AV1561" s="7" t="str">
        <f>VLOOKUP($AQ1561,Mapping!$E$140:$K$2771,5,0)</f>
        <v>Labour</v>
      </c>
      <c r="AW1561" s="7" t="str">
        <f>VLOOKUP($AQ1561,Mapping!$E$140:$K$2771,7,0)</f>
        <v>ENDirect</v>
      </c>
      <c r="AX1561" s="7" t="str">
        <f>IFERROR(HLOOKUP(AV1561,'Calc|Weightings'!$K$5:$M$5,1,0),"Excl")</f>
        <v>Labour</v>
      </c>
      <c r="AY1561" s="7" t="str">
        <f>VLOOKUP(AO1561,Mapping!$E$11:$I$96,5,0)</f>
        <v>SCS</v>
      </c>
    </row>
    <row r="1562" spans="1:51" x14ac:dyDescent="0.2">
      <c r="A1562" s="7"/>
      <c r="B1562" s="7"/>
      <c r="C1562" s="7"/>
      <c r="D1562" s="7"/>
      <c r="E1562" s="36">
        <v>155</v>
      </c>
      <c r="F1562" s="36" t="s">
        <v>2164</v>
      </c>
      <c r="G1562" s="36">
        <v>613240</v>
      </c>
      <c r="H1562" s="36" t="s">
        <v>2082</v>
      </c>
      <c r="I1562" s="37">
        <v>0.66940999999999995</v>
      </c>
      <c r="J1562" s="7"/>
      <c r="K1562" s="7" t="str">
        <f>VLOOKUP($E1562,Mapping!$E$11:$I$96,3,0)</f>
        <v>Replacement</v>
      </c>
      <c r="L1562" s="7" t="str">
        <f>VLOOKUP($G1562,Mapping!$E$140:$K$2771,5,0)</f>
        <v>Labour</v>
      </c>
      <c r="M1562" s="7" t="str">
        <f>VLOOKUP($G1562,Mapping!$E$140:$K$2771,7,0)</f>
        <v>ENDirect</v>
      </c>
      <c r="N1562" s="7" t="str">
        <f>IFERROR(HLOOKUP(L1562,'Calc|Weightings'!$K$5:$M$5,1,0),"Excl")</f>
        <v>Labour</v>
      </c>
      <c r="O1562" s="7" t="str">
        <f>VLOOKUP(E1562,Mapping!$E$11:$I$96,5,0)</f>
        <v>SCS</v>
      </c>
      <c r="Q1562" s="33">
        <v>168</v>
      </c>
      <c r="R1562" s="33" t="s">
        <v>2176</v>
      </c>
      <c r="S1562" s="33">
        <v>524110</v>
      </c>
      <c r="T1562" s="33" t="s">
        <v>231</v>
      </c>
      <c r="U1562" s="34">
        <v>0.55200000000000005</v>
      </c>
      <c r="V1562" s="7"/>
      <c r="W1562" s="7" t="str">
        <f>VLOOKUP($Q1562,Mapping!$E$11:$I$96,3,0)</f>
        <v>Augmentation</v>
      </c>
      <c r="X1562" s="7" t="str">
        <f>VLOOKUP($S1562,Mapping!$E$140:$K$2771,5,0)</f>
        <v>Materials</v>
      </c>
      <c r="Y1562" s="7" t="str">
        <f>VLOOKUP($S1562,Mapping!$E$140:$K$2771,7,0)</f>
        <v>ENDirect</v>
      </c>
      <c r="Z1562" s="7" t="str">
        <f>IFERROR(HLOOKUP(X1562,'Calc|Weightings'!$K$5:$M$5,1,0),"Excl")</f>
        <v>Materials</v>
      </c>
      <c r="AA1562" s="7" t="str">
        <f>VLOOKUP(Q1562,Mapping!$E$11:$I$96,5,0)</f>
        <v>SCS</v>
      </c>
      <c r="AC1562" s="111">
        <v>162</v>
      </c>
      <c r="AD1562" s="111" t="s">
        <v>2172</v>
      </c>
      <c r="AE1562" s="111">
        <v>613570</v>
      </c>
      <c r="AF1562" s="111" t="s">
        <v>1484</v>
      </c>
      <c r="AG1562" s="112">
        <v>1.06152</v>
      </c>
      <c r="AI1562" s="7" t="str">
        <f>VLOOKUP($AC1562,Mapping!$E$11:$I$96,3,0)</f>
        <v>Augmentation</v>
      </c>
      <c r="AJ1562" s="7" t="str">
        <f>VLOOKUP($AE1562,Mapping!$E$140:$K$2771,5,0)</f>
        <v>Labour</v>
      </c>
      <c r="AK1562" s="7" t="str">
        <f>VLOOKUP($AE1562,Mapping!$E$140:$K$2771,7,0)</f>
        <v>ENDirect</v>
      </c>
      <c r="AL1562" s="7" t="str">
        <f>IFERROR(HLOOKUP(AJ1562,'Calc|Weightings'!$K$5:$M$5,1,0),"Excl")</f>
        <v>Labour</v>
      </c>
      <c r="AM1562" s="7" t="str">
        <f>VLOOKUP(AC1562,Mapping!$E$11:$I$96,5,0)</f>
        <v>SCS</v>
      </c>
      <c r="AO1562" s="134">
        <v>168</v>
      </c>
      <c r="AP1562" s="135" t="s">
        <v>2176</v>
      </c>
      <c r="AQ1562" s="135">
        <v>613280</v>
      </c>
      <c r="AR1562" s="135" t="s">
        <v>1342</v>
      </c>
      <c r="AS1562" s="136">
        <v>29.438479999999998</v>
      </c>
      <c r="AU1562" s="7" t="str">
        <f>VLOOKUP($AO1562,Mapping!$E$11:$I$96,3,0)</f>
        <v>Augmentation</v>
      </c>
      <c r="AV1562" s="7" t="str">
        <f>VLOOKUP($AQ1562,Mapping!$E$140:$K$2771,5,0)</f>
        <v>Labour</v>
      </c>
      <c r="AW1562" s="7" t="str">
        <f>VLOOKUP($AQ1562,Mapping!$E$140:$K$2771,7,0)</f>
        <v>ENDirect</v>
      </c>
      <c r="AX1562" s="7" t="str">
        <f>IFERROR(HLOOKUP(AV1562,'Calc|Weightings'!$K$5:$M$5,1,0),"Excl")</f>
        <v>Labour</v>
      </c>
      <c r="AY1562" s="7" t="str">
        <f>VLOOKUP(AO1562,Mapping!$E$11:$I$96,5,0)</f>
        <v>SCS</v>
      </c>
    </row>
    <row r="1563" spans="1:51" x14ac:dyDescent="0.2">
      <c r="A1563" s="7"/>
      <c r="B1563" s="7"/>
      <c r="C1563" s="7"/>
      <c r="D1563" s="7"/>
      <c r="E1563" s="36">
        <v>155</v>
      </c>
      <c r="F1563" s="36" t="s">
        <v>2164</v>
      </c>
      <c r="G1563" s="36">
        <v>613248</v>
      </c>
      <c r="H1563" s="36" t="s">
        <v>2383</v>
      </c>
      <c r="I1563" s="37">
        <v>60.867170000000002</v>
      </c>
      <c r="J1563" s="7"/>
      <c r="K1563" s="7" t="str">
        <f>VLOOKUP($E1563,Mapping!$E$11:$I$96,3,0)</f>
        <v>Replacement</v>
      </c>
      <c r="L1563" s="7" t="str">
        <f>VLOOKUP($G1563,Mapping!$E$140:$K$2771,5,0)</f>
        <v>Labour</v>
      </c>
      <c r="M1563" s="7" t="str">
        <f>VLOOKUP($G1563,Mapping!$E$140:$K$2771,7,0)</f>
        <v>ENDirect</v>
      </c>
      <c r="N1563" s="7" t="str">
        <f>IFERROR(HLOOKUP(L1563,'Calc|Weightings'!$K$5:$M$5,1,0),"Excl")</f>
        <v>Labour</v>
      </c>
      <c r="O1563" s="7" t="str">
        <f>VLOOKUP(E1563,Mapping!$E$11:$I$96,5,0)</f>
        <v>SCS</v>
      </c>
      <c r="Q1563" s="33">
        <v>168</v>
      </c>
      <c r="R1563" s="33" t="s">
        <v>2176</v>
      </c>
      <c r="S1563" s="33">
        <v>525000</v>
      </c>
      <c r="T1563" s="33" t="s">
        <v>2183</v>
      </c>
      <c r="U1563" s="34">
        <v>2.9952999999999999</v>
      </c>
      <c r="V1563" s="7"/>
      <c r="W1563" s="7" t="str">
        <f>VLOOKUP($Q1563,Mapping!$E$11:$I$96,3,0)</f>
        <v>Augmentation</v>
      </c>
      <c r="X1563" s="7" t="str">
        <f>VLOOKUP($S1563,Mapping!$E$140:$K$2771,5,0)</f>
        <v>Materials</v>
      </c>
      <c r="Y1563" s="7" t="str">
        <f>VLOOKUP($S1563,Mapping!$E$140:$K$2771,7,0)</f>
        <v>ENDirect</v>
      </c>
      <c r="Z1563" s="7" t="str">
        <f>IFERROR(HLOOKUP(X1563,'Calc|Weightings'!$K$5:$M$5,1,0),"Excl")</f>
        <v>Materials</v>
      </c>
      <c r="AA1563" s="7" t="str">
        <f>VLOOKUP(Q1563,Mapping!$E$11:$I$96,5,0)</f>
        <v>SCS</v>
      </c>
      <c r="AC1563" s="111">
        <v>162</v>
      </c>
      <c r="AD1563" s="111" t="s">
        <v>2172</v>
      </c>
      <c r="AE1563" s="111">
        <v>613571</v>
      </c>
      <c r="AF1563" s="111" t="s">
        <v>1485</v>
      </c>
      <c r="AG1563" s="112">
        <v>4.8531899999999997</v>
      </c>
      <c r="AI1563" s="7" t="str">
        <f>VLOOKUP($AC1563,Mapping!$E$11:$I$96,3,0)</f>
        <v>Augmentation</v>
      </c>
      <c r="AJ1563" s="7" t="str">
        <f>VLOOKUP($AE1563,Mapping!$E$140:$K$2771,5,0)</f>
        <v>Labour</v>
      </c>
      <c r="AK1563" s="7" t="str">
        <f>VLOOKUP($AE1563,Mapping!$E$140:$K$2771,7,0)</f>
        <v>ENDirect</v>
      </c>
      <c r="AL1563" s="7" t="str">
        <f>IFERROR(HLOOKUP(AJ1563,'Calc|Weightings'!$K$5:$M$5,1,0),"Excl")</f>
        <v>Labour</v>
      </c>
      <c r="AM1563" s="7" t="str">
        <f>VLOOKUP(AC1563,Mapping!$E$11:$I$96,5,0)</f>
        <v>SCS</v>
      </c>
      <c r="AO1563" s="134">
        <v>168</v>
      </c>
      <c r="AP1563" s="135" t="s">
        <v>2176</v>
      </c>
      <c r="AQ1563" s="135">
        <v>613281</v>
      </c>
      <c r="AR1563" s="135" t="s">
        <v>1343</v>
      </c>
      <c r="AS1563" s="136">
        <v>0.83004</v>
      </c>
      <c r="AU1563" s="7" t="str">
        <f>VLOOKUP($AO1563,Mapping!$E$11:$I$96,3,0)</f>
        <v>Augmentation</v>
      </c>
      <c r="AV1563" s="7" t="str">
        <f>VLOOKUP($AQ1563,Mapping!$E$140:$K$2771,5,0)</f>
        <v>Labour</v>
      </c>
      <c r="AW1563" s="7" t="str">
        <f>VLOOKUP($AQ1563,Mapping!$E$140:$K$2771,7,0)</f>
        <v>ENDirect</v>
      </c>
      <c r="AX1563" s="7" t="str">
        <f>IFERROR(HLOOKUP(AV1563,'Calc|Weightings'!$K$5:$M$5,1,0),"Excl")</f>
        <v>Labour</v>
      </c>
      <c r="AY1563" s="7" t="str">
        <f>VLOOKUP(AO1563,Mapping!$E$11:$I$96,5,0)</f>
        <v>SCS</v>
      </c>
    </row>
    <row r="1564" spans="1:51" x14ac:dyDescent="0.2">
      <c r="A1564" s="7"/>
      <c r="B1564" s="7"/>
      <c r="C1564" s="7"/>
      <c r="D1564" s="7"/>
      <c r="E1564" s="36">
        <v>155</v>
      </c>
      <c r="F1564" s="36" t="s">
        <v>2164</v>
      </c>
      <c r="G1564" s="36">
        <v>613249</v>
      </c>
      <c r="H1564" s="36" t="s">
        <v>2384</v>
      </c>
      <c r="I1564" s="37">
        <v>9.6479999999999997</v>
      </c>
      <c r="J1564" s="7"/>
      <c r="K1564" s="7" t="str">
        <f>VLOOKUP($E1564,Mapping!$E$11:$I$96,3,0)</f>
        <v>Replacement</v>
      </c>
      <c r="L1564" s="7" t="str">
        <f>VLOOKUP($G1564,Mapping!$E$140:$K$2771,5,0)</f>
        <v>Labour</v>
      </c>
      <c r="M1564" s="7" t="str">
        <f>VLOOKUP($G1564,Mapping!$E$140:$K$2771,7,0)</f>
        <v>ENDirect</v>
      </c>
      <c r="N1564" s="7" t="str">
        <f>IFERROR(HLOOKUP(L1564,'Calc|Weightings'!$K$5:$M$5,1,0),"Excl")</f>
        <v>Labour</v>
      </c>
      <c r="O1564" s="7" t="str">
        <f>VLOOKUP(E1564,Mapping!$E$11:$I$96,5,0)</f>
        <v>SCS</v>
      </c>
      <c r="Q1564" s="33">
        <v>168</v>
      </c>
      <c r="R1564" s="33" t="s">
        <v>2176</v>
      </c>
      <c r="S1564" s="33">
        <v>531000</v>
      </c>
      <c r="T1564" s="33" t="s">
        <v>242</v>
      </c>
      <c r="U1564" s="34">
        <v>1.2472799999999999</v>
      </c>
      <c r="V1564" s="7"/>
      <c r="W1564" s="7" t="str">
        <f>VLOOKUP($Q1564,Mapping!$E$11:$I$96,3,0)</f>
        <v>Augmentation</v>
      </c>
      <c r="X1564" s="7" t="str">
        <f>VLOOKUP($S1564,Mapping!$E$140:$K$2771,5,0)</f>
        <v>Contracts</v>
      </c>
      <c r="Y1564" s="7" t="str">
        <f>VLOOKUP($S1564,Mapping!$E$140:$K$2771,7,0)</f>
        <v>ENDirect</v>
      </c>
      <c r="Z1564" s="7" t="str">
        <f>IFERROR(HLOOKUP(X1564,'Calc|Weightings'!$K$5:$M$5,1,0),"Excl")</f>
        <v>Contracts</v>
      </c>
      <c r="AA1564" s="7" t="str">
        <f>VLOOKUP(Q1564,Mapping!$E$11:$I$96,5,0)</f>
        <v>SCS</v>
      </c>
      <c r="AC1564" s="111">
        <v>162</v>
      </c>
      <c r="AD1564" s="111" t="s">
        <v>2172</v>
      </c>
      <c r="AE1564" s="111">
        <v>613574</v>
      </c>
      <c r="AF1564" s="111" t="s">
        <v>1488</v>
      </c>
      <c r="AG1564" s="112">
        <v>20.902719999999999</v>
      </c>
      <c r="AI1564" s="7" t="str">
        <f>VLOOKUP($AC1564,Mapping!$E$11:$I$96,3,0)</f>
        <v>Augmentation</v>
      </c>
      <c r="AJ1564" s="7" t="str">
        <f>VLOOKUP($AE1564,Mapping!$E$140:$K$2771,5,0)</f>
        <v>Labour</v>
      </c>
      <c r="AK1564" s="7" t="str">
        <f>VLOOKUP($AE1564,Mapping!$E$140:$K$2771,7,0)</f>
        <v>ENDirect</v>
      </c>
      <c r="AL1564" s="7" t="str">
        <f>IFERROR(HLOOKUP(AJ1564,'Calc|Weightings'!$K$5:$M$5,1,0),"Excl")</f>
        <v>Labour</v>
      </c>
      <c r="AM1564" s="7" t="str">
        <f>VLOOKUP(AC1564,Mapping!$E$11:$I$96,5,0)</f>
        <v>SCS</v>
      </c>
      <c r="AO1564" s="134">
        <v>168</v>
      </c>
      <c r="AP1564" s="135" t="s">
        <v>2176</v>
      </c>
      <c r="AQ1564" s="135">
        <v>613290</v>
      </c>
      <c r="AR1564" s="135" t="s">
        <v>2093</v>
      </c>
      <c r="AS1564" s="136">
        <v>164.07646</v>
      </c>
      <c r="AU1564" s="7" t="str">
        <f>VLOOKUP($AO1564,Mapping!$E$11:$I$96,3,0)</f>
        <v>Augmentation</v>
      </c>
      <c r="AV1564" s="7" t="str">
        <f>VLOOKUP($AQ1564,Mapping!$E$140:$K$2771,5,0)</f>
        <v>Labour</v>
      </c>
      <c r="AW1564" s="7" t="str">
        <f>VLOOKUP($AQ1564,Mapping!$E$140:$K$2771,7,0)</f>
        <v>ENDirect</v>
      </c>
      <c r="AX1564" s="7" t="str">
        <f>IFERROR(HLOOKUP(AV1564,'Calc|Weightings'!$K$5:$M$5,1,0),"Excl")</f>
        <v>Labour</v>
      </c>
      <c r="AY1564" s="7" t="str">
        <f>VLOOKUP(AO1564,Mapping!$E$11:$I$96,5,0)</f>
        <v>SCS</v>
      </c>
    </row>
    <row r="1565" spans="1:51" x14ac:dyDescent="0.2">
      <c r="A1565" s="7"/>
      <c r="B1565" s="7"/>
      <c r="C1565" s="7"/>
      <c r="D1565" s="7"/>
      <c r="E1565" s="36">
        <v>155</v>
      </c>
      <c r="F1565" s="36" t="s">
        <v>2164</v>
      </c>
      <c r="G1565" s="36">
        <v>613250</v>
      </c>
      <c r="H1565" s="36" t="s">
        <v>2086</v>
      </c>
      <c r="I1565" s="37">
        <v>0.64971999999999996</v>
      </c>
      <c r="J1565" s="7"/>
      <c r="K1565" s="7" t="str">
        <f>VLOOKUP($E1565,Mapping!$E$11:$I$96,3,0)</f>
        <v>Replacement</v>
      </c>
      <c r="L1565" s="7" t="str">
        <f>VLOOKUP($G1565,Mapping!$E$140:$K$2771,5,0)</f>
        <v>Labour</v>
      </c>
      <c r="M1565" s="7" t="str">
        <f>VLOOKUP($G1565,Mapping!$E$140:$K$2771,7,0)</f>
        <v>ENDirect</v>
      </c>
      <c r="N1565" s="7" t="str">
        <f>IFERROR(HLOOKUP(L1565,'Calc|Weightings'!$K$5:$M$5,1,0),"Excl")</f>
        <v>Labour</v>
      </c>
      <c r="O1565" s="7" t="str">
        <f>VLOOKUP(E1565,Mapping!$E$11:$I$96,5,0)</f>
        <v>SCS</v>
      </c>
      <c r="Q1565" s="33">
        <v>168</v>
      </c>
      <c r="R1565" s="33" t="s">
        <v>2176</v>
      </c>
      <c r="S1565" s="33">
        <v>531200</v>
      </c>
      <c r="T1565" s="33" t="s">
        <v>250</v>
      </c>
      <c r="U1565" s="34">
        <v>12.509499999999999</v>
      </c>
      <c r="V1565" s="7"/>
      <c r="W1565" s="7" t="str">
        <f>VLOOKUP($Q1565,Mapping!$E$11:$I$96,3,0)</f>
        <v>Augmentation</v>
      </c>
      <c r="X1565" s="7" t="str">
        <f>VLOOKUP($S1565,Mapping!$E$140:$K$2771,5,0)</f>
        <v>Contracts</v>
      </c>
      <c r="Y1565" s="7" t="str">
        <f>VLOOKUP($S1565,Mapping!$E$140:$K$2771,7,0)</f>
        <v>ENDirect</v>
      </c>
      <c r="Z1565" s="7" t="str">
        <f>IFERROR(HLOOKUP(X1565,'Calc|Weightings'!$K$5:$M$5,1,0),"Excl")</f>
        <v>Contracts</v>
      </c>
      <c r="AA1565" s="7" t="str">
        <f>VLOOKUP(Q1565,Mapping!$E$11:$I$96,5,0)</f>
        <v>SCS</v>
      </c>
      <c r="AC1565" s="111">
        <v>162</v>
      </c>
      <c r="AD1565" s="111" t="s">
        <v>2172</v>
      </c>
      <c r="AE1565" s="111">
        <v>613575</v>
      </c>
      <c r="AF1565" s="111" t="s">
        <v>1489</v>
      </c>
      <c r="AG1565" s="112">
        <v>11.98948</v>
      </c>
      <c r="AI1565" s="7" t="str">
        <f>VLOOKUP($AC1565,Mapping!$E$11:$I$96,3,0)</f>
        <v>Augmentation</v>
      </c>
      <c r="AJ1565" s="7" t="str">
        <f>VLOOKUP($AE1565,Mapping!$E$140:$K$2771,5,0)</f>
        <v>Labour</v>
      </c>
      <c r="AK1565" s="7" t="str">
        <f>VLOOKUP($AE1565,Mapping!$E$140:$K$2771,7,0)</f>
        <v>ENDirect</v>
      </c>
      <c r="AL1565" s="7" t="str">
        <f>IFERROR(HLOOKUP(AJ1565,'Calc|Weightings'!$K$5:$M$5,1,0),"Excl")</f>
        <v>Labour</v>
      </c>
      <c r="AM1565" s="7" t="str">
        <f>VLOOKUP(AC1565,Mapping!$E$11:$I$96,5,0)</f>
        <v>SCS</v>
      </c>
      <c r="AO1565" s="134">
        <v>168</v>
      </c>
      <c r="AP1565" s="135" t="s">
        <v>2176</v>
      </c>
      <c r="AQ1565" s="135">
        <v>613291</v>
      </c>
      <c r="AR1565" s="135" t="s">
        <v>2094</v>
      </c>
      <c r="AS1565" s="136">
        <v>0.25944</v>
      </c>
      <c r="AU1565" s="7" t="str">
        <f>VLOOKUP($AO1565,Mapping!$E$11:$I$96,3,0)</f>
        <v>Augmentation</v>
      </c>
      <c r="AV1565" s="7" t="str">
        <f>VLOOKUP($AQ1565,Mapping!$E$140:$K$2771,5,0)</f>
        <v>Labour</v>
      </c>
      <c r="AW1565" s="7" t="str">
        <f>VLOOKUP($AQ1565,Mapping!$E$140:$K$2771,7,0)</f>
        <v>ENDirect</v>
      </c>
      <c r="AX1565" s="7" t="str">
        <f>IFERROR(HLOOKUP(AV1565,'Calc|Weightings'!$K$5:$M$5,1,0),"Excl")</f>
        <v>Labour</v>
      </c>
      <c r="AY1565" s="7" t="str">
        <f>VLOOKUP(AO1565,Mapping!$E$11:$I$96,5,0)</f>
        <v>SCS</v>
      </c>
    </row>
    <row r="1566" spans="1:51" x14ac:dyDescent="0.2">
      <c r="A1566" s="7"/>
      <c r="B1566" s="7"/>
      <c r="C1566" s="7"/>
      <c r="D1566" s="7"/>
      <c r="E1566" s="36">
        <v>155</v>
      </c>
      <c r="F1566" s="36" t="s">
        <v>2164</v>
      </c>
      <c r="G1566" s="36">
        <v>613258</v>
      </c>
      <c r="H1566" s="36" t="s">
        <v>2356</v>
      </c>
      <c r="I1566" s="37">
        <v>23.677630000000001</v>
      </c>
      <c r="J1566" s="7"/>
      <c r="K1566" s="7" t="str">
        <f>VLOOKUP($E1566,Mapping!$E$11:$I$96,3,0)</f>
        <v>Replacement</v>
      </c>
      <c r="L1566" s="7" t="str">
        <f>VLOOKUP($G1566,Mapping!$E$140:$K$2771,5,0)</f>
        <v>Labour</v>
      </c>
      <c r="M1566" s="7" t="str">
        <f>VLOOKUP($G1566,Mapping!$E$140:$K$2771,7,0)</f>
        <v>ENDirect</v>
      </c>
      <c r="N1566" s="7" t="str">
        <f>IFERROR(HLOOKUP(L1566,'Calc|Weightings'!$K$5:$M$5,1,0),"Excl")</f>
        <v>Labour</v>
      </c>
      <c r="O1566" s="7" t="str">
        <f>VLOOKUP(E1566,Mapping!$E$11:$I$96,5,0)</f>
        <v>SCS</v>
      </c>
      <c r="Q1566" s="33">
        <v>168</v>
      </c>
      <c r="R1566" s="33" t="s">
        <v>2176</v>
      </c>
      <c r="S1566" s="33">
        <v>531201</v>
      </c>
      <c r="T1566" s="33" t="s">
        <v>251</v>
      </c>
      <c r="U1566" s="34">
        <v>2.0670000000000002</v>
      </c>
      <c r="V1566" s="7"/>
      <c r="W1566" s="7" t="str">
        <f>VLOOKUP($Q1566,Mapping!$E$11:$I$96,3,0)</f>
        <v>Augmentation</v>
      </c>
      <c r="X1566" s="7" t="str">
        <f>VLOOKUP($S1566,Mapping!$E$140:$K$2771,5,0)</f>
        <v>Contracts</v>
      </c>
      <c r="Y1566" s="7" t="str">
        <f>VLOOKUP($S1566,Mapping!$E$140:$K$2771,7,0)</f>
        <v>ENDirect</v>
      </c>
      <c r="Z1566" s="7" t="str">
        <f>IFERROR(HLOOKUP(X1566,'Calc|Weightings'!$K$5:$M$5,1,0),"Excl")</f>
        <v>Contracts</v>
      </c>
      <c r="AA1566" s="7" t="str">
        <f>VLOOKUP(Q1566,Mapping!$E$11:$I$96,5,0)</f>
        <v>SCS</v>
      </c>
      <c r="AC1566" s="111">
        <v>162</v>
      </c>
      <c r="AD1566" s="111" t="s">
        <v>2172</v>
      </c>
      <c r="AE1566" s="111">
        <v>613576</v>
      </c>
      <c r="AF1566" s="111" t="s">
        <v>1490</v>
      </c>
      <c r="AG1566" s="112">
        <v>15.46496</v>
      </c>
      <c r="AI1566" s="7" t="str">
        <f>VLOOKUP($AC1566,Mapping!$E$11:$I$96,3,0)</f>
        <v>Augmentation</v>
      </c>
      <c r="AJ1566" s="7" t="str">
        <f>VLOOKUP($AE1566,Mapping!$E$140:$K$2771,5,0)</f>
        <v>Labour</v>
      </c>
      <c r="AK1566" s="7" t="str">
        <f>VLOOKUP($AE1566,Mapping!$E$140:$K$2771,7,0)</f>
        <v>ENDirect</v>
      </c>
      <c r="AL1566" s="7" t="str">
        <f>IFERROR(HLOOKUP(AJ1566,'Calc|Weightings'!$K$5:$M$5,1,0),"Excl")</f>
        <v>Labour</v>
      </c>
      <c r="AM1566" s="7" t="str">
        <f>VLOOKUP(AC1566,Mapping!$E$11:$I$96,5,0)</f>
        <v>SCS</v>
      </c>
      <c r="AO1566" s="134">
        <v>168</v>
      </c>
      <c r="AP1566" s="135" t="s">
        <v>2176</v>
      </c>
      <c r="AQ1566" s="135">
        <v>613310</v>
      </c>
      <c r="AR1566" s="135" t="s">
        <v>2095</v>
      </c>
      <c r="AS1566" s="136">
        <v>30.81888</v>
      </c>
      <c r="AU1566" s="7" t="str">
        <f>VLOOKUP($AO1566,Mapping!$E$11:$I$96,3,0)</f>
        <v>Augmentation</v>
      </c>
      <c r="AV1566" s="7" t="str">
        <f>VLOOKUP($AQ1566,Mapping!$E$140:$K$2771,5,0)</f>
        <v>Labour</v>
      </c>
      <c r="AW1566" s="7" t="str">
        <f>VLOOKUP($AQ1566,Mapping!$E$140:$K$2771,7,0)</f>
        <v>ENDirect</v>
      </c>
      <c r="AX1566" s="7" t="str">
        <f>IFERROR(HLOOKUP(AV1566,'Calc|Weightings'!$K$5:$M$5,1,0),"Excl")</f>
        <v>Labour</v>
      </c>
      <c r="AY1566" s="7" t="str">
        <f>VLOOKUP(AO1566,Mapping!$E$11:$I$96,5,0)</f>
        <v>SCS</v>
      </c>
    </row>
    <row r="1567" spans="1:51" x14ac:dyDescent="0.2">
      <c r="A1567" s="7"/>
      <c r="B1567" s="7"/>
      <c r="C1567" s="7"/>
      <c r="D1567" s="7"/>
      <c r="E1567" s="36">
        <v>155</v>
      </c>
      <c r="F1567" s="36" t="s">
        <v>2164</v>
      </c>
      <c r="G1567" s="36">
        <v>613259</v>
      </c>
      <c r="H1567" s="36" t="s">
        <v>2359</v>
      </c>
      <c r="I1567" s="37">
        <v>4.1872499999999997</v>
      </c>
      <c r="J1567" s="7"/>
      <c r="K1567" s="7" t="str">
        <f>VLOOKUP($E1567,Mapping!$E$11:$I$96,3,0)</f>
        <v>Replacement</v>
      </c>
      <c r="L1567" s="7" t="str">
        <f>VLOOKUP($G1567,Mapping!$E$140:$K$2771,5,0)</f>
        <v>Labour</v>
      </c>
      <c r="M1567" s="7" t="str">
        <f>VLOOKUP($G1567,Mapping!$E$140:$K$2771,7,0)</f>
        <v>ENDirect</v>
      </c>
      <c r="N1567" s="7" t="str">
        <f>IFERROR(HLOOKUP(L1567,'Calc|Weightings'!$K$5:$M$5,1,0),"Excl")</f>
        <v>Labour</v>
      </c>
      <c r="O1567" s="7" t="str">
        <f>VLOOKUP(E1567,Mapping!$E$11:$I$96,5,0)</f>
        <v>SCS</v>
      </c>
      <c r="Q1567" s="33">
        <v>168</v>
      </c>
      <c r="R1567" s="33" t="s">
        <v>2176</v>
      </c>
      <c r="S1567" s="33">
        <v>531464</v>
      </c>
      <c r="T1567" s="33" t="s">
        <v>256</v>
      </c>
      <c r="U1567" s="34">
        <v>4.7975000000000003</v>
      </c>
      <c r="V1567" s="7"/>
      <c r="W1567" s="7" t="str">
        <f>VLOOKUP($Q1567,Mapping!$E$11:$I$96,3,0)</f>
        <v>Augmentation</v>
      </c>
      <c r="X1567" s="7" t="str">
        <f>VLOOKUP($S1567,Mapping!$E$140:$K$2771,5,0)</f>
        <v>Contracts</v>
      </c>
      <c r="Y1567" s="7" t="str">
        <f>VLOOKUP($S1567,Mapping!$E$140:$K$2771,7,0)</f>
        <v>ENDirect</v>
      </c>
      <c r="Z1567" s="7" t="str">
        <f>IFERROR(HLOOKUP(X1567,'Calc|Weightings'!$K$5:$M$5,1,0),"Excl")</f>
        <v>Contracts</v>
      </c>
      <c r="AA1567" s="7" t="str">
        <f>VLOOKUP(Q1567,Mapping!$E$11:$I$96,5,0)</f>
        <v>SCS</v>
      </c>
      <c r="AC1567" s="111">
        <v>162</v>
      </c>
      <c r="AD1567" s="111" t="s">
        <v>2172</v>
      </c>
      <c r="AE1567" s="111">
        <v>613602</v>
      </c>
      <c r="AF1567" s="111" t="s">
        <v>1494</v>
      </c>
      <c r="AG1567" s="112">
        <v>0.27616000000000002</v>
      </c>
      <c r="AI1567" s="7" t="str">
        <f>VLOOKUP($AC1567,Mapping!$E$11:$I$96,3,0)</f>
        <v>Augmentation</v>
      </c>
      <c r="AJ1567" s="7" t="str">
        <f>VLOOKUP($AE1567,Mapping!$E$140:$K$2771,5,0)</f>
        <v>Labour</v>
      </c>
      <c r="AK1567" s="7" t="str">
        <f>VLOOKUP($AE1567,Mapping!$E$140:$K$2771,7,0)</f>
        <v>ENDirect</v>
      </c>
      <c r="AL1567" s="7" t="str">
        <f>IFERROR(HLOOKUP(AJ1567,'Calc|Weightings'!$K$5:$M$5,1,0),"Excl")</f>
        <v>Labour</v>
      </c>
      <c r="AM1567" s="7" t="str">
        <f>VLOOKUP(AC1567,Mapping!$E$11:$I$96,5,0)</f>
        <v>SCS</v>
      </c>
      <c r="AO1567" s="134">
        <v>168</v>
      </c>
      <c r="AP1567" s="135" t="s">
        <v>2176</v>
      </c>
      <c r="AQ1567" s="135">
        <v>613311</v>
      </c>
      <c r="AR1567" s="135" t="s">
        <v>2116</v>
      </c>
      <c r="AS1567" s="136">
        <v>1.4639200000000001</v>
      </c>
      <c r="AU1567" s="7" t="str">
        <f>VLOOKUP($AO1567,Mapping!$E$11:$I$96,3,0)</f>
        <v>Augmentation</v>
      </c>
      <c r="AV1567" s="7" t="str">
        <f>VLOOKUP($AQ1567,Mapping!$E$140:$K$2771,5,0)</f>
        <v>Labour</v>
      </c>
      <c r="AW1567" s="7" t="str">
        <f>VLOOKUP($AQ1567,Mapping!$E$140:$K$2771,7,0)</f>
        <v>ENDirect</v>
      </c>
      <c r="AX1567" s="7" t="str">
        <f>IFERROR(HLOOKUP(AV1567,'Calc|Weightings'!$K$5:$M$5,1,0),"Excl")</f>
        <v>Labour</v>
      </c>
      <c r="AY1567" s="7" t="str">
        <f>VLOOKUP(AO1567,Mapping!$E$11:$I$96,5,0)</f>
        <v>SCS</v>
      </c>
    </row>
    <row r="1568" spans="1:51" x14ac:dyDescent="0.2">
      <c r="A1568" s="7"/>
      <c r="B1568" s="7"/>
      <c r="C1568" s="7"/>
      <c r="D1568" s="7"/>
      <c r="E1568" s="36">
        <v>155</v>
      </c>
      <c r="F1568" s="36" t="s">
        <v>2164</v>
      </c>
      <c r="G1568" s="36">
        <v>613268</v>
      </c>
      <c r="H1568" s="36" t="s">
        <v>1335</v>
      </c>
      <c r="I1568" s="37">
        <v>0.86526999999999998</v>
      </c>
      <c r="J1568" s="7"/>
      <c r="K1568" s="7" t="str">
        <f>VLOOKUP($E1568,Mapping!$E$11:$I$96,3,0)</f>
        <v>Replacement</v>
      </c>
      <c r="L1568" s="7" t="str">
        <f>VLOOKUP($G1568,Mapping!$E$140:$K$2771,5,0)</f>
        <v>Labour</v>
      </c>
      <c r="M1568" s="7" t="str">
        <f>VLOOKUP($G1568,Mapping!$E$140:$K$2771,7,0)</f>
        <v>ENDirect</v>
      </c>
      <c r="N1568" s="7" t="str">
        <f>IFERROR(HLOOKUP(L1568,'Calc|Weightings'!$K$5:$M$5,1,0),"Excl")</f>
        <v>Labour</v>
      </c>
      <c r="O1568" s="7" t="str">
        <f>VLOOKUP(E1568,Mapping!$E$11:$I$96,5,0)</f>
        <v>SCS</v>
      </c>
      <c r="Q1568" s="33">
        <v>168</v>
      </c>
      <c r="R1568" s="33" t="s">
        <v>2176</v>
      </c>
      <c r="S1568" s="33">
        <v>531467</v>
      </c>
      <c r="T1568" s="33" t="s">
        <v>259</v>
      </c>
      <c r="U1568" s="34">
        <v>2.1835900000000001</v>
      </c>
      <c r="V1568" s="7"/>
      <c r="W1568" s="7" t="str">
        <f>VLOOKUP($Q1568,Mapping!$E$11:$I$96,3,0)</f>
        <v>Augmentation</v>
      </c>
      <c r="X1568" s="7" t="str">
        <f>VLOOKUP($S1568,Mapping!$E$140:$K$2771,5,0)</f>
        <v>Contracts</v>
      </c>
      <c r="Y1568" s="7" t="str">
        <f>VLOOKUP($S1568,Mapping!$E$140:$K$2771,7,0)</f>
        <v>ENDirect</v>
      </c>
      <c r="Z1568" s="7" t="str">
        <f>IFERROR(HLOOKUP(X1568,'Calc|Weightings'!$K$5:$M$5,1,0),"Excl")</f>
        <v>Contracts</v>
      </c>
      <c r="AA1568" s="7" t="str">
        <f>VLOOKUP(Q1568,Mapping!$E$11:$I$96,5,0)</f>
        <v>SCS</v>
      </c>
      <c r="AC1568" s="111">
        <v>162</v>
      </c>
      <c r="AD1568" s="111" t="s">
        <v>2172</v>
      </c>
      <c r="AE1568" s="111">
        <v>613630</v>
      </c>
      <c r="AF1568" s="111" t="s">
        <v>1498</v>
      </c>
      <c r="AG1568" s="112">
        <v>65.275850000000005</v>
      </c>
      <c r="AI1568" s="7" t="str">
        <f>VLOOKUP($AC1568,Mapping!$E$11:$I$96,3,0)</f>
        <v>Augmentation</v>
      </c>
      <c r="AJ1568" s="7" t="str">
        <f>VLOOKUP($AE1568,Mapping!$E$140:$K$2771,5,0)</f>
        <v>Labour</v>
      </c>
      <c r="AK1568" s="7" t="str">
        <f>VLOOKUP($AE1568,Mapping!$E$140:$K$2771,7,0)</f>
        <v>ENDirect</v>
      </c>
      <c r="AL1568" s="7" t="str">
        <f>IFERROR(HLOOKUP(AJ1568,'Calc|Weightings'!$K$5:$M$5,1,0),"Excl")</f>
        <v>Labour</v>
      </c>
      <c r="AM1568" s="7" t="str">
        <f>VLOOKUP(AC1568,Mapping!$E$11:$I$96,5,0)</f>
        <v>SCS</v>
      </c>
      <c r="AO1568" s="134">
        <v>168</v>
      </c>
      <c r="AP1568" s="135" t="s">
        <v>2176</v>
      </c>
      <c r="AQ1568" s="135">
        <v>613360</v>
      </c>
      <c r="AR1568" s="135" t="s">
        <v>2097</v>
      </c>
      <c r="AS1568" s="136">
        <v>10.91175</v>
      </c>
      <c r="AU1568" s="7" t="str">
        <f>VLOOKUP($AO1568,Mapping!$E$11:$I$96,3,0)</f>
        <v>Augmentation</v>
      </c>
      <c r="AV1568" s="7" t="str">
        <f>VLOOKUP($AQ1568,Mapping!$E$140:$K$2771,5,0)</f>
        <v>Labour</v>
      </c>
      <c r="AW1568" s="7" t="str">
        <f>VLOOKUP($AQ1568,Mapping!$E$140:$K$2771,7,0)</f>
        <v>ENDirect</v>
      </c>
      <c r="AX1568" s="7" t="str">
        <f>IFERROR(HLOOKUP(AV1568,'Calc|Weightings'!$K$5:$M$5,1,0),"Excl")</f>
        <v>Labour</v>
      </c>
      <c r="AY1568" s="7" t="str">
        <f>VLOOKUP(AO1568,Mapping!$E$11:$I$96,5,0)</f>
        <v>SCS</v>
      </c>
    </row>
    <row r="1569" spans="1:51" x14ac:dyDescent="0.2">
      <c r="A1569" s="7"/>
      <c r="B1569" s="7"/>
      <c r="C1569" s="7"/>
      <c r="D1569" s="7"/>
      <c r="E1569" s="36">
        <v>155</v>
      </c>
      <c r="F1569" s="36" t="s">
        <v>2164</v>
      </c>
      <c r="G1569" s="36">
        <v>613270</v>
      </c>
      <c r="H1569" s="36" t="s">
        <v>2092</v>
      </c>
      <c r="I1569" s="37">
        <v>0.90993999999999997</v>
      </c>
      <c r="J1569" s="7"/>
      <c r="K1569" s="7" t="str">
        <f>VLOOKUP($E1569,Mapping!$E$11:$I$96,3,0)</f>
        <v>Replacement</v>
      </c>
      <c r="L1569" s="7" t="str">
        <f>VLOOKUP($G1569,Mapping!$E$140:$K$2771,5,0)</f>
        <v>Labour</v>
      </c>
      <c r="M1569" s="7" t="str">
        <f>VLOOKUP($G1569,Mapping!$E$140:$K$2771,7,0)</f>
        <v>ENDirect</v>
      </c>
      <c r="N1569" s="7" t="str">
        <f>IFERROR(HLOOKUP(L1569,'Calc|Weightings'!$K$5:$M$5,1,0),"Excl")</f>
        <v>Labour</v>
      </c>
      <c r="O1569" s="7" t="str">
        <f>VLOOKUP(E1569,Mapping!$E$11:$I$96,5,0)</f>
        <v>SCS</v>
      </c>
      <c r="Q1569" s="33">
        <v>168</v>
      </c>
      <c r="R1569" s="33" t="s">
        <v>2176</v>
      </c>
      <c r="S1569" s="33">
        <v>531468</v>
      </c>
      <c r="T1569" s="33" t="s">
        <v>260</v>
      </c>
      <c r="U1569" s="34">
        <v>3.3115000000000001</v>
      </c>
      <c r="V1569" s="7"/>
      <c r="W1569" s="7" t="str">
        <f>VLOOKUP($Q1569,Mapping!$E$11:$I$96,3,0)</f>
        <v>Augmentation</v>
      </c>
      <c r="X1569" s="7" t="str">
        <f>VLOOKUP($S1569,Mapping!$E$140:$K$2771,5,0)</f>
        <v>Contracts</v>
      </c>
      <c r="Y1569" s="7" t="str">
        <f>VLOOKUP($S1569,Mapping!$E$140:$K$2771,7,0)</f>
        <v>ENDirect</v>
      </c>
      <c r="Z1569" s="7" t="str">
        <f>IFERROR(HLOOKUP(X1569,'Calc|Weightings'!$K$5:$M$5,1,0),"Excl")</f>
        <v>Contracts</v>
      </c>
      <c r="AA1569" s="7" t="str">
        <f>VLOOKUP(Q1569,Mapping!$E$11:$I$96,5,0)</f>
        <v>SCS</v>
      </c>
      <c r="AC1569" s="111">
        <v>162</v>
      </c>
      <c r="AD1569" s="111" t="s">
        <v>2172</v>
      </c>
      <c r="AE1569" s="111">
        <v>613640</v>
      </c>
      <c r="AF1569" s="111" t="s">
        <v>2201</v>
      </c>
      <c r="AG1569" s="112">
        <v>0.65371000000000001</v>
      </c>
      <c r="AI1569" s="7" t="str">
        <f>VLOOKUP($AC1569,Mapping!$E$11:$I$96,3,0)</f>
        <v>Augmentation</v>
      </c>
      <c r="AJ1569" s="7" t="str">
        <f>VLOOKUP($AE1569,Mapping!$E$140:$K$2771,5,0)</f>
        <v>Labour</v>
      </c>
      <c r="AK1569" s="7" t="str">
        <f>VLOOKUP($AE1569,Mapping!$E$140:$K$2771,7,0)</f>
        <v>ENDirect</v>
      </c>
      <c r="AL1569" s="7" t="str">
        <f>IFERROR(HLOOKUP(AJ1569,'Calc|Weightings'!$K$5:$M$5,1,0),"Excl")</f>
        <v>Labour</v>
      </c>
      <c r="AM1569" s="7" t="str">
        <f>VLOOKUP(AC1569,Mapping!$E$11:$I$96,5,0)</f>
        <v>SCS</v>
      </c>
      <c r="AO1569" s="134">
        <v>168</v>
      </c>
      <c r="AP1569" s="135" t="s">
        <v>2176</v>
      </c>
      <c r="AQ1569" s="135">
        <v>613362</v>
      </c>
      <c r="AR1569" s="135" t="s">
        <v>1396</v>
      </c>
      <c r="AS1569" s="136">
        <v>15.866899999999999</v>
      </c>
      <c r="AU1569" s="7" t="str">
        <f>VLOOKUP($AO1569,Mapping!$E$11:$I$96,3,0)</f>
        <v>Augmentation</v>
      </c>
      <c r="AV1569" s="7" t="str">
        <f>VLOOKUP($AQ1569,Mapping!$E$140:$K$2771,5,0)</f>
        <v>Labour</v>
      </c>
      <c r="AW1569" s="7" t="str">
        <f>VLOOKUP($AQ1569,Mapping!$E$140:$K$2771,7,0)</f>
        <v>ENDirect</v>
      </c>
      <c r="AX1569" s="7" t="str">
        <f>IFERROR(HLOOKUP(AV1569,'Calc|Weightings'!$K$5:$M$5,1,0),"Excl")</f>
        <v>Labour</v>
      </c>
      <c r="AY1569" s="7" t="str">
        <f>VLOOKUP(AO1569,Mapping!$E$11:$I$96,5,0)</f>
        <v>SCS</v>
      </c>
    </row>
    <row r="1570" spans="1:51" x14ac:dyDescent="0.2">
      <c r="A1570" s="7"/>
      <c r="B1570" s="7"/>
      <c r="C1570" s="7"/>
      <c r="D1570" s="7"/>
      <c r="E1570" s="36">
        <v>155</v>
      </c>
      <c r="F1570" s="36" t="s">
        <v>2164</v>
      </c>
      <c r="G1570" s="36">
        <v>613278</v>
      </c>
      <c r="H1570" s="36" t="s">
        <v>2357</v>
      </c>
      <c r="I1570" s="37">
        <v>18.440919999999998</v>
      </c>
      <c r="J1570" s="7"/>
      <c r="K1570" s="7" t="str">
        <f>VLOOKUP($E1570,Mapping!$E$11:$I$96,3,0)</f>
        <v>Replacement</v>
      </c>
      <c r="L1570" s="7" t="str">
        <f>VLOOKUP($G1570,Mapping!$E$140:$K$2771,5,0)</f>
        <v>Labour</v>
      </c>
      <c r="M1570" s="7" t="str">
        <f>VLOOKUP($G1570,Mapping!$E$140:$K$2771,7,0)</f>
        <v>ENDirect</v>
      </c>
      <c r="N1570" s="7" t="str">
        <f>IFERROR(HLOOKUP(L1570,'Calc|Weightings'!$K$5:$M$5,1,0),"Excl")</f>
        <v>Labour</v>
      </c>
      <c r="O1570" s="7" t="str">
        <f>VLOOKUP(E1570,Mapping!$E$11:$I$96,5,0)</f>
        <v>SCS</v>
      </c>
      <c r="Q1570" s="33">
        <v>168</v>
      </c>
      <c r="R1570" s="33" t="s">
        <v>2176</v>
      </c>
      <c r="S1570" s="33">
        <v>531469</v>
      </c>
      <c r="T1570" s="33" t="s">
        <v>261</v>
      </c>
      <c r="U1570" s="34">
        <v>812.85235999999998</v>
      </c>
      <c r="V1570" s="7"/>
      <c r="W1570" s="7" t="str">
        <f>VLOOKUP($Q1570,Mapping!$E$11:$I$96,3,0)</f>
        <v>Augmentation</v>
      </c>
      <c r="X1570" s="7" t="str">
        <f>VLOOKUP($S1570,Mapping!$E$140:$K$2771,5,0)</f>
        <v>Labour</v>
      </c>
      <c r="Y1570" s="7" t="str">
        <f>VLOOKUP($S1570,Mapping!$E$140:$K$2771,7,0)</f>
        <v>ENDirect</v>
      </c>
      <c r="Z1570" s="7" t="str">
        <f>IFERROR(HLOOKUP(X1570,'Calc|Weightings'!$K$5:$M$5,1,0),"Excl")</f>
        <v>Labour</v>
      </c>
      <c r="AA1570" s="7" t="str">
        <f>VLOOKUP(Q1570,Mapping!$E$11:$I$96,5,0)</f>
        <v>SCS</v>
      </c>
      <c r="AC1570" s="111">
        <v>162</v>
      </c>
      <c r="AD1570" s="111" t="s">
        <v>2172</v>
      </c>
      <c r="AE1570" s="111">
        <v>613641</v>
      </c>
      <c r="AF1570" s="111" t="s">
        <v>2199</v>
      </c>
      <c r="AG1570" s="112">
        <v>5.6520000000000001E-2</v>
      </c>
      <c r="AI1570" s="7" t="str">
        <f>VLOOKUP($AC1570,Mapping!$E$11:$I$96,3,0)</f>
        <v>Augmentation</v>
      </c>
      <c r="AJ1570" s="7" t="str">
        <f>VLOOKUP($AE1570,Mapping!$E$140:$K$2771,5,0)</f>
        <v>Labour</v>
      </c>
      <c r="AK1570" s="7" t="str">
        <f>VLOOKUP($AE1570,Mapping!$E$140:$K$2771,7,0)</f>
        <v>ENDirect</v>
      </c>
      <c r="AL1570" s="7" t="str">
        <f>IFERROR(HLOOKUP(AJ1570,'Calc|Weightings'!$K$5:$M$5,1,0),"Excl")</f>
        <v>Labour</v>
      </c>
      <c r="AM1570" s="7" t="str">
        <f>VLOOKUP(AC1570,Mapping!$E$11:$I$96,5,0)</f>
        <v>SCS</v>
      </c>
      <c r="AO1570" s="134">
        <v>168</v>
      </c>
      <c r="AP1570" s="135" t="s">
        <v>2176</v>
      </c>
      <c r="AQ1570" s="135">
        <v>613400</v>
      </c>
      <c r="AR1570" s="135" t="s">
        <v>2099</v>
      </c>
      <c r="AS1570" s="136">
        <v>10.03464</v>
      </c>
      <c r="AU1570" s="7" t="str">
        <f>VLOOKUP($AO1570,Mapping!$E$11:$I$96,3,0)</f>
        <v>Augmentation</v>
      </c>
      <c r="AV1570" s="7" t="str">
        <f>VLOOKUP($AQ1570,Mapping!$E$140:$K$2771,5,0)</f>
        <v>Labour</v>
      </c>
      <c r="AW1570" s="7" t="str">
        <f>VLOOKUP($AQ1570,Mapping!$E$140:$K$2771,7,0)</f>
        <v>ENDirect</v>
      </c>
      <c r="AX1570" s="7" t="str">
        <f>IFERROR(HLOOKUP(AV1570,'Calc|Weightings'!$K$5:$M$5,1,0),"Excl")</f>
        <v>Labour</v>
      </c>
      <c r="AY1570" s="7" t="str">
        <f>VLOOKUP(AO1570,Mapping!$E$11:$I$96,5,0)</f>
        <v>SCS</v>
      </c>
    </row>
    <row r="1571" spans="1:51" x14ac:dyDescent="0.2">
      <c r="A1571" s="7"/>
      <c r="B1571" s="7"/>
      <c r="C1571" s="7"/>
      <c r="D1571" s="7"/>
      <c r="E1571" s="36">
        <v>155</v>
      </c>
      <c r="F1571" s="36" t="s">
        <v>2164</v>
      </c>
      <c r="G1571" s="36">
        <v>613279</v>
      </c>
      <c r="H1571" s="36" t="s">
        <v>2360</v>
      </c>
      <c r="I1571" s="37">
        <v>8.1292399999999994</v>
      </c>
      <c r="J1571" s="7"/>
      <c r="K1571" s="7" t="str">
        <f>VLOOKUP($E1571,Mapping!$E$11:$I$96,3,0)</f>
        <v>Replacement</v>
      </c>
      <c r="L1571" s="7" t="str">
        <f>VLOOKUP($G1571,Mapping!$E$140:$K$2771,5,0)</f>
        <v>Labour</v>
      </c>
      <c r="M1571" s="7" t="str">
        <f>VLOOKUP($G1571,Mapping!$E$140:$K$2771,7,0)</f>
        <v>ENDirect</v>
      </c>
      <c r="N1571" s="7" t="str">
        <f>IFERROR(HLOOKUP(L1571,'Calc|Weightings'!$K$5:$M$5,1,0),"Excl")</f>
        <v>Labour</v>
      </c>
      <c r="O1571" s="7" t="str">
        <f>VLOOKUP(E1571,Mapping!$E$11:$I$96,5,0)</f>
        <v>SCS</v>
      </c>
      <c r="Q1571" s="33">
        <v>168</v>
      </c>
      <c r="R1571" s="33" t="s">
        <v>2176</v>
      </c>
      <c r="S1571" s="33">
        <v>533000</v>
      </c>
      <c r="T1571" s="33" t="s">
        <v>312</v>
      </c>
      <c r="U1571" s="34">
        <v>24.398820000000001</v>
      </c>
      <c r="V1571" s="7"/>
      <c r="W1571" s="7" t="str">
        <f>VLOOKUP($Q1571,Mapping!$E$11:$I$96,3,0)</f>
        <v>Augmentation</v>
      </c>
      <c r="X1571" s="7" t="str">
        <f>VLOOKUP($S1571,Mapping!$E$140:$K$2771,5,0)</f>
        <v>Contracts</v>
      </c>
      <c r="Y1571" s="7" t="str">
        <f>VLOOKUP($S1571,Mapping!$E$140:$K$2771,7,0)</f>
        <v>ENDirect</v>
      </c>
      <c r="Z1571" s="7" t="str">
        <f>IFERROR(HLOOKUP(X1571,'Calc|Weightings'!$K$5:$M$5,1,0),"Excl")</f>
        <v>Contracts</v>
      </c>
      <c r="AA1571" s="7" t="str">
        <f>VLOOKUP(Q1571,Mapping!$E$11:$I$96,5,0)</f>
        <v>SCS</v>
      </c>
      <c r="AC1571" s="111">
        <v>162</v>
      </c>
      <c r="AD1571" s="111" t="s">
        <v>2172</v>
      </c>
      <c r="AE1571" s="111">
        <v>613680</v>
      </c>
      <c r="AF1571" s="111" t="s">
        <v>2107</v>
      </c>
      <c r="AG1571" s="112">
        <v>437.19483000000002</v>
      </c>
      <c r="AI1571" s="7" t="str">
        <f>VLOOKUP($AC1571,Mapping!$E$11:$I$96,3,0)</f>
        <v>Augmentation</v>
      </c>
      <c r="AJ1571" s="7" t="str">
        <f>VLOOKUP($AE1571,Mapping!$E$140:$K$2771,5,0)</f>
        <v>Labour</v>
      </c>
      <c r="AK1571" s="7" t="str">
        <f>VLOOKUP($AE1571,Mapping!$E$140:$K$2771,7,0)</f>
        <v>ENDirect</v>
      </c>
      <c r="AL1571" s="7" t="str">
        <f>IFERROR(HLOOKUP(AJ1571,'Calc|Weightings'!$K$5:$M$5,1,0),"Excl")</f>
        <v>Labour</v>
      </c>
      <c r="AM1571" s="7" t="str">
        <f>VLOOKUP(AC1571,Mapping!$E$11:$I$96,5,0)</f>
        <v>SCS</v>
      </c>
      <c r="AO1571" s="134">
        <v>168</v>
      </c>
      <c r="AP1571" s="135" t="s">
        <v>2176</v>
      </c>
      <c r="AQ1571" s="135">
        <v>613434</v>
      </c>
      <c r="AR1571" s="135" t="s">
        <v>2102</v>
      </c>
      <c r="AS1571" s="136">
        <v>5.12582</v>
      </c>
      <c r="AU1571" s="7" t="str">
        <f>VLOOKUP($AO1571,Mapping!$E$11:$I$96,3,0)</f>
        <v>Augmentation</v>
      </c>
      <c r="AV1571" s="7" t="str">
        <f>VLOOKUP($AQ1571,Mapping!$E$140:$K$2771,5,0)</f>
        <v>Labour</v>
      </c>
      <c r="AW1571" s="7" t="str">
        <f>VLOOKUP($AQ1571,Mapping!$E$140:$K$2771,7,0)</f>
        <v>ENDirect</v>
      </c>
      <c r="AX1571" s="7" t="str">
        <f>IFERROR(HLOOKUP(AV1571,'Calc|Weightings'!$K$5:$M$5,1,0),"Excl")</f>
        <v>Labour</v>
      </c>
      <c r="AY1571" s="7" t="str">
        <f>VLOOKUP(AO1571,Mapping!$E$11:$I$96,5,0)</f>
        <v>SCS</v>
      </c>
    </row>
    <row r="1572" spans="1:51" x14ac:dyDescent="0.2">
      <c r="A1572" s="7"/>
      <c r="B1572" s="7"/>
      <c r="C1572" s="7"/>
      <c r="D1572" s="7"/>
      <c r="E1572" s="36">
        <v>155</v>
      </c>
      <c r="F1572" s="36" t="s">
        <v>2164</v>
      </c>
      <c r="G1572" s="36">
        <v>613280</v>
      </c>
      <c r="H1572" s="36" t="s">
        <v>1342</v>
      </c>
      <c r="I1572" s="37">
        <v>8.7901500000000006</v>
      </c>
      <c r="J1572" s="7"/>
      <c r="K1572" s="7" t="str">
        <f>VLOOKUP($E1572,Mapping!$E$11:$I$96,3,0)</f>
        <v>Replacement</v>
      </c>
      <c r="L1572" s="7" t="str">
        <f>VLOOKUP($G1572,Mapping!$E$140:$K$2771,5,0)</f>
        <v>Labour</v>
      </c>
      <c r="M1572" s="7" t="str">
        <f>VLOOKUP($G1572,Mapping!$E$140:$K$2771,7,0)</f>
        <v>ENDirect</v>
      </c>
      <c r="N1572" s="7" t="str">
        <f>IFERROR(HLOOKUP(L1572,'Calc|Weightings'!$K$5:$M$5,1,0),"Excl")</f>
        <v>Labour</v>
      </c>
      <c r="O1572" s="7" t="str">
        <f>VLOOKUP(E1572,Mapping!$E$11:$I$96,5,0)</f>
        <v>SCS</v>
      </c>
      <c r="Q1572" s="33">
        <v>168</v>
      </c>
      <c r="R1572" s="33" t="s">
        <v>2176</v>
      </c>
      <c r="S1572" s="33">
        <v>582301</v>
      </c>
      <c r="T1572" s="33" t="s">
        <v>382</v>
      </c>
      <c r="U1572" s="34">
        <v>4.1500000000000004</v>
      </c>
      <c r="V1572" s="7"/>
      <c r="W1572" s="7" t="str">
        <f>VLOOKUP($Q1572,Mapping!$E$11:$I$96,3,0)</f>
        <v>Augmentation</v>
      </c>
      <c r="X1572" s="7" t="str">
        <f>VLOOKUP($S1572,Mapping!$E$140:$K$2771,5,0)</f>
        <v>Contracts</v>
      </c>
      <c r="Y1572" s="7" t="str">
        <f>VLOOKUP($S1572,Mapping!$E$140:$K$2771,7,0)</f>
        <v>ENDirect</v>
      </c>
      <c r="Z1572" s="7" t="str">
        <f>IFERROR(HLOOKUP(X1572,'Calc|Weightings'!$K$5:$M$5,1,0),"Excl")</f>
        <v>Contracts</v>
      </c>
      <c r="AA1572" s="7" t="str">
        <f>VLOOKUP(Q1572,Mapping!$E$11:$I$96,5,0)</f>
        <v>SCS</v>
      </c>
      <c r="AC1572" s="111">
        <v>162</v>
      </c>
      <c r="AD1572" s="111" t="s">
        <v>2172</v>
      </c>
      <c r="AE1572" s="111">
        <v>615395</v>
      </c>
      <c r="AF1572" s="111" t="s">
        <v>2196</v>
      </c>
      <c r="AG1572" s="112">
        <v>5.6421299999999999</v>
      </c>
      <c r="AI1572" s="7" t="str">
        <f>VLOOKUP($AC1572,Mapping!$E$11:$I$96,3,0)</f>
        <v>Augmentation</v>
      </c>
      <c r="AJ1572" s="7" t="str">
        <f>VLOOKUP($AE1572,Mapping!$E$140:$K$2771,5,0)</f>
        <v>Labour</v>
      </c>
      <c r="AK1572" s="7" t="str">
        <f>VLOOKUP($AE1572,Mapping!$E$140:$K$2771,7,0)</f>
        <v>ENDirect</v>
      </c>
      <c r="AL1572" s="7" t="str">
        <f>IFERROR(HLOOKUP(AJ1572,'Calc|Weightings'!$K$5:$M$5,1,0),"Excl")</f>
        <v>Labour</v>
      </c>
      <c r="AM1572" s="7" t="str">
        <f>VLOOKUP(AC1572,Mapping!$E$11:$I$96,5,0)</f>
        <v>SCS</v>
      </c>
      <c r="AO1572" s="134">
        <v>168</v>
      </c>
      <c r="AP1572" s="135" t="s">
        <v>2176</v>
      </c>
      <c r="AQ1572" s="135">
        <v>613440</v>
      </c>
      <c r="AR1572" s="135" t="s">
        <v>2103</v>
      </c>
      <c r="AS1572" s="136">
        <v>4.8821700000000003</v>
      </c>
      <c r="AU1572" s="7" t="str">
        <f>VLOOKUP($AO1572,Mapping!$E$11:$I$96,3,0)</f>
        <v>Augmentation</v>
      </c>
      <c r="AV1572" s="7" t="str">
        <f>VLOOKUP($AQ1572,Mapping!$E$140:$K$2771,5,0)</f>
        <v>Labour</v>
      </c>
      <c r="AW1572" s="7" t="str">
        <f>VLOOKUP($AQ1572,Mapping!$E$140:$K$2771,7,0)</f>
        <v>ENDirect</v>
      </c>
      <c r="AX1572" s="7" t="str">
        <f>IFERROR(HLOOKUP(AV1572,'Calc|Weightings'!$K$5:$M$5,1,0),"Excl")</f>
        <v>Labour</v>
      </c>
      <c r="AY1572" s="7" t="str">
        <f>VLOOKUP(AO1572,Mapping!$E$11:$I$96,5,0)</f>
        <v>SCS</v>
      </c>
    </row>
    <row r="1573" spans="1:51" x14ac:dyDescent="0.2">
      <c r="A1573" s="7"/>
      <c r="B1573" s="7"/>
      <c r="C1573" s="7"/>
      <c r="D1573" s="7"/>
      <c r="E1573" s="36">
        <v>155</v>
      </c>
      <c r="F1573" s="36" t="s">
        <v>2164</v>
      </c>
      <c r="G1573" s="36">
        <v>613290</v>
      </c>
      <c r="H1573" s="36" t="s">
        <v>2093</v>
      </c>
      <c r="I1573" s="37">
        <v>8.6655800000000003</v>
      </c>
      <c r="J1573" s="7"/>
      <c r="K1573" s="7" t="str">
        <f>VLOOKUP($E1573,Mapping!$E$11:$I$96,3,0)</f>
        <v>Replacement</v>
      </c>
      <c r="L1573" s="7" t="str">
        <f>VLOOKUP($G1573,Mapping!$E$140:$K$2771,5,0)</f>
        <v>Labour</v>
      </c>
      <c r="M1573" s="7" t="str">
        <f>VLOOKUP($G1573,Mapping!$E$140:$K$2771,7,0)</f>
        <v>ENDirect</v>
      </c>
      <c r="N1573" s="7" t="str">
        <f>IFERROR(HLOOKUP(L1573,'Calc|Weightings'!$K$5:$M$5,1,0),"Excl")</f>
        <v>Labour</v>
      </c>
      <c r="O1573" s="7" t="str">
        <f>VLOOKUP(E1573,Mapping!$E$11:$I$96,5,0)</f>
        <v>SCS</v>
      </c>
      <c r="Q1573" s="33">
        <v>168</v>
      </c>
      <c r="R1573" s="33" t="s">
        <v>2176</v>
      </c>
      <c r="S1573" s="33">
        <v>591997</v>
      </c>
      <c r="T1573" s="33" t="s">
        <v>399</v>
      </c>
      <c r="U1573" s="34">
        <v>-0.93722000000000005</v>
      </c>
      <c r="V1573" s="7"/>
      <c r="W1573" s="7" t="str">
        <f>VLOOKUP($Q1573,Mapping!$E$11:$I$96,3,0)</f>
        <v>Augmentation</v>
      </c>
      <c r="X1573" s="7" t="str">
        <f>VLOOKUP($S1573,Mapping!$E$140:$K$2771,5,0)</f>
        <v>Contracts</v>
      </c>
      <c r="Y1573" s="7" t="str">
        <f>VLOOKUP($S1573,Mapping!$E$140:$K$2771,7,0)</f>
        <v>ENDirect</v>
      </c>
      <c r="Z1573" s="7" t="str">
        <f>IFERROR(HLOOKUP(X1573,'Calc|Weightings'!$K$5:$M$5,1,0),"Excl")</f>
        <v>Contracts</v>
      </c>
      <c r="AA1573" s="7" t="str">
        <f>VLOOKUP(Q1573,Mapping!$E$11:$I$96,5,0)</f>
        <v>SCS</v>
      </c>
      <c r="AC1573" s="111">
        <v>162</v>
      </c>
      <c r="AD1573" s="111" t="s">
        <v>2172</v>
      </c>
      <c r="AE1573" s="111">
        <v>634001</v>
      </c>
      <c r="AF1573" s="111" t="s">
        <v>2110</v>
      </c>
      <c r="AG1573" s="112">
        <v>320.12186000000003</v>
      </c>
      <c r="AI1573" s="7" t="str">
        <f>VLOOKUP($AC1573,Mapping!$E$11:$I$96,3,0)</f>
        <v>Augmentation</v>
      </c>
      <c r="AJ1573" s="7" t="str">
        <f>VLOOKUP($AE1573,Mapping!$E$140:$K$2771,5,0)</f>
        <v>Local OH</v>
      </c>
      <c r="AK1573" s="7" t="str">
        <f>VLOOKUP($AE1573,Mapping!$E$140:$K$2771,7,0)</f>
        <v>OH</v>
      </c>
      <c r="AL1573" s="7" t="str">
        <f>IFERROR(HLOOKUP(AJ1573,'Calc|Weightings'!$K$5:$M$5,1,0),"Excl")</f>
        <v>Excl</v>
      </c>
      <c r="AM1573" s="7" t="str">
        <f>VLOOKUP(AC1573,Mapping!$E$11:$I$96,5,0)</f>
        <v>SCS</v>
      </c>
      <c r="AO1573" s="134">
        <v>168</v>
      </c>
      <c r="AP1573" s="135" t="s">
        <v>2176</v>
      </c>
      <c r="AQ1573" s="135">
        <v>613441</v>
      </c>
      <c r="AR1573" s="135" t="s">
        <v>2104</v>
      </c>
      <c r="AS1573" s="136">
        <v>8.0860000000000001E-2</v>
      </c>
      <c r="AU1573" s="7" t="str">
        <f>VLOOKUP($AO1573,Mapping!$E$11:$I$96,3,0)</f>
        <v>Augmentation</v>
      </c>
      <c r="AV1573" s="7" t="str">
        <f>VLOOKUP($AQ1573,Mapping!$E$140:$K$2771,5,0)</f>
        <v>Labour</v>
      </c>
      <c r="AW1573" s="7" t="str">
        <f>VLOOKUP($AQ1573,Mapping!$E$140:$K$2771,7,0)</f>
        <v>ENDirect</v>
      </c>
      <c r="AX1573" s="7" t="str">
        <f>IFERROR(HLOOKUP(AV1573,'Calc|Weightings'!$K$5:$M$5,1,0),"Excl")</f>
        <v>Labour</v>
      </c>
      <c r="AY1573" s="7" t="str">
        <f>VLOOKUP(AO1573,Mapping!$E$11:$I$96,5,0)</f>
        <v>SCS</v>
      </c>
    </row>
    <row r="1574" spans="1:51" x14ac:dyDescent="0.2">
      <c r="A1574" s="7"/>
      <c r="B1574" s="7"/>
      <c r="C1574" s="7"/>
      <c r="D1574" s="7"/>
      <c r="E1574" s="36">
        <v>155</v>
      </c>
      <c r="F1574" s="36" t="s">
        <v>2164</v>
      </c>
      <c r="G1574" s="36">
        <v>613318</v>
      </c>
      <c r="H1574" s="36" t="s">
        <v>1360</v>
      </c>
      <c r="I1574" s="37">
        <v>2.6710400000000001</v>
      </c>
      <c r="J1574" s="7"/>
      <c r="K1574" s="7" t="str">
        <f>VLOOKUP($E1574,Mapping!$E$11:$I$96,3,0)</f>
        <v>Replacement</v>
      </c>
      <c r="L1574" s="7" t="str">
        <f>VLOOKUP($G1574,Mapping!$E$140:$K$2771,5,0)</f>
        <v>Labour</v>
      </c>
      <c r="M1574" s="7" t="str">
        <f>VLOOKUP($G1574,Mapping!$E$140:$K$2771,7,0)</f>
        <v>ENDirect</v>
      </c>
      <c r="N1574" s="7" t="str">
        <f>IFERROR(HLOOKUP(L1574,'Calc|Weightings'!$K$5:$M$5,1,0),"Excl")</f>
        <v>Labour</v>
      </c>
      <c r="O1574" s="7" t="str">
        <f>VLOOKUP(E1574,Mapping!$E$11:$I$96,5,0)</f>
        <v>SCS</v>
      </c>
      <c r="Q1574" s="33">
        <v>168</v>
      </c>
      <c r="R1574" s="33" t="s">
        <v>2176</v>
      </c>
      <c r="S1574" s="33">
        <v>591998</v>
      </c>
      <c r="T1574" s="33" t="s">
        <v>2077</v>
      </c>
      <c r="U1574" s="34">
        <v>4.0632799999999998</v>
      </c>
      <c r="V1574" s="7"/>
      <c r="W1574" s="7" t="str">
        <f>VLOOKUP($Q1574,Mapping!$E$11:$I$96,3,0)</f>
        <v>Augmentation</v>
      </c>
      <c r="X1574" s="7" t="str">
        <f>VLOOKUP($S1574,Mapping!$E$140:$K$2771,5,0)</f>
        <v>Contracts</v>
      </c>
      <c r="Y1574" s="7" t="str">
        <f>VLOOKUP($S1574,Mapping!$E$140:$K$2771,7,0)</f>
        <v>ENDirect</v>
      </c>
      <c r="Z1574" s="7" t="str">
        <f>IFERROR(HLOOKUP(X1574,'Calc|Weightings'!$K$5:$M$5,1,0),"Excl")</f>
        <v>Contracts</v>
      </c>
      <c r="AA1574" s="7" t="str">
        <f>VLOOKUP(Q1574,Mapping!$E$11:$I$96,5,0)</f>
        <v>SCS</v>
      </c>
      <c r="AC1574" s="111">
        <v>162</v>
      </c>
      <c r="AD1574" s="111" t="s">
        <v>2172</v>
      </c>
      <c r="AE1574" s="111">
        <v>635001</v>
      </c>
      <c r="AF1574" s="111" t="s">
        <v>1929</v>
      </c>
      <c r="AG1574" s="112">
        <v>195.74707000000001</v>
      </c>
      <c r="AI1574" s="7" t="str">
        <f>VLOOKUP($AC1574,Mapping!$E$11:$I$96,3,0)</f>
        <v>Augmentation</v>
      </c>
      <c r="AJ1574" s="7" t="str">
        <f>VLOOKUP($AE1574,Mapping!$E$140:$K$2771,5,0)</f>
        <v>PNS MG</v>
      </c>
      <c r="AK1574" s="7" t="str">
        <f>VLOOKUP($AE1574,Mapping!$E$140:$K$2771,7,0)</f>
        <v>ENDirect</v>
      </c>
      <c r="AL1574" s="7" t="str">
        <f>IFERROR(HLOOKUP(AJ1574,'Calc|Weightings'!$K$5:$M$5,1,0),"Excl")</f>
        <v>Excl</v>
      </c>
      <c r="AM1574" s="7" t="str">
        <f>VLOOKUP(AC1574,Mapping!$E$11:$I$96,5,0)</f>
        <v>SCS</v>
      </c>
      <c r="AO1574" s="134">
        <v>168</v>
      </c>
      <c r="AP1574" s="135" t="s">
        <v>2176</v>
      </c>
      <c r="AQ1574" s="135">
        <v>613460</v>
      </c>
      <c r="AR1574" s="135" t="s">
        <v>2167</v>
      </c>
      <c r="AS1574" s="136">
        <v>22.2912</v>
      </c>
      <c r="AU1574" s="7" t="str">
        <f>VLOOKUP($AO1574,Mapping!$E$11:$I$96,3,0)</f>
        <v>Augmentation</v>
      </c>
      <c r="AV1574" s="7" t="str">
        <f>VLOOKUP($AQ1574,Mapping!$E$140:$K$2771,5,0)</f>
        <v>Labour</v>
      </c>
      <c r="AW1574" s="7" t="str">
        <f>VLOOKUP($AQ1574,Mapping!$E$140:$K$2771,7,0)</f>
        <v>ENDirect</v>
      </c>
      <c r="AX1574" s="7" t="str">
        <f>IFERROR(HLOOKUP(AV1574,'Calc|Weightings'!$K$5:$M$5,1,0),"Excl")</f>
        <v>Labour</v>
      </c>
      <c r="AY1574" s="7" t="str">
        <f>VLOOKUP(AO1574,Mapping!$E$11:$I$96,5,0)</f>
        <v>SCS</v>
      </c>
    </row>
    <row r="1575" spans="1:51" x14ac:dyDescent="0.2">
      <c r="A1575" s="7"/>
      <c r="B1575" s="7"/>
      <c r="C1575" s="7"/>
      <c r="D1575" s="7"/>
      <c r="E1575" s="36">
        <v>155</v>
      </c>
      <c r="F1575" s="36" t="s">
        <v>2164</v>
      </c>
      <c r="G1575" s="36">
        <v>613350</v>
      </c>
      <c r="H1575" s="36" t="s">
        <v>2096</v>
      </c>
      <c r="I1575" s="37">
        <v>0.98348000000000002</v>
      </c>
      <c r="J1575" s="7"/>
      <c r="K1575" s="7" t="str">
        <f>VLOOKUP($E1575,Mapping!$E$11:$I$96,3,0)</f>
        <v>Replacement</v>
      </c>
      <c r="L1575" s="7" t="str">
        <f>VLOOKUP($G1575,Mapping!$E$140:$K$2771,5,0)</f>
        <v>Labour</v>
      </c>
      <c r="M1575" s="7" t="str">
        <f>VLOOKUP($G1575,Mapping!$E$140:$K$2771,7,0)</f>
        <v>ENDirect</v>
      </c>
      <c r="N1575" s="7" t="str">
        <f>IFERROR(HLOOKUP(L1575,'Calc|Weightings'!$K$5:$M$5,1,0),"Excl")</f>
        <v>Labour</v>
      </c>
      <c r="O1575" s="7" t="str">
        <f>VLOOKUP(E1575,Mapping!$E$11:$I$96,5,0)</f>
        <v>SCS</v>
      </c>
      <c r="Q1575" s="33">
        <v>168</v>
      </c>
      <c r="R1575" s="33" t="s">
        <v>2176</v>
      </c>
      <c r="S1575" s="33">
        <v>591999</v>
      </c>
      <c r="T1575" s="33" t="s">
        <v>2078</v>
      </c>
      <c r="U1575" s="34">
        <v>-4.0428600000000001</v>
      </c>
      <c r="V1575" s="7"/>
      <c r="W1575" s="7" t="str">
        <f>VLOOKUP($Q1575,Mapping!$E$11:$I$96,3,0)</f>
        <v>Augmentation</v>
      </c>
      <c r="X1575" s="7" t="str">
        <f>VLOOKUP($S1575,Mapping!$E$140:$K$2771,5,0)</f>
        <v>Contracts</v>
      </c>
      <c r="Y1575" s="7" t="str">
        <f>VLOOKUP($S1575,Mapping!$E$140:$K$2771,7,0)</f>
        <v>ENDirect</v>
      </c>
      <c r="Z1575" s="7" t="str">
        <f>IFERROR(HLOOKUP(X1575,'Calc|Weightings'!$K$5:$M$5,1,0),"Excl")</f>
        <v>Contracts</v>
      </c>
      <c r="AA1575" s="7" t="str">
        <f>VLOOKUP(Q1575,Mapping!$E$11:$I$96,5,0)</f>
        <v>SCS</v>
      </c>
      <c r="AC1575" s="111">
        <v>162</v>
      </c>
      <c r="AD1575" s="111" t="s">
        <v>2172</v>
      </c>
      <c r="AE1575" s="111">
        <v>636001</v>
      </c>
      <c r="AF1575" s="111" t="s">
        <v>2111</v>
      </c>
      <c r="AG1575" s="112">
        <v>225.29049000000001</v>
      </c>
      <c r="AI1575" s="7" t="str">
        <f>VLOOKUP($AC1575,Mapping!$E$11:$I$96,3,0)</f>
        <v>Augmentation</v>
      </c>
      <c r="AJ1575" s="7" t="str">
        <f>VLOOKUP($AE1575,Mapping!$E$140:$K$2771,5,0)</f>
        <v>System Control OH</v>
      </c>
      <c r="AK1575" s="7" t="str">
        <f>VLOOKUP($AE1575,Mapping!$E$140:$K$2771,7,0)</f>
        <v>OH</v>
      </c>
      <c r="AL1575" s="7" t="str">
        <f>IFERROR(HLOOKUP(AJ1575,'Calc|Weightings'!$K$5:$M$5,1,0),"Excl")</f>
        <v>Excl</v>
      </c>
      <c r="AM1575" s="7" t="str">
        <f>VLOOKUP(AC1575,Mapping!$E$11:$I$96,5,0)</f>
        <v>SCS</v>
      </c>
      <c r="AO1575" s="134">
        <v>168</v>
      </c>
      <c r="AP1575" s="135" t="s">
        <v>2176</v>
      </c>
      <c r="AQ1575" s="135">
        <v>613461</v>
      </c>
      <c r="AR1575" s="135" t="s">
        <v>2168</v>
      </c>
      <c r="AS1575" s="136">
        <v>0.16674</v>
      </c>
      <c r="AU1575" s="7" t="str">
        <f>VLOOKUP($AO1575,Mapping!$E$11:$I$96,3,0)</f>
        <v>Augmentation</v>
      </c>
      <c r="AV1575" s="7" t="str">
        <f>VLOOKUP($AQ1575,Mapping!$E$140:$K$2771,5,0)</f>
        <v>Labour</v>
      </c>
      <c r="AW1575" s="7" t="str">
        <f>VLOOKUP($AQ1575,Mapping!$E$140:$K$2771,7,0)</f>
        <v>ENDirect</v>
      </c>
      <c r="AX1575" s="7" t="str">
        <f>IFERROR(HLOOKUP(AV1575,'Calc|Weightings'!$K$5:$M$5,1,0),"Excl")</f>
        <v>Labour</v>
      </c>
      <c r="AY1575" s="7" t="str">
        <f>VLOOKUP(AO1575,Mapping!$E$11:$I$96,5,0)</f>
        <v>SCS</v>
      </c>
    </row>
    <row r="1576" spans="1:51" x14ac:dyDescent="0.2">
      <c r="A1576" s="7"/>
      <c r="B1576" s="7"/>
      <c r="C1576" s="7"/>
      <c r="D1576" s="7"/>
      <c r="E1576" s="36">
        <v>155</v>
      </c>
      <c r="F1576" s="36" t="s">
        <v>2164</v>
      </c>
      <c r="G1576" s="36">
        <v>613351</v>
      </c>
      <c r="H1576" s="36" t="s">
        <v>2151</v>
      </c>
      <c r="I1576" s="37">
        <v>8.6150000000000004E-2</v>
      </c>
      <c r="J1576" s="7"/>
      <c r="K1576" s="7" t="str">
        <f>VLOOKUP($E1576,Mapping!$E$11:$I$96,3,0)</f>
        <v>Replacement</v>
      </c>
      <c r="L1576" s="7" t="str">
        <f>VLOOKUP($G1576,Mapping!$E$140:$K$2771,5,0)</f>
        <v>Labour</v>
      </c>
      <c r="M1576" s="7" t="str">
        <f>VLOOKUP($G1576,Mapping!$E$140:$K$2771,7,0)</f>
        <v>ENDirect</v>
      </c>
      <c r="N1576" s="7" t="str">
        <f>IFERROR(HLOOKUP(L1576,'Calc|Weightings'!$K$5:$M$5,1,0),"Excl")</f>
        <v>Labour</v>
      </c>
      <c r="O1576" s="7" t="str">
        <f>VLOOKUP(E1576,Mapping!$E$11:$I$96,5,0)</f>
        <v>SCS</v>
      </c>
      <c r="Q1576" s="33">
        <v>168</v>
      </c>
      <c r="R1576" s="33" t="s">
        <v>2176</v>
      </c>
      <c r="S1576" s="33">
        <v>611900</v>
      </c>
      <c r="T1576" s="33" t="s">
        <v>2079</v>
      </c>
      <c r="U1576" s="34">
        <v>1.7827999999999999</v>
      </c>
      <c r="V1576" s="7"/>
      <c r="W1576" s="7" t="str">
        <f>VLOOKUP($Q1576,Mapping!$E$11:$I$96,3,0)</f>
        <v>Augmentation</v>
      </c>
      <c r="X1576" s="7" t="str">
        <f>VLOOKUP($S1576,Mapping!$E$140:$K$2771,5,0)</f>
        <v>Contracts</v>
      </c>
      <c r="Y1576" s="7" t="str">
        <f>VLOOKUP($S1576,Mapping!$E$140:$K$2771,7,0)</f>
        <v>ENDirect</v>
      </c>
      <c r="Z1576" s="7" t="str">
        <f>IFERROR(HLOOKUP(X1576,'Calc|Weightings'!$K$5:$M$5,1,0),"Excl")</f>
        <v>Contracts</v>
      </c>
      <c r="AA1576" s="7" t="str">
        <f>VLOOKUP(Q1576,Mapping!$E$11:$I$96,5,0)</f>
        <v>SCS</v>
      </c>
      <c r="AC1576" s="111">
        <v>162</v>
      </c>
      <c r="AD1576" s="111" t="s">
        <v>2172</v>
      </c>
      <c r="AE1576" s="111">
        <v>639000</v>
      </c>
      <c r="AF1576" s="111" t="s">
        <v>2112</v>
      </c>
      <c r="AG1576" s="112">
        <v>218.81689</v>
      </c>
      <c r="AI1576" s="7" t="str">
        <f>VLOOKUP($AC1576,Mapping!$E$11:$I$96,3,0)</f>
        <v>Augmentation</v>
      </c>
      <c r="AJ1576" s="7" t="str">
        <f>VLOOKUP($AE1576,Mapping!$E$140:$K$2771,5,0)</f>
        <v>PNS Corporate OH</v>
      </c>
      <c r="AK1576" s="7" t="str">
        <f>VLOOKUP($AE1576,Mapping!$E$140:$K$2771,7,0)</f>
        <v>OH</v>
      </c>
      <c r="AL1576" s="7" t="str">
        <f>IFERROR(HLOOKUP(AJ1576,'Calc|Weightings'!$K$5:$M$5,1,0),"Excl")</f>
        <v>Excl</v>
      </c>
      <c r="AM1576" s="7" t="str">
        <f>VLOOKUP(AC1576,Mapping!$E$11:$I$96,5,0)</f>
        <v>SCS</v>
      </c>
      <c r="AO1576" s="134">
        <v>168</v>
      </c>
      <c r="AP1576" s="135" t="s">
        <v>2176</v>
      </c>
      <c r="AQ1576" s="135">
        <v>613566</v>
      </c>
      <c r="AR1576" s="135" t="s">
        <v>1482</v>
      </c>
      <c r="AS1576" s="136">
        <v>8.2913800000000002</v>
      </c>
      <c r="AU1576" s="7" t="str">
        <f>VLOOKUP($AO1576,Mapping!$E$11:$I$96,3,0)</f>
        <v>Augmentation</v>
      </c>
      <c r="AV1576" s="7" t="str">
        <f>VLOOKUP($AQ1576,Mapping!$E$140:$K$2771,5,0)</f>
        <v>Labour</v>
      </c>
      <c r="AW1576" s="7" t="str">
        <f>VLOOKUP($AQ1576,Mapping!$E$140:$K$2771,7,0)</f>
        <v>ENDirect</v>
      </c>
      <c r="AX1576" s="7" t="str">
        <f>IFERROR(HLOOKUP(AV1576,'Calc|Weightings'!$K$5:$M$5,1,0),"Excl")</f>
        <v>Labour</v>
      </c>
      <c r="AY1576" s="7" t="str">
        <f>VLOOKUP(AO1576,Mapping!$E$11:$I$96,5,0)</f>
        <v>SCS</v>
      </c>
    </row>
    <row r="1577" spans="1:51" x14ac:dyDescent="0.2">
      <c r="A1577" s="7"/>
      <c r="B1577" s="7"/>
      <c r="C1577" s="7"/>
      <c r="D1577" s="7"/>
      <c r="E1577" s="36">
        <v>155</v>
      </c>
      <c r="F1577" s="36" t="s">
        <v>2164</v>
      </c>
      <c r="G1577" s="36">
        <v>613360</v>
      </c>
      <c r="H1577" s="36" t="s">
        <v>2097</v>
      </c>
      <c r="I1577" s="37">
        <v>3.1422400000000001</v>
      </c>
      <c r="J1577" s="7"/>
      <c r="K1577" s="7" t="str">
        <f>VLOOKUP($E1577,Mapping!$E$11:$I$96,3,0)</f>
        <v>Replacement</v>
      </c>
      <c r="L1577" s="7" t="str">
        <f>VLOOKUP($G1577,Mapping!$E$140:$K$2771,5,0)</f>
        <v>Labour</v>
      </c>
      <c r="M1577" s="7" t="str">
        <f>VLOOKUP($G1577,Mapping!$E$140:$K$2771,7,0)</f>
        <v>ENDirect</v>
      </c>
      <c r="N1577" s="7" t="str">
        <f>IFERROR(HLOOKUP(L1577,'Calc|Weightings'!$K$5:$M$5,1,0),"Excl")</f>
        <v>Labour</v>
      </c>
      <c r="O1577" s="7" t="str">
        <f>VLOOKUP(E1577,Mapping!$E$11:$I$96,5,0)</f>
        <v>SCS</v>
      </c>
      <c r="Q1577" s="33">
        <v>168</v>
      </c>
      <c r="R1577" s="33" t="s">
        <v>2176</v>
      </c>
      <c r="S1577" s="33">
        <v>611901</v>
      </c>
      <c r="T1577" s="33" t="s">
        <v>2080</v>
      </c>
      <c r="U1577" s="34">
        <v>1.7474799999999999</v>
      </c>
      <c r="V1577" s="7"/>
      <c r="W1577" s="7" t="str">
        <f>VLOOKUP($Q1577,Mapping!$E$11:$I$96,3,0)</f>
        <v>Augmentation</v>
      </c>
      <c r="X1577" s="7" t="str">
        <f>VLOOKUP($S1577,Mapping!$E$140:$K$2771,5,0)</f>
        <v>Contracts</v>
      </c>
      <c r="Y1577" s="7" t="str">
        <f>VLOOKUP($S1577,Mapping!$E$140:$K$2771,7,0)</f>
        <v>ENDirect</v>
      </c>
      <c r="Z1577" s="7" t="str">
        <f>IFERROR(HLOOKUP(X1577,'Calc|Weightings'!$K$5:$M$5,1,0),"Excl")</f>
        <v>Contracts</v>
      </c>
      <c r="AA1577" s="7" t="str">
        <f>VLOOKUP(Q1577,Mapping!$E$11:$I$96,5,0)</f>
        <v>SCS</v>
      </c>
      <c r="AC1577" s="111">
        <v>162</v>
      </c>
      <c r="AD1577" s="111" t="s">
        <v>2172</v>
      </c>
      <c r="AE1577" s="111">
        <v>639050</v>
      </c>
      <c r="AF1577" s="111" t="s">
        <v>2113</v>
      </c>
      <c r="AG1577" s="112">
        <v>28.210080000000001</v>
      </c>
      <c r="AI1577" s="7" t="str">
        <f>VLOOKUP($AC1577,Mapping!$E$11:$I$96,3,0)</f>
        <v>Augmentation</v>
      </c>
      <c r="AJ1577" s="7" t="str">
        <f>VLOOKUP($AE1577,Mapping!$E$140:$K$2771,5,0)</f>
        <v>PNS Fleet &amp; Property OH</v>
      </c>
      <c r="AK1577" s="7" t="str">
        <f>VLOOKUP($AE1577,Mapping!$E$140:$K$2771,7,0)</f>
        <v>OH</v>
      </c>
      <c r="AL1577" s="7" t="str">
        <f>IFERROR(HLOOKUP(AJ1577,'Calc|Weightings'!$K$5:$M$5,1,0),"Excl")</f>
        <v>Excl</v>
      </c>
      <c r="AM1577" s="7" t="str">
        <f>VLOOKUP(AC1577,Mapping!$E$11:$I$96,5,0)</f>
        <v>SCS</v>
      </c>
      <c r="AO1577" s="134">
        <v>168</v>
      </c>
      <c r="AP1577" s="135" t="s">
        <v>2176</v>
      </c>
      <c r="AQ1577" s="135">
        <v>613567</v>
      </c>
      <c r="AR1577" s="135" t="s">
        <v>1483</v>
      </c>
      <c r="AS1577" s="136">
        <v>3.3776999999999999</v>
      </c>
      <c r="AU1577" s="7" t="str">
        <f>VLOOKUP($AO1577,Mapping!$E$11:$I$96,3,0)</f>
        <v>Augmentation</v>
      </c>
      <c r="AV1577" s="7" t="str">
        <f>VLOOKUP($AQ1577,Mapping!$E$140:$K$2771,5,0)</f>
        <v>Labour</v>
      </c>
      <c r="AW1577" s="7" t="str">
        <f>VLOOKUP($AQ1577,Mapping!$E$140:$K$2771,7,0)</f>
        <v>ENDirect</v>
      </c>
      <c r="AX1577" s="7" t="str">
        <f>IFERROR(HLOOKUP(AV1577,'Calc|Weightings'!$K$5:$M$5,1,0),"Excl")</f>
        <v>Labour</v>
      </c>
      <c r="AY1577" s="7" t="str">
        <f>VLOOKUP(AO1577,Mapping!$E$11:$I$96,5,0)</f>
        <v>SCS</v>
      </c>
    </row>
    <row r="1578" spans="1:51" x14ac:dyDescent="0.2">
      <c r="A1578" s="7"/>
      <c r="B1578" s="7"/>
      <c r="C1578" s="7"/>
      <c r="D1578" s="7"/>
      <c r="E1578" s="36">
        <v>155</v>
      </c>
      <c r="F1578" s="36" t="s">
        <v>2164</v>
      </c>
      <c r="G1578" s="36">
        <v>613370</v>
      </c>
      <c r="H1578" s="36" t="s">
        <v>1402</v>
      </c>
      <c r="I1578" s="37">
        <v>3.3700000000000001E-2</v>
      </c>
      <c r="J1578" s="7"/>
      <c r="K1578" s="7" t="str">
        <f>VLOOKUP($E1578,Mapping!$E$11:$I$96,3,0)</f>
        <v>Replacement</v>
      </c>
      <c r="L1578" s="7" t="str">
        <f>VLOOKUP($G1578,Mapping!$E$140:$K$2771,5,0)</f>
        <v>Labour</v>
      </c>
      <c r="M1578" s="7" t="str">
        <f>VLOOKUP($G1578,Mapping!$E$140:$K$2771,7,0)</f>
        <v>ENDirect</v>
      </c>
      <c r="N1578" s="7" t="str">
        <f>IFERROR(HLOOKUP(L1578,'Calc|Weightings'!$K$5:$M$5,1,0),"Excl")</f>
        <v>Labour</v>
      </c>
      <c r="O1578" s="7" t="str">
        <f>VLOOKUP(E1578,Mapping!$E$11:$I$96,5,0)</f>
        <v>SCS</v>
      </c>
      <c r="Q1578" s="33">
        <v>168</v>
      </c>
      <c r="R1578" s="33" t="s">
        <v>2176</v>
      </c>
      <c r="S1578" s="33">
        <v>611902</v>
      </c>
      <c r="T1578" s="33" t="s">
        <v>2081</v>
      </c>
      <c r="U1578" s="34">
        <v>11.581049999999999</v>
      </c>
      <c r="V1578" s="7"/>
      <c r="W1578" s="7" t="str">
        <f>VLOOKUP($Q1578,Mapping!$E$11:$I$96,3,0)</f>
        <v>Augmentation</v>
      </c>
      <c r="X1578" s="7" t="str">
        <f>VLOOKUP($S1578,Mapping!$E$140:$K$2771,5,0)</f>
        <v>Contracts</v>
      </c>
      <c r="Y1578" s="7" t="str">
        <f>VLOOKUP($S1578,Mapping!$E$140:$K$2771,7,0)</f>
        <v>ENDirect</v>
      </c>
      <c r="Z1578" s="7" t="str">
        <f>IFERROR(HLOOKUP(X1578,'Calc|Weightings'!$K$5:$M$5,1,0),"Excl")</f>
        <v>Contracts</v>
      </c>
      <c r="AA1578" s="7" t="str">
        <f>VLOOKUP(Q1578,Mapping!$E$11:$I$96,5,0)</f>
        <v>SCS</v>
      </c>
      <c r="AC1578" s="111">
        <v>163</v>
      </c>
      <c r="AD1578" s="111" t="s">
        <v>2173</v>
      </c>
      <c r="AE1578" s="111">
        <v>520100</v>
      </c>
      <c r="AF1578" s="111" t="s">
        <v>2072</v>
      </c>
      <c r="AG1578" s="112">
        <v>93.949110000000005</v>
      </c>
      <c r="AI1578" s="7" t="str">
        <f>VLOOKUP($AC1578,Mapping!$E$11:$I$96,3,0)</f>
        <v>Replacement</v>
      </c>
      <c r="AJ1578" s="7" t="str">
        <f>VLOOKUP($AE1578,Mapping!$E$140:$K$2771,5,0)</f>
        <v>Materials</v>
      </c>
      <c r="AK1578" s="7" t="str">
        <f>VLOOKUP($AE1578,Mapping!$E$140:$K$2771,7,0)</f>
        <v>ENDirect</v>
      </c>
      <c r="AL1578" s="7" t="str">
        <f>IFERROR(HLOOKUP(AJ1578,'Calc|Weightings'!$K$5:$M$5,1,0),"Excl")</f>
        <v>Materials</v>
      </c>
      <c r="AM1578" s="7" t="str">
        <f>VLOOKUP(AC1578,Mapping!$E$11:$I$96,5,0)</f>
        <v>SCS</v>
      </c>
      <c r="AO1578" s="134">
        <v>168</v>
      </c>
      <c r="AP1578" s="135" t="s">
        <v>2176</v>
      </c>
      <c r="AQ1578" s="135">
        <v>613574</v>
      </c>
      <c r="AR1578" s="135" t="s">
        <v>1488</v>
      </c>
      <c r="AS1578" s="136">
        <v>0.92225999999999997</v>
      </c>
      <c r="AU1578" s="7" t="str">
        <f>VLOOKUP($AO1578,Mapping!$E$11:$I$96,3,0)</f>
        <v>Augmentation</v>
      </c>
      <c r="AV1578" s="7" t="str">
        <f>VLOOKUP($AQ1578,Mapping!$E$140:$K$2771,5,0)</f>
        <v>Labour</v>
      </c>
      <c r="AW1578" s="7" t="str">
        <f>VLOOKUP($AQ1578,Mapping!$E$140:$K$2771,7,0)</f>
        <v>ENDirect</v>
      </c>
      <c r="AX1578" s="7" t="str">
        <f>IFERROR(HLOOKUP(AV1578,'Calc|Weightings'!$K$5:$M$5,1,0),"Excl")</f>
        <v>Labour</v>
      </c>
      <c r="AY1578" s="7" t="str">
        <f>VLOOKUP(AO1578,Mapping!$E$11:$I$96,5,0)</f>
        <v>SCS</v>
      </c>
    </row>
    <row r="1579" spans="1:51" x14ac:dyDescent="0.2">
      <c r="A1579" s="7"/>
      <c r="B1579" s="7"/>
      <c r="C1579" s="7"/>
      <c r="D1579" s="7"/>
      <c r="E1579" s="36">
        <v>155</v>
      </c>
      <c r="F1579" s="36" t="s">
        <v>2164</v>
      </c>
      <c r="G1579" s="36">
        <v>613390</v>
      </c>
      <c r="H1579" s="36" t="s">
        <v>2141</v>
      </c>
      <c r="I1579" s="37">
        <v>227.72054</v>
      </c>
      <c r="J1579" s="7"/>
      <c r="K1579" s="7" t="str">
        <f>VLOOKUP($E1579,Mapping!$E$11:$I$96,3,0)</f>
        <v>Replacement</v>
      </c>
      <c r="L1579" s="7" t="str">
        <f>VLOOKUP($G1579,Mapping!$E$140:$K$2771,5,0)</f>
        <v>Contracts</v>
      </c>
      <c r="M1579" s="7" t="str">
        <f>VLOOKUP($G1579,Mapping!$E$140:$K$2771,7,0)</f>
        <v>ENDirect</v>
      </c>
      <c r="N1579" s="7" t="str">
        <f>IFERROR(HLOOKUP(L1579,'Calc|Weightings'!$K$5:$M$5,1,0),"Excl")</f>
        <v>Contracts</v>
      </c>
      <c r="O1579" s="7" t="str">
        <f>VLOOKUP(E1579,Mapping!$E$11:$I$96,5,0)</f>
        <v>SCS</v>
      </c>
      <c r="Q1579" s="33">
        <v>168</v>
      </c>
      <c r="R1579" s="33" t="s">
        <v>2176</v>
      </c>
      <c r="S1579" s="33">
        <v>612210</v>
      </c>
      <c r="T1579" s="33" t="s">
        <v>1184</v>
      </c>
      <c r="U1579" s="34">
        <v>31.059979999999999</v>
      </c>
      <c r="V1579" s="7"/>
      <c r="W1579" s="7" t="str">
        <f>VLOOKUP($Q1579,Mapping!$E$11:$I$96,3,0)</f>
        <v>Augmentation</v>
      </c>
      <c r="X1579" s="7" t="str">
        <f>VLOOKUP($S1579,Mapping!$E$140:$K$2771,5,0)</f>
        <v>Labour</v>
      </c>
      <c r="Y1579" s="7" t="str">
        <f>VLOOKUP($S1579,Mapping!$E$140:$K$2771,7,0)</f>
        <v>ENDirect</v>
      </c>
      <c r="Z1579" s="7" t="str">
        <f>IFERROR(HLOOKUP(X1579,'Calc|Weightings'!$K$5:$M$5,1,0),"Excl")</f>
        <v>Labour</v>
      </c>
      <c r="AA1579" s="7" t="str">
        <f>VLOOKUP(Q1579,Mapping!$E$11:$I$96,5,0)</f>
        <v>SCS</v>
      </c>
      <c r="AC1579" s="111">
        <v>163</v>
      </c>
      <c r="AD1579" s="111" t="s">
        <v>2173</v>
      </c>
      <c r="AE1579" s="111">
        <v>531000</v>
      </c>
      <c r="AF1579" s="111" t="s">
        <v>242</v>
      </c>
      <c r="AG1579" s="112">
        <v>1.05</v>
      </c>
      <c r="AI1579" s="7" t="str">
        <f>VLOOKUP($AC1579,Mapping!$E$11:$I$96,3,0)</f>
        <v>Replacement</v>
      </c>
      <c r="AJ1579" s="7" t="str">
        <f>VLOOKUP($AE1579,Mapping!$E$140:$K$2771,5,0)</f>
        <v>Contracts</v>
      </c>
      <c r="AK1579" s="7" t="str">
        <f>VLOOKUP($AE1579,Mapping!$E$140:$K$2771,7,0)</f>
        <v>ENDirect</v>
      </c>
      <c r="AL1579" s="7" t="str">
        <f>IFERROR(HLOOKUP(AJ1579,'Calc|Weightings'!$K$5:$M$5,1,0),"Excl")</f>
        <v>Contracts</v>
      </c>
      <c r="AM1579" s="7" t="str">
        <f>VLOOKUP(AC1579,Mapping!$E$11:$I$96,5,0)</f>
        <v>SCS</v>
      </c>
      <c r="AO1579" s="134">
        <v>168</v>
      </c>
      <c r="AP1579" s="135" t="s">
        <v>2176</v>
      </c>
      <c r="AQ1579" s="135">
        <v>613630</v>
      </c>
      <c r="AR1579" s="135" t="s">
        <v>1498</v>
      </c>
      <c r="AS1579" s="136">
        <v>2.3912499999999999</v>
      </c>
      <c r="AU1579" s="7" t="str">
        <f>VLOOKUP($AO1579,Mapping!$E$11:$I$96,3,0)</f>
        <v>Augmentation</v>
      </c>
      <c r="AV1579" s="7" t="str">
        <f>VLOOKUP($AQ1579,Mapping!$E$140:$K$2771,5,0)</f>
        <v>Labour</v>
      </c>
      <c r="AW1579" s="7" t="str">
        <f>VLOOKUP($AQ1579,Mapping!$E$140:$K$2771,7,0)</f>
        <v>ENDirect</v>
      </c>
      <c r="AX1579" s="7" t="str">
        <f>IFERROR(HLOOKUP(AV1579,'Calc|Weightings'!$K$5:$M$5,1,0),"Excl")</f>
        <v>Labour</v>
      </c>
      <c r="AY1579" s="7" t="str">
        <f>VLOOKUP(AO1579,Mapping!$E$11:$I$96,5,0)</f>
        <v>SCS</v>
      </c>
    </row>
    <row r="1580" spans="1:51" x14ac:dyDescent="0.2">
      <c r="A1580" s="7"/>
      <c r="B1580" s="7"/>
      <c r="C1580" s="7"/>
      <c r="D1580" s="7"/>
      <c r="E1580" s="36">
        <v>155</v>
      </c>
      <c r="F1580" s="36" t="s">
        <v>2164</v>
      </c>
      <c r="G1580" s="36">
        <v>613408</v>
      </c>
      <c r="H1580" s="36" t="s">
        <v>1418</v>
      </c>
      <c r="I1580" s="37">
        <v>86.990480000000005</v>
      </c>
      <c r="J1580" s="7"/>
      <c r="K1580" s="7" t="str">
        <f>VLOOKUP($E1580,Mapping!$E$11:$I$96,3,0)</f>
        <v>Replacement</v>
      </c>
      <c r="L1580" s="7" t="str">
        <f>VLOOKUP($G1580,Mapping!$E$140:$K$2771,5,0)</f>
        <v>Labour</v>
      </c>
      <c r="M1580" s="7" t="str">
        <f>VLOOKUP($G1580,Mapping!$E$140:$K$2771,7,0)</f>
        <v>ENDirect</v>
      </c>
      <c r="N1580" s="7" t="str">
        <f>IFERROR(HLOOKUP(L1580,'Calc|Weightings'!$K$5:$M$5,1,0),"Excl")</f>
        <v>Labour</v>
      </c>
      <c r="O1580" s="7" t="str">
        <f>VLOOKUP(E1580,Mapping!$E$11:$I$96,5,0)</f>
        <v>SCS</v>
      </c>
      <c r="Q1580" s="33">
        <v>168</v>
      </c>
      <c r="R1580" s="33" t="s">
        <v>2176</v>
      </c>
      <c r="S1580" s="33">
        <v>613250</v>
      </c>
      <c r="T1580" s="33" t="s">
        <v>2086</v>
      </c>
      <c r="U1580" s="34">
        <v>1.9783500000000001</v>
      </c>
      <c r="V1580" s="7"/>
      <c r="W1580" s="7" t="str">
        <f>VLOOKUP($Q1580,Mapping!$E$11:$I$96,3,0)</f>
        <v>Augmentation</v>
      </c>
      <c r="X1580" s="7" t="str">
        <f>VLOOKUP($S1580,Mapping!$E$140:$K$2771,5,0)</f>
        <v>Labour</v>
      </c>
      <c r="Y1580" s="7" t="str">
        <f>VLOOKUP($S1580,Mapping!$E$140:$K$2771,7,0)</f>
        <v>ENDirect</v>
      </c>
      <c r="Z1580" s="7" t="str">
        <f>IFERROR(HLOOKUP(X1580,'Calc|Weightings'!$K$5:$M$5,1,0),"Excl")</f>
        <v>Labour</v>
      </c>
      <c r="AA1580" s="7" t="str">
        <f>VLOOKUP(Q1580,Mapping!$E$11:$I$96,5,0)</f>
        <v>SCS</v>
      </c>
      <c r="AC1580" s="111">
        <v>163</v>
      </c>
      <c r="AD1580" s="111" t="s">
        <v>2173</v>
      </c>
      <c r="AE1580" s="111">
        <v>531464</v>
      </c>
      <c r="AF1580" s="111" t="s">
        <v>256</v>
      </c>
      <c r="AG1580" s="112">
        <v>0.61799999999999999</v>
      </c>
      <c r="AI1580" s="7" t="str">
        <f>VLOOKUP($AC1580,Mapping!$E$11:$I$96,3,0)</f>
        <v>Replacement</v>
      </c>
      <c r="AJ1580" s="7" t="str">
        <f>VLOOKUP($AE1580,Mapping!$E$140:$K$2771,5,0)</f>
        <v>Contracts</v>
      </c>
      <c r="AK1580" s="7" t="str">
        <f>VLOOKUP($AE1580,Mapping!$E$140:$K$2771,7,0)</f>
        <v>ENDirect</v>
      </c>
      <c r="AL1580" s="7" t="str">
        <f>IFERROR(HLOOKUP(AJ1580,'Calc|Weightings'!$K$5:$M$5,1,0),"Excl")</f>
        <v>Contracts</v>
      </c>
      <c r="AM1580" s="7" t="str">
        <f>VLOOKUP(AC1580,Mapping!$E$11:$I$96,5,0)</f>
        <v>SCS</v>
      </c>
      <c r="AO1580" s="134">
        <v>168</v>
      </c>
      <c r="AP1580" s="135" t="s">
        <v>2176</v>
      </c>
      <c r="AQ1580" s="135">
        <v>613680</v>
      </c>
      <c r="AR1580" s="135" t="s">
        <v>2107</v>
      </c>
      <c r="AS1580" s="136">
        <v>22.060469999999999</v>
      </c>
      <c r="AU1580" s="7" t="str">
        <f>VLOOKUP($AO1580,Mapping!$E$11:$I$96,3,0)</f>
        <v>Augmentation</v>
      </c>
      <c r="AV1580" s="7" t="str">
        <f>VLOOKUP($AQ1580,Mapping!$E$140:$K$2771,5,0)</f>
        <v>Labour</v>
      </c>
      <c r="AW1580" s="7" t="str">
        <f>VLOOKUP($AQ1580,Mapping!$E$140:$K$2771,7,0)</f>
        <v>ENDirect</v>
      </c>
      <c r="AX1580" s="7" t="str">
        <f>IFERROR(HLOOKUP(AV1580,'Calc|Weightings'!$K$5:$M$5,1,0),"Excl")</f>
        <v>Labour</v>
      </c>
      <c r="AY1580" s="7" t="str">
        <f>VLOOKUP(AO1580,Mapping!$E$11:$I$96,5,0)</f>
        <v>SCS</v>
      </c>
    </row>
    <row r="1581" spans="1:51" x14ac:dyDescent="0.2">
      <c r="A1581" s="7"/>
      <c r="B1581" s="7"/>
      <c r="C1581" s="7"/>
      <c r="D1581" s="7"/>
      <c r="E1581" s="36">
        <v>155</v>
      </c>
      <c r="F1581" s="36" t="s">
        <v>2164</v>
      </c>
      <c r="G1581" s="36">
        <v>613409</v>
      </c>
      <c r="H1581" s="36" t="s">
        <v>1419</v>
      </c>
      <c r="I1581" s="37">
        <v>12.268420000000001</v>
      </c>
      <c r="J1581" s="7"/>
      <c r="K1581" s="7" t="str">
        <f>VLOOKUP($E1581,Mapping!$E$11:$I$96,3,0)</f>
        <v>Replacement</v>
      </c>
      <c r="L1581" s="7" t="str">
        <f>VLOOKUP($G1581,Mapping!$E$140:$K$2771,5,0)</f>
        <v>Labour</v>
      </c>
      <c r="M1581" s="7" t="str">
        <f>VLOOKUP($G1581,Mapping!$E$140:$K$2771,7,0)</f>
        <v>ENDirect</v>
      </c>
      <c r="N1581" s="7" t="str">
        <f>IFERROR(HLOOKUP(L1581,'Calc|Weightings'!$K$5:$M$5,1,0),"Excl")</f>
        <v>Labour</v>
      </c>
      <c r="O1581" s="7" t="str">
        <f>VLOOKUP(E1581,Mapping!$E$11:$I$96,5,0)</f>
        <v>SCS</v>
      </c>
      <c r="Q1581" s="33">
        <v>168</v>
      </c>
      <c r="R1581" s="33" t="s">
        <v>2176</v>
      </c>
      <c r="S1581" s="33">
        <v>613260</v>
      </c>
      <c r="T1581" s="33" t="s">
        <v>2090</v>
      </c>
      <c r="U1581" s="34">
        <v>47.316980000000001</v>
      </c>
      <c r="V1581" s="7"/>
      <c r="W1581" s="7" t="str">
        <f>VLOOKUP($Q1581,Mapping!$E$11:$I$96,3,0)</f>
        <v>Augmentation</v>
      </c>
      <c r="X1581" s="7" t="str">
        <f>VLOOKUP($S1581,Mapping!$E$140:$K$2771,5,0)</f>
        <v>Labour</v>
      </c>
      <c r="Y1581" s="7" t="str">
        <f>VLOOKUP($S1581,Mapping!$E$140:$K$2771,7,0)</f>
        <v>ENDirect</v>
      </c>
      <c r="Z1581" s="7" t="str">
        <f>IFERROR(HLOOKUP(X1581,'Calc|Weightings'!$K$5:$M$5,1,0),"Excl")</f>
        <v>Labour</v>
      </c>
      <c r="AA1581" s="7" t="str">
        <f>VLOOKUP(Q1581,Mapping!$E$11:$I$96,5,0)</f>
        <v>SCS</v>
      </c>
      <c r="AC1581" s="111">
        <v>163</v>
      </c>
      <c r="AD1581" s="111" t="s">
        <v>2173</v>
      </c>
      <c r="AE1581" s="111">
        <v>532500</v>
      </c>
      <c r="AF1581" s="111" t="s">
        <v>308</v>
      </c>
      <c r="AG1581" s="112">
        <v>2.2000000000000002</v>
      </c>
      <c r="AI1581" s="7" t="str">
        <f>VLOOKUP($AC1581,Mapping!$E$11:$I$96,3,0)</f>
        <v>Replacement</v>
      </c>
      <c r="AJ1581" s="7" t="str">
        <f>VLOOKUP($AE1581,Mapping!$E$140:$K$2771,5,0)</f>
        <v>Contracts</v>
      </c>
      <c r="AK1581" s="7" t="str">
        <f>VLOOKUP($AE1581,Mapping!$E$140:$K$2771,7,0)</f>
        <v>ENDirect</v>
      </c>
      <c r="AL1581" s="7" t="str">
        <f>IFERROR(HLOOKUP(AJ1581,'Calc|Weightings'!$K$5:$M$5,1,0),"Excl")</f>
        <v>Contracts</v>
      </c>
      <c r="AM1581" s="7" t="str">
        <f>VLOOKUP(AC1581,Mapping!$E$11:$I$96,5,0)</f>
        <v>SCS</v>
      </c>
      <c r="AO1581" s="134">
        <v>168</v>
      </c>
      <c r="AP1581" s="135" t="s">
        <v>2176</v>
      </c>
      <c r="AQ1581" s="135">
        <v>615375</v>
      </c>
      <c r="AR1581" s="135" t="s">
        <v>1717</v>
      </c>
      <c r="AS1581" s="136">
        <v>1.6319999999999999</v>
      </c>
      <c r="AU1581" s="7" t="str">
        <f>VLOOKUP($AO1581,Mapping!$E$11:$I$96,3,0)</f>
        <v>Augmentation</v>
      </c>
      <c r="AV1581" s="7" t="str">
        <f>VLOOKUP($AQ1581,Mapping!$E$140:$K$2771,5,0)</f>
        <v>Labour</v>
      </c>
      <c r="AW1581" s="7" t="str">
        <f>VLOOKUP($AQ1581,Mapping!$E$140:$K$2771,7,0)</f>
        <v>ENDirect</v>
      </c>
      <c r="AX1581" s="7" t="str">
        <f>IFERROR(HLOOKUP(AV1581,'Calc|Weightings'!$K$5:$M$5,1,0),"Excl")</f>
        <v>Labour</v>
      </c>
      <c r="AY1581" s="7" t="str">
        <f>VLOOKUP(AO1581,Mapping!$E$11:$I$96,5,0)</f>
        <v>SCS</v>
      </c>
    </row>
    <row r="1582" spans="1:51" x14ac:dyDescent="0.2">
      <c r="A1582" s="7"/>
      <c r="B1582" s="7"/>
      <c r="C1582" s="7"/>
      <c r="D1582" s="7"/>
      <c r="E1582" s="36">
        <v>155</v>
      </c>
      <c r="F1582" s="36" t="s">
        <v>2164</v>
      </c>
      <c r="G1582" s="36">
        <v>613418</v>
      </c>
      <c r="H1582" s="36" t="s">
        <v>1424</v>
      </c>
      <c r="I1582" s="37">
        <v>58.026389999999999</v>
      </c>
      <c r="J1582" s="7"/>
      <c r="K1582" s="7" t="str">
        <f>VLOOKUP($E1582,Mapping!$E$11:$I$96,3,0)</f>
        <v>Replacement</v>
      </c>
      <c r="L1582" s="7" t="str">
        <f>VLOOKUP($G1582,Mapping!$E$140:$K$2771,5,0)</f>
        <v>Labour</v>
      </c>
      <c r="M1582" s="7" t="str">
        <f>VLOOKUP($G1582,Mapping!$E$140:$K$2771,7,0)</f>
        <v>ENDirect</v>
      </c>
      <c r="N1582" s="7" t="str">
        <f>IFERROR(HLOOKUP(L1582,'Calc|Weightings'!$K$5:$M$5,1,0),"Excl")</f>
        <v>Labour</v>
      </c>
      <c r="O1582" s="7" t="str">
        <f>VLOOKUP(E1582,Mapping!$E$11:$I$96,5,0)</f>
        <v>SCS</v>
      </c>
      <c r="Q1582" s="33">
        <v>168</v>
      </c>
      <c r="R1582" s="33" t="s">
        <v>2176</v>
      </c>
      <c r="S1582" s="33">
        <v>613280</v>
      </c>
      <c r="T1582" s="33" t="s">
        <v>1342</v>
      </c>
      <c r="U1582" s="34">
        <v>81.298540000000003</v>
      </c>
      <c r="V1582" s="7"/>
      <c r="W1582" s="7" t="str">
        <f>VLOOKUP($Q1582,Mapping!$E$11:$I$96,3,0)</f>
        <v>Augmentation</v>
      </c>
      <c r="X1582" s="7" t="str">
        <f>VLOOKUP($S1582,Mapping!$E$140:$K$2771,5,0)</f>
        <v>Labour</v>
      </c>
      <c r="Y1582" s="7" t="str">
        <f>VLOOKUP($S1582,Mapping!$E$140:$K$2771,7,0)</f>
        <v>ENDirect</v>
      </c>
      <c r="Z1582" s="7" t="str">
        <f>IFERROR(HLOOKUP(X1582,'Calc|Weightings'!$K$5:$M$5,1,0),"Excl")</f>
        <v>Labour</v>
      </c>
      <c r="AA1582" s="7" t="str">
        <f>VLOOKUP(Q1582,Mapping!$E$11:$I$96,5,0)</f>
        <v>SCS</v>
      </c>
      <c r="AC1582" s="111">
        <v>163</v>
      </c>
      <c r="AD1582" s="111" t="s">
        <v>2173</v>
      </c>
      <c r="AE1582" s="111">
        <v>611900</v>
      </c>
      <c r="AF1582" s="111" t="s">
        <v>2079</v>
      </c>
      <c r="AG1582" s="112">
        <v>5.1139999999999998E-2</v>
      </c>
      <c r="AI1582" s="7" t="str">
        <f>VLOOKUP($AC1582,Mapping!$E$11:$I$96,3,0)</f>
        <v>Replacement</v>
      </c>
      <c r="AJ1582" s="7" t="str">
        <f>VLOOKUP($AE1582,Mapping!$E$140:$K$2771,5,0)</f>
        <v>Contracts</v>
      </c>
      <c r="AK1582" s="7" t="str">
        <f>VLOOKUP($AE1582,Mapping!$E$140:$K$2771,7,0)</f>
        <v>ENDirect</v>
      </c>
      <c r="AL1582" s="7" t="str">
        <f>IFERROR(HLOOKUP(AJ1582,'Calc|Weightings'!$K$5:$M$5,1,0),"Excl")</f>
        <v>Contracts</v>
      </c>
      <c r="AM1582" s="7" t="str">
        <f>VLOOKUP(AC1582,Mapping!$E$11:$I$96,5,0)</f>
        <v>SCS</v>
      </c>
      <c r="AO1582" s="134">
        <v>168</v>
      </c>
      <c r="AP1582" s="135" t="s">
        <v>2176</v>
      </c>
      <c r="AQ1582" s="135">
        <v>615395</v>
      </c>
      <c r="AR1582" s="135" t="s">
        <v>2196</v>
      </c>
      <c r="AS1582" s="136">
        <v>8.6445000000000007</v>
      </c>
      <c r="AU1582" s="7" t="str">
        <f>VLOOKUP($AO1582,Mapping!$E$11:$I$96,3,0)</f>
        <v>Augmentation</v>
      </c>
      <c r="AV1582" s="7" t="str">
        <f>VLOOKUP($AQ1582,Mapping!$E$140:$K$2771,5,0)</f>
        <v>Labour</v>
      </c>
      <c r="AW1582" s="7" t="str">
        <f>VLOOKUP($AQ1582,Mapping!$E$140:$K$2771,7,0)</f>
        <v>ENDirect</v>
      </c>
      <c r="AX1582" s="7" t="str">
        <f>IFERROR(HLOOKUP(AV1582,'Calc|Weightings'!$K$5:$M$5,1,0),"Excl")</f>
        <v>Labour</v>
      </c>
      <c r="AY1582" s="7" t="str">
        <f>VLOOKUP(AO1582,Mapping!$E$11:$I$96,5,0)</f>
        <v>SCS</v>
      </c>
    </row>
    <row r="1583" spans="1:51" x14ac:dyDescent="0.2">
      <c r="A1583" s="7"/>
      <c r="B1583" s="7"/>
      <c r="C1583" s="7"/>
      <c r="D1583" s="7"/>
      <c r="E1583" s="36">
        <v>155</v>
      </c>
      <c r="F1583" s="36" t="s">
        <v>2164</v>
      </c>
      <c r="G1583" s="36">
        <v>613419</v>
      </c>
      <c r="H1583" s="36" t="s">
        <v>1425</v>
      </c>
      <c r="I1583" s="37">
        <v>15.534800000000001</v>
      </c>
      <c r="J1583" s="7"/>
      <c r="K1583" s="7" t="str">
        <f>VLOOKUP($E1583,Mapping!$E$11:$I$96,3,0)</f>
        <v>Replacement</v>
      </c>
      <c r="L1583" s="7" t="str">
        <f>VLOOKUP($G1583,Mapping!$E$140:$K$2771,5,0)</f>
        <v>Labour</v>
      </c>
      <c r="M1583" s="7" t="str">
        <f>VLOOKUP($G1583,Mapping!$E$140:$K$2771,7,0)</f>
        <v>ENDirect</v>
      </c>
      <c r="N1583" s="7" t="str">
        <f>IFERROR(HLOOKUP(L1583,'Calc|Weightings'!$K$5:$M$5,1,0),"Excl")</f>
        <v>Labour</v>
      </c>
      <c r="O1583" s="7" t="str">
        <f>VLOOKUP(E1583,Mapping!$E$11:$I$96,5,0)</f>
        <v>SCS</v>
      </c>
      <c r="Q1583" s="33">
        <v>168</v>
      </c>
      <c r="R1583" s="33" t="s">
        <v>2176</v>
      </c>
      <c r="S1583" s="33">
        <v>613290</v>
      </c>
      <c r="T1583" s="33" t="s">
        <v>2093</v>
      </c>
      <c r="U1583" s="34">
        <v>263.23039999999997</v>
      </c>
      <c r="V1583" s="7"/>
      <c r="W1583" s="7" t="str">
        <f>VLOOKUP($Q1583,Mapping!$E$11:$I$96,3,0)</f>
        <v>Augmentation</v>
      </c>
      <c r="X1583" s="7" t="str">
        <f>VLOOKUP($S1583,Mapping!$E$140:$K$2771,5,0)</f>
        <v>Labour</v>
      </c>
      <c r="Y1583" s="7" t="str">
        <f>VLOOKUP($S1583,Mapping!$E$140:$K$2771,7,0)</f>
        <v>ENDirect</v>
      </c>
      <c r="Z1583" s="7" t="str">
        <f>IFERROR(HLOOKUP(X1583,'Calc|Weightings'!$K$5:$M$5,1,0),"Excl")</f>
        <v>Labour</v>
      </c>
      <c r="AA1583" s="7" t="str">
        <f>VLOOKUP(Q1583,Mapping!$E$11:$I$96,5,0)</f>
        <v>SCS</v>
      </c>
      <c r="AC1583" s="111">
        <v>163</v>
      </c>
      <c r="AD1583" s="111" t="s">
        <v>2173</v>
      </c>
      <c r="AE1583" s="111">
        <v>611901</v>
      </c>
      <c r="AF1583" s="111" t="s">
        <v>2080</v>
      </c>
      <c r="AG1583" s="112">
        <v>2.351E-2</v>
      </c>
      <c r="AI1583" s="7" t="str">
        <f>VLOOKUP($AC1583,Mapping!$E$11:$I$96,3,0)</f>
        <v>Replacement</v>
      </c>
      <c r="AJ1583" s="7" t="str">
        <f>VLOOKUP($AE1583,Mapping!$E$140:$K$2771,5,0)</f>
        <v>Contracts</v>
      </c>
      <c r="AK1583" s="7" t="str">
        <f>VLOOKUP($AE1583,Mapping!$E$140:$K$2771,7,0)</f>
        <v>ENDirect</v>
      </c>
      <c r="AL1583" s="7" t="str">
        <f>IFERROR(HLOOKUP(AJ1583,'Calc|Weightings'!$K$5:$M$5,1,0),"Excl")</f>
        <v>Contracts</v>
      </c>
      <c r="AM1583" s="7" t="str">
        <f>VLOOKUP(AC1583,Mapping!$E$11:$I$96,5,0)</f>
        <v>SCS</v>
      </c>
      <c r="AO1583" s="134">
        <v>168</v>
      </c>
      <c r="AP1583" s="135" t="s">
        <v>2176</v>
      </c>
      <c r="AQ1583" s="135">
        <v>634001</v>
      </c>
      <c r="AR1583" s="135" t="s">
        <v>2110</v>
      </c>
      <c r="AS1583" s="136">
        <v>73.075819999999993</v>
      </c>
      <c r="AU1583" s="7" t="str">
        <f>VLOOKUP($AO1583,Mapping!$E$11:$I$96,3,0)</f>
        <v>Augmentation</v>
      </c>
      <c r="AV1583" s="7" t="str">
        <f>VLOOKUP($AQ1583,Mapping!$E$140:$K$2771,5,0)</f>
        <v>Local OH</v>
      </c>
      <c r="AW1583" s="7" t="str">
        <f>VLOOKUP($AQ1583,Mapping!$E$140:$K$2771,7,0)</f>
        <v>OH</v>
      </c>
      <c r="AX1583" s="7" t="str">
        <f>IFERROR(HLOOKUP(AV1583,'Calc|Weightings'!$K$5:$M$5,1,0),"Excl")</f>
        <v>Excl</v>
      </c>
      <c r="AY1583" s="7" t="str">
        <f>VLOOKUP(AO1583,Mapping!$E$11:$I$96,5,0)</f>
        <v>SCS</v>
      </c>
    </row>
    <row r="1584" spans="1:51" x14ac:dyDescent="0.2">
      <c r="A1584" s="7"/>
      <c r="B1584" s="7"/>
      <c r="C1584" s="7"/>
      <c r="D1584" s="7"/>
      <c r="E1584" s="36">
        <v>155</v>
      </c>
      <c r="F1584" s="36" t="s">
        <v>2164</v>
      </c>
      <c r="G1584" s="36">
        <v>613428</v>
      </c>
      <c r="H1584" s="36" t="s">
        <v>1430</v>
      </c>
      <c r="I1584" s="37">
        <v>1.97499</v>
      </c>
      <c r="J1584" s="7"/>
      <c r="K1584" s="7" t="str">
        <f>VLOOKUP($E1584,Mapping!$E$11:$I$96,3,0)</f>
        <v>Replacement</v>
      </c>
      <c r="L1584" s="7" t="str">
        <f>VLOOKUP($G1584,Mapping!$E$140:$K$2771,5,0)</f>
        <v>Labour</v>
      </c>
      <c r="M1584" s="7" t="str">
        <f>VLOOKUP($G1584,Mapping!$E$140:$K$2771,7,0)</f>
        <v>ENDirect</v>
      </c>
      <c r="N1584" s="7" t="str">
        <f>IFERROR(HLOOKUP(L1584,'Calc|Weightings'!$K$5:$M$5,1,0),"Excl")</f>
        <v>Labour</v>
      </c>
      <c r="O1584" s="7" t="str">
        <f>VLOOKUP(E1584,Mapping!$E$11:$I$96,5,0)</f>
        <v>SCS</v>
      </c>
      <c r="Q1584" s="33">
        <v>168</v>
      </c>
      <c r="R1584" s="33" t="s">
        <v>2176</v>
      </c>
      <c r="S1584" s="33">
        <v>613298</v>
      </c>
      <c r="T1584" s="33" t="s">
        <v>2122</v>
      </c>
      <c r="U1584" s="34">
        <v>5.7224000000000004</v>
      </c>
      <c r="V1584" s="7"/>
      <c r="W1584" s="7" t="str">
        <f>VLOOKUP($Q1584,Mapping!$E$11:$I$96,3,0)</f>
        <v>Augmentation</v>
      </c>
      <c r="X1584" s="7" t="str">
        <f>VLOOKUP($S1584,Mapping!$E$140:$K$2771,5,0)</f>
        <v>Labour</v>
      </c>
      <c r="Y1584" s="7" t="str">
        <f>VLOOKUP($S1584,Mapping!$E$140:$K$2771,7,0)</f>
        <v>ENDirect</v>
      </c>
      <c r="Z1584" s="7" t="str">
        <f>IFERROR(HLOOKUP(X1584,'Calc|Weightings'!$K$5:$M$5,1,0),"Excl")</f>
        <v>Labour</v>
      </c>
      <c r="AA1584" s="7" t="str">
        <f>VLOOKUP(Q1584,Mapping!$E$11:$I$96,5,0)</f>
        <v>SCS</v>
      </c>
      <c r="AC1584" s="111">
        <v>163</v>
      </c>
      <c r="AD1584" s="111" t="s">
        <v>2173</v>
      </c>
      <c r="AE1584" s="111">
        <v>611902</v>
      </c>
      <c r="AF1584" s="111" t="s">
        <v>2081</v>
      </c>
      <c r="AG1584" s="112">
        <v>1.2723</v>
      </c>
      <c r="AI1584" s="7" t="str">
        <f>VLOOKUP($AC1584,Mapping!$E$11:$I$96,3,0)</f>
        <v>Replacement</v>
      </c>
      <c r="AJ1584" s="7" t="str">
        <f>VLOOKUP($AE1584,Mapping!$E$140:$K$2771,5,0)</f>
        <v>Contracts</v>
      </c>
      <c r="AK1584" s="7" t="str">
        <f>VLOOKUP($AE1584,Mapping!$E$140:$K$2771,7,0)</f>
        <v>ENDirect</v>
      </c>
      <c r="AL1584" s="7" t="str">
        <f>IFERROR(HLOOKUP(AJ1584,'Calc|Weightings'!$K$5:$M$5,1,0),"Excl")</f>
        <v>Contracts</v>
      </c>
      <c r="AM1584" s="7" t="str">
        <f>VLOOKUP(AC1584,Mapping!$E$11:$I$96,5,0)</f>
        <v>SCS</v>
      </c>
      <c r="AO1584" s="134">
        <v>168</v>
      </c>
      <c r="AP1584" s="135" t="s">
        <v>2176</v>
      </c>
      <c r="AQ1584" s="135">
        <v>635001</v>
      </c>
      <c r="AR1584" s="135" t="s">
        <v>1929</v>
      </c>
      <c r="AS1584" s="136">
        <v>39.74962</v>
      </c>
      <c r="AU1584" s="7" t="str">
        <f>VLOOKUP($AO1584,Mapping!$E$11:$I$96,3,0)</f>
        <v>Augmentation</v>
      </c>
      <c r="AV1584" s="7" t="str">
        <f>VLOOKUP($AQ1584,Mapping!$E$140:$K$2771,5,0)</f>
        <v>PNS MG</v>
      </c>
      <c r="AW1584" s="7" t="str">
        <f>VLOOKUP($AQ1584,Mapping!$E$140:$K$2771,7,0)</f>
        <v>ENDirect</v>
      </c>
      <c r="AX1584" s="7" t="str">
        <f>IFERROR(HLOOKUP(AV1584,'Calc|Weightings'!$K$5:$M$5,1,0),"Excl")</f>
        <v>Excl</v>
      </c>
      <c r="AY1584" s="7" t="str">
        <f>VLOOKUP(AO1584,Mapping!$E$11:$I$96,5,0)</f>
        <v>SCS</v>
      </c>
    </row>
    <row r="1585" spans="1:51" x14ac:dyDescent="0.2">
      <c r="A1585" s="7"/>
      <c r="B1585" s="7"/>
      <c r="C1585" s="7"/>
      <c r="D1585" s="7"/>
      <c r="E1585" s="36">
        <v>155</v>
      </c>
      <c r="F1585" s="36" t="s">
        <v>2164</v>
      </c>
      <c r="G1585" s="36">
        <v>613429</v>
      </c>
      <c r="H1585" s="36" t="s">
        <v>1431</v>
      </c>
      <c r="I1585" s="37">
        <v>0.25794</v>
      </c>
      <c r="J1585" s="7"/>
      <c r="K1585" s="7" t="str">
        <f>VLOOKUP($E1585,Mapping!$E$11:$I$96,3,0)</f>
        <v>Replacement</v>
      </c>
      <c r="L1585" s="7" t="str">
        <f>VLOOKUP($G1585,Mapping!$E$140:$K$2771,5,0)</f>
        <v>Labour</v>
      </c>
      <c r="M1585" s="7" t="str">
        <f>VLOOKUP($G1585,Mapping!$E$140:$K$2771,7,0)</f>
        <v>ENDirect</v>
      </c>
      <c r="N1585" s="7" t="str">
        <f>IFERROR(HLOOKUP(L1585,'Calc|Weightings'!$K$5:$M$5,1,0),"Excl")</f>
        <v>Labour</v>
      </c>
      <c r="O1585" s="7" t="str">
        <f>VLOOKUP(E1585,Mapping!$E$11:$I$96,5,0)</f>
        <v>SCS</v>
      </c>
      <c r="Q1585" s="33">
        <v>168</v>
      </c>
      <c r="R1585" s="33" t="s">
        <v>2176</v>
      </c>
      <c r="S1585" s="33">
        <v>613310</v>
      </c>
      <c r="T1585" s="33" t="s">
        <v>2095</v>
      </c>
      <c r="U1585" s="34">
        <v>146.39044999999999</v>
      </c>
      <c r="V1585" s="7"/>
      <c r="W1585" s="7" t="str">
        <f>VLOOKUP($Q1585,Mapping!$E$11:$I$96,3,0)</f>
        <v>Augmentation</v>
      </c>
      <c r="X1585" s="7" t="str">
        <f>VLOOKUP($S1585,Mapping!$E$140:$K$2771,5,0)</f>
        <v>Labour</v>
      </c>
      <c r="Y1585" s="7" t="str">
        <f>VLOOKUP($S1585,Mapping!$E$140:$K$2771,7,0)</f>
        <v>ENDirect</v>
      </c>
      <c r="Z1585" s="7" t="str">
        <f>IFERROR(HLOOKUP(X1585,'Calc|Weightings'!$K$5:$M$5,1,0),"Excl")</f>
        <v>Labour</v>
      </c>
      <c r="AA1585" s="7" t="str">
        <f>VLOOKUP(Q1585,Mapping!$E$11:$I$96,5,0)</f>
        <v>SCS</v>
      </c>
      <c r="AC1585" s="111">
        <v>163</v>
      </c>
      <c r="AD1585" s="111" t="s">
        <v>2173</v>
      </c>
      <c r="AE1585" s="111">
        <v>613260</v>
      </c>
      <c r="AF1585" s="111" t="s">
        <v>2090</v>
      </c>
      <c r="AG1585" s="112">
        <v>1.1046400000000001</v>
      </c>
      <c r="AI1585" s="7" t="str">
        <f>VLOOKUP($AC1585,Mapping!$E$11:$I$96,3,0)</f>
        <v>Replacement</v>
      </c>
      <c r="AJ1585" s="7" t="str">
        <f>VLOOKUP($AE1585,Mapping!$E$140:$K$2771,5,0)</f>
        <v>Labour</v>
      </c>
      <c r="AK1585" s="7" t="str">
        <f>VLOOKUP($AE1585,Mapping!$E$140:$K$2771,7,0)</f>
        <v>ENDirect</v>
      </c>
      <c r="AL1585" s="7" t="str">
        <f>IFERROR(HLOOKUP(AJ1585,'Calc|Weightings'!$K$5:$M$5,1,0),"Excl")</f>
        <v>Labour</v>
      </c>
      <c r="AM1585" s="7" t="str">
        <f>VLOOKUP(AC1585,Mapping!$E$11:$I$96,5,0)</f>
        <v>SCS</v>
      </c>
      <c r="AO1585" s="134">
        <v>168</v>
      </c>
      <c r="AP1585" s="135" t="s">
        <v>2176</v>
      </c>
      <c r="AQ1585" s="135">
        <v>636001</v>
      </c>
      <c r="AR1585" s="135" t="s">
        <v>2111</v>
      </c>
      <c r="AS1585" s="136">
        <v>47.91995</v>
      </c>
      <c r="AU1585" s="7" t="str">
        <f>VLOOKUP($AO1585,Mapping!$E$11:$I$96,3,0)</f>
        <v>Augmentation</v>
      </c>
      <c r="AV1585" s="7" t="str">
        <f>VLOOKUP($AQ1585,Mapping!$E$140:$K$2771,5,0)</f>
        <v>System Control OH</v>
      </c>
      <c r="AW1585" s="7" t="str">
        <f>VLOOKUP($AQ1585,Mapping!$E$140:$K$2771,7,0)</f>
        <v>OH</v>
      </c>
      <c r="AX1585" s="7" t="str">
        <f>IFERROR(HLOOKUP(AV1585,'Calc|Weightings'!$K$5:$M$5,1,0),"Excl")</f>
        <v>Excl</v>
      </c>
      <c r="AY1585" s="7" t="str">
        <f>VLOOKUP(AO1585,Mapping!$E$11:$I$96,5,0)</f>
        <v>SCS</v>
      </c>
    </row>
    <row r="1586" spans="1:51" x14ac:dyDescent="0.2">
      <c r="A1586" s="7"/>
      <c r="B1586" s="7"/>
      <c r="C1586" s="7"/>
      <c r="D1586" s="7"/>
      <c r="E1586" s="36">
        <v>155</v>
      </c>
      <c r="F1586" s="36" t="s">
        <v>2164</v>
      </c>
      <c r="G1586" s="36">
        <v>613438</v>
      </c>
      <c r="H1586" s="36" t="s">
        <v>1436</v>
      </c>
      <c r="I1586" s="37">
        <v>5.9817900000000002</v>
      </c>
      <c r="J1586" s="7"/>
      <c r="K1586" s="7" t="str">
        <f>VLOOKUP($E1586,Mapping!$E$11:$I$96,3,0)</f>
        <v>Replacement</v>
      </c>
      <c r="L1586" s="7" t="str">
        <f>VLOOKUP($G1586,Mapping!$E$140:$K$2771,5,0)</f>
        <v>Labour</v>
      </c>
      <c r="M1586" s="7" t="str">
        <f>VLOOKUP($G1586,Mapping!$E$140:$K$2771,7,0)</f>
        <v>ENDirect</v>
      </c>
      <c r="N1586" s="7" t="str">
        <f>IFERROR(HLOOKUP(L1586,'Calc|Weightings'!$K$5:$M$5,1,0),"Excl")</f>
        <v>Labour</v>
      </c>
      <c r="O1586" s="7" t="str">
        <f>VLOOKUP(E1586,Mapping!$E$11:$I$96,5,0)</f>
        <v>SCS</v>
      </c>
      <c r="Q1586" s="33">
        <v>168</v>
      </c>
      <c r="R1586" s="33" t="s">
        <v>2176</v>
      </c>
      <c r="S1586" s="33">
        <v>613311</v>
      </c>
      <c r="T1586" s="33" t="s">
        <v>2116</v>
      </c>
      <c r="U1586" s="34">
        <v>4.54216</v>
      </c>
      <c r="V1586" s="7"/>
      <c r="W1586" s="7" t="str">
        <f>VLOOKUP($Q1586,Mapping!$E$11:$I$96,3,0)</f>
        <v>Augmentation</v>
      </c>
      <c r="X1586" s="7" t="str">
        <f>VLOOKUP($S1586,Mapping!$E$140:$K$2771,5,0)</f>
        <v>Labour</v>
      </c>
      <c r="Y1586" s="7" t="str">
        <f>VLOOKUP($S1586,Mapping!$E$140:$K$2771,7,0)</f>
        <v>ENDirect</v>
      </c>
      <c r="Z1586" s="7" t="str">
        <f>IFERROR(HLOOKUP(X1586,'Calc|Weightings'!$K$5:$M$5,1,0),"Excl")</f>
        <v>Labour</v>
      </c>
      <c r="AA1586" s="7" t="str">
        <f>VLOOKUP(Q1586,Mapping!$E$11:$I$96,5,0)</f>
        <v>SCS</v>
      </c>
      <c r="AC1586" s="111">
        <v>163</v>
      </c>
      <c r="AD1586" s="111" t="s">
        <v>2173</v>
      </c>
      <c r="AE1586" s="111">
        <v>613280</v>
      </c>
      <c r="AF1586" s="111" t="s">
        <v>1342</v>
      </c>
      <c r="AG1586" s="112">
        <v>2.20878</v>
      </c>
      <c r="AI1586" s="7" t="str">
        <f>VLOOKUP($AC1586,Mapping!$E$11:$I$96,3,0)</f>
        <v>Replacement</v>
      </c>
      <c r="AJ1586" s="7" t="str">
        <f>VLOOKUP($AE1586,Mapping!$E$140:$K$2771,5,0)</f>
        <v>Labour</v>
      </c>
      <c r="AK1586" s="7" t="str">
        <f>VLOOKUP($AE1586,Mapping!$E$140:$K$2771,7,0)</f>
        <v>ENDirect</v>
      </c>
      <c r="AL1586" s="7" t="str">
        <f>IFERROR(HLOOKUP(AJ1586,'Calc|Weightings'!$K$5:$M$5,1,0),"Excl")</f>
        <v>Labour</v>
      </c>
      <c r="AM1586" s="7" t="str">
        <f>VLOOKUP(AC1586,Mapping!$E$11:$I$96,5,0)</f>
        <v>SCS</v>
      </c>
      <c r="AO1586" s="134">
        <v>168</v>
      </c>
      <c r="AP1586" s="135" t="s">
        <v>2176</v>
      </c>
      <c r="AQ1586" s="135">
        <v>639000</v>
      </c>
      <c r="AR1586" s="135" t="s">
        <v>2112</v>
      </c>
      <c r="AS1586" s="136">
        <v>30.212759999999999</v>
      </c>
      <c r="AU1586" s="7" t="str">
        <f>VLOOKUP($AO1586,Mapping!$E$11:$I$96,3,0)</f>
        <v>Augmentation</v>
      </c>
      <c r="AV1586" s="7" t="str">
        <f>VLOOKUP($AQ1586,Mapping!$E$140:$K$2771,5,0)</f>
        <v>PNS Corporate OH</v>
      </c>
      <c r="AW1586" s="7" t="str">
        <f>VLOOKUP($AQ1586,Mapping!$E$140:$K$2771,7,0)</f>
        <v>OH</v>
      </c>
      <c r="AX1586" s="7" t="str">
        <f>IFERROR(HLOOKUP(AV1586,'Calc|Weightings'!$K$5:$M$5,1,0),"Excl")</f>
        <v>Excl</v>
      </c>
      <c r="AY1586" s="7" t="str">
        <f>VLOOKUP(AO1586,Mapping!$E$11:$I$96,5,0)</f>
        <v>SCS</v>
      </c>
    </row>
    <row r="1587" spans="1:51" x14ac:dyDescent="0.2">
      <c r="A1587" s="7"/>
      <c r="B1587" s="7"/>
      <c r="C1587" s="7"/>
      <c r="D1587" s="7"/>
      <c r="E1587" s="36">
        <v>155</v>
      </c>
      <c r="F1587" s="36" t="s">
        <v>2164</v>
      </c>
      <c r="G1587" s="36">
        <v>613439</v>
      </c>
      <c r="H1587" s="36" t="s">
        <v>1437</v>
      </c>
      <c r="I1587" s="37">
        <v>1.4979</v>
      </c>
      <c r="J1587" s="7"/>
      <c r="K1587" s="7" t="str">
        <f>VLOOKUP($E1587,Mapping!$E$11:$I$96,3,0)</f>
        <v>Replacement</v>
      </c>
      <c r="L1587" s="7" t="str">
        <f>VLOOKUP($G1587,Mapping!$E$140:$K$2771,5,0)</f>
        <v>Labour</v>
      </c>
      <c r="M1587" s="7" t="str">
        <f>VLOOKUP($G1587,Mapping!$E$140:$K$2771,7,0)</f>
        <v>ENDirect</v>
      </c>
      <c r="N1587" s="7" t="str">
        <f>IFERROR(HLOOKUP(L1587,'Calc|Weightings'!$K$5:$M$5,1,0),"Excl")</f>
        <v>Labour</v>
      </c>
      <c r="O1587" s="7" t="str">
        <f>VLOOKUP(E1587,Mapping!$E$11:$I$96,5,0)</f>
        <v>SCS</v>
      </c>
      <c r="Q1587" s="33">
        <v>168</v>
      </c>
      <c r="R1587" s="33" t="s">
        <v>2176</v>
      </c>
      <c r="S1587" s="33">
        <v>613360</v>
      </c>
      <c r="T1587" s="33" t="s">
        <v>2097</v>
      </c>
      <c r="U1587" s="34">
        <v>24.997</v>
      </c>
      <c r="V1587" s="7"/>
      <c r="W1587" s="7" t="str">
        <f>VLOOKUP($Q1587,Mapping!$E$11:$I$96,3,0)</f>
        <v>Augmentation</v>
      </c>
      <c r="X1587" s="7" t="str">
        <f>VLOOKUP($S1587,Mapping!$E$140:$K$2771,5,0)</f>
        <v>Labour</v>
      </c>
      <c r="Y1587" s="7" t="str">
        <f>VLOOKUP($S1587,Mapping!$E$140:$K$2771,7,0)</f>
        <v>ENDirect</v>
      </c>
      <c r="Z1587" s="7" t="str">
        <f>IFERROR(HLOOKUP(X1587,'Calc|Weightings'!$K$5:$M$5,1,0),"Excl")</f>
        <v>Labour</v>
      </c>
      <c r="AA1587" s="7" t="str">
        <f>VLOOKUP(Q1587,Mapping!$E$11:$I$96,5,0)</f>
        <v>SCS</v>
      </c>
      <c r="AC1587" s="111">
        <v>163</v>
      </c>
      <c r="AD1587" s="111" t="s">
        <v>2173</v>
      </c>
      <c r="AE1587" s="111">
        <v>613290</v>
      </c>
      <c r="AF1587" s="111" t="s">
        <v>2093</v>
      </c>
      <c r="AG1587" s="112">
        <v>31.22955</v>
      </c>
      <c r="AI1587" s="7" t="str">
        <f>VLOOKUP($AC1587,Mapping!$E$11:$I$96,3,0)</f>
        <v>Replacement</v>
      </c>
      <c r="AJ1587" s="7" t="str">
        <f>VLOOKUP($AE1587,Mapping!$E$140:$K$2771,5,0)</f>
        <v>Labour</v>
      </c>
      <c r="AK1587" s="7" t="str">
        <f>VLOOKUP($AE1587,Mapping!$E$140:$K$2771,7,0)</f>
        <v>ENDirect</v>
      </c>
      <c r="AL1587" s="7" t="str">
        <f>IFERROR(HLOOKUP(AJ1587,'Calc|Weightings'!$K$5:$M$5,1,0),"Excl")</f>
        <v>Labour</v>
      </c>
      <c r="AM1587" s="7" t="str">
        <f>VLOOKUP(AC1587,Mapping!$E$11:$I$96,5,0)</f>
        <v>SCS</v>
      </c>
      <c r="AO1587" s="134">
        <v>168</v>
      </c>
      <c r="AP1587" s="135" t="s">
        <v>2176</v>
      </c>
      <c r="AQ1587" s="135">
        <v>639050</v>
      </c>
      <c r="AR1587" s="135" t="s">
        <v>2113</v>
      </c>
      <c r="AS1587" s="136">
        <v>8.0723000000000003</v>
      </c>
      <c r="AU1587" s="7" t="str">
        <f>VLOOKUP($AO1587,Mapping!$E$11:$I$96,3,0)</f>
        <v>Augmentation</v>
      </c>
      <c r="AV1587" s="7" t="str">
        <f>VLOOKUP($AQ1587,Mapping!$E$140:$K$2771,5,0)</f>
        <v>PNS Fleet &amp; Property OH</v>
      </c>
      <c r="AW1587" s="7" t="str">
        <f>VLOOKUP($AQ1587,Mapping!$E$140:$K$2771,7,0)</f>
        <v>OH</v>
      </c>
      <c r="AX1587" s="7" t="str">
        <f>IFERROR(HLOOKUP(AV1587,'Calc|Weightings'!$K$5:$M$5,1,0),"Excl")</f>
        <v>Excl</v>
      </c>
      <c r="AY1587" s="7" t="str">
        <f>VLOOKUP(AO1587,Mapping!$E$11:$I$96,5,0)</f>
        <v>SCS</v>
      </c>
    </row>
    <row r="1588" spans="1:51" x14ac:dyDescent="0.2">
      <c r="A1588" s="7"/>
      <c r="B1588" s="7"/>
      <c r="C1588" s="7"/>
      <c r="D1588" s="7"/>
      <c r="E1588" s="36">
        <v>155</v>
      </c>
      <c r="F1588" s="36" t="s">
        <v>2164</v>
      </c>
      <c r="G1588" s="36">
        <v>613680</v>
      </c>
      <c r="H1588" s="36" t="s">
        <v>2107</v>
      </c>
      <c r="I1588" s="37">
        <v>4.0933200000000003</v>
      </c>
      <c r="J1588" s="7"/>
      <c r="K1588" s="7" t="str">
        <f>VLOOKUP($E1588,Mapping!$E$11:$I$96,3,0)</f>
        <v>Replacement</v>
      </c>
      <c r="L1588" s="7" t="str">
        <f>VLOOKUP($G1588,Mapping!$E$140:$K$2771,5,0)</f>
        <v>Labour</v>
      </c>
      <c r="M1588" s="7" t="str">
        <f>VLOOKUP($G1588,Mapping!$E$140:$K$2771,7,0)</f>
        <v>ENDirect</v>
      </c>
      <c r="N1588" s="7" t="str">
        <f>IFERROR(HLOOKUP(L1588,'Calc|Weightings'!$K$5:$M$5,1,0),"Excl")</f>
        <v>Labour</v>
      </c>
      <c r="O1588" s="7" t="str">
        <f>VLOOKUP(E1588,Mapping!$E$11:$I$96,5,0)</f>
        <v>SCS</v>
      </c>
      <c r="Q1588" s="33">
        <v>168</v>
      </c>
      <c r="R1588" s="33" t="s">
        <v>2176</v>
      </c>
      <c r="S1588" s="33">
        <v>613361</v>
      </c>
      <c r="T1588" s="33" t="s">
        <v>2098</v>
      </c>
      <c r="U1588" s="34">
        <v>0.29349999999999998</v>
      </c>
      <c r="V1588" s="7"/>
      <c r="W1588" s="7" t="str">
        <f>VLOOKUP($Q1588,Mapping!$E$11:$I$96,3,0)</f>
        <v>Augmentation</v>
      </c>
      <c r="X1588" s="7" t="str">
        <f>VLOOKUP($S1588,Mapping!$E$140:$K$2771,5,0)</f>
        <v>Labour</v>
      </c>
      <c r="Y1588" s="7" t="str">
        <f>VLOOKUP($S1588,Mapping!$E$140:$K$2771,7,0)</f>
        <v>ENDirect</v>
      </c>
      <c r="Z1588" s="7" t="str">
        <f>IFERROR(HLOOKUP(X1588,'Calc|Weightings'!$K$5:$M$5,1,0),"Excl")</f>
        <v>Labour</v>
      </c>
      <c r="AA1588" s="7" t="str">
        <f>VLOOKUP(Q1588,Mapping!$E$11:$I$96,5,0)</f>
        <v>SCS</v>
      </c>
      <c r="AC1588" s="111">
        <v>163</v>
      </c>
      <c r="AD1588" s="111" t="s">
        <v>2173</v>
      </c>
      <c r="AE1588" s="111">
        <v>613370</v>
      </c>
      <c r="AF1588" s="111" t="s">
        <v>1402</v>
      </c>
      <c r="AG1588" s="112">
        <v>2.55646</v>
      </c>
      <c r="AI1588" s="7" t="str">
        <f>VLOOKUP($AC1588,Mapping!$E$11:$I$96,3,0)</f>
        <v>Replacement</v>
      </c>
      <c r="AJ1588" s="7" t="str">
        <f>VLOOKUP($AE1588,Mapping!$E$140:$K$2771,5,0)</f>
        <v>Labour</v>
      </c>
      <c r="AK1588" s="7" t="str">
        <f>VLOOKUP($AE1588,Mapping!$E$140:$K$2771,7,0)</f>
        <v>ENDirect</v>
      </c>
      <c r="AL1588" s="7" t="str">
        <f>IFERROR(HLOOKUP(AJ1588,'Calc|Weightings'!$K$5:$M$5,1,0),"Excl")</f>
        <v>Labour</v>
      </c>
      <c r="AM1588" s="7" t="str">
        <f>VLOOKUP(AC1588,Mapping!$E$11:$I$96,5,0)</f>
        <v>SCS</v>
      </c>
      <c r="AO1588" s="134">
        <v>172</v>
      </c>
      <c r="AP1588" s="135" t="s">
        <v>2177</v>
      </c>
      <c r="AQ1588" s="135">
        <v>520100</v>
      </c>
      <c r="AR1588" s="135" t="s">
        <v>2072</v>
      </c>
      <c r="AS1588" s="136">
        <v>18.157029999999999</v>
      </c>
      <c r="AU1588" s="7" t="str">
        <f>VLOOKUP($AO1588,Mapping!$E$11:$I$96,3,0)</f>
        <v>Replacement</v>
      </c>
      <c r="AV1588" s="7" t="str">
        <f>VLOOKUP($AQ1588,Mapping!$E$140:$K$2771,5,0)</f>
        <v>Materials</v>
      </c>
      <c r="AW1588" s="7" t="str">
        <f>VLOOKUP($AQ1588,Mapping!$E$140:$K$2771,7,0)</f>
        <v>ENDirect</v>
      </c>
      <c r="AX1588" s="7" t="str">
        <f>IFERROR(HLOOKUP(AV1588,'Calc|Weightings'!$K$5:$M$5,1,0),"Excl")</f>
        <v>Materials</v>
      </c>
      <c r="AY1588" s="7" t="str">
        <f>VLOOKUP(AO1588,Mapping!$E$11:$I$96,5,0)</f>
        <v>SCS</v>
      </c>
    </row>
    <row r="1589" spans="1:51" x14ac:dyDescent="0.2">
      <c r="A1589" s="7"/>
      <c r="B1589" s="7"/>
      <c r="C1589" s="7"/>
      <c r="D1589" s="7"/>
      <c r="E1589" s="36">
        <v>155</v>
      </c>
      <c r="F1589" s="36" t="s">
        <v>2164</v>
      </c>
      <c r="G1589" s="36">
        <v>613800</v>
      </c>
      <c r="H1589" s="36" t="s">
        <v>2142</v>
      </c>
      <c r="I1589" s="37">
        <v>36.787089999999999</v>
      </c>
      <c r="J1589" s="7"/>
      <c r="K1589" s="7" t="str">
        <f>VLOOKUP($E1589,Mapping!$E$11:$I$96,3,0)</f>
        <v>Replacement</v>
      </c>
      <c r="L1589" s="7" t="str">
        <f>VLOOKUP($G1589,Mapping!$E$140:$K$2771,5,0)</f>
        <v>Materials</v>
      </c>
      <c r="M1589" s="7" t="str">
        <f>VLOOKUP($G1589,Mapping!$E$140:$K$2771,7,0)</f>
        <v>ENDirect</v>
      </c>
      <c r="N1589" s="7" t="str">
        <f>IFERROR(HLOOKUP(L1589,'Calc|Weightings'!$K$5:$M$5,1,0),"Excl")</f>
        <v>Materials</v>
      </c>
      <c r="O1589" s="7" t="str">
        <f>VLOOKUP(E1589,Mapping!$E$11:$I$96,5,0)</f>
        <v>SCS</v>
      </c>
      <c r="Q1589" s="33">
        <v>168</v>
      </c>
      <c r="R1589" s="33" t="s">
        <v>2176</v>
      </c>
      <c r="S1589" s="33">
        <v>613366</v>
      </c>
      <c r="T1589" s="33" t="s">
        <v>1400</v>
      </c>
      <c r="U1589" s="34">
        <v>11.708</v>
      </c>
      <c r="V1589" s="7"/>
      <c r="W1589" s="7" t="str">
        <f>VLOOKUP($Q1589,Mapping!$E$11:$I$96,3,0)</f>
        <v>Augmentation</v>
      </c>
      <c r="X1589" s="7" t="str">
        <f>VLOOKUP($S1589,Mapping!$E$140:$K$2771,5,0)</f>
        <v>Labour</v>
      </c>
      <c r="Y1589" s="7" t="str">
        <f>VLOOKUP($S1589,Mapping!$E$140:$K$2771,7,0)</f>
        <v>ENDirect</v>
      </c>
      <c r="Z1589" s="7" t="str">
        <f>IFERROR(HLOOKUP(X1589,'Calc|Weightings'!$K$5:$M$5,1,0),"Excl")</f>
        <v>Labour</v>
      </c>
      <c r="AA1589" s="7" t="str">
        <f>VLOOKUP(Q1589,Mapping!$E$11:$I$96,5,0)</f>
        <v>SCS</v>
      </c>
      <c r="AC1589" s="111">
        <v>163</v>
      </c>
      <c r="AD1589" s="111" t="s">
        <v>2173</v>
      </c>
      <c r="AE1589" s="111">
        <v>613576</v>
      </c>
      <c r="AF1589" s="111" t="s">
        <v>1490</v>
      </c>
      <c r="AG1589" s="112">
        <v>3.8662399999999999</v>
      </c>
      <c r="AI1589" s="7" t="str">
        <f>VLOOKUP($AC1589,Mapping!$E$11:$I$96,3,0)</f>
        <v>Replacement</v>
      </c>
      <c r="AJ1589" s="7" t="str">
        <f>VLOOKUP($AE1589,Mapping!$E$140:$K$2771,5,0)</f>
        <v>Labour</v>
      </c>
      <c r="AK1589" s="7" t="str">
        <f>VLOOKUP($AE1589,Mapping!$E$140:$K$2771,7,0)</f>
        <v>ENDirect</v>
      </c>
      <c r="AL1589" s="7" t="str">
        <f>IFERROR(HLOOKUP(AJ1589,'Calc|Weightings'!$K$5:$M$5,1,0),"Excl")</f>
        <v>Labour</v>
      </c>
      <c r="AM1589" s="7" t="str">
        <f>VLOOKUP(AC1589,Mapping!$E$11:$I$96,5,0)</f>
        <v>SCS</v>
      </c>
      <c r="AO1589" s="134">
        <v>172</v>
      </c>
      <c r="AP1589" s="135" t="s">
        <v>2177</v>
      </c>
      <c r="AQ1589" s="135">
        <v>531467</v>
      </c>
      <c r="AR1589" s="135" t="s">
        <v>259</v>
      </c>
      <c r="AS1589" s="136">
        <v>10.291589999999999</v>
      </c>
      <c r="AU1589" s="7" t="str">
        <f>VLOOKUP($AO1589,Mapping!$E$11:$I$96,3,0)</f>
        <v>Replacement</v>
      </c>
      <c r="AV1589" s="7" t="str">
        <f>VLOOKUP($AQ1589,Mapping!$E$140:$K$2771,5,0)</f>
        <v>Contracts</v>
      </c>
      <c r="AW1589" s="7" t="str">
        <f>VLOOKUP($AQ1589,Mapping!$E$140:$K$2771,7,0)</f>
        <v>ENDirect</v>
      </c>
      <c r="AX1589" s="7" t="str">
        <f>IFERROR(HLOOKUP(AV1589,'Calc|Weightings'!$K$5:$M$5,1,0),"Excl")</f>
        <v>Contracts</v>
      </c>
      <c r="AY1589" s="7" t="str">
        <f>VLOOKUP(AO1589,Mapping!$E$11:$I$96,5,0)</f>
        <v>SCS</v>
      </c>
    </row>
    <row r="1590" spans="1:51" x14ac:dyDescent="0.2">
      <c r="A1590" s="7"/>
      <c r="B1590" s="7"/>
      <c r="C1590" s="7"/>
      <c r="D1590" s="7"/>
      <c r="E1590" s="36">
        <v>155</v>
      </c>
      <c r="F1590" s="36" t="s">
        <v>2164</v>
      </c>
      <c r="G1590" s="36">
        <v>633000</v>
      </c>
      <c r="H1590" s="36" t="s">
        <v>2202</v>
      </c>
      <c r="I1590" s="37">
        <v>248.21579</v>
      </c>
      <c r="J1590" s="7"/>
      <c r="K1590" s="7" t="str">
        <f>VLOOKUP($E1590,Mapping!$E$11:$I$96,3,0)</f>
        <v>Replacement</v>
      </c>
      <c r="L1590" s="7" t="str">
        <f>VLOOKUP($G1590,Mapping!$E$140:$K$2771,5,0)</f>
        <v>Contracts</v>
      </c>
      <c r="M1590" s="7" t="str">
        <f>VLOOKUP($G1590,Mapping!$E$140:$K$2771,7,0)</f>
        <v>OH</v>
      </c>
      <c r="N1590" s="7" t="str">
        <f>IFERROR(HLOOKUP(L1590,'Calc|Weightings'!$K$5:$M$5,1,0),"Excl")</f>
        <v>Contracts</v>
      </c>
      <c r="O1590" s="7" t="str">
        <f>VLOOKUP(E1590,Mapping!$E$11:$I$96,5,0)</f>
        <v>SCS</v>
      </c>
      <c r="Q1590" s="33">
        <v>168</v>
      </c>
      <c r="R1590" s="33" t="s">
        <v>2176</v>
      </c>
      <c r="S1590" s="33">
        <v>613370</v>
      </c>
      <c r="T1590" s="33" t="s">
        <v>1402</v>
      </c>
      <c r="U1590" s="34">
        <v>29.797899999999998</v>
      </c>
      <c r="V1590" s="7"/>
      <c r="W1590" s="7" t="str">
        <f>VLOOKUP($Q1590,Mapping!$E$11:$I$96,3,0)</f>
        <v>Augmentation</v>
      </c>
      <c r="X1590" s="7" t="str">
        <f>VLOOKUP($S1590,Mapping!$E$140:$K$2771,5,0)</f>
        <v>Labour</v>
      </c>
      <c r="Y1590" s="7" t="str">
        <f>VLOOKUP($S1590,Mapping!$E$140:$K$2771,7,0)</f>
        <v>ENDirect</v>
      </c>
      <c r="Z1590" s="7" t="str">
        <f>IFERROR(HLOOKUP(X1590,'Calc|Weightings'!$K$5:$M$5,1,0),"Excl")</f>
        <v>Labour</v>
      </c>
      <c r="AA1590" s="7" t="str">
        <f>VLOOKUP(Q1590,Mapping!$E$11:$I$96,5,0)</f>
        <v>SCS</v>
      </c>
      <c r="AC1590" s="111">
        <v>163</v>
      </c>
      <c r="AD1590" s="111" t="s">
        <v>2173</v>
      </c>
      <c r="AE1590" s="111">
        <v>613577</v>
      </c>
      <c r="AF1590" s="111" t="s">
        <v>1491</v>
      </c>
      <c r="AG1590" s="112">
        <v>0.31940000000000002</v>
      </c>
      <c r="AI1590" s="7" t="str">
        <f>VLOOKUP($AC1590,Mapping!$E$11:$I$96,3,0)</f>
        <v>Replacement</v>
      </c>
      <c r="AJ1590" s="7" t="str">
        <f>VLOOKUP($AE1590,Mapping!$E$140:$K$2771,5,0)</f>
        <v>Labour</v>
      </c>
      <c r="AK1590" s="7" t="str">
        <f>VLOOKUP($AE1590,Mapping!$E$140:$K$2771,7,0)</f>
        <v>ENDirect</v>
      </c>
      <c r="AL1590" s="7" t="str">
        <f>IFERROR(HLOOKUP(AJ1590,'Calc|Weightings'!$K$5:$M$5,1,0),"Excl")</f>
        <v>Labour</v>
      </c>
      <c r="AM1590" s="7" t="str">
        <f>VLOOKUP(AC1590,Mapping!$E$11:$I$96,5,0)</f>
        <v>SCS</v>
      </c>
      <c r="AO1590" s="134">
        <v>172</v>
      </c>
      <c r="AP1590" s="135" t="s">
        <v>2177</v>
      </c>
      <c r="AQ1590" s="135">
        <v>611900</v>
      </c>
      <c r="AR1590" s="135" t="s">
        <v>2079</v>
      </c>
      <c r="AS1590" s="136">
        <v>1.0763100000000001</v>
      </c>
      <c r="AU1590" s="7" t="str">
        <f>VLOOKUP($AO1590,Mapping!$E$11:$I$96,3,0)</f>
        <v>Replacement</v>
      </c>
      <c r="AV1590" s="7" t="str">
        <f>VLOOKUP($AQ1590,Mapping!$E$140:$K$2771,5,0)</f>
        <v>Contracts</v>
      </c>
      <c r="AW1590" s="7" t="str">
        <f>VLOOKUP($AQ1590,Mapping!$E$140:$K$2771,7,0)</f>
        <v>ENDirect</v>
      </c>
      <c r="AX1590" s="7" t="str">
        <f>IFERROR(HLOOKUP(AV1590,'Calc|Weightings'!$K$5:$M$5,1,0),"Excl")</f>
        <v>Contracts</v>
      </c>
      <c r="AY1590" s="7" t="str">
        <f>VLOOKUP(AO1590,Mapping!$E$11:$I$96,5,0)</f>
        <v>SCS</v>
      </c>
    </row>
    <row r="1591" spans="1:51" x14ac:dyDescent="0.2">
      <c r="A1591" s="7"/>
      <c r="B1591" s="7"/>
      <c r="C1591" s="7"/>
      <c r="D1591" s="7"/>
      <c r="E1591" s="36">
        <v>155</v>
      </c>
      <c r="F1591" s="36" t="s">
        <v>2164</v>
      </c>
      <c r="G1591" s="36">
        <v>634001</v>
      </c>
      <c r="H1591" s="36" t="s">
        <v>2110</v>
      </c>
      <c r="I1591" s="37">
        <v>15.17281</v>
      </c>
      <c r="J1591" s="7"/>
      <c r="K1591" s="7" t="str">
        <f>VLOOKUP($E1591,Mapping!$E$11:$I$96,3,0)</f>
        <v>Replacement</v>
      </c>
      <c r="L1591" s="7" t="str">
        <f>VLOOKUP($G1591,Mapping!$E$140:$K$2771,5,0)</f>
        <v>Local OH</v>
      </c>
      <c r="M1591" s="7" t="str">
        <f>VLOOKUP($G1591,Mapping!$E$140:$K$2771,7,0)</f>
        <v>OH</v>
      </c>
      <c r="N1591" s="7" t="str">
        <f>IFERROR(HLOOKUP(L1591,'Calc|Weightings'!$K$5:$M$5,1,0),"Excl")</f>
        <v>Excl</v>
      </c>
      <c r="O1591" s="7" t="str">
        <f>VLOOKUP(E1591,Mapping!$E$11:$I$96,5,0)</f>
        <v>SCS</v>
      </c>
      <c r="Q1591" s="33">
        <v>168</v>
      </c>
      <c r="R1591" s="33" t="s">
        <v>2176</v>
      </c>
      <c r="S1591" s="33">
        <v>613410</v>
      </c>
      <c r="T1591" s="33" t="s">
        <v>2100</v>
      </c>
      <c r="U1591" s="34">
        <v>0.92323999999999995</v>
      </c>
      <c r="V1591" s="7"/>
      <c r="W1591" s="7" t="str">
        <f>VLOOKUP($Q1591,Mapping!$E$11:$I$96,3,0)</f>
        <v>Augmentation</v>
      </c>
      <c r="X1591" s="7" t="str">
        <f>VLOOKUP($S1591,Mapping!$E$140:$K$2771,5,0)</f>
        <v>Labour</v>
      </c>
      <c r="Y1591" s="7" t="str">
        <f>VLOOKUP($S1591,Mapping!$E$140:$K$2771,7,0)</f>
        <v>ENDirect</v>
      </c>
      <c r="Z1591" s="7" t="str">
        <f>IFERROR(HLOOKUP(X1591,'Calc|Weightings'!$K$5:$M$5,1,0),"Excl")</f>
        <v>Labour</v>
      </c>
      <c r="AA1591" s="7" t="str">
        <f>VLOOKUP(Q1591,Mapping!$E$11:$I$96,5,0)</f>
        <v>SCS</v>
      </c>
      <c r="AC1591" s="111">
        <v>163</v>
      </c>
      <c r="AD1591" s="111" t="s">
        <v>2173</v>
      </c>
      <c r="AE1591" s="111">
        <v>613602</v>
      </c>
      <c r="AF1591" s="111" t="s">
        <v>1494</v>
      </c>
      <c r="AG1591" s="112">
        <v>1.9331199999999999</v>
      </c>
      <c r="AI1591" s="7" t="str">
        <f>VLOOKUP($AC1591,Mapping!$E$11:$I$96,3,0)</f>
        <v>Replacement</v>
      </c>
      <c r="AJ1591" s="7" t="str">
        <f>VLOOKUP($AE1591,Mapping!$E$140:$K$2771,5,0)</f>
        <v>Labour</v>
      </c>
      <c r="AK1591" s="7" t="str">
        <f>VLOOKUP($AE1591,Mapping!$E$140:$K$2771,7,0)</f>
        <v>ENDirect</v>
      </c>
      <c r="AL1591" s="7" t="str">
        <f>IFERROR(HLOOKUP(AJ1591,'Calc|Weightings'!$K$5:$M$5,1,0),"Excl")</f>
        <v>Labour</v>
      </c>
      <c r="AM1591" s="7" t="str">
        <f>VLOOKUP(AC1591,Mapping!$E$11:$I$96,5,0)</f>
        <v>SCS</v>
      </c>
      <c r="AO1591" s="134">
        <v>172</v>
      </c>
      <c r="AP1591" s="135" t="s">
        <v>2177</v>
      </c>
      <c r="AQ1591" s="135">
        <v>611901</v>
      </c>
      <c r="AR1591" s="135" t="s">
        <v>2080</v>
      </c>
      <c r="AS1591" s="136">
        <v>1.0279999999999999E-2</v>
      </c>
      <c r="AU1591" s="7" t="str">
        <f>VLOOKUP($AO1591,Mapping!$E$11:$I$96,3,0)</f>
        <v>Replacement</v>
      </c>
      <c r="AV1591" s="7" t="str">
        <f>VLOOKUP($AQ1591,Mapping!$E$140:$K$2771,5,0)</f>
        <v>Contracts</v>
      </c>
      <c r="AW1591" s="7" t="str">
        <f>VLOOKUP($AQ1591,Mapping!$E$140:$K$2771,7,0)</f>
        <v>ENDirect</v>
      </c>
      <c r="AX1591" s="7" t="str">
        <f>IFERROR(HLOOKUP(AV1591,'Calc|Weightings'!$K$5:$M$5,1,0),"Excl")</f>
        <v>Contracts</v>
      </c>
      <c r="AY1591" s="7" t="str">
        <f>VLOOKUP(AO1591,Mapping!$E$11:$I$96,5,0)</f>
        <v>SCS</v>
      </c>
    </row>
    <row r="1592" spans="1:51" x14ac:dyDescent="0.2">
      <c r="A1592" s="7"/>
      <c r="B1592" s="7"/>
      <c r="C1592" s="7"/>
      <c r="D1592" s="7"/>
      <c r="E1592" s="36">
        <v>155</v>
      </c>
      <c r="F1592" s="36" t="s">
        <v>2164</v>
      </c>
      <c r="G1592" s="36">
        <v>635001</v>
      </c>
      <c r="H1592" s="36" t="s">
        <v>1929</v>
      </c>
      <c r="I1592" s="37">
        <v>137.07437999999999</v>
      </c>
      <c r="J1592" s="7"/>
      <c r="K1592" s="7" t="str">
        <f>VLOOKUP($E1592,Mapping!$E$11:$I$96,3,0)</f>
        <v>Replacement</v>
      </c>
      <c r="L1592" s="7" t="str">
        <f>VLOOKUP($G1592,Mapping!$E$140:$K$2771,5,0)</f>
        <v>PNS MG</v>
      </c>
      <c r="M1592" s="7" t="str">
        <f>VLOOKUP($G1592,Mapping!$E$140:$K$2771,7,0)</f>
        <v>ENDirect</v>
      </c>
      <c r="N1592" s="7" t="str">
        <f>IFERROR(HLOOKUP(L1592,'Calc|Weightings'!$K$5:$M$5,1,0),"Excl")</f>
        <v>Excl</v>
      </c>
      <c r="O1592" s="7" t="str">
        <f>VLOOKUP(E1592,Mapping!$E$11:$I$96,5,0)</f>
        <v>SCS</v>
      </c>
      <c r="Q1592" s="33">
        <v>168</v>
      </c>
      <c r="R1592" s="33" t="s">
        <v>2176</v>
      </c>
      <c r="S1592" s="33">
        <v>613434</v>
      </c>
      <c r="T1592" s="33" t="s">
        <v>2102</v>
      </c>
      <c r="U1592" s="34">
        <v>1.98464</v>
      </c>
      <c r="V1592" s="7"/>
      <c r="W1592" s="7" t="str">
        <f>VLOOKUP($Q1592,Mapping!$E$11:$I$96,3,0)</f>
        <v>Augmentation</v>
      </c>
      <c r="X1592" s="7" t="str">
        <f>VLOOKUP($S1592,Mapping!$E$140:$K$2771,5,0)</f>
        <v>Labour</v>
      </c>
      <c r="Y1592" s="7" t="str">
        <f>VLOOKUP($S1592,Mapping!$E$140:$K$2771,7,0)</f>
        <v>ENDirect</v>
      </c>
      <c r="Z1592" s="7" t="str">
        <f>IFERROR(HLOOKUP(X1592,'Calc|Weightings'!$K$5:$M$5,1,0),"Excl")</f>
        <v>Labour</v>
      </c>
      <c r="AA1592" s="7" t="str">
        <f>VLOOKUP(Q1592,Mapping!$E$11:$I$96,5,0)</f>
        <v>SCS</v>
      </c>
      <c r="AC1592" s="111">
        <v>163</v>
      </c>
      <c r="AD1592" s="111" t="s">
        <v>2173</v>
      </c>
      <c r="AE1592" s="111">
        <v>613603</v>
      </c>
      <c r="AF1592" s="111" t="s">
        <v>1495</v>
      </c>
      <c r="AG1592" s="112">
        <v>0.15970000000000001</v>
      </c>
      <c r="AI1592" s="7" t="str">
        <f>VLOOKUP($AC1592,Mapping!$E$11:$I$96,3,0)</f>
        <v>Replacement</v>
      </c>
      <c r="AJ1592" s="7" t="str">
        <f>VLOOKUP($AE1592,Mapping!$E$140:$K$2771,5,0)</f>
        <v>Labour</v>
      </c>
      <c r="AK1592" s="7" t="str">
        <f>VLOOKUP($AE1592,Mapping!$E$140:$K$2771,7,0)</f>
        <v>ENDirect</v>
      </c>
      <c r="AL1592" s="7" t="str">
        <f>IFERROR(HLOOKUP(AJ1592,'Calc|Weightings'!$K$5:$M$5,1,0),"Excl")</f>
        <v>Labour</v>
      </c>
      <c r="AM1592" s="7" t="str">
        <f>VLOOKUP(AC1592,Mapping!$E$11:$I$96,5,0)</f>
        <v>SCS</v>
      </c>
      <c r="AO1592" s="134">
        <v>172</v>
      </c>
      <c r="AP1592" s="135" t="s">
        <v>2177</v>
      </c>
      <c r="AQ1592" s="135">
        <v>613236</v>
      </c>
      <c r="AR1592" s="135" t="s">
        <v>2420</v>
      </c>
      <c r="AS1592" s="136">
        <v>0.91883999999999999</v>
      </c>
      <c r="AU1592" s="7" t="str">
        <f>VLOOKUP($AO1592,Mapping!$E$11:$I$96,3,0)</f>
        <v>Replacement</v>
      </c>
      <c r="AV1592" s="7" t="str">
        <f>VLOOKUP($AQ1592,Mapping!$E$140:$K$2771,5,0)</f>
        <v>Labour</v>
      </c>
      <c r="AW1592" s="7" t="str">
        <f>VLOOKUP($AQ1592,Mapping!$E$140:$K$2771,7,0)</f>
        <v>ENDirect</v>
      </c>
      <c r="AX1592" s="7" t="str">
        <f>IFERROR(HLOOKUP(AV1592,'Calc|Weightings'!$K$5:$M$5,1,0),"Excl")</f>
        <v>Labour</v>
      </c>
      <c r="AY1592" s="7" t="str">
        <f>VLOOKUP(AO1592,Mapping!$E$11:$I$96,5,0)</f>
        <v>SCS</v>
      </c>
    </row>
    <row r="1593" spans="1:51" x14ac:dyDescent="0.2">
      <c r="A1593" s="7"/>
      <c r="B1593" s="7"/>
      <c r="C1593" s="7"/>
      <c r="D1593" s="7"/>
      <c r="E1593" s="36">
        <v>155</v>
      </c>
      <c r="F1593" s="36" t="s">
        <v>2164</v>
      </c>
      <c r="G1593" s="36">
        <v>636001</v>
      </c>
      <c r="H1593" s="36" t="s">
        <v>2111</v>
      </c>
      <c r="I1593" s="37">
        <v>26.185649999999999</v>
      </c>
      <c r="J1593" s="7"/>
      <c r="K1593" s="7" t="str">
        <f>VLOOKUP($E1593,Mapping!$E$11:$I$96,3,0)</f>
        <v>Replacement</v>
      </c>
      <c r="L1593" s="7" t="str">
        <f>VLOOKUP($G1593,Mapping!$E$140:$K$2771,5,0)</f>
        <v>System Control OH</v>
      </c>
      <c r="M1593" s="7" t="str">
        <f>VLOOKUP($G1593,Mapping!$E$140:$K$2771,7,0)</f>
        <v>OH</v>
      </c>
      <c r="N1593" s="7" t="str">
        <f>IFERROR(HLOOKUP(L1593,'Calc|Weightings'!$K$5:$M$5,1,0),"Excl")</f>
        <v>Excl</v>
      </c>
      <c r="O1593" s="7" t="str">
        <f>VLOOKUP(E1593,Mapping!$E$11:$I$96,5,0)</f>
        <v>SCS</v>
      </c>
      <c r="Q1593" s="33">
        <v>168</v>
      </c>
      <c r="R1593" s="33" t="s">
        <v>2176</v>
      </c>
      <c r="S1593" s="33">
        <v>613440</v>
      </c>
      <c r="T1593" s="33" t="s">
        <v>2103</v>
      </c>
      <c r="U1593" s="34">
        <v>0.80017000000000005</v>
      </c>
      <c r="V1593" s="7"/>
      <c r="W1593" s="7" t="str">
        <f>VLOOKUP($Q1593,Mapping!$E$11:$I$96,3,0)</f>
        <v>Augmentation</v>
      </c>
      <c r="X1593" s="7" t="str">
        <f>VLOOKUP($S1593,Mapping!$E$140:$K$2771,5,0)</f>
        <v>Labour</v>
      </c>
      <c r="Y1593" s="7" t="str">
        <f>VLOOKUP($S1593,Mapping!$E$140:$K$2771,7,0)</f>
        <v>ENDirect</v>
      </c>
      <c r="Z1593" s="7" t="str">
        <f>IFERROR(HLOOKUP(X1593,'Calc|Weightings'!$K$5:$M$5,1,0),"Excl")</f>
        <v>Labour</v>
      </c>
      <c r="AA1593" s="7" t="str">
        <f>VLOOKUP(Q1593,Mapping!$E$11:$I$96,5,0)</f>
        <v>SCS</v>
      </c>
      <c r="AC1593" s="111">
        <v>163</v>
      </c>
      <c r="AD1593" s="111" t="s">
        <v>2173</v>
      </c>
      <c r="AE1593" s="111">
        <v>634001</v>
      </c>
      <c r="AF1593" s="111" t="s">
        <v>2110</v>
      </c>
      <c r="AG1593" s="112">
        <v>10.919129999999999</v>
      </c>
      <c r="AI1593" s="7" t="str">
        <f>VLOOKUP($AC1593,Mapping!$E$11:$I$96,3,0)</f>
        <v>Replacement</v>
      </c>
      <c r="AJ1593" s="7" t="str">
        <f>VLOOKUP($AE1593,Mapping!$E$140:$K$2771,5,0)</f>
        <v>Local OH</v>
      </c>
      <c r="AK1593" s="7" t="str">
        <f>VLOOKUP($AE1593,Mapping!$E$140:$K$2771,7,0)</f>
        <v>OH</v>
      </c>
      <c r="AL1593" s="7" t="str">
        <f>IFERROR(HLOOKUP(AJ1593,'Calc|Weightings'!$K$5:$M$5,1,0),"Excl")</f>
        <v>Excl</v>
      </c>
      <c r="AM1593" s="7" t="str">
        <f>VLOOKUP(AC1593,Mapping!$E$11:$I$96,5,0)</f>
        <v>SCS</v>
      </c>
      <c r="AO1593" s="134">
        <v>172</v>
      </c>
      <c r="AP1593" s="135" t="s">
        <v>2177</v>
      </c>
      <c r="AQ1593" s="135">
        <v>613240</v>
      </c>
      <c r="AR1593" s="135" t="s">
        <v>2082</v>
      </c>
      <c r="AS1593" s="136">
        <v>17.90906</v>
      </c>
      <c r="AU1593" s="7" t="str">
        <f>VLOOKUP($AO1593,Mapping!$E$11:$I$96,3,0)</f>
        <v>Replacement</v>
      </c>
      <c r="AV1593" s="7" t="str">
        <f>VLOOKUP($AQ1593,Mapping!$E$140:$K$2771,5,0)</f>
        <v>Labour</v>
      </c>
      <c r="AW1593" s="7" t="str">
        <f>VLOOKUP($AQ1593,Mapping!$E$140:$K$2771,7,0)</f>
        <v>ENDirect</v>
      </c>
      <c r="AX1593" s="7" t="str">
        <f>IFERROR(HLOOKUP(AV1593,'Calc|Weightings'!$K$5:$M$5,1,0),"Excl")</f>
        <v>Labour</v>
      </c>
      <c r="AY1593" s="7" t="str">
        <f>VLOOKUP(AO1593,Mapping!$E$11:$I$96,5,0)</f>
        <v>SCS</v>
      </c>
    </row>
    <row r="1594" spans="1:51" x14ac:dyDescent="0.2">
      <c r="A1594" s="7"/>
      <c r="B1594" s="7"/>
      <c r="C1594" s="7"/>
      <c r="D1594" s="7"/>
      <c r="E1594" s="36">
        <v>155</v>
      </c>
      <c r="F1594" s="36" t="s">
        <v>2164</v>
      </c>
      <c r="G1594" s="36">
        <v>639000</v>
      </c>
      <c r="H1594" s="36" t="s">
        <v>2112</v>
      </c>
      <c r="I1594" s="37">
        <v>46.466369999999998</v>
      </c>
      <c r="J1594" s="7"/>
      <c r="K1594" s="7" t="str">
        <f>VLOOKUP($E1594,Mapping!$E$11:$I$96,3,0)</f>
        <v>Replacement</v>
      </c>
      <c r="L1594" s="7" t="str">
        <f>VLOOKUP($G1594,Mapping!$E$140:$K$2771,5,0)</f>
        <v>PNS Corporate OH</v>
      </c>
      <c r="M1594" s="7" t="str">
        <f>VLOOKUP($G1594,Mapping!$E$140:$K$2771,7,0)</f>
        <v>OH</v>
      </c>
      <c r="N1594" s="7" t="str">
        <f>IFERROR(HLOOKUP(L1594,'Calc|Weightings'!$K$5:$M$5,1,0),"Excl")</f>
        <v>Excl</v>
      </c>
      <c r="O1594" s="7" t="str">
        <f>VLOOKUP(E1594,Mapping!$E$11:$I$96,5,0)</f>
        <v>SCS</v>
      </c>
      <c r="Q1594" s="33">
        <v>168</v>
      </c>
      <c r="R1594" s="33" t="s">
        <v>2176</v>
      </c>
      <c r="S1594" s="33">
        <v>613448</v>
      </c>
      <c r="T1594" s="33" t="s">
        <v>2105</v>
      </c>
      <c r="U1594" s="34">
        <v>2.1040000000000001</v>
      </c>
      <c r="V1594" s="7"/>
      <c r="W1594" s="7" t="str">
        <f>VLOOKUP($Q1594,Mapping!$E$11:$I$96,3,0)</f>
        <v>Augmentation</v>
      </c>
      <c r="X1594" s="7" t="str">
        <f>VLOOKUP($S1594,Mapping!$E$140:$K$2771,5,0)</f>
        <v>Labour</v>
      </c>
      <c r="Y1594" s="7" t="str">
        <f>VLOOKUP($S1594,Mapping!$E$140:$K$2771,7,0)</f>
        <v>ENDirect</v>
      </c>
      <c r="Z1594" s="7" t="str">
        <f>IFERROR(HLOOKUP(X1594,'Calc|Weightings'!$K$5:$M$5,1,0),"Excl")</f>
        <v>Labour</v>
      </c>
      <c r="AA1594" s="7" t="str">
        <f>VLOOKUP(Q1594,Mapping!$E$11:$I$96,5,0)</f>
        <v>SCS</v>
      </c>
      <c r="AC1594" s="111">
        <v>163</v>
      </c>
      <c r="AD1594" s="111" t="s">
        <v>2173</v>
      </c>
      <c r="AE1594" s="111">
        <v>635001</v>
      </c>
      <c r="AF1594" s="111" t="s">
        <v>1929</v>
      </c>
      <c r="AG1594" s="112">
        <v>2.6799300000000001</v>
      </c>
      <c r="AI1594" s="7" t="str">
        <f>VLOOKUP($AC1594,Mapping!$E$11:$I$96,3,0)</f>
        <v>Replacement</v>
      </c>
      <c r="AJ1594" s="7" t="str">
        <f>VLOOKUP($AE1594,Mapping!$E$140:$K$2771,5,0)</f>
        <v>PNS MG</v>
      </c>
      <c r="AK1594" s="7" t="str">
        <f>VLOOKUP($AE1594,Mapping!$E$140:$K$2771,7,0)</f>
        <v>ENDirect</v>
      </c>
      <c r="AL1594" s="7" t="str">
        <f>IFERROR(HLOOKUP(AJ1594,'Calc|Weightings'!$K$5:$M$5,1,0),"Excl")</f>
        <v>Excl</v>
      </c>
      <c r="AM1594" s="7" t="str">
        <f>VLOOKUP(AC1594,Mapping!$E$11:$I$96,5,0)</f>
        <v>SCS</v>
      </c>
      <c r="AO1594" s="134">
        <v>172</v>
      </c>
      <c r="AP1594" s="135" t="s">
        <v>2177</v>
      </c>
      <c r="AQ1594" s="135">
        <v>613250</v>
      </c>
      <c r="AR1594" s="135" t="s">
        <v>2086</v>
      </c>
      <c r="AS1594" s="136">
        <v>40.50553</v>
      </c>
      <c r="AU1594" s="7" t="str">
        <f>VLOOKUP($AO1594,Mapping!$E$11:$I$96,3,0)</f>
        <v>Replacement</v>
      </c>
      <c r="AV1594" s="7" t="str">
        <f>VLOOKUP($AQ1594,Mapping!$E$140:$K$2771,5,0)</f>
        <v>Labour</v>
      </c>
      <c r="AW1594" s="7" t="str">
        <f>VLOOKUP($AQ1594,Mapping!$E$140:$K$2771,7,0)</f>
        <v>ENDirect</v>
      </c>
      <c r="AX1594" s="7" t="str">
        <f>IFERROR(HLOOKUP(AV1594,'Calc|Weightings'!$K$5:$M$5,1,0),"Excl")</f>
        <v>Labour</v>
      </c>
      <c r="AY1594" s="7" t="str">
        <f>VLOOKUP(AO1594,Mapping!$E$11:$I$96,5,0)</f>
        <v>SCS</v>
      </c>
    </row>
    <row r="1595" spans="1:51" x14ac:dyDescent="0.2">
      <c r="A1595" s="7"/>
      <c r="B1595" s="7"/>
      <c r="C1595" s="7"/>
      <c r="D1595" s="7"/>
      <c r="E1595" s="36">
        <v>155</v>
      </c>
      <c r="F1595" s="36" t="s">
        <v>2164</v>
      </c>
      <c r="G1595" s="36">
        <v>639050</v>
      </c>
      <c r="H1595" s="36" t="s">
        <v>2113</v>
      </c>
      <c r="I1595" s="37">
        <v>6.7206799999999998</v>
      </c>
      <c r="J1595" s="7"/>
      <c r="K1595" s="7" t="str">
        <f>VLOOKUP($E1595,Mapping!$E$11:$I$96,3,0)</f>
        <v>Replacement</v>
      </c>
      <c r="L1595" s="7" t="str">
        <f>VLOOKUP($G1595,Mapping!$E$140:$K$2771,5,0)</f>
        <v>PNS Fleet &amp; Property OH</v>
      </c>
      <c r="M1595" s="7" t="str">
        <f>VLOOKUP($G1595,Mapping!$E$140:$K$2771,7,0)</f>
        <v>OH</v>
      </c>
      <c r="N1595" s="7" t="str">
        <f>IFERROR(HLOOKUP(L1595,'Calc|Weightings'!$K$5:$M$5,1,0),"Excl")</f>
        <v>Excl</v>
      </c>
      <c r="O1595" s="7" t="str">
        <f>VLOOKUP(E1595,Mapping!$E$11:$I$96,5,0)</f>
        <v>SCS</v>
      </c>
      <c r="Q1595" s="33">
        <v>168</v>
      </c>
      <c r="R1595" s="33" t="s">
        <v>2176</v>
      </c>
      <c r="S1595" s="33">
        <v>613566</v>
      </c>
      <c r="T1595" s="33" t="s">
        <v>1482</v>
      </c>
      <c r="U1595" s="34">
        <v>24.774999999999999</v>
      </c>
      <c r="V1595" s="7"/>
      <c r="W1595" s="7" t="str">
        <f>VLOOKUP($Q1595,Mapping!$E$11:$I$96,3,0)</f>
        <v>Augmentation</v>
      </c>
      <c r="X1595" s="7" t="str">
        <f>VLOOKUP($S1595,Mapping!$E$140:$K$2771,5,0)</f>
        <v>Labour</v>
      </c>
      <c r="Y1595" s="7" t="str">
        <f>VLOOKUP($S1595,Mapping!$E$140:$K$2771,7,0)</f>
        <v>ENDirect</v>
      </c>
      <c r="Z1595" s="7" t="str">
        <f>IFERROR(HLOOKUP(X1595,'Calc|Weightings'!$K$5:$M$5,1,0),"Excl")</f>
        <v>Labour</v>
      </c>
      <c r="AA1595" s="7" t="str">
        <f>VLOOKUP(Q1595,Mapping!$E$11:$I$96,5,0)</f>
        <v>SCS</v>
      </c>
      <c r="AC1595" s="111">
        <v>163</v>
      </c>
      <c r="AD1595" s="111" t="s">
        <v>2173</v>
      </c>
      <c r="AE1595" s="111">
        <v>636001</v>
      </c>
      <c r="AF1595" s="111" t="s">
        <v>2111</v>
      </c>
      <c r="AG1595" s="112">
        <v>7.16723</v>
      </c>
      <c r="AI1595" s="7" t="str">
        <f>VLOOKUP($AC1595,Mapping!$E$11:$I$96,3,0)</f>
        <v>Replacement</v>
      </c>
      <c r="AJ1595" s="7" t="str">
        <f>VLOOKUP($AE1595,Mapping!$E$140:$K$2771,5,0)</f>
        <v>System Control OH</v>
      </c>
      <c r="AK1595" s="7" t="str">
        <f>VLOOKUP($AE1595,Mapping!$E$140:$K$2771,7,0)</f>
        <v>OH</v>
      </c>
      <c r="AL1595" s="7" t="str">
        <f>IFERROR(HLOOKUP(AJ1595,'Calc|Weightings'!$K$5:$M$5,1,0),"Excl")</f>
        <v>Excl</v>
      </c>
      <c r="AM1595" s="7" t="str">
        <f>VLOOKUP(AC1595,Mapping!$E$11:$I$96,5,0)</f>
        <v>SCS</v>
      </c>
      <c r="AO1595" s="134">
        <v>172</v>
      </c>
      <c r="AP1595" s="135" t="s">
        <v>2177</v>
      </c>
      <c r="AQ1595" s="135">
        <v>613310</v>
      </c>
      <c r="AR1595" s="135" t="s">
        <v>2095</v>
      </c>
      <c r="AS1595" s="136">
        <v>2.0750899999999999</v>
      </c>
      <c r="AU1595" s="7" t="str">
        <f>VLOOKUP($AO1595,Mapping!$E$11:$I$96,3,0)</f>
        <v>Replacement</v>
      </c>
      <c r="AV1595" s="7" t="str">
        <f>VLOOKUP($AQ1595,Mapping!$E$140:$K$2771,5,0)</f>
        <v>Labour</v>
      </c>
      <c r="AW1595" s="7" t="str">
        <f>VLOOKUP($AQ1595,Mapping!$E$140:$K$2771,7,0)</f>
        <v>ENDirect</v>
      </c>
      <c r="AX1595" s="7" t="str">
        <f>IFERROR(HLOOKUP(AV1595,'Calc|Weightings'!$K$5:$M$5,1,0),"Excl")</f>
        <v>Labour</v>
      </c>
      <c r="AY1595" s="7" t="str">
        <f>VLOOKUP(AO1595,Mapping!$E$11:$I$96,5,0)</f>
        <v>SCS</v>
      </c>
    </row>
    <row r="1596" spans="1:51" x14ac:dyDescent="0.2">
      <c r="A1596" s="7"/>
      <c r="B1596" s="7"/>
      <c r="C1596" s="7"/>
      <c r="D1596" s="7"/>
      <c r="E1596" s="36">
        <v>156</v>
      </c>
      <c r="F1596" s="36" t="s">
        <v>2165</v>
      </c>
      <c r="G1596" s="36">
        <v>500200</v>
      </c>
      <c r="H1596" s="36" t="s">
        <v>136</v>
      </c>
      <c r="I1596" s="37">
        <v>3.3000000000000002E-2</v>
      </c>
      <c r="J1596" s="7"/>
      <c r="K1596" s="7" t="str">
        <f>VLOOKUP($E1596,Mapping!$E$11:$I$96,3,0)</f>
        <v>Replacement</v>
      </c>
      <c r="L1596" s="7" t="str">
        <f>VLOOKUP($G1596,Mapping!$E$140:$K$2771,5,0)</f>
        <v>Labour</v>
      </c>
      <c r="M1596" s="7" t="str">
        <f>VLOOKUP($G1596,Mapping!$E$140:$K$2771,7,0)</f>
        <v>ENDirect</v>
      </c>
      <c r="N1596" s="7" t="str">
        <f>IFERROR(HLOOKUP(L1596,'Calc|Weightings'!$K$5:$M$5,1,0),"Excl")</f>
        <v>Labour</v>
      </c>
      <c r="O1596" s="7" t="str">
        <f>VLOOKUP(E1596,Mapping!$E$11:$I$96,5,0)</f>
        <v>SCS</v>
      </c>
      <c r="Q1596" s="33">
        <v>168</v>
      </c>
      <c r="R1596" s="33" t="s">
        <v>2176</v>
      </c>
      <c r="S1596" s="33">
        <v>613567</v>
      </c>
      <c r="T1596" s="33" t="s">
        <v>1483</v>
      </c>
      <c r="U1596" s="34">
        <v>0.57518999999999998</v>
      </c>
      <c r="V1596" s="7"/>
      <c r="W1596" s="7" t="str">
        <f>VLOOKUP($Q1596,Mapping!$E$11:$I$96,3,0)</f>
        <v>Augmentation</v>
      </c>
      <c r="X1596" s="7" t="str">
        <f>VLOOKUP($S1596,Mapping!$E$140:$K$2771,5,0)</f>
        <v>Labour</v>
      </c>
      <c r="Y1596" s="7" t="str">
        <f>VLOOKUP($S1596,Mapping!$E$140:$K$2771,7,0)</f>
        <v>ENDirect</v>
      </c>
      <c r="Z1596" s="7" t="str">
        <f>IFERROR(HLOOKUP(X1596,'Calc|Weightings'!$K$5:$M$5,1,0),"Excl")</f>
        <v>Labour</v>
      </c>
      <c r="AA1596" s="7" t="str">
        <f>VLOOKUP(Q1596,Mapping!$E$11:$I$96,5,0)</f>
        <v>SCS</v>
      </c>
      <c r="AC1596" s="111">
        <v>163</v>
      </c>
      <c r="AD1596" s="111" t="s">
        <v>2173</v>
      </c>
      <c r="AE1596" s="111">
        <v>639000</v>
      </c>
      <c r="AF1596" s="111" t="s">
        <v>2112</v>
      </c>
      <c r="AG1596" s="112">
        <v>7.4235300000000004</v>
      </c>
      <c r="AI1596" s="7" t="str">
        <f>VLOOKUP($AC1596,Mapping!$E$11:$I$96,3,0)</f>
        <v>Replacement</v>
      </c>
      <c r="AJ1596" s="7" t="str">
        <f>VLOOKUP($AE1596,Mapping!$E$140:$K$2771,5,0)</f>
        <v>PNS Corporate OH</v>
      </c>
      <c r="AK1596" s="7" t="str">
        <f>VLOOKUP($AE1596,Mapping!$E$140:$K$2771,7,0)</f>
        <v>OH</v>
      </c>
      <c r="AL1596" s="7" t="str">
        <f>IFERROR(HLOOKUP(AJ1596,'Calc|Weightings'!$K$5:$M$5,1,0),"Excl")</f>
        <v>Excl</v>
      </c>
      <c r="AM1596" s="7" t="str">
        <f>VLOOKUP(AC1596,Mapping!$E$11:$I$96,5,0)</f>
        <v>SCS</v>
      </c>
      <c r="AO1596" s="134">
        <v>172</v>
      </c>
      <c r="AP1596" s="135" t="s">
        <v>2177</v>
      </c>
      <c r="AQ1596" s="135">
        <v>613360</v>
      </c>
      <c r="AR1596" s="135" t="s">
        <v>2097</v>
      </c>
      <c r="AS1596" s="136">
        <v>0.25468000000000002</v>
      </c>
      <c r="AU1596" s="7" t="str">
        <f>VLOOKUP($AO1596,Mapping!$E$11:$I$96,3,0)</f>
        <v>Replacement</v>
      </c>
      <c r="AV1596" s="7" t="str">
        <f>VLOOKUP($AQ1596,Mapping!$E$140:$K$2771,5,0)</f>
        <v>Labour</v>
      </c>
      <c r="AW1596" s="7" t="str">
        <f>VLOOKUP($AQ1596,Mapping!$E$140:$K$2771,7,0)</f>
        <v>ENDirect</v>
      </c>
      <c r="AX1596" s="7" t="str">
        <f>IFERROR(HLOOKUP(AV1596,'Calc|Weightings'!$K$5:$M$5,1,0),"Excl")</f>
        <v>Labour</v>
      </c>
      <c r="AY1596" s="7" t="str">
        <f>VLOOKUP(AO1596,Mapping!$E$11:$I$96,5,0)</f>
        <v>SCS</v>
      </c>
    </row>
    <row r="1597" spans="1:51" x14ac:dyDescent="0.2">
      <c r="A1597" s="7"/>
      <c r="B1597" s="7"/>
      <c r="C1597" s="7"/>
      <c r="D1597" s="7"/>
      <c r="E1597" s="36">
        <v>156</v>
      </c>
      <c r="F1597" s="36" t="s">
        <v>2165</v>
      </c>
      <c r="G1597" s="36">
        <v>503240</v>
      </c>
      <c r="H1597" s="36" t="s">
        <v>169</v>
      </c>
      <c r="I1597" s="37">
        <v>2.9600000000000001E-2</v>
      </c>
      <c r="J1597" s="7"/>
      <c r="K1597" s="7" t="str">
        <f>VLOOKUP($E1597,Mapping!$E$11:$I$96,3,0)</f>
        <v>Replacement</v>
      </c>
      <c r="L1597" s="7" t="str">
        <f>VLOOKUP($G1597,Mapping!$E$140:$K$2771,5,0)</f>
        <v>Contracts</v>
      </c>
      <c r="M1597" s="7" t="str">
        <f>VLOOKUP($G1597,Mapping!$E$140:$K$2771,7,0)</f>
        <v>ENDirect</v>
      </c>
      <c r="N1597" s="7" t="str">
        <f>IFERROR(HLOOKUP(L1597,'Calc|Weightings'!$K$5:$M$5,1,0),"Excl")</f>
        <v>Contracts</v>
      </c>
      <c r="O1597" s="7" t="str">
        <f>VLOOKUP(E1597,Mapping!$E$11:$I$96,5,0)</f>
        <v>SCS</v>
      </c>
      <c r="Q1597" s="33">
        <v>168</v>
      </c>
      <c r="R1597" s="33" t="s">
        <v>2176</v>
      </c>
      <c r="S1597" s="33">
        <v>613574</v>
      </c>
      <c r="T1597" s="33" t="s">
        <v>1488</v>
      </c>
      <c r="U1597" s="34">
        <v>0.39939000000000002</v>
      </c>
      <c r="V1597" s="7"/>
      <c r="W1597" s="7" t="str">
        <f>VLOOKUP($Q1597,Mapping!$E$11:$I$96,3,0)</f>
        <v>Augmentation</v>
      </c>
      <c r="X1597" s="7" t="str">
        <f>VLOOKUP($S1597,Mapping!$E$140:$K$2771,5,0)</f>
        <v>Labour</v>
      </c>
      <c r="Y1597" s="7" t="str">
        <f>VLOOKUP($S1597,Mapping!$E$140:$K$2771,7,0)</f>
        <v>ENDirect</v>
      </c>
      <c r="Z1597" s="7" t="str">
        <f>IFERROR(HLOOKUP(X1597,'Calc|Weightings'!$K$5:$M$5,1,0),"Excl")</f>
        <v>Labour</v>
      </c>
      <c r="AA1597" s="7" t="str">
        <f>VLOOKUP(Q1597,Mapping!$E$11:$I$96,5,0)</f>
        <v>SCS</v>
      </c>
      <c r="AC1597" s="111">
        <v>163</v>
      </c>
      <c r="AD1597" s="111" t="s">
        <v>2173</v>
      </c>
      <c r="AE1597" s="111">
        <v>639050</v>
      </c>
      <c r="AF1597" s="111" t="s">
        <v>2113</v>
      </c>
      <c r="AG1597" s="112">
        <v>0.40945999999999999</v>
      </c>
      <c r="AI1597" s="7" t="str">
        <f>VLOOKUP($AC1597,Mapping!$E$11:$I$96,3,0)</f>
        <v>Replacement</v>
      </c>
      <c r="AJ1597" s="7" t="str">
        <f>VLOOKUP($AE1597,Mapping!$E$140:$K$2771,5,0)</f>
        <v>PNS Fleet &amp; Property OH</v>
      </c>
      <c r="AK1597" s="7" t="str">
        <f>VLOOKUP($AE1597,Mapping!$E$140:$K$2771,7,0)</f>
        <v>OH</v>
      </c>
      <c r="AL1597" s="7" t="str">
        <f>IFERROR(HLOOKUP(AJ1597,'Calc|Weightings'!$K$5:$M$5,1,0),"Excl")</f>
        <v>Excl</v>
      </c>
      <c r="AM1597" s="7" t="str">
        <f>VLOOKUP(AC1597,Mapping!$E$11:$I$96,5,0)</f>
        <v>SCS</v>
      </c>
      <c r="AO1597" s="134">
        <v>172</v>
      </c>
      <c r="AP1597" s="135" t="s">
        <v>2177</v>
      </c>
      <c r="AQ1597" s="135">
        <v>613410</v>
      </c>
      <c r="AR1597" s="135" t="s">
        <v>2100</v>
      </c>
      <c r="AS1597" s="136">
        <v>5.5130400000000002</v>
      </c>
      <c r="AU1597" s="7" t="str">
        <f>VLOOKUP($AO1597,Mapping!$E$11:$I$96,3,0)</f>
        <v>Replacement</v>
      </c>
      <c r="AV1597" s="7" t="str">
        <f>VLOOKUP($AQ1597,Mapping!$E$140:$K$2771,5,0)</f>
        <v>Labour</v>
      </c>
      <c r="AW1597" s="7" t="str">
        <f>VLOOKUP($AQ1597,Mapping!$E$140:$K$2771,7,0)</f>
        <v>ENDirect</v>
      </c>
      <c r="AX1597" s="7" t="str">
        <f>IFERROR(HLOOKUP(AV1597,'Calc|Weightings'!$K$5:$M$5,1,0),"Excl")</f>
        <v>Labour</v>
      </c>
      <c r="AY1597" s="7" t="str">
        <f>VLOOKUP(AO1597,Mapping!$E$11:$I$96,5,0)</f>
        <v>SCS</v>
      </c>
    </row>
    <row r="1598" spans="1:51" x14ac:dyDescent="0.2">
      <c r="A1598" s="7"/>
      <c r="B1598" s="7"/>
      <c r="C1598" s="7"/>
      <c r="D1598" s="7"/>
      <c r="E1598" s="36">
        <v>156</v>
      </c>
      <c r="F1598" s="36" t="s">
        <v>2165</v>
      </c>
      <c r="G1598" s="36">
        <v>503281</v>
      </c>
      <c r="H1598" s="36" t="s">
        <v>2198</v>
      </c>
      <c r="I1598" s="37">
        <v>0.10005</v>
      </c>
      <c r="J1598" s="7"/>
      <c r="K1598" s="7" t="str">
        <f>VLOOKUP($E1598,Mapping!$E$11:$I$96,3,0)</f>
        <v>Replacement</v>
      </c>
      <c r="L1598" s="7" t="str">
        <f>VLOOKUP($G1598,Mapping!$E$140:$K$2771,5,0)</f>
        <v>Contracts</v>
      </c>
      <c r="M1598" s="7" t="str">
        <f>VLOOKUP($G1598,Mapping!$E$140:$K$2771,7,0)</f>
        <v>ENDirect</v>
      </c>
      <c r="N1598" s="7" t="str">
        <f>IFERROR(HLOOKUP(L1598,'Calc|Weightings'!$K$5:$M$5,1,0),"Excl")</f>
        <v>Contracts</v>
      </c>
      <c r="O1598" s="7" t="str">
        <f>VLOOKUP(E1598,Mapping!$E$11:$I$96,5,0)</f>
        <v>SCS</v>
      </c>
      <c r="Q1598" s="33">
        <v>168</v>
      </c>
      <c r="R1598" s="33" t="s">
        <v>2176</v>
      </c>
      <c r="S1598" s="33">
        <v>613576</v>
      </c>
      <c r="T1598" s="33" t="s">
        <v>1490</v>
      </c>
      <c r="U1598" s="34">
        <v>4.1020799999999999</v>
      </c>
      <c r="V1598" s="7"/>
      <c r="W1598" s="7" t="str">
        <f>VLOOKUP($Q1598,Mapping!$E$11:$I$96,3,0)</f>
        <v>Augmentation</v>
      </c>
      <c r="X1598" s="7" t="str">
        <f>VLOOKUP($S1598,Mapping!$E$140:$K$2771,5,0)</f>
        <v>Labour</v>
      </c>
      <c r="Y1598" s="7" t="str">
        <f>VLOOKUP($S1598,Mapping!$E$140:$K$2771,7,0)</f>
        <v>ENDirect</v>
      </c>
      <c r="Z1598" s="7" t="str">
        <f>IFERROR(HLOOKUP(X1598,'Calc|Weightings'!$K$5:$M$5,1,0),"Excl")</f>
        <v>Labour</v>
      </c>
      <c r="AA1598" s="7" t="str">
        <f>VLOOKUP(Q1598,Mapping!$E$11:$I$96,5,0)</f>
        <v>SCS</v>
      </c>
      <c r="AC1598" s="111">
        <v>165</v>
      </c>
      <c r="AD1598" s="111" t="s">
        <v>2206</v>
      </c>
      <c r="AE1598" s="111">
        <v>520100</v>
      </c>
      <c r="AF1598" s="111" t="s">
        <v>2072</v>
      </c>
      <c r="AG1598" s="112">
        <v>3.7719999999999997E-2</v>
      </c>
      <c r="AI1598" s="7" t="str">
        <f>VLOOKUP($AC1598,Mapping!$E$11:$I$96,3,0)</f>
        <v>Replacement</v>
      </c>
      <c r="AJ1598" s="7" t="str">
        <f>VLOOKUP($AE1598,Mapping!$E$140:$K$2771,5,0)</f>
        <v>Materials</v>
      </c>
      <c r="AK1598" s="7" t="str">
        <f>VLOOKUP($AE1598,Mapping!$E$140:$K$2771,7,0)</f>
        <v>ENDirect</v>
      </c>
      <c r="AL1598" s="7" t="str">
        <f>IFERROR(HLOOKUP(AJ1598,'Calc|Weightings'!$K$5:$M$5,1,0),"Excl")</f>
        <v>Materials</v>
      </c>
      <c r="AM1598" s="7" t="str">
        <f>VLOOKUP(AC1598,Mapping!$E$11:$I$96,5,0)</f>
        <v>SCS</v>
      </c>
      <c r="AO1598" s="134">
        <v>172</v>
      </c>
      <c r="AP1598" s="135" t="s">
        <v>2177</v>
      </c>
      <c r="AQ1598" s="135">
        <v>613440</v>
      </c>
      <c r="AR1598" s="135" t="s">
        <v>2103</v>
      </c>
      <c r="AS1598" s="136">
        <v>0.30324000000000001</v>
      </c>
      <c r="AU1598" s="7" t="str">
        <f>VLOOKUP($AO1598,Mapping!$E$11:$I$96,3,0)</f>
        <v>Replacement</v>
      </c>
      <c r="AV1598" s="7" t="str">
        <f>VLOOKUP($AQ1598,Mapping!$E$140:$K$2771,5,0)</f>
        <v>Labour</v>
      </c>
      <c r="AW1598" s="7" t="str">
        <f>VLOOKUP($AQ1598,Mapping!$E$140:$K$2771,7,0)</f>
        <v>ENDirect</v>
      </c>
      <c r="AX1598" s="7" t="str">
        <f>IFERROR(HLOOKUP(AV1598,'Calc|Weightings'!$K$5:$M$5,1,0),"Excl")</f>
        <v>Labour</v>
      </c>
      <c r="AY1598" s="7" t="str">
        <f>VLOOKUP(AO1598,Mapping!$E$11:$I$96,5,0)</f>
        <v>SCS</v>
      </c>
    </row>
    <row r="1599" spans="1:51" x14ac:dyDescent="0.2">
      <c r="A1599" s="7"/>
      <c r="B1599" s="7"/>
      <c r="C1599" s="7"/>
      <c r="D1599" s="7"/>
      <c r="E1599" s="36">
        <v>156</v>
      </c>
      <c r="F1599" s="36" t="s">
        <v>2165</v>
      </c>
      <c r="G1599" s="36">
        <v>520100</v>
      </c>
      <c r="H1599" s="36" t="s">
        <v>2072</v>
      </c>
      <c r="I1599" s="37">
        <v>120.03823</v>
      </c>
      <c r="J1599" s="7"/>
      <c r="K1599" s="7" t="str">
        <f>VLOOKUP($E1599,Mapping!$E$11:$I$96,3,0)</f>
        <v>Replacement</v>
      </c>
      <c r="L1599" s="7" t="str">
        <f>VLOOKUP($G1599,Mapping!$E$140:$K$2771,5,0)</f>
        <v>Materials</v>
      </c>
      <c r="M1599" s="7" t="str">
        <f>VLOOKUP($G1599,Mapping!$E$140:$K$2771,7,0)</f>
        <v>ENDirect</v>
      </c>
      <c r="N1599" s="7" t="str">
        <f>IFERROR(HLOOKUP(L1599,'Calc|Weightings'!$K$5:$M$5,1,0),"Excl")</f>
        <v>Materials</v>
      </c>
      <c r="O1599" s="7" t="str">
        <f>VLOOKUP(E1599,Mapping!$E$11:$I$96,5,0)</f>
        <v>SCS</v>
      </c>
      <c r="Q1599" s="33">
        <v>168</v>
      </c>
      <c r="R1599" s="33" t="s">
        <v>2176</v>
      </c>
      <c r="S1599" s="33">
        <v>613630</v>
      </c>
      <c r="T1599" s="33" t="s">
        <v>1498</v>
      </c>
      <c r="U1599" s="34">
        <v>1.7579</v>
      </c>
      <c r="V1599" s="7"/>
      <c r="W1599" s="7" t="str">
        <f>VLOOKUP($Q1599,Mapping!$E$11:$I$96,3,0)</f>
        <v>Augmentation</v>
      </c>
      <c r="X1599" s="7" t="str">
        <f>VLOOKUP($S1599,Mapping!$E$140:$K$2771,5,0)</f>
        <v>Labour</v>
      </c>
      <c r="Y1599" s="7" t="str">
        <f>VLOOKUP($S1599,Mapping!$E$140:$K$2771,7,0)</f>
        <v>ENDirect</v>
      </c>
      <c r="Z1599" s="7" t="str">
        <f>IFERROR(HLOOKUP(X1599,'Calc|Weightings'!$K$5:$M$5,1,0),"Excl")</f>
        <v>Labour</v>
      </c>
      <c r="AA1599" s="7" t="str">
        <f>VLOOKUP(Q1599,Mapping!$E$11:$I$96,5,0)</f>
        <v>SCS</v>
      </c>
      <c r="AC1599" s="111">
        <v>165</v>
      </c>
      <c r="AD1599" s="111" t="s">
        <v>2206</v>
      </c>
      <c r="AE1599" s="111">
        <v>531467</v>
      </c>
      <c r="AF1599" s="111" t="s">
        <v>259</v>
      </c>
      <c r="AG1599" s="112">
        <v>3.0641500000000002</v>
      </c>
      <c r="AI1599" s="7" t="str">
        <f>VLOOKUP($AC1599,Mapping!$E$11:$I$96,3,0)</f>
        <v>Replacement</v>
      </c>
      <c r="AJ1599" s="7" t="str">
        <f>VLOOKUP($AE1599,Mapping!$E$140:$K$2771,5,0)</f>
        <v>Contracts</v>
      </c>
      <c r="AK1599" s="7" t="str">
        <f>VLOOKUP($AE1599,Mapping!$E$140:$K$2771,7,0)</f>
        <v>ENDirect</v>
      </c>
      <c r="AL1599" s="7" t="str">
        <f>IFERROR(HLOOKUP(AJ1599,'Calc|Weightings'!$K$5:$M$5,1,0),"Excl")</f>
        <v>Contracts</v>
      </c>
      <c r="AM1599" s="7" t="str">
        <f>VLOOKUP(AC1599,Mapping!$E$11:$I$96,5,0)</f>
        <v>SCS</v>
      </c>
      <c r="AO1599" s="134">
        <v>172</v>
      </c>
      <c r="AP1599" s="135" t="s">
        <v>2177</v>
      </c>
      <c r="AQ1599" s="135">
        <v>613566</v>
      </c>
      <c r="AR1599" s="135" t="s">
        <v>1482</v>
      </c>
      <c r="AS1599" s="136">
        <v>6.8900199999999998</v>
      </c>
      <c r="AU1599" s="7" t="str">
        <f>VLOOKUP($AO1599,Mapping!$E$11:$I$96,3,0)</f>
        <v>Replacement</v>
      </c>
      <c r="AV1599" s="7" t="str">
        <f>VLOOKUP($AQ1599,Mapping!$E$140:$K$2771,5,0)</f>
        <v>Labour</v>
      </c>
      <c r="AW1599" s="7" t="str">
        <f>VLOOKUP($AQ1599,Mapping!$E$140:$K$2771,7,0)</f>
        <v>ENDirect</v>
      </c>
      <c r="AX1599" s="7" t="str">
        <f>IFERROR(HLOOKUP(AV1599,'Calc|Weightings'!$K$5:$M$5,1,0),"Excl")</f>
        <v>Labour</v>
      </c>
      <c r="AY1599" s="7" t="str">
        <f>VLOOKUP(AO1599,Mapping!$E$11:$I$96,5,0)</f>
        <v>SCS</v>
      </c>
    </row>
    <row r="1600" spans="1:51" x14ac:dyDescent="0.2">
      <c r="A1600" s="7"/>
      <c r="B1600" s="7"/>
      <c r="C1600" s="7"/>
      <c r="D1600" s="7"/>
      <c r="E1600" s="36">
        <v>156</v>
      </c>
      <c r="F1600" s="36" t="s">
        <v>2165</v>
      </c>
      <c r="G1600" s="36">
        <v>520200</v>
      </c>
      <c r="H1600" s="36" t="s">
        <v>2073</v>
      </c>
      <c r="I1600" s="37">
        <v>138.42934</v>
      </c>
      <c r="J1600" s="7"/>
      <c r="K1600" s="7" t="str">
        <f>VLOOKUP($E1600,Mapping!$E$11:$I$96,3,0)</f>
        <v>Replacement</v>
      </c>
      <c r="L1600" s="7" t="str">
        <f>VLOOKUP($G1600,Mapping!$E$140:$K$2771,5,0)</f>
        <v>Materials</v>
      </c>
      <c r="M1600" s="7" t="str">
        <f>VLOOKUP($G1600,Mapping!$E$140:$K$2771,7,0)</f>
        <v>ENDirect</v>
      </c>
      <c r="N1600" s="7" t="str">
        <f>IFERROR(HLOOKUP(L1600,'Calc|Weightings'!$K$5:$M$5,1,0),"Excl")</f>
        <v>Materials</v>
      </c>
      <c r="O1600" s="7" t="str">
        <f>VLOOKUP(E1600,Mapping!$E$11:$I$96,5,0)</f>
        <v>SCS</v>
      </c>
      <c r="Q1600" s="33">
        <v>168</v>
      </c>
      <c r="R1600" s="33" t="s">
        <v>2176</v>
      </c>
      <c r="S1600" s="33">
        <v>613680</v>
      </c>
      <c r="T1600" s="33" t="s">
        <v>2107</v>
      </c>
      <c r="U1600" s="34">
        <v>39.637799999999999</v>
      </c>
      <c r="V1600" s="7"/>
      <c r="W1600" s="7" t="str">
        <f>VLOOKUP($Q1600,Mapping!$E$11:$I$96,3,0)</f>
        <v>Augmentation</v>
      </c>
      <c r="X1600" s="7" t="str">
        <f>VLOOKUP($S1600,Mapping!$E$140:$K$2771,5,0)</f>
        <v>Labour</v>
      </c>
      <c r="Y1600" s="7" t="str">
        <f>VLOOKUP($S1600,Mapping!$E$140:$K$2771,7,0)</f>
        <v>ENDirect</v>
      </c>
      <c r="Z1600" s="7" t="str">
        <f>IFERROR(HLOOKUP(X1600,'Calc|Weightings'!$K$5:$M$5,1,0),"Excl")</f>
        <v>Labour</v>
      </c>
      <c r="AA1600" s="7" t="str">
        <f>VLOOKUP(Q1600,Mapping!$E$11:$I$96,5,0)</f>
        <v>SCS</v>
      </c>
      <c r="AC1600" s="111">
        <v>165</v>
      </c>
      <c r="AD1600" s="111" t="s">
        <v>2206</v>
      </c>
      <c r="AE1600" s="111">
        <v>611901</v>
      </c>
      <c r="AF1600" s="111" t="s">
        <v>2080</v>
      </c>
      <c r="AG1600" s="112">
        <v>2.2599999999999999E-3</v>
      </c>
      <c r="AI1600" s="7" t="str">
        <f>VLOOKUP($AC1600,Mapping!$E$11:$I$96,3,0)</f>
        <v>Replacement</v>
      </c>
      <c r="AJ1600" s="7" t="str">
        <f>VLOOKUP($AE1600,Mapping!$E$140:$K$2771,5,0)</f>
        <v>Contracts</v>
      </c>
      <c r="AK1600" s="7" t="str">
        <f>VLOOKUP($AE1600,Mapping!$E$140:$K$2771,7,0)</f>
        <v>ENDirect</v>
      </c>
      <c r="AL1600" s="7" t="str">
        <f>IFERROR(HLOOKUP(AJ1600,'Calc|Weightings'!$K$5:$M$5,1,0),"Excl")</f>
        <v>Contracts</v>
      </c>
      <c r="AM1600" s="7" t="str">
        <f>VLOOKUP(AC1600,Mapping!$E$11:$I$96,5,0)</f>
        <v>SCS</v>
      </c>
      <c r="AO1600" s="134">
        <v>172</v>
      </c>
      <c r="AP1600" s="135" t="s">
        <v>2177</v>
      </c>
      <c r="AQ1600" s="135">
        <v>613570</v>
      </c>
      <c r="AR1600" s="135" t="s">
        <v>1484</v>
      </c>
      <c r="AS1600" s="136">
        <v>1.5330699999999999</v>
      </c>
      <c r="AU1600" s="7" t="str">
        <f>VLOOKUP($AO1600,Mapping!$E$11:$I$96,3,0)</f>
        <v>Replacement</v>
      </c>
      <c r="AV1600" s="7" t="str">
        <f>VLOOKUP($AQ1600,Mapping!$E$140:$K$2771,5,0)</f>
        <v>Labour</v>
      </c>
      <c r="AW1600" s="7" t="str">
        <f>VLOOKUP($AQ1600,Mapping!$E$140:$K$2771,7,0)</f>
        <v>ENDirect</v>
      </c>
      <c r="AX1600" s="7" t="str">
        <f>IFERROR(HLOOKUP(AV1600,'Calc|Weightings'!$K$5:$M$5,1,0),"Excl")</f>
        <v>Labour</v>
      </c>
      <c r="AY1600" s="7" t="str">
        <f>VLOOKUP(AO1600,Mapping!$E$11:$I$96,5,0)</f>
        <v>SCS</v>
      </c>
    </row>
    <row r="1601" spans="1:51" x14ac:dyDescent="0.2">
      <c r="A1601" s="7"/>
      <c r="B1601" s="7"/>
      <c r="C1601" s="7"/>
      <c r="D1601" s="7"/>
      <c r="E1601" s="36">
        <v>156</v>
      </c>
      <c r="F1601" s="36" t="s">
        <v>2165</v>
      </c>
      <c r="G1601" s="36">
        <v>522300</v>
      </c>
      <c r="H1601" s="36" t="s">
        <v>2191</v>
      </c>
      <c r="I1601" s="37">
        <v>6.4732000000000003</v>
      </c>
      <c r="J1601" s="7"/>
      <c r="K1601" s="7" t="str">
        <f>VLOOKUP($E1601,Mapping!$E$11:$I$96,3,0)</f>
        <v>Replacement</v>
      </c>
      <c r="L1601" s="7" t="str">
        <f>VLOOKUP($G1601,Mapping!$E$140:$K$2771,5,0)</f>
        <v>Materials</v>
      </c>
      <c r="M1601" s="7" t="str">
        <f>VLOOKUP($G1601,Mapping!$E$140:$K$2771,7,0)</f>
        <v>ENDirect</v>
      </c>
      <c r="N1601" s="7" t="str">
        <f>IFERROR(HLOOKUP(L1601,'Calc|Weightings'!$K$5:$M$5,1,0),"Excl")</f>
        <v>Materials</v>
      </c>
      <c r="O1601" s="7" t="str">
        <f>VLOOKUP(E1601,Mapping!$E$11:$I$96,5,0)</f>
        <v>SCS</v>
      </c>
      <c r="Q1601" s="33">
        <v>168</v>
      </c>
      <c r="R1601" s="33" t="s">
        <v>2176</v>
      </c>
      <c r="S1601" s="33">
        <v>613681</v>
      </c>
      <c r="T1601" s="33" t="s">
        <v>2108</v>
      </c>
      <c r="U1601" s="34">
        <v>8.2650000000000001E-2</v>
      </c>
      <c r="V1601" s="7"/>
      <c r="W1601" s="7" t="str">
        <f>VLOOKUP($Q1601,Mapping!$E$11:$I$96,3,0)</f>
        <v>Augmentation</v>
      </c>
      <c r="X1601" s="7" t="str">
        <f>VLOOKUP($S1601,Mapping!$E$140:$K$2771,5,0)</f>
        <v>Labour</v>
      </c>
      <c r="Y1601" s="7" t="str">
        <f>VLOOKUP($S1601,Mapping!$E$140:$K$2771,7,0)</f>
        <v>ENDirect</v>
      </c>
      <c r="Z1601" s="7" t="str">
        <f>IFERROR(HLOOKUP(X1601,'Calc|Weightings'!$K$5:$M$5,1,0),"Excl")</f>
        <v>Labour</v>
      </c>
      <c r="AA1601" s="7" t="str">
        <f>VLOOKUP(Q1601,Mapping!$E$11:$I$96,5,0)</f>
        <v>SCS</v>
      </c>
      <c r="AC1601" s="111">
        <v>165</v>
      </c>
      <c r="AD1601" s="111" t="s">
        <v>2206</v>
      </c>
      <c r="AE1601" s="111">
        <v>613240</v>
      </c>
      <c r="AF1601" s="111" t="s">
        <v>2082</v>
      </c>
      <c r="AG1601" s="112">
        <v>7.8287599999999999</v>
      </c>
      <c r="AI1601" s="7" t="str">
        <f>VLOOKUP($AC1601,Mapping!$E$11:$I$96,3,0)</f>
        <v>Replacement</v>
      </c>
      <c r="AJ1601" s="7" t="str">
        <f>VLOOKUP($AE1601,Mapping!$E$140:$K$2771,5,0)</f>
        <v>Labour</v>
      </c>
      <c r="AK1601" s="7" t="str">
        <f>VLOOKUP($AE1601,Mapping!$E$140:$K$2771,7,0)</f>
        <v>ENDirect</v>
      </c>
      <c r="AL1601" s="7" t="str">
        <f>IFERROR(HLOOKUP(AJ1601,'Calc|Weightings'!$K$5:$M$5,1,0),"Excl")</f>
        <v>Labour</v>
      </c>
      <c r="AM1601" s="7" t="str">
        <f>VLOOKUP(AC1601,Mapping!$E$11:$I$96,5,0)</f>
        <v>SCS</v>
      </c>
      <c r="AO1601" s="134">
        <v>172</v>
      </c>
      <c r="AP1601" s="135" t="s">
        <v>2177</v>
      </c>
      <c r="AQ1601" s="135">
        <v>613574</v>
      </c>
      <c r="AR1601" s="135" t="s">
        <v>1488</v>
      </c>
      <c r="AS1601" s="136">
        <v>0.92225999999999997</v>
      </c>
      <c r="AU1601" s="7" t="str">
        <f>VLOOKUP($AO1601,Mapping!$E$11:$I$96,3,0)</f>
        <v>Replacement</v>
      </c>
      <c r="AV1601" s="7" t="str">
        <f>VLOOKUP($AQ1601,Mapping!$E$140:$K$2771,5,0)</f>
        <v>Labour</v>
      </c>
      <c r="AW1601" s="7" t="str">
        <f>VLOOKUP($AQ1601,Mapping!$E$140:$K$2771,7,0)</f>
        <v>ENDirect</v>
      </c>
      <c r="AX1601" s="7" t="str">
        <f>IFERROR(HLOOKUP(AV1601,'Calc|Weightings'!$K$5:$M$5,1,0),"Excl")</f>
        <v>Labour</v>
      </c>
      <c r="AY1601" s="7" t="str">
        <f>VLOOKUP(AO1601,Mapping!$E$11:$I$96,5,0)</f>
        <v>SCS</v>
      </c>
    </row>
    <row r="1602" spans="1:51" x14ac:dyDescent="0.2">
      <c r="A1602" s="7"/>
      <c r="B1602" s="7"/>
      <c r="C1602" s="7"/>
      <c r="D1602" s="7"/>
      <c r="E1602" s="36">
        <v>156</v>
      </c>
      <c r="F1602" s="36" t="s">
        <v>2165</v>
      </c>
      <c r="G1602" s="36">
        <v>523100</v>
      </c>
      <c r="H1602" s="36" t="s">
        <v>2074</v>
      </c>
      <c r="I1602" s="37">
        <v>70.411799999999999</v>
      </c>
      <c r="J1602" s="7"/>
      <c r="K1602" s="7" t="str">
        <f>VLOOKUP($E1602,Mapping!$E$11:$I$96,3,0)</f>
        <v>Replacement</v>
      </c>
      <c r="L1602" s="7" t="str">
        <f>VLOOKUP($G1602,Mapping!$E$140:$K$2771,5,0)</f>
        <v>Materials</v>
      </c>
      <c r="M1602" s="7" t="str">
        <f>VLOOKUP($G1602,Mapping!$E$140:$K$2771,7,0)</f>
        <v>ENDirect</v>
      </c>
      <c r="N1602" s="7" t="str">
        <f>IFERROR(HLOOKUP(L1602,'Calc|Weightings'!$K$5:$M$5,1,0),"Excl")</f>
        <v>Materials</v>
      </c>
      <c r="O1602" s="7" t="str">
        <f>VLOOKUP(E1602,Mapping!$E$11:$I$96,5,0)</f>
        <v>SCS</v>
      </c>
      <c r="Q1602" s="33">
        <v>168</v>
      </c>
      <c r="R1602" s="33" t="s">
        <v>2176</v>
      </c>
      <c r="S1602" s="33">
        <v>615375</v>
      </c>
      <c r="T1602" s="33" t="s">
        <v>1717</v>
      </c>
      <c r="U1602" s="34">
        <v>76.194999999999993</v>
      </c>
      <c r="V1602" s="7"/>
      <c r="W1602" s="7" t="str">
        <f>VLOOKUP($Q1602,Mapping!$E$11:$I$96,3,0)</f>
        <v>Augmentation</v>
      </c>
      <c r="X1602" s="7" t="str">
        <f>VLOOKUP($S1602,Mapping!$E$140:$K$2771,5,0)</f>
        <v>Labour</v>
      </c>
      <c r="Y1602" s="7" t="str">
        <f>VLOOKUP($S1602,Mapping!$E$140:$K$2771,7,0)</f>
        <v>ENDirect</v>
      </c>
      <c r="Z1602" s="7" t="str">
        <f>IFERROR(HLOOKUP(X1602,'Calc|Weightings'!$K$5:$M$5,1,0),"Excl")</f>
        <v>Labour</v>
      </c>
      <c r="AA1602" s="7" t="str">
        <f>VLOOKUP(Q1602,Mapping!$E$11:$I$96,5,0)</f>
        <v>SCS</v>
      </c>
      <c r="AC1602" s="111">
        <v>165</v>
      </c>
      <c r="AD1602" s="111" t="s">
        <v>2206</v>
      </c>
      <c r="AE1602" s="111">
        <v>613241</v>
      </c>
      <c r="AF1602" s="111" t="s">
        <v>2083</v>
      </c>
      <c r="AG1602" s="112">
        <v>0.61384000000000005</v>
      </c>
      <c r="AI1602" s="7" t="str">
        <f>VLOOKUP($AC1602,Mapping!$E$11:$I$96,3,0)</f>
        <v>Replacement</v>
      </c>
      <c r="AJ1602" s="7" t="str">
        <f>VLOOKUP($AE1602,Mapping!$E$140:$K$2771,5,0)</f>
        <v>Labour</v>
      </c>
      <c r="AK1602" s="7" t="str">
        <f>VLOOKUP($AE1602,Mapping!$E$140:$K$2771,7,0)</f>
        <v>ENDirect</v>
      </c>
      <c r="AL1602" s="7" t="str">
        <f>IFERROR(HLOOKUP(AJ1602,'Calc|Weightings'!$K$5:$M$5,1,0),"Excl")</f>
        <v>Labour</v>
      </c>
      <c r="AM1602" s="7" t="str">
        <f>VLOOKUP(AC1602,Mapping!$E$11:$I$96,5,0)</f>
        <v>SCS</v>
      </c>
      <c r="AO1602" s="134">
        <v>172</v>
      </c>
      <c r="AP1602" s="135" t="s">
        <v>2177</v>
      </c>
      <c r="AQ1602" s="135">
        <v>634001</v>
      </c>
      <c r="AR1602" s="135" t="s">
        <v>2110</v>
      </c>
      <c r="AS1602" s="136">
        <v>6.1555499999999999</v>
      </c>
      <c r="AU1602" s="7" t="str">
        <f>VLOOKUP($AO1602,Mapping!$E$11:$I$96,3,0)</f>
        <v>Replacement</v>
      </c>
      <c r="AV1602" s="7" t="str">
        <f>VLOOKUP($AQ1602,Mapping!$E$140:$K$2771,5,0)</f>
        <v>Local OH</v>
      </c>
      <c r="AW1602" s="7" t="str">
        <f>VLOOKUP($AQ1602,Mapping!$E$140:$K$2771,7,0)</f>
        <v>OH</v>
      </c>
      <c r="AX1602" s="7" t="str">
        <f>IFERROR(HLOOKUP(AV1602,'Calc|Weightings'!$K$5:$M$5,1,0),"Excl")</f>
        <v>Excl</v>
      </c>
      <c r="AY1602" s="7" t="str">
        <f>VLOOKUP(AO1602,Mapping!$E$11:$I$96,5,0)</f>
        <v>SCS</v>
      </c>
    </row>
    <row r="1603" spans="1:51" x14ac:dyDescent="0.2">
      <c r="A1603" s="7"/>
      <c r="B1603" s="7"/>
      <c r="C1603" s="7"/>
      <c r="D1603" s="7"/>
      <c r="E1603" s="36">
        <v>156</v>
      </c>
      <c r="F1603" s="36" t="s">
        <v>2165</v>
      </c>
      <c r="G1603" s="36">
        <v>523300</v>
      </c>
      <c r="H1603" s="36" t="s">
        <v>2075</v>
      </c>
      <c r="I1603" s="37">
        <v>0.10299999999999999</v>
      </c>
      <c r="J1603" s="7"/>
      <c r="K1603" s="7" t="str">
        <f>VLOOKUP($E1603,Mapping!$E$11:$I$96,3,0)</f>
        <v>Replacement</v>
      </c>
      <c r="L1603" s="7" t="str">
        <f>VLOOKUP($G1603,Mapping!$E$140:$K$2771,5,0)</f>
        <v>Materials</v>
      </c>
      <c r="M1603" s="7" t="str">
        <f>VLOOKUP($G1603,Mapping!$E$140:$K$2771,7,0)</f>
        <v>ENDirect</v>
      </c>
      <c r="N1603" s="7" t="str">
        <f>IFERROR(HLOOKUP(L1603,'Calc|Weightings'!$K$5:$M$5,1,0),"Excl")</f>
        <v>Materials</v>
      </c>
      <c r="O1603" s="7" t="str">
        <f>VLOOKUP(E1603,Mapping!$E$11:$I$96,5,0)</f>
        <v>SCS</v>
      </c>
      <c r="Q1603" s="33">
        <v>168</v>
      </c>
      <c r="R1603" s="33" t="s">
        <v>2176</v>
      </c>
      <c r="S1603" s="33">
        <v>615395</v>
      </c>
      <c r="T1603" s="33" t="s">
        <v>1718</v>
      </c>
      <c r="U1603" s="34">
        <v>18.430299999999999</v>
      </c>
      <c r="V1603" s="7"/>
      <c r="W1603" s="7" t="str">
        <f>VLOOKUP($Q1603,Mapping!$E$11:$I$96,3,0)</f>
        <v>Augmentation</v>
      </c>
      <c r="X1603" s="7" t="str">
        <f>VLOOKUP($S1603,Mapping!$E$140:$K$2771,5,0)</f>
        <v>Labour</v>
      </c>
      <c r="Y1603" s="7" t="str">
        <f>VLOOKUP($S1603,Mapping!$E$140:$K$2771,7,0)</f>
        <v>ENDirect</v>
      </c>
      <c r="Z1603" s="7" t="str">
        <f>IFERROR(HLOOKUP(X1603,'Calc|Weightings'!$K$5:$M$5,1,0),"Excl")</f>
        <v>Labour</v>
      </c>
      <c r="AA1603" s="7" t="str">
        <f>VLOOKUP(Q1603,Mapping!$E$11:$I$96,5,0)</f>
        <v>SCS</v>
      </c>
      <c r="AC1603" s="111">
        <v>165</v>
      </c>
      <c r="AD1603" s="111" t="s">
        <v>2206</v>
      </c>
      <c r="AE1603" s="111">
        <v>613250</v>
      </c>
      <c r="AF1603" s="111" t="s">
        <v>2086</v>
      </c>
      <c r="AG1603" s="112">
        <v>18.854700000000001</v>
      </c>
      <c r="AI1603" s="7" t="str">
        <f>VLOOKUP($AC1603,Mapping!$E$11:$I$96,3,0)</f>
        <v>Replacement</v>
      </c>
      <c r="AJ1603" s="7" t="str">
        <f>VLOOKUP($AE1603,Mapping!$E$140:$K$2771,5,0)</f>
        <v>Labour</v>
      </c>
      <c r="AK1603" s="7" t="str">
        <f>VLOOKUP($AE1603,Mapping!$E$140:$K$2771,7,0)</f>
        <v>ENDirect</v>
      </c>
      <c r="AL1603" s="7" t="str">
        <f>IFERROR(HLOOKUP(AJ1603,'Calc|Weightings'!$K$5:$M$5,1,0),"Excl")</f>
        <v>Labour</v>
      </c>
      <c r="AM1603" s="7" t="str">
        <f>VLOOKUP(AC1603,Mapping!$E$11:$I$96,5,0)</f>
        <v>SCS</v>
      </c>
      <c r="AO1603" s="134">
        <v>172</v>
      </c>
      <c r="AP1603" s="135" t="s">
        <v>2177</v>
      </c>
      <c r="AQ1603" s="135">
        <v>635001</v>
      </c>
      <c r="AR1603" s="135" t="s">
        <v>1929</v>
      </c>
      <c r="AS1603" s="136">
        <v>4.7449599999999998</v>
      </c>
      <c r="AU1603" s="7" t="str">
        <f>VLOOKUP($AO1603,Mapping!$E$11:$I$96,3,0)</f>
        <v>Replacement</v>
      </c>
      <c r="AV1603" s="7" t="str">
        <f>VLOOKUP($AQ1603,Mapping!$E$140:$K$2771,5,0)</f>
        <v>PNS MG</v>
      </c>
      <c r="AW1603" s="7" t="str">
        <f>VLOOKUP($AQ1603,Mapping!$E$140:$K$2771,7,0)</f>
        <v>ENDirect</v>
      </c>
      <c r="AX1603" s="7" t="str">
        <f>IFERROR(HLOOKUP(AV1603,'Calc|Weightings'!$K$5:$M$5,1,0),"Excl")</f>
        <v>Excl</v>
      </c>
      <c r="AY1603" s="7" t="str">
        <f>VLOOKUP(AO1603,Mapping!$E$11:$I$96,5,0)</f>
        <v>SCS</v>
      </c>
    </row>
    <row r="1604" spans="1:51" x14ac:dyDescent="0.2">
      <c r="A1604" s="7"/>
      <c r="B1604" s="7"/>
      <c r="C1604" s="7"/>
      <c r="D1604" s="7"/>
      <c r="E1604" s="36">
        <v>156</v>
      </c>
      <c r="F1604" s="36" t="s">
        <v>2165</v>
      </c>
      <c r="G1604" s="36">
        <v>531000</v>
      </c>
      <c r="H1604" s="36" t="s">
        <v>242</v>
      </c>
      <c r="I1604" s="37">
        <v>5.28E-2</v>
      </c>
      <c r="J1604" s="7"/>
      <c r="K1604" s="7" t="str">
        <f>VLOOKUP($E1604,Mapping!$E$11:$I$96,3,0)</f>
        <v>Replacement</v>
      </c>
      <c r="L1604" s="7" t="str">
        <f>VLOOKUP($G1604,Mapping!$E$140:$K$2771,5,0)</f>
        <v>Contracts</v>
      </c>
      <c r="M1604" s="7" t="str">
        <f>VLOOKUP($G1604,Mapping!$E$140:$K$2771,7,0)</f>
        <v>ENDirect</v>
      </c>
      <c r="N1604" s="7" t="str">
        <f>IFERROR(HLOOKUP(L1604,'Calc|Weightings'!$K$5:$M$5,1,0),"Excl")</f>
        <v>Contracts</v>
      </c>
      <c r="O1604" s="7" t="str">
        <f>VLOOKUP(E1604,Mapping!$E$11:$I$96,5,0)</f>
        <v>SCS</v>
      </c>
      <c r="Q1604" s="33">
        <v>168</v>
      </c>
      <c r="R1604" s="33" t="s">
        <v>2176</v>
      </c>
      <c r="S1604" s="33">
        <v>634001</v>
      </c>
      <c r="T1604" s="33" t="s">
        <v>2110</v>
      </c>
      <c r="U1604" s="34">
        <v>155.52059</v>
      </c>
      <c r="V1604" s="7"/>
      <c r="W1604" s="7" t="str">
        <f>VLOOKUP($Q1604,Mapping!$E$11:$I$96,3,0)</f>
        <v>Augmentation</v>
      </c>
      <c r="X1604" s="7" t="str">
        <f>VLOOKUP($S1604,Mapping!$E$140:$K$2771,5,0)</f>
        <v>Local OH</v>
      </c>
      <c r="Y1604" s="7" t="str">
        <f>VLOOKUP($S1604,Mapping!$E$140:$K$2771,7,0)</f>
        <v>OH</v>
      </c>
      <c r="Z1604" s="7" t="str">
        <f>IFERROR(HLOOKUP(X1604,'Calc|Weightings'!$K$5:$M$5,1,0),"Excl")</f>
        <v>Excl</v>
      </c>
      <c r="AA1604" s="7" t="str">
        <f>VLOOKUP(Q1604,Mapping!$E$11:$I$96,5,0)</f>
        <v>SCS</v>
      </c>
      <c r="AC1604" s="111">
        <v>165</v>
      </c>
      <c r="AD1604" s="111" t="s">
        <v>2206</v>
      </c>
      <c r="AE1604" s="111">
        <v>613251</v>
      </c>
      <c r="AF1604" s="111" t="s">
        <v>2087</v>
      </c>
      <c r="AG1604" s="112">
        <v>2.7134900000000002</v>
      </c>
      <c r="AI1604" s="7" t="str">
        <f>VLOOKUP($AC1604,Mapping!$E$11:$I$96,3,0)</f>
        <v>Replacement</v>
      </c>
      <c r="AJ1604" s="7" t="str">
        <f>VLOOKUP($AE1604,Mapping!$E$140:$K$2771,5,0)</f>
        <v>Labour</v>
      </c>
      <c r="AK1604" s="7" t="str">
        <f>VLOOKUP($AE1604,Mapping!$E$140:$K$2771,7,0)</f>
        <v>ENDirect</v>
      </c>
      <c r="AL1604" s="7" t="str">
        <f>IFERROR(HLOOKUP(AJ1604,'Calc|Weightings'!$K$5:$M$5,1,0),"Excl")</f>
        <v>Labour</v>
      </c>
      <c r="AM1604" s="7" t="str">
        <f>VLOOKUP(AC1604,Mapping!$E$11:$I$96,5,0)</f>
        <v>SCS</v>
      </c>
      <c r="AO1604" s="134">
        <v>172</v>
      </c>
      <c r="AP1604" s="135" t="s">
        <v>2177</v>
      </c>
      <c r="AQ1604" s="135">
        <v>636001</v>
      </c>
      <c r="AR1604" s="135" t="s">
        <v>2111</v>
      </c>
      <c r="AS1604" s="136">
        <v>3.4585900000000001</v>
      </c>
      <c r="AU1604" s="7" t="str">
        <f>VLOOKUP($AO1604,Mapping!$E$11:$I$96,3,0)</f>
        <v>Replacement</v>
      </c>
      <c r="AV1604" s="7" t="str">
        <f>VLOOKUP($AQ1604,Mapping!$E$140:$K$2771,5,0)</f>
        <v>System Control OH</v>
      </c>
      <c r="AW1604" s="7" t="str">
        <f>VLOOKUP($AQ1604,Mapping!$E$140:$K$2771,7,0)</f>
        <v>OH</v>
      </c>
      <c r="AX1604" s="7" t="str">
        <f>IFERROR(HLOOKUP(AV1604,'Calc|Weightings'!$K$5:$M$5,1,0),"Excl")</f>
        <v>Excl</v>
      </c>
      <c r="AY1604" s="7" t="str">
        <f>VLOOKUP(AO1604,Mapping!$E$11:$I$96,5,0)</f>
        <v>SCS</v>
      </c>
    </row>
    <row r="1605" spans="1:51" x14ac:dyDescent="0.2">
      <c r="A1605" s="7"/>
      <c r="B1605" s="7"/>
      <c r="C1605" s="7"/>
      <c r="D1605" s="7"/>
      <c r="E1605" s="36">
        <v>156</v>
      </c>
      <c r="F1605" s="36" t="s">
        <v>2165</v>
      </c>
      <c r="G1605" s="36">
        <v>531020</v>
      </c>
      <c r="H1605" s="36" t="s">
        <v>219</v>
      </c>
      <c r="I1605" s="37">
        <v>88.247380000000007</v>
      </c>
      <c r="J1605" s="7"/>
      <c r="K1605" s="7" t="str">
        <f>VLOOKUP($E1605,Mapping!$E$11:$I$96,3,0)</f>
        <v>Replacement</v>
      </c>
      <c r="L1605" s="7" t="str">
        <f>VLOOKUP($G1605,Mapping!$E$140:$K$2771,5,0)</f>
        <v>Labour</v>
      </c>
      <c r="M1605" s="7" t="str">
        <f>VLOOKUP($G1605,Mapping!$E$140:$K$2771,7,0)</f>
        <v>ENDirect</v>
      </c>
      <c r="N1605" s="7" t="str">
        <f>IFERROR(HLOOKUP(L1605,'Calc|Weightings'!$K$5:$M$5,1,0),"Excl")</f>
        <v>Labour</v>
      </c>
      <c r="O1605" s="7" t="str">
        <f>VLOOKUP(E1605,Mapping!$E$11:$I$96,5,0)</f>
        <v>SCS</v>
      </c>
      <c r="Q1605" s="33">
        <v>168</v>
      </c>
      <c r="R1605" s="33" t="s">
        <v>2176</v>
      </c>
      <c r="S1605" s="33">
        <v>635001</v>
      </c>
      <c r="T1605" s="33" t="s">
        <v>1929</v>
      </c>
      <c r="U1605" s="34">
        <v>84.070729999999998</v>
      </c>
      <c r="V1605" s="7"/>
      <c r="W1605" s="7" t="str">
        <f>VLOOKUP($Q1605,Mapping!$E$11:$I$96,3,0)</f>
        <v>Augmentation</v>
      </c>
      <c r="X1605" s="7" t="str">
        <f>VLOOKUP($S1605,Mapping!$E$140:$K$2771,5,0)</f>
        <v>PNS MG</v>
      </c>
      <c r="Y1605" s="7" t="str">
        <f>VLOOKUP($S1605,Mapping!$E$140:$K$2771,7,0)</f>
        <v>ENDirect</v>
      </c>
      <c r="Z1605" s="7" t="str">
        <f>IFERROR(HLOOKUP(X1605,'Calc|Weightings'!$K$5:$M$5,1,0),"Excl")</f>
        <v>Excl</v>
      </c>
      <c r="AA1605" s="7" t="str">
        <f>VLOOKUP(Q1605,Mapping!$E$11:$I$96,5,0)</f>
        <v>SCS</v>
      </c>
      <c r="AC1605" s="111">
        <v>165</v>
      </c>
      <c r="AD1605" s="111" t="s">
        <v>2206</v>
      </c>
      <c r="AE1605" s="111">
        <v>613260</v>
      </c>
      <c r="AF1605" s="111" t="s">
        <v>2090</v>
      </c>
      <c r="AG1605" s="112">
        <v>17.888290000000001</v>
      </c>
      <c r="AI1605" s="7" t="str">
        <f>VLOOKUP($AC1605,Mapping!$E$11:$I$96,3,0)</f>
        <v>Replacement</v>
      </c>
      <c r="AJ1605" s="7" t="str">
        <f>VLOOKUP($AE1605,Mapping!$E$140:$K$2771,5,0)</f>
        <v>Labour</v>
      </c>
      <c r="AK1605" s="7" t="str">
        <f>VLOOKUP($AE1605,Mapping!$E$140:$K$2771,7,0)</f>
        <v>ENDirect</v>
      </c>
      <c r="AL1605" s="7" t="str">
        <f>IFERROR(HLOOKUP(AJ1605,'Calc|Weightings'!$K$5:$M$5,1,0),"Excl")</f>
        <v>Labour</v>
      </c>
      <c r="AM1605" s="7" t="str">
        <f>VLOOKUP(AC1605,Mapping!$E$11:$I$96,5,0)</f>
        <v>SCS</v>
      </c>
      <c r="AO1605" s="134">
        <v>172</v>
      </c>
      <c r="AP1605" s="135" t="s">
        <v>2177</v>
      </c>
      <c r="AQ1605" s="135">
        <v>639000</v>
      </c>
      <c r="AR1605" s="135" t="s">
        <v>2112</v>
      </c>
      <c r="AS1605" s="136">
        <v>4.3863500000000002</v>
      </c>
      <c r="AU1605" s="7" t="str">
        <f>VLOOKUP($AO1605,Mapping!$E$11:$I$96,3,0)</f>
        <v>Replacement</v>
      </c>
      <c r="AV1605" s="7" t="str">
        <f>VLOOKUP($AQ1605,Mapping!$E$140:$K$2771,5,0)</f>
        <v>PNS Corporate OH</v>
      </c>
      <c r="AW1605" s="7" t="str">
        <f>VLOOKUP($AQ1605,Mapping!$E$140:$K$2771,7,0)</f>
        <v>OH</v>
      </c>
      <c r="AX1605" s="7" t="str">
        <f>IFERROR(HLOOKUP(AV1605,'Calc|Weightings'!$K$5:$M$5,1,0),"Excl")</f>
        <v>Excl</v>
      </c>
      <c r="AY1605" s="7" t="str">
        <f>VLOOKUP(AO1605,Mapping!$E$11:$I$96,5,0)</f>
        <v>SCS</v>
      </c>
    </row>
    <row r="1606" spans="1:51" x14ac:dyDescent="0.2">
      <c r="A1606" s="7"/>
      <c r="B1606" s="7"/>
      <c r="C1606" s="7"/>
      <c r="D1606" s="7"/>
      <c r="E1606" s="36">
        <v>156</v>
      </c>
      <c r="F1606" s="36" t="s">
        <v>2165</v>
      </c>
      <c r="G1606" s="36">
        <v>531200</v>
      </c>
      <c r="H1606" s="36" t="s">
        <v>250</v>
      </c>
      <c r="I1606" s="37">
        <v>62.06</v>
      </c>
      <c r="J1606" s="7"/>
      <c r="K1606" s="7" t="str">
        <f>VLOOKUP($E1606,Mapping!$E$11:$I$96,3,0)</f>
        <v>Replacement</v>
      </c>
      <c r="L1606" s="7" t="str">
        <f>VLOOKUP($G1606,Mapping!$E$140:$K$2771,5,0)</f>
        <v>Contracts</v>
      </c>
      <c r="M1606" s="7" t="str">
        <f>VLOOKUP($G1606,Mapping!$E$140:$K$2771,7,0)</f>
        <v>ENDirect</v>
      </c>
      <c r="N1606" s="7" t="str">
        <f>IFERROR(HLOOKUP(L1606,'Calc|Weightings'!$K$5:$M$5,1,0),"Excl")</f>
        <v>Contracts</v>
      </c>
      <c r="O1606" s="7" t="str">
        <f>VLOOKUP(E1606,Mapping!$E$11:$I$96,5,0)</f>
        <v>SCS</v>
      </c>
      <c r="Q1606" s="33">
        <v>168</v>
      </c>
      <c r="R1606" s="33" t="s">
        <v>2176</v>
      </c>
      <c r="S1606" s="33">
        <v>636001</v>
      </c>
      <c r="T1606" s="33" t="s">
        <v>2111</v>
      </c>
      <c r="U1606" s="34">
        <v>47.74015</v>
      </c>
      <c r="V1606" s="7"/>
      <c r="W1606" s="7" t="str">
        <f>VLOOKUP($Q1606,Mapping!$E$11:$I$96,3,0)</f>
        <v>Augmentation</v>
      </c>
      <c r="X1606" s="7" t="str">
        <f>VLOOKUP($S1606,Mapping!$E$140:$K$2771,5,0)</f>
        <v>System Control OH</v>
      </c>
      <c r="Y1606" s="7" t="str">
        <f>VLOOKUP($S1606,Mapping!$E$140:$K$2771,7,0)</f>
        <v>OH</v>
      </c>
      <c r="Z1606" s="7" t="str">
        <f>IFERROR(HLOOKUP(X1606,'Calc|Weightings'!$K$5:$M$5,1,0),"Excl")</f>
        <v>Excl</v>
      </c>
      <c r="AA1606" s="7" t="str">
        <f>VLOOKUP(Q1606,Mapping!$E$11:$I$96,5,0)</f>
        <v>SCS</v>
      </c>
      <c r="AC1606" s="111">
        <v>165</v>
      </c>
      <c r="AD1606" s="111" t="s">
        <v>2206</v>
      </c>
      <c r="AE1606" s="111">
        <v>613261</v>
      </c>
      <c r="AF1606" s="111" t="s">
        <v>2091</v>
      </c>
      <c r="AG1606" s="112">
        <v>2.7947600000000001</v>
      </c>
      <c r="AI1606" s="7" t="str">
        <f>VLOOKUP($AC1606,Mapping!$E$11:$I$96,3,0)</f>
        <v>Replacement</v>
      </c>
      <c r="AJ1606" s="7" t="str">
        <f>VLOOKUP($AE1606,Mapping!$E$140:$K$2771,5,0)</f>
        <v>Labour</v>
      </c>
      <c r="AK1606" s="7" t="str">
        <f>VLOOKUP($AE1606,Mapping!$E$140:$K$2771,7,0)</f>
        <v>ENDirect</v>
      </c>
      <c r="AL1606" s="7" t="str">
        <f>IFERROR(HLOOKUP(AJ1606,'Calc|Weightings'!$K$5:$M$5,1,0),"Excl")</f>
        <v>Labour</v>
      </c>
      <c r="AM1606" s="7" t="str">
        <f>VLOOKUP(AC1606,Mapping!$E$11:$I$96,5,0)</f>
        <v>SCS</v>
      </c>
      <c r="AO1606" s="134">
        <v>172</v>
      </c>
      <c r="AP1606" s="135" t="s">
        <v>2177</v>
      </c>
      <c r="AQ1606" s="135">
        <v>639050</v>
      </c>
      <c r="AR1606" s="135" t="s">
        <v>2113</v>
      </c>
      <c r="AS1606" s="136">
        <v>1.0706199999999999</v>
      </c>
      <c r="AU1606" s="7" t="str">
        <f>VLOOKUP($AO1606,Mapping!$E$11:$I$96,3,0)</f>
        <v>Replacement</v>
      </c>
      <c r="AV1606" s="7" t="str">
        <f>VLOOKUP($AQ1606,Mapping!$E$140:$K$2771,5,0)</f>
        <v>PNS Fleet &amp; Property OH</v>
      </c>
      <c r="AW1606" s="7" t="str">
        <f>VLOOKUP($AQ1606,Mapping!$E$140:$K$2771,7,0)</f>
        <v>OH</v>
      </c>
      <c r="AX1606" s="7" t="str">
        <f>IFERROR(HLOOKUP(AV1606,'Calc|Weightings'!$K$5:$M$5,1,0),"Excl")</f>
        <v>Excl</v>
      </c>
      <c r="AY1606" s="7" t="str">
        <f>VLOOKUP(AO1606,Mapping!$E$11:$I$96,5,0)</f>
        <v>SCS</v>
      </c>
    </row>
    <row r="1607" spans="1:51" x14ac:dyDescent="0.2">
      <c r="A1607" s="7"/>
      <c r="B1607" s="7"/>
      <c r="C1607" s="7"/>
      <c r="D1607" s="7"/>
      <c r="E1607" s="36">
        <v>156</v>
      </c>
      <c r="F1607" s="36" t="s">
        <v>2165</v>
      </c>
      <c r="G1607" s="36">
        <v>531466</v>
      </c>
      <c r="H1607" s="36" t="s">
        <v>258</v>
      </c>
      <c r="I1607" s="37">
        <v>3.1430600000000002</v>
      </c>
      <c r="J1607" s="7"/>
      <c r="K1607" s="7" t="str">
        <f>VLOOKUP($E1607,Mapping!$E$11:$I$96,3,0)</f>
        <v>Replacement</v>
      </c>
      <c r="L1607" s="7" t="str">
        <f>VLOOKUP($G1607,Mapping!$E$140:$K$2771,5,0)</f>
        <v>Contracts</v>
      </c>
      <c r="M1607" s="7" t="str">
        <f>VLOOKUP($G1607,Mapping!$E$140:$K$2771,7,0)</f>
        <v>ENDirect</v>
      </c>
      <c r="N1607" s="7" t="str">
        <f>IFERROR(HLOOKUP(L1607,'Calc|Weightings'!$K$5:$M$5,1,0),"Excl")</f>
        <v>Contracts</v>
      </c>
      <c r="O1607" s="7" t="str">
        <f>VLOOKUP(E1607,Mapping!$E$11:$I$96,5,0)</f>
        <v>SCS</v>
      </c>
      <c r="Q1607" s="33">
        <v>168</v>
      </c>
      <c r="R1607" s="33" t="s">
        <v>2176</v>
      </c>
      <c r="S1607" s="33">
        <v>639000</v>
      </c>
      <c r="T1607" s="33" t="s">
        <v>2112</v>
      </c>
      <c r="U1607" s="34">
        <v>116.95929</v>
      </c>
      <c r="V1607" s="7"/>
      <c r="W1607" s="7" t="str">
        <f>VLOOKUP($Q1607,Mapping!$E$11:$I$96,3,0)</f>
        <v>Augmentation</v>
      </c>
      <c r="X1607" s="7" t="str">
        <f>VLOOKUP($S1607,Mapping!$E$140:$K$2771,5,0)</f>
        <v>PNS Corporate OH</v>
      </c>
      <c r="Y1607" s="7" t="str">
        <f>VLOOKUP($S1607,Mapping!$E$140:$K$2771,7,0)</f>
        <v>OH</v>
      </c>
      <c r="Z1607" s="7" t="str">
        <f>IFERROR(HLOOKUP(X1607,'Calc|Weightings'!$K$5:$M$5,1,0),"Excl")</f>
        <v>Excl</v>
      </c>
      <c r="AA1607" s="7" t="str">
        <f>VLOOKUP(Q1607,Mapping!$E$11:$I$96,5,0)</f>
        <v>SCS</v>
      </c>
      <c r="AC1607" s="111">
        <v>165</v>
      </c>
      <c r="AD1607" s="111" t="s">
        <v>2206</v>
      </c>
      <c r="AE1607" s="111">
        <v>613280</v>
      </c>
      <c r="AF1607" s="111" t="s">
        <v>1342</v>
      </c>
      <c r="AG1607" s="112">
        <v>17.792950000000001</v>
      </c>
      <c r="AI1607" s="7" t="str">
        <f>VLOOKUP($AC1607,Mapping!$E$11:$I$96,3,0)</f>
        <v>Replacement</v>
      </c>
      <c r="AJ1607" s="7" t="str">
        <f>VLOOKUP($AE1607,Mapping!$E$140:$K$2771,5,0)</f>
        <v>Labour</v>
      </c>
      <c r="AK1607" s="7" t="str">
        <f>VLOOKUP($AE1607,Mapping!$E$140:$K$2771,7,0)</f>
        <v>ENDirect</v>
      </c>
      <c r="AL1607" s="7" t="str">
        <f>IFERROR(HLOOKUP(AJ1607,'Calc|Weightings'!$K$5:$M$5,1,0),"Excl")</f>
        <v>Labour</v>
      </c>
      <c r="AM1607" s="7" t="str">
        <f>VLOOKUP(AC1607,Mapping!$E$11:$I$96,5,0)</f>
        <v>SCS</v>
      </c>
      <c r="AO1607" s="134">
        <v>174</v>
      </c>
      <c r="AP1607" s="135" t="s">
        <v>2178</v>
      </c>
      <c r="AQ1607" s="135">
        <v>520100</v>
      </c>
      <c r="AR1607" s="135" t="s">
        <v>2072</v>
      </c>
      <c r="AS1607" s="136">
        <v>10.71265</v>
      </c>
      <c r="AU1607" s="7" t="str">
        <f>VLOOKUP($AO1607,Mapping!$E$11:$I$96,3,0)</f>
        <v>Replacement</v>
      </c>
      <c r="AV1607" s="7" t="str">
        <f>VLOOKUP($AQ1607,Mapping!$E$140:$K$2771,5,0)</f>
        <v>Materials</v>
      </c>
      <c r="AW1607" s="7" t="str">
        <f>VLOOKUP($AQ1607,Mapping!$E$140:$K$2771,7,0)</f>
        <v>ENDirect</v>
      </c>
      <c r="AX1607" s="7" t="str">
        <f>IFERROR(HLOOKUP(AV1607,'Calc|Weightings'!$K$5:$M$5,1,0),"Excl")</f>
        <v>Materials</v>
      </c>
      <c r="AY1607" s="7" t="str">
        <f>VLOOKUP(AO1607,Mapping!$E$11:$I$96,5,0)</f>
        <v>SCS</v>
      </c>
    </row>
    <row r="1608" spans="1:51" x14ac:dyDescent="0.2">
      <c r="A1608" s="7"/>
      <c r="B1608" s="7"/>
      <c r="C1608" s="7"/>
      <c r="D1608" s="7"/>
      <c r="E1608" s="36">
        <v>156</v>
      </c>
      <c r="F1608" s="36" t="s">
        <v>2165</v>
      </c>
      <c r="G1608" s="36">
        <v>531468</v>
      </c>
      <c r="H1608" s="36" t="s">
        <v>260</v>
      </c>
      <c r="I1608" s="37">
        <v>4.3299999999999998E-2</v>
      </c>
      <c r="J1608" s="7"/>
      <c r="K1608" s="7" t="str">
        <f>VLOOKUP($E1608,Mapping!$E$11:$I$96,3,0)</f>
        <v>Replacement</v>
      </c>
      <c r="L1608" s="7" t="str">
        <f>VLOOKUP($G1608,Mapping!$E$140:$K$2771,5,0)</f>
        <v>Contracts</v>
      </c>
      <c r="M1608" s="7" t="str">
        <f>VLOOKUP($G1608,Mapping!$E$140:$K$2771,7,0)</f>
        <v>ENDirect</v>
      </c>
      <c r="N1608" s="7" t="str">
        <f>IFERROR(HLOOKUP(L1608,'Calc|Weightings'!$K$5:$M$5,1,0),"Excl")</f>
        <v>Contracts</v>
      </c>
      <c r="O1608" s="7" t="str">
        <f>VLOOKUP(E1608,Mapping!$E$11:$I$96,5,0)</f>
        <v>SCS</v>
      </c>
      <c r="Q1608" s="33">
        <v>168</v>
      </c>
      <c r="R1608" s="33" t="s">
        <v>2176</v>
      </c>
      <c r="S1608" s="33">
        <v>639050</v>
      </c>
      <c r="T1608" s="33" t="s">
        <v>2113</v>
      </c>
      <c r="U1608" s="34">
        <v>17.251660000000001</v>
      </c>
      <c r="V1608" s="7"/>
      <c r="W1608" s="7" t="str">
        <f>VLOOKUP($Q1608,Mapping!$E$11:$I$96,3,0)</f>
        <v>Augmentation</v>
      </c>
      <c r="X1608" s="7" t="str">
        <f>VLOOKUP($S1608,Mapping!$E$140:$K$2771,5,0)</f>
        <v>PNS Fleet &amp; Property OH</v>
      </c>
      <c r="Y1608" s="7" t="str">
        <f>VLOOKUP($S1608,Mapping!$E$140:$K$2771,7,0)</f>
        <v>OH</v>
      </c>
      <c r="Z1608" s="7" t="str">
        <f>IFERROR(HLOOKUP(X1608,'Calc|Weightings'!$K$5:$M$5,1,0),"Excl")</f>
        <v>Excl</v>
      </c>
      <c r="AA1608" s="7" t="str">
        <f>VLOOKUP(Q1608,Mapping!$E$11:$I$96,5,0)</f>
        <v>SCS</v>
      </c>
      <c r="AC1608" s="111">
        <v>165</v>
      </c>
      <c r="AD1608" s="111" t="s">
        <v>2206</v>
      </c>
      <c r="AE1608" s="111">
        <v>613290</v>
      </c>
      <c r="AF1608" s="111" t="s">
        <v>2093</v>
      </c>
      <c r="AG1608" s="112">
        <v>8.2017000000000007</v>
      </c>
      <c r="AI1608" s="7" t="str">
        <f>VLOOKUP($AC1608,Mapping!$E$11:$I$96,3,0)</f>
        <v>Replacement</v>
      </c>
      <c r="AJ1608" s="7" t="str">
        <f>VLOOKUP($AE1608,Mapping!$E$140:$K$2771,5,0)</f>
        <v>Labour</v>
      </c>
      <c r="AK1608" s="7" t="str">
        <f>VLOOKUP($AE1608,Mapping!$E$140:$K$2771,7,0)</f>
        <v>ENDirect</v>
      </c>
      <c r="AL1608" s="7" t="str">
        <f>IFERROR(HLOOKUP(AJ1608,'Calc|Weightings'!$K$5:$M$5,1,0),"Excl")</f>
        <v>Labour</v>
      </c>
      <c r="AM1608" s="7" t="str">
        <f>VLOOKUP(AC1608,Mapping!$E$11:$I$96,5,0)</f>
        <v>SCS</v>
      </c>
      <c r="AO1608" s="134">
        <v>174</v>
      </c>
      <c r="AP1608" s="135" t="s">
        <v>2178</v>
      </c>
      <c r="AQ1608" s="135">
        <v>531467</v>
      </c>
      <c r="AR1608" s="135" t="s">
        <v>259</v>
      </c>
      <c r="AS1608" s="136">
        <v>9.7289700000000003</v>
      </c>
      <c r="AU1608" s="7" t="str">
        <f>VLOOKUP($AO1608,Mapping!$E$11:$I$96,3,0)</f>
        <v>Replacement</v>
      </c>
      <c r="AV1608" s="7" t="str">
        <f>VLOOKUP($AQ1608,Mapping!$E$140:$K$2771,5,0)</f>
        <v>Contracts</v>
      </c>
      <c r="AW1608" s="7" t="str">
        <f>VLOOKUP($AQ1608,Mapping!$E$140:$K$2771,7,0)</f>
        <v>ENDirect</v>
      </c>
      <c r="AX1608" s="7" t="str">
        <f>IFERROR(HLOOKUP(AV1608,'Calc|Weightings'!$K$5:$M$5,1,0),"Excl")</f>
        <v>Contracts</v>
      </c>
      <c r="AY1608" s="7" t="str">
        <f>VLOOKUP(AO1608,Mapping!$E$11:$I$96,5,0)</f>
        <v>SCS</v>
      </c>
    </row>
    <row r="1609" spans="1:51" x14ac:dyDescent="0.2">
      <c r="A1609" s="7"/>
      <c r="B1609" s="7"/>
      <c r="C1609" s="7"/>
      <c r="D1609" s="7"/>
      <c r="E1609" s="36">
        <v>156</v>
      </c>
      <c r="F1609" s="36" t="s">
        <v>2165</v>
      </c>
      <c r="G1609" s="36">
        <v>531469</v>
      </c>
      <c r="H1609" s="36" t="s">
        <v>261</v>
      </c>
      <c r="I1609" s="37">
        <v>26.146000000000001</v>
      </c>
      <c r="J1609" s="7"/>
      <c r="K1609" s="7" t="str">
        <f>VLOOKUP($E1609,Mapping!$E$11:$I$96,3,0)</f>
        <v>Replacement</v>
      </c>
      <c r="L1609" s="7" t="str">
        <f>VLOOKUP($G1609,Mapping!$E$140:$K$2771,5,0)</f>
        <v>Labour</v>
      </c>
      <c r="M1609" s="7" t="str">
        <f>VLOOKUP($G1609,Mapping!$E$140:$K$2771,7,0)</f>
        <v>ENDirect</v>
      </c>
      <c r="N1609" s="7" t="str">
        <f>IFERROR(HLOOKUP(L1609,'Calc|Weightings'!$K$5:$M$5,1,0),"Excl")</f>
        <v>Labour</v>
      </c>
      <c r="O1609" s="7" t="str">
        <f>VLOOKUP(E1609,Mapping!$E$11:$I$96,5,0)</f>
        <v>SCS</v>
      </c>
      <c r="Q1609" s="33">
        <v>172</v>
      </c>
      <c r="R1609" s="33" t="s">
        <v>2177</v>
      </c>
      <c r="S1609" s="33">
        <v>531464</v>
      </c>
      <c r="T1609" s="33" t="s">
        <v>256</v>
      </c>
      <c r="U1609" s="34">
        <v>0.98</v>
      </c>
      <c r="V1609" s="7"/>
      <c r="W1609" s="7" t="str">
        <f>VLOOKUP($Q1609,Mapping!$E$11:$I$96,3,0)</f>
        <v>Replacement</v>
      </c>
      <c r="X1609" s="7" t="str">
        <f>VLOOKUP($S1609,Mapping!$E$140:$K$2771,5,0)</f>
        <v>Contracts</v>
      </c>
      <c r="Y1609" s="7" t="str">
        <f>VLOOKUP($S1609,Mapping!$E$140:$K$2771,7,0)</f>
        <v>ENDirect</v>
      </c>
      <c r="Z1609" s="7" t="str">
        <f>IFERROR(HLOOKUP(X1609,'Calc|Weightings'!$K$5:$M$5,1,0),"Excl")</f>
        <v>Contracts</v>
      </c>
      <c r="AA1609" s="7" t="str">
        <f>VLOOKUP(Q1609,Mapping!$E$11:$I$96,5,0)</f>
        <v>SCS</v>
      </c>
      <c r="AC1609" s="111">
        <v>165</v>
      </c>
      <c r="AD1609" s="111" t="s">
        <v>2206</v>
      </c>
      <c r="AE1609" s="111">
        <v>613310</v>
      </c>
      <c r="AF1609" s="111" t="s">
        <v>2095</v>
      </c>
      <c r="AG1609" s="112">
        <v>36.6327</v>
      </c>
      <c r="AI1609" s="7" t="str">
        <f>VLOOKUP($AC1609,Mapping!$E$11:$I$96,3,0)</f>
        <v>Replacement</v>
      </c>
      <c r="AJ1609" s="7" t="str">
        <f>VLOOKUP($AE1609,Mapping!$E$140:$K$2771,5,0)</f>
        <v>Labour</v>
      </c>
      <c r="AK1609" s="7" t="str">
        <f>VLOOKUP($AE1609,Mapping!$E$140:$K$2771,7,0)</f>
        <v>ENDirect</v>
      </c>
      <c r="AL1609" s="7" t="str">
        <f>IFERROR(HLOOKUP(AJ1609,'Calc|Weightings'!$K$5:$M$5,1,0),"Excl")</f>
        <v>Labour</v>
      </c>
      <c r="AM1609" s="7" t="str">
        <f>VLOOKUP(AC1609,Mapping!$E$11:$I$96,5,0)</f>
        <v>SCS</v>
      </c>
      <c r="AO1609" s="134">
        <v>174</v>
      </c>
      <c r="AP1609" s="135" t="s">
        <v>2178</v>
      </c>
      <c r="AQ1609" s="135">
        <v>532200</v>
      </c>
      <c r="AR1609" s="135" t="s">
        <v>291</v>
      </c>
      <c r="AS1609" s="136">
        <v>2.0019999999999998</v>
      </c>
      <c r="AU1609" s="7" t="str">
        <f>VLOOKUP($AO1609,Mapping!$E$11:$I$96,3,0)</f>
        <v>Replacement</v>
      </c>
      <c r="AV1609" s="7" t="str">
        <f>VLOOKUP($AQ1609,Mapping!$E$140:$K$2771,5,0)</f>
        <v>Contracts</v>
      </c>
      <c r="AW1609" s="7" t="str">
        <f>VLOOKUP($AQ1609,Mapping!$E$140:$K$2771,7,0)</f>
        <v>ENDirect</v>
      </c>
      <c r="AX1609" s="7" t="str">
        <f>IFERROR(HLOOKUP(AV1609,'Calc|Weightings'!$K$5:$M$5,1,0),"Excl")</f>
        <v>Contracts</v>
      </c>
      <c r="AY1609" s="7" t="str">
        <f>VLOOKUP(AO1609,Mapping!$E$11:$I$96,5,0)</f>
        <v>SCS</v>
      </c>
    </row>
    <row r="1610" spans="1:51" x14ac:dyDescent="0.2">
      <c r="A1610" s="7"/>
      <c r="B1610" s="7"/>
      <c r="C1610" s="7"/>
      <c r="D1610" s="7"/>
      <c r="E1610" s="36">
        <v>156</v>
      </c>
      <c r="F1610" s="36" t="s">
        <v>2165</v>
      </c>
      <c r="G1610" s="36">
        <v>531492</v>
      </c>
      <c r="H1610" s="36" t="s">
        <v>2382</v>
      </c>
      <c r="I1610" s="37">
        <v>-65.692999999999998</v>
      </c>
      <c r="J1610" s="7"/>
      <c r="K1610" s="7" t="str">
        <f>VLOOKUP($E1610,Mapping!$E$11:$I$96,3,0)</f>
        <v>Replacement</v>
      </c>
      <c r="L1610" s="7" t="str">
        <f>VLOOKUP($G1610,Mapping!$E$140:$K$2771,5,0)</f>
        <v>Contracts</v>
      </c>
      <c r="M1610" s="7" t="str">
        <f>VLOOKUP($G1610,Mapping!$E$140:$K$2771,7,0)</f>
        <v>ENDirect</v>
      </c>
      <c r="N1610" s="7" t="str">
        <f>IFERROR(HLOOKUP(L1610,'Calc|Weightings'!$K$5:$M$5,1,0),"Excl")</f>
        <v>Contracts</v>
      </c>
      <c r="O1610" s="7" t="str">
        <f>VLOOKUP(E1610,Mapping!$E$11:$I$96,5,0)</f>
        <v>SCS</v>
      </c>
      <c r="Q1610" s="33">
        <v>172</v>
      </c>
      <c r="R1610" s="33" t="s">
        <v>2177</v>
      </c>
      <c r="S1610" s="33">
        <v>531467</v>
      </c>
      <c r="T1610" s="33" t="s">
        <v>259</v>
      </c>
      <c r="U1610" s="34">
        <v>4.5599699999999999</v>
      </c>
      <c r="V1610" s="7"/>
      <c r="W1610" s="7" t="str">
        <f>VLOOKUP($Q1610,Mapping!$E$11:$I$96,3,0)</f>
        <v>Replacement</v>
      </c>
      <c r="X1610" s="7" t="str">
        <f>VLOOKUP($S1610,Mapping!$E$140:$K$2771,5,0)</f>
        <v>Contracts</v>
      </c>
      <c r="Y1610" s="7" t="str">
        <f>VLOOKUP($S1610,Mapping!$E$140:$K$2771,7,0)</f>
        <v>ENDirect</v>
      </c>
      <c r="Z1610" s="7" t="str">
        <f>IFERROR(HLOOKUP(X1610,'Calc|Weightings'!$K$5:$M$5,1,0),"Excl")</f>
        <v>Contracts</v>
      </c>
      <c r="AA1610" s="7" t="str">
        <f>VLOOKUP(Q1610,Mapping!$E$11:$I$96,5,0)</f>
        <v>SCS</v>
      </c>
      <c r="AC1610" s="111">
        <v>165</v>
      </c>
      <c r="AD1610" s="111" t="s">
        <v>2206</v>
      </c>
      <c r="AE1610" s="111">
        <v>613311</v>
      </c>
      <c r="AF1610" s="111" t="s">
        <v>2116</v>
      </c>
      <c r="AG1610" s="112">
        <v>0.93935000000000002</v>
      </c>
      <c r="AI1610" s="7" t="str">
        <f>VLOOKUP($AC1610,Mapping!$E$11:$I$96,3,0)</f>
        <v>Replacement</v>
      </c>
      <c r="AJ1610" s="7" t="str">
        <f>VLOOKUP($AE1610,Mapping!$E$140:$K$2771,5,0)</f>
        <v>Labour</v>
      </c>
      <c r="AK1610" s="7" t="str">
        <f>VLOOKUP($AE1610,Mapping!$E$140:$K$2771,7,0)</f>
        <v>ENDirect</v>
      </c>
      <c r="AL1610" s="7" t="str">
        <f>IFERROR(HLOOKUP(AJ1610,'Calc|Weightings'!$K$5:$M$5,1,0),"Excl")</f>
        <v>Labour</v>
      </c>
      <c r="AM1610" s="7" t="str">
        <f>VLOOKUP(AC1610,Mapping!$E$11:$I$96,5,0)</f>
        <v>SCS</v>
      </c>
      <c r="AO1610" s="134">
        <v>174</v>
      </c>
      <c r="AP1610" s="135" t="s">
        <v>2178</v>
      </c>
      <c r="AQ1610" s="135">
        <v>611900</v>
      </c>
      <c r="AR1610" s="135" t="s">
        <v>2079</v>
      </c>
      <c r="AS1610" s="136">
        <v>0.62168000000000001</v>
      </c>
      <c r="AU1610" s="7" t="str">
        <f>VLOOKUP($AO1610,Mapping!$E$11:$I$96,3,0)</f>
        <v>Replacement</v>
      </c>
      <c r="AV1610" s="7" t="str">
        <f>VLOOKUP($AQ1610,Mapping!$E$140:$K$2771,5,0)</f>
        <v>Contracts</v>
      </c>
      <c r="AW1610" s="7" t="str">
        <f>VLOOKUP($AQ1610,Mapping!$E$140:$K$2771,7,0)</f>
        <v>ENDirect</v>
      </c>
      <c r="AX1610" s="7" t="str">
        <f>IFERROR(HLOOKUP(AV1610,'Calc|Weightings'!$K$5:$M$5,1,0),"Excl")</f>
        <v>Contracts</v>
      </c>
      <c r="AY1610" s="7" t="str">
        <f>VLOOKUP(AO1610,Mapping!$E$11:$I$96,5,0)</f>
        <v>SCS</v>
      </c>
    </row>
    <row r="1611" spans="1:51" x14ac:dyDescent="0.2">
      <c r="A1611" s="7"/>
      <c r="B1611" s="7"/>
      <c r="C1611" s="7"/>
      <c r="D1611" s="7"/>
      <c r="E1611" s="36">
        <v>156</v>
      </c>
      <c r="F1611" s="36" t="s">
        <v>2165</v>
      </c>
      <c r="G1611" s="36">
        <v>531495</v>
      </c>
      <c r="H1611" s="36" t="s">
        <v>2353</v>
      </c>
      <c r="I1611" s="37">
        <v>5.7</v>
      </c>
      <c r="J1611" s="7"/>
      <c r="K1611" s="7" t="str">
        <f>VLOOKUP($E1611,Mapping!$E$11:$I$96,3,0)</f>
        <v>Replacement</v>
      </c>
      <c r="L1611" s="7" t="str">
        <f>VLOOKUP($G1611,Mapping!$E$140:$K$2771,5,0)</f>
        <v>Contracts</v>
      </c>
      <c r="M1611" s="7" t="str">
        <f>VLOOKUP($G1611,Mapping!$E$140:$K$2771,7,0)</f>
        <v>ENDirect</v>
      </c>
      <c r="N1611" s="7" t="str">
        <f>IFERROR(HLOOKUP(L1611,'Calc|Weightings'!$K$5:$M$5,1,0),"Excl")</f>
        <v>Contracts</v>
      </c>
      <c r="O1611" s="7" t="str">
        <f>VLOOKUP(E1611,Mapping!$E$11:$I$96,5,0)</f>
        <v>SCS</v>
      </c>
      <c r="Q1611" s="33">
        <v>172</v>
      </c>
      <c r="R1611" s="33" t="s">
        <v>2177</v>
      </c>
      <c r="S1611" s="33">
        <v>613290</v>
      </c>
      <c r="T1611" s="33" t="s">
        <v>2093</v>
      </c>
      <c r="U1611" s="34">
        <v>0.49759999999999999</v>
      </c>
      <c r="V1611" s="7"/>
      <c r="W1611" s="7" t="str">
        <f>VLOOKUP($Q1611,Mapping!$E$11:$I$96,3,0)</f>
        <v>Replacement</v>
      </c>
      <c r="X1611" s="7" t="str">
        <f>VLOOKUP($S1611,Mapping!$E$140:$K$2771,5,0)</f>
        <v>Labour</v>
      </c>
      <c r="Y1611" s="7" t="str">
        <f>VLOOKUP($S1611,Mapping!$E$140:$K$2771,7,0)</f>
        <v>ENDirect</v>
      </c>
      <c r="Z1611" s="7" t="str">
        <f>IFERROR(HLOOKUP(X1611,'Calc|Weightings'!$K$5:$M$5,1,0),"Excl")</f>
        <v>Labour</v>
      </c>
      <c r="AA1611" s="7" t="str">
        <f>VLOOKUP(Q1611,Mapping!$E$11:$I$96,5,0)</f>
        <v>SCS</v>
      </c>
      <c r="AC1611" s="111">
        <v>165</v>
      </c>
      <c r="AD1611" s="111" t="s">
        <v>2206</v>
      </c>
      <c r="AE1611" s="111">
        <v>613360</v>
      </c>
      <c r="AF1611" s="111" t="s">
        <v>2097</v>
      </c>
      <c r="AG1611" s="112">
        <v>0.12514</v>
      </c>
      <c r="AI1611" s="7" t="str">
        <f>VLOOKUP($AC1611,Mapping!$E$11:$I$96,3,0)</f>
        <v>Replacement</v>
      </c>
      <c r="AJ1611" s="7" t="str">
        <f>VLOOKUP($AE1611,Mapping!$E$140:$K$2771,5,0)</f>
        <v>Labour</v>
      </c>
      <c r="AK1611" s="7" t="str">
        <f>VLOOKUP($AE1611,Mapping!$E$140:$K$2771,7,0)</f>
        <v>ENDirect</v>
      </c>
      <c r="AL1611" s="7" t="str">
        <f>IFERROR(HLOOKUP(AJ1611,'Calc|Weightings'!$K$5:$M$5,1,0),"Excl")</f>
        <v>Labour</v>
      </c>
      <c r="AM1611" s="7" t="str">
        <f>VLOOKUP(AC1611,Mapping!$E$11:$I$96,5,0)</f>
        <v>SCS</v>
      </c>
      <c r="AO1611" s="134">
        <v>174</v>
      </c>
      <c r="AP1611" s="135" t="s">
        <v>2178</v>
      </c>
      <c r="AQ1611" s="135">
        <v>613240</v>
      </c>
      <c r="AR1611" s="135" t="s">
        <v>2082</v>
      </c>
      <c r="AS1611" s="136">
        <v>13.518890000000001</v>
      </c>
      <c r="AU1611" s="7" t="str">
        <f>VLOOKUP($AO1611,Mapping!$E$11:$I$96,3,0)</f>
        <v>Replacement</v>
      </c>
      <c r="AV1611" s="7" t="str">
        <f>VLOOKUP($AQ1611,Mapping!$E$140:$K$2771,5,0)</f>
        <v>Labour</v>
      </c>
      <c r="AW1611" s="7" t="str">
        <f>VLOOKUP($AQ1611,Mapping!$E$140:$K$2771,7,0)</f>
        <v>ENDirect</v>
      </c>
      <c r="AX1611" s="7" t="str">
        <f>IFERROR(HLOOKUP(AV1611,'Calc|Weightings'!$K$5:$M$5,1,0),"Excl")</f>
        <v>Labour</v>
      </c>
      <c r="AY1611" s="7" t="str">
        <f>VLOOKUP(AO1611,Mapping!$E$11:$I$96,5,0)</f>
        <v>SCS</v>
      </c>
    </row>
    <row r="1612" spans="1:51" x14ac:dyDescent="0.2">
      <c r="A1612" s="7"/>
      <c r="B1612" s="7"/>
      <c r="C1612" s="7"/>
      <c r="D1612" s="7"/>
      <c r="E1612" s="36">
        <v>156</v>
      </c>
      <c r="F1612" s="36" t="s">
        <v>2165</v>
      </c>
      <c r="G1612" s="36">
        <v>532200</v>
      </c>
      <c r="H1612" s="36" t="s">
        <v>291</v>
      </c>
      <c r="I1612" s="37">
        <v>3.1748699999999999</v>
      </c>
      <c r="J1612" s="7"/>
      <c r="K1612" s="7" t="str">
        <f>VLOOKUP($E1612,Mapping!$E$11:$I$96,3,0)</f>
        <v>Replacement</v>
      </c>
      <c r="L1612" s="7" t="str">
        <f>VLOOKUP($G1612,Mapping!$E$140:$K$2771,5,0)</f>
        <v>Contracts</v>
      </c>
      <c r="M1612" s="7" t="str">
        <f>VLOOKUP($G1612,Mapping!$E$140:$K$2771,7,0)</f>
        <v>ENDirect</v>
      </c>
      <c r="N1612" s="7" t="str">
        <f>IFERROR(HLOOKUP(L1612,'Calc|Weightings'!$K$5:$M$5,1,0),"Excl")</f>
        <v>Contracts</v>
      </c>
      <c r="O1612" s="7" t="str">
        <f>VLOOKUP(E1612,Mapping!$E$11:$I$96,5,0)</f>
        <v>SCS</v>
      </c>
      <c r="Q1612" s="33">
        <v>172</v>
      </c>
      <c r="R1612" s="33" t="s">
        <v>2177</v>
      </c>
      <c r="S1612" s="33">
        <v>613680</v>
      </c>
      <c r="T1612" s="33" t="s">
        <v>2107</v>
      </c>
      <c r="U1612" s="34">
        <v>0.69540000000000002</v>
      </c>
      <c r="V1612" s="7"/>
      <c r="W1612" s="7" t="str">
        <f>VLOOKUP($Q1612,Mapping!$E$11:$I$96,3,0)</f>
        <v>Replacement</v>
      </c>
      <c r="X1612" s="7" t="str">
        <f>VLOOKUP($S1612,Mapping!$E$140:$K$2771,5,0)</f>
        <v>Labour</v>
      </c>
      <c r="Y1612" s="7" t="str">
        <f>VLOOKUP($S1612,Mapping!$E$140:$K$2771,7,0)</f>
        <v>ENDirect</v>
      </c>
      <c r="Z1612" s="7" t="str">
        <f>IFERROR(HLOOKUP(X1612,'Calc|Weightings'!$K$5:$M$5,1,0),"Excl")</f>
        <v>Labour</v>
      </c>
      <c r="AA1612" s="7" t="str">
        <f>VLOOKUP(Q1612,Mapping!$E$11:$I$96,5,0)</f>
        <v>SCS</v>
      </c>
      <c r="AC1612" s="111">
        <v>165</v>
      </c>
      <c r="AD1612" s="111" t="s">
        <v>2206</v>
      </c>
      <c r="AE1612" s="111">
        <v>613420</v>
      </c>
      <c r="AF1612" s="111" t="s">
        <v>2393</v>
      </c>
      <c r="AG1612" s="112">
        <v>3.5523400000000001</v>
      </c>
      <c r="AI1612" s="7" t="str">
        <f>VLOOKUP($AC1612,Mapping!$E$11:$I$96,3,0)</f>
        <v>Replacement</v>
      </c>
      <c r="AJ1612" s="7" t="str">
        <f>VLOOKUP($AE1612,Mapping!$E$140:$K$2771,5,0)</f>
        <v>Labour</v>
      </c>
      <c r="AK1612" s="7" t="str">
        <f>VLOOKUP($AE1612,Mapping!$E$140:$K$2771,7,0)</f>
        <v>ENDirect</v>
      </c>
      <c r="AL1612" s="7" t="str">
        <f>IFERROR(HLOOKUP(AJ1612,'Calc|Weightings'!$K$5:$M$5,1,0),"Excl")</f>
        <v>Labour</v>
      </c>
      <c r="AM1612" s="7" t="str">
        <f>VLOOKUP(AC1612,Mapping!$E$11:$I$96,5,0)</f>
        <v>SCS</v>
      </c>
      <c r="AO1612" s="134">
        <v>174</v>
      </c>
      <c r="AP1612" s="135" t="s">
        <v>2178</v>
      </c>
      <c r="AQ1612" s="135">
        <v>613241</v>
      </c>
      <c r="AR1612" s="135" t="s">
        <v>2083</v>
      </c>
      <c r="AS1612" s="136">
        <v>5.3585399999999996</v>
      </c>
      <c r="AU1612" s="7" t="str">
        <f>VLOOKUP($AO1612,Mapping!$E$11:$I$96,3,0)</f>
        <v>Replacement</v>
      </c>
      <c r="AV1612" s="7" t="str">
        <f>VLOOKUP($AQ1612,Mapping!$E$140:$K$2771,5,0)</f>
        <v>Labour</v>
      </c>
      <c r="AW1612" s="7" t="str">
        <f>VLOOKUP($AQ1612,Mapping!$E$140:$K$2771,7,0)</f>
        <v>ENDirect</v>
      </c>
      <c r="AX1612" s="7" t="str">
        <f>IFERROR(HLOOKUP(AV1612,'Calc|Weightings'!$K$5:$M$5,1,0),"Excl")</f>
        <v>Labour</v>
      </c>
      <c r="AY1612" s="7" t="str">
        <f>VLOOKUP(AO1612,Mapping!$E$11:$I$96,5,0)</f>
        <v>SCS</v>
      </c>
    </row>
    <row r="1613" spans="1:51" x14ac:dyDescent="0.2">
      <c r="A1613" s="7"/>
      <c r="B1613" s="7"/>
      <c r="C1613" s="7"/>
      <c r="D1613" s="7"/>
      <c r="E1613" s="36">
        <v>156</v>
      </c>
      <c r="F1613" s="36" t="s">
        <v>2165</v>
      </c>
      <c r="G1613" s="36">
        <v>532420</v>
      </c>
      <c r="H1613" s="36" t="s">
        <v>307</v>
      </c>
      <c r="I1613" s="37">
        <v>0.27614</v>
      </c>
      <c r="J1613" s="7"/>
      <c r="K1613" s="7" t="str">
        <f>VLOOKUP($E1613,Mapping!$E$11:$I$96,3,0)</f>
        <v>Replacement</v>
      </c>
      <c r="L1613" s="7" t="str">
        <f>VLOOKUP($G1613,Mapping!$E$140:$K$2771,5,0)</f>
        <v>Contracts</v>
      </c>
      <c r="M1613" s="7" t="str">
        <f>VLOOKUP($G1613,Mapping!$E$140:$K$2771,7,0)</f>
        <v>ENDirect</v>
      </c>
      <c r="N1613" s="7" t="str">
        <f>IFERROR(HLOOKUP(L1613,'Calc|Weightings'!$K$5:$M$5,1,0),"Excl")</f>
        <v>Contracts</v>
      </c>
      <c r="O1613" s="7" t="str">
        <f>VLOOKUP(E1613,Mapping!$E$11:$I$96,5,0)</f>
        <v>SCS</v>
      </c>
      <c r="Q1613" s="33">
        <v>172</v>
      </c>
      <c r="R1613" s="33" t="s">
        <v>2177</v>
      </c>
      <c r="S1613" s="33">
        <v>634001</v>
      </c>
      <c r="T1613" s="33" t="s">
        <v>2110</v>
      </c>
      <c r="U1613" s="34">
        <v>0.34425</v>
      </c>
      <c r="V1613" s="7"/>
      <c r="W1613" s="7" t="str">
        <f>VLOOKUP($Q1613,Mapping!$E$11:$I$96,3,0)</f>
        <v>Replacement</v>
      </c>
      <c r="X1613" s="7" t="str">
        <f>VLOOKUP($S1613,Mapping!$E$140:$K$2771,5,0)</f>
        <v>Local OH</v>
      </c>
      <c r="Y1613" s="7" t="str">
        <f>VLOOKUP($S1613,Mapping!$E$140:$K$2771,7,0)</f>
        <v>OH</v>
      </c>
      <c r="Z1613" s="7" t="str">
        <f>IFERROR(HLOOKUP(X1613,'Calc|Weightings'!$K$5:$M$5,1,0),"Excl")</f>
        <v>Excl</v>
      </c>
      <c r="AA1613" s="7" t="str">
        <f>VLOOKUP(Q1613,Mapping!$E$11:$I$96,5,0)</f>
        <v>SCS</v>
      </c>
      <c r="AC1613" s="111">
        <v>165</v>
      </c>
      <c r="AD1613" s="111" t="s">
        <v>2206</v>
      </c>
      <c r="AE1613" s="111">
        <v>613566</v>
      </c>
      <c r="AF1613" s="111" t="s">
        <v>1482</v>
      </c>
      <c r="AG1613" s="112">
        <v>1.6983999999999999</v>
      </c>
      <c r="AI1613" s="7" t="str">
        <f>VLOOKUP($AC1613,Mapping!$E$11:$I$96,3,0)</f>
        <v>Replacement</v>
      </c>
      <c r="AJ1613" s="7" t="str">
        <f>VLOOKUP($AE1613,Mapping!$E$140:$K$2771,5,0)</f>
        <v>Labour</v>
      </c>
      <c r="AK1613" s="7" t="str">
        <f>VLOOKUP($AE1613,Mapping!$E$140:$K$2771,7,0)</f>
        <v>ENDirect</v>
      </c>
      <c r="AL1613" s="7" t="str">
        <f>IFERROR(HLOOKUP(AJ1613,'Calc|Weightings'!$K$5:$M$5,1,0),"Excl")</f>
        <v>Labour</v>
      </c>
      <c r="AM1613" s="7" t="str">
        <f>VLOOKUP(AC1613,Mapping!$E$11:$I$96,5,0)</f>
        <v>SCS</v>
      </c>
      <c r="AO1613" s="134">
        <v>174</v>
      </c>
      <c r="AP1613" s="135" t="s">
        <v>2178</v>
      </c>
      <c r="AQ1613" s="135">
        <v>613250</v>
      </c>
      <c r="AR1613" s="135" t="s">
        <v>2086</v>
      </c>
      <c r="AS1613" s="136">
        <v>19.219069999999999</v>
      </c>
      <c r="AU1613" s="7" t="str">
        <f>VLOOKUP($AO1613,Mapping!$E$11:$I$96,3,0)</f>
        <v>Replacement</v>
      </c>
      <c r="AV1613" s="7" t="str">
        <f>VLOOKUP($AQ1613,Mapping!$E$140:$K$2771,5,0)</f>
        <v>Labour</v>
      </c>
      <c r="AW1613" s="7" t="str">
        <f>VLOOKUP($AQ1613,Mapping!$E$140:$K$2771,7,0)</f>
        <v>ENDirect</v>
      </c>
      <c r="AX1613" s="7" t="str">
        <f>IFERROR(HLOOKUP(AV1613,'Calc|Weightings'!$K$5:$M$5,1,0),"Excl")</f>
        <v>Labour</v>
      </c>
      <c r="AY1613" s="7" t="str">
        <f>VLOOKUP(AO1613,Mapping!$E$11:$I$96,5,0)</f>
        <v>SCS</v>
      </c>
    </row>
    <row r="1614" spans="1:51" x14ac:dyDescent="0.2">
      <c r="A1614" s="7"/>
      <c r="B1614" s="7"/>
      <c r="C1614" s="7"/>
      <c r="D1614" s="7"/>
      <c r="E1614" s="36">
        <v>156</v>
      </c>
      <c r="F1614" s="36" t="s">
        <v>2165</v>
      </c>
      <c r="G1614" s="36">
        <v>532500</v>
      </c>
      <c r="H1614" s="36" t="s">
        <v>308</v>
      </c>
      <c r="I1614" s="37">
        <v>1.7319999999999999E-2</v>
      </c>
      <c r="J1614" s="7"/>
      <c r="K1614" s="7" t="str">
        <f>VLOOKUP($E1614,Mapping!$E$11:$I$96,3,0)</f>
        <v>Replacement</v>
      </c>
      <c r="L1614" s="7" t="str">
        <f>VLOOKUP($G1614,Mapping!$E$140:$K$2771,5,0)</f>
        <v>Contracts</v>
      </c>
      <c r="M1614" s="7" t="str">
        <f>VLOOKUP($G1614,Mapping!$E$140:$K$2771,7,0)</f>
        <v>ENDirect</v>
      </c>
      <c r="N1614" s="7" t="str">
        <f>IFERROR(HLOOKUP(L1614,'Calc|Weightings'!$K$5:$M$5,1,0),"Excl")</f>
        <v>Contracts</v>
      </c>
      <c r="O1614" s="7" t="str">
        <f>VLOOKUP(E1614,Mapping!$E$11:$I$96,5,0)</f>
        <v>SCS</v>
      </c>
      <c r="Q1614" s="33">
        <v>172</v>
      </c>
      <c r="R1614" s="33" t="s">
        <v>2177</v>
      </c>
      <c r="S1614" s="33">
        <v>635001</v>
      </c>
      <c r="T1614" s="33" t="s">
        <v>1929</v>
      </c>
      <c r="U1614" s="34">
        <v>0.31374999999999997</v>
      </c>
      <c r="V1614" s="7"/>
      <c r="W1614" s="7" t="str">
        <f>VLOOKUP($Q1614,Mapping!$E$11:$I$96,3,0)</f>
        <v>Replacement</v>
      </c>
      <c r="X1614" s="7" t="str">
        <f>VLOOKUP($S1614,Mapping!$E$140:$K$2771,5,0)</f>
        <v>PNS MG</v>
      </c>
      <c r="Y1614" s="7" t="str">
        <f>VLOOKUP($S1614,Mapping!$E$140:$K$2771,7,0)</f>
        <v>ENDirect</v>
      </c>
      <c r="Z1614" s="7" t="str">
        <f>IFERROR(HLOOKUP(X1614,'Calc|Weightings'!$K$5:$M$5,1,0),"Excl")</f>
        <v>Excl</v>
      </c>
      <c r="AA1614" s="7" t="str">
        <f>VLOOKUP(Q1614,Mapping!$E$11:$I$96,5,0)</f>
        <v>SCS</v>
      </c>
      <c r="AC1614" s="111">
        <v>165</v>
      </c>
      <c r="AD1614" s="111" t="s">
        <v>2206</v>
      </c>
      <c r="AE1614" s="111">
        <v>613575</v>
      </c>
      <c r="AF1614" s="111" t="s">
        <v>1489</v>
      </c>
      <c r="AG1614" s="112">
        <v>1.53711</v>
      </c>
      <c r="AI1614" s="7" t="str">
        <f>VLOOKUP($AC1614,Mapping!$E$11:$I$96,3,0)</f>
        <v>Replacement</v>
      </c>
      <c r="AJ1614" s="7" t="str">
        <f>VLOOKUP($AE1614,Mapping!$E$140:$K$2771,5,0)</f>
        <v>Labour</v>
      </c>
      <c r="AK1614" s="7" t="str">
        <f>VLOOKUP($AE1614,Mapping!$E$140:$K$2771,7,0)</f>
        <v>ENDirect</v>
      </c>
      <c r="AL1614" s="7" t="str">
        <f>IFERROR(HLOOKUP(AJ1614,'Calc|Weightings'!$K$5:$M$5,1,0),"Excl")</f>
        <v>Labour</v>
      </c>
      <c r="AM1614" s="7" t="str">
        <f>VLOOKUP(AC1614,Mapping!$E$11:$I$96,5,0)</f>
        <v>SCS</v>
      </c>
      <c r="AO1614" s="134">
        <v>174</v>
      </c>
      <c r="AP1614" s="135" t="s">
        <v>2178</v>
      </c>
      <c r="AQ1614" s="135">
        <v>613251</v>
      </c>
      <c r="AR1614" s="135" t="s">
        <v>2087</v>
      </c>
      <c r="AS1614" s="136">
        <v>1.94018</v>
      </c>
      <c r="AU1614" s="7" t="str">
        <f>VLOOKUP($AO1614,Mapping!$E$11:$I$96,3,0)</f>
        <v>Replacement</v>
      </c>
      <c r="AV1614" s="7" t="str">
        <f>VLOOKUP($AQ1614,Mapping!$E$140:$K$2771,5,0)</f>
        <v>Labour</v>
      </c>
      <c r="AW1614" s="7" t="str">
        <f>VLOOKUP($AQ1614,Mapping!$E$140:$K$2771,7,0)</f>
        <v>ENDirect</v>
      </c>
      <c r="AX1614" s="7" t="str">
        <f>IFERROR(HLOOKUP(AV1614,'Calc|Weightings'!$K$5:$M$5,1,0),"Excl")</f>
        <v>Labour</v>
      </c>
      <c r="AY1614" s="7" t="str">
        <f>VLOOKUP(AO1614,Mapping!$E$11:$I$96,5,0)</f>
        <v>SCS</v>
      </c>
    </row>
    <row r="1615" spans="1:51" x14ac:dyDescent="0.2">
      <c r="A1615" s="7"/>
      <c r="B1615" s="7"/>
      <c r="C1615" s="7"/>
      <c r="D1615" s="7"/>
      <c r="E1615" s="36">
        <v>156</v>
      </c>
      <c r="F1615" s="36" t="s">
        <v>2165</v>
      </c>
      <c r="G1615" s="36">
        <v>545150</v>
      </c>
      <c r="H1615" s="36" t="s">
        <v>345</v>
      </c>
      <c r="I1615" s="37">
        <v>0.70025000000000004</v>
      </c>
      <c r="J1615" s="7"/>
      <c r="K1615" s="7" t="str">
        <f>VLOOKUP($E1615,Mapping!$E$11:$I$96,3,0)</f>
        <v>Replacement</v>
      </c>
      <c r="L1615" s="7" t="str">
        <f>VLOOKUP($G1615,Mapping!$E$140:$K$2771,5,0)</f>
        <v>Contracts</v>
      </c>
      <c r="M1615" s="7" t="str">
        <f>VLOOKUP($G1615,Mapping!$E$140:$K$2771,7,0)</f>
        <v>ENDirect</v>
      </c>
      <c r="N1615" s="7" t="str">
        <f>IFERROR(HLOOKUP(L1615,'Calc|Weightings'!$K$5:$M$5,1,0),"Excl")</f>
        <v>Contracts</v>
      </c>
      <c r="O1615" s="7" t="str">
        <f>VLOOKUP(E1615,Mapping!$E$11:$I$96,5,0)</f>
        <v>SCS</v>
      </c>
      <c r="Q1615" s="33">
        <v>172</v>
      </c>
      <c r="R1615" s="33" t="s">
        <v>2177</v>
      </c>
      <c r="S1615" s="33">
        <v>636001</v>
      </c>
      <c r="T1615" s="33" t="s">
        <v>2111</v>
      </c>
      <c r="U1615" s="34">
        <v>0.10784000000000001</v>
      </c>
      <c r="V1615" s="7"/>
      <c r="W1615" s="7" t="str">
        <f>VLOOKUP($Q1615,Mapping!$E$11:$I$96,3,0)</f>
        <v>Replacement</v>
      </c>
      <c r="X1615" s="7" t="str">
        <f>VLOOKUP($S1615,Mapping!$E$140:$K$2771,5,0)</f>
        <v>System Control OH</v>
      </c>
      <c r="Y1615" s="7" t="str">
        <f>VLOOKUP($S1615,Mapping!$E$140:$K$2771,7,0)</f>
        <v>OH</v>
      </c>
      <c r="Z1615" s="7" t="str">
        <f>IFERROR(HLOOKUP(X1615,'Calc|Weightings'!$K$5:$M$5,1,0),"Excl")</f>
        <v>Excl</v>
      </c>
      <c r="AA1615" s="7" t="str">
        <f>VLOOKUP(Q1615,Mapping!$E$11:$I$96,5,0)</f>
        <v>SCS</v>
      </c>
      <c r="AC1615" s="111">
        <v>165</v>
      </c>
      <c r="AD1615" s="111" t="s">
        <v>2206</v>
      </c>
      <c r="AE1615" s="111">
        <v>613576</v>
      </c>
      <c r="AF1615" s="111" t="s">
        <v>1490</v>
      </c>
      <c r="AG1615" s="112">
        <v>-167.39152000000001</v>
      </c>
      <c r="AI1615" s="7" t="str">
        <f>VLOOKUP($AC1615,Mapping!$E$11:$I$96,3,0)</f>
        <v>Replacement</v>
      </c>
      <c r="AJ1615" s="7" t="str">
        <f>VLOOKUP($AE1615,Mapping!$E$140:$K$2771,5,0)</f>
        <v>Labour</v>
      </c>
      <c r="AK1615" s="7" t="str">
        <f>VLOOKUP($AE1615,Mapping!$E$140:$K$2771,7,0)</f>
        <v>ENDirect</v>
      </c>
      <c r="AL1615" s="7" t="str">
        <f>IFERROR(HLOOKUP(AJ1615,'Calc|Weightings'!$K$5:$M$5,1,0),"Excl")</f>
        <v>Labour</v>
      </c>
      <c r="AM1615" s="7" t="str">
        <f>VLOOKUP(AC1615,Mapping!$E$11:$I$96,5,0)</f>
        <v>SCS</v>
      </c>
      <c r="AO1615" s="134">
        <v>174</v>
      </c>
      <c r="AP1615" s="135" t="s">
        <v>2178</v>
      </c>
      <c r="AQ1615" s="135">
        <v>613280</v>
      </c>
      <c r="AR1615" s="135" t="s">
        <v>1342</v>
      </c>
      <c r="AS1615" s="136">
        <v>11.43933</v>
      </c>
      <c r="AU1615" s="7" t="str">
        <f>VLOOKUP($AO1615,Mapping!$E$11:$I$96,3,0)</f>
        <v>Replacement</v>
      </c>
      <c r="AV1615" s="7" t="str">
        <f>VLOOKUP($AQ1615,Mapping!$E$140:$K$2771,5,0)</f>
        <v>Labour</v>
      </c>
      <c r="AW1615" s="7" t="str">
        <f>VLOOKUP($AQ1615,Mapping!$E$140:$K$2771,7,0)</f>
        <v>ENDirect</v>
      </c>
      <c r="AX1615" s="7" t="str">
        <f>IFERROR(HLOOKUP(AV1615,'Calc|Weightings'!$K$5:$M$5,1,0),"Excl")</f>
        <v>Labour</v>
      </c>
      <c r="AY1615" s="7" t="str">
        <f>VLOOKUP(AO1615,Mapping!$E$11:$I$96,5,0)</f>
        <v>SCS</v>
      </c>
    </row>
    <row r="1616" spans="1:51" x14ac:dyDescent="0.2">
      <c r="A1616" s="7"/>
      <c r="B1616" s="7"/>
      <c r="C1616" s="7"/>
      <c r="D1616" s="7"/>
      <c r="E1616" s="36">
        <v>156</v>
      </c>
      <c r="F1616" s="36" t="s">
        <v>2165</v>
      </c>
      <c r="G1616" s="36">
        <v>591997</v>
      </c>
      <c r="H1616" s="36" t="s">
        <v>2194</v>
      </c>
      <c r="I1616" s="37">
        <v>0.10827000000000001</v>
      </c>
      <c r="J1616" s="7"/>
      <c r="K1616" s="7" t="str">
        <f>VLOOKUP($E1616,Mapping!$E$11:$I$96,3,0)</f>
        <v>Replacement</v>
      </c>
      <c r="L1616" s="7" t="str">
        <f>VLOOKUP($G1616,Mapping!$E$140:$K$2771,5,0)</f>
        <v>Contracts</v>
      </c>
      <c r="M1616" s="7" t="str">
        <f>VLOOKUP($G1616,Mapping!$E$140:$K$2771,7,0)</f>
        <v>ENDirect</v>
      </c>
      <c r="N1616" s="7" t="str">
        <f>IFERROR(HLOOKUP(L1616,'Calc|Weightings'!$K$5:$M$5,1,0),"Excl")</f>
        <v>Contracts</v>
      </c>
      <c r="O1616" s="7" t="str">
        <f>VLOOKUP(E1616,Mapping!$E$11:$I$96,5,0)</f>
        <v>SCS</v>
      </c>
      <c r="Q1616" s="33">
        <v>172</v>
      </c>
      <c r="R1616" s="33" t="s">
        <v>2177</v>
      </c>
      <c r="S1616" s="33">
        <v>639000</v>
      </c>
      <c r="T1616" s="33" t="s">
        <v>2112</v>
      </c>
      <c r="U1616" s="34">
        <v>0.28616999999999998</v>
      </c>
      <c r="V1616" s="7"/>
      <c r="W1616" s="7" t="str">
        <f>VLOOKUP($Q1616,Mapping!$E$11:$I$96,3,0)</f>
        <v>Replacement</v>
      </c>
      <c r="X1616" s="7" t="str">
        <f>VLOOKUP($S1616,Mapping!$E$140:$K$2771,5,0)</f>
        <v>PNS Corporate OH</v>
      </c>
      <c r="Y1616" s="7" t="str">
        <f>VLOOKUP($S1616,Mapping!$E$140:$K$2771,7,0)</f>
        <v>OH</v>
      </c>
      <c r="Z1616" s="7" t="str">
        <f>IFERROR(HLOOKUP(X1616,'Calc|Weightings'!$K$5:$M$5,1,0),"Excl")</f>
        <v>Excl</v>
      </c>
      <c r="AA1616" s="7" t="str">
        <f>VLOOKUP(Q1616,Mapping!$E$11:$I$96,5,0)</f>
        <v>SCS</v>
      </c>
      <c r="AC1616" s="111">
        <v>165</v>
      </c>
      <c r="AD1616" s="111" t="s">
        <v>2206</v>
      </c>
      <c r="AE1616" s="111">
        <v>613577</v>
      </c>
      <c r="AF1616" s="111" t="s">
        <v>1491</v>
      </c>
      <c r="AG1616" s="112">
        <v>24.43411</v>
      </c>
      <c r="AI1616" s="7" t="str">
        <f>VLOOKUP($AC1616,Mapping!$E$11:$I$96,3,0)</f>
        <v>Replacement</v>
      </c>
      <c r="AJ1616" s="7" t="str">
        <f>VLOOKUP($AE1616,Mapping!$E$140:$K$2771,5,0)</f>
        <v>Labour</v>
      </c>
      <c r="AK1616" s="7" t="str">
        <f>VLOOKUP($AE1616,Mapping!$E$140:$K$2771,7,0)</f>
        <v>ENDirect</v>
      </c>
      <c r="AL1616" s="7" t="str">
        <f>IFERROR(HLOOKUP(AJ1616,'Calc|Weightings'!$K$5:$M$5,1,0),"Excl")</f>
        <v>Labour</v>
      </c>
      <c r="AM1616" s="7" t="str">
        <f>VLOOKUP(AC1616,Mapping!$E$11:$I$96,5,0)</f>
        <v>SCS</v>
      </c>
      <c r="AO1616" s="134">
        <v>174</v>
      </c>
      <c r="AP1616" s="135" t="s">
        <v>2178</v>
      </c>
      <c r="AQ1616" s="135">
        <v>613290</v>
      </c>
      <c r="AR1616" s="135" t="s">
        <v>2093</v>
      </c>
      <c r="AS1616" s="136">
        <v>6.2449500000000002</v>
      </c>
      <c r="AU1616" s="7" t="str">
        <f>VLOOKUP($AO1616,Mapping!$E$11:$I$96,3,0)</f>
        <v>Replacement</v>
      </c>
      <c r="AV1616" s="7" t="str">
        <f>VLOOKUP($AQ1616,Mapping!$E$140:$K$2771,5,0)</f>
        <v>Labour</v>
      </c>
      <c r="AW1616" s="7" t="str">
        <f>VLOOKUP($AQ1616,Mapping!$E$140:$K$2771,7,0)</f>
        <v>ENDirect</v>
      </c>
      <c r="AX1616" s="7" t="str">
        <f>IFERROR(HLOOKUP(AV1616,'Calc|Weightings'!$K$5:$M$5,1,0),"Excl")</f>
        <v>Labour</v>
      </c>
      <c r="AY1616" s="7" t="str">
        <f>VLOOKUP(AO1616,Mapping!$E$11:$I$96,5,0)</f>
        <v>SCS</v>
      </c>
    </row>
    <row r="1617" spans="1:51" x14ac:dyDescent="0.2">
      <c r="A1617" s="7"/>
      <c r="B1617" s="7"/>
      <c r="C1617" s="7"/>
      <c r="D1617" s="7"/>
      <c r="E1617" s="36">
        <v>156</v>
      </c>
      <c r="F1617" s="36" t="s">
        <v>2165</v>
      </c>
      <c r="G1617" s="36">
        <v>591999</v>
      </c>
      <c r="H1617" s="36" t="s">
        <v>2195</v>
      </c>
      <c r="I1617" s="37">
        <v>7.5700000000000003E-3</v>
      </c>
      <c r="J1617" s="7"/>
      <c r="K1617" s="7" t="str">
        <f>VLOOKUP($E1617,Mapping!$E$11:$I$96,3,0)</f>
        <v>Replacement</v>
      </c>
      <c r="L1617" s="7" t="str">
        <f>VLOOKUP($G1617,Mapping!$E$140:$K$2771,5,0)</f>
        <v>Contracts</v>
      </c>
      <c r="M1617" s="7" t="str">
        <f>VLOOKUP($G1617,Mapping!$E$140:$K$2771,7,0)</f>
        <v>ENDirect</v>
      </c>
      <c r="N1617" s="7" t="str">
        <f>IFERROR(HLOOKUP(L1617,'Calc|Weightings'!$K$5:$M$5,1,0),"Excl")</f>
        <v>Contracts</v>
      </c>
      <c r="O1617" s="7" t="str">
        <f>VLOOKUP(E1617,Mapping!$E$11:$I$96,5,0)</f>
        <v>SCS</v>
      </c>
      <c r="Q1617" s="33">
        <v>172</v>
      </c>
      <c r="R1617" s="33" t="s">
        <v>2177</v>
      </c>
      <c r="S1617" s="33">
        <v>639050</v>
      </c>
      <c r="T1617" s="33" t="s">
        <v>2113</v>
      </c>
      <c r="U1617" s="34">
        <v>3.7400000000000003E-2</v>
      </c>
      <c r="V1617" s="7"/>
      <c r="W1617" s="7" t="str">
        <f>VLOOKUP($Q1617,Mapping!$E$11:$I$96,3,0)</f>
        <v>Replacement</v>
      </c>
      <c r="X1617" s="7" t="str">
        <f>VLOOKUP($S1617,Mapping!$E$140:$K$2771,5,0)</f>
        <v>PNS Fleet &amp; Property OH</v>
      </c>
      <c r="Y1617" s="7" t="str">
        <f>VLOOKUP($S1617,Mapping!$E$140:$K$2771,7,0)</f>
        <v>OH</v>
      </c>
      <c r="Z1617" s="7" t="str">
        <f>IFERROR(HLOOKUP(X1617,'Calc|Weightings'!$K$5:$M$5,1,0),"Excl")</f>
        <v>Excl</v>
      </c>
      <c r="AA1617" s="7" t="str">
        <f>VLOOKUP(Q1617,Mapping!$E$11:$I$96,5,0)</f>
        <v>SCS</v>
      </c>
      <c r="AC1617" s="111">
        <v>165</v>
      </c>
      <c r="AD1617" s="111" t="s">
        <v>2206</v>
      </c>
      <c r="AE1617" s="111">
        <v>613602</v>
      </c>
      <c r="AF1617" s="111" t="s">
        <v>1494</v>
      </c>
      <c r="AG1617" s="112">
        <v>0.41424</v>
      </c>
      <c r="AI1617" s="7" t="str">
        <f>VLOOKUP($AC1617,Mapping!$E$11:$I$96,3,0)</f>
        <v>Replacement</v>
      </c>
      <c r="AJ1617" s="7" t="str">
        <f>VLOOKUP($AE1617,Mapping!$E$140:$K$2771,5,0)</f>
        <v>Labour</v>
      </c>
      <c r="AK1617" s="7" t="str">
        <f>VLOOKUP($AE1617,Mapping!$E$140:$K$2771,7,0)</f>
        <v>ENDirect</v>
      </c>
      <c r="AL1617" s="7" t="str">
        <f>IFERROR(HLOOKUP(AJ1617,'Calc|Weightings'!$K$5:$M$5,1,0),"Excl")</f>
        <v>Labour</v>
      </c>
      <c r="AM1617" s="7" t="str">
        <f>VLOOKUP(AC1617,Mapping!$E$11:$I$96,5,0)</f>
        <v>SCS</v>
      </c>
      <c r="AO1617" s="134">
        <v>174</v>
      </c>
      <c r="AP1617" s="135" t="s">
        <v>2178</v>
      </c>
      <c r="AQ1617" s="135">
        <v>613360</v>
      </c>
      <c r="AR1617" s="135" t="s">
        <v>2097</v>
      </c>
      <c r="AS1617" s="136">
        <v>0.38202000000000003</v>
      </c>
      <c r="AU1617" s="7" t="str">
        <f>VLOOKUP($AO1617,Mapping!$E$11:$I$96,3,0)</f>
        <v>Replacement</v>
      </c>
      <c r="AV1617" s="7" t="str">
        <f>VLOOKUP($AQ1617,Mapping!$E$140:$K$2771,5,0)</f>
        <v>Labour</v>
      </c>
      <c r="AW1617" s="7" t="str">
        <f>VLOOKUP($AQ1617,Mapping!$E$140:$K$2771,7,0)</f>
        <v>ENDirect</v>
      </c>
      <c r="AX1617" s="7" t="str">
        <f>IFERROR(HLOOKUP(AV1617,'Calc|Weightings'!$K$5:$M$5,1,0),"Excl")</f>
        <v>Labour</v>
      </c>
      <c r="AY1617" s="7" t="str">
        <f>VLOOKUP(AO1617,Mapping!$E$11:$I$96,5,0)</f>
        <v>SCS</v>
      </c>
    </row>
    <row r="1618" spans="1:51" x14ac:dyDescent="0.2">
      <c r="A1618" s="7"/>
      <c r="B1618" s="7"/>
      <c r="C1618" s="7"/>
      <c r="D1618" s="7"/>
      <c r="E1618" s="36">
        <v>156</v>
      </c>
      <c r="F1618" s="36" t="s">
        <v>2165</v>
      </c>
      <c r="G1618" s="36">
        <v>611860</v>
      </c>
      <c r="H1618" s="36" t="s">
        <v>2125</v>
      </c>
      <c r="I1618" s="37">
        <v>19.627700000000001</v>
      </c>
      <c r="J1618" s="7"/>
      <c r="K1618" s="7" t="str">
        <f>VLOOKUP($E1618,Mapping!$E$11:$I$96,3,0)</f>
        <v>Replacement</v>
      </c>
      <c r="L1618" s="7" t="str">
        <f>VLOOKUP($G1618,Mapping!$E$140:$K$2771,5,0)</f>
        <v>Labour</v>
      </c>
      <c r="M1618" s="7" t="str">
        <f>VLOOKUP($G1618,Mapping!$E$140:$K$2771,7,0)</f>
        <v>ENDirect</v>
      </c>
      <c r="N1618" s="7" t="str">
        <f>IFERROR(HLOOKUP(L1618,'Calc|Weightings'!$K$5:$M$5,1,0),"Excl")</f>
        <v>Labour</v>
      </c>
      <c r="O1618" s="7" t="str">
        <f>VLOOKUP(E1618,Mapping!$E$11:$I$96,5,0)</f>
        <v>SCS</v>
      </c>
      <c r="Q1618" s="33">
        <v>174</v>
      </c>
      <c r="R1618" s="33" t="s">
        <v>2178</v>
      </c>
      <c r="S1618" s="33">
        <v>520100</v>
      </c>
      <c r="T1618" s="33" t="s">
        <v>2072</v>
      </c>
      <c r="U1618" s="34">
        <v>2.0082599999999999</v>
      </c>
      <c r="V1618" s="7"/>
      <c r="W1618" s="7" t="str">
        <f>VLOOKUP($Q1618,Mapping!$E$11:$I$96,3,0)</f>
        <v>Replacement</v>
      </c>
      <c r="X1618" s="7" t="str">
        <f>VLOOKUP($S1618,Mapping!$E$140:$K$2771,5,0)</f>
        <v>Materials</v>
      </c>
      <c r="Y1618" s="7" t="str">
        <f>VLOOKUP($S1618,Mapping!$E$140:$K$2771,7,0)</f>
        <v>ENDirect</v>
      </c>
      <c r="Z1618" s="7" t="str">
        <f>IFERROR(HLOOKUP(X1618,'Calc|Weightings'!$K$5:$M$5,1,0),"Excl")</f>
        <v>Materials</v>
      </c>
      <c r="AA1618" s="7" t="str">
        <f>VLOOKUP(Q1618,Mapping!$E$11:$I$96,5,0)</f>
        <v>SCS</v>
      </c>
      <c r="AC1618" s="111">
        <v>165</v>
      </c>
      <c r="AD1618" s="111" t="s">
        <v>2206</v>
      </c>
      <c r="AE1618" s="111">
        <v>634001</v>
      </c>
      <c r="AF1618" s="111" t="s">
        <v>2110</v>
      </c>
      <c r="AG1618" s="112">
        <v>14.639250000000001</v>
      </c>
      <c r="AI1618" s="7" t="str">
        <f>VLOOKUP($AC1618,Mapping!$E$11:$I$96,3,0)</f>
        <v>Replacement</v>
      </c>
      <c r="AJ1618" s="7" t="str">
        <f>VLOOKUP($AE1618,Mapping!$E$140:$K$2771,5,0)</f>
        <v>Local OH</v>
      </c>
      <c r="AK1618" s="7" t="str">
        <f>VLOOKUP($AE1618,Mapping!$E$140:$K$2771,7,0)</f>
        <v>OH</v>
      </c>
      <c r="AL1618" s="7" t="str">
        <f>IFERROR(HLOOKUP(AJ1618,'Calc|Weightings'!$K$5:$M$5,1,0),"Excl")</f>
        <v>Excl</v>
      </c>
      <c r="AM1618" s="7" t="str">
        <f>VLOOKUP(AC1618,Mapping!$E$11:$I$96,5,0)</f>
        <v>SCS</v>
      </c>
      <c r="AO1618" s="134">
        <v>174</v>
      </c>
      <c r="AP1618" s="135" t="s">
        <v>2178</v>
      </c>
      <c r="AQ1618" s="135">
        <v>613440</v>
      </c>
      <c r="AR1618" s="135" t="s">
        <v>2103</v>
      </c>
      <c r="AS1618" s="136">
        <v>0.21226999999999999</v>
      </c>
      <c r="AU1618" s="7" t="str">
        <f>VLOOKUP($AO1618,Mapping!$E$11:$I$96,3,0)</f>
        <v>Replacement</v>
      </c>
      <c r="AV1618" s="7" t="str">
        <f>VLOOKUP($AQ1618,Mapping!$E$140:$K$2771,5,0)</f>
        <v>Labour</v>
      </c>
      <c r="AW1618" s="7" t="str">
        <f>VLOOKUP($AQ1618,Mapping!$E$140:$K$2771,7,0)</f>
        <v>ENDirect</v>
      </c>
      <c r="AX1618" s="7" t="str">
        <f>IFERROR(HLOOKUP(AV1618,'Calc|Weightings'!$K$5:$M$5,1,0),"Excl")</f>
        <v>Labour</v>
      </c>
      <c r="AY1618" s="7" t="str">
        <f>VLOOKUP(AO1618,Mapping!$E$11:$I$96,5,0)</f>
        <v>SCS</v>
      </c>
    </row>
    <row r="1619" spans="1:51" x14ac:dyDescent="0.2">
      <c r="A1619" s="7"/>
      <c r="B1619" s="7"/>
      <c r="C1619" s="7"/>
      <c r="D1619" s="7"/>
      <c r="E1619" s="36">
        <v>156</v>
      </c>
      <c r="F1619" s="36" t="s">
        <v>2165</v>
      </c>
      <c r="G1619" s="36">
        <v>611900</v>
      </c>
      <c r="H1619" s="36" t="s">
        <v>2079</v>
      </c>
      <c r="I1619" s="37">
        <v>1.56552</v>
      </c>
      <c r="J1619" s="7"/>
      <c r="K1619" s="7" t="str">
        <f>VLOOKUP($E1619,Mapping!$E$11:$I$96,3,0)</f>
        <v>Replacement</v>
      </c>
      <c r="L1619" s="7" t="str">
        <f>VLOOKUP($G1619,Mapping!$E$140:$K$2771,5,0)</f>
        <v>Contracts</v>
      </c>
      <c r="M1619" s="7" t="str">
        <f>VLOOKUP($G1619,Mapping!$E$140:$K$2771,7,0)</f>
        <v>ENDirect</v>
      </c>
      <c r="N1619" s="7" t="str">
        <f>IFERROR(HLOOKUP(L1619,'Calc|Weightings'!$K$5:$M$5,1,0),"Excl")</f>
        <v>Contracts</v>
      </c>
      <c r="O1619" s="7" t="str">
        <f>VLOOKUP(E1619,Mapping!$E$11:$I$96,5,0)</f>
        <v>SCS</v>
      </c>
      <c r="Q1619" s="33">
        <v>174</v>
      </c>
      <c r="R1619" s="33" t="s">
        <v>2178</v>
      </c>
      <c r="S1619" s="33">
        <v>611900</v>
      </c>
      <c r="T1619" s="33" t="s">
        <v>2079</v>
      </c>
      <c r="U1619" s="34">
        <v>4.9500000000000004E-3</v>
      </c>
      <c r="V1619" s="7"/>
      <c r="W1619" s="7" t="str">
        <f>VLOOKUP($Q1619,Mapping!$E$11:$I$96,3,0)</f>
        <v>Replacement</v>
      </c>
      <c r="X1619" s="7" t="str">
        <f>VLOOKUP($S1619,Mapping!$E$140:$K$2771,5,0)</f>
        <v>Contracts</v>
      </c>
      <c r="Y1619" s="7" t="str">
        <f>VLOOKUP($S1619,Mapping!$E$140:$K$2771,7,0)</f>
        <v>ENDirect</v>
      </c>
      <c r="Z1619" s="7" t="str">
        <f>IFERROR(HLOOKUP(X1619,'Calc|Weightings'!$K$5:$M$5,1,0),"Excl")</f>
        <v>Contracts</v>
      </c>
      <c r="AA1619" s="7" t="str">
        <f>VLOOKUP(Q1619,Mapping!$E$11:$I$96,5,0)</f>
        <v>SCS</v>
      </c>
      <c r="AC1619" s="111">
        <v>165</v>
      </c>
      <c r="AD1619" s="111" t="s">
        <v>2206</v>
      </c>
      <c r="AE1619" s="111">
        <v>635001</v>
      </c>
      <c r="AF1619" s="111" t="s">
        <v>1929</v>
      </c>
      <c r="AG1619" s="112">
        <v>7.5404999999999998</v>
      </c>
      <c r="AI1619" s="7" t="str">
        <f>VLOOKUP($AC1619,Mapping!$E$11:$I$96,3,0)</f>
        <v>Replacement</v>
      </c>
      <c r="AJ1619" s="7" t="str">
        <f>VLOOKUP($AE1619,Mapping!$E$140:$K$2771,5,0)</f>
        <v>PNS MG</v>
      </c>
      <c r="AK1619" s="7" t="str">
        <f>VLOOKUP($AE1619,Mapping!$E$140:$K$2771,7,0)</f>
        <v>ENDirect</v>
      </c>
      <c r="AL1619" s="7" t="str">
        <f>IFERROR(HLOOKUP(AJ1619,'Calc|Weightings'!$K$5:$M$5,1,0),"Excl")</f>
        <v>Excl</v>
      </c>
      <c r="AM1619" s="7" t="str">
        <f>VLOOKUP(AC1619,Mapping!$E$11:$I$96,5,0)</f>
        <v>SCS</v>
      </c>
      <c r="AO1619" s="134">
        <v>174</v>
      </c>
      <c r="AP1619" s="135" t="s">
        <v>2178</v>
      </c>
      <c r="AQ1619" s="135">
        <v>613566</v>
      </c>
      <c r="AR1619" s="135" t="s">
        <v>1482</v>
      </c>
      <c r="AS1619" s="136">
        <v>4.6711999999999998</v>
      </c>
      <c r="AU1619" s="7" t="str">
        <f>VLOOKUP($AO1619,Mapping!$E$11:$I$96,3,0)</f>
        <v>Replacement</v>
      </c>
      <c r="AV1619" s="7" t="str">
        <f>VLOOKUP($AQ1619,Mapping!$E$140:$K$2771,5,0)</f>
        <v>Labour</v>
      </c>
      <c r="AW1619" s="7" t="str">
        <f>VLOOKUP($AQ1619,Mapping!$E$140:$K$2771,7,0)</f>
        <v>ENDirect</v>
      </c>
      <c r="AX1619" s="7" t="str">
        <f>IFERROR(HLOOKUP(AV1619,'Calc|Weightings'!$K$5:$M$5,1,0),"Excl")</f>
        <v>Labour</v>
      </c>
      <c r="AY1619" s="7" t="str">
        <f>VLOOKUP(AO1619,Mapping!$E$11:$I$96,5,0)</f>
        <v>SCS</v>
      </c>
    </row>
    <row r="1620" spans="1:51" x14ac:dyDescent="0.2">
      <c r="A1620" s="7"/>
      <c r="B1620" s="7"/>
      <c r="C1620" s="7"/>
      <c r="D1620" s="7"/>
      <c r="E1620" s="36">
        <v>156</v>
      </c>
      <c r="F1620" s="36" t="s">
        <v>2165</v>
      </c>
      <c r="G1620" s="36">
        <v>611901</v>
      </c>
      <c r="H1620" s="36" t="s">
        <v>2080</v>
      </c>
      <c r="I1620" s="37">
        <v>15.726319999999999</v>
      </c>
      <c r="J1620" s="7"/>
      <c r="K1620" s="7" t="str">
        <f>VLOOKUP($E1620,Mapping!$E$11:$I$96,3,0)</f>
        <v>Replacement</v>
      </c>
      <c r="L1620" s="7" t="str">
        <f>VLOOKUP($G1620,Mapping!$E$140:$K$2771,5,0)</f>
        <v>Contracts</v>
      </c>
      <c r="M1620" s="7" t="str">
        <f>VLOOKUP($G1620,Mapping!$E$140:$K$2771,7,0)</f>
        <v>ENDirect</v>
      </c>
      <c r="N1620" s="7" t="str">
        <f>IFERROR(HLOOKUP(L1620,'Calc|Weightings'!$K$5:$M$5,1,0),"Excl")</f>
        <v>Contracts</v>
      </c>
      <c r="O1620" s="7" t="str">
        <f>VLOOKUP(E1620,Mapping!$E$11:$I$96,5,0)</f>
        <v>SCS</v>
      </c>
      <c r="Q1620" s="33">
        <v>174</v>
      </c>
      <c r="R1620" s="33" t="s">
        <v>2178</v>
      </c>
      <c r="S1620" s="33">
        <v>611902</v>
      </c>
      <c r="T1620" s="33" t="s">
        <v>2081</v>
      </c>
      <c r="U1620" s="34">
        <v>0.14568</v>
      </c>
      <c r="V1620" s="7"/>
      <c r="W1620" s="7" t="str">
        <f>VLOOKUP($Q1620,Mapping!$E$11:$I$96,3,0)</f>
        <v>Replacement</v>
      </c>
      <c r="X1620" s="7" t="str">
        <f>VLOOKUP($S1620,Mapping!$E$140:$K$2771,5,0)</f>
        <v>Contracts</v>
      </c>
      <c r="Y1620" s="7" t="str">
        <f>VLOOKUP($S1620,Mapping!$E$140:$K$2771,7,0)</f>
        <v>ENDirect</v>
      </c>
      <c r="Z1620" s="7" t="str">
        <f>IFERROR(HLOOKUP(X1620,'Calc|Weightings'!$K$5:$M$5,1,0),"Excl")</f>
        <v>Contracts</v>
      </c>
      <c r="AA1620" s="7" t="str">
        <f>VLOOKUP(Q1620,Mapping!$E$11:$I$96,5,0)</f>
        <v>SCS</v>
      </c>
      <c r="AC1620" s="111">
        <v>165</v>
      </c>
      <c r="AD1620" s="111" t="s">
        <v>2206</v>
      </c>
      <c r="AE1620" s="111">
        <v>636001</v>
      </c>
      <c r="AF1620" s="111" t="s">
        <v>2111</v>
      </c>
      <c r="AG1620" s="112">
        <v>12.89795</v>
      </c>
      <c r="AI1620" s="7" t="str">
        <f>VLOOKUP($AC1620,Mapping!$E$11:$I$96,3,0)</f>
        <v>Replacement</v>
      </c>
      <c r="AJ1620" s="7" t="str">
        <f>VLOOKUP($AE1620,Mapping!$E$140:$K$2771,5,0)</f>
        <v>System Control OH</v>
      </c>
      <c r="AK1620" s="7" t="str">
        <f>VLOOKUP($AE1620,Mapping!$E$140:$K$2771,7,0)</f>
        <v>OH</v>
      </c>
      <c r="AL1620" s="7" t="str">
        <f>IFERROR(HLOOKUP(AJ1620,'Calc|Weightings'!$K$5:$M$5,1,0),"Excl")</f>
        <v>Excl</v>
      </c>
      <c r="AM1620" s="7" t="str">
        <f>VLOOKUP(AC1620,Mapping!$E$11:$I$96,5,0)</f>
        <v>SCS</v>
      </c>
      <c r="AO1620" s="134">
        <v>174</v>
      </c>
      <c r="AP1620" s="135" t="s">
        <v>2178</v>
      </c>
      <c r="AQ1620" s="135">
        <v>613567</v>
      </c>
      <c r="AR1620" s="135" t="s">
        <v>1483</v>
      </c>
      <c r="AS1620" s="136">
        <v>1.3761000000000001</v>
      </c>
      <c r="AU1620" s="7" t="str">
        <f>VLOOKUP($AO1620,Mapping!$E$11:$I$96,3,0)</f>
        <v>Replacement</v>
      </c>
      <c r="AV1620" s="7" t="str">
        <f>VLOOKUP($AQ1620,Mapping!$E$140:$K$2771,5,0)</f>
        <v>Labour</v>
      </c>
      <c r="AW1620" s="7" t="str">
        <f>VLOOKUP($AQ1620,Mapping!$E$140:$K$2771,7,0)</f>
        <v>ENDirect</v>
      </c>
      <c r="AX1620" s="7" t="str">
        <f>IFERROR(HLOOKUP(AV1620,'Calc|Weightings'!$K$5:$M$5,1,0),"Excl")</f>
        <v>Labour</v>
      </c>
      <c r="AY1620" s="7" t="str">
        <f>VLOOKUP(AO1620,Mapping!$E$11:$I$96,5,0)</f>
        <v>SCS</v>
      </c>
    </row>
    <row r="1621" spans="1:51" x14ac:dyDescent="0.2">
      <c r="A1621" s="7"/>
      <c r="B1621" s="7"/>
      <c r="C1621" s="7"/>
      <c r="D1621" s="7"/>
      <c r="E1621" s="36">
        <v>156</v>
      </c>
      <c r="F1621" s="36" t="s">
        <v>2165</v>
      </c>
      <c r="G1621" s="36">
        <v>611902</v>
      </c>
      <c r="H1621" s="36" t="s">
        <v>2081</v>
      </c>
      <c r="I1621" s="37">
        <v>3.6027999999999998</v>
      </c>
      <c r="J1621" s="7"/>
      <c r="K1621" s="7" t="str">
        <f>VLOOKUP($E1621,Mapping!$E$11:$I$96,3,0)</f>
        <v>Replacement</v>
      </c>
      <c r="L1621" s="7" t="str">
        <f>VLOOKUP($G1621,Mapping!$E$140:$K$2771,5,0)</f>
        <v>Contracts</v>
      </c>
      <c r="M1621" s="7" t="str">
        <f>VLOOKUP($G1621,Mapping!$E$140:$K$2771,7,0)</f>
        <v>ENDirect</v>
      </c>
      <c r="N1621" s="7" t="str">
        <f>IFERROR(HLOOKUP(L1621,'Calc|Weightings'!$K$5:$M$5,1,0),"Excl")</f>
        <v>Contracts</v>
      </c>
      <c r="O1621" s="7" t="str">
        <f>VLOOKUP(E1621,Mapping!$E$11:$I$96,5,0)</f>
        <v>SCS</v>
      </c>
      <c r="Q1621" s="33">
        <v>174</v>
      </c>
      <c r="R1621" s="33" t="s">
        <v>2178</v>
      </c>
      <c r="S1621" s="33">
        <v>613250</v>
      </c>
      <c r="T1621" s="33" t="s">
        <v>2086</v>
      </c>
      <c r="U1621" s="34">
        <v>0.39567000000000002</v>
      </c>
      <c r="V1621" s="7"/>
      <c r="W1621" s="7" t="str">
        <f>VLOOKUP($Q1621,Mapping!$E$11:$I$96,3,0)</f>
        <v>Replacement</v>
      </c>
      <c r="X1621" s="7" t="str">
        <f>VLOOKUP($S1621,Mapping!$E$140:$K$2771,5,0)</f>
        <v>Labour</v>
      </c>
      <c r="Y1621" s="7" t="str">
        <f>VLOOKUP($S1621,Mapping!$E$140:$K$2771,7,0)</f>
        <v>ENDirect</v>
      </c>
      <c r="Z1621" s="7" t="str">
        <f>IFERROR(HLOOKUP(X1621,'Calc|Weightings'!$K$5:$M$5,1,0),"Excl")</f>
        <v>Labour</v>
      </c>
      <c r="AA1621" s="7" t="str">
        <f>VLOOKUP(Q1621,Mapping!$E$11:$I$96,5,0)</f>
        <v>SCS</v>
      </c>
      <c r="AC1621" s="111">
        <v>165</v>
      </c>
      <c r="AD1621" s="111" t="s">
        <v>2206</v>
      </c>
      <c r="AE1621" s="111">
        <v>639000</v>
      </c>
      <c r="AF1621" s="111" t="s">
        <v>2112</v>
      </c>
      <c r="AG1621" s="112">
        <v>10.87374</v>
      </c>
      <c r="AI1621" s="7" t="str">
        <f>VLOOKUP($AC1621,Mapping!$E$11:$I$96,3,0)</f>
        <v>Replacement</v>
      </c>
      <c r="AJ1621" s="7" t="str">
        <f>VLOOKUP($AE1621,Mapping!$E$140:$K$2771,5,0)</f>
        <v>PNS Corporate OH</v>
      </c>
      <c r="AK1621" s="7" t="str">
        <f>VLOOKUP($AE1621,Mapping!$E$140:$K$2771,7,0)</f>
        <v>OH</v>
      </c>
      <c r="AL1621" s="7" t="str">
        <f>IFERROR(HLOOKUP(AJ1621,'Calc|Weightings'!$K$5:$M$5,1,0),"Excl")</f>
        <v>Excl</v>
      </c>
      <c r="AM1621" s="7" t="str">
        <f>VLOOKUP(AC1621,Mapping!$E$11:$I$96,5,0)</f>
        <v>SCS</v>
      </c>
      <c r="AO1621" s="134">
        <v>174</v>
      </c>
      <c r="AP1621" s="135" t="s">
        <v>2178</v>
      </c>
      <c r="AQ1621" s="135">
        <v>613680</v>
      </c>
      <c r="AR1621" s="135" t="s">
        <v>2107</v>
      </c>
      <c r="AS1621" s="136">
        <v>0.56447999999999998</v>
      </c>
      <c r="AU1621" s="7" t="str">
        <f>VLOOKUP($AO1621,Mapping!$E$11:$I$96,3,0)</f>
        <v>Replacement</v>
      </c>
      <c r="AV1621" s="7" t="str">
        <f>VLOOKUP($AQ1621,Mapping!$E$140:$K$2771,5,0)</f>
        <v>Labour</v>
      </c>
      <c r="AW1621" s="7" t="str">
        <f>VLOOKUP($AQ1621,Mapping!$E$140:$K$2771,7,0)</f>
        <v>ENDirect</v>
      </c>
      <c r="AX1621" s="7" t="str">
        <f>IFERROR(HLOOKUP(AV1621,'Calc|Weightings'!$K$5:$M$5,1,0),"Excl")</f>
        <v>Labour</v>
      </c>
      <c r="AY1621" s="7" t="str">
        <f>VLOOKUP(AO1621,Mapping!$E$11:$I$96,5,0)</f>
        <v>SCS</v>
      </c>
    </row>
    <row r="1622" spans="1:51" x14ac:dyDescent="0.2">
      <c r="A1622" s="7"/>
      <c r="B1622" s="7"/>
      <c r="C1622" s="7"/>
      <c r="D1622" s="7"/>
      <c r="E1622" s="36">
        <v>156</v>
      </c>
      <c r="F1622" s="36" t="s">
        <v>2165</v>
      </c>
      <c r="G1622" s="36">
        <v>612210</v>
      </c>
      <c r="H1622" s="36" t="s">
        <v>1184</v>
      </c>
      <c r="I1622" s="37">
        <v>43.425229999999999</v>
      </c>
      <c r="J1622" s="7"/>
      <c r="K1622" s="7" t="str">
        <f>VLOOKUP($E1622,Mapping!$E$11:$I$96,3,0)</f>
        <v>Replacement</v>
      </c>
      <c r="L1622" s="7" t="str">
        <f>VLOOKUP($G1622,Mapping!$E$140:$K$2771,5,0)</f>
        <v>Labour</v>
      </c>
      <c r="M1622" s="7" t="str">
        <f>VLOOKUP($G1622,Mapping!$E$140:$K$2771,7,0)</f>
        <v>ENDirect</v>
      </c>
      <c r="N1622" s="7" t="str">
        <f>IFERROR(HLOOKUP(L1622,'Calc|Weightings'!$K$5:$M$5,1,0),"Excl")</f>
        <v>Labour</v>
      </c>
      <c r="O1622" s="7" t="str">
        <f>VLOOKUP(E1622,Mapping!$E$11:$I$96,5,0)</f>
        <v>SCS</v>
      </c>
      <c r="Q1622" s="33">
        <v>174</v>
      </c>
      <c r="R1622" s="33" t="s">
        <v>2178</v>
      </c>
      <c r="S1622" s="33">
        <v>613260</v>
      </c>
      <c r="T1622" s="33" t="s">
        <v>2090</v>
      </c>
      <c r="U1622" s="34">
        <v>0.12819</v>
      </c>
      <c r="V1622" s="7"/>
      <c r="W1622" s="7" t="str">
        <f>VLOOKUP($Q1622,Mapping!$E$11:$I$96,3,0)</f>
        <v>Replacement</v>
      </c>
      <c r="X1622" s="7" t="str">
        <f>VLOOKUP($S1622,Mapping!$E$140:$K$2771,5,0)</f>
        <v>Labour</v>
      </c>
      <c r="Y1622" s="7" t="str">
        <f>VLOOKUP($S1622,Mapping!$E$140:$K$2771,7,0)</f>
        <v>ENDirect</v>
      </c>
      <c r="Z1622" s="7" t="str">
        <f>IFERROR(HLOOKUP(X1622,'Calc|Weightings'!$K$5:$M$5,1,0),"Excl")</f>
        <v>Labour</v>
      </c>
      <c r="AA1622" s="7" t="str">
        <f>VLOOKUP(Q1622,Mapping!$E$11:$I$96,5,0)</f>
        <v>SCS</v>
      </c>
      <c r="AC1622" s="111">
        <v>165</v>
      </c>
      <c r="AD1622" s="111" t="s">
        <v>2206</v>
      </c>
      <c r="AE1622" s="111">
        <v>639050</v>
      </c>
      <c r="AF1622" s="111" t="s">
        <v>2113</v>
      </c>
      <c r="AG1622" s="112">
        <v>1.67262</v>
      </c>
      <c r="AI1622" s="7" t="str">
        <f>VLOOKUP($AC1622,Mapping!$E$11:$I$96,3,0)</f>
        <v>Replacement</v>
      </c>
      <c r="AJ1622" s="7" t="str">
        <f>VLOOKUP($AE1622,Mapping!$E$140:$K$2771,5,0)</f>
        <v>PNS Fleet &amp; Property OH</v>
      </c>
      <c r="AK1622" s="7" t="str">
        <f>VLOOKUP($AE1622,Mapping!$E$140:$K$2771,7,0)</f>
        <v>OH</v>
      </c>
      <c r="AL1622" s="7" t="str">
        <f>IFERROR(HLOOKUP(AJ1622,'Calc|Weightings'!$K$5:$M$5,1,0),"Excl")</f>
        <v>Excl</v>
      </c>
      <c r="AM1622" s="7" t="str">
        <f>VLOOKUP(AC1622,Mapping!$E$11:$I$96,5,0)</f>
        <v>SCS</v>
      </c>
      <c r="AO1622" s="134">
        <v>174</v>
      </c>
      <c r="AP1622" s="135" t="s">
        <v>2178</v>
      </c>
      <c r="AQ1622" s="135">
        <v>634001</v>
      </c>
      <c r="AR1622" s="135" t="s">
        <v>2110</v>
      </c>
      <c r="AS1622" s="136">
        <v>5.5493699999999997</v>
      </c>
      <c r="AU1622" s="7" t="str">
        <f>VLOOKUP($AO1622,Mapping!$E$11:$I$96,3,0)</f>
        <v>Replacement</v>
      </c>
      <c r="AV1622" s="7" t="str">
        <f>VLOOKUP($AQ1622,Mapping!$E$140:$K$2771,5,0)</f>
        <v>Local OH</v>
      </c>
      <c r="AW1622" s="7" t="str">
        <f>VLOOKUP($AQ1622,Mapping!$E$140:$K$2771,7,0)</f>
        <v>OH</v>
      </c>
      <c r="AX1622" s="7" t="str">
        <f>IFERROR(HLOOKUP(AV1622,'Calc|Weightings'!$K$5:$M$5,1,0),"Excl")</f>
        <v>Excl</v>
      </c>
      <c r="AY1622" s="7" t="str">
        <f>VLOOKUP(AO1622,Mapping!$E$11:$I$96,5,0)</f>
        <v>SCS</v>
      </c>
    </row>
    <row r="1623" spans="1:51" x14ac:dyDescent="0.2">
      <c r="A1623" s="7"/>
      <c r="B1623" s="7"/>
      <c r="C1623" s="7"/>
      <c r="D1623" s="7"/>
      <c r="E1623" s="36">
        <v>156</v>
      </c>
      <c r="F1623" s="36" t="s">
        <v>2165</v>
      </c>
      <c r="G1623" s="36">
        <v>612211</v>
      </c>
      <c r="H1623" s="36" t="s">
        <v>1185</v>
      </c>
      <c r="I1623" s="37">
        <v>1.17662</v>
      </c>
      <c r="J1623" s="7"/>
      <c r="K1623" s="7" t="str">
        <f>VLOOKUP($E1623,Mapping!$E$11:$I$96,3,0)</f>
        <v>Replacement</v>
      </c>
      <c r="L1623" s="7" t="str">
        <f>VLOOKUP($G1623,Mapping!$E$140:$K$2771,5,0)</f>
        <v>Labour</v>
      </c>
      <c r="M1623" s="7" t="str">
        <f>VLOOKUP($G1623,Mapping!$E$140:$K$2771,7,0)</f>
        <v>ENDirect</v>
      </c>
      <c r="N1623" s="7" t="str">
        <f>IFERROR(HLOOKUP(L1623,'Calc|Weightings'!$K$5:$M$5,1,0),"Excl")</f>
        <v>Labour</v>
      </c>
      <c r="O1623" s="7" t="str">
        <f>VLOOKUP(E1623,Mapping!$E$11:$I$96,5,0)</f>
        <v>SCS</v>
      </c>
      <c r="Q1623" s="33">
        <v>174</v>
      </c>
      <c r="R1623" s="33" t="s">
        <v>2178</v>
      </c>
      <c r="S1623" s="33">
        <v>613280</v>
      </c>
      <c r="T1623" s="33" t="s">
        <v>1342</v>
      </c>
      <c r="U1623" s="34">
        <v>1.91022</v>
      </c>
      <c r="V1623" s="7"/>
      <c r="W1623" s="7" t="str">
        <f>VLOOKUP($Q1623,Mapping!$E$11:$I$96,3,0)</f>
        <v>Replacement</v>
      </c>
      <c r="X1623" s="7" t="str">
        <f>VLOOKUP($S1623,Mapping!$E$140:$K$2771,5,0)</f>
        <v>Labour</v>
      </c>
      <c r="Y1623" s="7" t="str">
        <f>VLOOKUP($S1623,Mapping!$E$140:$K$2771,7,0)</f>
        <v>ENDirect</v>
      </c>
      <c r="Z1623" s="7" t="str">
        <f>IFERROR(HLOOKUP(X1623,'Calc|Weightings'!$K$5:$M$5,1,0),"Excl")</f>
        <v>Labour</v>
      </c>
      <c r="AA1623" s="7" t="str">
        <f>VLOOKUP(Q1623,Mapping!$E$11:$I$96,5,0)</f>
        <v>SCS</v>
      </c>
      <c r="AC1623" s="111">
        <v>166</v>
      </c>
      <c r="AD1623" s="111" t="s">
        <v>2174</v>
      </c>
      <c r="AE1623" s="111">
        <v>520100</v>
      </c>
      <c r="AF1623" s="111" t="s">
        <v>2072</v>
      </c>
      <c r="AG1623" s="112">
        <v>66.588160000000002</v>
      </c>
      <c r="AI1623" s="7" t="str">
        <f>VLOOKUP($AC1623,Mapping!$E$11:$I$96,3,0)</f>
        <v>Augmentation</v>
      </c>
      <c r="AJ1623" s="7" t="str">
        <f>VLOOKUP($AE1623,Mapping!$E$140:$K$2771,5,0)</f>
        <v>Materials</v>
      </c>
      <c r="AK1623" s="7" t="str">
        <f>VLOOKUP($AE1623,Mapping!$E$140:$K$2771,7,0)</f>
        <v>ENDirect</v>
      </c>
      <c r="AL1623" s="7" t="str">
        <f>IFERROR(HLOOKUP(AJ1623,'Calc|Weightings'!$K$5:$M$5,1,0),"Excl")</f>
        <v>Materials</v>
      </c>
      <c r="AM1623" s="7" t="str">
        <f>VLOOKUP(AC1623,Mapping!$E$11:$I$96,5,0)</f>
        <v>SCS</v>
      </c>
      <c r="AO1623" s="134">
        <v>174</v>
      </c>
      <c r="AP1623" s="135" t="s">
        <v>2178</v>
      </c>
      <c r="AQ1623" s="135">
        <v>635001</v>
      </c>
      <c r="AR1623" s="135" t="s">
        <v>1929</v>
      </c>
      <c r="AS1623" s="136">
        <v>4.1500300000000001</v>
      </c>
      <c r="AU1623" s="7" t="str">
        <f>VLOOKUP($AO1623,Mapping!$E$11:$I$96,3,0)</f>
        <v>Replacement</v>
      </c>
      <c r="AV1623" s="7" t="str">
        <f>VLOOKUP($AQ1623,Mapping!$E$140:$K$2771,5,0)</f>
        <v>PNS MG</v>
      </c>
      <c r="AW1623" s="7" t="str">
        <f>VLOOKUP($AQ1623,Mapping!$E$140:$K$2771,7,0)</f>
        <v>ENDirect</v>
      </c>
      <c r="AX1623" s="7" t="str">
        <f>IFERROR(HLOOKUP(AV1623,'Calc|Weightings'!$K$5:$M$5,1,0),"Excl")</f>
        <v>Excl</v>
      </c>
      <c r="AY1623" s="7" t="str">
        <f>VLOOKUP(AO1623,Mapping!$E$11:$I$96,5,0)</f>
        <v>SCS</v>
      </c>
    </row>
    <row r="1624" spans="1:51" x14ac:dyDescent="0.2">
      <c r="A1624" s="7"/>
      <c r="B1624" s="7"/>
      <c r="C1624" s="7"/>
      <c r="D1624" s="7"/>
      <c r="E1624" s="36">
        <v>156</v>
      </c>
      <c r="F1624" s="36" t="s">
        <v>2165</v>
      </c>
      <c r="G1624" s="36">
        <v>612460</v>
      </c>
      <c r="H1624" s="36" t="s">
        <v>1243</v>
      </c>
      <c r="I1624" s="37">
        <v>34.155589999999997</v>
      </c>
      <c r="J1624" s="7"/>
      <c r="K1624" s="7" t="str">
        <f>VLOOKUP($E1624,Mapping!$E$11:$I$96,3,0)</f>
        <v>Replacement</v>
      </c>
      <c r="L1624" s="7" t="str">
        <f>VLOOKUP($G1624,Mapping!$E$140:$K$2771,5,0)</f>
        <v>Labour</v>
      </c>
      <c r="M1624" s="7" t="str">
        <f>VLOOKUP($G1624,Mapping!$E$140:$K$2771,7,0)</f>
        <v>ENDirect</v>
      </c>
      <c r="N1624" s="7" t="str">
        <f>IFERROR(HLOOKUP(L1624,'Calc|Weightings'!$K$5:$M$5,1,0),"Excl")</f>
        <v>Labour</v>
      </c>
      <c r="O1624" s="7" t="str">
        <f>VLOOKUP(E1624,Mapping!$E$11:$I$96,5,0)</f>
        <v>SCS</v>
      </c>
      <c r="Q1624" s="33">
        <v>174</v>
      </c>
      <c r="R1624" s="33" t="s">
        <v>2178</v>
      </c>
      <c r="S1624" s="33">
        <v>613290</v>
      </c>
      <c r="T1624" s="33" t="s">
        <v>2093</v>
      </c>
      <c r="U1624" s="34">
        <v>2.0526</v>
      </c>
      <c r="V1624" s="7"/>
      <c r="W1624" s="7" t="str">
        <f>VLOOKUP($Q1624,Mapping!$E$11:$I$96,3,0)</f>
        <v>Replacement</v>
      </c>
      <c r="X1624" s="7" t="str">
        <f>VLOOKUP($S1624,Mapping!$E$140:$K$2771,5,0)</f>
        <v>Labour</v>
      </c>
      <c r="Y1624" s="7" t="str">
        <f>VLOOKUP($S1624,Mapping!$E$140:$K$2771,7,0)</f>
        <v>ENDirect</v>
      </c>
      <c r="Z1624" s="7" t="str">
        <f>IFERROR(HLOOKUP(X1624,'Calc|Weightings'!$K$5:$M$5,1,0),"Excl")</f>
        <v>Labour</v>
      </c>
      <c r="AA1624" s="7" t="str">
        <f>VLOOKUP(Q1624,Mapping!$E$11:$I$96,5,0)</f>
        <v>SCS</v>
      </c>
      <c r="AC1624" s="111">
        <v>166</v>
      </c>
      <c r="AD1624" s="111" t="s">
        <v>2174</v>
      </c>
      <c r="AE1624" s="111">
        <v>523100</v>
      </c>
      <c r="AF1624" s="111" t="s">
        <v>2074</v>
      </c>
      <c r="AG1624" s="112">
        <v>0.29808000000000001</v>
      </c>
      <c r="AI1624" s="7" t="str">
        <f>VLOOKUP($AC1624,Mapping!$E$11:$I$96,3,0)</f>
        <v>Augmentation</v>
      </c>
      <c r="AJ1624" s="7" t="str">
        <f>VLOOKUP($AE1624,Mapping!$E$140:$K$2771,5,0)</f>
        <v>Materials</v>
      </c>
      <c r="AK1624" s="7" t="str">
        <f>VLOOKUP($AE1624,Mapping!$E$140:$K$2771,7,0)</f>
        <v>ENDirect</v>
      </c>
      <c r="AL1624" s="7" t="str">
        <f>IFERROR(HLOOKUP(AJ1624,'Calc|Weightings'!$K$5:$M$5,1,0),"Excl")</f>
        <v>Materials</v>
      </c>
      <c r="AM1624" s="7" t="str">
        <f>VLOOKUP(AC1624,Mapping!$E$11:$I$96,5,0)</f>
        <v>SCS</v>
      </c>
      <c r="AO1624" s="134">
        <v>174</v>
      </c>
      <c r="AP1624" s="135" t="s">
        <v>2178</v>
      </c>
      <c r="AQ1624" s="135">
        <v>636001</v>
      </c>
      <c r="AR1624" s="135" t="s">
        <v>2111</v>
      </c>
      <c r="AS1624" s="136">
        <v>4.47546</v>
      </c>
      <c r="AU1624" s="7" t="str">
        <f>VLOOKUP($AO1624,Mapping!$E$11:$I$96,3,0)</f>
        <v>Replacement</v>
      </c>
      <c r="AV1624" s="7" t="str">
        <f>VLOOKUP($AQ1624,Mapping!$E$140:$K$2771,5,0)</f>
        <v>System Control OH</v>
      </c>
      <c r="AW1624" s="7" t="str">
        <f>VLOOKUP($AQ1624,Mapping!$E$140:$K$2771,7,0)</f>
        <v>OH</v>
      </c>
      <c r="AX1624" s="7" t="str">
        <f>IFERROR(HLOOKUP(AV1624,'Calc|Weightings'!$K$5:$M$5,1,0),"Excl")</f>
        <v>Excl</v>
      </c>
      <c r="AY1624" s="7" t="str">
        <f>VLOOKUP(AO1624,Mapping!$E$11:$I$96,5,0)</f>
        <v>SCS</v>
      </c>
    </row>
    <row r="1625" spans="1:51" x14ac:dyDescent="0.2">
      <c r="A1625" s="7"/>
      <c r="B1625" s="7"/>
      <c r="C1625" s="7"/>
      <c r="D1625" s="7"/>
      <c r="E1625" s="36">
        <v>156</v>
      </c>
      <c r="F1625" s="36" t="s">
        <v>2165</v>
      </c>
      <c r="G1625" s="36">
        <v>613260</v>
      </c>
      <c r="H1625" s="36" t="s">
        <v>2090</v>
      </c>
      <c r="I1625" s="37">
        <v>218.35325</v>
      </c>
      <c r="J1625" s="7"/>
      <c r="K1625" s="7" t="str">
        <f>VLOOKUP($E1625,Mapping!$E$11:$I$96,3,0)</f>
        <v>Replacement</v>
      </c>
      <c r="L1625" s="7" t="str">
        <f>VLOOKUP($G1625,Mapping!$E$140:$K$2771,5,0)</f>
        <v>Labour</v>
      </c>
      <c r="M1625" s="7" t="str">
        <f>VLOOKUP($G1625,Mapping!$E$140:$K$2771,7,0)</f>
        <v>ENDirect</v>
      </c>
      <c r="N1625" s="7" t="str">
        <f>IFERROR(HLOOKUP(L1625,'Calc|Weightings'!$K$5:$M$5,1,0),"Excl")</f>
        <v>Labour</v>
      </c>
      <c r="O1625" s="7" t="str">
        <f>VLOOKUP(E1625,Mapping!$E$11:$I$96,5,0)</f>
        <v>SCS</v>
      </c>
      <c r="Q1625" s="33">
        <v>174</v>
      </c>
      <c r="R1625" s="33" t="s">
        <v>2178</v>
      </c>
      <c r="S1625" s="33">
        <v>613360</v>
      </c>
      <c r="T1625" s="33" t="s">
        <v>2097</v>
      </c>
      <c r="U1625" s="34">
        <v>7.1555400000000002</v>
      </c>
      <c r="V1625" s="7"/>
      <c r="W1625" s="7" t="str">
        <f>VLOOKUP($Q1625,Mapping!$E$11:$I$96,3,0)</f>
        <v>Replacement</v>
      </c>
      <c r="X1625" s="7" t="str">
        <f>VLOOKUP($S1625,Mapping!$E$140:$K$2771,5,0)</f>
        <v>Labour</v>
      </c>
      <c r="Y1625" s="7" t="str">
        <f>VLOOKUP($S1625,Mapping!$E$140:$K$2771,7,0)</f>
        <v>ENDirect</v>
      </c>
      <c r="Z1625" s="7" t="str">
        <f>IFERROR(HLOOKUP(X1625,'Calc|Weightings'!$K$5:$M$5,1,0),"Excl")</f>
        <v>Labour</v>
      </c>
      <c r="AA1625" s="7" t="str">
        <f>VLOOKUP(Q1625,Mapping!$E$11:$I$96,5,0)</f>
        <v>SCS</v>
      </c>
      <c r="AC1625" s="111">
        <v>166</v>
      </c>
      <c r="AD1625" s="111" t="s">
        <v>2174</v>
      </c>
      <c r="AE1625" s="111">
        <v>531020</v>
      </c>
      <c r="AF1625" s="111" t="s">
        <v>219</v>
      </c>
      <c r="AG1625" s="112">
        <v>-1.1499999999999999</v>
      </c>
      <c r="AI1625" s="7" t="str">
        <f>VLOOKUP($AC1625,Mapping!$E$11:$I$96,3,0)</f>
        <v>Augmentation</v>
      </c>
      <c r="AJ1625" s="7" t="str">
        <f>VLOOKUP($AE1625,Mapping!$E$140:$K$2771,5,0)</f>
        <v>Labour</v>
      </c>
      <c r="AK1625" s="7" t="str">
        <f>VLOOKUP($AE1625,Mapping!$E$140:$K$2771,7,0)</f>
        <v>ENDirect</v>
      </c>
      <c r="AL1625" s="7" t="str">
        <f>IFERROR(HLOOKUP(AJ1625,'Calc|Weightings'!$K$5:$M$5,1,0),"Excl")</f>
        <v>Labour</v>
      </c>
      <c r="AM1625" s="7" t="str">
        <f>VLOOKUP(AC1625,Mapping!$E$11:$I$96,5,0)</f>
        <v>SCS</v>
      </c>
      <c r="AO1625" s="134">
        <v>174</v>
      </c>
      <c r="AP1625" s="135" t="s">
        <v>2178</v>
      </c>
      <c r="AQ1625" s="135">
        <v>639000</v>
      </c>
      <c r="AR1625" s="135" t="s">
        <v>2112</v>
      </c>
      <c r="AS1625" s="136">
        <v>3.5771999999999999</v>
      </c>
      <c r="AU1625" s="7" t="str">
        <f>VLOOKUP($AO1625,Mapping!$E$11:$I$96,3,0)</f>
        <v>Replacement</v>
      </c>
      <c r="AV1625" s="7" t="str">
        <f>VLOOKUP($AQ1625,Mapping!$E$140:$K$2771,5,0)</f>
        <v>PNS Corporate OH</v>
      </c>
      <c r="AW1625" s="7" t="str">
        <f>VLOOKUP($AQ1625,Mapping!$E$140:$K$2771,7,0)</f>
        <v>OH</v>
      </c>
      <c r="AX1625" s="7" t="str">
        <f>IFERROR(HLOOKUP(AV1625,'Calc|Weightings'!$K$5:$M$5,1,0),"Excl")</f>
        <v>Excl</v>
      </c>
      <c r="AY1625" s="7" t="str">
        <f>VLOOKUP(AO1625,Mapping!$E$11:$I$96,5,0)</f>
        <v>SCS</v>
      </c>
    </row>
    <row r="1626" spans="1:51" x14ac:dyDescent="0.2">
      <c r="A1626" s="7"/>
      <c r="B1626" s="7"/>
      <c r="C1626" s="7"/>
      <c r="D1626" s="7"/>
      <c r="E1626" s="36">
        <v>156</v>
      </c>
      <c r="F1626" s="36" t="s">
        <v>2165</v>
      </c>
      <c r="G1626" s="36">
        <v>613261</v>
      </c>
      <c r="H1626" s="36" t="s">
        <v>2091</v>
      </c>
      <c r="I1626" s="37">
        <v>7.9665499999999998</v>
      </c>
      <c r="J1626" s="7"/>
      <c r="K1626" s="7" t="str">
        <f>VLOOKUP($E1626,Mapping!$E$11:$I$96,3,0)</f>
        <v>Replacement</v>
      </c>
      <c r="L1626" s="7" t="str">
        <f>VLOOKUP($G1626,Mapping!$E$140:$K$2771,5,0)</f>
        <v>Labour</v>
      </c>
      <c r="M1626" s="7" t="str">
        <f>VLOOKUP($G1626,Mapping!$E$140:$K$2771,7,0)</f>
        <v>ENDirect</v>
      </c>
      <c r="N1626" s="7" t="str">
        <f>IFERROR(HLOOKUP(L1626,'Calc|Weightings'!$K$5:$M$5,1,0),"Excl")</f>
        <v>Labour</v>
      </c>
      <c r="O1626" s="7" t="str">
        <f>VLOOKUP(E1626,Mapping!$E$11:$I$96,5,0)</f>
        <v>SCS</v>
      </c>
      <c r="Q1626" s="33">
        <v>174</v>
      </c>
      <c r="R1626" s="33" t="s">
        <v>2178</v>
      </c>
      <c r="S1626" s="33">
        <v>613680</v>
      </c>
      <c r="T1626" s="33" t="s">
        <v>2107</v>
      </c>
      <c r="U1626" s="34">
        <v>0.55632000000000004</v>
      </c>
      <c r="V1626" s="7"/>
      <c r="W1626" s="7" t="str">
        <f>VLOOKUP($Q1626,Mapping!$E$11:$I$96,3,0)</f>
        <v>Replacement</v>
      </c>
      <c r="X1626" s="7" t="str">
        <f>VLOOKUP($S1626,Mapping!$E$140:$K$2771,5,0)</f>
        <v>Labour</v>
      </c>
      <c r="Y1626" s="7" t="str">
        <f>VLOOKUP($S1626,Mapping!$E$140:$K$2771,7,0)</f>
        <v>ENDirect</v>
      </c>
      <c r="Z1626" s="7" t="str">
        <f>IFERROR(HLOOKUP(X1626,'Calc|Weightings'!$K$5:$M$5,1,0),"Excl")</f>
        <v>Labour</v>
      </c>
      <c r="AA1626" s="7" t="str">
        <f>VLOOKUP(Q1626,Mapping!$E$11:$I$96,5,0)</f>
        <v>SCS</v>
      </c>
      <c r="AC1626" s="111">
        <v>166</v>
      </c>
      <c r="AD1626" s="111" t="s">
        <v>2174</v>
      </c>
      <c r="AE1626" s="111">
        <v>531464</v>
      </c>
      <c r="AF1626" s="111" t="s">
        <v>256</v>
      </c>
      <c r="AG1626" s="112">
        <v>8.8527000000000005</v>
      </c>
      <c r="AI1626" s="7" t="str">
        <f>VLOOKUP($AC1626,Mapping!$E$11:$I$96,3,0)</f>
        <v>Augmentation</v>
      </c>
      <c r="AJ1626" s="7" t="str">
        <f>VLOOKUP($AE1626,Mapping!$E$140:$K$2771,5,0)</f>
        <v>Contracts</v>
      </c>
      <c r="AK1626" s="7" t="str">
        <f>VLOOKUP($AE1626,Mapping!$E$140:$K$2771,7,0)</f>
        <v>ENDirect</v>
      </c>
      <c r="AL1626" s="7" t="str">
        <f>IFERROR(HLOOKUP(AJ1626,'Calc|Weightings'!$K$5:$M$5,1,0),"Excl")</f>
        <v>Contracts</v>
      </c>
      <c r="AM1626" s="7" t="str">
        <f>VLOOKUP(AC1626,Mapping!$E$11:$I$96,5,0)</f>
        <v>SCS</v>
      </c>
      <c r="AO1626" s="134">
        <v>174</v>
      </c>
      <c r="AP1626" s="135" t="s">
        <v>2178</v>
      </c>
      <c r="AQ1626" s="135">
        <v>639050</v>
      </c>
      <c r="AR1626" s="135" t="s">
        <v>2113</v>
      </c>
      <c r="AS1626" s="136">
        <v>0.91300999999999999</v>
      </c>
      <c r="AU1626" s="7" t="str">
        <f>VLOOKUP($AO1626,Mapping!$E$11:$I$96,3,0)</f>
        <v>Replacement</v>
      </c>
      <c r="AV1626" s="7" t="str">
        <f>VLOOKUP($AQ1626,Mapping!$E$140:$K$2771,5,0)</f>
        <v>PNS Fleet &amp; Property OH</v>
      </c>
      <c r="AW1626" s="7" t="str">
        <f>VLOOKUP($AQ1626,Mapping!$E$140:$K$2771,7,0)</f>
        <v>OH</v>
      </c>
      <c r="AX1626" s="7" t="str">
        <f>IFERROR(HLOOKUP(AV1626,'Calc|Weightings'!$K$5:$M$5,1,0),"Excl")</f>
        <v>Excl</v>
      </c>
      <c r="AY1626" s="7" t="str">
        <f>VLOOKUP(AO1626,Mapping!$E$11:$I$96,5,0)</f>
        <v>SCS</v>
      </c>
    </row>
    <row r="1627" spans="1:51" x14ac:dyDescent="0.2">
      <c r="A1627" s="7"/>
      <c r="B1627" s="7"/>
      <c r="C1627" s="7"/>
      <c r="D1627" s="7"/>
      <c r="E1627" s="36">
        <v>156</v>
      </c>
      <c r="F1627" s="36" t="s">
        <v>2165</v>
      </c>
      <c r="G1627" s="36">
        <v>613268</v>
      </c>
      <c r="H1627" s="36" t="s">
        <v>1335</v>
      </c>
      <c r="I1627" s="37">
        <v>28.551649999999999</v>
      </c>
      <c r="J1627" s="7"/>
      <c r="K1627" s="7" t="str">
        <f>VLOOKUP($E1627,Mapping!$E$11:$I$96,3,0)</f>
        <v>Replacement</v>
      </c>
      <c r="L1627" s="7" t="str">
        <f>VLOOKUP($G1627,Mapping!$E$140:$K$2771,5,0)</f>
        <v>Labour</v>
      </c>
      <c r="M1627" s="7" t="str">
        <f>VLOOKUP($G1627,Mapping!$E$140:$K$2771,7,0)</f>
        <v>ENDirect</v>
      </c>
      <c r="N1627" s="7" t="str">
        <f>IFERROR(HLOOKUP(L1627,'Calc|Weightings'!$K$5:$M$5,1,0),"Excl")</f>
        <v>Labour</v>
      </c>
      <c r="O1627" s="7" t="str">
        <f>VLOOKUP(E1627,Mapping!$E$11:$I$96,5,0)</f>
        <v>SCS</v>
      </c>
      <c r="Q1627" s="33">
        <v>174</v>
      </c>
      <c r="R1627" s="33" t="s">
        <v>2178</v>
      </c>
      <c r="S1627" s="33">
        <v>634001</v>
      </c>
      <c r="T1627" s="33" t="s">
        <v>2110</v>
      </c>
      <c r="U1627" s="34">
        <v>0.61507999999999996</v>
      </c>
      <c r="V1627" s="7"/>
      <c r="W1627" s="7" t="str">
        <f>VLOOKUP($Q1627,Mapping!$E$11:$I$96,3,0)</f>
        <v>Replacement</v>
      </c>
      <c r="X1627" s="7" t="str">
        <f>VLOOKUP($S1627,Mapping!$E$140:$K$2771,5,0)</f>
        <v>Local OH</v>
      </c>
      <c r="Y1627" s="7" t="str">
        <f>VLOOKUP($S1627,Mapping!$E$140:$K$2771,7,0)</f>
        <v>OH</v>
      </c>
      <c r="Z1627" s="7" t="str">
        <f>IFERROR(HLOOKUP(X1627,'Calc|Weightings'!$K$5:$M$5,1,0),"Excl")</f>
        <v>Excl</v>
      </c>
      <c r="AA1627" s="7" t="str">
        <f>VLOOKUP(Q1627,Mapping!$E$11:$I$96,5,0)</f>
        <v>SCS</v>
      </c>
      <c r="AC1627" s="111">
        <v>166</v>
      </c>
      <c r="AD1627" s="111" t="s">
        <v>2174</v>
      </c>
      <c r="AE1627" s="111">
        <v>531467</v>
      </c>
      <c r="AF1627" s="111" t="s">
        <v>259</v>
      </c>
      <c r="AG1627" s="112">
        <v>6.45106</v>
      </c>
      <c r="AI1627" s="7" t="str">
        <f>VLOOKUP($AC1627,Mapping!$E$11:$I$96,3,0)</f>
        <v>Augmentation</v>
      </c>
      <c r="AJ1627" s="7" t="str">
        <f>VLOOKUP($AE1627,Mapping!$E$140:$K$2771,5,0)</f>
        <v>Contracts</v>
      </c>
      <c r="AK1627" s="7" t="str">
        <f>VLOOKUP($AE1627,Mapping!$E$140:$K$2771,7,0)</f>
        <v>ENDirect</v>
      </c>
      <c r="AL1627" s="7" t="str">
        <f>IFERROR(HLOOKUP(AJ1627,'Calc|Weightings'!$K$5:$M$5,1,0),"Excl")</f>
        <v>Contracts</v>
      </c>
      <c r="AM1627" s="7" t="str">
        <f>VLOOKUP(AC1627,Mapping!$E$11:$I$96,5,0)</f>
        <v>SCS</v>
      </c>
      <c r="AO1627" s="134">
        <v>176</v>
      </c>
      <c r="AP1627" s="135" t="s">
        <v>2180</v>
      </c>
      <c r="AQ1627" s="135">
        <v>520100</v>
      </c>
      <c r="AR1627" s="135" t="s">
        <v>2072</v>
      </c>
      <c r="AS1627" s="136">
        <v>80.739670000000004</v>
      </c>
      <c r="AU1627" s="7" t="str">
        <f>VLOOKUP($AO1627,Mapping!$E$11:$I$96,3,0)</f>
        <v>Metering Capex</v>
      </c>
      <c r="AV1627" s="7" t="str">
        <f>VLOOKUP($AQ1627,Mapping!$E$140:$K$2771,5,0)</f>
        <v>Materials</v>
      </c>
      <c r="AW1627" s="7" t="str">
        <f>VLOOKUP($AQ1627,Mapping!$E$140:$K$2771,7,0)</f>
        <v>ENDirect</v>
      </c>
      <c r="AX1627" s="7" t="str">
        <f>IFERROR(HLOOKUP(AV1627,'Calc|Weightings'!$K$5:$M$5,1,0),"Excl")</f>
        <v>Materials</v>
      </c>
      <c r="AY1627" s="7" t="str">
        <f>VLOOKUP(AO1627,Mapping!$E$11:$I$96,5,0)</f>
        <v>Metering Services</v>
      </c>
    </row>
    <row r="1628" spans="1:51" x14ac:dyDescent="0.2">
      <c r="A1628" s="7"/>
      <c r="B1628" s="7"/>
      <c r="C1628" s="7"/>
      <c r="D1628" s="7"/>
      <c r="E1628" s="36">
        <v>156</v>
      </c>
      <c r="F1628" s="36" t="s">
        <v>2165</v>
      </c>
      <c r="G1628" s="36">
        <v>613270</v>
      </c>
      <c r="H1628" s="36" t="s">
        <v>2092</v>
      </c>
      <c r="I1628" s="37">
        <v>4.89968</v>
      </c>
      <c r="J1628" s="7"/>
      <c r="K1628" s="7" t="str">
        <f>VLOOKUP($E1628,Mapping!$E$11:$I$96,3,0)</f>
        <v>Replacement</v>
      </c>
      <c r="L1628" s="7" t="str">
        <f>VLOOKUP($G1628,Mapping!$E$140:$K$2771,5,0)</f>
        <v>Labour</v>
      </c>
      <c r="M1628" s="7" t="str">
        <f>VLOOKUP($G1628,Mapping!$E$140:$K$2771,7,0)</f>
        <v>ENDirect</v>
      </c>
      <c r="N1628" s="7" t="str">
        <f>IFERROR(HLOOKUP(L1628,'Calc|Weightings'!$K$5:$M$5,1,0),"Excl")</f>
        <v>Labour</v>
      </c>
      <c r="O1628" s="7" t="str">
        <f>VLOOKUP(E1628,Mapping!$E$11:$I$96,5,0)</f>
        <v>SCS</v>
      </c>
      <c r="Q1628" s="33">
        <v>174</v>
      </c>
      <c r="R1628" s="33" t="s">
        <v>2178</v>
      </c>
      <c r="S1628" s="33">
        <v>635001</v>
      </c>
      <c r="T1628" s="33" t="s">
        <v>1929</v>
      </c>
      <c r="U1628" s="34">
        <v>0.37841999999999998</v>
      </c>
      <c r="V1628" s="7"/>
      <c r="W1628" s="7" t="str">
        <f>VLOOKUP($Q1628,Mapping!$E$11:$I$96,3,0)</f>
        <v>Replacement</v>
      </c>
      <c r="X1628" s="7" t="str">
        <f>VLOOKUP($S1628,Mapping!$E$140:$K$2771,5,0)</f>
        <v>PNS MG</v>
      </c>
      <c r="Y1628" s="7" t="str">
        <f>VLOOKUP($S1628,Mapping!$E$140:$K$2771,7,0)</f>
        <v>ENDirect</v>
      </c>
      <c r="Z1628" s="7" t="str">
        <f>IFERROR(HLOOKUP(X1628,'Calc|Weightings'!$K$5:$M$5,1,0),"Excl")</f>
        <v>Excl</v>
      </c>
      <c r="AA1628" s="7" t="str">
        <f>VLOOKUP(Q1628,Mapping!$E$11:$I$96,5,0)</f>
        <v>SCS</v>
      </c>
      <c r="AC1628" s="111">
        <v>166</v>
      </c>
      <c r="AD1628" s="111" t="s">
        <v>2174</v>
      </c>
      <c r="AE1628" s="111">
        <v>531468</v>
      </c>
      <c r="AF1628" s="111" t="s">
        <v>260</v>
      </c>
      <c r="AG1628" s="112">
        <v>5.8886099999999999</v>
      </c>
      <c r="AI1628" s="7" t="str">
        <f>VLOOKUP($AC1628,Mapping!$E$11:$I$96,3,0)</f>
        <v>Augmentation</v>
      </c>
      <c r="AJ1628" s="7" t="str">
        <f>VLOOKUP($AE1628,Mapping!$E$140:$K$2771,5,0)</f>
        <v>Contracts</v>
      </c>
      <c r="AK1628" s="7" t="str">
        <f>VLOOKUP($AE1628,Mapping!$E$140:$K$2771,7,0)</f>
        <v>ENDirect</v>
      </c>
      <c r="AL1628" s="7" t="str">
        <f>IFERROR(HLOOKUP(AJ1628,'Calc|Weightings'!$K$5:$M$5,1,0),"Excl")</f>
        <v>Contracts</v>
      </c>
      <c r="AM1628" s="7" t="str">
        <f>VLOOKUP(AC1628,Mapping!$E$11:$I$96,5,0)</f>
        <v>SCS</v>
      </c>
      <c r="AO1628" s="134">
        <v>176</v>
      </c>
      <c r="AP1628" s="135" t="s">
        <v>2180</v>
      </c>
      <c r="AQ1628" s="135">
        <v>523100</v>
      </c>
      <c r="AR1628" s="135" t="s">
        <v>2074</v>
      </c>
      <c r="AS1628" s="136">
        <v>6.8104899999999997</v>
      </c>
      <c r="AU1628" s="7" t="str">
        <f>VLOOKUP($AO1628,Mapping!$E$11:$I$96,3,0)</f>
        <v>Metering Capex</v>
      </c>
      <c r="AV1628" s="7" t="str">
        <f>VLOOKUP($AQ1628,Mapping!$E$140:$K$2771,5,0)</f>
        <v>Materials</v>
      </c>
      <c r="AW1628" s="7" t="str">
        <f>VLOOKUP($AQ1628,Mapping!$E$140:$K$2771,7,0)</f>
        <v>ENDirect</v>
      </c>
      <c r="AX1628" s="7" t="str">
        <f>IFERROR(HLOOKUP(AV1628,'Calc|Weightings'!$K$5:$M$5,1,0),"Excl")</f>
        <v>Materials</v>
      </c>
      <c r="AY1628" s="7" t="str">
        <f>VLOOKUP(AO1628,Mapping!$E$11:$I$96,5,0)</f>
        <v>Metering Services</v>
      </c>
    </row>
    <row r="1629" spans="1:51" x14ac:dyDescent="0.2">
      <c r="A1629" s="7"/>
      <c r="B1629" s="7"/>
      <c r="C1629" s="7"/>
      <c r="D1629" s="7"/>
      <c r="E1629" s="36">
        <v>156</v>
      </c>
      <c r="F1629" s="36" t="s">
        <v>2165</v>
      </c>
      <c r="G1629" s="36">
        <v>613271</v>
      </c>
      <c r="H1629" s="36" t="s">
        <v>2150</v>
      </c>
      <c r="I1629" s="37">
        <v>0.42</v>
      </c>
      <c r="J1629" s="7"/>
      <c r="K1629" s="7" t="str">
        <f>VLOOKUP($E1629,Mapping!$E$11:$I$96,3,0)</f>
        <v>Replacement</v>
      </c>
      <c r="L1629" s="7" t="str">
        <f>VLOOKUP($G1629,Mapping!$E$140:$K$2771,5,0)</f>
        <v>Labour</v>
      </c>
      <c r="M1629" s="7" t="str">
        <f>VLOOKUP($G1629,Mapping!$E$140:$K$2771,7,0)</f>
        <v>ENDirect</v>
      </c>
      <c r="N1629" s="7" t="str">
        <f>IFERROR(HLOOKUP(L1629,'Calc|Weightings'!$K$5:$M$5,1,0),"Excl")</f>
        <v>Labour</v>
      </c>
      <c r="O1629" s="7" t="str">
        <f>VLOOKUP(E1629,Mapping!$E$11:$I$96,5,0)</f>
        <v>SCS</v>
      </c>
      <c r="Q1629" s="33">
        <v>174</v>
      </c>
      <c r="R1629" s="33" t="s">
        <v>2178</v>
      </c>
      <c r="S1629" s="33">
        <v>636001</v>
      </c>
      <c r="T1629" s="33" t="s">
        <v>2111</v>
      </c>
      <c r="U1629" s="34">
        <v>0.17321</v>
      </c>
      <c r="V1629" s="7"/>
      <c r="W1629" s="7" t="str">
        <f>VLOOKUP($Q1629,Mapping!$E$11:$I$96,3,0)</f>
        <v>Replacement</v>
      </c>
      <c r="X1629" s="7" t="str">
        <f>VLOOKUP($S1629,Mapping!$E$140:$K$2771,5,0)</f>
        <v>System Control OH</v>
      </c>
      <c r="Y1629" s="7" t="str">
        <f>VLOOKUP($S1629,Mapping!$E$140:$K$2771,7,0)</f>
        <v>OH</v>
      </c>
      <c r="Z1629" s="7" t="str">
        <f>IFERROR(HLOOKUP(X1629,'Calc|Weightings'!$K$5:$M$5,1,0),"Excl")</f>
        <v>Excl</v>
      </c>
      <c r="AA1629" s="7" t="str">
        <f>VLOOKUP(Q1629,Mapping!$E$11:$I$96,5,0)</f>
        <v>SCS</v>
      </c>
      <c r="AC1629" s="111">
        <v>166</v>
      </c>
      <c r="AD1629" s="111" t="s">
        <v>2174</v>
      </c>
      <c r="AE1629" s="111">
        <v>532410</v>
      </c>
      <c r="AF1629" s="111" t="s">
        <v>305</v>
      </c>
      <c r="AG1629" s="112">
        <v>0.81811999999999996</v>
      </c>
      <c r="AI1629" s="7" t="str">
        <f>VLOOKUP($AC1629,Mapping!$E$11:$I$96,3,0)</f>
        <v>Augmentation</v>
      </c>
      <c r="AJ1629" s="7" t="str">
        <f>VLOOKUP($AE1629,Mapping!$E$140:$K$2771,5,0)</f>
        <v>Labour</v>
      </c>
      <c r="AK1629" s="7" t="str">
        <f>VLOOKUP($AE1629,Mapping!$E$140:$K$2771,7,0)</f>
        <v>ENDirect</v>
      </c>
      <c r="AL1629" s="7" t="str">
        <f>IFERROR(HLOOKUP(AJ1629,'Calc|Weightings'!$K$5:$M$5,1,0),"Excl")</f>
        <v>Labour</v>
      </c>
      <c r="AM1629" s="7" t="str">
        <f>VLOOKUP(AC1629,Mapping!$E$11:$I$96,5,0)</f>
        <v>SCS</v>
      </c>
      <c r="AO1629" s="134">
        <v>176</v>
      </c>
      <c r="AP1629" s="135" t="s">
        <v>2180</v>
      </c>
      <c r="AQ1629" s="135">
        <v>531467</v>
      </c>
      <c r="AR1629" s="135" t="s">
        <v>259</v>
      </c>
      <c r="AS1629" s="136">
        <v>0.40183999999999997</v>
      </c>
      <c r="AU1629" s="7" t="str">
        <f>VLOOKUP($AO1629,Mapping!$E$11:$I$96,3,0)</f>
        <v>Metering Capex</v>
      </c>
      <c r="AV1629" s="7" t="str">
        <f>VLOOKUP($AQ1629,Mapping!$E$140:$K$2771,5,0)</f>
        <v>Contracts</v>
      </c>
      <c r="AW1629" s="7" t="str">
        <f>VLOOKUP($AQ1629,Mapping!$E$140:$K$2771,7,0)</f>
        <v>ENDirect</v>
      </c>
      <c r="AX1629" s="7" t="str">
        <f>IFERROR(HLOOKUP(AV1629,'Calc|Weightings'!$K$5:$M$5,1,0),"Excl")</f>
        <v>Contracts</v>
      </c>
      <c r="AY1629" s="7" t="str">
        <f>VLOOKUP(AO1629,Mapping!$E$11:$I$96,5,0)</f>
        <v>Metering Services</v>
      </c>
    </row>
    <row r="1630" spans="1:51" x14ac:dyDescent="0.2">
      <c r="A1630" s="7"/>
      <c r="B1630" s="7"/>
      <c r="C1630" s="7"/>
      <c r="D1630" s="7"/>
      <c r="E1630" s="36">
        <v>156</v>
      </c>
      <c r="F1630" s="36" t="s">
        <v>2165</v>
      </c>
      <c r="G1630" s="36">
        <v>613280</v>
      </c>
      <c r="H1630" s="36" t="s">
        <v>1342</v>
      </c>
      <c r="I1630" s="37">
        <v>178.19944000000001</v>
      </c>
      <c r="J1630" s="7"/>
      <c r="K1630" s="7" t="str">
        <f>VLOOKUP($E1630,Mapping!$E$11:$I$96,3,0)</f>
        <v>Replacement</v>
      </c>
      <c r="L1630" s="7" t="str">
        <f>VLOOKUP($G1630,Mapping!$E$140:$K$2771,5,0)</f>
        <v>Labour</v>
      </c>
      <c r="M1630" s="7" t="str">
        <f>VLOOKUP($G1630,Mapping!$E$140:$K$2771,7,0)</f>
        <v>ENDirect</v>
      </c>
      <c r="N1630" s="7" t="str">
        <f>IFERROR(HLOOKUP(L1630,'Calc|Weightings'!$K$5:$M$5,1,0),"Excl")</f>
        <v>Labour</v>
      </c>
      <c r="O1630" s="7" t="str">
        <f>VLOOKUP(E1630,Mapping!$E$11:$I$96,5,0)</f>
        <v>SCS</v>
      </c>
      <c r="Q1630" s="33">
        <v>174</v>
      </c>
      <c r="R1630" s="33" t="s">
        <v>2178</v>
      </c>
      <c r="S1630" s="33">
        <v>639000</v>
      </c>
      <c r="T1630" s="33" t="s">
        <v>2112</v>
      </c>
      <c r="U1630" s="34">
        <v>0.50607000000000002</v>
      </c>
      <c r="V1630" s="7"/>
      <c r="W1630" s="7" t="str">
        <f>VLOOKUP($Q1630,Mapping!$E$11:$I$96,3,0)</f>
        <v>Replacement</v>
      </c>
      <c r="X1630" s="7" t="str">
        <f>VLOOKUP($S1630,Mapping!$E$140:$K$2771,5,0)</f>
        <v>PNS Corporate OH</v>
      </c>
      <c r="Y1630" s="7" t="str">
        <f>VLOOKUP($S1630,Mapping!$E$140:$K$2771,7,0)</f>
        <v>OH</v>
      </c>
      <c r="Z1630" s="7" t="str">
        <f>IFERROR(HLOOKUP(X1630,'Calc|Weightings'!$K$5:$M$5,1,0),"Excl")</f>
        <v>Excl</v>
      </c>
      <c r="AA1630" s="7" t="str">
        <f>VLOOKUP(Q1630,Mapping!$E$11:$I$96,5,0)</f>
        <v>SCS</v>
      </c>
      <c r="AC1630" s="111">
        <v>166</v>
      </c>
      <c r="AD1630" s="111" t="s">
        <v>2174</v>
      </c>
      <c r="AE1630" s="111">
        <v>611900</v>
      </c>
      <c r="AF1630" s="111" t="s">
        <v>2079</v>
      </c>
      <c r="AG1630" s="112">
        <v>3.4276800000000001</v>
      </c>
      <c r="AI1630" s="7" t="str">
        <f>VLOOKUP($AC1630,Mapping!$E$11:$I$96,3,0)</f>
        <v>Augmentation</v>
      </c>
      <c r="AJ1630" s="7" t="str">
        <f>VLOOKUP($AE1630,Mapping!$E$140:$K$2771,5,0)</f>
        <v>Contracts</v>
      </c>
      <c r="AK1630" s="7" t="str">
        <f>VLOOKUP($AE1630,Mapping!$E$140:$K$2771,7,0)</f>
        <v>ENDirect</v>
      </c>
      <c r="AL1630" s="7" t="str">
        <f>IFERROR(HLOOKUP(AJ1630,'Calc|Weightings'!$K$5:$M$5,1,0),"Excl")</f>
        <v>Contracts</v>
      </c>
      <c r="AM1630" s="7" t="str">
        <f>VLOOKUP(AC1630,Mapping!$E$11:$I$96,5,0)</f>
        <v>SCS</v>
      </c>
      <c r="AO1630" s="134">
        <v>176</v>
      </c>
      <c r="AP1630" s="135" t="s">
        <v>2180</v>
      </c>
      <c r="AQ1630" s="135">
        <v>611900</v>
      </c>
      <c r="AR1630" s="135" t="s">
        <v>2079</v>
      </c>
      <c r="AS1630" s="136">
        <v>5.2502899999999997</v>
      </c>
      <c r="AU1630" s="7" t="str">
        <f>VLOOKUP($AO1630,Mapping!$E$11:$I$96,3,0)</f>
        <v>Metering Capex</v>
      </c>
      <c r="AV1630" s="7" t="str">
        <f>VLOOKUP($AQ1630,Mapping!$E$140:$K$2771,5,0)</f>
        <v>Contracts</v>
      </c>
      <c r="AW1630" s="7" t="str">
        <f>VLOOKUP($AQ1630,Mapping!$E$140:$K$2771,7,0)</f>
        <v>ENDirect</v>
      </c>
      <c r="AX1630" s="7" t="str">
        <f>IFERROR(HLOOKUP(AV1630,'Calc|Weightings'!$K$5:$M$5,1,0),"Excl")</f>
        <v>Contracts</v>
      </c>
      <c r="AY1630" s="7" t="str">
        <f>VLOOKUP(AO1630,Mapping!$E$11:$I$96,5,0)</f>
        <v>Metering Services</v>
      </c>
    </row>
    <row r="1631" spans="1:51" x14ac:dyDescent="0.2">
      <c r="A1631" s="7"/>
      <c r="B1631" s="7"/>
      <c r="C1631" s="7"/>
      <c r="D1631" s="7"/>
      <c r="E1631" s="36">
        <v>156</v>
      </c>
      <c r="F1631" s="36" t="s">
        <v>2165</v>
      </c>
      <c r="G1631" s="36">
        <v>613290</v>
      </c>
      <c r="H1631" s="36" t="s">
        <v>2093</v>
      </c>
      <c r="I1631" s="37">
        <v>49.392699999999998</v>
      </c>
      <c r="J1631" s="7"/>
      <c r="K1631" s="7" t="str">
        <f>VLOOKUP($E1631,Mapping!$E$11:$I$96,3,0)</f>
        <v>Replacement</v>
      </c>
      <c r="L1631" s="7" t="str">
        <f>VLOOKUP($G1631,Mapping!$E$140:$K$2771,5,0)</f>
        <v>Labour</v>
      </c>
      <c r="M1631" s="7" t="str">
        <f>VLOOKUP($G1631,Mapping!$E$140:$K$2771,7,0)</f>
        <v>ENDirect</v>
      </c>
      <c r="N1631" s="7" t="str">
        <f>IFERROR(HLOOKUP(L1631,'Calc|Weightings'!$K$5:$M$5,1,0),"Excl")</f>
        <v>Labour</v>
      </c>
      <c r="O1631" s="7" t="str">
        <f>VLOOKUP(E1631,Mapping!$E$11:$I$96,5,0)</f>
        <v>SCS</v>
      </c>
      <c r="Q1631" s="33">
        <v>174</v>
      </c>
      <c r="R1631" s="33" t="s">
        <v>2178</v>
      </c>
      <c r="S1631" s="33">
        <v>639050</v>
      </c>
      <c r="T1631" s="33" t="s">
        <v>2113</v>
      </c>
      <c r="U1631" s="34">
        <v>5.1709999999999999E-2</v>
      </c>
      <c r="V1631" s="7"/>
      <c r="W1631" s="7" t="str">
        <f>VLOOKUP($Q1631,Mapping!$E$11:$I$96,3,0)</f>
        <v>Replacement</v>
      </c>
      <c r="X1631" s="7" t="str">
        <f>VLOOKUP($S1631,Mapping!$E$140:$K$2771,5,0)</f>
        <v>PNS Fleet &amp; Property OH</v>
      </c>
      <c r="Y1631" s="7" t="str">
        <f>VLOOKUP($S1631,Mapping!$E$140:$K$2771,7,0)</f>
        <v>OH</v>
      </c>
      <c r="Z1631" s="7" t="str">
        <f>IFERROR(HLOOKUP(X1631,'Calc|Weightings'!$K$5:$M$5,1,0),"Excl")</f>
        <v>Excl</v>
      </c>
      <c r="AA1631" s="7" t="str">
        <f>VLOOKUP(Q1631,Mapping!$E$11:$I$96,5,0)</f>
        <v>SCS</v>
      </c>
      <c r="AC1631" s="111">
        <v>166</v>
      </c>
      <c r="AD1631" s="111" t="s">
        <v>2174</v>
      </c>
      <c r="AE1631" s="111">
        <v>611901</v>
      </c>
      <c r="AF1631" s="111" t="s">
        <v>2080</v>
      </c>
      <c r="AG1631" s="112">
        <v>0.43430999999999997</v>
      </c>
      <c r="AI1631" s="7" t="str">
        <f>VLOOKUP($AC1631,Mapping!$E$11:$I$96,3,0)</f>
        <v>Augmentation</v>
      </c>
      <c r="AJ1631" s="7" t="str">
        <f>VLOOKUP($AE1631,Mapping!$E$140:$K$2771,5,0)</f>
        <v>Contracts</v>
      </c>
      <c r="AK1631" s="7" t="str">
        <f>VLOOKUP($AE1631,Mapping!$E$140:$K$2771,7,0)</f>
        <v>ENDirect</v>
      </c>
      <c r="AL1631" s="7" t="str">
        <f>IFERROR(HLOOKUP(AJ1631,'Calc|Weightings'!$K$5:$M$5,1,0),"Excl")</f>
        <v>Contracts</v>
      </c>
      <c r="AM1631" s="7" t="str">
        <f>VLOOKUP(AC1631,Mapping!$E$11:$I$96,5,0)</f>
        <v>SCS</v>
      </c>
      <c r="AO1631" s="134">
        <v>176</v>
      </c>
      <c r="AP1631" s="135" t="s">
        <v>2180</v>
      </c>
      <c r="AQ1631" s="135">
        <v>613240</v>
      </c>
      <c r="AR1631" s="135" t="s">
        <v>2082</v>
      </c>
      <c r="AS1631" s="136">
        <v>6.1323100000000004</v>
      </c>
      <c r="AU1631" s="7" t="str">
        <f>VLOOKUP($AO1631,Mapping!$E$11:$I$96,3,0)</f>
        <v>Metering Capex</v>
      </c>
      <c r="AV1631" s="7" t="str">
        <f>VLOOKUP($AQ1631,Mapping!$E$140:$K$2771,5,0)</f>
        <v>Labour</v>
      </c>
      <c r="AW1631" s="7" t="str">
        <f>VLOOKUP($AQ1631,Mapping!$E$140:$K$2771,7,0)</f>
        <v>ENDirect</v>
      </c>
      <c r="AX1631" s="7" t="str">
        <f>IFERROR(HLOOKUP(AV1631,'Calc|Weightings'!$K$5:$M$5,1,0),"Excl")</f>
        <v>Labour</v>
      </c>
      <c r="AY1631" s="7" t="str">
        <f>VLOOKUP(AO1631,Mapping!$E$11:$I$96,5,0)</f>
        <v>Metering Services</v>
      </c>
    </row>
    <row r="1632" spans="1:51" x14ac:dyDescent="0.2">
      <c r="A1632" s="7"/>
      <c r="B1632" s="7"/>
      <c r="C1632" s="7"/>
      <c r="D1632" s="7"/>
      <c r="E1632" s="36">
        <v>156</v>
      </c>
      <c r="F1632" s="36" t="s">
        <v>2165</v>
      </c>
      <c r="G1632" s="36">
        <v>613291</v>
      </c>
      <c r="H1632" s="36" t="s">
        <v>2094</v>
      </c>
      <c r="I1632" s="37">
        <v>0.11674</v>
      </c>
      <c r="J1632" s="7"/>
      <c r="K1632" s="7" t="str">
        <f>VLOOKUP($E1632,Mapping!$E$11:$I$96,3,0)</f>
        <v>Replacement</v>
      </c>
      <c r="L1632" s="7" t="str">
        <f>VLOOKUP($G1632,Mapping!$E$140:$K$2771,5,0)</f>
        <v>Labour</v>
      </c>
      <c r="M1632" s="7" t="str">
        <f>VLOOKUP($G1632,Mapping!$E$140:$K$2771,7,0)</f>
        <v>ENDirect</v>
      </c>
      <c r="N1632" s="7" t="str">
        <f>IFERROR(HLOOKUP(L1632,'Calc|Weightings'!$K$5:$M$5,1,0),"Excl")</f>
        <v>Labour</v>
      </c>
      <c r="O1632" s="7" t="str">
        <f>VLOOKUP(E1632,Mapping!$E$11:$I$96,5,0)</f>
        <v>SCS</v>
      </c>
      <c r="Q1632" s="33">
        <v>175</v>
      </c>
      <c r="R1632" s="33" t="s">
        <v>2179</v>
      </c>
      <c r="S1632" s="33">
        <v>613926</v>
      </c>
      <c r="T1632" s="33" t="s">
        <v>1157</v>
      </c>
      <c r="U1632" s="34">
        <v>37.027099999999997</v>
      </c>
      <c r="V1632" s="7"/>
      <c r="W1632" s="7" t="str">
        <f>VLOOKUP($Q1632,Mapping!$E$11:$I$96,3,0)</f>
        <v>Metering Capex</v>
      </c>
      <c r="X1632" s="7" t="str">
        <f>VLOOKUP($S1632,Mapping!$E$140:$K$2771,5,0)</f>
        <v>Materials</v>
      </c>
      <c r="Y1632" s="7" t="str">
        <f>VLOOKUP($S1632,Mapping!$E$140:$K$2771,7,0)</f>
        <v>ENDirect</v>
      </c>
      <c r="Z1632" s="7" t="str">
        <f>IFERROR(HLOOKUP(X1632,'Calc|Weightings'!$K$5:$M$5,1,0),"Excl")</f>
        <v>Materials</v>
      </c>
      <c r="AA1632" s="7" t="str">
        <f>VLOOKUP(Q1632,Mapping!$E$11:$I$96,5,0)</f>
        <v>Metering Services</v>
      </c>
      <c r="AC1632" s="111">
        <v>166</v>
      </c>
      <c r="AD1632" s="111" t="s">
        <v>2174</v>
      </c>
      <c r="AE1632" s="111">
        <v>611902</v>
      </c>
      <c r="AF1632" s="111" t="s">
        <v>2081</v>
      </c>
      <c r="AG1632" s="112">
        <v>0.14460000000000001</v>
      </c>
      <c r="AI1632" s="7" t="str">
        <f>VLOOKUP($AC1632,Mapping!$E$11:$I$96,3,0)</f>
        <v>Augmentation</v>
      </c>
      <c r="AJ1632" s="7" t="str">
        <f>VLOOKUP($AE1632,Mapping!$E$140:$K$2771,5,0)</f>
        <v>Contracts</v>
      </c>
      <c r="AK1632" s="7" t="str">
        <f>VLOOKUP($AE1632,Mapping!$E$140:$K$2771,7,0)</f>
        <v>ENDirect</v>
      </c>
      <c r="AL1632" s="7" t="str">
        <f>IFERROR(HLOOKUP(AJ1632,'Calc|Weightings'!$K$5:$M$5,1,0),"Excl")</f>
        <v>Contracts</v>
      </c>
      <c r="AM1632" s="7" t="str">
        <f>VLOOKUP(AC1632,Mapping!$E$11:$I$96,5,0)</f>
        <v>SCS</v>
      </c>
      <c r="AO1632" s="134">
        <v>176</v>
      </c>
      <c r="AP1632" s="135" t="s">
        <v>2180</v>
      </c>
      <c r="AQ1632" s="135">
        <v>613250</v>
      </c>
      <c r="AR1632" s="135" t="s">
        <v>2086</v>
      </c>
      <c r="AS1632" s="136">
        <v>8.6524099999999997</v>
      </c>
      <c r="AU1632" s="7" t="str">
        <f>VLOOKUP($AO1632,Mapping!$E$11:$I$96,3,0)</f>
        <v>Metering Capex</v>
      </c>
      <c r="AV1632" s="7" t="str">
        <f>VLOOKUP($AQ1632,Mapping!$E$140:$K$2771,5,0)</f>
        <v>Labour</v>
      </c>
      <c r="AW1632" s="7" t="str">
        <f>VLOOKUP($AQ1632,Mapping!$E$140:$K$2771,7,0)</f>
        <v>ENDirect</v>
      </c>
      <c r="AX1632" s="7" t="str">
        <f>IFERROR(HLOOKUP(AV1632,'Calc|Weightings'!$K$5:$M$5,1,0),"Excl")</f>
        <v>Labour</v>
      </c>
      <c r="AY1632" s="7" t="str">
        <f>VLOOKUP(AO1632,Mapping!$E$11:$I$96,5,0)</f>
        <v>Metering Services</v>
      </c>
    </row>
    <row r="1633" spans="1:51" x14ac:dyDescent="0.2">
      <c r="A1633" s="7"/>
      <c r="B1633" s="7"/>
      <c r="C1633" s="7"/>
      <c r="D1633" s="7"/>
      <c r="E1633" s="36">
        <v>156</v>
      </c>
      <c r="F1633" s="36" t="s">
        <v>2165</v>
      </c>
      <c r="G1633" s="36">
        <v>613298</v>
      </c>
      <c r="H1633" s="36" t="s">
        <v>2122</v>
      </c>
      <c r="I1633" s="37">
        <v>29.126629999999999</v>
      </c>
      <c r="J1633" s="7"/>
      <c r="K1633" s="7" t="str">
        <f>VLOOKUP($E1633,Mapping!$E$11:$I$96,3,0)</f>
        <v>Replacement</v>
      </c>
      <c r="L1633" s="7" t="str">
        <f>VLOOKUP($G1633,Mapping!$E$140:$K$2771,5,0)</f>
        <v>Labour</v>
      </c>
      <c r="M1633" s="7" t="str">
        <f>VLOOKUP($G1633,Mapping!$E$140:$K$2771,7,0)</f>
        <v>ENDirect</v>
      </c>
      <c r="N1633" s="7" t="str">
        <f>IFERROR(HLOOKUP(L1633,'Calc|Weightings'!$K$5:$M$5,1,0),"Excl")</f>
        <v>Labour</v>
      </c>
      <c r="O1633" s="7" t="str">
        <f>VLOOKUP(E1633,Mapping!$E$11:$I$96,5,0)</f>
        <v>SCS</v>
      </c>
      <c r="Q1633" s="33">
        <v>175</v>
      </c>
      <c r="R1633" s="33" t="s">
        <v>2179</v>
      </c>
      <c r="S1633" s="33">
        <v>613932</v>
      </c>
      <c r="T1633" s="33" t="s">
        <v>718</v>
      </c>
      <c r="U1633" s="34">
        <v>0.79703999999999997</v>
      </c>
      <c r="V1633" s="7"/>
      <c r="W1633" s="7" t="str">
        <f>VLOOKUP($Q1633,Mapping!$E$11:$I$96,3,0)</f>
        <v>Metering Capex</v>
      </c>
      <c r="X1633" s="7" t="str">
        <f>VLOOKUP($S1633,Mapping!$E$140:$K$2771,5,0)</f>
        <v>Materials</v>
      </c>
      <c r="Y1633" s="7" t="str">
        <f>VLOOKUP($S1633,Mapping!$E$140:$K$2771,7,0)</f>
        <v>ENDirect</v>
      </c>
      <c r="Z1633" s="7" t="str">
        <f>IFERROR(HLOOKUP(X1633,'Calc|Weightings'!$K$5:$M$5,1,0),"Excl")</f>
        <v>Materials</v>
      </c>
      <c r="AA1633" s="7" t="str">
        <f>VLOOKUP(Q1633,Mapping!$E$11:$I$96,5,0)</f>
        <v>Metering Services</v>
      </c>
      <c r="AC1633" s="111">
        <v>166</v>
      </c>
      <c r="AD1633" s="111" t="s">
        <v>2174</v>
      </c>
      <c r="AE1633" s="111">
        <v>613240</v>
      </c>
      <c r="AF1633" s="111" t="s">
        <v>2082</v>
      </c>
      <c r="AG1633" s="112">
        <v>19.903500000000001</v>
      </c>
      <c r="AI1633" s="7" t="str">
        <f>VLOOKUP($AC1633,Mapping!$E$11:$I$96,3,0)</f>
        <v>Augmentation</v>
      </c>
      <c r="AJ1633" s="7" t="str">
        <f>VLOOKUP($AE1633,Mapping!$E$140:$K$2771,5,0)</f>
        <v>Labour</v>
      </c>
      <c r="AK1633" s="7" t="str">
        <f>VLOOKUP($AE1633,Mapping!$E$140:$K$2771,7,0)</f>
        <v>ENDirect</v>
      </c>
      <c r="AL1633" s="7" t="str">
        <f>IFERROR(HLOOKUP(AJ1633,'Calc|Weightings'!$K$5:$M$5,1,0),"Excl")</f>
        <v>Labour</v>
      </c>
      <c r="AM1633" s="7" t="str">
        <f>VLOOKUP(AC1633,Mapping!$E$11:$I$96,5,0)</f>
        <v>SCS</v>
      </c>
      <c r="AO1633" s="134">
        <v>176</v>
      </c>
      <c r="AP1633" s="135" t="s">
        <v>2180</v>
      </c>
      <c r="AQ1633" s="135">
        <v>613280</v>
      </c>
      <c r="AR1633" s="135" t="s">
        <v>1342</v>
      </c>
      <c r="AS1633" s="136">
        <v>2.0628299999999999</v>
      </c>
      <c r="AU1633" s="7" t="str">
        <f>VLOOKUP($AO1633,Mapping!$E$11:$I$96,3,0)</f>
        <v>Metering Capex</v>
      </c>
      <c r="AV1633" s="7" t="str">
        <f>VLOOKUP($AQ1633,Mapping!$E$140:$K$2771,5,0)</f>
        <v>Labour</v>
      </c>
      <c r="AW1633" s="7" t="str">
        <f>VLOOKUP($AQ1633,Mapping!$E$140:$K$2771,7,0)</f>
        <v>ENDirect</v>
      </c>
      <c r="AX1633" s="7" t="str">
        <f>IFERROR(HLOOKUP(AV1633,'Calc|Weightings'!$K$5:$M$5,1,0),"Excl")</f>
        <v>Labour</v>
      </c>
      <c r="AY1633" s="7" t="str">
        <f>VLOOKUP(AO1633,Mapping!$E$11:$I$96,5,0)</f>
        <v>Metering Services</v>
      </c>
    </row>
    <row r="1634" spans="1:51" x14ac:dyDescent="0.2">
      <c r="A1634" s="7"/>
      <c r="B1634" s="7"/>
      <c r="C1634" s="7"/>
      <c r="D1634" s="7"/>
      <c r="E1634" s="36">
        <v>156</v>
      </c>
      <c r="F1634" s="36" t="s">
        <v>2165</v>
      </c>
      <c r="G1634" s="36">
        <v>613310</v>
      </c>
      <c r="H1634" s="36" t="s">
        <v>2095</v>
      </c>
      <c r="I1634" s="37">
        <v>181.98509000000001</v>
      </c>
      <c r="J1634" s="7"/>
      <c r="K1634" s="7" t="str">
        <f>VLOOKUP($E1634,Mapping!$E$11:$I$96,3,0)</f>
        <v>Replacement</v>
      </c>
      <c r="L1634" s="7" t="str">
        <f>VLOOKUP($G1634,Mapping!$E$140:$K$2771,5,0)</f>
        <v>Labour</v>
      </c>
      <c r="M1634" s="7" t="str">
        <f>VLOOKUP($G1634,Mapping!$E$140:$K$2771,7,0)</f>
        <v>ENDirect</v>
      </c>
      <c r="N1634" s="7" t="str">
        <f>IFERROR(HLOOKUP(L1634,'Calc|Weightings'!$K$5:$M$5,1,0),"Excl")</f>
        <v>Labour</v>
      </c>
      <c r="O1634" s="7" t="str">
        <f>VLOOKUP(E1634,Mapping!$E$11:$I$96,5,0)</f>
        <v>SCS</v>
      </c>
      <c r="Q1634" s="33">
        <v>175</v>
      </c>
      <c r="R1634" s="33" t="s">
        <v>2179</v>
      </c>
      <c r="S1634" s="33">
        <v>613934</v>
      </c>
      <c r="T1634" s="33" t="s">
        <v>720</v>
      </c>
      <c r="U1634" s="34">
        <v>5.5814399999999997</v>
      </c>
      <c r="V1634" s="7"/>
      <c r="W1634" s="7" t="str">
        <f>VLOOKUP($Q1634,Mapping!$E$11:$I$96,3,0)</f>
        <v>Metering Capex</v>
      </c>
      <c r="X1634" s="7" t="str">
        <f>VLOOKUP($S1634,Mapping!$E$140:$K$2771,5,0)</f>
        <v>Materials</v>
      </c>
      <c r="Y1634" s="7" t="str">
        <f>VLOOKUP($S1634,Mapping!$E$140:$K$2771,7,0)</f>
        <v>ENDirect</v>
      </c>
      <c r="Z1634" s="7" t="str">
        <f>IFERROR(HLOOKUP(X1634,'Calc|Weightings'!$K$5:$M$5,1,0),"Excl")</f>
        <v>Materials</v>
      </c>
      <c r="AA1634" s="7" t="str">
        <f>VLOOKUP(Q1634,Mapping!$E$11:$I$96,5,0)</f>
        <v>Metering Services</v>
      </c>
      <c r="AC1634" s="111">
        <v>166</v>
      </c>
      <c r="AD1634" s="111" t="s">
        <v>2174</v>
      </c>
      <c r="AE1634" s="111">
        <v>613241</v>
      </c>
      <c r="AF1634" s="111" t="s">
        <v>2083</v>
      </c>
      <c r="AG1634" s="112">
        <v>6.2918599999999998</v>
      </c>
      <c r="AI1634" s="7" t="str">
        <f>VLOOKUP($AC1634,Mapping!$E$11:$I$96,3,0)</f>
        <v>Augmentation</v>
      </c>
      <c r="AJ1634" s="7" t="str">
        <f>VLOOKUP($AE1634,Mapping!$E$140:$K$2771,5,0)</f>
        <v>Labour</v>
      </c>
      <c r="AK1634" s="7" t="str">
        <f>VLOOKUP($AE1634,Mapping!$E$140:$K$2771,7,0)</f>
        <v>ENDirect</v>
      </c>
      <c r="AL1634" s="7" t="str">
        <f>IFERROR(HLOOKUP(AJ1634,'Calc|Weightings'!$K$5:$M$5,1,0),"Excl")</f>
        <v>Labour</v>
      </c>
      <c r="AM1634" s="7" t="str">
        <f>VLOOKUP(AC1634,Mapping!$E$11:$I$96,5,0)</f>
        <v>SCS</v>
      </c>
      <c r="AO1634" s="134">
        <v>176</v>
      </c>
      <c r="AP1634" s="135" t="s">
        <v>2180</v>
      </c>
      <c r="AQ1634" s="135">
        <v>613281</v>
      </c>
      <c r="AR1634" s="135" t="s">
        <v>1343</v>
      </c>
      <c r="AS1634" s="136">
        <v>1.31423</v>
      </c>
      <c r="AU1634" s="7" t="str">
        <f>VLOOKUP($AO1634,Mapping!$E$11:$I$96,3,0)</f>
        <v>Metering Capex</v>
      </c>
      <c r="AV1634" s="7" t="str">
        <f>VLOOKUP($AQ1634,Mapping!$E$140:$K$2771,5,0)</f>
        <v>Labour</v>
      </c>
      <c r="AW1634" s="7" t="str">
        <f>VLOOKUP($AQ1634,Mapping!$E$140:$K$2771,7,0)</f>
        <v>ENDirect</v>
      </c>
      <c r="AX1634" s="7" t="str">
        <f>IFERROR(HLOOKUP(AV1634,'Calc|Weightings'!$K$5:$M$5,1,0),"Excl")</f>
        <v>Labour</v>
      </c>
      <c r="AY1634" s="7" t="str">
        <f>VLOOKUP(AO1634,Mapping!$E$11:$I$96,5,0)</f>
        <v>Metering Services</v>
      </c>
    </row>
    <row r="1635" spans="1:51" x14ac:dyDescent="0.2">
      <c r="A1635" s="7"/>
      <c r="B1635" s="7"/>
      <c r="C1635" s="7"/>
      <c r="D1635" s="7"/>
      <c r="E1635" s="36">
        <v>156</v>
      </c>
      <c r="F1635" s="36" t="s">
        <v>2165</v>
      </c>
      <c r="G1635" s="36">
        <v>613311</v>
      </c>
      <c r="H1635" s="36" t="s">
        <v>2116</v>
      </c>
      <c r="I1635" s="37">
        <v>6.6380999999999997</v>
      </c>
      <c r="J1635" s="7"/>
      <c r="K1635" s="7" t="str">
        <f>VLOOKUP($E1635,Mapping!$E$11:$I$96,3,0)</f>
        <v>Replacement</v>
      </c>
      <c r="L1635" s="7" t="str">
        <f>VLOOKUP($G1635,Mapping!$E$140:$K$2771,5,0)</f>
        <v>Labour</v>
      </c>
      <c r="M1635" s="7" t="str">
        <f>VLOOKUP($G1635,Mapping!$E$140:$K$2771,7,0)</f>
        <v>ENDirect</v>
      </c>
      <c r="N1635" s="7" t="str">
        <f>IFERROR(HLOOKUP(L1635,'Calc|Weightings'!$K$5:$M$5,1,0),"Excl")</f>
        <v>Labour</v>
      </c>
      <c r="O1635" s="7" t="str">
        <f>VLOOKUP(E1635,Mapping!$E$11:$I$96,5,0)</f>
        <v>SCS</v>
      </c>
      <c r="Q1635" s="33">
        <v>175</v>
      </c>
      <c r="R1635" s="33" t="s">
        <v>2179</v>
      </c>
      <c r="S1635" s="33">
        <v>613957</v>
      </c>
      <c r="T1635" s="33" t="s">
        <v>1643</v>
      </c>
      <c r="U1635" s="34">
        <v>33.996200000000002</v>
      </c>
      <c r="V1635" s="7"/>
      <c r="W1635" s="7" t="str">
        <f>VLOOKUP($Q1635,Mapping!$E$11:$I$96,3,0)</f>
        <v>Metering Capex</v>
      </c>
      <c r="X1635" s="7" t="str">
        <f>VLOOKUP($S1635,Mapping!$E$140:$K$2771,5,0)</f>
        <v>Materials</v>
      </c>
      <c r="Y1635" s="7" t="str">
        <f>VLOOKUP($S1635,Mapping!$E$140:$K$2771,7,0)</f>
        <v>ENDirect</v>
      </c>
      <c r="Z1635" s="7" t="str">
        <f>IFERROR(HLOOKUP(X1635,'Calc|Weightings'!$K$5:$M$5,1,0),"Excl")</f>
        <v>Materials</v>
      </c>
      <c r="AA1635" s="7" t="str">
        <f>VLOOKUP(Q1635,Mapping!$E$11:$I$96,5,0)</f>
        <v>Metering Services</v>
      </c>
      <c r="AC1635" s="111">
        <v>166</v>
      </c>
      <c r="AD1635" s="111" t="s">
        <v>2174</v>
      </c>
      <c r="AE1635" s="111">
        <v>613250</v>
      </c>
      <c r="AF1635" s="111" t="s">
        <v>2086</v>
      </c>
      <c r="AG1635" s="112">
        <v>44.88158</v>
      </c>
      <c r="AI1635" s="7" t="str">
        <f>VLOOKUP($AC1635,Mapping!$E$11:$I$96,3,0)</f>
        <v>Augmentation</v>
      </c>
      <c r="AJ1635" s="7" t="str">
        <f>VLOOKUP($AE1635,Mapping!$E$140:$K$2771,5,0)</f>
        <v>Labour</v>
      </c>
      <c r="AK1635" s="7" t="str">
        <f>VLOOKUP($AE1635,Mapping!$E$140:$K$2771,7,0)</f>
        <v>ENDirect</v>
      </c>
      <c r="AL1635" s="7" t="str">
        <f>IFERROR(HLOOKUP(AJ1635,'Calc|Weightings'!$K$5:$M$5,1,0),"Excl")</f>
        <v>Labour</v>
      </c>
      <c r="AM1635" s="7" t="str">
        <f>VLOOKUP(AC1635,Mapping!$E$11:$I$96,5,0)</f>
        <v>SCS</v>
      </c>
      <c r="AO1635" s="134">
        <v>176</v>
      </c>
      <c r="AP1635" s="135" t="s">
        <v>2180</v>
      </c>
      <c r="AQ1635" s="135">
        <v>613291</v>
      </c>
      <c r="AR1635" s="135" t="s">
        <v>2094</v>
      </c>
      <c r="AS1635" s="136">
        <v>0.17296</v>
      </c>
      <c r="AU1635" s="7" t="str">
        <f>VLOOKUP($AO1635,Mapping!$E$11:$I$96,3,0)</f>
        <v>Metering Capex</v>
      </c>
      <c r="AV1635" s="7" t="str">
        <f>VLOOKUP($AQ1635,Mapping!$E$140:$K$2771,5,0)</f>
        <v>Labour</v>
      </c>
      <c r="AW1635" s="7" t="str">
        <f>VLOOKUP($AQ1635,Mapping!$E$140:$K$2771,7,0)</f>
        <v>ENDirect</v>
      </c>
      <c r="AX1635" s="7" t="str">
        <f>IFERROR(HLOOKUP(AV1635,'Calc|Weightings'!$K$5:$M$5,1,0),"Excl")</f>
        <v>Labour</v>
      </c>
      <c r="AY1635" s="7" t="str">
        <f>VLOOKUP(AO1635,Mapping!$E$11:$I$96,5,0)</f>
        <v>Metering Services</v>
      </c>
    </row>
    <row r="1636" spans="1:51" x14ac:dyDescent="0.2">
      <c r="A1636" s="7"/>
      <c r="B1636" s="7"/>
      <c r="C1636" s="7"/>
      <c r="D1636" s="7"/>
      <c r="E1636" s="36">
        <v>156</v>
      </c>
      <c r="F1636" s="36" t="s">
        <v>2165</v>
      </c>
      <c r="G1636" s="36">
        <v>613318</v>
      </c>
      <c r="H1636" s="36" t="s">
        <v>1360</v>
      </c>
      <c r="I1636" s="37">
        <v>141.39152999999999</v>
      </c>
      <c r="J1636" s="7"/>
      <c r="K1636" s="7" t="str">
        <f>VLOOKUP($E1636,Mapping!$E$11:$I$96,3,0)</f>
        <v>Replacement</v>
      </c>
      <c r="L1636" s="7" t="str">
        <f>VLOOKUP($G1636,Mapping!$E$140:$K$2771,5,0)</f>
        <v>Labour</v>
      </c>
      <c r="M1636" s="7" t="str">
        <f>VLOOKUP($G1636,Mapping!$E$140:$K$2771,7,0)</f>
        <v>ENDirect</v>
      </c>
      <c r="N1636" s="7" t="str">
        <f>IFERROR(HLOOKUP(L1636,'Calc|Weightings'!$K$5:$M$5,1,0),"Excl")</f>
        <v>Labour</v>
      </c>
      <c r="O1636" s="7" t="str">
        <f>VLOOKUP(E1636,Mapping!$E$11:$I$96,5,0)</f>
        <v>SCS</v>
      </c>
      <c r="Q1636" s="33">
        <v>175</v>
      </c>
      <c r="R1636" s="33" t="s">
        <v>2179</v>
      </c>
      <c r="S1636" s="33">
        <v>634001</v>
      </c>
      <c r="T1636" s="33" t="s">
        <v>2110</v>
      </c>
      <c r="U1636" s="34">
        <v>5.8528000000000002</v>
      </c>
      <c r="V1636" s="7"/>
      <c r="W1636" s="7" t="str">
        <f>VLOOKUP($Q1636,Mapping!$E$11:$I$96,3,0)</f>
        <v>Metering Capex</v>
      </c>
      <c r="X1636" s="7" t="str">
        <f>VLOOKUP($S1636,Mapping!$E$140:$K$2771,5,0)</f>
        <v>Local OH</v>
      </c>
      <c r="Y1636" s="7" t="str">
        <f>VLOOKUP($S1636,Mapping!$E$140:$K$2771,7,0)</f>
        <v>OH</v>
      </c>
      <c r="Z1636" s="7" t="str">
        <f>IFERROR(HLOOKUP(X1636,'Calc|Weightings'!$K$5:$M$5,1,0),"Excl")</f>
        <v>Excl</v>
      </c>
      <c r="AA1636" s="7" t="str">
        <f>VLOOKUP(Q1636,Mapping!$E$11:$I$96,5,0)</f>
        <v>Metering Services</v>
      </c>
      <c r="AC1636" s="111">
        <v>166</v>
      </c>
      <c r="AD1636" s="111" t="s">
        <v>2174</v>
      </c>
      <c r="AE1636" s="111">
        <v>613251</v>
      </c>
      <c r="AF1636" s="111" t="s">
        <v>2087</v>
      </c>
      <c r="AG1636" s="112">
        <v>13.05843</v>
      </c>
      <c r="AI1636" s="7" t="str">
        <f>VLOOKUP($AC1636,Mapping!$E$11:$I$96,3,0)</f>
        <v>Augmentation</v>
      </c>
      <c r="AJ1636" s="7" t="str">
        <f>VLOOKUP($AE1636,Mapping!$E$140:$K$2771,5,0)</f>
        <v>Labour</v>
      </c>
      <c r="AK1636" s="7" t="str">
        <f>VLOOKUP($AE1636,Mapping!$E$140:$K$2771,7,0)</f>
        <v>ENDirect</v>
      </c>
      <c r="AL1636" s="7" t="str">
        <f>IFERROR(HLOOKUP(AJ1636,'Calc|Weightings'!$K$5:$M$5,1,0),"Excl")</f>
        <v>Labour</v>
      </c>
      <c r="AM1636" s="7" t="str">
        <f>VLOOKUP(AC1636,Mapping!$E$11:$I$96,5,0)</f>
        <v>SCS</v>
      </c>
      <c r="AO1636" s="134">
        <v>176</v>
      </c>
      <c r="AP1636" s="135" t="s">
        <v>2180</v>
      </c>
      <c r="AQ1636" s="135">
        <v>613360</v>
      </c>
      <c r="AR1636" s="135" t="s">
        <v>2097</v>
      </c>
      <c r="AS1636" s="136">
        <v>0.12734000000000001</v>
      </c>
      <c r="AU1636" s="7" t="str">
        <f>VLOOKUP($AO1636,Mapping!$E$11:$I$96,3,0)</f>
        <v>Metering Capex</v>
      </c>
      <c r="AV1636" s="7" t="str">
        <f>VLOOKUP($AQ1636,Mapping!$E$140:$K$2771,5,0)</f>
        <v>Labour</v>
      </c>
      <c r="AW1636" s="7" t="str">
        <f>VLOOKUP($AQ1636,Mapping!$E$140:$K$2771,7,0)</f>
        <v>ENDirect</v>
      </c>
      <c r="AX1636" s="7" t="str">
        <f>IFERROR(HLOOKUP(AV1636,'Calc|Weightings'!$K$5:$M$5,1,0),"Excl")</f>
        <v>Labour</v>
      </c>
      <c r="AY1636" s="7" t="str">
        <f>VLOOKUP(AO1636,Mapping!$E$11:$I$96,5,0)</f>
        <v>Metering Services</v>
      </c>
    </row>
    <row r="1637" spans="1:51" x14ac:dyDescent="0.2">
      <c r="A1637" s="7"/>
      <c r="B1637" s="7"/>
      <c r="C1637" s="7"/>
      <c r="D1637" s="7"/>
      <c r="E1637" s="36">
        <v>156</v>
      </c>
      <c r="F1637" s="36" t="s">
        <v>2165</v>
      </c>
      <c r="G1637" s="36">
        <v>613319</v>
      </c>
      <c r="H1637" s="36" t="s">
        <v>2358</v>
      </c>
      <c r="I1637" s="37">
        <v>2.1810900000000002</v>
      </c>
      <c r="J1637" s="7"/>
      <c r="K1637" s="7" t="str">
        <f>VLOOKUP($E1637,Mapping!$E$11:$I$96,3,0)</f>
        <v>Replacement</v>
      </c>
      <c r="L1637" s="7" t="str">
        <f>VLOOKUP($G1637,Mapping!$E$140:$K$2771,5,0)</f>
        <v>Labour</v>
      </c>
      <c r="M1637" s="7" t="str">
        <f>VLOOKUP($G1637,Mapping!$E$140:$K$2771,7,0)</f>
        <v>ENDirect</v>
      </c>
      <c r="N1637" s="7" t="str">
        <f>IFERROR(HLOOKUP(L1637,'Calc|Weightings'!$K$5:$M$5,1,0),"Excl")</f>
        <v>Labour</v>
      </c>
      <c r="O1637" s="7" t="str">
        <f>VLOOKUP(E1637,Mapping!$E$11:$I$96,5,0)</f>
        <v>SCS</v>
      </c>
      <c r="Q1637" s="33">
        <v>175</v>
      </c>
      <c r="R1637" s="33" t="s">
        <v>2179</v>
      </c>
      <c r="S1637" s="33">
        <v>635001</v>
      </c>
      <c r="T1637" s="33" t="s">
        <v>1929</v>
      </c>
      <c r="U1637" s="34">
        <v>0.27971000000000001</v>
      </c>
      <c r="V1637" s="7"/>
      <c r="W1637" s="7" t="str">
        <f>VLOOKUP($Q1637,Mapping!$E$11:$I$96,3,0)</f>
        <v>Metering Capex</v>
      </c>
      <c r="X1637" s="7" t="str">
        <f>VLOOKUP($S1637,Mapping!$E$140:$K$2771,5,0)</f>
        <v>PNS MG</v>
      </c>
      <c r="Y1637" s="7" t="str">
        <f>VLOOKUP($S1637,Mapping!$E$140:$K$2771,7,0)</f>
        <v>ENDirect</v>
      </c>
      <c r="Z1637" s="7" t="str">
        <f>IFERROR(HLOOKUP(X1637,'Calc|Weightings'!$K$5:$M$5,1,0),"Excl")</f>
        <v>Excl</v>
      </c>
      <c r="AA1637" s="7" t="str">
        <f>VLOOKUP(Q1637,Mapping!$E$11:$I$96,5,0)</f>
        <v>Metering Services</v>
      </c>
      <c r="AC1637" s="111">
        <v>166</v>
      </c>
      <c r="AD1637" s="111" t="s">
        <v>2174</v>
      </c>
      <c r="AE1637" s="111">
        <v>613280</v>
      </c>
      <c r="AF1637" s="111" t="s">
        <v>1342</v>
      </c>
      <c r="AG1637" s="112">
        <v>34.420250000000003</v>
      </c>
      <c r="AI1637" s="7" t="str">
        <f>VLOOKUP($AC1637,Mapping!$E$11:$I$96,3,0)</f>
        <v>Augmentation</v>
      </c>
      <c r="AJ1637" s="7" t="str">
        <f>VLOOKUP($AE1637,Mapping!$E$140:$K$2771,5,0)</f>
        <v>Labour</v>
      </c>
      <c r="AK1637" s="7" t="str">
        <f>VLOOKUP($AE1637,Mapping!$E$140:$K$2771,7,0)</f>
        <v>ENDirect</v>
      </c>
      <c r="AL1637" s="7" t="str">
        <f>IFERROR(HLOOKUP(AJ1637,'Calc|Weightings'!$K$5:$M$5,1,0),"Excl")</f>
        <v>Labour</v>
      </c>
      <c r="AM1637" s="7" t="str">
        <f>VLOOKUP(AC1637,Mapping!$E$11:$I$96,5,0)</f>
        <v>SCS</v>
      </c>
      <c r="AO1637" s="134">
        <v>176</v>
      </c>
      <c r="AP1637" s="135" t="s">
        <v>2180</v>
      </c>
      <c r="AQ1637" s="135">
        <v>613440</v>
      </c>
      <c r="AR1637" s="135" t="s">
        <v>2103</v>
      </c>
      <c r="AS1637" s="136">
        <v>0.15162</v>
      </c>
      <c r="AU1637" s="7" t="str">
        <f>VLOOKUP($AO1637,Mapping!$E$11:$I$96,3,0)</f>
        <v>Metering Capex</v>
      </c>
      <c r="AV1637" s="7" t="str">
        <f>VLOOKUP($AQ1637,Mapping!$E$140:$K$2771,5,0)</f>
        <v>Labour</v>
      </c>
      <c r="AW1637" s="7" t="str">
        <f>VLOOKUP($AQ1637,Mapping!$E$140:$K$2771,7,0)</f>
        <v>ENDirect</v>
      </c>
      <c r="AX1637" s="7" t="str">
        <f>IFERROR(HLOOKUP(AV1637,'Calc|Weightings'!$K$5:$M$5,1,0),"Excl")</f>
        <v>Labour</v>
      </c>
      <c r="AY1637" s="7" t="str">
        <f>VLOOKUP(AO1637,Mapping!$E$11:$I$96,5,0)</f>
        <v>Metering Services</v>
      </c>
    </row>
    <row r="1638" spans="1:51" x14ac:dyDescent="0.2">
      <c r="A1638" s="7"/>
      <c r="B1638" s="7"/>
      <c r="C1638" s="7"/>
      <c r="D1638" s="7"/>
      <c r="E1638" s="36">
        <v>156</v>
      </c>
      <c r="F1638" s="36" t="s">
        <v>2165</v>
      </c>
      <c r="G1638" s="36">
        <v>613350</v>
      </c>
      <c r="H1638" s="36" t="s">
        <v>2096</v>
      </c>
      <c r="I1638" s="37">
        <v>69.303830000000005</v>
      </c>
      <c r="J1638" s="7"/>
      <c r="K1638" s="7" t="str">
        <f>VLOOKUP($E1638,Mapping!$E$11:$I$96,3,0)</f>
        <v>Replacement</v>
      </c>
      <c r="L1638" s="7" t="str">
        <f>VLOOKUP($G1638,Mapping!$E$140:$K$2771,5,0)</f>
        <v>Labour</v>
      </c>
      <c r="M1638" s="7" t="str">
        <f>VLOOKUP($G1638,Mapping!$E$140:$K$2771,7,0)</f>
        <v>ENDirect</v>
      </c>
      <c r="N1638" s="7" t="str">
        <f>IFERROR(HLOOKUP(L1638,'Calc|Weightings'!$K$5:$M$5,1,0),"Excl")</f>
        <v>Labour</v>
      </c>
      <c r="O1638" s="7" t="str">
        <f>VLOOKUP(E1638,Mapping!$E$11:$I$96,5,0)</f>
        <v>SCS</v>
      </c>
      <c r="Q1638" s="33">
        <v>175</v>
      </c>
      <c r="R1638" s="33" t="s">
        <v>2179</v>
      </c>
      <c r="S1638" s="33">
        <v>636001</v>
      </c>
      <c r="T1638" s="33" t="s">
        <v>2111</v>
      </c>
      <c r="U1638" s="34">
        <v>1.62235</v>
      </c>
      <c r="V1638" s="7"/>
      <c r="W1638" s="7" t="str">
        <f>VLOOKUP($Q1638,Mapping!$E$11:$I$96,3,0)</f>
        <v>Metering Capex</v>
      </c>
      <c r="X1638" s="7" t="str">
        <f>VLOOKUP($S1638,Mapping!$E$140:$K$2771,5,0)</f>
        <v>System Control OH</v>
      </c>
      <c r="Y1638" s="7" t="str">
        <f>VLOOKUP($S1638,Mapping!$E$140:$K$2771,7,0)</f>
        <v>OH</v>
      </c>
      <c r="Z1638" s="7" t="str">
        <f>IFERROR(HLOOKUP(X1638,'Calc|Weightings'!$K$5:$M$5,1,0),"Excl")</f>
        <v>Excl</v>
      </c>
      <c r="AA1638" s="7" t="str">
        <f>VLOOKUP(Q1638,Mapping!$E$11:$I$96,5,0)</f>
        <v>Metering Services</v>
      </c>
      <c r="AC1638" s="111">
        <v>166</v>
      </c>
      <c r="AD1638" s="111" t="s">
        <v>2174</v>
      </c>
      <c r="AE1638" s="111">
        <v>613290</v>
      </c>
      <c r="AF1638" s="111" t="s">
        <v>2093</v>
      </c>
      <c r="AG1638" s="112">
        <v>13.05963</v>
      </c>
      <c r="AI1638" s="7" t="str">
        <f>VLOOKUP($AC1638,Mapping!$E$11:$I$96,3,0)</f>
        <v>Augmentation</v>
      </c>
      <c r="AJ1638" s="7" t="str">
        <f>VLOOKUP($AE1638,Mapping!$E$140:$K$2771,5,0)</f>
        <v>Labour</v>
      </c>
      <c r="AK1638" s="7" t="str">
        <f>VLOOKUP($AE1638,Mapping!$E$140:$K$2771,7,0)</f>
        <v>ENDirect</v>
      </c>
      <c r="AL1638" s="7" t="str">
        <f>IFERROR(HLOOKUP(AJ1638,'Calc|Weightings'!$K$5:$M$5,1,0),"Excl")</f>
        <v>Labour</v>
      </c>
      <c r="AM1638" s="7" t="str">
        <f>VLOOKUP(AC1638,Mapping!$E$11:$I$96,5,0)</f>
        <v>SCS</v>
      </c>
      <c r="AO1638" s="134">
        <v>176</v>
      </c>
      <c r="AP1638" s="135" t="s">
        <v>2180</v>
      </c>
      <c r="AQ1638" s="135">
        <v>613566</v>
      </c>
      <c r="AR1638" s="135" t="s">
        <v>1482</v>
      </c>
      <c r="AS1638" s="136">
        <v>0.35033999999999998</v>
      </c>
      <c r="AU1638" s="7" t="str">
        <f>VLOOKUP($AO1638,Mapping!$E$11:$I$96,3,0)</f>
        <v>Metering Capex</v>
      </c>
      <c r="AV1638" s="7" t="str">
        <f>VLOOKUP($AQ1638,Mapping!$E$140:$K$2771,5,0)</f>
        <v>Labour</v>
      </c>
      <c r="AW1638" s="7" t="str">
        <f>VLOOKUP($AQ1638,Mapping!$E$140:$K$2771,7,0)</f>
        <v>ENDirect</v>
      </c>
      <c r="AX1638" s="7" t="str">
        <f>IFERROR(HLOOKUP(AV1638,'Calc|Weightings'!$K$5:$M$5,1,0),"Excl")</f>
        <v>Labour</v>
      </c>
      <c r="AY1638" s="7" t="str">
        <f>VLOOKUP(AO1638,Mapping!$E$11:$I$96,5,0)</f>
        <v>Metering Services</v>
      </c>
    </row>
    <row r="1639" spans="1:51" x14ac:dyDescent="0.2">
      <c r="A1639" s="7"/>
      <c r="B1639" s="7"/>
      <c r="C1639" s="7"/>
      <c r="D1639" s="7"/>
      <c r="E1639" s="36">
        <v>156</v>
      </c>
      <c r="F1639" s="36" t="s">
        <v>2165</v>
      </c>
      <c r="G1639" s="36">
        <v>613360</v>
      </c>
      <c r="H1639" s="36" t="s">
        <v>2097</v>
      </c>
      <c r="I1639" s="37">
        <v>21.781220000000001</v>
      </c>
      <c r="J1639" s="7"/>
      <c r="K1639" s="7" t="str">
        <f>VLOOKUP($E1639,Mapping!$E$11:$I$96,3,0)</f>
        <v>Replacement</v>
      </c>
      <c r="L1639" s="7" t="str">
        <f>VLOOKUP($G1639,Mapping!$E$140:$K$2771,5,0)</f>
        <v>Labour</v>
      </c>
      <c r="M1639" s="7" t="str">
        <f>VLOOKUP($G1639,Mapping!$E$140:$K$2771,7,0)</f>
        <v>ENDirect</v>
      </c>
      <c r="N1639" s="7" t="str">
        <f>IFERROR(HLOOKUP(L1639,'Calc|Weightings'!$K$5:$M$5,1,0),"Excl")</f>
        <v>Labour</v>
      </c>
      <c r="O1639" s="7" t="str">
        <f>VLOOKUP(E1639,Mapping!$E$11:$I$96,5,0)</f>
        <v>SCS</v>
      </c>
      <c r="Q1639" s="33">
        <v>175</v>
      </c>
      <c r="R1639" s="33" t="s">
        <v>2179</v>
      </c>
      <c r="S1639" s="33">
        <v>639000</v>
      </c>
      <c r="T1639" s="33" t="s">
        <v>2112</v>
      </c>
      <c r="U1639" s="34">
        <v>5.2775299999999996</v>
      </c>
      <c r="V1639" s="7"/>
      <c r="W1639" s="7" t="str">
        <f>VLOOKUP($Q1639,Mapping!$E$11:$I$96,3,0)</f>
        <v>Metering Capex</v>
      </c>
      <c r="X1639" s="7" t="str">
        <f>VLOOKUP($S1639,Mapping!$E$140:$K$2771,5,0)</f>
        <v>PNS Corporate OH</v>
      </c>
      <c r="Y1639" s="7" t="str">
        <f>VLOOKUP($S1639,Mapping!$E$140:$K$2771,7,0)</f>
        <v>OH</v>
      </c>
      <c r="Z1639" s="7" t="str">
        <f>IFERROR(HLOOKUP(X1639,'Calc|Weightings'!$K$5:$M$5,1,0),"Excl")</f>
        <v>Excl</v>
      </c>
      <c r="AA1639" s="7" t="str">
        <f>VLOOKUP(Q1639,Mapping!$E$11:$I$96,5,0)</f>
        <v>Metering Services</v>
      </c>
      <c r="AC1639" s="111">
        <v>166</v>
      </c>
      <c r="AD1639" s="111" t="s">
        <v>2174</v>
      </c>
      <c r="AE1639" s="111">
        <v>613310</v>
      </c>
      <c r="AF1639" s="111" t="s">
        <v>2095</v>
      </c>
      <c r="AG1639" s="112">
        <v>17.095199999999998</v>
      </c>
      <c r="AI1639" s="7" t="str">
        <f>VLOOKUP($AC1639,Mapping!$E$11:$I$96,3,0)</f>
        <v>Augmentation</v>
      </c>
      <c r="AJ1639" s="7" t="str">
        <f>VLOOKUP($AE1639,Mapping!$E$140:$K$2771,5,0)</f>
        <v>Labour</v>
      </c>
      <c r="AK1639" s="7" t="str">
        <f>VLOOKUP($AE1639,Mapping!$E$140:$K$2771,7,0)</f>
        <v>ENDirect</v>
      </c>
      <c r="AL1639" s="7" t="str">
        <f>IFERROR(HLOOKUP(AJ1639,'Calc|Weightings'!$K$5:$M$5,1,0),"Excl")</f>
        <v>Labour</v>
      </c>
      <c r="AM1639" s="7" t="str">
        <f>VLOOKUP(AC1639,Mapping!$E$11:$I$96,5,0)</f>
        <v>SCS</v>
      </c>
      <c r="AO1639" s="134">
        <v>176</v>
      </c>
      <c r="AP1639" s="135" t="s">
        <v>2180</v>
      </c>
      <c r="AQ1639" s="135">
        <v>634001</v>
      </c>
      <c r="AR1639" s="135" t="s">
        <v>2110</v>
      </c>
      <c r="AS1639" s="136">
        <v>6.0330399999999997</v>
      </c>
      <c r="AU1639" s="7" t="str">
        <f>VLOOKUP($AO1639,Mapping!$E$11:$I$96,3,0)</f>
        <v>Metering Capex</v>
      </c>
      <c r="AV1639" s="7" t="str">
        <f>VLOOKUP($AQ1639,Mapping!$E$140:$K$2771,5,0)</f>
        <v>Local OH</v>
      </c>
      <c r="AW1639" s="7" t="str">
        <f>VLOOKUP($AQ1639,Mapping!$E$140:$K$2771,7,0)</f>
        <v>OH</v>
      </c>
      <c r="AX1639" s="7" t="str">
        <f>IFERROR(HLOOKUP(AV1639,'Calc|Weightings'!$K$5:$M$5,1,0),"Excl")</f>
        <v>Excl</v>
      </c>
      <c r="AY1639" s="7" t="str">
        <f>VLOOKUP(AO1639,Mapping!$E$11:$I$96,5,0)</f>
        <v>Metering Services</v>
      </c>
    </row>
    <row r="1640" spans="1:51" x14ac:dyDescent="0.2">
      <c r="A1640" s="7"/>
      <c r="B1640" s="7"/>
      <c r="C1640" s="7"/>
      <c r="D1640" s="7"/>
      <c r="E1640" s="36">
        <v>156</v>
      </c>
      <c r="F1640" s="36" t="s">
        <v>2165</v>
      </c>
      <c r="G1640" s="36">
        <v>613370</v>
      </c>
      <c r="H1640" s="36" t="s">
        <v>1402</v>
      </c>
      <c r="I1640" s="37">
        <v>25.308129999999998</v>
      </c>
      <c r="J1640" s="7"/>
      <c r="K1640" s="7" t="str">
        <f>VLOOKUP($E1640,Mapping!$E$11:$I$96,3,0)</f>
        <v>Replacement</v>
      </c>
      <c r="L1640" s="7" t="str">
        <f>VLOOKUP($G1640,Mapping!$E$140:$K$2771,5,0)</f>
        <v>Labour</v>
      </c>
      <c r="M1640" s="7" t="str">
        <f>VLOOKUP($G1640,Mapping!$E$140:$K$2771,7,0)</f>
        <v>ENDirect</v>
      </c>
      <c r="N1640" s="7" t="str">
        <f>IFERROR(HLOOKUP(L1640,'Calc|Weightings'!$K$5:$M$5,1,0),"Excl")</f>
        <v>Labour</v>
      </c>
      <c r="O1640" s="7" t="str">
        <f>VLOOKUP(E1640,Mapping!$E$11:$I$96,5,0)</f>
        <v>SCS</v>
      </c>
      <c r="Q1640" s="33">
        <v>175</v>
      </c>
      <c r="R1640" s="33" t="s">
        <v>2179</v>
      </c>
      <c r="S1640" s="33">
        <v>639050</v>
      </c>
      <c r="T1640" s="33" t="s">
        <v>2113</v>
      </c>
      <c r="U1640" s="34">
        <v>0.41943999999999998</v>
      </c>
      <c r="V1640" s="7"/>
      <c r="W1640" s="7" t="str">
        <f>VLOOKUP($Q1640,Mapping!$E$11:$I$96,3,0)</f>
        <v>Metering Capex</v>
      </c>
      <c r="X1640" s="7" t="str">
        <f>VLOOKUP($S1640,Mapping!$E$140:$K$2771,5,0)</f>
        <v>PNS Fleet &amp; Property OH</v>
      </c>
      <c r="Y1640" s="7" t="str">
        <f>VLOOKUP($S1640,Mapping!$E$140:$K$2771,7,0)</f>
        <v>OH</v>
      </c>
      <c r="Z1640" s="7" t="str">
        <f>IFERROR(HLOOKUP(X1640,'Calc|Weightings'!$K$5:$M$5,1,0),"Excl")</f>
        <v>Excl</v>
      </c>
      <c r="AA1640" s="7" t="str">
        <f>VLOOKUP(Q1640,Mapping!$E$11:$I$96,5,0)</f>
        <v>Metering Services</v>
      </c>
      <c r="AC1640" s="111">
        <v>166</v>
      </c>
      <c r="AD1640" s="111" t="s">
        <v>2174</v>
      </c>
      <c r="AE1640" s="111">
        <v>613311</v>
      </c>
      <c r="AF1640" s="111" t="s">
        <v>2116</v>
      </c>
      <c r="AG1640" s="112">
        <v>1.6225099999999999</v>
      </c>
      <c r="AI1640" s="7" t="str">
        <f>VLOOKUP($AC1640,Mapping!$E$11:$I$96,3,0)</f>
        <v>Augmentation</v>
      </c>
      <c r="AJ1640" s="7" t="str">
        <f>VLOOKUP($AE1640,Mapping!$E$140:$K$2771,5,0)</f>
        <v>Labour</v>
      </c>
      <c r="AK1640" s="7" t="str">
        <f>VLOOKUP($AE1640,Mapping!$E$140:$K$2771,7,0)</f>
        <v>ENDirect</v>
      </c>
      <c r="AL1640" s="7" t="str">
        <f>IFERROR(HLOOKUP(AJ1640,'Calc|Weightings'!$K$5:$M$5,1,0),"Excl")</f>
        <v>Labour</v>
      </c>
      <c r="AM1640" s="7" t="str">
        <f>VLOOKUP(AC1640,Mapping!$E$11:$I$96,5,0)</f>
        <v>SCS</v>
      </c>
      <c r="AO1640" s="134">
        <v>176</v>
      </c>
      <c r="AP1640" s="135" t="s">
        <v>2180</v>
      </c>
      <c r="AQ1640" s="135">
        <v>635001</v>
      </c>
      <c r="AR1640" s="135" t="s">
        <v>1929</v>
      </c>
      <c r="AS1640" s="136">
        <v>1.6329800000000001</v>
      </c>
      <c r="AU1640" s="7" t="str">
        <f>VLOOKUP($AO1640,Mapping!$E$11:$I$96,3,0)</f>
        <v>Metering Capex</v>
      </c>
      <c r="AV1640" s="7" t="str">
        <f>VLOOKUP($AQ1640,Mapping!$E$140:$K$2771,5,0)</f>
        <v>PNS MG</v>
      </c>
      <c r="AW1640" s="7" t="str">
        <f>VLOOKUP($AQ1640,Mapping!$E$140:$K$2771,7,0)</f>
        <v>ENDirect</v>
      </c>
      <c r="AX1640" s="7" t="str">
        <f>IFERROR(HLOOKUP(AV1640,'Calc|Weightings'!$K$5:$M$5,1,0),"Excl")</f>
        <v>Excl</v>
      </c>
      <c r="AY1640" s="7" t="str">
        <f>VLOOKUP(AO1640,Mapping!$E$11:$I$96,5,0)</f>
        <v>Metering Services</v>
      </c>
    </row>
    <row r="1641" spans="1:51" x14ac:dyDescent="0.2">
      <c r="A1641" s="7"/>
      <c r="B1641" s="7"/>
      <c r="C1641" s="7"/>
      <c r="D1641" s="7"/>
      <c r="E1641" s="36">
        <v>156</v>
      </c>
      <c r="F1641" s="36" t="s">
        <v>2165</v>
      </c>
      <c r="G1641" s="36">
        <v>613371</v>
      </c>
      <c r="H1641" s="36" t="s">
        <v>1403</v>
      </c>
      <c r="I1641" s="37">
        <v>0.36431999999999998</v>
      </c>
      <c r="J1641" s="7"/>
      <c r="K1641" s="7" t="str">
        <f>VLOOKUP($E1641,Mapping!$E$11:$I$96,3,0)</f>
        <v>Replacement</v>
      </c>
      <c r="L1641" s="7" t="str">
        <f>VLOOKUP($G1641,Mapping!$E$140:$K$2771,5,0)</f>
        <v>Labour</v>
      </c>
      <c r="M1641" s="7" t="str">
        <f>VLOOKUP($G1641,Mapping!$E$140:$K$2771,7,0)</f>
        <v>ENDirect</v>
      </c>
      <c r="N1641" s="7" t="str">
        <f>IFERROR(HLOOKUP(L1641,'Calc|Weightings'!$K$5:$M$5,1,0),"Excl")</f>
        <v>Labour</v>
      </c>
      <c r="O1641" s="7" t="str">
        <f>VLOOKUP(E1641,Mapping!$E$11:$I$96,5,0)</f>
        <v>SCS</v>
      </c>
      <c r="Q1641" s="33">
        <v>176</v>
      </c>
      <c r="R1641" s="33" t="s">
        <v>2180</v>
      </c>
      <c r="S1641" s="33">
        <v>613928</v>
      </c>
      <c r="T1641" s="33" t="s">
        <v>1159</v>
      </c>
      <c r="U1641" s="34">
        <v>4.3647999999999998</v>
      </c>
      <c r="V1641" s="7"/>
      <c r="W1641" s="7" t="str">
        <f>VLOOKUP($Q1641,Mapping!$E$11:$I$96,3,0)</f>
        <v>Metering Capex</v>
      </c>
      <c r="X1641" s="7" t="str">
        <f>VLOOKUP($S1641,Mapping!$E$140:$K$2771,5,0)</f>
        <v>Labour</v>
      </c>
      <c r="Y1641" s="7" t="str">
        <f>VLOOKUP($S1641,Mapping!$E$140:$K$2771,7,0)</f>
        <v>ENDirect</v>
      </c>
      <c r="Z1641" s="7" t="str">
        <f>IFERROR(HLOOKUP(X1641,'Calc|Weightings'!$K$5:$M$5,1,0),"Excl")</f>
        <v>Labour</v>
      </c>
      <c r="AA1641" s="7" t="str">
        <f>VLOOKUP(Q1641,Mapping!$E$11:$I$96,5,0)</f>
        <v>Metering Services</v>
      </c>
      <c r="AC1641" s="111">
        <v>166</v>
      </c>
      <c r="AD1641" s="111" t="s">
        <v>2174</v>
      </c>
      <c r="AE1641" s="111">
        <v>613360</v>
      </c>
      <c r="AF1641" s="111" t="s">
        <v>2097</v>
      </c>
      <c r="AG1641" s="112">
        <v>5.0556599999999996</v>
      </c>
      <c r="AI1641" s="7" t="str">
        <f>VLOOKUP($AC1641,Mapping!$E$11:$I$96,3,0)</f>
        <v>Augmentation</v>
      </c>
      <c r="AJ1641" s="7" t="str">
        <f>VLOOKUP($AE1641,Mapping!$E$140:$K$2771,5,0)</f>
        <v>Labour</v>
      </c>
      <c r="AK1641" s="7" t="str">
        <f>VLOOKUP($AE1641,Mapping!$E$140:$K$2771,7,0)</f>
        <v>ENDirect</v>
      </c>
      <c r="AL1641" s="7" t="str">
        <f>IFERROR(HLOOKUP(AJ1641,'Calc|Weightings'!$K$5:$M$5,1,0),"Excl")</f>
        <v>Labour</v>
      </c>
      <c r="AM1641" s="7" t="str">
        <f>VLOOKUP(AC1641,Mapping!$E$11:$I$96,5,0)</f>
        <v>SCS</v>
      </c>
      <c r="AO1641" s="134">
        <v>176</v>
      </c>
      <c r="AP1641" s="135" t="s">
        <v>2180</v>
      </c>
      <c r="AQ1641" s="135">
        <v>636001</v>
      </c>
      <c r="AR1641" s="135" t="s">
        <v>2111</v>
      </c>
      <c r="AS1641" s="136">
        <v>4.6943900000000003</v>
      </c>
      <c r="AU1641" s="7" t="str">
        <f>VLOOKUP($AO1641,Mapping!$E$11:$I$96,3,0)</f>
        <v>Metering Capex</v>
      </c>
      <c r="AV1641" s="7" t="str">
        <f>VLOOKUP($AQ1641,Mapping!$E$140:$K$2771,5,0)</f>
        <v>System Control OH</v>
      </c>
      <c r="AW1641" s="7" t="str">
        <f>VLOOKUP($AQ1641,Mapping!$E$140:$K$2771,7,0)</f>
        <v>OH</v>
      </c>
      <c r="AX1641" s="7" t="str">
        <f>IFERROR(HLOOKUP(AV1641,'Calc|Weightings'!$K$5:$M$5,1,0),"Excl")</f>
        <v>Excl</v>
      </c>
      <c r="AY1641" s="7" t="str">
        <f>VLOOKUP(AO1641,Mapping!$E$11:$I$96,5,0)</f>
        <v>Metering Services</v>
      </c>
    </row>
    <row r="1642" spans="1:51" x14ac:dyDescent="0.2">
      <c r="A1642" s="7"/>
      <c r="B1642" s="7"/>
      <c r="C1642" s="7"/>
      <c r="D1642" s="7"/>
      <c r="E1642" s="36">
        <v>156</v>
      </c>
      <c r="F1642" s="36" t="s">
        <v>2165</v>
      </c>
      <c r="G1642" s="36">
        <v>613566</v>
      </c>
      <c r="H1642" s="36" t="s">
        <v>1482</v>
      </c>
      <c r="I1642" s="37">
        <v>7.3026</v>
      </c>
      <c r="J1642" s="7"/>
      <c r="K1642" s="7" t="str">
        <f>VLOOKUP($E1642,Mapping!$E$11:$I$96,3,0)</f>
        <v>Replacement</v>
      </c>
      <c r="L1642" s="7" t="str">
        <f>VLOOKUP($G1642,Mapping!$E$140:$K$2771,5,0)</f>
        <v>Labour</v>
      </c>
      <c r="M1642" s="7" t="str">
        <f>VLOOKUP($G1642,Mapping!$E$140:$K$2771,7,0)</f>
        <v>ENDirect</v>
      </c>
      <c r="N1642" s="7" t="str">
        <f>IFERROR(HLOOKUP(L1642,'Calc|Weightings'!$K$5:$M$5,1,0),"Excl")</f>
        <v>Labour</v>
      </c>
      <c r="O1642" s="7" t="str">
        <f>VLOOKUP(E1642,Mapping!$E$11:$I$96,5,0)</f>
        <v>SCS</v>
      </c>
      <c r="Q1642" s="33">
        <v>176</v>
      </c>
      <c r="R1642" s="33" t="s">
        <v>2180</v>
      </c>
      <c r="S1642" s="33">
        <v>613935</v>
      </c>
      <c r="T1642" s="33" t="s">
        <v>721</v>
      </c>
      <c r="U1642" s="34">
        <v>1.5236400000000001</v>
      </c>
      <c r="V1642" s="7"/>
      <c r="W1642" s="7" t="str">
        <f>VLOOKUP($Q1642,Mapping!$E$11:$I$96,3,0)</f>
        <v>Metering Capex</v>
      </c>
      <c r="X1642" s="7" t="str">
        <f>VLOOKUP($S1642,Mapping!$E$140:$K$2771,5,0)</f>
        <v>Labour</v>
      </c>
      <c r="Y1642" s="7" t="str">
        <f>VLOOKUP($S1642,Mapping!$E$140:$K$2771,7,0)</f>
        <v>ENDirect</v>
      </c>
      <c r="Z1642" s="7" t="str">
        <f>IFERROR(HLOOKUP(X1642,'Calc|Weightings'!$K$5:$M$5,1,0),"Excl")</f>
        <v>Labour</v>
      </c>
      <c r="AA1642" s="7" t="str">
        <f>VLOOKUP(Q1642,Mapping!$E$11:$I$96,5,0)</f>
        <v>Metering Services</v>
      </c>
      <c r="AC1642" s="111">
        <v>166</v>
      </c>
      <c r="AD1642" s="111" t="s">
        <v>2174</v>
      </c>
      <c r="AE1642" s="111">
        <v>613370</v>
      </c>
      <c r="AF1642" s="111" t="s">
        <v>1402</v>
      </c>
      <c r="AG1642" s="112">
        <v>0.91302000000000005</v>
      </c>
      <c r="AI1642" s="7" t="str">
        <f>VLOOKUP($AC1642,Mapping!$E$11:$I$96,3,0)</f>
        <v>Augmentation</v>
      </c>
      <c r="AJ1642" s="7" t="str">
        <f>VLOOKUP($AE1642,Mapping!$E$140:$K$2771,5,0)</f>
        <v>Labour</v>
      </c>
      <c r="AK1642" s="7" t="str">
        <f>VLOOKUP($AE1642,Mapping!$E$140:$K$2771,7,0)</f>
        <v>ENDirect</v>
      </c>
      <c r="AL1642" s="7" t="str">
        <f>IFERROR(HLOOKUP(AJ1642,'Calc|Weightings'!$K$5:$M$5,1,0),"Excl")</f>
        <v>Labour</v>
      </c>
      <c r="AM1642" s="7" t="str">
        <f>VLOOKUP(AC1642,Mapping!$E$11:$I$96,5,0)</f>
        <v>SCS</v>
      </c>
      <c r="AO1642" s="134">
        <v>176</v>
      </c>
      <c r="AP1642" s="135" t="s">
        <v>2180</v>
      </c>
      <c r="AQ1642" s="135">
        <v>639000</v>
      </c>
      <c r="AR1642" s="135" t="s">
        <v>2112</v>
      </c>
      <c r="AS1642" s="136">
        <v>4.3827999999999996</v>
      </c>
      <c r="AU1642" s="7" t="str">
        <f>VLOOKUP($AO1642,Mapping!$E$11:$I$96,3,0)</f>
        <v>Metering Capex</v>
      </c>
      <c r="AV1642" s="7" t="str">
        <f>VLOOKUP($AQ1642,Mapping!$E$140:$K$2771,5,0)</f>
        <v>PNS Corporate OH</v>
      </c>
      <c r="AW1642" s="7" t="str">
        <f>VLOOKUP($AQ1642,Mapping!$E$140:$K$2771,7,0)</f>
        <v>OH</v>
      </c>
      <c r="AX1642" s="7" t="str">
        <f>IFERROR(HLOOKUP(AV1642,'Calc|Weightings'!$K$5:$M$5,1,0),"Excl")</f>
        <v>Excl</v>
      </c>
      <c r="AY1642" s="7" t="str">
        <f>VLOOKUP(AO1642,Mapping!$E$11:$I$96,5,0)</f>
        <v>Metering Services</v>
      </c>
    </row>
    <row r="1643" spans="1:51" x14ac:dyDescent="0.2">
      <c r="A1643" s="7"/>
      <c r="B1643" s="7"/>
      <c r="C1643" s="7"/>
      <c r="D1643" s="7"/>
      <c r="E1643" s="36">
        <v>156</v>
      </c>
      <c r="F1643" s="36" t="s">
        <v>2165</v>
      </c>
      <c r="G1643" s="36">
        <v>613576</v>
      </c>
      <c r="H1643" s="36" t="s">
        <v>1490</v>
      </c>
      <c r="I1643" s="37">
        <v>6.5709499999999998</v>
      </c>
      <c r="J1643" s="7"/>
      <c r="K1643" s="7" t="str">
        <f>VLOOKUP($E1643,Mapping!$E$11:$I$96,3,0)</f>
        <v>Replacement</v>
      </c>
      <c r="L1643" s="7" t="str">
        <f>VLOOKUP($G1643,Mapping!$E$140:$K$2771,5,0)</f>
        <v>Labour</v>
      </c>
      <c r="M1643" s="7" t="str">
        <f>VLOOKUP($G1643,Mapping!$E$140:$K$2771,7,0)</f>
        <v>ENDirect</v>
      </c>
      <c r="N1643" s="7" t="str">
        <f>IFERROR(HLOOKUP(L1643,'Calc|Weightings'!$K$5:$M$5,1,0),"Excl")</f>
        <v>Labour</v>
      </c>
      <c r="O1643" s="7" t="str">
        <f>VLOOKUP(E1643,Mapping!$E$11:$I$96,5,0)</f>
        <v>SCS</v>
      </c>
      <c r="Q1643" s="33">
        <v>176</v>
      </c>
      <c r="R1643" s="33" t="s">
        <v>2180</v>
      </c>
      <c r="S1643" s="33">
        <v>613937</v>
      </c>
      <c r="T1643" s="33" t="s">
        <v>723</v>
      </c>
      <c r="U1643" s="34">
        <v>7.2370999999999999</v>
      </c>
      <c r="V1643" s="7"/>
      <c r="W1643" s="7" t="str">
        <f>VLOOKUP($Q1643,Mapping!$E$11:$I$96,3,0)</f>
        <v>Metering Capex</v>
      </c>
      <c r="X1643" s="7" t="str">
        <f>VLOOKUP($S1643,Mapping!$E$140:$K$2771,5,0)</f>
        <v>Labour</v>
      </c>
      <c r="Y1643" s="7" t="str">
        <f>VLOOKUP($S1643,Mapping!$E$140:$K$2771,7,0)</f>
        <v>ENDirect</v>
      </c>
      <c r="Z1643" s="7" t="str">
        <f>IFERROR(HLOOKUP(X1643,'Calc|Weightings'!$K$5:$M$5,1,0),"Excl")</f>
        <v>Labour</v>
      </c>
      <c r="AA1643" s="7" t="str">
        <f>VLOOKUP(Q1643,Mapping!$E$11:$I$96,5,0)</f>
        <v>Metering Services</v>
      </c>
      <c r="AC1643" s="111">
        <v>166</v>
      </c>
      <c r="AD1643" s="111" t="s">
        <v>2174</v>
      </c>
      <c r="AE1643" s="111">
        <v>613400</v>
      </c>
      <c r="AF1643" s="111" t="s">
        <v>2099</v>
      </c>
      <c r="AG1643" s="112">
        <v>1.06152</v>
      </c>
      <c r="AI1643" s="7" t="str">
        <f>VLOOKUP($AC1643,Mapping!$E$11:$I$96,3,0)</f>
        <v>Augmentation</v>
      </c>
      <c r="AJ1643" s="7" t="str">
        <f>VLOOKUP($AE1643,Mapping!$E$140:$K$2771,5,0)</f>
        <v>Labour</v>
      </c>
      <c r="AK1643" s="7" t="str">
        <f>VLOOKUP($AE1643,Mapping!$E$140:$K$2771,7,0)</f>
        <v>ENDirect</v>
      </c>
      <c r="AL1643" s="7" t="str">
        <f>IFERROR(HLOOKUP(AJ1643,'Calc|Weightings'!$K$5:$M$5,1,0),"Excl")</f>
        <v>Labour</v>
      </c>
      <c r="AM1643" s="7" t="str">
        <f>VLOOKUP(AC1643,Mapping!$E$11:$I$96,5,0)</f>
        <v>SCS</v>
      </c>
      <c r="AO1643" s="134">
        <v>176</v>
      </c>
      <c r="AP1643" s="135" t="s">
        <v>2180</v>
      </c>
      <c r="AQ1643" s="135">
        <v>639050</v>
      </c>
      <c r="AR1643" s="135" t="s">
        <v>2113</v>
      </c>
      <c r="AS1643" s="136">
        <v>0.62265000000000004</v>
      </c>
      <c r="AU1643" s="7" t="str">
        <f>VLOOKUP($AO1643,Mapping!$E$11:$I$96,3,0)</f>
        <v>Metering Capex</v>
      </c>
      <c r="AV1643" s="7" t="str">
        <f>VLOOKUP($AQ1643,Mapping!$E$140:$K$2771,5,0)</f>
        <v>PNS Fleet &amp; Property OH</v>
      </c>
      <c r="AW1643" s="7" t="str">
        <f>VLOOKUP($AQ1643,Mapping!$E$140:$K$2771,7,0)</f>
        <v>OH</v>
      </c>
      <c r="AX1643" s="7" t="str">
        <f>IFERROR(HLOOKUP(AV1643,'Calc|Weightings'!$K$5:$M$5,1,0),"Excl")</f>
        <v>Excl</v>
      </c>
      <c r="AY1643" s="7" t="str">
        <f>VLOOKUP(AO1643,Mapping!$E$11:$I$96,5,0)</f>
        <v>Metering Services</v>
      </c>
    </row>
    <row r="1644" spans="1:51" x14ac:dyDescent="0.2">
      <c r="A1644" s="7"/>
      <c r="B1644" s="7"/>
      <c r="C1644" s="7"/>
      <c r="D1644" s="7"/>
      <c r="E1644" s="36">
        <v>156</v>
      </c>
      <c r="F1644" s="36" t="s">
        <v>2165</v>
      </c>
      <c r="G1644" s="36">
        <v>613630</v>
      </c>
      <c r="H1644" s="36" t="s">
        <v>1498</v>
      </c>
      <c r="I1644" s="37">
        <v>0.95106000000000002</v>
      </c>
      <c r="J1644" s="7"/>
      <c r="K1644" s="7" t="str">
        <f>VLOOKUP($E1644,Mapping!$E$11:$I$96,3,0)</f>
        <v>Replacement</v>
      </c>
      <c r="L1644" s="7" t="str">
        <f>VLOOKUP($G1644,Mapping!$E$140:$K$2771,5,0)</f>
        <v>Labour</v>
      </c>
      <c r="M1644" s="7" t="str">
        <f>VLOOKUP($G1644,Mapping!$E$140:$K$2771,7,0)</f>
        <v>ENDirect</v>
      </c>
      <c r="N1644" s="7" t="str">
        <f>IFERROR(HLOOKUP(L1644,'Calc|Weightings'!$K$5:$M$5,1,0),"Excl")</f>
        <v>Labour</v>
      </c>
      <c r="O1644" s="7" t="str">
        <f>VLOOKUP(E1644,Mapping!$E$11:$I$96,5,0)</f>
        <v>SCS</v>
      </c>
      <c r="Q1644" s="33">
        <v>176</v>
      </c>
      <c r="R1644" s="33" t="s">
        <v>2180</v>
      </c>
      <c r="S1644" s="33">
        <v>613958</v>
      </c>
      <c r="T1644" s="33" t="s">
        <v>1644</v>
      </c>
      <c r="U1644" s="34">
        <v>41.530929999999998</v>
      </c>
      <c r="V1644" s="7"/>
      <c r="W1644" s="7" t="str">
        <f>VLOOKUP($Q1644,Mapping!$E$11:$I$96,3,0)</f>
        <v>Metering Capex</v>
      </c>
      <c r="X1644" s="7" t="str">
        <f>VLOOKUP($S1644,Mapping!$E$140:$K$2771,5,0)</f>
        <v>Labour</v>
      </c>
      <c r="Y1644" s="7" t="str">
        <f>VLOOKUP($S1644,Mapping!$E$140:$K$2771,7,0)</f>
        <v>ENDirect</v>
      </c>
      <c r="Z1644" s="7" t="str">
        <f>IFERROR(HLOOKUP(X1644,'Calc|Weightings'!$K$5:$M$5,1,0),"Excl")</f>
        <v>Labour</v>
      </c>
      <c r="AA1644" s="7" t="str">
        <f>VLOOKUP(Q1644,Mapping!$E$11:$I$96,5,0)</f>
        <v>Metering Services</v>
      </c>
      <c r="AC1644" s="111">
        <v>166</v>
      </c>
      <c r="AD1644" s="111" t="s">
        <v>2174</v>
      </c>
      <c r="AE1644" s="111">
        <v>613410</v>
      </c>
      <c r="AF1644" s="111" t="s">
        <v>2100</v>
      </c>
      <c r="AG1644" s="112">
        <v>5.9151999999999996</v>
      </c>
      <c r="AI1644" s="7" t="str">
        <f>VLOOKUP($AC1644,Mapping!$E$11:$I$96,3,0)</f>
        <v>Augmentation</v>
      </c>
      <c r="AJ1644" s="7" t="str">
        <f>VLOOKUP($AE1644,Mapping!$E$140:$K$2771,5,0)</f>
        <v>Labour</v>
      </c>
      <c r="AK1644" s="7" t="str">
        <f>VLOOKUP($AE1644,Mapping!$E$140:$K$2771,7,0)</f>
        <v>ENDirect</v>
      </c>
      <c r="AL1644" s="7" t="str">
        <f>IFERROR(HLOOKUP(AJ1644,'Calc|Weightings'!$K$5:$M$5,1,0),"Excl")</f>
        <v>Labour</v>
      </c>
      <c r="AM1644" s="7" t="str">
        <f>VLOOKUP(AC1644,Mapping!$E$11:$I$96,5,0)</f>
        <v>SCS</v>
      </c>
      <c r="AO1644" s="134">
        <v>177</v>
      </c>
      <c r="AP1644" s="135" t="s">
        <v>2387</v>
      </c>
      <c r="AQ1644" s="135">
        <v>503193</v>
      </c>
      <c r="AR1644" s="135" t="s">
        <v>161</v>
      </c>
      <c r="AS1644" s="136">
        <v>1.25525</v>
      </c>
      <c r="AU1644" s="7" t="str">
        <f>VLOOKUP($AO1644,Mapping!$E$11:$I$96,3,0)</f>
        <v>Augmentation</v>
      </c>
      <c r="AV1644" s="7" t="str">
        <f>VLOOKUP($AQ1644,Mapping!$E$140:$K$2771,5,0)</f>
        <v>Contracts</v>
      </c>
      <c r="AW1644" s="7" t="str">
        <f>VLOOKUP($AQ1644,Mapping!$E$140:$K$2771,7,0)</f>
        <v>ENDirect</v>
      </c>
      <c r="AX1644" s="7" t="str">
        <f>IFERROR(HLOOKUP(AV1644,'Calc|Weightings'!$K$5:$M$5,1,0),"Excl")</f>
        <v>Contracts</v>
      </c>
      <c r="AY1644" s="7" t="str">
        <f>VLOOKUP(AO1644,Mapping!$E$11:$I$96,5,0)</f>
        <v>SCS</v>
      </c>
    </row>
    <row r="1645" spans="1:51" x14ac:dyDescent="0.2">
      <c r="A1645" s="7"/>
      <c r="B1645" s="7"/>
      <c r="C1645" s="7"/>
      <c r="D1645" s="7"/>
      <c r="E1645" s="36">
        <v>156</v>
      </c>
      <c r="F1645" s="36" t="s">
        <v>2165</v>
      </c>
      <c r="G1645" s="36">
        <v>613680</v>
      </c>
      <c r="H1645" s="36" t="s">
        <v>2107</v>
      </c>
      <c r="I1645" s="37">
        <v>287.12612000000001</v>
      </c>
      <c r="J1645" s="7"/>
      <c r="K1645" s="7" t="str">
        <f>VLOOKUP($E1645,Mapping!$E$11:$I$96,3,0)</f>
        <v>Replacement</v>
      </c>
      <c r="L1645" s="7" t="str">
        <f>VLOOKUP($G1645,Mapping!$E$140:$K$2771,5,0)</f>
        <v>Labour</v>
      </c>
      <c r="M1645" s="7" t="str">
        <f>VLOOKUP($G1645,Mapping!$E$140:$K$2771,7,0)</f>
        <v>ENDirect</v>
      </c>
      <c r="N1645" s="7" t="str">
        <f>IFERROR(HLOOKUP(L1645,'Calc|Weightings'!$K$5:$M$5,1,0),"Excl")</f>
        <v>Labour</v>
      </c>
      <c r="O1645" s="7" t="str">
        <f>VLOOKUP(E1645,Mapping!$E$11:$I$96,5,0)</f>
        <v>SCS</v>
      </c>
      <c r="Q1645" s="33">
        <v>176</v>
      </c>
      <c r="R1645" s="33" t="s">
        <v>2180</v>
      </c>
      <c r="S1645" s="33">
        <v>634001</v>
      </c>
      <c r="T1645" s="33" t="s">
        <v>2110</v>
      </c>
      <c r="U1645" s="34">
        <v>4.1865300000000003</v>
      </c>
      <c r="V1645" s="7"/>
      <c r="W1645" s="7" t="str">
        <f>VLOOKUP($Q1645,Mapping!$E$11:$I$96,3,0)</f>
        <v>Metering Capex</v>
      </c>
      <c r="X1645" s="7" t="str">
        <f>VLOOKUP($S1645,Mapping!$E$140:$K$2771,5,0)</f>
        <v>Local OH</v>
      </c>
      <c r="Y1645" s="7" t="str">
        <f>VLOOKUP($S1645,Mapping!$E$140:$K$2771,7,0)</f>
        <v>OH</v>
      </c>
      <c r="Z1645" s="7" t="str">
        <f>IFERROR(HLOOKUP(X1645,'Calc|Weightings'!$K$5:$M$5,1,0),"Excl")</f>
        <v>Excl</v>
      </c>
      <c r="AA1645" s="7" t="str">
        <f>VLOOKUP(Q1645,Mapping!$E$11:$I$96,5,0)</f>
        <v>Metering Services</v>
      </c>
      <c r="AC1645" s="111">
        <v>166</v>
      </c>
      <c r="AD1645" s="111" t="s">
        <v>2174</v>
      </c>
      <c r="AE1645" s="111">
        <v>613440</v>
      </c>
      <c r="AF1645" s="111" t="s">
        <v>2103</v>
      </c>
      <c r="AG1645" s="112">
        <v>0.35544999999999999</v>
      </c>
      <c r="AI1645" s="7" t="str">
        <f>VLOOKUP($AC1645,Mapping!$E$11:$I$96,3,0)</f>
        <v>Augmentation</v>
      </c>
      <c r="AJ1645" s="7" t="str">
        <f>VLOOKUP($AE1645,Mapping!$E$140:$K$2771,5,0)</f>
        <v>Labour</v>
      </c>
      <c r="AK1645" s="7" t="str">
        <f>VLOOKUP($AE1645,Mapping!$E$140:$K$2771,7,0)</f>
        <v>ENDirect</v>
      </c>
      <c r="AL1645" s="7" t="str">
        <f>IFERROR(HLOOKUP(AJ1645,'Calc|Weightings'!$K$5:$M$5,1,0),"Excl")</f>
        <v>Labour</v>
      </c>
      <c r="AM1645" s="7" t="str">
        <f>VLOOKUP(AC1645,Mapping!$E$11:$I$96,5,0)</f>
        <v>SCS</v>
      </c>
      <c r="AO1645" s="134">
        <v>177</v>
      </c>
      <c r="AP1645" s="135" t="s">
        <v>2387</v>
      </c>
      <c r="AQ1645" s="135">
        <v>503194</v>
      </c>
      <c r="AR1645" s="135" t="s">
        <v>162</v>
      </c>
      <c r="AS1645" s="136">
        <v>3.5340000000000003E-2</v>
      </c>
      <c r="AU1645" s="7" t="str">
        <f>VLOOKUP($AO1645,Mapping!$E$11:$I$96,3,0)</f>
        <v>Augmentation</v>
      </c>
      <c r="AV1645" s="7" t="str">
        <f>VLOOKUP($AQ1645,Mapping!$E$140:$K$2771,5,0)</f>
        <v>Contracts</v>
      </c>
      <c r="AW1645" s="7" t="str">
        <f>VLOOKUP($AQ1645,Mapping!$E$140:$K$2771,7,0)</f>
        <v>ENDirect</v>
      </c>
      <c r="AX1645" s="7" t="str">
        <f>IFERROR(HLOOKUP(AV1645,'Calc|Weightings'!$K$5:$M$5,1,0),"Excl")</f>
        <v>Contracts</v>
      </c>
      <c r="AY1645" s="7" t="str">
        <f>VLOOKUP(AO1645,Mapping!$E$11:$I$96,5,0)</f>
        <v>SCS</v>
      </c>
    </row>
    <row r="1646" spans="1:51" x14ac:dyDescent="0.2">
      <c r="A1646" s="7"/>
      <c r="B1646" s="7"/>
      <c r="C1646" s="7"/>
      <c r="D1646" s="7"/>
      <c r="E1646" s="36">
        <v>156</v>
      </c>
      <c r="F1646" s="36" t="s">
        <v>2165</v>
      </c>
      <c r="G1646" s="36">
        <v>613681</v>
      </c>
      <c r="H1646" s="36" t="s">
        <v>2108</v>
      </c>
      <c r="I1646" s="37">
        <v>6.0803900000000004</v>
      </c>
      <c r="J1646" s="7"/>
      <c r="K1646" s="7" t="str">
        <f>VLOOKUP($E1646,Mapping!$E$11:$I$96,3,0)</f>
        <v>Replacement</v>
      </c>
      <c r="L1646" s="7" t="str">
        <f>VLOOKUP($G1646,Mapping!$E$140:$K$2771,5,0)</f>
        <v>Labour</v>
      </c>
      <c r="M1646" s="7" t="str">
        <f>VLOOKUP($G1646,Mapping!$E$140:$K$2771,7,0)</f>
        <v>ENDirect</v>
      </c>
      <c r="N1646" s="7" t="str">
        <f>IFERROR(HLOOKUP(L1646,'Calc|Weightings'!$K$5:$M$5,1,0),"Excl")</f>
        <v>Labour</v>
      </c>
      <c r="O1646" s="7" t="str">
        <f>VLOOKUP(E1646,Mapping!$E$11:$I$96,5,0)</f>
        <v>SCS</v>
      </c>
      <c r="Q1646" s="33">
        <v>176</v>
      </c>
      <c r="R1646" s="33" t="s">
        <v>2180</v>
      </c>
      <c r="S1646" s="33">
        <v>635001</v>
      </c>
      <c r="T1646" s="33" t="s">
        <v>1929</v>
      </c>
      <c r="U1646" s="34">
        <v>3.0836399999999999</v>
      </c>
      <c r="V1646" s="7"/>
      <c r="W1646" s="7" t="str">
        <f>VLOOKUP($Q1646,Mapping!$E$11:$I$96,3,0)</f>
        <v>Metering Capex</v>
      </c>
      <c r="X1646" s="7" t="str">
        <f>VLOOKUP($S1646,Mapping!$E$140:$K$2771,5,0)</f>
        <v>PNS MG</v>
      </c>
      <c r="Y1646" s="7" t="str">
        <f>VLOOKUP($S1646,Mapping!$E$140:$K$2771,7,0)</f>
        <v>ENDirect</v>
      </c>
      <c r="Z1646" s="7" t="str">
        <f>IFERROR(HLOOKUP(X1646,'Calc|Weightings'!$K$5:$M$5,1,0),"Excl")</f>
        <v>Excl</v>
      </c>
      <c r="AA1646" s="7" t="str">
        <f>VLOOKUP(Q1646,Mapping!$E$11:$I$96,5,0)</f>
        <v>Metering Services</v>
      </c>
      <c r="AC1646" s="111">
        <v>166</v>
      </c>
      <c r="AD1646" s="111" t="s">
        <v>2174</v>
      </c>
      <c r="AE1646" s="111">
        <v>613441</v>
      </c>
      <c r="AF1646" s="111" t="s">
        <v>2104</v>
      </c>
      <c r="AG1646" s="112">
        <v>7.109E-2</v>
      </c>
      <c r="AI1646" s="7" t="str">
        <f>VLOOKUP($AC1646,Mapping!$E$11:$I$96,3,0)</f>
        <v>Augmentation</v>
      </c>
      <c r="AJ1646" s="7" t="str">
        <f>VLOOKUP($AE1646,Mapping!$E$140:$K$2771,5,0)</f>
        <v>Labour</v>
      </c>
      <c r="AK1646" s="7" t="str">
        <f>VLOOKUP($AE1646,Mapping!$E$140:$K$2771,7,0)</f>
        <v>ENDirect</v>
      </c>
      <c r="AL1646" s="7" t="str">
        <f>IFERROR(HLOOKUP(AJ1646,'Calc|Weightings'!$K$5:$M$5,1,0),"Excl")</f>
        <v>Labour</v>
      </c>
      <c r="AM1646" s="7" t="str">
        <f>VLOOKUP(AC1646,Mapping!$E$11:$I$96,5,0)</f>
        <v>SCS</v>
      </c>
      <c r="AO1646" s="134">
        <v>177</v>
      </c>
      <c r="AP1646" s="135" t="s">
        <v>2387</v>
      </c>
      <c r="AQ1646" s="135">
        <v>503197</v>
      </c>
      <c r="AR1646" s="135" t="s">
        <v>163</v>
      </c>
      <c r="AS1646" s="136">
        <v>0.14244999999999999</v>
      </c>
      <c r="AU1646" s="7" t="str">
        <f>VLOOKUP($AO1646,Mapping!$E$11:$I$96,3,0)</f>
        <v>Augmentation</v>
      </c>
      <c r="AV1646" s="7" t="str">
        <f>VLOOKUP($AQ1646,Mapping!$E$140:$K$2771,5,0)</f>
        <v>Contracts</v>
      </c>
      <c r="AW1646" s="7" t="str">
        <f>VLOOKUP($AQ1646,Mapping!$E$140:$K$2771,7,0)</f>
        <v>ENDirect</v>
      </c>
      <c r="AX1646" s="7" t="str">
        <f>IFERROR(HLOOKUP(AV1646,'Calc|Weightings'!$K$5:$M$5,1,0),"Excl")</f>
        <v>Contracts</v>
      </c>
      <c r="AY1646" s="7" t="str">
        <f>VLOOKUP(AO1646,Mapping!$E$11:$I$96,5,0)</f>
        <v>SCS</v>
      </c>
    </row>
    <row r="1647" spans="1:51" x14ac:dyDescent="0.2">
      <c r="A1647" s="7"/>
      <c r="B1647" s="7"/>
      <c r="C1647" s="7"/>
      <c r="D1647" s="7"/>
      <c r="E1647" s="36">
        <v>156</v>
      </c>
      <c r="F1647" s="36" t="s">
        <v>2165</v>
      </c>
      <c r="G1647" s="36">
        <v>615375</v>
      </c>
      <c r="H1647" s="36" t="s">
        <v>1717</v>
      </c>
      <c r="I1647" s="37">
        <v>36.72</v>
      </c>
      <c r="J1647" s="7"/>
      <c r="K1647" s="7" t="str">
        <f>VLOOKUP($E1647,Mapping!$E$11:$I$96,3,0)</f>
        <v>Replacement</v>
      </c>
      <c r="L1647" s="7" t="str">
        <f>VLOOKUP($G1647,Mapping!$E$140:$K$2771,5,0)</f>
        <v>Labour</v>
      </c>
      <c r="M1647" s="7" t="str">
        <f>VLOOKUP($G1647,Mapping!$E$140:$K$2771,7,0)</f>
        <v>ENDirect</v>
      </c>
      <c r="N1647" s="7" t="str">
        <f>IFERROR(HLOOKUP(L1647,'Calc|Weightings'!$K$5:$M$5,1,0),"Excl")</f>
        <v>Labour</v>
      </c>
      <c r="O1647" s="7" t="str">
        <f>VLOOKUP(E1647,Mapping!$E$11:$I$96,5,0)</f>
        <v>SCS</v>
      </c>
      <c r="Q1647" s="33">
        <v>176</v>
      </c>
      <c r="R1647" s="33" t="s">
        <v>2180</v>
      </c>
      <c r="S1647" s="33">
        <v>636001</v>
      </c>
      <c r="T1647" s="33" t="s">
        <v>2111</v>
      </c>
      <c r="U1647" s="34">
        <v>1.1643600000000001</v>
      </c>
      <c r="V1647" s="7"/>
      <c r="W1647" s="7" t="str">
        <f>VLOOKUP($Q1647,Mapping!$E$11:$I$96,3,0)</f>
        <v>Metering Capex</v>
      </c>
      <c r="X1647" s="7" t="str">
        <f>VLOOKUP($S1647,Mapping!$E$140:$K$2771,5,0)</f>
        <v>System Control OH</v>
      </c>
      <c r="Y1647" s="7" t="str">
        <f>VLOOKUP($S1647,Mapping!$E$140:$K$2771,7,0)</f>
        <v>OH</v>
      </c>
      <c r="Z1647" s="7" t="str">
        <f>IFERROR(HLOOKUP(X1647,'Calc|Weightings'!$K$5:$M$5,1,0),"Excl")</f>
        <v>Excl</v>
      </c>
      <c r="AA1647" s="7" t="str">
        <f>VLOOKUP(Q1647,Mapping!$E$11:$I$96,5,0)</f>
        <v>Metering Services</v>
      </c>
      <c r="AC1647" s="111">
        <v>166</v>
      </c>
      <c r="AD1647" s="111" t="s">
        <v>2174</v>
      </c>
      <c r="AE1647" s="111">
        <v>613566</v>
      </c>
      <c r="AF1647" s="111" t="s">
        <v>1482</v>
      </c>
      <c r="AG1647" s="112">
        <v>5.2013499999999997</v>
      </c>
      <c r="AI1647" s="7" t="str">
        <f>VLOOKUP($AC1647,Mapping!$E$11:$I$96,3,0)</f>
        <v>Augmentation</v>
      </c>
      <c r="AJ1647" s="7" t="str">
        <f>VLOOKUP($AE1647,Mapping!$E$140:$K$2771,5,0)</f>
        <v>Labour</v>
      </c>
      <c r="AK1647" s="7" t="str">
        <f>VLOOKUP($AE1647,Mapping!$E$140:$K$2771,7,0)</f>
        <v>ENDirect</v>
      </c>
      <c r="AL1647" s="7" t="str">
        <f>IFERROR(HLOOKUP(AJ1647,'Calc|Weightings'!$K$5:$M$5,1,0),"Excl")</f>
        <v>Labour</v>
      </c>
      <c r="AM1647" s="7" t="str">
        <f>VLOOKUP(AC1647,Mapping!$E$11:$I$96,5,0)</f>
        <v>SCS</v>
      </c>
      <c r="AO1647" s="134">
        <v>177</v>
      </c>
      <c r="AP1647" s="135" t="s">
        <v>2387</v>
      </c>
      <c r="AQ1647" s="135">
        <v>503210</v>
      </c>
      <c r="AR1647" s="135" t="s">
        <v>166</v>
      </c>
      <c r="AS1647" s="136">
        <v>8.4382800000000007</v>
      </c>
      <c r="AU1647" s="7" t="str">
        <f>VLOOKUP($AO1647,Mapping!$E$11:$I$96,3,0)</f>
        <v>Augmentation</v>
      </c>
      <c r="AV1647" s="7" t="str">
        <f>VLOOKUP($AQ1647,Mapping!$E$140:$K$2771,5,0)</f>
        <v>Contracts</v>
      </c>
      <c r="AW1647" s="7" t="str">
        <f>VLOOKUP($AQ1647,Mapping!$E$140:$K$2771,7,0)</f>
        <v>ENDirect</v>
      </c>
      <c r="AX1647" s="7" t="str">
        <f>IFERROR(HLOOKUP(AV1647,'Calc|Weightings'!$K$5:$M$5,1,0),"Excl")</f>
        <v>Contracts</v>
      </c>
      <c r="AY1647" s="7" t="str">
        <f>VLOOKUP(AO1647,Mapping!$E$11:$I$96,5,0)</f>
        <v>SCS</v>
      </c>
    </row>
    <row r="1648" spans="1:51" x14ac:dyDescent="0.2">
      <c r="A1648" s="7"/>
      <c r="B1648" s="7"/>
      <c r="C1648" s="7"/>
      <c r="D1648" s="7"/>
      <c r="E1648" s="36">
        <v>156</v>
      </c>
      <c r="F1648" s="36" t="s">
        <v>2165</v>
      </c>
      <c r="G1648" s="36">
        <v>615395</v>
      </c>
      <c r="H1648" s="36" t="s">
        <v>2196</v>
      </c>
      <c r="I1648" s="37">
        <v>9.7631999999999994</v>
      </c>
      <c r="J1648" s="7"/>
      <c r="K1648" s="7" t="str">
        <f>VLOOKUP($E1648,Mapping!$E$11:$I$96,3,0)</f>
        <v>Replacement</v>
      </c>
      <c r="L1648" s="7" t="str">
        <f>VLOOKUP($G1648,Mapping!$E$140:$K$2771,5,0)</f>
        <v>Labour</v>
      </c>
      <c r="M1648" s="7" t="str">
        <f>VLOOKUP($G1648,Mapping!$E$140:$K$2771,7,0)</f>
        <v>ENDirect</v>
      </c>
      <c r="N1648" s="7" t="str">
        <f>IFERROR(HLOOKUP(L1648,'Calc|Weightings'!$K$5:$M$5,1,0),"Excl")</f>
        <v>Labour</v>
      </c>
      <c r="O1648" s="7" t="str">
        <f>VLOOKUP(E1648,Mapping!$E$11:$I$96,5,0)</f>
        <v>SCS</v>
      </c>
      <c r="Q1648" s="33">
        <v>176</v>
      </c>
      <c r="R1648" s="33" t="s">
        <v>2180</v>
      </c>
      <c r="S1648" s="33">
        <v>639000</v>
      </c>
      <c r="T1648" s="33" t="s">
        <v>2112</v>
      </c>
      <c r="U1648" s="34">
        <v>3.5254400000000001</v>
      </c>
      <c r="V1648" s="7"/>
      <c r="W1648" s="7" t="str">
        <f>VLOOKUP($Q1648,Mapping!$E$11:$I$96,3,0)</f>
        <v>Metering Capex</v>
      </c>
      <c r="X1648" s="7" t="str">
        <f>VLOOKUP($S1648,Mapping!$E$140:$K$2771,5,0)</f>
        <v>PNS Corporate OH</v>
      </c>
      <c r="Y1648" s="7" t="str">
        <f>VLOOKUP($S1648,Mapping!$E$140:$K$2771,7,0)</f>
        <v>OH</v>
      </c>
      <c r="Z1648" s="7" t="str">
        <f>IFERROR(HLOOKUP(X1648,'Calc|Weightings'!$K$5:$M$5,1,0),"Excl")</f>
        <v>Excl</v>
      </c>
      <c r="AA1648" s="7" t="str">
        <f>VLOOKUP(Q1648,Mapping!$E$11:$I$96,5,0)</f>
        <v>Metering Services</v>
      </c>
      <c r="AC1648" s="111">
        <v>166</v>
      </c>
      <c r="AD1648" s="111" t="s">
        <v>2174</v>
      </c>
      <c r="AE1648" s="111">
        <v>613567</v>
      </c>
      <c r="AF1648" s="111" t="s">
        <v>1483</v>
      </c>
      <c r="AG1648" s="112">
        <v>0.4536</v>
      </c>
      <c r="AI1648" s="7" t="str">
        <f>VLOOKUP($AC1648,Mapping!$E$11:$I$96,3,0)</f>
        <v>Augmentation</v>
      </c>
      <c r="AJ1648" s="7" t="str">
        <f>VLOOKUP($AE1648,Mapping!$E$140:$K$2771,5,0)</f>
        <v>Labour</v>
      </c>
      <c r="AK1648" s="7" t="str">
        <f>VLOOKUP($AE1648,Mapping!$E$140:$K$2771,7,0)</f>
        <v>ENDirect</v>
      </c>
      <c r="AL1648" s="7" t="str">
        <f>IFERROR(HLOOKUP(AJ1648,'Calc|Weightings'!$K$5:$M$5,1,0),"Excl")</f>
        <v>Labour</v>
      </c>
      <c r="AM1648" s="7" t="str">
        <f>VLOOKUP(AC1648,Mapping!$E$11:$I$96,5,0)</f>
        <v>SCS</v>
      </c>
      <c r="AO1648" s="134">
        <v>177</v>
      </c>
      <c r="AP1648" s="135" t="s">
        <v>2387</v>
      </c>
      <c r="AQ1648" s="135">
        <v>503240</v>
      </c>
      <c r="AR1648" s="135" t="s">
        <v>169</v>
      </c>
      <c r="AS1648" s="136">
        <v>1.6289999999999999E-2</v>
      </c>
      <c r="AU1648" s="7" t="str">
        <f>VLOOKUP($AO1648,Mapping!$E$11:$I$96,3,0)</f>
        <v>Augmentation</v>
      </c>
      <c r="AV1648" s="7" t="str">
        <f>VLOOKUP($AQ1648,Mapping!$E$140:$K$2771,5,0)</f>
        <v>Contracts</v>
      </c>
      <c r="AW1648" s="7" t="str">
        <f>VLOOKUP($AQ1648,Mapping!$E$140:$K$2771,7,0)</f>
        <v>ENDirect</v>
      </c>
      <c r="AX1648" s="7" t="str">
        <f>IFERROR(HLOOKUP(AV1648,'Calc|Weightings'!$K$5:$M$5,1,0),"Excl")</f>
        <v>Contracts</v>
      </c>
      <c r="AY1648" s="7" t="str">
        <f>VLOOKUP(AO1648,Mapping!$E$11:$I$96,5,0)</f>
        <v>SCS</v>
      </c>
    </row>
    <row r="1649" spans="1:51" x14ac:dyDescent="0.2">
      <c r="A1649" s="7"/>
      <c r="B1649" s="7"/>
      <c r="C1649" s="7"/>
      <c r="D1649" s="7"/>
      <c r="E1649" s="36">
        <v>156</v>
      </c>
      <c r="F1649" s="36" t="s">
        <v>2165</v>
      </c>
      <c r="G1649" s="36">
        <v>633000</v>
      </c>
      <c r="H1649" s="36" t="s">
        <v>2202</v>
      </c>
      <c r="I1649" s="37">
        <v>234.92529999999999</v>
      </c>
      <c r="J1649" s="7"/>
      <c r="K1649" s="7" t="str">
        <f>VLOOKUP($E1649,Mapping!$E$11:$I$96,3,0)</f>
        <v>Replacement</v>
      </c>
      <c r="L1649" s="7" t="str">
        <f>VLOOKUP($G1649,Mapping!$E$140:$K$2771,5,0)</f>
        <v>Contracts</v>
      </c>
      <c r="M1649" s="7" t="str">
        <f>VLOOKUP($G1649,Mapping!$E$140:$K$2771,7,0)</f>
        <v>OH</v>
      </c>
      <c r="N1649" s="7" t="str">
        <f>IFERROR(HLOOKUP(L1649,'Calc|Weightings'!$K$5:$M$5,1,0),"Excl")</f>
        <v>Contracts</v>
      </c>
      <c r="O1649" s="7" t="str">
        <f>VLOOKUP(E1649,Mapping!$E$11:$I$96,5,0)</f>
        <v>SCS</v>
      </c>
      <c r="Q1649" s="33">
        <v>176</v>
      </c>
      <c r="R1649" s="33" t="s">
        <v>2180</v>
      </c>
      <c r="S1649" s="33">
        <v>639050</v>
      </c>
      <c r="T1649" s="33" t="s">
        <v>2113</v>
      </c>
      <c r="U1649" s="34">
        <v>0.50078999999999996</v>
      </c>
      <c r="V1649" s="7"/>
      <c r="W1649" s="7" t="str">
        <f>VLOOKUP($Q1649,Mapping!$E$11:$I$96,3,0)</f>
        <v>Metering Capex</v>
      </c>
      <c r="X1649" s="7" t="str">
        <f>VLOOKUP($S1649,Mapping!$E$140:$K$2771,5,0)</f>
        <v>PNS Fleet &amp; Property OH</v>
      </c>
      <c r="Y1649" s="7" t="str">
        <f>VLOOKUP($S1649,Mapping!$E$140:$K$2771,7,0)</f>
        <v>OH</v>
      </c>
      <c r="Z1649" s="7" t="str">
        <f>IFERROR(HLOOKUP(X1649,'Calc|Weightings'!$K$5:$M$5,1,0),"Excl")</f>
        <v>Excl</v>
      </c>
      <c r="AA1649" s="7" t="str">
        <f>VLOOKUP(Q1649,Mapping!$E$11:$I$96,5,0)</f>
        <v>Metering Services</v>
      </c>
      <c r="AC1649" s="111">
        <v>166</v>
      </c>
      <c r="AD1649" s="111" t="s">
        <v>2174</v>
      </c>
      <c r="AE1649" s="111">
        <v>613576</v>
      </c>
      <c r="AF1649" s="111" t="s">
        <v>1490</v>
      </c>
      <c r="AG1649" s="112">
        <v>6.35168</v>
      </c>
      <c r="AI1649" s="7" t="str">
        <f>VLOOKUP($AC1649,Mapping!$E$11:$I$96,3,0)</f>
        <v>Augmentation</v>
      </c>
      <c r="AJ1649" s="7" t="str">
        <f>VLOOKUP($AE1649,Mapping!$E$140:$K$2771,5,0)</f>
        <v>Labour</v>
      </c>
      <c r="AK1649" s="7" t="str">
        <f>VLOOKUP($AE1649,Mapping!$E$140:$K$2771,7,0)</f>
        <v>ENDirect</v>
      </c>
      <c r="AL1649" s="7" t="str">
        <f>IFERROR(HLOOKUP(AJ1649,'Calc|Weightings'!$K$5:$M$5,1,0),"Excl")</f>
        <v>Labour</v>
      </c>
      <c r="AM1649" s="7" t="str">
        <f>VLOOKUP(AC1649,Mapping!$E$11:$I$96,5,0)</f>
        <v>SCS</v>
      </c>
      <c r="AO1649" s="134">
        <v>177</v>
      </c>
      <c r="AP1649" s="135" t="s">
        <v>2387</v>
      </c>
      <c r="AQ1649" s="135">
        <v>503250</v>
      </c>
      <c r="AR1649" s="135" t="s">
        <v>170</v>
      </c>
      <c r="AS1649" s="136">
        <v>0.16883000000000001</v>
      </c>
      <c r="AU1649" s="7" t="str">
        <f>VLOOKUP($AO1649,Mapping!$E$11:$I$96,3,0)</f>
        <v>Augmentation</v>
      </c>
      <c r="AV1649" s="7" t="str">
        <f>VLOOKUP($AQ1649,Mapping!$E$140:$K$2771,5,0)</f>
        <v>Contracts</v>
      </c>
      <c r="AW1649" s="7" t="str">
        <f>VLOOKUP($AQ1649,Mapping!$E$140:$K$2771,7,0)</f>
        <v>ENDirect</v>
      </c>
      <c r="AX1649" s="7" t="str">
        <f>IFERROR(HLOOKUP(AV1649,'Calc|Weightings'!$K$5:$M$5,1,0),"Excl")</f>
        <v>Contracts</v>
      </c>
      <c r="AY1649" s="7" t="str">
        <f>VLOOKUP(AO1649,Mapping!$E$11:$I$96,5,0)</f>
        <v>SCS</v>
      </c>
    </row>
    <row r="1650" spans="1:51" x14ac:dyDescent="0.2">
      <c r="A1650" s="7"/>
      <c r="B1650" s="7"/>
      <c r="C1650" s="7"/>
      <c r="D1650" s="7"/>
      <c r="E1650" s="36">
        <v>156</v>
      </c>
      <c r="F1650" s="36" t="s">
        <v>2165</v>
      </c>
      <c r="G1650" s="36">
        <v>634001</v>
      </c>
      <c r="H1650" s="36" t="s">
        <v>2110</v>
      </c>
      <c r="I1650" s="37">
        <v>101.87846</v>
      </c>
      <c r="J1650" s="7"/>
      <c r="K1650" s="7" t="str">
        <f>VLOOKUP($E1650,Mapping!$E$11:$I$96,3,0)</f>
        <v>Replacement</v>
      </c>
      <c r="L1650" s="7" t="str">
        <f>VLOOKUP($G1650,Mapping!$E$140:$K$2771,5,0)</f>
        <v>Local OH</v>
      </c>
      <c r="M1650" s="7" t="str">
        <f>VLOOKUP($G1650,Mapping!$E$140:$K$2771,7,0)</f>
        <v>OH</v>
      </c>
      <c r="N1650" s="7" t="str">
        <f>IFERROR(HLOOKUP(L1650,'Calc|Weightings'!$K$5:$M$5,1,0),"Excl")</f>
        <v>Excl</v>
      </c>
      <c r="O1650" s="7" t="str">
        <f>VLOOKUP(E1650,Mapping!$E$11:$I$96,5,0)</f>
        <v>SCS</v>
      </c>
      <c r="Q1650" s="33">
        <v>177</v>
      </c>
      <c r="R1650" s="33" t="s">
        <v>2387</v>
      </c>
      <c r="S1650" s="33">
        <v>503240</v>
      </c>
      <c r="T1650" s="33" t="s">
        <v>169</v>
      </c>
      <c r="U1650" s="34">
        <v>3.78E-2</v>
      </c>
      <c r="V1650" s="7"/>
      <c r="W1650" s="7" t="str">
        <f>VLOOKUP($Q1650,Mapping!$E$11:$I$96,3,0)</f>
        <v>Augmentation</v>
      </c>
      <c r="X1650" s="7" t="str">
        <f>VLOOKUP($S1650,Mapping!$E$140:$K$2771,5,0)</f>
        <v>Contracts</v>
      </c>
      <c r="Y1650" s="7" t="str">
        <f>VLOOKUP($S1650,Mapping!$E$140:$K$2771,7,0)</f>
        <v>ENDirect</v>
      </c>
      <c r="Z1650" s="7" t="str">
        <f>IFERROR(HLOOKUP(X1650,'Calc|Weightings'!$K$5:$M$5,1,0),"Excl")</f>
        <v>Contracts</v>
      </c>
      <c r="AA1650" s="7" t="str">
        <f>VLOOKUP(Q1650,Mapping!$E$11:$I$96,5,0)</f>
        <v>SCS</v>
      </c>
      <c r="AC1650" s="111">
        <v>166</v>
      </c>
      <c r="AD1650" s="111" t="s">
        <v>2174</v>
      </c>
      <c r="AE1650" s="111">
        <v>613630</v>
      </c>
      <c r="AF1650" s="111" t="s">
        <v>1498</v>
      </c>
      <c r="AG1650" s="112">
        <v>0.49557000000000001</v>
      </c>
      <c r="AI1650" s="7" t="str">
        <f>VLOOKUP($AC1650,Mapping!$E$11:$I$96,3,0)</f>
        <v>Augmentation</v>
      </c>
      <c r="AJ1650" s="7" t="str">
        <f>VLOOKUP($AE1650,Mapping!$E$140:$K$2771,5,0)</f>
        <v>Labour</v>
      </c>
      <c r="AK1650" s="7" t="str">
        <f>VLOOKUP($AE1650,Mapping!$E$140:$K$2771,7,0)</f>
        <v>ENDirect</v>
      </c>
      <c r="AL1650" s="7" t="str">
        <f>IFERROR(HLOOKUP(AJ1650,'Calc|Weightings'!$K$5:$M$5,1,0),"Excl")</f>
        <v>Labour</v>
      </c>
      <c r="AM1650" s="7" t="str">
        <f>VLOOKUP(AC1650,Mapping!$E$11:$I$96,5,0)</f>
        <v>SCS</v>
      </c>
      <c r="AO1650" s="134">
        <v>177</v>
      </c>
      <c r="AP1650" s="135" t="s">
        <v>2387</v>
      </c>
      <c r="AQ1650" s="135">
        <v>503281</v>
      </c>
      <c r="AR1650" s="135" t="s">
        <v>2198</v>
      </c>
      <c r="AS1650" s="136">
        <v>1.02902</v>
      </c>
      <c r="AU1650" s="7" t="str">
        <f>VLOOKUP($AO1650,Mapping!$E$11:$I$96,3,0)</f>
        <v>Augmentation</v>
      </c>
      <c r="AV1650" s="7" t="str">
        <f>VLOOKUP($AQ1650,Mapping!$E$140:$K$2771,5,0)</f>
        <v>Contracts</v>
      </c>
      <c r="AW1650" s="7" t="str">
        <f>VLOOKUP($AQ1650,Mapping!$E$140:$K$2771,7,0)</f>
        <v>ENDirect</v>
      </c>
      <c r="AX1650" s="7" t="str">
        <f>IFERROR(HLOOKUP(AV1650,'Calc|Weightings'!$K$5:$M$5,1,0),"Excl")</f>
        <v>Contracts</v>
      </c>
      <c r="AY1650" s="7" t="str">
        <f>VLOOKUP(AO1650,Mapping!$E$11:$I$96,5,0)</f>
        <v>SCS</v>
      </c>
    </row>
    <row r="1651" spans="1:51" x14ac:dyDescent="0.2">
      <c r="A1651" s="7"/>
      <c r="B1651" s="7"/>
      <c r="C1651" s="7"/>
      <c r="D1651" s="7"/>
      <c r="E1651" s="36">
        <v>156</v>
      </c>
      <c r="F1651" s="36" t="s">
        <v>2165</v>
      </c>
      <c r="G1651" s="36">
        <v>635001</v>
      </c>
      <c r="H1651" s="36" t="s">
        <v>1929</v>
      </c>
      <c r="I1651" s="37">
        <v>53.524270000000001</v>
      </c>
      <c r="J1651" s="7"/>
      <c r="K1651" s="7" t="str">
        <f>VLOOKUP($E1651,Mapping!$E$11:$I$96,3,0)</f>
        <v>Replacement</v>
      </c>
      <c r="L1651" s="7" t="str">
        <f>VLOOKUP($G1651,Mapping!$E$140:$K$2771,5,0)</f>
        <v>PNS MG</v>
      </c>
      <c r="M1651" s="7" t="str">
        <f>VLOOKUP($G1651,Mapping!$E$140:$K$2771,7,0)</f>
        <v>ENDirect</v>
      </c>
      <c r="N1651" s="7" t="str">
        <f>IFERROR(HLOOKUP(L1651,'Calc|Weightings'!$K$5:$M$5,1,0),"Excl")</f>
        <v>Excl</v>
      </c>
      <c r="O1651" s="7" t="str">
        <f>VLOOKUP(E1651,Mapping!$E$11:$I$96,5,0)</f>
        <v>SCS</v>
      </c>
      <c r="Q1651" s="33">
        <v>177</v>
      </c>
      <c r="R1651" s="33" t="s">
        <v>2387</v>
      </c>
      <c r="S1651" s="33">
        <v>503281</v>
      </c>
      <c r="T1651" s="33" t="s">
        <v>174</v>
      </c>
      <c r="U1651" s="34">
        <v>2.5198900000000002</v>
      </c>
      <c r="V1651" s="7"/>
      <c r="W1651" s="7" t="str">
        <f>VLOOKUP($Q1651,Mapping!$E$11:$I$96,3,0)</f>
        <v>Augmentation</v>
      </c>
      <c r="X1651" s="7" t="str">
        <f>VLOOKUP($S1651,Mapping!$E$140:$K$2771,5,0)</f>
        <v>Contracts</v>
      </c>
      <c r="Y1651" s="7" t="str">
        <f>VLOOKUP($S1651,Mapping!$E$140:$K$2771,7,0)</f>
        <v>ENDirect</v>
      </c>
      <c r="Z1651" s="7" t="str">
        <f>IFERROR(HLOOKUP(X1651,'Calc|Weightings'!$K$5:$M$5,1,0),"Excl")</f>
        <v>Contracts</v>
      </c>
      <c r="AA1651" s="7" t="str">
        <f>VLOOKUP(Q1651,Mapping!$E$11:$I$96,5,0)</f>
        <v>SCS</v>
      </c>
      <c r="AC1651" s="111">
        <v>166</v>
      </c>
      <c r="AD1651" s="111" t="s">
        <v>2174</v>
      </c>
      <c r="AE1651" s="111">
        <v>613680</v>
      </c>
      <c r="AF1651" s="111" t="s">
        <v>2107</v>
      </c>
      <c r="AG1651" s="112">
        <v>8.4620700000000006</v>
      </c>
      <c r="AI1651" s="7" t="str">
        <f>VLOOKUP($AC1651,Mapping!$E$11:$I$96,3,0)</f>
        <v>Augmentation</v>
      </c>
      <c r="AJ1651" s="7" t="str">
        <f>VLOOKUP($AE1651,Mapping!$E$140:$K$2771,5,0)</f>
        <v>Labour</v>
      </c>
      <c r="AK1651" s="7" t="str">
        <f>VLOOKUP($AE1651,Mapping!$E$140:$K$2771,7,0)</f>
        <v>ENDirect</v>
      </c>
      <c r="AL1651" s="7" t="str">
        <f>IFERROR(HLOOKUP(AJ1651,'Calc|Weightings'!$K$5:$M$5,1,0),"Excl")</f>
        <v>Labour</v>
      </c>
      <c r="AM1651" s="7" t="str">
        <f>VLOOKUP(AC1651,Mapping!$E$11:$I$96,5,0)</f>
        <v>SCS</v>
      </c>
      <c r="AO1651" s="134">
        <v>177</v>
      </c>
      <c r="AP1651" s="135" t="s">
        <v>2387</v>
      </c>
      <c r="AQ1651" s="135">
        <v>503290</v>
      </c>
      <c r="AR1651" s="135" t="s">
        <v>175</v>
      </c>
      <c r="AS1651" s="136">
        <v>0.41700999999999999</v>
      </c>
      <c r="AU1651" s="7" t="str">
        <f>VLOOKUP($AO1651,Mapping!$E$11:$I$96,3,0)</f>
        <v>Augmentation</v>
      </c>
      <c r="AV1651" s="7" t="str">
        <f>VLOOKUP($AQ1651,Mapping!$E$140:$K$2771,5,0)</f>
        <v>Contracts</v>
      </c>
      <c r="AW1651" s="7" t="str">
        <f>VLOOKUP($AQ1651,Mapping!$E$140:$K$2771,7,0)</f>
        <v>ENDirect</v>
      </c>
      <c r="AX1651" s="7" t="str">
        <f>IFERROR(HLOOKUP(AV1651,'Calc|Weightings'!$K$5:$M$5,1,0),"Excl")</f>
        <v>Contracts</v>
      </c>
      <c r="AY1651" s="7" t="str">
        <f>VLOOKUP(AO1651,Mapping!$E$11:$I$96,5,0)</f>
        <v>SCS</v>
      </c>
    </row>
    <row r="1652" spans="1:51" x14ac:dyDescent="0.2">
      <c r="A1652" s="7"/>
      <c r="B1652" s="7"/>
      <c r="C1652" s="7"/>
      <c r="D1652" s="7"/>
      <c r="E1652" s="36">
        <v>156</v>
      </c>
      <c r="F1652" s="36" t="s">
        <v>2165</v>
      </c>
      <c r="G1652" s="36">
        <v>636001</v>
      </c>
      <c r="H1652" s="36" t="s">
        <v>2111</v>
      </c>
      <c r="I1652" s="37">
        <v>32.600900000000003</v>
      </c>
      <c r="J1652" s="7"/>
      <c r="K1652" s="7" t="str">
        <f>VLOOKUP($E1652,Mapping!$E$11:$I$96,3,0)</f>
        <v>Replacement</v>
      </c>
      <c r="L1652" s="7" t="str">
        <f>VLOOKUP($G1652,Mapping!$E$140:$K$2771,5,0)</f>
        <v>System Control OH</v>
      </c>
      <c r="M1652" s="7" t="str">
        <f>VLOOKUP($G1652,Mapping!$E$140:$K$2771,7,0)</f>
        <v>OH</v>
      </c>
      <c r="N1652" s="7" t="str">
        <f>IFERROR(HLOOKUP(L1652,'Calc|Weightings'!$K$5:$M$5,1,0),"Excl")</f>
        <v>Excl</v>
      </c>
      <c r="O1652" s="7" t="str">
        <f>VLOOKUP(E1652,Mapping!$E$11:$I$96,5,0)</f>
        <v>SCS</v>
      </c>
      <c r="Q1652" s="33">
        <v>177</v>
      </c>
      <c r="R1652" s="33" t="s">
        <v>2387</v>
      </c>
      <c r="S1652" s="33">
        <v>503350</v>
      </c>
      <c r="T1652" s="33" t="s">
        <v>182</v>
      </c>
      <c r="U1652" s="34">
        <v>2.0586199999999999</v>
      </c>
      <c r="V1652" s="7"/>
      <c r="W1652" s="7" t="str">
        <f>VLOOKUP($Q1652,Mapping!$E$11:$I$96,3,0)</f>
        <v>Augmentation</v>
      </c>
      <c r="X1652" s="7" t="str">
        <f>VLOOKUP($S1652,Mapping!$E$140:$K$2771,5,0)</f>
        <v>Contracts</v>
      </c>
      <c r="Y1652" s="7" t="str">
        <f>VLOOKUP($S1652,Mapping!$E$140:$K$2771,7,0)</f>
        <v>ENDirect</v>
      </c>
      <c r="Z1652" s="7" t="str">
        <f>IFERROR(HLOOKUP(X1652,'Calc|Weightings'!$K$5:$M$5,1,0),"Excl")</f>
        <v>Contracts</v>
      </c>
      <c r="AA1652" s="7" t="str">
        <f>VLOOKUP(Q1652,Mapping!$E$11:$I$96,5,0)</f>
        <v>SCS</v>
      </c>
      <c r="AC1652" s="111">
        <v>166</v>
      </c>
      <c r="AD1652" s="111" t="s">
        <v>2174</v>
      </c>
      <c r="AE1652" s="111">
        <v>615395</v>
      </c>
      <c r="AF1652" s="111" t="s">
        <v>2196</v>
      </c>
      <c r="AG1652" s="112">
        <v>4.4400000000000004</v>
      </c>
      <c r="AI1652" s="7" t="str">
        <f>VLOOKUP($AC1652,Mapping!$E$11:$I$96,3,0)</f>
        <v>Augmentation</v>
      </c>
      <c r="AJ1652" s="7" t="str">
        <f>VLOOKUP($AE1652,Mapping!$E$140:$K$2771,5,0)</f>
        <v>Labour</v>
      </c>
      <c r="AK1652" s="7" t="str">
        <f>VLOOKUP($AE1652,Mapping!$E$140:$K$2771,7,0)</f>
        <v>ENDirect</v>
      </c>
      <c r="AL1652" s="7" t="str">
        <f>IFERROR(HLOOKUP(AJ1652,'Calc|Weightings'!$K$5:$M$5,1,0),"Excl")</f>
        <v>Labour</v>
      </c>
      <c r="AM1652" s="7" t="str">
        <f>VLOOKUP(AC1652,Mapping!$E$11:$I$96,5,0)</f>
        <v>SCS</v>
      </c>
      <c r="AO1652" s="134">
        <v>177</v>
      </c>
      <c r="AP1652" s="135" t="s">
        <v>2387</v>
      </c>
      <c r="AQ1652" s="135">
        <v>503300</v>
      </c>
      <c r="AR1652" s="135" t="s">
        <v>176</v>
      </c>
      <c r="AS1652" s="136">
        <v>0.83901000000000003</v>
      </c>
      <c r="AU1652" s="7" t="str">
        <f>VLOOKUP($AO1652,Mapping!$E$11:$I$96,3,0)</f>
        <v>Augmentation</v>
      </c>
      <c r="AV1652" s="7" t="str">
        <f>VLOOKUP($AQ1652,Mapping!$E$140:$K$2771,5,0)</f>
        <v>Contracts</v>
      </c>
      <c r="AW1652" s="7" t="str">
        <f>VLOOKUP($AQ1652,Mapping!$E$140:$K$2771,7,0)</f>
        <v>ENDirect</v>
      </c>
      <c r="AX1652" s="7" t="str">
        <f>IFERROR(HLOOKUP(AV1652,'Calc|Weightings'!$K$5:$M$5,1,0),"Excl")</f>
        <v>Contracts</v>
      </c>
      <c r="AY1652" s="7" t="str">
        <f>VLOOKUP(AO1652,Mapping!$E$11:$I$96,5,0)</f>
        <v>SCS</v>
      </c>
    </row>
    <row r="1653" spans="1:51" x14ac:dyDescent="0.2">
      <c r="A1653" s="7"/>
      <c r="B1653" s="7"/>
      <c r="C1653" s="7"/>
      <c r="D1653" s="7"/>
      <c r="E1653" s="36">
        <v>156</v>
      </c>
      <c r="F1653" s="36" t="s">
        <v>2165</v>
      </c>
      <c r="G1653" s="36">
        <v>639000</v>
      </c>
      <c r="H1653" s="36" t="s">
        <v>2112</v>
      </c>
      <c r="I1653" s="37">
        <v>57.512990000000002</v>
      </c>
      <c r="J1653" s="7"/>
      <c r="K1653" s="7" t="str">
        <f>VLOOKUP($E1653,Mapping!$E$11:$I$96,3,0)</f>
        <v>Replacement</v>
      </c>
      <c r="L1653" s="7" t="str">
        <f>VLOOKUP($G1653,Mapping!$E$140:$K$2771,5,0)</f>
        <v>PNS Corporate OH</v>
      </c>
      <c r="M1653" s="7" t="str">
        <f>VLOOKUP($G1653,Mapping!$E$140:$K$2771,7,0)</f>
        <v>OH</v>
      </c>
      <c r="N1653" s="7" t="str">
        <f>IFERROR(HLOOKUP(L1653,'Calc|Weightings'!$K$5:$M$5,1,0),"Excl")</f>
        <v>Excl</v>
      </c>
      <c r="O1653" s="7" t="str">
        <f>VLOOKUP(E1653,Mapping!$E$11:$I$96,5,0)</f>
        <v>SCS</v>
      </c>
      <c r="Q1653" s="33">
        <v>177</v>
      </c>
      <c r="R1653" s="33" t="s">
        <v>2387</v>
      </c>
      <c r="S1653" s="33">
        <v>520100</v>
      </c>
      <c r="T1653" s="33" t="s">
        <v>2072</v>
      </c>
      <c r="U1653" s="34">
        <v>55.039459999999998</v>
      </c>
      <c r="V1653" s="7"/>
      <c r="W1653" s="7" t="str">
        <f>VLOOKUP($Q1653,Mapping!$E$11:$I$96,3,0)</f>
        <v>Augmentation</v>
      </c>
      <c r="X1653" s="7" t="str">
        <f>VLOOKUP($S1653,Mapping!$E$140:$K$2771,5,0)</f>
        <v>Materials</v>
      </c>
      <c r="Y1653" s="7" t="str">
        <f>VLOOKUP($S1653,Mapping!$E$140:$K$2771,7,0)</f>
        <v>ENDirect</v>
      </c>
      <c r="Z1653" s="7" t="str">
        <f>IFERROR(HLOOKUP(X1653,'Calc|Weightings'!$K$5:$M$5,1,0),"Excl")</f>
        <v>Materials</v>
      </c>
      <c r="AA1653" s="7" t="str">
        <f>VLOOKUP(Q1653,Mapping!$E$11:$I$96,5,0)</f>
        <v>SCS</v>
      </c>
      <c r="AC1653" s="111">
        <v>166</v>
      </c>
      <c r="AD1653" s="111" t="s">
        <v>2174</v>
      </c>
      <c r="AE1653" s="111">
        <v>634001</v>
      </c>
      <c r="AF1653" s="111" t="s">
        <v>2110</v>
      </c>
      <c r="AG1653" s="112">
        <v>21.181090000000001</v>
      </c>
      <c r="AI1653" s="7" t="str">
        <f>VLOOKUP($AC1653,Mapping!$E$11:$I$96,3,0)</f>
        <v>Augmentation</v>
      </c>
      <c r="AJ1653" s="7" t="str">
        <f>VLOOKUP($AE1653,Mapping!$E$140:$K$2771,5,0)</f>
        <v>Local OH</v>
      </c>
      <c r="AK1653" s="7" t="str">
        <f>VLOOKUP($AE1653,Mapping!$E$140:$K$2771,7,0)</f>
        <v>OH</v>
      </c>
      <c r="AL1653" s="7" t="str">
        <f>IFERROR(HLOOKUP(AJ1653,'Calc|Weightings'!$K$5:$M$5,1,0),"Excl")</f>
        <v>Excl</v>
      </c>
      <c r="AM1653" s="7" t="str">
        <f>VLOOKUP(AC1653,Mapping!$E$11:$I$96,5,0)</f>
        <v>SCS</v>
      </c>
      <c r="AO1653" s="134">
        <v>177</v>
      </c>
      <c r="AP1653" s="135" t="s">
        <v>2387</v>
      </c>
      <c r="AQ1653" s="135">
        <v>503330</v>
      </c>
      <c r="AR1653" s="135" t="s">
        <v>180</v>
      </c>
      <c r="AS1653" s="136">
        <v>0.13186</v>
      </c>
      <c r="AU1653" s="7" t="str">
        <f>VLOOKUP($AO1653,Mapping!$E$11:$I$96,3,0)</f>
        <v>Augmentation</v>
      </c>
      <c r="AV1653" s="7" t="str">
        <f>VLOOKUP($AQ1653,Mapping!$E$140:$K$2771,5,0)</f>
        <v>Contracts</v>
      </c>
      <c r="AW1653" s="7" t="str">
        <f>VLOOKUP($AQ1653,Mapping!$E$140:$K$2771,7,0)</f>
        <v>ENDirect</v>
      </c>
      <c r="AX1653" s="7" t="str">
        <f>IFERROR(HLOOKUP(AV1653,'Calc|Weightings'!$K$5:$M$5,1,0),"Excl")</f>
        <v>Contracts</v>
      </c>
      <c r="AY1653" s="7" t="str">
        <f>VLOOKUP(AO1653,Mapping!$E$11:$I$96,5,0)</f>
        <v>SCS</v>
      </c>
    </row>
    <row r="1654" spans="1:51" x14ac:dyDescent="0.2">
      <c r="A1654" s="7"/>
      <c r="B1654" s="7"/>
      <c r="C1654" s="7"/>
      <c r="D1654" s="7"/>
      <c r="E1654" s="36">
        <v>156</v>
      </c>
      <c r="F1654" s="36" t="s">
        <v>2165</v>
      </c>
      <c r="G1654" s="36">
        <v>639050</v>
      </c>
      <c r="H1654" s="36" t="s">
        <v>2113</v>
      </c>
      <c r="I1654" s="37">
        <v>7.3361000000000001</v>
      </c>
      <c r="J1654" s="7"/>
      <c r="K1654" s="7" t="str">
        <f>VLOOKUP($E1654,Mapping!$E$11:$I$96,3,0)</f>
        <v>Replacement</v>
      </c>
      <c r="L1654" s="7" t="str">
        <f>VLOOKUP($G1654,Mapping!$E$140:$K$2771,5,0)</f>
        <v>PNS Fleet &amp; Property OH</v>
      </c>
      <c r="M1654" s="7" t="str">
        <f>VLOOKUP($G1654,Mapping!$E$140:$K$2771,7,0)</f>
        <v>OH</v>
      </c>
      <c r="N1654" s="7" t="str">
        <f>IFERROR(HLOOKUP(L1654,'Calc|Weightings'!$K$5:$M$5,1,0),"Excl")</f>
        <v>Excl</v>
      </c>
      <c r="O1654" s="7" t="str">
        <f>VLOOKUP(E1654,Mapping!$E$11:$I$96,5,0)</f>
        <v>SCS</v>
      </c>
      <c r="Q1654" s="33">
        <v>177</v>
      </c>
      <c r="R1654" s="33" t="s">
        <v>2387</v>
      </c>
      <c r="S1654" s="33">
        <v>523100</v>
      </c>
      <c r="T1654" s="33" t="s">
        <v>2074</v>
      </c>
      <c r="U1654" s="34">
        <v>0.10534</v>
      </c>
      <c r="V1654" s="7"/>
      <c r="W1654" s="7" t="str">
        <f>VLOOKUP($Q1654,Mapping!$E$11:$I$96,3,0)</f>
        <v>Augmentation</v>
      </c>
      <c r="X1654" s="7" t="str">
        <f>VLOOKUP($S1654,Mapping!$E$140:$K$2771,5,0)</f>
        <v>Materials</v>
      </c>
      <c r="Y1654" s="7" t="str">
        <f>VLOOKUP($S1654,Mapping!$E$140:$K$2771,7,0)</f>
        <v>ENDirect</v>
      </c>
      <c r="Z1654" s="7" t="str">
        <f>IFERROR(HLOOKUP(X1654,'Calc|Weightings'!$K$5:$M$5,1,0),"Excl")</f>
        <v>Materials</v>
      </c>
      <c r="AA1654" s="7" t="str">
        <f>VLOOKUP(Q1654,Mapping!$E$11:$I$96,5,0)</f>
        <v>SCS</v>
      </c>
      <c r="AC1654" s="111">
        <v>166</v>
      </c>
      <c r="AD1654" s="111" t="s">
        <v>2174</v>
      </c>
      <c r="AE1654" s="111">
        <v>635001</v>
      </c>
      <c r="AF1654" s="111" t="s">
        <v>1929</v>
      </c>
      <c r="AG1654" s="112">
        <v>12.127509999999999</v>
      </c>
      <c r="AI1654" s="7" t="str">
        <f>VLOOKUP($AC1654,Mapping!$E$11:$I$96,3,0)</f>
        <v>Augmentation</v>
      </c>
      <c r="AJ1654" s="7" t="str">
        <f>VLOOKUP($AE1654,Mapping!$E$140:$K$2771,5,0)</f>
        <v>PNS MG</v>
      </c>
      <c r="AK1654" s="7" t="str">
        <f>VLOOKUP($AE1654,Mapping!$E$140:$K$2771,7,0)</f>
        <v>ENDirect</v>
      </c>
      <c r="AL1654" s="7" t="str">
        <f>IFERROR(HLOOKUP(AJ1654,'Calc|Weightings'!$K$5:$M$5,1,0),"Excl")</f>
        <v>Excl</v>
      </c>
      <c r="AM1654" s="7" t="str">
        <f>VLOOKUP(AC1654,Mapping!$E$11:$I$96,5,0)</f>
        <v>SCS</v>
      </c>
      <c r="AO1654" s="134">
        <v>177</v>
      </c>
      <c r="AP1654" s="135" t="s">
        <v>2387</v>
      </c>
      <c r="AQ1654" s="135">
        <v>503350</v>
      </c>
      <c r="AR1654" s="135" t="s">
        <v>182</v>
      </c>
      <c r="AS1654" s="136">
        <v>2.57958</v>
      </c>
      <c r="AU1654" s="7" t="str">
        <f>VLOOKUP($AO1654,Mapping!$E$11:$I$96,3,0)</f>
        <v>Augmentation</v>
      </c>
      <c r="AV1654" s="7" t="str">
        <f>VLOOKUP($AQ1654,Mapping!$E$140:$K$2771,5,0)</f>
        <v>Contracts</v>
      </c>
      <c r="AW1654" s="7" t="str">
        <f>VLOOKUP($AQ1654,Mapping!$E$140:$K$2771,7,0)</f>
        <v>ENDirect</v>
      </c>
      <c r="AX1654" s="7" t="str">
        <f>IFERROR(HLOOKUP(AV1654,'Calc|Weightings'!$K$5:$M$5,1,0),"Excl")</f>
        <v>Contracts</v>
      </c>
      <c r="AY1654" s="7" t="str">
        <f>VLOOKUP(AO1654,Mapping!$E$11:$I$96,5,0)</f>
        <v>SCS</v>
      </c>
    </row>
    <row r="1655" spans="1:51" x14ac:dyDescent="0.2">
      <c r="A1655" s="7"/>
      <c r="B1655" s="7"/>
      <c r="C1655" s="7"/>
      <c r="D1655" s="7"/>
      <c r="E1655" s="36">
        <v>157</v>
      </c>
      <c r="F1655" s="36" t="s">
        <v>2166</v>
      </c>
      <c r="G1655" s="36">
        <v>503281</v>
      </c>
      <c r="H1655" s="36" t="s">
        <v>2198</v>
      </c>
      <c r="I1655" s="37">
        <v>0.4758</v>
      </c>
      <c r="J1655" s="7"/>
      <c r="K1655" s="7" t="str">
        <f>VLOOKUP($E1655,Mapping!$E$11:$I$96,3,0)</f>
        <v>Replacement</v>
      </c>
      <c r="L1655" s="7" t="str">
        <f>VLOOKUP($G1655,Mapping!$E$140:$K$2771,5,0)</f>
        <v>Contracts</v>
      </c>
      <c r="M1655" s="7" t="str">
        <f>VLOOKUP($G1655,Mapping!$E$140:$K$2771,7,0)</f>
        <v>ENDirect</v>
      </c>
      <c r="N1655" s="7" t="str">
        <f>IFERROR(HLOOKUP(L1655,'Calc|Weightings'!$K$5:$M$5,1,0),"Excl")</f>
        <v>Contracts</v>
      </c>
      <c r="O1655" s="7" t="str">
        <f>VLOOKUP(E1655,Mapping!$E$11:$I$96,5,0)</f>
        <v>SCS</v>
      </c>
      <c r="Q1655" s="33">
        <v>177</v>
      </c>
      <c r="R1655" s="33" t="s">
        <v>2387</v>
      </c>
      <c r="S1655" s="33">
        <v>523300</v>
      </c>
      <c r="T1655" s="33" t="s">
        <v>2075</v>
      </c>
      <c r="U1655" s="34">
        <v>2.4035799999999998</v>
      </c>
      <c r="V1655" s="7"/>
      <c r="W1655" s="7" t="str">
        <f>VLOOKUP($Q1655,Mapping!$E$11:$I$96,3,0)</f>
        <v>Augmentation</v>
      </c>
      <c r="X1655" s="7" t="str">
        <f>VLOOKUP($S1655,Mapping!$E$140:$K$2771,5,0)</f>
        <v>Materials</v>
      </c>
      <c r="Y1655" s="7" t="str">
        <f>VLOOKUP($S1655,Mapping!$E$140:$K$2771,7,0)</f>
        <v>ENDirect</v>
      </c>
      <c r="Z1655" s="7" t="str">
        <f>IFERROR(HLOOKUP(X1655,'Calc|Weightings'!$K$5:$M$5,1,0),"Excl")</f>
        <v>Materials</v>
      </c>
      <c r="AA1655" s="7" t="str">
        <f>VLOOKUP(Q1655,Mapping!$E$11:$I$96,5,0)</f>
        <v>SCS</v>
      </c>
      <c r="AC1655" s="111">
        <v>166</v>
      </c>
      <c r="AD1655" s="111" t="s">
        <v>2174</v>
      </c>
      <c r="AE1655" s="111">
        <v>636001</v>
      </c>
      <c r="AF1655" s="111" t="s">
        <v>2111</v>
      </c>
      <c r="AG1655" s="112">
        <v>14.077769999999999</v>
      </c>
      <c r="AI1655" s="7" t="str">
        <f>VLOOKUP($AC1655,Mapping!$E$11:$I$96,3,0)</f>
        <v>Augmentation</v>
      </c>
      <c r="AJ1655" s="7" t="str">
        <f>VLOOKUP($AE1655,Mapping!$E$140:$K$2771,5,0)</f>
        <v>System Control OH</v>
      </c>
      <c r="AK1655" s="7" t="str">
        <f>VLOOKUP($AE1655,Mapping!$E$140:$K$2771,7,0)</f>
        <v>OH</v>
      </c>
      <c r="AL1655" s="7" t="str">
        <f>IFERROR(HLOOKUP(AJ1655,'Calc|Weightings'!$K$5:$M$5,1,0),"Excl")</f>
        <v>Excl</v>
      </c>
      <c r="AM1655" s="7" t="str">
        <f>VLOOKUP(AC1655,Mapping!$E$11:$I$96,5,0)</f>
        <v>SCS</v>
      </c>
      <c r="AO1655" s="134">
        <v>177</v>
      </c>
      <c r="AP1655" s="135" t="s">
        <v>2387</v>
      </c>
      <c r="AQ1655" s="135">
        <v>520100</v>
      </c>
      <c r="AR1655" s="135" t="s">
        <v>2072</v>
      </c>
      <c r="AS1655" s="136">
        <v>1141.08509</v>
      </c>
      <c r="AU1655" s="7" t="str">
        <f>VLOOKUP($AO1655,Mapping!$E$11:$I$96,3,0)</f>
        <v>Augmentation</v>
      </c>
      <c r="AV1655" s="7" t="str">
        <f>VLOOKUP($AQ1655,Mapping!$E$140:$K$2771,5,0)</f>
        <v>Materials</v>
      </c>
      <c r="AW1655" s="7" t="str">
        <f>VLOOKUP($AQ1655,Mapping!$E$140:$K$2771,7,0)</f>
        <v>ENDirect</v>
      </c>
      <c r="AX1655" s="7" t="str">
        <f>IFERROR(HLOOKUP(AV1655,'Calc|Weightings'!$K$5:$M$5,1,0),"Excl")</f>
        <v>Materials</v>
      </c>
      <c r="AY1655" s="7" t="str">
        <f>VLOOKUP(AO1655,Mapping!$E$11:$I$96,5,0)</f>
        <v>SCS</v>
      </c>
    </row>
    <row r="1656" spans="1:51" x14ac:dyDescent="0.2">
      <c r="A1656" s="7"/>
      <c r="B1656" s="7"/>
      <c r="C1656" s="7"/>
      <c r="D1656" s="7"/>
      <c r="E1656" s="36">
        <v>157</v>
      </c>
      <c r="F1656" s="36" t="s">
        <v>2166</v>
      </c>
      <c r="G1656" s="36">
        <v>503340</v>
      </c>
      <c r="H1656" s="36" t="s">
        <v>181</v>
      </c>
      <c r="I1656" s="37">
        <v>8.4510000000000002E-2</v>
      </c>
      <c r="J1656" s="7"/>
      <c r="K1656" s="7" t="str">
        <f>VLOOKUP($E1656,Mapping!$E$11:$I$96,3,0)</f>
        <v>Replacement</v>
      </c>
      <c r="L1656" s="7" t="str">
        <f>VLOOKUP($G1656,Mapping!$E$140:$K$2771,5,0)</f>
        <v>Contracts</v>
      </c>
      <c r="M1656" s="7" t="str">
        <f>VLOOKUP($G1656,Mapping!$E$140:$K$2771,7,0)</f>
        <v>ENDirect</v>
      </c>
      <c r="N1656" s="7" t="str">
        <f>IFERROR(HLOOKUP(L1656,'Calc|Weightings'!$K$5:$M$5,1,0),"Excl")</f>
        <v>Contracts</v>
      </c>
      <c r="O1656" s="7" t="str">
        <f>VLOOKUP(E1656,Mapping!$E$11:$I$96,5,0)</f>
        <v>SCS</v>
      </c>
      <c r="Q1656" s="33">
        <v>177</v>
      </c>
      <c r="R1656" s="33" t="s">
        <v>2387</v>
      </c>
      <c r="S1656" s="33">
        <v>531020</v>
      </c>
      <c r="T1656" s="33" t="s">
        <v>219</v>
      </c>
      <c r="U1656" s="34">
        <v>162.90402</v>
      </c>
      <c r="V1656" s="7"/>
      <c r="W1656" s="7" t="str">
        <f>VLOOKUP($Q1656,Mapping!$E$11:$I$96,3,0)</f>
        <v>Augmentation</v>
      </c>
      <c r="X1656" s="7" t="str">
        <f>VLOOKUP($S1656,Mapping!$E$140:$K$2771,5,0)</f>
        <v>Labour</v>
      </c>
      <c r="Y1656" s="7" t="str">
        <f>VLOOKUP($S1656,Mapping!$E$140:$K$2771,7,0)</f>
        <v>ENDirect</v>
      </c>
      <c r="Z1656" s="7" t="str">
        <f>IFERROR(HLOOKUP(X1656,'Calc|Weightings'!$K$5:$M$5,1,0),"Excl")</f>
        <v>Labour</v>
      </c>
      <c r="AA1656" s="7" t="str">
        <f>VLOOKUP(Q1656,Mapping!$E$11:$I$96,5,0)</f>
        <v>SCS</v>
      </c>
      <c r="AC1656" s="111">
        <v>166</v>
      </c>
      <c r="AD1656" s="111" t="s">
        <v>2174</v>
      </c>
      <c r="AE1656" s="111">
        <v>639000</v>
      </c>
      <c r="AF1656" s="111" t="s">
        <v>2112</v>
      </c>
      <c r="AG1656" s="112">
        <v>14.900980000000001</v>
      </c>
      <c r="AI1656" s="7" t="str">
        <f>VLOOKUP($AC1656,Mapping!$E$11:$I$96,3,0)</f>
        <v>Augmentation</v>
      </c>
      <c r="AJ1656" s="7" t="str">
        <f>VLOOKUP($AE1656,Mapping!$E$140:$K$2771,5,0)</f>
        <v>PNS Corporate OH</v>
      </c>
      <c r="AK1656" s="7" t="str">
        <f>VLOOKUP($AE1656,Mapping!$E$140:$K$2771,7,0)</f>
        <v>OH</v>
      </c>
      <c r="AL1656" s="7" t="str">
        <f>IFERROR(HLOOKUP(AJ1656,'Calc|Weightings'!$K$5:$M$5,1,0),"Excl")</f>
        <v>Excl</v>
      </c>
      <c r="AM1656" s="7" t="str">
        <f>VLOOKUP(AC1656,Mapping!$E$11:$I$96,5,0)</f>
        <v>SCS</v>
      </c>
      <c r="AO1656" s="134">
        <v>177</v>
      </c>
      <c r="AP1656" s="135" t="s">
        <v>2387</v>
      </c>
      <c r="AQ1656" s="135">
        <v>520200</v>
      </c>
      <c r="AR1656" s="135" t="s">
        <v>2073</v>
      </c>
      <c r="AS1656" s="136">
        <v>92.936139999999995</v>
      </c>
      <c r="AU1656" s="7" t="str">
        <f>VLOOKUP($AO1656,Mapping!$E$11:$I$96,3,0)</f>
        <v>Augmentation</v>
      </c>
      <c r="AV1656" s="7" t="str">
        <f>VLOOKUP($AQ1656,Mapping!$E$140:$K$2771,5,0)</f>
        <v>Materials</v>
      </c>
      <c r="AW1656" s="7" t="str">
        <f>VLOOKUP($AQ1656,Mapping!$E$140:$K$2771,7,0)</f>
        <v>ENDirect</v>
      </c>
      <c r="AX1656" s="7" t="str">
        <f>IFERROR(HLOOKUP(AV1656,'Calc|Weightings'!$K$5:$M$5,1,0),"Excl")</f>
        <v>Materials</v>
      </c>
      <c r="AY1656" s="7" t="str">
        <f>VLOOKUP(AO1656,Mapping!$E$11:$I$96,5,0)</f>
        <v>SCS</v>
      </c>
    </row>
    <row r="1657" spans="1:51" x14ac:dyDescent="0.2">
      <c r="A1657" s="7"/>
      <c r="B1657" s="7"/>
      <c r="C1657" s="7"/>
      <c r="D1657" s="7"/>
      <c r="E1657" s="36">
        <v>157</v>
      </c>
      <c r="F1657" s="36" t="s">
        <v>2166</v>
      </c>
      <c r="G1657" s="36">
        <v>503350</v>
      </c>
      <c r="H1657" s="36" t="s">
        <v>182</v>
      </c>
      <c r="I1657" s="37">
        <v>0.47</v>
      </c>
      <c r="J1657" s="7"/>
      <c r="K1657" s="7" t="str">
        <f>VLOOKUP($E1657,Mapping!$E$11:$I$96,3,0)</f>
        <v>Replacement</v>
      </c>
      <c r="L1657" s="7" t="str">
        <f>VLOOKUP($G1657,Mapping!$E$140:$K$2771,5,0)</f>
        <v>Contracts</v>
      </c>
      <c r="M1657" s="7" t="str">
        <f>VLOOKUP($G1657,Mapping!$E$140:$K$2771,7,0)</f>
        <v>ENDirect</v>
      </c>
      <c r="N1657" s="7" t="str">
        <f>IFERROR(HLOOKUP(L1657,'Calc|Weightings'!$K$5:$M$5,1,0),"Excl")</f>
        <v>Contracts</v>
      </c>
      <c r="O1657" s="7" t="str">
        <f>VLOOKUP(E1657,Mapping!$E$11:$I$96,5,0)</f>
        <v>SCS</v>
      </c>
      <c r="Q1657" s="33">
        <v>177</v>
      </c>
      <c r="R1657" s="33" t="s">
        <v>2387</v>
      </c>
      <c r="S1657" s="33">
        <v>531200</v>
      </c>
      <c r="T1657" s="33" t="s">
        <v>250</v>
      </c>
      <c r="U1657" s="34">
        <v>12.48292</v>
      </c>
      <c r="V1657" s="7"/>
      <c r="W1657" s="7" t="str">
        <f>VLOOKUP($Q1657,Mapping!$E$11:$I$96,3,0)</f>
        <v>Augmentation</v>
      </c>
      <c r="X1657" s="7" t="str">
        <f>VLOOKUP($S1657,Mapping!$E$140:$K$2771,5,0)</f>
        <v>Contracts</v>
      </c>
      <c r="Y1657" s="7" t="str">
        <f>VLOOKUP($S1657,Mapping!$E$140:$K$2771,7,0)</f>
        <v>ENDirect</v>
      </c>
      <c r="Z1657" s="7" t="str">
        <f>IFERROR(HLOOKUP(X1657,'Calc|Weightings'!$K$5:$M$5,1,0),"Excl")</f>
        <v>Contracts</v>
      </c>
      <c r="AA1657" s="7" t="str">
        <f>VLOOKUP(Q1657,Mapping!$E$11:$I$96,5,0)</f>
        <v>SCS</v>
      </c>
      <c r="AC1657" s="111">
        <v>166</v>
      </c>
      <c r="AD1657" s="111" t="s">
        <v>2174</v>
      </c>
      <c r="AE1657" s="111">
        <v>639050</v>
      </c>
      <c r="AF1657" s="111" t="s">
        <v>2113</v>
      </c>
      <c r="AG1657" s="112">
        <v>1.8004899999999999</v>
      </c>
      <c r="AI1657" s="7" t="str">
        <f>VLOOKUP($AC1657,Mapping!$E$11:$I$96,3,0)</f>
        <v>Augmentation</v>
      </c>
      <c r="AJ1657" s="7" t="str">
        <f>VLOOKUP($AE1657,Mapping!$E$140:$K$2771,5,0)</f>
        <v>PNS Fleet &amp; Property OH</v>
      </c>
      <c r="AK1657" s="7" t="str">
        <f>VLOOKUP($AE1657,Mapping!$E$140:$K$2771,7,0)</f>
        <v>OH</v>
      </c>
      <c r="AL1657" s="7" t="str">
        <f>IFERROR(HLOOKUP(AJ1657,'Calc|Weightings'!$K$5:$M$5,1,0),"Excl")</f>
        <v>Excl</v>
      </c>
      <c r="AM1657" s="7" t="str">
        <f>VLOOKUP(AC1657,Mapping!$E$11:$I$96,5,0)</f>
        <v>SCS</v>
      </c>
      <c r="AO1657" s="134">
        <v>177</v>
      </c>
      <c r="AP1657" s="135" t="s">
        <v>2387</v>
      </c>
      <c r="AQ1657" s="135">
        <v>522200</v>
      </c>
      <c r="AR1657" s="135" t="s">
        <v>2121</v>
      </c>
      <c r="AS1657" s="136">
        <v>-5.6610000000000001E-2</v>
      </c>
      <c r="AU1657" s="7" t="str">
        <f>VLOOKUP($AO1657,Mapping!$E$11:$I$96,3,0)</f>
        <v>Augmentation</v>
      </c>
      <c r="AV1657" s="7" t="str">
        <f>VLOOKUP($AQ1657,Mapping!$E$140:$K$2771,5,0)</f>
        <v>Materials</v>
      </c>
      <c r="AW1657" s="7" t="str">
        <f>VLOOKUP($AQ1657,Mapping!$E$140:$K$2771,7,0)</f>
        <v>ENDirect</v>
      </c>
      <c r="AX1657" s="7" t="str">
        <f>IFERROR(HLOOKUP(AV1657,'Calc|Weightings'!$K$5:$M$5,1,0),"Excl")</f>
        <v>Materials</v>
      </c>
      <c r="AY1657" s="7" t="str">
        <f>VLOOKUP(AO1657,Mapping!$E$11:$I$96,5,0)</f>
        <v>SCS</v>
      </c>
    </row>
    <row r="1658" spans="1:51" x14ac:dyDescent="0.2">
      <c r="A1658" s="7"/>
      <c r="B1658" s="7"/>
      <c r="C1658" s="7"/>
      <c r="D1658" s="7"/>
      <c r="E1658" s="36">
        <v>157</v>
      </c>
      <c r="F1658" s="36" t="s">
        <v>2166</v>
      </c>
      <c r="G1658" s="36">
        <v>520100</v>
      </c>
      <c r="H1658" s="36" t="s">
        <v>2072</v>
      </c>
      <c r="I1658" s="37">
        <v>592.29160999999999</v>
      </c>
      <c r="J1658" s="7"/>
      <c r="K1658" s="7" t="str">
        <f>VLOOKUP($E1658,Mapping!$E$11:$I$96,3,0)</f>
        <v>Replacement</v>
      </c>
      <c r="L1658" s="7" t="str">
        <f>VLOOKUP($G1658,Mapping!$E$140:$K$2771,5,0)</f>
        <v>Materials</v>
      </c>
      <c r="M1658" s="7" t="str">
        <f>VLOOKUP($G1658,Mapping!$E$140:$K$2771,7,0)</f>
        <v>ENDirect</v>
      </c>
      <c r="N1658" s="7" t="str">
        <f>IFERROR(HLOOKUP(L1658,'Calc|Weightings'!$K$5:$M$5,1,0),"Excl")</f>
        <v>Materials</v>
      </c>
      <c r="O1658" s="7" t="str">
        <f>VLOOKUP(E1658,Mapping!$E$11:$I$96,5,0)</f>
        <v>SCS</v>
      </c>
      <c r="Q1658" s="33">
        <v>177</v>
      </c>
      <c r="R1658" s="33" t="s">
        <v>2387</v>
      </c>
      <c r="S1658" s="33">
        <v>531201</v>
      </c>
      <c r="T1658" s="33" t="s">
        <v>251</v>
      </c>
      <c r="U1658" s="34">
        <v>7.875</v>
      </c>
      <c r="V1658" s="7"/>
      <c r="W1658" s="7" t="str">
        <f>VLOOKUP($Q1658,Mapping!$E$11:$I$96,3,0)</f>
        <v>Augmentation</v>
      </c>
      <c r="X1658" s="7" t="str">
        <f>VLOOKUP($S1658,Mapping!$E$140:$K$2771,5,0)</f>
        <v>Contracts</v>
      </c>
      <c r="Y1658" s="7" t="str">
        <f>VLOOKUP($S1658,Mapping!$E$140:$K$2771,7,0)</f>
        <v>ENDirect</v>
      </c>
      <c r="Z1658" s="7" t="str">
        <f>IFERROR(HLOOKUP(X1658,'Calc|Weightings'!$K$5:$M$5,1,0),"Excl")</f>
        <v>Contracts</v>
      </c>
      <c r="AA1658" s="7" t="str">
        <f>VLOOKUP(Q1658,Mapping!$E$11:$I$96,5,0)</f>
        <v>SCS</v>
      </c>
      <c r="AC1658" s="111">
        <v>168</v>
      </c>
      <c r="AD1658" s="111" t="s">
        <v>2176</v>
      </c>
      <c r="AE1658" s="111">
        <v>500200</v>
      </c>
      <c r="AF1658" s="111" t="s">
        <v>136</v>
      </c>
      <c r="AG1658" s="112">
        <v>1.6500000000000001E-2</v>
      </c>
      <c r="AI1658" s="7" t="str">
        <f>VLOOKUP($AC1658,Mapping!$E$11:$I$96,3,0)</f>
        <v>Augmentation</v>
      </c>
      <c r="AJ1658" s="7" t="str">
        <f>VLOOKUP($AE1658,Mapping!$E$140:$K$2771,5,0)</f>
        <v>Labour</v>
      </c>
      <c r="AK1658" s="7" t="str">
        <f>VLOOKUP($AE1658,Mapping!$E$140:$K$2771,7,0)</f>
        <v>ENDirect</v>
      </c>
      <c r="AL1658" s="7" t="str">
        <f>IFERROR(HLOOKUP(AJ1658,'Calc|Weightings'!$K$5:$M$5,1,0),"Excl")</f>
        <v>Labour</v>
      </c>
      <c r="AM1658" s="7" t="str">
        <f>VLOOKUP(AC1658,Mapping!$E$11:$I$96,5,0)</f>
        <v>SCS</v>
      </c>
      <c r="AO1658" s="134">
        <v>177</v>
      </c>
      <c r="AP1658" s="135" t="s">
        <v>2387</v>
      </c>
      <c r="AQ1658" s="135">
        <v>523100</v>
      </c>
      <c r="AR1658" s="135" t="s">
        <v>2074</v>
      </c>
      <c r="AS1658" s="136">
        <v>9.8558500000000002</v>
      </c>
      <c r="AU1658" s="7" t="str">
        <f>VLOOKUP($AO1658,Mapping!$E$11:$I$96,3,0)</f>
        <v>Augmentation</v>
      </c>
      <c r="AV1658" s="7" t="str">
        <f>VLOOKUP($AQ1658,Mapping!$E$140:$K$2771,5,0)</f>
        <v>Materials</v>
      </c>
      <c r="AW1658" s="7" t="str">
        <f>VLOOKUP($AQ1658,Mapping!$E$140:$K$2771,7,0)</f>
        <v>ENDirect</v>
      </c>
      <c r="AX1658" s="7" t="str">
        <f>IFERROR(HLOOKUP(AV1658,'Calc|Weightings'!$K$5:$M$5,1,0),"Excl")</f>
        <v>Materials</v>
      </c>
      <c r="AY1658" s="7" t="str">
        <f>VLOOKUP(AO1658,Mapping!$E$11:$I$96,5,0)</f>
        <v>SCS</v>
      </c>
    </row>
    <row r="1659" spans="1:51" x14ac:dyDescent="0.2">
      <c r="A1659" s="7"/>
      <c r="B1659" s="7"/>
      <c r="C1659" s="7"/>
      <c r="D1659" s="7"/>
      <c r="E1659" s="36">
        <v>157</v>
      </c>
      <c r="F1659" s="36" t="s">
        <v>2166</v>
      </c>
      <c r="G1659" s="36">
        <v>520150</v>
      </c>
      <c r="H1659" s="36" t="s">
        <v>2205</v>
      </c>
      <c r="I1659" s="37">
        <v>3.7379999999999997E-2</v>
      </c>
      <c r="J1659" s="7"/>
      <c r="K1659" s="7" t="str">
        <f>VLOOKUP($E1659,Mapping!$E$11:$I$96,3,0)</f>
        <v>Replacement</v>
      </c>
      <c r="L1659" s="7" t="str">
        <f>VLOOKUP($G1659,Mapping!$E$140:$K$2771,5,0)</f>
        <v>Materials</v>
      </c>
      <c r="M1659" s="7" t="str">
        <f>VLOOKUP($G1659,Mapping!$E$140:$K$2771,7,0)</f>
        <v>ENDirect</v>
      </c>
      <c r="N1659" s="7" t="str">
        <f>IFERROR(HLOOKUP(L1659,'Calc|Weightings'!$K$5:$M$5,1,0),"Excl")</f>
        <v>Materials</v>
      </c>
      <c r="O1659" s="7" t="str">
        <f>VLOOKUP(E1659,Mapping!$E$11:$I$96,5,0)</f>
        <v>SCS</v>
      </c>
      <c r="Q1659" s="33">
        <v>177</v>
      </c>
      <c r="R1659" s="33" t="s">
        <v>2387</v>
      </c>
      <c r="S1659" s="33">
        <v>531464</v>
      </c>
      <c r="T1659" s="33" t="s">
        <v>256</v>
      </c>
      <c r="U1659" s="34">
        <v>5.2919999999999998</v>
      </c>
      <c r="V1659" s="7"/>
      <c r="W1659" s="7" t="str">
        <f>VLOOKUP($Q1659,Mapping!$E$11:$I$96,3,0)</f>
        <v>Augmentation</v>
      </c>
      <c r="X1659" s="7" t="str">
        <f>VLOOKUP($S1659,Mapping!$E$140:$K$2771,5,0)</f>
        <v>Contracts</v>
      </c>
      <c r="Y1659" s="7" t="str">
        <f>VLOOKUP($S1659,Mapping!$E$140:$K$2771,7,0)</f>
        <v>ENDirect</v>
      </c>
      <c r="Z1659" s="7" t="str">
        <f>IFERROR(HLOOKUP(X1659,'Calc|Weightings'!$K$5:$M$5,1,0),"Excl")</f>
        <v>Contracts</v>
      </c>
      <c r="AA1659" s="7" t="str">
        <f>VLOOKUP(Q1659,Mapping!$E$11:$I$96,5,0)</f>
        <v>SCS</v>
      </c>
      <c r="AC1659" s="111">
        <v>168</v>
      </c>
      <c r="AD1659" s="111" t="s">
        <v>2176</v>
      </c>
      <c r="AE1659" s="111">
        <v>520100</v>
      </c>
      <c r="AF1659" s="111" t="s">
        <v>2072</v>
      </c>
      <c r="AG1659" s="112">
        <v>42.523470000000003</v>
      </c>
      <c r="AI1659" s="7" t="str">
        <f>VLOOKUP($AC1659,Mapping!$E$11:$I$96,3,0)</f>
        <v>Augmentation</v>
      </c>
      <c r="AJ1659" s="7" t="str">
        <f>VLOOKUP($AE1659,Mapping!$E$140:$K$2771,5,0)</f>
        <v>Materials</v>
      </c>
      <c r="AK1659" s="7" t="str">
        <f>VLOOKUP($AE1659,Mapping!$E$140:$K$2771,7,0)</f>
        <v>ENDirect</v>
      </c>
      <c r="AL1659" s="7" t="str">
        <f>IFERROR(HLOOKUP(AJ1659,'Calc|Weightings'!$K$5:$M$5,1,0),"Excl")</f>
        <v>Materials</v>
      </c>
      <c r="AM1659" s="7" t="str">
        <f>VLOOKUP(AC1659,Mapping!$E$11:$I$96,5,0)</f>
        <v>SCS</v>
      </c>
      <c r="AO1659" s="134">
        <v>177</v>
      </c>
      <c r="AP1659" s="135" t="s">
        <v>2387</v>
      </c>
      <c r="AQ1659" s="135">
        <v>523300</v>
      </c>
      <c r="AR1659" s="135" t="s">
        <v>2075</v>
      </c>
      <c r="AS1659" s="136">
        <v>0.43667</v>
      </c>
      <c r="AU1659" s="7" t="str">
        <f>VLOOKUP($AO1659,Mapping!$E$11:$I$96,3,0)</f>
        <v>Augmentation</v>
      </c>
      <c r="AV1659" s="7" t="str">
        <f>VLOOKUP($AQ1659,Mapping!$E$140:$K$2771,5,0)</f>
        <v>Materials</v>
      </c>
      <c r="AW1659" s="7" t="str">
        <f>VLOOKUP($AQ1659,Mapping!$E$140:$K$2771,7,0)</f>
        <v>ENDirect</v>
      </c>
      <c r="AX1659" s="7" t="str">
        <f>IFERROR(HLOOKUP(AV1659,'Calc|Weightings'!$K$5:$M$5,1,0),"Excl")</f>
        <v>Materials</v>
      </c>
      <c r="AY1659" s="7" t="str">
        <f>VLOOKUP(AO1659,Mapping!$E$11:$I$96,5,0)</f>
        <v>SCS</v>
      </c>
    </row>
    <row r="1660" spans="1:51" x14ac:dyDescent="0.2">
      <c r="A1660" s="7"/>
      <c r="B1660" s="7"/>
      <c r="C1660" s="7"/>
      <c r="D1660" s="7"/>
      <c r="E1660" s="36">
        <v>157</v>
      </c>
      <c r="F1660" s="36" t="s">
        <v>2166</v>
      </c>
      <c r="G1660" s="36">
        <v>520200</v>
      </c>
      <c r="H1660" s="36" t="s">
        <v>2073</v>
      </c>
      <c r="I1660" s="37">
        <v>185.30239</v>
      </c>
      <c r="J1660" s="7"/>
      <c r="K1660" s="7" t="str">
        <f>VLOOKUP($E1660,Mapping!$E$11:$I$96,3,0)</f>
        <v>Replacement</v>
      </c>
      <c r="L1660" s="7" t="str">
        <f>VLOOKUP($G1660,Mapping!$E$140:$K$2771,5,0)</f>
        <v>Materials</v>
      </c>
      <c r="M1660" s="7" t="str">
        <f>VLOOKUP($G1660,Mapping!$E$140:$K$2771,7,0)</f>
        <v>ENDirect</v>
      </c>
      <c r="N1660" s="7" t="str">
        <f>IFERROR(HLOOKUP(L1660,'Calc|Weightings'!$K$5:$M$5,1,0),"Excl")</f>
        <v>Materials</v>
      </c>
      <c r="O1660" s="7" t="str">
        <f>VLOOKUP(E1660,Mapping!$E$11:$I$96,5,0)</f>
        <v>SCS</v>
      </c>
      <c r="Q1660" s="33">
        <v>177</v>
      </c>
      <c r="R1660" s="33" t="s">
        <v>2387</v>
      </c>
      <c r="S1660" s="33">
        <v>531469</v>
      </c>
      <c r="T1660" s="33" t="s">
        <v>261</v>
      </c>
      <c r="U1660" s="34">
        <v>2742.7755099999999</v>
      </c>
      <c r="V1660" s="7"/>
      <c r="W1660" s="7" t="str">
        <f>VLOOKUP($Q1660,Mapping!$E$11:$I$96,3,0)</f>
        <v>Augmentation</v>
      </c>
      <c r="X1660" s="7" t="str">
        <f>VLOOKUP($S1660,Mapping!$E$140:$K$2771,5,0)</f>
        <v>Labour</v>
      </c>
      <c r="Y1660" s="7" t="str">
        <f>VLOOKUP($S1660,Mapping!$E$140:$K$2771,7,0)</f>
        <v>ENDirect</v>
      </c>
      <c r="Z1660" s="7" t="str">
        <f>IFERROR(HLOOKUP(X1660,'Calc|Weightings'!$K$5:$M$5,1,0),"Excl")</f>
        <v>Labour</v>
      </c>
      <c r="AA1660" s="7" t="str">
        <f>VLOOKUP(Q1660,Mapping!$E$11:$I$96,5,0)</f>
        <v>SCS</v>
      </c>
      <c r="AC1660" s="111">
        <v>168</v>
      </c>
      <c r="AD1660" s="111" t="s">
        <v>2176</v>
      </c>
      <c r="AE1660" s="111">
        <v>520200</v>
      </c>
      <c r="AF1660" s="111" t="s">
        <v>2073</v>
      </c>
      <c r="AG1660" s="112">
        <v>32.652369999999998</v>
      </c>
      <c r="AI1660" s="7" t="str">
        <f>VLOOKUP($AC1660,Mapping!$E$11:$I$96,3,0)</f>
        <v>Augmentation</v>
      </c>
      <c r="AJ1660" s="7" t="str">
        <f>VLOOKUP($AE1660,Mapping!$E$140:$K$2771,5,0)</f>
        <v>Materials</v>
      </c>
      <c r="AK1660" s="7" t="str">
        <f>VLOOKUP($AE1660,Mapping!$E$140:$K$2771,7,0)</f>
        <v>ENDirect</v>
      </c>
      <c r="AL1660" s="7" t="str">
        <f>IFERROR(HLOOKUP(AJ1660,'Calc|Weightings'!$K$5:$M$5,1,0),"Excl")</f>
        <v>Materials</v>
      </c>
      <c r="AM1660" s="7" t="str">
        <f>VLOOKUP(AC1660,Mapping!$E$11:$I$96,5,0)</f>
        <v>SCS</v>
      </c>
      <c r="AO1660" s="134">
        <v>177</v>
      </c>
      <c r="AP1660" s="135" t="s">
        <v>2387</v>
      </c>
      <c r="AQ1660" s="135">
        <v>531000</v>
      </c>
      <c r="AR1660" s="135" t="s">
        <v>242</v>
      </c>
      <c r="AS1660" s="136">
        <v>2.0384199999999999</v>
      </c>
      <c r="AU1660" s="7" t="str">
        <f>VLOOKUP($AO1660,Mapping!$E$11:$I$96,3,0)</f>
        <v>Augmentation</v>
      </c>
      <c r="AV1660" s="7" t="str">
        <f>VLOOKUP($AQ1660,Mapping!$E$140:$K$2771,5,0)</f>
        <v>Contracts</v>
      </c>
      <c r="AW1660" s="7" t="str">
        <f>VLOOKUP($AQ1660,Mapping!$E$140:$K$2771,7,0)</f>
        <v>ENDirect</v>
      </c>
      <c r="AX1660" s="7" t="str">
        <f>IFERROR(HLOOKUP(AV1660,'Calc|Weightings'!$K$5:$M$5,1,0),"Excl")</f>
        <v>Contracts</v>
      </c>
      <c r="AY1660" s="7" t="str">
        <f>VLOOKUP(AO1660,Mapping!$E$11:$I$96,5,0)</f>
        <v>SCS</v>
      </c>
    </row>
    <row r="1661" spans="1:51" x14ac:dyDescent="0.2">
      <c r="A1661" s="7"/>
      <c r="B1661" s="7"/>
      <c r="C1661" s="7"/>
      <c r="D1661" s="7"/>
      <c r="E1661" s="36">
        <v>157</v>
      </c>
      <c r="F1661" s="36" t="s">
        <v>2166</v>
      </c>
      <c r="G1661" s="36">
        <v>523100</v>
      </c>
      <c r="H1661" s="36" t="s">
        <v>2074</v>
      </c>
      <c r="I1661" s="37">
        <v>10.945819999999999</v>
      </c>
      <c r="J1661" s="7"/>
      <c r="K1661" s="7" t="str">
        <f>VLOOKUP($E1661,Mapping!$E$11:$I$96,3,0)</f>
        <v>Replacement</v>
      </c>
      <c r="L1661" s="7" t="str">
        <f>VLOOKUP($G1661,Mapping!$E$140:$K$2771,5,0)</f>
        <v>Materials</v>
      </c>
      <c r="M1661" s="7" t="str">
        <f>VLOOKUP($G1661,Mapping!$E$140:$K$2771,7,0)</f>
        <v>ENDirect</v>
      </c>
      <c r="N1661" s="7" t="str">
        <f>IFERROR(HLOOKUP(L1661,'Calc|Weightings'!$K$5:$M$5,1,0),"Excl")</f>
        <v>Materials</v>
      </c>
      <c r="O1661" s="7" t="str">
        <f>VLOOKUP(E1661,Mapping!$E$11:$I$96,5,0)</f>
        <v>SCS</v>
      </c>
      <c r="Q1661" s="33">
        <v>177</v>
      </c>
      <c r="R1661" s="33" t="s">
        <v>2387</v>
      </c>
      <c r="S1661" s="33">
        <v>545150</v>
      </c>
      <c r="T1661" s="33" t="s">
        <v>345</v>
      </c>
      <c r="U1661" s="34">
        <v>0.15317</v>
      </c>
      <c r="V1661" s="7"/>
      <c r="W1661" s="7" t="str">
        <f>VLOOKUP($Q1661,Mapping!$E$11:$I$96,3,0)</f>
        <v>Augmentation</v>
      </c>
      <c r="X1661" s="7" t="str">
        <f>VLOOKUP($S1661,Mapping!$E$140:$K$2771,5,0)</f>
        <v>Contracts</v>
      </c>
      <c r="Y1661" s="7" t="str">
        <f>VLOOKUP($S1661,Mapping!$E$140:$K$2771,7,0)</f>
        <v>ENDirect</v>
      </c>
      <c r="Z1661" s="7" t="str">
        <f>IFERROR(HLOOKUP(X1661,'Calc|Weightings'!$K$5:$M$5,1,0),"Excl")</f>
        <v>Contracts</v>
      </c>
      <c r="AA1661" s="7" t="str">
        <f>VLOOKUP(Q1661,Mapping!$E$11:$I$96,5,0)</f>
        <v>SCS</v>
      </c>
      <c r="AC1661" s="111">
        <v>168</v>
      </c>
      <c r="AD1661" s="111" t="s">
        <v>2176</v>
      </c>
      <c r="AE1661" s="111">
        <v>523100</v>
      </c>
      <c r="AF1661" s="111" t="s">
        <v>2074</v>
      </c>
      <c r="AG1661" s="112">
        <v>0.10349</v>
      </c>
      <c r="AI1661" s="7" t="str">
        <f>VLOOKUP($AC1661,Mapping!$E$11:$I$96,3,0)</f>
        <v>Augmentation</v>
      </c>
      <c r="AJ1661" s="7" t="str">
        <f>VLOOKUP($AE1661,Mapping!$E$140:$K$2771,5,0)</f>
        <v>Materials</v>
      </c>
      <c r="AK1661" s="7" t="str">
        <f>VLOOKUP($AE1661,Mapping!$E$140:$K$2771,7,0)</f>
        <v>ENDirect</v>
      </c>
      <c r="AL1661" s="7" t="str">
        <f>IFERROR(HLOOKUP(AJ1661,'Calc|Weightings'!$K$5:$M$5,1,0),"Excl")</f>
        <v>Materials</v>
      </c>
      <c r="AM1661" s="7" t="str">
        <f>VLOOKUP(AC1661,Mapping!$E$11:$I$96,5,0)</f>
        <v>SCS</v>
      </c>
      <c r="AO1661" s="134">
        <v>177</v>
      </c>
      <c r="AP1661" s="135" t="s">
        <v>2387</v>
      </c>
      <c r="AQ1661" s="135">
        <v>531020</v>
      </c>
      <c r="AR1661" s="135" t="s">
        <v>219</v>
      </c>
      <c r="AS1661" s="136">
        <v>1.84063</v>
      </c>
      <c r="AU1661" s="7" t="str">
        <f>VLOOKUP($AO1661,Mapping!$E$11:$I$96,3,0)</f>
        <v>Augmentation</v>
      </c>
      <c r="AV1661" s="7" t="str">
        <f>VLOOKUP($AQ1661,Mapping!$E$140:$K$2771,5,0)</f>
        <v>Labour</v>
      </c>
      <c r="AW1661" s="7" t="str">
        <f>VLOOKUP($AQ1661,Mapping!$E$140:$K$2771,7,0)</f>
        <v>ENDirect</v>
      </c>
      <c r="AX1661" s="7" t="str">
        <f>IFERROR(HLOOKUP(AV1661,'Calc|Weightings'!$K$5:$M$5,1,0),"Excl")</f>
        <v>Labour</v>
      </c>
      <c r="AY1661" s="7" t="str">
        <f>VLOOKUP(AO1661,Mapping!$E$11:$I$96,5,0)</f>
        <v>SCS</v>
      </c>
    </row>
    <row r="1662" spans="1:51" x14ac:dyDescent="0.2">
      <c r="A1662" s="7"/>
      <c r="B1662" s="7"/>
      <c r="C1662" s="7"/>
      <c r="D1662" s="7"/>
      <c r="E1662" s="36">
        <v>157</v>
      </c>
      <c r="F1662" s="36" t="s">
        <v>2166</v>
      </c>
      <c r="G1662" s="36">
        <v>523300</v>
      </c>
      <c r="H1662" s="36" t="s">
        <v>2075</v>
      </c>
      <c r="I1662" s="37">
        <v>2.4416099999999998</v>
      </c>
      <c r="J1662" s="7"/>
      <c r="K1662" s="7" t="str">
        <f>VLOOKUP($E1662,Mapping!$E$11:$I$96,3,0)</f>
        <v>Replacement</v>
      </c>
      <c r="L1662" s="7" t="str">
        <f>VLOOKUP($G1662,Mapping!$E$140:$K$2771,5,0)</f>
        <v>Materials</v>
      </c>
      <c r="M1662" s="7" t="str">
        <f>VLOOKUP($G1662,Mapping!$E$140:$K$2771,7,0)</f>
        <v>ENDirect</v>
      </c>
      <c r="N1662" s="7" t="str">
        <f>IFERROR(HLOOKUP(L1662,'Calc|Weightings'!$K$5:$M$5,1,0),"Excl")</f>
        <v>Materials</v>
      </c>
      <c r="O1662" s="7" t="str">
        <f>VLOOKUP(E1662,Mapping!$E$11:$I$96,5,0)</f>
        <v>SCS</v>
      </c>
      <c r="Q1662" s="33">
        <v>177</v>
      </c>
      <c r="R1662" s="33" t="s">
        <v>2387</v>
      </c>
      <c r="S1662" s="33">
        <v>611900</v>
      </c>
      <c r="T1662" s="33" t="s">
        <v>2079</v>
      </c>
      <c r="U1662" s="34">
        <v>7.9000000000000008E-3</v>
      </c>
      <c r="V1662" s="7"/>
      <c r="W1662" s="7" t="str">
        <f>VLOOKUP($Q1662,Mapping!$E$11:$I$96,3,0)</f>
        <v>Augmentation</v>
      </c>
      <c r="X1662" s="7" t="str">
        <f>VLOOKUP($S1662,Mapping!$E$140:$K$2771,5,0)</f>
        <v>Contracts</v>
      </c>
      <c r="Y1662" s="7" t="str">
        <f>VLOOKUP($S1662,Mapping!$E$140:$K$2771,7,0)</f>
        <v>ENDirect</v>
      </c>
      <c r="Z1662" s="7" t="str">
        <f>IFERROR(HLOOKUP(X1662,'Calc|Weightings'!$K$5:$M$5,1,0),"Excl")</f>
        <v>Contracts</v>
      </c>
      <c r="AA1662" s="7" t="str">
        <f>VLOOKUP(Q1662,Mapping!$E$11:$I$96,5,0)</f>
        <v>SCS</v>
      </c>
      <c r="AC1662" s="111">
        <v>168</v>
      </c>
      <c r="AD1662" s="111" t="s">
        <v>2176</v>
      </c>
      <c r="AE1662" s="111">
        <v>531000</v>
      </c>
      <c r="AF1662" s="111" t="s">
        <v>242</v>
      </c>
      <c r="AG1662" s="112">
        <v>33.240180000000002</v>
      </c>
      <c r="AI1662" s="7" t="str">
        <f>VLOOKUP($AC1662,Mapping!$E$11:$I$96,3,0)</f>
        <v>Augmentation</v>
      </c>
      <c r="AJ1662" s="7" t="str">
        <f>VLOOKUP($AE1662,Mapping!$E$140:$K$2771,5,0)</f>
        <v>Contracts</v>
      </c>
      <c r="AK1662" s="7" t="str">
        <f>VLOOKUP($AE1662,Mapping!$E$140:$K$2771,7,0)</f>
        <v>ENDirect</v>
      </c>
      <c r="AL1662" s="7" t="str">
        <f>IFERROR(HLOOKUP(AJ1662,'Calc|Weightings'!$K$5:$M$5,1,0),"Excl")</f>
        <v>Contracts</v>
      </c>
      <c r="AM1662" s="7" t="str">
        <f>VLOOKUP(AC1662,Mapping!$E$11:$I$96,5,0)</f>
        <v>SCS</v>
      </c>
      <c r="AO1662" s="134">
        <v>177</v>
      </c>
      <c r="AP1662" s="135" t="s">
        <v>2387</v>
      </c>
      <c r="AQ1662" s="135">
        <v>531201</v>
      </c>
      <c r="AR1662" s="135" t="s">
        <v>251</v>
      </c>
      <c r="AS1662" s="136">
        <v>53.182540000000003</v>
      </c>
      <c r="AU1662" s="7" t="str">
        <f>VLOOKUP($AO1662,Mapping!$E$11:$I$96,3,0)</f>
        <v>Augmentation</v>
      </c>
      <c r="AV1662" s="7" t="str">
        <f>VLOOKUP($AQ1662,Mapping!$E$140:$K$2771,5,0)</f>
        <v>Contracts</v>
      </c>
      <c r="AW1662" s="7" t="str">
        <f>VLOOKUP($AQ1662,Mapping!$E$140:$K$2771,7,0)</f>
        <v>ENDirect</v>
      </c>
      <c r="AX1662" s="7" t="str">
        <f>IFERROR(HLOOKUP(AV1662,'Calc|Weightings'!$K$5:$M$5,1,0),"Excl")</f>
        <v>Contracts</v>
      </c>
      <c r="AY1662" s="7" t="str">
        <f>VLOOKUP(AO1662,Mapping!$E$11:$I$96,5,0)</f>
        <v>SCS</v>
      </c>
    </row>
    <row r="1663" spans="1:51" x14ac:dyDescent="0.2">
      <c r="A1663" s="7"/>
      <c r="B1663" s="7"/>
      <c r="C1663" s="7"/>
      <c r="D1663" s="7"/>
      <c r="E1663" s="36">
        <v>157</v>
      </c>
      <c r="F1663" s="36" t="s">
        <v>2166</v>
      </c>
      <c r="G1663" s="36">
        <v>531020</v>
      </c>
      <c r="H1663" s="36" t="s">
        <v>219</v>
      </c>
      <c r="I1663" s="37">
        <v>159.28406000000001</v>
      </c>
      <c r="J1663" s="7"/>
      <c r="K1663" s="7" t="str">
        <f>VLOOKUP($E1663,Mapping!$E$11:$I$96,3,0)</f>
        <v>Replacement</v>
      </c>
      <c r="L1663" s="7" t="str">
        <f>VLOOKUP($G1663,Mapping!$E$140:$K$2771,5,0)</f>
        <v>Labour</v>
      </c>
      <c r="M1663" s="7" t="str">
        <f>VLOOKUP($G1663,Mapping!$E$140:$K$2771,7,0)</f>
        <v>ENDirect</v>
      </c>
      <c r="N1663" s="7" t="str">
        <f>IFERROR(HLOOKUP(L1663,'Calc|Weightings'!$K$5:$M$5,1,0),"Excl")</f>
        <v>Labour</v>
      </c>
      <c r="O1663" s="7" t="str">
        <f>VLOOKUP(E1663,Mapping!$E$11:$I$96,5,0)</f>
        <v>SCS</v>
      </c>
      <c r="Q1663" s="33">
        <v>177</v>
      </c>
      <c r="R1663" s="33" t="s">
        <v>2387</v>
      </c>
      <c r="S1663" s="33">
        <v>613260</v>
      </c>
      <c r="T1663" s="33" t="s">
        <v>2090</v>
      </c>
      <c r="U1663" s="34">
        <v>3.2303899999999999</v>
      </c>
      <c r="V1663" s="7"/>
      <c r="W1663" s="7" t="str">
        <f>VLOOKUP($Q1663,Mapping!$E$11:$I$96,3,0)</f>
        <v>Augmentation</v>
      </c>
      <c r="X1663" s="7" t="str">
        <f>VLOOKUP($S1663,Mapping!$E$140:$K$2771,5,0)</f>
        <v>Labour</v>
      </c>
      <c r="Y1663" s="7" t="str">
        <f>VLOOKUP($S1663,Mapping!$E$140:$K$2771,7,0)</f>
        <v>ENDirect</v>
      </c>
      <c r="Z1663" s="7" t="str">
        <f>IFERROR(HLOOKUP(X1663,'Calc|Weightings'!$K$5:$M$5,1,0),"Excl")</f>
        <v>Labour</v>
      </c>
      <c r="AA1663" s="7" t="str">
        <f>VLOOKUP(Q1663,Mapping!$E$11:$I$96,5,0)</f>
        <v>SCS</v>
      </c>
      <c r="AC1663" s="111">
        <v>168</v>
      </c>
      <c r="AD1663" s="111" t="s">
        <v>2176</v>
      </c>
      <c r="AE1663" s="111">
        <v>531200</v>
      </c>
      <c r="AF1663" s="111" t="s">
        <v>250</v>
      </c>
      <c r="AG1663" s="112">
        <v>13.420999999999999</v>
      </c>
      <c r="AI1663" s="7" t="str">
        <f>VLOOKUP($AC1663,Mapping!$E$11:$I$96,3,0)</f>
        <v>Augmentation</v>
      </c>
      <c r="AJ1663" s="7" t="str">
        <f>VLOOKUP($AE1663,Mapping!$E$140:$K$2771,5,0)</f>
        <v>Contracts</v>
      </c>
      <c r="AK1663" s="7" t="str">
        <f>VLOOKUP($AE1663,Mapping!$E$140:$K$2771,7,0)</f>
        <v>ENDirect</v>
      </c>
      <c r="AL1663" s="7" t="str">
        <f>IFERROR(HLOOKUP(AJ1663,'Calc|Weightings'!$K$5:$M$5,1,0),"Excl")</f>
        <v>Contracts</v>
      </c>
      <c r="AM1663" s="7" t="str">
        <f>VLOOKUP(AC1663,Mapping!$E$11:$I$96,5,0)</f>
        <v>SCS</v>
      </c>
      <c r="AO1663" s="134">
        <v>177</v>
      </c>
      <c r="AP1663" s="135" t="s">
        <v>2387</v>
      </c>
      <c r="AQ1663" s="135">
        <v>531464</v>
      </c>
      <c r="AR1663" s="135" t="s">
        <v>256</v>
      </c>
      <c r="AS1663" s="136">
        <v>827.29687999999999</v>
      </c>
      <c r="AU1663" s="7" t="str">
        <f>VLOOKUP($AO1663,Mapping!$E$11:$I$96,3,0)</f>
        <v>Augmentation</v>
      </c>
      <c r="AV1663" s="7" t="str">
        <f>VLOOKUP($AQ1663,Mapping!$E$140:$K$2771,5,0)</f>
        <v>Contracts</v>
      </c>
      <c r="AW1663" s="7" t="str">
        <f>VLOOKUP($AQ1663,Mapping!$E$140:$K$2771,7,0)</f>
        <v>ENDirect</v>
      </c>
      <c r="AX1663" s="7" t="str">
        <f>IFERROR(HLOOKUP(AV1663,'Calc|Weightings'!$K$5:$M$5,1,0),"Excl")</f>
        <v>Contracts</v>
      </c>
      <c r="AY1663" s="7" t="str">
        <f>VLOOKUP(AO1663,Mapping!$E$11:$I$96,5,0)</f>
        <v>SCS</v>
      </c>
    </row>
    <row r="1664" spans="1:51" x14ac:dyDescent="0.2">
      <c r="A1664" s="7"/>
      <c r="B1664" s="7"/>
      <c r="C1664" s="7"/>
      <c r="D1664" s="7"/>
      <c r="E1664" s="36">
        <v>157</v>
      </c>
      <c r="F1664" s="36" t="s">
        <v>2166</v>
      </c>
      <c r="G1664" s="36">
        <v>531035</v>
      </c>
      <c r="H1664" s="36" t="s">
        <v>244</v>
      </c>
      <c r="I1664" s="37">
        <v>44.84</v>
      </c>
      <c r="J1664" s="7"/>
      <c r="K1664" s="7" t="str">
        <f>VLOOKUP($E1664,Mapping!$E$11:$I$96,3,0)</f>
        <v>Replacement</v>
      </c>
      <c r="L1664" s="7" t="str">
        <f>VLOOKUP($G1664,Mapping!$E$140:$K$2771,5,0)</f>
        <v>Labour</v>
      </c>
      <c r="M1664" s="7" t="str">
        <f>VLOOKUP($G1664,Mapping!$E$140:$K$2771,7,0)</f>
        <v>ENDirect</v>
      </c>
      <c r="N1664" s="7" t="str">
        <f>IFERROR(HLOOKUP(L1664,'Calc|Weightings'!$K$5:$M$5,1,0),"Excl")</f>
        <v>Labour</v>
      </c>
      <c r="O1664" s="7" t="str">
        <f>VLOOKUP(E1664,Mapping!$E$11:$I$96,5,0)</f>
        <v>SCS</v>
      </c>
      <c r="Q1664" s="33">
        <v>177</v>
      </c>
      <c r="R1664" s="33" t="s">
        <v>2387</v>
      </c>
      <c r="S1664" s="33">
        <v>613280</v>
      </c>
      <c r="T1664" s="33" t="s">
        <v>1342</v>
      </c>
      <c r="U1664" s="34">
        <v>0.29741000000000001</v>
      </c>
      <c r="V1664" s="7"/>
      <c r="W1664" s="7" t="str">
        <f>VLOOKUP($Q1664,Mapping!$E$11:$I$96,3,0)</f>
        <v>Augmentation</v>
      </c>
      <c r="X1664" s="7" t="str">
        <f>VLOOKUP($S1664,Mapping!$E$140:$K$2771,5,0)</f>
        <v>Labour</v>
      </c>
      <c r="Y1664" s="7" t="str">
        <f>VLOOKUP($S1664,Mapping!$E$140:$K$2771,7,0)</f>
        <v>ENDirect</v>
      </c>
      <c r="Z1664" s="7" t="str">
        <f>IFERROR(HLOOKUP(X1664,'Calc|Weightings'!$K$5:$M$5,1,0),"Excl")</f>
        <v>Labour</v>
      </c>
      <c r="AA1664" s="7" t="str">
        <f>VLOOKUP(Q1664,Mapping!$E$11:$I$96,5,0)</f>
        <v>SCS</v>
      </c>
      <c r="AC1664" s="111">
        <v>168</v>
      </c>
      <c r="AD1664" s="111" t="s">
        <v>2176</v>
      </c>
      <c r="AE1664" s="111">
        <v>531201</v>
      </c>
      <c r="AF1664" s="111" t="s">
        <v>251</v>
      </c>
      <c r="AG1664" s="112">
        <v>69.689120000000003</v>
      </c>
      <c r="AI1664" s="7" t="str">
        <f>VLOOKUP($AC1664,Mapping!$E$11:$I$96,3,0)</f>
        <v>Augmentation</v>
      </c>
      <c r="AJ1664" s="7" t="str">
        <f>VLOOKUP($AE1664,Mapping!$E$140:$K$2771,5,0)</f>
        <v>Contracts</v>
      </c>
      <c r="AK1664" s="7" t="str">
        <f>VLOOKUP($AE1664,Mapping!$E$140:$K$2771,7,0)</f>
        <v>ENDirect</v>
      </c>
      <c r="AL1664" s="7" t="str">
        <f>IFERROR(HLOOKUP(AJ1664,'Calc|Weightings'!$K$5:$M$5,1,0),"Excl")</f>
        <v>Contracts</v>
      </c>
      <c r="AM1664" s="7" t="str">
        <f>VLOOKUP(AC1664,Mapping!$E$11:$I$96,5,0)</f>
        <v>SCS</v>
      </c>
      <c r="AO1664" s="134">
        <v>177</v>
      </c>
      <c r="AP1664" s="135" t="s">
        <v>2387</v>
      </c>
      <c r="AQ1664" s="135">
        <v>531466</v>
      </c>
      <c r="AR1664" s="135" t="s">
        <v>258</v>
      </c>
      <c r="AS1664" s="136">
        <v>0.1903</v>
      </c>
      <c r="AU1664" s="7" t="str">
        <f>VLOOKUP($AO1664,Mapping!$E$11:$I$96,3,0)</f>
        <v>Augmentation</v>
      </c>
      <c r="AV1664" s="7" t="str">
        <f>VLOOKUP($AQ1664,Mapping!$E$140:$K$2771,5,0)</f>
        <v>Contracts</v>
      </c>
      <c r="AW1664" s="7" t="str">
        <f>VLOOKUP($AQ1664,Mapping!$E$140:$K$2771,7,0)</f>
        <v>ENDirect</v>
      </c>
      <c r="AX1664" s="7" t="str">
        <f>IFERROR(HLOOKUP(AV1664,'Calc|Weightings'!$K$5:$M$5,1,0),"Excl")</f>
        <v>Contracts</v>
      </c>
      <c r="AY1664" s="7" t="str">
        <f>VLOOKUP(AO1664,Mapping!$E$11:$I$96,5,0)</f>
        <v>SCS</v>
      </c>
    </row>
    <row r="1665" spans="1:51" x14ac:dyDescent="0.2">
      <c r="A1665" s="7"/>
      <c r="B1665" s="7"/>
      <c r="C1665" s="7"/>
      <c r="D1665" s="7"/>
      <c r="E1665" s="36">
        <v>157</v>
      </c>
      <c r="F1665" s="36" t="s">
        <v>2166</v>
      </c>
      <c r="G1665" s="36">
        <v>531200</v>
      </c>
      <c r="H1665" s="36" t="s">
        <v>250</v>
      </c>
      <c r="I1665" s="37">
        <v>318.16886</v>
      </c>
      <c r="J1665" s="7"/>
      <c r="K1665" s="7" t="str">
        <f>VLOOKUP($E1665,Mapping!$E$11:$I$96,3,0)</f>
        <v>Replacement</v>
      </c>
      <c r="L1665" s="7" t="str">
        <f>VLOOKUP($G1665,Mapping!$E$140:$K$2771,5,0)</f>
        <v>Contracts</v>
      </c>
      <c r="M1665" s="7" t="str">
        <f>VLOOKUP($G1665,Mapping!$E$140:$K$2771,7,0)</f>
        <v>ENDirect</v>
      </c>
      <c r="N1665" s="7" t="str">
        <f>IFERROR(HLOOKUP(L1665,'Calc|Weightings'!$K$5:$M$5,1,0),"Excl")</f>
        <v>Contracts</v>
      </c>
      <c r="O1665" s="7" t="str">
        <f>VLOOKUP(E1665,Mapping!$E$11:$I$96,5,0)</f>
        <v>SCS</v>
      </c>
      <c r="Q1665" s="33">
        <v>177</v>
      </c>
      <c r="R1665" s="33" t="s">
        <v>2387</v>
      </c>
      <c r="S1665" s="33">
        <v>613360</v>
      </c>
      <c r="T1665" s="33" t="s">
        <v>2097</v>
      </c>
      <c r="U1665" s="34">
        <v>-0.84772000000000003</v>
      </c>
      <c r="V1665" s="7"/>
      <c r="W1665" s="7" t="str">
        <f>VLOOKUP($Q1665,Mapping!$E$11:$I$96,3,0)</f>
        <v>Augmentation</v>
      </c>
      <c r="X1665" s="7" t="str">
        <f>VLOOKUP($S1665,Mapping!$E$140:$K$2771,5,0)</f>
        <v>Labour</v>
      </c>
      <c r="Y1665" s="7" t="str">
        <f>VLOOKUP($S1665,Mapping!$E$140:$K$2771,7,0)</f>
        <v>ENDirect</v>
      </c>
      <c r="Z1665" s="7" t="str">
        <f>IFERROR(HLOOKUP(X1665,'Calc|Weightings'!$K$5:$M$5,1,0),"Excl")</f>
        <v>Labour</v>
      </c>
      <c r="AA1665" s="7" t="str">
        <f>VLOOKUP(Q1665,Mapping!$E$11:$I$96,5,0)</f>
        <v>SCS</v>
      </c>
      <c r="AC1665" s="111">
        <v>168</v>
      </c>
      <c r="AD1665" s="111" t="s">
        <v>2176</v>
      </c>
      <c r="AE1665" s="111">
        <v>531210</v>
      </c>
      <c r="AF1665" s="111" t="s">
        <v>252</v>
      </c>
      <c r="AG1665" s="112">
        <v>2.7586300000000001</v>
      </c>
      <c r="AI1665" s="7" t="str">
        <f>VLOOKUP($AC1665,Mapping!$E$11:$I$96,3,0)</f>
        <v>Augmentation</v>
      </c>
      <c r="AJ1665" s="7" t="str">
        <f>VLOOKUP($AE1665,Mapping!$E$140:$K$2771,5,0)</f>
        <v>Labour</v>
      </c>
      <c r="AK1665" s="7" t="str">
        <f>VLOOKUP($AE1665,Mapping!$E$140:$K$2771,7,0)</f>
        <v>ENDirect</v>
      </c>
      <c r="AL1665" s="7" t="str">
        <f>IFERROR(HLOOKUP(AJ1665,'Calc|Weightings'!$K$5:$M$5,1,0),"Excl")</f>
        <v>Labour</v>
      </c>
      <c r="AM1665" s="7" t="str">
        <f>VLOOKUP(AC1665,Mapping!$E$11:$I$96,5,0)</f>
        <v>SCS</v>
      </c>
      <c r="AO1665" s="134">
        <v>177</v>
      </c>
      <c r="AP1665" s="135" t="s">
        <v>2387</v>
      </c>
      <c r="AQ1665" s="135">
        <v>531467</v>
      </c>
      <c r="AR1665" s="135" t="s">
        <v>259</v>
      </c>
      <c r="AS1665" s="136">
        <v>405.75810000000001</v>
      </c>
      <c r="AU1665" s="7" t="str">
        <f>VLOOKUP($AO1665,Mapping!$E$11:$I$96,3,0)</f>
        <v>Augmentation</v>
      </c>
      <c r="AV1665" s="7" t="str">
        <f>VLOOKUP($AQ1665,Mapping!$E$140:$K$2771,5,0)</f>
        <v>Contracts</v>
      </c>
      <c r="AW1665" s="7" t="str">
        <f>VLOOKUP($AQ1665,Mapping!$E$140:$K$2771,7,0)</f>
        <v>ENDirect</v>
      </c>
      <c r="AX1665" s="7" t="str">
        <f>IFERROR(HLOOKUP(AV1665,'Calc|Weightings'!$K$5:$M$5,1,0),"Excl")</f>
        <v>Contracts</v>
      </c>
      <c r="AY1665" s="7" t="str">
        <f>VLOOKUP(AO1665,Mapping!$E$11:$I$96,5,0)</f>
        <v>SCS</v>
      </c>
    </row>
    <row r="1666" spans="1:51" x14ac:dyDescent="0.2">
      <c r="A1666" s="7"/>
      <c r="B1666" s="7"/>
      <c r="C1666" s="7"/>
      <c r="D1666" s="7"/>
      <c r="E1666" s="36">
        <v>157</v>
      </c>
      <c r="F1666" s="36" t="s">
        <v>2166</v>
      </c>
      <c r="G1666" s="36">
        <v>531201</v>
      </c>
      <c r="H1666" s="36" t="s">
        <v>251</v>
      </c>
      <c r="I1666" s="37">
        <v>16.875</v>
      </c>
      <c r="J1666" s="7"/>
      <c r="K1666" s="7" t="str">
        <f>VLOOKUP($E1666,Mapping!$E$11:$I$96,3,0)</f>
        <v>Replacement</v>
      </c>
      <c r="L1666" s="7" t="str">
        <f>VLOOKUP($G1666,Mapping!$E$140:$K$2771,5,0)</f>
        <v>Contracts</v>
      </c>
      <c r="M1666" s="7" t="str">
        <f>VLOOKUP($G1666,Mapping!$E$140:$K$2771,7,0)</f>
        <v>ENDirect</v>
      </c>
      <c r="N1666" s="7" t="str">
        <f>IFERROR(HLOOKUP(L1666,'Calc|Weightings'!$K$5:$M$5,1,0),"Excl")</f>
        <v>Contracts</v>
      </c>
      <c r="O1666" s="7" t="str">
        <f>VLOOKUP(E1666,Mapping!$E$11:$I$96,5,0)</f>
        <v>SCS</v>
      </c>
      <c r="Q1666" s="33">
        <v>177</v>
      </c>
      <c r="R1666" s="33" t="s">
        <v>2387</v>
      </c>
      <c r="S1666" s="33">
        <v>613566</v>
      </c>
      <c r="T1666" s="33" t="s">
        <v>1482</v>
      </c>
      <c r="U1666" s="34">
        <v>1.99786</v>
      </c>
      <c r="V1666" s="7"/>
      <c r="W1666" s="7" t="str">
        <f>VLOOKUP($Q1666,Mapping!$E$11:$I$96,3,0)</f>
        <v>Augmentation</v>
      </c>
      <c r="X1666" s="7" t="str">
        <f>VLOOKUP($S1666,Mapping!$E$140:$K$2771,5,0)</f>
        <v>Labour</v>
      </c>
      <c r="Y1666" s="7" t="str">
        <f>VLOOKUP($S1666,Mapping!$E$140:$K$2771,7,0)</f>
        <v>ENDirect</v>
      </c>
      <c r="Z1666" s="7" t="str">
        <f>IFERROR(HLOOKUP(X1666,'Calc|Weightings'!$K$5:$M$5,1,0),"Excl")</f>
        <v>Labour</v>
      </c>
      <c r="AA1666" s="7" t="str">
        <f>VLOOKUP(Q1666,Mapping!$E$11:$I$96,5,0)</f>
        <v>SCS</v>
      </c>
      <c r="AC1666" s="111">
        <v>168</v>
      </c>
      <c r="AD1666" s="111" t="s">
        <v>2176</v>
      </c>
      <c r="AE1666" s="111">
        <v>531464</v>
      </c>
      <c r="AF1666" s="111" t="s">
        <v>256</v>
      </c>
      <c r="AG1666" s="112">
        <v>27.19387</v>
      </c>
      <c r="AI1666" s="7" t="str">
        <f>VLOOKUP($AC1666,Mapping!$E$11:$I$96,3,0)</f>
        <v>Augmentation</v>
      </c>
      <c r="AJ1666" s="7" t="str">
        <f>VLOOKUP($AE1666,Mapping!$E$140:$K$2771,5,0)</f>
        <v>Contracts</v>
      </c>
      <c r="AK1666" s="7" t="str">
        <f>VLOOKUP($AE1666,Mapping!$E$140:$K$2771,7,0)</f>
        <v>ENDirect</v>
      </c>
      <c r="AL1666" s="7" t="str">
        <f>IFERROR(HLOOKUP(AJ1666,'Calc|Weightings'!$K$5:$M$5,1,0),"Excl")</f>
        <v>Contracts</v>
      </c>
      <c r="AM1666" s="7" t="str">
        <f>VLOOKUP(AC1666,Mapping!$E$11:$I$96,5,0)</f>
        <v>SCS</v>
      </c>
      <c r="AO1666" s="134">
        <v>177</v>
      </c>
      <c r="AP1666" s="135" t="s">
        <v>2387</v>
      </c>
      <c r="AQ1666" s="135">
        <v>531468</v>
      </c>
      <c r="AR1666" s="135" t="s">
        <v>260</v>
      </c>
      <c r="AS1666" s="136">
        <v>178.67067</v>
      </c>
      <c r="AU1666" s="7" t="str">
        <f>VLOOKUP($AO1666,Mapping!$E$11:$I$96,3,0)</f>
        <v>Augmentation</v>
      </c>
      <c r="AV1666" s="7" t="str">
        <f>VLOOKUP($AQ1666,Mapping!$E$140:$K$2771,5,0)</f>
        <v>Contracts</v>
      </c>
      <c r="AW1666" s="7" t="str">
        <f>VLOOKUP($AQ1666,Mapping!$E$140:$K$2771,7,0)</f>
        <v>ENDirect</v>
      </c>
      <c r="AX1666" s="7" t="str">
        <f>IFERROR(HLOOKUP(AV1666,'Calc|Weightings'!$K$5:$M$5,1,0),"Excl")</f>
        <v>Contracts</v>
      </c>
      <c r="AY1666" s="7" t="str">
        <f>VLOOKUP(AO1666,Mapping!$E$11:$I$96,5,0)</f>
        <v>SCS</v>
      </c>
    </row>
    <row r="1667" spans="1:51" x14ac:dyDescent="0.2">
      <c r="A1667" s="7"/>
      <c r="B1667" s="7"/>
      <c r="C1667" s="7"/>
      <c r="D1667" s="7"/>
      <c r="E1667" s="36">
        <v>157</v>
      </c>
      <c r="F1667" s="36" t="s">
        <v>2166</v>
      </c>
      <c r="G1667" s="36">
        <v>531464</v>
      </c>
      <c r="H1667" s="36" t="s">
        <v>256</v>
      </c>
      <c r="I1667" s="37">
        <v>711.07342000000006</v>
      </c>
      <c r="J1667" s="7"/>
      <c r="K1667" s="7" t="str">
        <f>VLOOKUP($E1667,Mapping!$E$11:$I$96,3,0)</f>
        <v>Replacement</v>
      </c>
      <c r="L1667" s="7" t="str">
        <f>VLOOKUP($G1667,Mapping!$E$140:$K$2771,5,0)</f>
        <v>Contracts</v>
      </c>
      <c r="M1667" s="7" t="str">
        <f>VLOOKUP($G1667,Mapping!$E$140:$K$2771,7,0)</f>
        <v>ENDirect</v>
      </c>
      <c r="N1667" s="7" t="str">
        <f>IFERROR(HLOOKUP(L1667,'Calc|Weightings'!$K$5:$M$5,1,0),"Excl")</f>
        <v>Contracts</v>
      </c>
      <c r="O1667" s="7" t="str">
        <f>VLOOKUP(E1667,Mapping!$E$11:$I$96,5,0)</f>
        <v>SCS</v>
      </c>
      <c r="Q1667" s="33">
        <v>177</v>
      </c>
      <c r="R1667" s="33" t="s">
        <v>2387</v>
      </c>
      <c r="S1667" s="33">
        <v>613680</v>
      </c>
      <c r="T1667" s="33" t="s">
        <v>2107</v>
      </c>
      <c r="U1667" s="34">
        <v>0.66800000000000004</v>
      </c>
      <c r="V1667" s="7"/>
      <c r="W1667" s="7" t="str">
        <f>VLOOKUP($Q1667,Mapping!$E$11:$I$96,3,0)</f>
        <v>Augmentation</v>
      </c>
      <c r="X1667" s="7" t="str">
        <f>VLOOKUP($S1667,Mapping!$E$140:$K$2771,5,0)</f>
        <v>Labour</v>
      </c>
      <c r="Y1667" s="7" t="str">
        <f>VLOOKUP($S1667,Mapping!$E$140:$K$2771,7,0)</f>
        <v>ENDirect</v>
      </c>
      <c r="Z1667" s="7" t="str">
        <f>IFERROR(HLOOKUP(X1667,'Calc|Weightings'!$K$5:$M$5,1,0),"Excl")</f>
        <v>Labour</v>
      </c>
      <c r="AA1667" s="7" t="str">
        <f>VLOOKUP(Q1667,Mapping!$E$11:$I$96,5,0)</f>
        <v>SCS</v>
      </c>
      <c r="AC1667" s="111">
        <v>168</v>
      </c>
      <c r="AD1667" s="111" t="s">
        <v>2176</v>
      </c>
      <c r="AE1667" s="111">
        <v>531467</v>
      </c>
      <c r="AF1667" s="111" t="s">
        <v>259</v>
      </c>
      <c r="AG1667" s="112">
        <v>12.120150000000001</v>
      </c>
      <c r="AI1667" s="7" t="str">
        <f>VLOOKUP($AC1667,Mapping!$E$11:$I$96,3,0)</f>
        <v>Augmentation</v>
      </c>
      <c r="AJ1667" s="7" t="str">
        <f>VLOOKUP($AE1667,Mapping!$E$140:$K$2771,5,0)</f>
        <v>Contracts</v>
      </c>
      <c r="AK1667" s="7" t="str">
        <f>VLOOKUP($AE1667,Mapping!$E$140:$K$2771,7,0)</f>
        <v>ENDirect</v>
      </c>
      <c r="AL1667" s="7" t="str">
        <f>IFERROR(HLOOKUP(AJ1667,'Calc|Weightings'!$K$5:$M$5,1,0),"Excl")</f>
        <v>Contracts</v>
      </c>
      <c r="AM1667" s="7" t="str">
        <f>VLOOKUP(AC1667,Mapping!$E$11:$I$96,5,0)</f>
        <v>SCS</v>
      </c>
      <c r="AO1667" s="134">
        <v>177</v>
      </c>
      <c r="AP1667" s="135" t="s">
        <v>2387</v>
      </c>
      <c r="AQ1667" s="135">
        <v>531469</v>
      </c>
      <c r="AR1667" s="135" t="s">
        <v>261</v>
      </c>
      <c r="AS1667" s="136">
        <v>7862.4863100000002</v>
      </c>
      <c r="AU1667" s="7" t="str">
        <f>VLOOKUP($AO1667,Mapping!$E$11:$I$96,3,0)</f>
        <v>Augmentation</v>
      </c>
      <c r="AV1667" s="7" t="str">
        <f>VLOOKUP($AQ1667,Mapping!$E$140:$K$2771,5,0)</f>
        <v>Labour</v>
      </c>
      <c r="AW1667" s="7" t="str">
        <f>VLOOKUP($AQ1667,Mapping!$E$140:$K$2771,7,0)</f>
        <v>ENDirect</v>
      </c>
      <c r="AX1667" s="7" t="str">
        <f>IFERROR(HLOOKUP(AV1667,'Calc|Weightings'!$K$5:$M$5,1,0),"Excl")</f>
        <v>Labour</v>
      </c>
      <c r="AY1667" s="7" t="str">
        <f>VLOOKUP(AO1667,Mapping!$E$11:$I$96,5,0)</f>
        <v>SCS</v>
      </c>
    </row>
    <row r="1668" spans="1:51" x14ac:dyDescent="0.2">
      <c r="A1668" s="7"/>
      <c r="B1668" s="7"/>
      <c r="C1668" s="7"/>
      <c r="D1668" s="7"/>
      <c r="E1668" s="36">
        <v>157</v>
      </c>
      <c r="F1668" s="36" t="s">
        <v>2166</v>
      </c>
      <c r="G1668" s="36">
        <v>531467</v>
      </c>
      <c r="H1668" s="36" t="s">
        <v>259</v>
      </c>
      <c r="I1668" s="37">
        <v>3.5928599999999999</v>
      </c>
      <c r="J1668" s="7"/>
      <c r="K1668" s="7" t="str">
        <f>VLOOKUP($E1668,Mapping!$E$11:$I$96,3,0)</f>
        <v>Replacement</v>
      </c>
      <c r="L1668" s="7" t="str">
        <f>VLOOKUP($G1668,Mapping!$E$140:$K$2771,5,0)</f>
        <v>Contracts</v>
      </c>
      <c r="M1668" s="7" t="str">
        <f>VLOOKUP($G1668,Mapping!$E$140:$K$2771,7,0)</f>
        <v>ENDirect</v>
      </c>
      <c r="N1668" s="7" t="str">
        <f>IFERROR(HLOOKUP(L1668,'Calc|Weightings'!$K$5:$M$5,1,0),"Excl")</f>
        <v>Contracts</v>
      </c>
      <c r="O1668" s="7" t="str">
        <f>VLOOKUP(E1668,Mapping!$E$11:$I$96,5,0)</f>
        <v>SCS</v>
      </c>
      <c r="Q1668" s="33">
        <v>177</v>
      </c>
      <c r="R1668" s="33" t="s">
        <v>2387</v>
      </c>
      <c r="S1668" s="33">
        <v>615375</v>
      </c>
      <c r="T1668" s="33" t="s">
        <v>1717</v>
      </c>
      <c r="U1668" s="34">
        <v>0.189</v>
      </c>
      <c r="V1668" s="7"/>
      <c r="W1668" s="7" t="str">
        <f>VLOOKUP($Q1668,Mapping!$E$11:$I$96,3,0)</f>
        <v>Augmentation</v>
      </c>
      <c r="X1668" s="7" t="str">
        <f>VLOOKUP($S1668,Mapping!$E$140:$K$2771,5,0)</f>
        <v>Labour</v>
      </c>
      <c r="Y1668" s="7" t="str">
        <f>VLOOKUP($S1668,Mapping!$E$140:$K$2771,7,0)</f>
        <v>ENDirect</v>
      </c>
      <c r="Z1668" s="7" t="str">
        <f>IFERROR(HLOOKUP(X1668,'Calc|Weightings'!$K$5:$M$5,1,0),"Excl")</f>
        <v>Labour</v>
      </c>
      <c r="AA1668" s="7" t="str">
        <f>VLOOKUP(Q1668,Mapping!$E$11:$I$96,5,0)</f>
        <v>SCS</v>
      </c>
      <c r="AC1668" s="111">
        <v>168</v>
      </c>
      <c r="AD1668" s="111" t="s">
        <v>2176</v>
      </c>
      <c r="AE1668" s="111">
        <v>531468</v>
      </c>
      <c r="AF1668" s="111" t="s">
        <v>260</v>
      </c>
      <c r="AG1668" s="112">
        <v>13.171010000000001</v>
      </c>
      <c r="AI1668" s="7" t="str">
        <f>VLOOKUP($AC1668,Mapping!$E$11:$I$96,3,0)</f>
        <v>Augmentation</v>
      </c>
      <c r="AJ1668" s="7" t="str">
        <f>VLOOKUP($AE1668,Mapping!$E$140:$K$2771,5,0)</f>
        <v>Contracts</v>
      </c>
      <c r="AK1668" s="7" t="str">
        <f>VLOOKUP($AE1668,Mapping!$E$140:$K$2771,7,0)</f>
        <v>ENDirect</v>
      </c>
      <c r="AL1668" s="7" t="str">
        <f>IFERROR(HLOOKUP(AJ1668,'Calc|Weightings'!$K$5:$M$5,1,0),"Excl")</f>
        <v>Contracts</v>
      </c>
      <c r="AM1668" s="7" t="str">
        <f>VLOOKUP(AC1668,Mapping!$E$11:$I$96,5,0)</f>
        <v>SCS</v>
      </c>
      <c r="AO1668" s="134">
        <v>177</v>
      </c>
      <c r="AP1668" s="135" t="s">
        <v>2387</v>
      </c>
      <c r="AQ1668" s="135">
        <v>531480</v>
      </c>
      <c r="AR1668" s="135" t="s">
        <v>2076</v>
      </c>
      <c r="AS1668" s="136">
        <v>48.220590000000001</v>
      </c>
      <c r="AU1668" s="7" t="str">
        <f>VLOOKUP($AO1668,Mapping!$E$11:$I$96,3,0)</f>
        <v>Augmentation</v>
      </c>
      <c r="AV1668" s="7" t="str">
        <f>VLOOKUP($AQ1668,Mapping!$E$140:$K$2771,5,0)</f>
        <v>Labour</v>
      </c>
      <c r="AW1668" s="7" t="str">
        <f>VLOOKUP($AQ1668,Mapping!$E$140:$K$2771,7,0)</f>
        <v>ENDirect</v>
      </c>
      <c r="AX1668" s="7" t="str">
        <f>IFERROR(HLOOKUP(AV1668,'Calc|Weightings'!$K$5:$M$5,1,0),"Excl")</f>
        <v>Labour</v>
      </c>
      <c r="AY1668" s="7" t="str">
        <f>VLOOKUP(AO1668,Mapping!$E$11:$I$96,5,0)</f>
        <v>SCS</v>
      </c>
    </row>
    <row r="1669" spans="1:51" x14ac:dyDescent="0.2">
      <c r="A1669" s="7"/>
      <c r="B1669" s="7"/>
      <c r="C1669" s="7"/>
      <c r="D1669" s="7"/>
      <c r="E1669" s="36">
        <v>157</v>
      </c>
      <c r="F1669" s="36" t="s">
        <v>2166</v>
      </c>
      <c r="G1669" s="36">
        <v>531468</v>
      </c>
      <c r="H1669" s="36" t="s">
        <v>260</v>
      </c>
      <c r="I1669" s="37">
        <v>0.8</v>
      </c>
      <c r="J1669" s="7"/>
      <c r="K1669" s="7" t="str">
        <f>VLOOKUP($E1669,Mapping!$E$11:$I$96,3,0)</f>
        <v>Replacement</v>
      </c>
      <c r="L1669" s="7" t="str">
        <f>VLOOKUP($G1669,Mapping!$E$140:$K$2771,5,0)</f>
        <v>Contracts</v>
      </c>
      <c r="M1669" s="7" t="str">
        <f>VLOOKUP($G1669,Mapping!$E$140:$K$2771,7,0)</f>
        <v>ENDirect</v>
      </c>
      <c r="N1669" s="7" t="str">
        <f>IFERROR(HLOOKUP(L1669,'Calc|Weightings'!$K$5:$M$5,1,0),"Excl")</f>
        <v>Contracts</v>
      </c>
      <c r="O1669" s="7" t="str">
        <f>VLOOKUP(E1669,Mapping!$E$11:$I$96,5,0)</f>
        <v>SCS</v>
      </c>
      <c r="Q1669" s="33">
        <v>177</v>
      </c>
      <c r="R1669" s="33" t="s">
        <v>2387</v>
      </c>
      <c r="S1669" s="33">
        <v>634001</v>
      </c>
      <c r="T1669" s="33" t="s">
        <v>2110</v>
      </c>
      <c r="U1669" s="34">
        <v>232.32274000000001</v>
      </c>
      <c r="V1669" s="7"/>
      <c r="W1669" s="7" t="str">
        <f>VLOOKUP($Q1669,Mapping!$E$11:$I$96,3,0)</f>
        <v>Augmentation</v>
      </c>
      <c r="X1669" s="7" t="str">
        <f>VLOOKUP($S1669,Mapping!$E$140:$K$2771,5,0)</f>
        <v>Local OH</v>
      </c>
      <c r="Y1669" s="7" t="str">
        <f>VLOOKUP($S1669,Mapping!$E$140:$K$2771,7,0)</f>
        <v>OH</v>
      </c>
      <c r="Z1669" s="7" t="str">
        <f>IFERROR(HLOOKUP(X1669,'Calc|Weightings'!$K$5:$M$5,1,0),"Excl")</f>
        <v>Excl</v>
      </c>
      <c r="AA1669" s="7" t="str">
        <f>VLOOKUP(Q1669,Mapping!$E$11:$I$96,5,0)</f>
        <v>SCS</v>
      </c>
      <c r="AC1669" s="111">
        <v>168</v>
      </c>
      <c r="AD1669" s="111" t="s">
        <v>2176</v>
      </c>
      <c r="AE1669" s="111">
        <v>531469</v>
      </c>
      <c r="AF1669" s="111" t="s">
        <v>261</v>
      </c>
      <c r="AG1669" s="112">
        <v>354.89744000000002</v>
      </c>
      <c r="AI1669" s="7" t="str">
        <f>VLOOKUP($AC1669,Mapping!$E$11:$I$96,3,0)</f>
        <v>Augmentation</v>
      </c>
      <c r="AJ1669" s="7" t="str">
        <f>VLOOKUP($AE1669,Mapping!$E$140:$K$2771,5,0)</f>
        <v>Labour</v>
      </c>
      <c r="AK1669" s="7" t="str">
        <f>VLOOKUP($AE1669,Mapping!$E$140:$K$2771,7,0)</f>
        <v>ENDirect</v>
      </c>
      <c r="AL1669" s="7" t="str">
        <f>IFERROR(HLOOKUP(AJ1669,'Calc|Weightings'!$K$5:$M$5,1,0),"Excl")</f>
        <v>Labour</v>
      </c>
      <c r="AM1669" s="7" t="str">
        <f>VLOOKUP(AC1669,Mapping!$E$11:$I$96,5,0)</f>
        <v>SCS</v>
      </c>
      <c r="AO1669" s="134">
        <v>177</v>
      </c>
      <c r="AP1669" s="135" t="s">
        <v>2387</v>
      </c>
      <c r="AQ1669" s="135">
        <v>532140</v>
      </c>
      <c r="AR1669" s="135" t="s">
        <v>288</v>
      </c>
      <c r="AS1669" s="136">
        <v>3.5297999999999998</v>
      </c>
      <c r="AU1669" s="7" t="str">
        <f>VLOOKUP($AO1669,Mapping!$E$11:$I$96,3,0)</f>
        <v>Augmentation</v>
      </c>
      <c r="AV1669" s="7" t="str">
        <f>VLOOKUP($AQ1669,Mapping!$E$140:$K$2771,5,0)</f>
        <v>Contracts</v>
      </c>
      <c r="AW1669" s="7" t="str">
        <f>VLOOKUP($AQ1669,Mapping!$E$140:$K$2771,7,0)</f>
        <v>ENDirect</v>
      </c>
      <c r="AX1669" s="7" t="str">
        <f>IFERROR(HLOOKUP(AV1669,'Calc|Weightings'!$K$5:$M$5,1,0),"Excl")</f>
        <v>Contracts</v>
      </c>
      <c r="AY1669" s="7" t="str">
        <f>VLOOKUP(AO1669,Mapping!$E$11:$I$96,5,0)</f>
        <v>SCS</v>
      </c>
    </row>
    <row r="1670" spans="1:51" x14ac:dyDescent="0.2">
      <c r="A1670" s="7"/>
      <c r="B1670" s="7"/>
      <c r="C1670" s="7"/>
      <c r="D1670" s="7"/>
      <c r="E1670" s="36">
        <v>157</v>
      </c>
      <c r="F1670" s="36" t="s">
        <v>2166</v>
      </c>
      <c r="G1670" s="36">
        <v>531469</v>
      </c>
      <c r="H1670" s="36" t="s">
        <v>261</v>
      </c>
      <c r="I1670" s="37">
        <v>286.59375</v>
      </c>
      <c r="J1670" s="7"/>
      <c r="K1670" s="7" t="str">
        <f>VLOOKUP($E1670,Mapping!$E$11:$I$96,3,0)</f>
        <v>Replacement</v>
      </c>
      <c r="L1670" s="7" t="str">
        <f>VLOOKUP($G1670,Mapping!$E$140:$K$2771,5,0)</f>
        <v>Labour</v>
      </c>
      <c r="M1670" s="7" t="str">
        <f>VLOOKUP($G1670,Mapping!$E$140:$K$2771,7,0)</f>
        <v>ENDirect</v>
      </c>
      <c r="N1670" s="7" t="str">
        <f>IFERROR(HLOOKUP(L1670,'Calc|Weightings'!$K$5:$M$5,1,0),"Excl")</f>
        <v>Labour</v>
      </c>
      <c r="O1670" s="7" t="str">
        <f>VLOOKUP(E1670,Mapping!$E$11:$I$96,5,0)</f>
        <v>SCS</v>
      </c>
      <c r="Q1670" s="33">
        <v>177</v>
      </c>
      <c r="R1670" s="33" t="s">
        <v>2387</v>
      </c>
      <c r="S1670" s="33">
        <v>635001</v>
      </c>
      <c r="T1670" s="33" t="s">
        <v>1929</v>
      </c>
      <c r="U1670" s="34">
        <v>154.95357000000001</v>
      </c>
      <c r="V1670" s="7"/>
      <c r="W1670" s="7" t="str">
        <f>VLOOKUP($Q1670,Mapping!$E$11:$I$96,3,0)</f>
        <v>Augmentation</v>
      </c>
      <c r="X1670" s="7" t="str">
        <f>VLOOKUP($S1670,Mapping!$E$140:$K$2771,5,0)</f>
        <v>PNS MG</v>
      </c>
      <c r="Y1670" s="7" t="str">
        <f>VLOOKUP($S1670,Mapping!$E$140:$K$2771,7,0)</f>
        <v>ENDirect</v>
      </c>
      <c r="Z1670" s="7" t="str">
        <f>IFERROR(HLOOKUP(X1670,'Calc|Weightings'!$K$5:$M$5,1,0),"Excl")</f>
        <v>Excl</v>
      </c>
      <c r="AA1670" s="7" t="str">
        <f>VLOOKUP(Q1670,Mapping!$E$11:$I$96,5,0)</f>
        <v>SCS</v>
      </c>
      <c r="AC1670" s="111">
        <v>168</v>
      </c>
      <c r="AD1670" s="111" t="s">
        <v>2176</v>
      </c>
      <c r="AE1670" s="111">
        <v>532140</v>
      </c>
      <c r="AF1670" s="111" t="s">
        <v>288</v>
      </c>
      <c r="AG1670" s="112">
        <v>48.691420000000001</v>
      </c>
      <c r="AI1670" s="7" t="str">
        <f>VLOOKUP($AC1670,Mapping!$E$11:$I$96,3,0)</f>
        <v>Augmentation</v>
      </c>
      <c r="AJ1670" s="7" t="str">
        <f>VLOOKUP($AE1670,Mapping!$E$140:$K$2771,5,0)</f>
        <v>Contracts</v>
      </c>
      <c r="AK1670" s="7" t="str">
        <f>VLOOKUP($AE1670,Mapping!$E$140:$K$2771,7,0)</f>
        <v>ENDirect</v>
      </c>
      <c r="AL1670" s="7" t="str">
        <f>IFERROR(HLOOKUP(AJ1670,'Calc|Weightings'!$K$5:$M$5,1,0),"Excl")</f>
        <v>Contracts</v>
      </c>
      <c r="AM1670" s="7" t="str">
        <f>VLOOKUP(AC1670,Mapping!$E$11:$I$96,5,0)</f>
        <v>SCS</v>
      </c>
      <c r="AO1670" s="134">
        <v>177</v>
      </c>
      <c r="AP1670" s="135" t="s">
        <v>2387</v>
      </c>
      <c r="AQ1670" s="135">
        <v>532200</v>
      </c>
      <c r="AR1670" s="135" t="s">
        <v>291</v>
      </c>
      <c r="AS1670" s="136">
        <v>1.16553</v>
      </c>
      <c r="AU1670" s="7" t="str">
        <f>VLOOKUP($AO1670,Mapping!$E$11:$I$96,3,0)</f>
        <v>Augmentation</v>
      </c>
      <c r="AV1670" s="7" t="str">
        <f>VLOOKUP($AQ1670,Mapping!$E$140:$K$2771,5,0)</f>
        <v>Contracts</v>
      </c>
      <c r="AW1670" s="7" t="str">
        <f>VLOOKUP($AQ1670,Mapping!$E$140:$K$2771,7,0)</f>
        <v>ENDirect</v>
      </c>
      <c r="AX1670" s="7" t="str">
        <f>IFERROR(HLOOKUP(AV1670,'Calc|Weightings'!$K$5:$M$5,1,0),"Excl")</f>
        <v>Contracts</v>
      </c>
      <c r="AY1670" s="7" t="str">
        <f>VLOOKUP(AO1670,Mapping!$E$11:$I$96,5,0)</f>
        <v>SCS</v>
      </c>
    </row>
    <row r="1671" spans="1:51" x14ac:dyDescent="0.2">
      <c r="A1671" s="7"/>
      <c r="B1671" s="7"/>
      <c r="C1671" s="7"/>
      <c r="D1671" s="7"/>
      <c r="E1671" s="36">
        <v>157</v>
      </c>
      <c r="F1671" s="36" t="s">
        <v>2166</v>
      </c>
      <c r="G1671" s="36">
        <v>531485</v>
      </c>
      <c r="H1671" s="36" t="s">
        <v>2350</v>
      </c>
      <c r="I1671" s="37">
        <v>-95.504980000000003</v>
      </c>
      <c r="J1671" s="7"/>
      <c r="K1671" s="7" t="str">
        <f>VLOOKUP($E1671,Mapping!$E$11:$I$96,3,0)</f>
        <v>Replacement</v>
      </c>
      <c r="L1671" s="7" t="str">
        <f>VLOOKUP($G1671,Mapping!$E$140:$K$2771,5,0)</f>
        <v>Contracts</v>
      </c>
      <c r="M1671" s="7" t="str">
        <f>VLOOKUP($G1671,Mapping!$E$140:$K$2771,7,0)</f>
        <v>ENDirect</v>
      </c>
      <c r="N1671" s="7" t="str">
        <f>IFERROR(HLOOKUP(L1671,'Calc|Weightings'!$K$5:$M$5,1,0),"Excl")</f>
        <v>Contracts</v>
      </c>
      <c r="O1671" s="7" t="str">
        <f>VLOOKUP(E1671,Mapping!$E$11:$I$96,5,0)</f>
        <v>SCS</v>
      </c>
      <c r="Q1671" s="33">
        <v>177</v>
      </c>
      <c r="R1671" s="33" t="s">
        <v>2387</v>
      </c>
      <c r="S1671" s="33">
        <v>636001</v>
      </c>
      <c r="T1671" s="33" t="s">
        <v>2111</v>
      </c>
      <c r="U1671" s="34">
        <v>64.985039999999998</v>
      </c>
      <c r="V1671" s="7"/>
      <c r="W1671" s="7" t="str">
        <f>VLOOKUP($Q1671,Mapping!$E$11:$I$96,3,0)</f>
        <v>Augmentation</v>
      </c>
      <c r="X1671" s="7" t="str">
        <f>VLOOKUP($S1671,Mapping!$E$140:$K$2771,5,0)</f>
        <v>System Control OH</v>
      </c>
      <c r="Y1671" s="7" t="str">
        <f>VLOOKUP($S1671,Mapping!$E$140:$K$2771,7,0)</f>
        <v>OH</v>
      </c>
      <c r="Z1671" s="7" t="str">
        <f>IFERROR(HLOOKUP(X1671,'Calc|Weightings'!$K$5:$M$5,1,0),"Excl")</f>
        <v>Excl</v>
      </c>
      <c r="AA1671" s="7" t="str">
        <f>VLOOKUP(Q1671,Mapping!$E$11:$I$96,5,0)</f>
        <v>SCS</v>
      </c>
      <c r="AC1671" s="111">
        <v>168</v>
      </c>
      <c r="AD1671" s="111" t="s">
        <v>2176</v>
      </c>
      <c r="AE1671" s="111">
        <v>532200</v>
      </c>
      <c r="AF1671" s="111" t="s">
        <v>291</v>
      </c>
      <c r="AG1671" s="112">
        <v>2.73</v>
      </c>
      <c r="AI1671" s="7" t="str">
        <f>VLOOKUP($AC1671,Mapping!$E$11:$I$96,3,0)</f>
        <v>Augmentation</v>
      </c>
      <c r="AJ1671" s="7" t="str">
        <f>VLOOKUP($AE1671,Mapping!$E$140:$K$2771,5,0)</f>
        <v>Contracts</v>
      </c>
      <c r="AK1671" s="7" t="str">
        <f>VLOOKUP($AE1671,Mapping!$E$140:$K$2771,7,0)</f>
        <v>ENDirect</v>
      </c>
      <c r="AL1671" s="7" t="str">
        <f>IFERROR(HLOOKUP(AJ1671,'Calc|Weightings'!$K$5:$M$5,1,0),"Excl")</f>
        <v>Contracts</v>
      </c>
      <c r="AM1671" s="7" t="str">
        <f>VLOOKUP(AC1671,Mapping!$E$11:$I$96,5,0)</f>
        <v>SCS</v>
      </c>
      <c r="AO1671" s="134">
        <v>177</v>
      </c>
      <c r="AP1671" s="135" t="s">
        <v>2387</v>
      </c>
      <c r="AQ1671" s="135">
        <v>532360</v>
      </c>
      <c r="AR1671" s="135" t="s">
        <v>2131</v>
      </c>
      <c r="AS1671" s="136">
        <v>1.5440000000000001E-2</v>
      </c>
      <c r="AU1671" s="7" t="str">
        <f>VLOOKUP($AO1671,Mapping!$E$11:$I$96,3,0)</f>
        <v>Augmentation</v>
      </c>
      <c r="AV1671" s="7" t="str">
        <f>VLOOKUP($AQ1671,Mapping!$E$140:$K$2771,5,0)</f>
        <v>Contracts</v>
      </c>
      <c r="AW1671" s="7" t="str">
        <f>VLOOKUP($AQ1671,Mapping!$E$140:$K$2771,7,0)</f>
        <v>ENDirect</v>
      </c>
      <c r="AX1671" s="7" t="str">
        <f>IFERROR(HLOOKUP(AV1671,'Calc|Weightings'!$K$5:$M$5,1,0),"Excl")</f>
        <v>Contracts</v>
      </c>
      <c r="AY1671" s="7" t="str">
        <f>VLOOKUP(AO1671,Mapping!$E$11:$I$96,5,0)</f>
        <v>SCS</v>
      </c>
    </row>
    <row r="1672" spans="1:51" x14ac:dyDescent="0.2">
      <c r="A1672" s="7"/>
      <c r="B1672" s="7"/>
      <c r="C1672" s="7"/>
      <c r="D1672" s="7"/>
      <c r="E1672" s="36">
        <v>157</v>
      </c>
      <c r="F1672" s="36" t="s">
        <v>2166</v>
      </c>
      <c r="G1672" s="36">
        <v>531495</v>
      </c>
      <c r="H1672" s="36" t="s">
        <v>2353</v>
      </c>
      <c r="I1672" s="37">
        <v>798.85938999999996</v>
      </c>
      <c r="J1672" s="7"/>
      <c r="K1672" s="7" t="str">
        <f>VLOOKUP($E1672,Mapping!$E$11:$I$96,3,0)</f>
        <v>Replacement</v>
      </c>
      <c r="L1672" s="7" t="str">
        <f>VLOOKUP($G1672,Mapping!$E$140:$K$2771,5,0)</f>
        <v>Contracts</v>
      </c>
      <c r="M1672" s="7" t="str">
        <f>VLOOKUP($G1672,Mapping!$E$140:$K$2771,7,0)</f>
        <v>ENDirect</v>
      </c>
      <c r="N1672" s="7" t="str">
        <f>IFERROR(HLOOKUP(L1672,'Calc|Weightings'!$K$5:$M$5,1,0),"Excl")</f>
        <v>Contracts</v>
      </c>
      <c r="O1672" s="7" t="str">
        <f>VLOOKUP(E1672,Mapping!$E$11:$I$96,5,0)</f>
        <v>SCS</v>
      </c>
      <c r="Q1672" s="33">
        <v>177</v>
      </c>
      <c r="R1672" s="33" t="s">
        <v>2387</v>
      </c>
      <c r="S1672" s="33">
        <v>639000</v>
      </c>
      <c r="T1672" s="33" t="s">
        <v>2112</v>
      </c>
      <c r="U1672" s="34">
        <v>172.22772000000001</v>
      </c>
      <c r="V1672" s="7"/>
      <c r="W1672" s="7" t="str">
        <f>VLOOKUP($Q1672,Mapping!$E$11:$I$96,3,0)</f>
        <v>Augmentation</v>
      </c>
      <c r="X1672" s="7" t="str">
        <f>VLOOKUP($S1672,Mapping!$E$140:$K$2771,5,0)</f>
        <v>PNS Corporate OH</v>
      </c>
      <c r="Y1672" s="7" t="str">
        <f>VLOOKUP($S1672,Mapping!$E$140:$K$2771,7,0)</f>
        <v>OH</v>
      </c>
      <c r="Z1672" s="7" t="str">
        <f>IFERROR(HLOOKUP(X1672,'Calc|Weightings'!$K$5:$M$5,1,0),"Excl")</f>
        <v>Excl</v>
      </c>
      <c r="AA1672" s="7" t="str">
        <f>VLOOKUP(Q1672,Mapping!$E$11:$I$96,5,0)</f>
        <v>SCS</v>
      </c>
      <c r="AC1672" s="111">
        <v>168</v>
      </c>
      <c r="AD1672" s="111" t="s">
        <v>2176</v>
      </c>
      <c r="AE1672" s="111">
        <v>591997</v>
      </c>
      <c r="AF1672" s="111" t="s">
        <v>2194</v>
      </c>
      <c r="AG1672" s="112">
        <v>-8.9271499999999993</v>
      </c>
      <c r="AI1672" s="7" t="str">
        <f>VLOOKUP($AC1672,Mapping!$E$11:$I$96,3,0)</f>
        <v>Augmentation</v>
      </c>
      <c r="AJ1672" s="7" t="str">
        <f>VLOOKUP($AE1672,Mapping!$E$140:$K$2771,5,0)</f>
        <v>Contracts</v>
      </c>
      <c r="AK1672" s="7" t="str">
        <f>VLOOKUP($AE1672,Mapping!$E$140:$K$2771,7,0)</f>
        <v>ENDirect</v>
      </c>
      <c r="AL1672" s="7" t="str">
        <f>IFERROR(HLOOKUP(AJ1672,'Calc|Weightings'!$K$5:$M$5,1,0),"Excl")</f>
        <v>Contracts</v>
      </c>
      <c r="AM1672" s="7" t="str">
        <f>VLOOKUP(AC1672,Mapping!$E$11:$I$96,5,0)</f>
        <v>SCS</v>
      </c>
      <c r="AO1672" s="134">
        <v>177</v>
      </c>
      <c r="AP1672" s="135" t="s">
        <v>2387</v>
      </c>
      <c r="AQ1672" s="135">
        <v>532420</v>
      </c>
      <c r="AR1672" s="135" t="s">
        <v>307</v>
      </c>
      <c r="AS1672" s="136">
        <v>2.5439500000000002</v>
      </c>
      <c r="AU1672" s="7" t="str">
        <f>VLOOKUP($AO1672,Mapping!$E$11:$I$96,3,0)</f>
        <v>Augmentation</v>
      </c>
      <c r="AV1672" s="7" t="str">
        <f>VLOOKUP($AQ1672,Mapping!$E$140:$K$2771,5,0)</f>
        <v>Contracts</v>
      </c>
      <c r="AW1672" s="7" t="str">
        <f>VLOOKUP($AQ1672,Mapping!$E$140:$K$2771,7,0)</f>
        <v>ENDirect</v>
      </c>
      <c r="AX1672" s="7" t="str">
        <f>IFERROR(HLOOKUP(AV1672,'Calc|Weightings'!$K$5:$M$5,1,0),"Excl")</f>
        <v>Contracts</v>
      </c>
      <c r="AY1672" s="7" t="str">
        <f>VLOOKUP(AO1672,Mapping!$E$11:$I$96,5,0)</f>
        <v>SCS</v>
      </c>
    </row>
    <row r="1673" spans="1:51" x14ac:dyDescent="0.2">
      <c r="A1673" s="7"/>
      <c r="B1673" s="7"/>
      <c r="C1673" s="7"/>
      <c r="D1673" s="7"/>
      <c r="E1673" s="36">
        <v>157</v>
      </c>
      <c r="F1673" s="36" t="s">
        <v>2166</v>
      </c>
      <c r="G1673" s="36">
        <v>532100</v>
      </c>
      <c r="H1673" s="36" t="s">
        <v>286</v>
      </c>
      <c r="I1673" s="37">
        <v>0.65</v>
      </c>
      <c r="J1673" s="7"/>
      <c r="K1673" s="7" t="str">
        <f>VLOOKUP($E1673,Mapping!$E$11:$I$96,3,0)</f>
        <v>Replacement</v>
      </c>
      <c r="L1673" s="7" t="str">
        <f>VLOOKUP($G1673,Mapping!$E$140:$K$2771,5,0)</f>
        <v>Contracts</v>
      </c>
      <c r="M1673" s="7" t="str">
        <f>VLOOKUP($G1673,Mapping!$E$140:$K$2771,7,0)</f>
        <v>ENDirect</v>
      </c>
      <c r="N1673" s="7" t="str">
        <f>IFERROR(HLOOKUP(L1673,'Calc|Weightings'!$K$5:$M$5,1,0),"Excl")</f>
        <v>Contracts</v>
      </c>
      <c r="O1673" s="7" t="str">
        <f>VLOOKUP(E1673,Mapping!$E$11:$I$96,5,0)</f>
        <v>SCS</v>
      </c>
      <c r="Q1673" s="33">
        <v>177</v>
      </c>
      <c r="R1673" s="33" t="s">
        <v>2387</v>
      </c>
      <c r="S1673" s="33">
        <v>639050</v>
      </c>
      <c r="T1673" s="33" t="s">
        <v>2113</v>
      </c>
      <c r="U1673" s="34">
        <v>29.059149999999999</v>
      </c>
      <c r="V1673" s="7"/>
      <c r="W1673" s="7" t="str">
        <f>VLOOKUP($Q1673,Mapping!$E$11:$I$96,3,0)</f>
        <v>Augmentation</v>
      </c>
      <c r="X1673" s="7" t="str">
        <f>VLOOKUP($S1673,Mapping!$E$140:$K$2771,5,0)</f>
        <v>PNS Fleet &amp; Property OH</v>
      </c>
      <c r="Y1673" s="7" t="str">
        <f>VLOOKUP($S1673,Mapping!$E$140:$K$2771,7,0)</f>
        <v>OH</v>
      </c>
      <c r="Z1673" s="7" t="str">
        <f>IFERROR(HLOOKUP(X1673,'Calc|Weightings'!$K$5:$M$5,1,0),"Excl")</f>
        <v>Excl</v>
      </c>
      <c r="AA1673" s="7" t="str">
        <f>VLOOKUP(Q1673,Mapping!$E$11:$I$96,5,0)</f>
        <v>SCS</v>
      </c>
      <c r="AC1673" s="111">
        <v>168</v>
      </c>
      <c r="AD1673" s="111" t="s">
        <v>2176</v>
      </c>
      <c r="AE1673" s="111">
        <v>591998</v>
      </c>
      <c r="AF1673" s="111" t="s">
        <v>2077</v>
      </c>
      <c r="AG1673" s="112">
        <v>1.0307299999999999</v>
      </c>
      <c r="AI1673" s="7" t="str">
        <f>VLOOKUP($AC1673,Mapping!$E$11:$I$96,3,0)</f>
        <v>Augmentation</v>
      </c>
      <c r="AJ1673" s="7" t="str">
        <f>VLOOKUP($AE1673,Mapping!$E$140:$K$2771,5,0)</f>
        <v>Contracts</v>
      </c>
      <c r="AK1673" s="7" t="str">
        <f>VLOOKUP($AE1673,Mapping!$E$140:$K$2771,7,0)</f>
        <v>ENDirect</v>
      </c>
      <c r="AL1673" s="7" t="str">
        <f>IFERROR(HLOOKUP(AJ1673,'Calc|Weightings'!$K$5:$M$5,1,0),"Excl")</f>
        <v>Contracts</v>
      </c>
      <c r="AM1673" s="7" t="str">
        <f>VLOOKUP(AC1673,Mapping!$E$11:$I$96,5,0)</f>
        <v>SCS</v>
      </c>
      <c r="AO1673" s="134">
        <v>177</v>
      </c>
      <c r="AP1673" s="135" t="s">
        <v>2387</v>
      </c>
      <c r="AQ1673" s="135">
        <v>534230</v>
      </c>
      <c r="AR1673" s="135" t="s">
        <v>341</v>
      </c>
      <c r="AS1673" s="136">
        <v>3.0450000000000001E-2</v>
      </c>
      <c r="AU1673" s="7" t="str">
        <f>VLOOKUP($AO1673,Mapping!$E$11:$I$96,3,0)</f>
        <v>Augmentation</v>
      </c>
      <c r="AV1673" s="7" t="str">
        <f>VLOOKUP($AQ1673,Mapping!$E$140:$K$2771,5,0)</f>
        <v>Contracts</v>
      </c>
      <c r="AW1673" s="7" t="str">
        <f>VLOOKUP($AQ1673,Mapping!$E$140:$K$2771,7,0)</f>
        <v>ENDirect</v>
      </c>
      <c r="AX1673" s="7" t="str">
        <f>IFERROR(HLOOKUP(AV1673,'Calc|Weightings'!$K$5:$M$5,1,0),"Excl")</f>
        <v>Contracts</v>
      </c>
      <c r="AY1673" s="7" t="str">
        <f>VLOOKUP(AO1673,Mapping!$E$11:$I$96,5,0)</f>
        <v>SCS</v>
      </c>
    </row>
    <row r="1674" spans="1:51" x14ac:dyDescent="0.2">
      <c r="A1674" s="7"/>
      <c r="B1674" s="7"/>
      <c r="C1674" s="7"/>
      <c r="D1674" s="7"/>
      <c r="E1674" s="36">
        <v>157</v>
      </c>
      <c r="F1674" s="36" t="s">
        <v>2166</v>
      </c>
      <c r="G1674" s="36">
        <v>532140</v>
      </c>
      <c r="H1674" s="36" t="s">
        <v>288</v>
      </c>
      <c r="I1674" s="37">
        <v>286.23660999999998</v>
      </c>
      <c r="J1674" s="7"/>
      <c r="K1674" s="7" t="str">
        <f>VLOOKUP($E1674,Mapping!$E$11:$I$96,3,0)</f>
        <v>Replacement</v>
      </c>
      <c r="L1674" s="7" t="str">
        <f>VLOOKUP($G1674,Mapping!$E$140:$K$2771,5,0)</f>
        <v>Contracts</v>
      </c>
      <c r="M1674" s="7" t="str">
        <f>VLOOKUP($G1674,Mapping!$E$140:$K$2771,7,0)</f>
        <v>ENDirect</v>
      </c>
      <c r="N1674" s="7" t="str">
        <f>IFERROR(HLOOKUP(L1674,'Calc|Weightings'!$K$5:$M$5,1,0),"Excl")</f>
        <v>Contracts</v>
      </c>
      <c r="O1674" s="7" t="str">
        <f>VLOOKUP(E1674,Mapping!$E$11:$I$96,5,0)</f>
        <v>SCS</v>
      </c>
      <c r="Q1674" s="33">
        <v>200</v>
      </c>
      <c r="R1674" s="33" t="s">
        <v>2181</v>
      </c>
      <c r="S1674" s="33">
        <v>140200</v>
      </c>
      <c r="T1674" s="33" t="s">
        <v>49</v>
      </c>
      <c r="U1674" s="34">
        <v>737.58982000000003</v>
      </c>
      <c r="V1674" s="7"/>
      <c r="W1674" s="7" t="str">
        <f>VLOOKUP($Q1674,Mapping!$E$11:$I$96,3,0)</f>
        <v>Non-network general assets - IT</v>
      </c>
      <c r="X1674" s="7" t="str">
        <f>VLOOKUP($S1674,Mapping!$E$140:$K$2771,5,0)</f>
        <v>Materials</v>
      </c>
      <c r="Y1674" s="7" t="str">
        <f>VLOOKUP($S1674,Mapping!$E$140:$K$2771,7,0)</f>
        <v>ENDirect</v>
      </c>
      <c r="Z1674" s="7" t="str">
        <f>IFERROR(HLOOKUP(X1674,'Calc|Weightings'!$K$5:$M$5,1,0),"Excl")</f>
        <v>Materials</v>
      </c>
      <c r="AA1674" s="7" t="str">
        <f>VLOOKUP(Q1674,Mapping!$E$11:$I$96,5,0)</f>
        <v>SCS</v>
      </c>
      <c r="AC1674" s="111">
        <v>168</v>
      </c>
      <c r="AD1674" s="111" t="s">
        <v>2176</v>
      </c>
      <c r="AE1674" s="111">
        <v>591999</v>
      </c>
      <c r="AF1674" s="111" t="s">
        <v>2195</v>
      </c>
      <c r="AG1674" s="112">
        <v>-3.3685200000000002</v>
      </c>
      <c r="AI1674" s="7" t="str">
        <f>VLOOKUP($AC1674,Mapping!$E$11:$I$96,3,0)</f>
        <v>Augmentation</v>
      </c>
      <c r="AJ1674" s="7" t="str">
        <f>VLOOKUP($AE1674,Mapping!$E$140:$K$2771,5,0)</f>
        <v>Contracts</v>
      </c>
      <c r="AK1674" s="7" t="str">
        <f>VLOOKUP($AE1674,Mapping!$E$140:$K$2771,7,0)</f>
        <v>ENDirect</v>
      </c>
      <c r="AL1674" s="7" t="str">
        <f>IFERROR(HLOOKUP(AJ1674,'Calc|Weightings'!$K$5:$M$5,1,0),"Excl")</f>
        <v>Contracts</v>
      </c>
      <c r="AM1674" s="7" t="str">
        <f>VLOOKUP(AC1674,Mapping!$E$11:$I$96,5,0)</f>
        <v>SCS</v>
      </c>
      <c r="AO1674" s="134">
        <v>177</v>
      </c>
      <c r="AP1674" s="135" t="s">
        <v>2387</v>
      </c>
      <c r="AQ1674" s="135">
        <v>545150</v>
      </c>
      <c r="AR1674" s="135" t="s">
        <v>345</v>
      </c>
      <c r="AS1674" s="136">
        <v>0.91281999999999996</v>
      </c>
      <c r="AU1674" s="7" t="str">
        <f>VLOOKUP($AO1674,Mapping!$E$11:$I$96,3,0)</f>
        <v>Augmentation</v>
      </c>
      <c r="AV1674" s="7" t="str">
        <f>VLOOKUP($AQ1674,Mapping!$E$140:$K$2771,5,0)</f>
        <v>Contracts</v>
      </c>
      <c r="AW1674" s="7" t="str">
        <f>VLOOKUP($AQ1674,Mapping!$E$140:$K$2771,7,0)</f>
        <v>ENDirect</v>
      </c>
      <c r="AX1674" s="7" t="str">
        <f>IFERROR(HLOOKUP(AV1674,'Calc|Weightings'!$K$5:$M$5,1,0),"Excl")</f>
        <v>Contracts</v>
      </c>
      <c r="AY1674" s="7" t="str">
        <f>VLOOKUP(AO1674,Mapping!$E$11:$I$96,5,0)</f>
        <v>SCS</v>
      </c>
    </row>
    <row r="1675" spans="1:51" x14ac:dyDescent="0.2">
      <c r="A1675" s="7"/>
      <c r="B1675" s="7"/>
      <c r="C1675" s="7"/>
      <c r="D1675" s="7"/>
      <c r="E1675" s="36">
        <v>157</v>
      </c>
      <c r="F1675" s="36" t="s">
        <v>2166</v>
      </c>
      <c r="G1675" s="36">
        <v>532200</v>
      </c>
      <c r="H1675" s="36" t="s">
        <v>291</v>
      </c>
      <c r="I1675" s="37">
        <v>0.52</v>
      </c>
      <c r="J1675" s="7"/>
      <c r="K1675" s="7" t="str">
        <f>VLOOKUP($E1675,Mapping!$E$11:$I$96,3,0)</f>
        <v>Replacement</v>
      </c>
      <c r="L1675" s="7" t="str">
        <f>VLOOKUP($G1675,Mapping!$E$140:$K$2771,5,0)</f>
        <v>Contracts</v>
      </c>
      <c r="M1675" s="7" t="str">
        <f>VLOOKUP($G1675,Mapping!$E$140:$K$2771,7,0)</f>
        <v>ENDirect</v>
      </c>
      <c r="N1675" s="7" t="str">
        <f>IFERROR(HLOOKUP(L1675,'Calc|Weightings'!$K$5:$M$5,1,0),"Excl")</f>
        <v>Contracts</v>
      </c>
      <c r="O1675" s="7" t="str">
        <f>VLOOKUP(E1675,Mapping!$E$11:$I$96,5,0)</f>
        <v>SCS</v>
      </c>
      <c r="Q1675" s="33">
        <v>200</v>
      </c>
      <c r="R1675" s="33" t="s">
        <v>2181</v>
      </c>
      <c r="S1675" s="33">
        <v>141111</v>
      </c>
      <c r="T1675" s="33" t="s">
        <v>51</v>
      </c>
      <c r="U1675" s="34">
        <v>37.5</v>
      </c>
      <c r="V1675" s="7"/>
      <c r="W1675" s="7" t="str">
        <f>VLOOKUP($Q1675,Mapping!$E$11:$I$96,3,0)</f>
        <v>Non-network general assets - IT</v>
      </c>
      <c r="X1675" s="7" t="str">
        <f>VLOOKUP($S1675,Mapping!$E$140:$K$2771,5,0)</f>
        <v>Materials</v>
      </c>
      <c r="Y1675" s="7" t="str">
        <f>VLOOKUP($S1675,Mapping!$E$140:$K$2771,7,0)</f>
        <v>ENDirect</v>
      </c>
      <c r="Z1675" s="7" t="str">
        <f>IFERROR(HLOOKUP(X1675,'Calc|Weightings'!$K$5:$M$5,1,0),"Excl")</f>
        <v>Materials</v>
      </c>
      <c r="AA1675" s="7" t="str">
        <f>VLOOKUP(Q1675,Mapping!$E$11:$I$96,5,0)</f>
        <v>SCS</v>
      </c>
      <c r="AC1675" s="111">
        <v>168</v>
      </c>
      <c r="AD1675" s="111" t="s">
        <v>2176</v>
      </c>
      <c r="AE1675" s="111">
        <v>611900</v>
      </c>
      <c r="AF1675" s="111" t="s">
        <v>2079</v>
      </c>
      <c r="AG1675" s="112">
        <v>6.2045000000000003</v>
      </c>
      <c r="AI1675" s="7" t="str">
        <f>VLOOKUP($AC1675,Mapping!$E$11:$I$96,3,0)</f>
        <v>Augmentation</v>
      </c>
      <c r="AJ1675" s="7" t="str">
        <f>VLOOKUP($AE1675,Mapping!$E$140:$K$2771,5,0)</f>
        <v>Contracts</v>
      </c>
      <c r="AK1675" s="7" t="str">
        <f>VLOOKUP($AE1675,Mapping!$E$140:$K$2771,7,0)</f>
        <v>ENDirect</v>
      </c>
      <c r="AL1675" s="7" t="str">
        <f>IFERROR(HLOOKUP(AJ1675,'Calc|Weightings'!$K$5:$M$5,1,0),"Excl")</f>
        <v>Contracts</v>
      </c>
      <c r="AM1675" s="7" t="str">
        <f>VLOOKUP(AC1675,Mapping!$E$11:$I$96,5,0)</f>
        <v>SCS</v>
      </c>
      <c r="AO1675" s="134">
        <v>177</v>
      </c>
      <c r="AP1675" s="135" t="s">
        <v>2387</v>
      </c>
      <c r="AQ1675" s="135">
        <v>582300</v>
      </c>
      <c r="AR1675" s="135" t="s">
        <v>381</v>
      </c>
      <c r="AS1675" s="136">
        <v>0.14405999999999999</v>
      </c>
      <c r="AU1675" s="7" t="str">
        <f>VLOOKUP($AO1675,Mapping!$E$11:$I$96,3,0)</f>
        <v>Augmentation</v>
      </c>
      <c r="AV1675" s="7" t="str">
        <f>VLOOKUP($AQ1675,Mapping!$E$140:$K$2771,5,0)</f>
        <v>Contracts</v>
      </c>
      <c r="AW1675" s="7" t="str">
        <f>VLOOKUP($AQ1675,Mapping!$E$140:$K$2771,7,0)</f>
        <v>ENDirect</v>
      </c>
      <c r="AX1675" s="7" t="str">
        <f>IFERROR(HLOOKUP(AV1675,'Calc|Weightings'!$K$5:$M$5,1,0),"Excl")</f>
        <v>Contracts</v>
      </c>
      <c r="AY1675" s="7" t="str">
        <f>VLOOKUP(AO1675,Mapping!$E$11:$I$96,5,0)</f>
        <v>SCS</v>
      </c>
    </row>
    <row r="1676" spans="1:51" x14ac:dyDescent="0.2">
      <c r="A1676" s="7"/>
      <c r="B1676" s="7"/>
      <c r="C1676" s="7"/>
      <c r="D1676" s="7"/>
      <c r="E1676" s="36">
        <v>157</v>
      </c>
      <c r="F1676" s="36" t="s">
        <v>2166</v>
      </c>
      <c r="G1676" s="36">
        <v>532420</v>
      </c>
      <c r="H1676" s="36" t="s">
        <v>307</v>
      </c>
      <c r="I1676" s="37">
        <v>0.23791999999999999</v>
      </c>
      <c r="J1676" s="7"/>
      <c r="K1676" s="7" t="str">
        <f>VLOOKUP($E1676,Mapping!$E$11:$I$96,3,0)</f>
        <v>Replacement</v>
      </c>
      <c r="L1676" s="7" t="str">
        <f>VLOOKUP($G1676,Mapping!$E$140:$K$2771,5,0)</f>
        <v>Contracts</v>
      </c>
      <c r="M1676" s="7" t="str">
        <f>VLOOKUP($G1676,Mapping!$E$140:$K$2771,7,0)</f>
        <v>ENDirect</v>
      </c>
      <c r="N1676" s="7" t="str">
        <f>IFERROR(HLOOKUP(L1676,'Calc|Weightings'!$K$5:$M$5,1,0),"Excl")</f>
        <v>Contracts</v>
      </c>
      <c r="O1676" s="7" t="str">
        <f>VLOOKUP(E1676,Mapping!$E$11:$I$96,5,0)</f>
        <v>SCS</v>
      </c>
      <c r="Q1676" s="33">
        <v>200</v>
      </c>
      <c r="R1676" s="33" t="s">
        <v>2181</v>
      </c>
      <c r="S1676" s="33">
        <v>524200</v>
      </c>
      <c r="T1676" s="33" t="s">
        <v>2182</v>
      </c>
      <c r="U1676" s="34">
        <v>-390.67180000000002</v>
      </c>
      <c r="V1676" s="7"/>
      <c r="W1676" s="7" t="str">
        <f>VLOOKUP($Q1676,Mapping!$E$11:$I$96,3,0)</f>
        <v>Non-network general assets - IT</v>
      </c>
      <c r="X1676" s="7" t="str">
        <f>VLOOKUP($S1676,Mapping!$E$140:$K$2771,5,0)</f>
        <v>Materials</v>
      </c>
      <c r="Y1676" s="7" t="str">
        <f>VLOOKUP($S1676,Mapping!$E$140:$K$2771,7,0)</f>
        <v>ENDirect</v>
      </c>
      <c r="Z1676" s="7" t="str">
        <f>IFERROR(HLOOKUP(X1676,'Calc|Weightings'!$K$5:$M$5,1,0),"Excl")</f>
        <v>Materials</v>
      </c>
      <c r="AA1676" s="7" t="str">
        <f>VLOOKUP(Q1676,Mapping!$E$11:$I$96,5,0)</f>
        <v>SCS</v>
      </c>
      <c r="AC1676" s="111">
        <v>168</v>
      </c>
      <c r="AD1676" s="111" t="s">
        <v>2176</v>
      </c>
      <c r="AE1676" s="111">
        <v>611901</v>
      </c>
      <c r="AF1676" s="111" t="s">
        <v>2080</v>
      </c>
      <c r="AG1676" s="112">
        <v>2.00745</v>
      </c>
      <c r="AI1676" s="7" t="str">
        <f>VLOOKUP($AC1676,Mapping!$E$11:$I$96,3,0)</f>
        <v>Augmentation</v>
      </c>
      <c r="AJ1676" s="7" t="str">
        <f>VLOOKUP($AE1676,Mapping!$E$140:$K$2771,5,0)</f>
        <v>Contracts</v>
      </c>
      <c r="AK1676" s="7" t="str">
        <f>VLOOKUP($AE1676,Mapping!$E$140:$K$2771,7,0)</f>
        <v>ENDirect</v>
      </c>
      <c r="AL1676" s="7" t="str">
        <f>IFERROR(HLOOKUP(AJ1676,'Calc|Weightings'!$K$5:$M$5,1,0),"Excl")</f>
        <v>Contracts</v>
      </c>
      <c r="AM1676" s="7" t="str">
        <f>VLOOKUP(AC1676,Mapping!$E$11:$I$96,5,0)</f>
        <v>SCS</v>
      </c>
      <c r="AO1676" s="134">
        <v>177</v>
      </c>
      <c r="AP1676" s="135" t="s">
        <v>2387</v>
      </c>
      <c r="AQ1676" s="135">
        <v>611900</v>
      </c>
      <c r="AR1676" s="135" t="s">
        <v>2079</v>
      </c>
      <c r="AS1676" s="136">
        <v>1.1493100000000001</v>
      </c>
      <c r="AU1676" s="7" t="str">
        <f>VLOOKUP($AO1676,Mapping!$E$11:$I$96,3,0)</f>
        <v>Augmentation</v>
      </c>
      <c r="AV1676" s="7" t="str">
        <f>VLOOKUP($AQ1676,Mapping!$E$140:$K$2771,5,0)</f>
        <v>Contracts</v>
      </c>
      <c r="AW1676" s="7" t="str">
        <f>VLOOKUP($AQ1676,Mapping!$E$140:$K$2771,7,0)</f>
        <v>ENDirect</v>
      </c>
      <c r="AX1676" s="7" t="str">
        <f>IFERROR(HLOOKUP(AV1676,'Calc|Weightings'!$K$5:$M$5,1,0),"Excl")</f>
        <v>Contracts</v>
      </c>
      <c r="AY1676" s="7" t="str">
        <f>VLOOKUP(AO1676,Mapping!$E$11:$I$96,5,0)</f>
        <v>SCS</v>
      </c>
    </row>
    <row r="1677" spans="1:51" x14ac:dyDescent="0.2">
      <c r="A1677" s="7"/>
      <c r="B1677" s="7"/>
      <c r="C1677" s="7"/>
      <c r="D1677" s="7"/>
      <c r="E1677" s="36">
        <v>157</v>
      </c>
      <c r="F1677" s="36" t="s">
        <v>2166</v>
      </c>
      <c r="G1677" s="36">
        <v>532500</v>
      </c>
      <c r="H1677" s="36" t="s">
        <v>308</v>
      </c>
      <c r="I1677" s="37">
        <v>10.06399</v>
      </c>
      <c r="J1677" s="7"/>
      <c r="K1677" s="7" t="str">
        <f>VLOOKUP($E1677,Mapping!$E$11:$I$96,3,0)</f>
        <v>Replacement</v>
      </c>
      <c r="L1677" s="7" t="str">
        <f>VLOOKUP($G1677,Mapping!$E$140:$K$2771,5,0)</f>
        <v>Contracts</v>
      </c>
      <c r="M1677" s="7" t="str">
        <f>VLOOKUP($G1677,Mapping!$E$140:$K$2771,7,0)</f>
        <v>ENDirect</v>
      </c>
      <c r="N1677" s="7" t="str">
        <f>IFERROR(HLOOKUP(L1677,'Calc|Weightings'!$K$5:$M$5,1,0),"Excl")</f>
        <v>Contracts</v>
      </c>
      <c r="O1677" s="7" t="str">
        <f>VLOOKUP(E1677,Mapping!$E$11:$I$96,5,0)</f>
        <v>SCS</v>
      </c>
      <c r="Q1677" s="33">
        <v>200</v>
      </c>
      <c r="R1677" s="33" t="s">
        <v>2181</v>
      </c>
      <c r="S1677" s="33">
        <v>531210</v>
      </c>
      <c r="T1677" s="33" t="s">
        <v>252</v>
      </c>
      <c r="U1677" s="34">
        <v>0.72467999999999999</v>
      </c>
      <c r="V1677" s="7"/>
      <c r="W1677" s="7" t="str">
        <f>VLOOKUP($Q1677,Mapping!$E$11:$I$96,3,0)</f>
        <v>Non-network general assets - IT</v>
      </c>
      <c r="X1677" s="7" t="str">
        <f>VLOOKUP($S1677,Mapping!$E$140:$K$2771,5,0)</f>
        <v>Labour</v>
      </c>
      <c r="Y1677" s="7" t="str">
        <f>VLOOKUP($S1677,Mapping!$E$140:$K$2771,7,0)</f>
        <v>ENDirect</v>
      </c>
      <c r="Z1677" s="7" t="str">
        <f>IFERROR(HLOOKUP(X1677,'Calc|Weightings'!$K$5:$M$5,1,0),"Excl")</f>
        <v>Labour</v>
      </c>
      <c r="AA1677" s="7" t="str">
        <f>VLOOKUP(Q1677,Mapping!$E$11:$I$96,5,0)</f>
        <v>SCS</v>
      </c>
      <c r="AC1677" s="111">
        <v>168</v>
      </c>
      <c r="AD1677" s="111" t="s">
        <v>2176</v>
      </c>
      <c r="AE1677" s="111">
        <v>611902</v>
      </c>
      <c r="AF1677" s="111" t="s">
        <v>2081</v>
      </c>
      <c r="AG1677" s="112">
        <v>0.27353</v>
      </c>
      <c r="AI1677" s="7" t="str">
        <f>VLOOKUP($AC1677,Mapping!$E$11:$I$96,3,0)</f>
        <v>Augmentation</v>
      </c>
      <c r="AJ1677" s="7" t="str">
        <f>VLOOKUP($AE1677,Mapping!$E$140:$K$2771,5,0)</f>
        <v>Contracts</v>
      </c>
      <c r="AK1677" s="7" t="str">
        <f>VLOOKUP($AE1677,Mapping!$E$140:$K$2771,7,0)</f>
        <v>ENDirect</v>
      </c>
      <c r="AL1677" s="7" t="str">
        <f>IFERROR(HLOOKUP(AJ1677,'Calc|Weightings'!$K$5:$M$5,1,0),"Excl")</f>
        <v>Contracts</v>
      </c>
      <c r="AM1677" s="7" t="str">
        <f>VLOOKUP(AC1677,Mapping!$E$11:$I$96,5,0)</f>
        <v>SCS</v>
      </c>
      <c r="AO1677" s="134">
        <v>177</v>
      </c>
      <c r="AP1677" s="135" t="s">
        <v>2387</v>
      </c>
      <c r="AQ1677" s="135">
        <v>611901</v>
      </c>
      <c r="AR1677" s="135" t="s">
        <v>2080</v>
      </c>
      <c r="AS1677" s="136">
        <v>7.1805000000000003</v>
      </c>
      <c r="AU1677" s="7" t="str">
        <f>VLOOKUP($AO1677,Mapping!$E$11:$I$96,3,0)</f>
        <v>Augmentation</v>
      </c>
      <c r="AV1677" s="7" t="str">
        <f>VLOOKUP($AQ1677,Mapping!$E$140:$K$2771,5,0)</f>
        <v>Contracts</v>
      </c>
      <c r="AW1677" s="7" t="str">
        <f>VLOOKUP($AQ1677,Mapping!$E$140:$K$2771,7,0)</f>
        <v>ENDirect</v>
      </c>
      <c r="AX1677" s="7" t="str">
        <f>IFERROR(HLOOKUP(AV1677,'Calc|Weightings'!$K$5:$M$5,1,0),"Excl")</f>
        <v>Contracts</v>
      </c>
      <c r="AY1677" s="7" t="str">
        <f>VLOOKUP(AO1677,Mapping!$E$11:$I$96,5,0)</f>
        <v>SCS</v>
      </c>
    </row>
    <row r="1678" spans="1:51" x14ac:dyDescent="0.2">
      <c r="A1678" s="7"/>
      <c r="B1678" s="7"/>
      <c r="C1678" s="7"/>
      <c r="D1678" s="7"/>
      <c r="E1678" s="36">
        <v>157</v>
      </c>
      <c r="F1678" s="36" t="s">
        <v>2166</v>
      </c>
      <c r="G1678" s="36">
        <v>533000</v>
      </c>
      <c r="H1678" s="36" t="s">
        <v>312</v>
      </c>
      <c r="I1678" s="37">
        <v>3.54</v>
      </c>
      <c r="J1678" s="7"/>
      <c r="K1678" s="7" t="str">
        <f>VLOOKUP($E1678,Mapping!$E$11:$I$96,3,0)</f>
        <v>Replacement</v>
      </c>
      <c r="L1678" s="7" t="str">
        <f>VLOOKUP($G1678,Mapping!$E$140:$K$2771,5,0)</f>
        <v>Contracts</v>
      </c>
      <c r="M1678" s="7" t="str">
        <f>VLOOKUP($G1678,Mapping!$E$140:$K$2771,7,0)</f>
        <v>ENDirect</v>
      </c>
      <c r="N1678" s="7" t="str">
        <f>IFERROR(HLOOKUP(L1678,'Calc|Weightings'!$K$5:$M$5,1,0),"Excl")</f>
        <v>Contracts</v>
      </c>
      <c r="O1678" s="7" t="str">
        <f>VLOOKUP(E1678,Mapping!$E$11:$I$96,5,0)</f>
        <v>SCS</v>
      </c>
      <c r="Q1678" s="33">
        <v>200</v>
      </c>
      <c r="R1678" s="33" t="s">
        <v>2181</v>
      </c>
      <c r="S1678" s="33">
        <v>533000</v>
      </c>
      <c r="T1678" s="33" t="s">
        <v>312</v>
      </c>
      <c r="U1678" s="34">
        <v>-22.23047</v>
      </c>
      <c r="V1678" s="7"/>
      <c r="W1678" s="7" t="str">
        <f>VLOOKUP($Q1678,Mapping!$E$11:$I$96,3,0)</f>
        <v>Non-network general assets - IT</v>
      </c>
      <c r="X1678" s="7" t="str">
        <f>VLOOKUP($S1678,Mapping!$E$140:$K$2771,5,0)</f>
        <v>Contracts</v>
      </c>
      <c r="Y1678" s="7" t="str">
        <f>VLOOKUP($S1678,Mapping!$E$140:$K$2771,7,0)</f>
        <v>ENDirect</v>
      </c>
      <c r="Z1678" s="7" t="str">
        <f>IFERROR(HLOOKUP(X1678,'Calc|Weightings'!$K$5:$M$5,1,0),"Excl")</f>
        <v>Contracts</v>
      </c>
      <c r="AA1678" s="7" t="str">
        <f>VLOOKUP(Q1678,Mapping!$E$11:$I$96,5,0)</f>
        <v>SCS</v>
      </c>
      <c r="AC1678" s="111">
        <v>168</v>
      </c>
      <c r="AD1678" s="111" t="s">
        <v>2176</v>
      </c>
      <c r="AE1678" s="111">
        <v>612210</v>
      </c>
      <c r="AF1678" s="111" t="s">
        <v>1184</v>
      </c>
      <c r="AG1678" s="112">
        <v>34.989609999999999</v>
      </c>
      <c r="AI1678" s="7" t="str">
        <f>VLOOKUP($AC1678,Mapping!$E$11:$I$96,3,0)</f>
        <v>Augmentation</v>
      </c>
      <c r="AJ1678" s="7" t="str">
        <f>VLOOKUP($AE1678,Mapping!$E$140:$K$2771,5,0)</f>
        <v>Labour</v>
      </c>
      <c r="AK1678" s="7" t="str">
        <f>VLOOKUP($AE1678,Mapping!$E$140:$K$2771,7,0)</f>
        <v>ENDirect</v>
      </c>
      <c r="AL1678" s="7" t="str">
        <f>IFERROR(HLOOKUP(AJ1678,'Calc|Weightings'!$K$5:$M$5,1,0),"Excl")</f>
        <v>Labour</v>
      </c>
      <c r="AM1678" s="7" t="str">
        <f>VLOOKUP(AC1678,Mapping!$E$11:$I$96,5,0)</f>
        <v>SCS</v>
      </c>
      <c r="AO1678" s="134">
        <v>177</v>
      </c>
      <c r="AP1678" s="135" t="s">
        <v>2387</v>
      </c>
      <c r="AQ1678" s="135">
        <v>611902</v>
      </c>
      <c r="AR1678" s="135" t="s">
        <v>2081</v>
      </c>
      <c r="AS1678" s="136">
        <v>3.2141000000000002</v>
      </c>
      <c r="AU1678" s="7" t="str">
        <f>VLOOKUP($AO1678,Mapping!$E$11:$I$96,3,0)</f>
        <v>Augmentation</v>
      </c>
      <c r="AV1678" s="7" t="str">
        <f>VLOOKUP($AQ1678,Mapping!$E$140:$K$2771,5,0)</f>
        <v>Contracts</v>
      </c>
      <c r="AW1678" s="7" t="str">
        <f>VLOOKUP($AQ1678,Mapping!$E$140:$K$2771,7,0)</f>
        <v>ENDirect</v>
      </c>
      <c r="AX1678" s="7" t="str">
        <f>IFERROR(HLOOKUP(AV1678,'Calc|Weightings'!$K$5:$M$5,1,0),"Excl")</f>
        <v>Contracts</v>
      </c>
      <c r="AY1678" s="7" t="str">
        <f>VLOOKUP(AO1678,Mapping!$E$11:$I$96,5,0)</f>
        <v>SCS</v>
      </c>
    </row>
    <row r="1679" spans="1:51" x14ac:dyDescent="0.2">
      <c r="A1679" s="7"/>
      <c r="B1679" s="7"/>
      <c r="C1679" s="7"/>
      <c r="D1679" s="7"/>
      <c r="E1679" s="36">
        <v>157</v>
      </c>
      <c r="F1679" s="36" t="s">
        <v>2166</v>
      </c>
      <c r="G1679" s="36">
        <v>545150</v>
      </c>
      <c r="H1679" s="36" t="s">
        <v>345</v>
      </c>
      <c r="I1679" s="37">
        <v>0.59846999999999995</v>
      </c>
      <c r="J1679" s="7"/>
      <c r="K1679" s="7" t="str">
        <f>VLOOKUP($E1679,Mapping!$E$11:$I$96,3,0)</f>
        <v>Replacement</v>
      </c>
      <c r="L1679" s="7" t="str">
        <f>VLOOKUP($G1679,Mapping!$E$140:$K$2771,5,0)</f>
        <v>Contracts</v>
      </c>
      <c r="M1679" s="7" t="str">
        <f>VLOOKUP($G1679,Mapping!$E$140:$K$2771,7,0)</f>
        <v>ENDirect</v>
      </c>
      <c r="N1679" s="7" t="str">
        <f>IFERROR(HLOOKUP(L1679,'Calc|Weightings'!$K$5:$M$5,1,0),"Excl")</f>
        <v>Contracts</v>
      </c>
      <c r="O1679" s="7" t="str">
        <f>VLOOKUP(E1679,Mapping!$E$11:$I$96,5,0)</f>
        <v>SCS</v>
      </c>
      <c r="Q1679" s="33">
        <v>200</v>
      </c>
      <c r="R1679" s="33" t="s">
        <v>2181</v>
      </c>
      <c r="S1679" s="33">
        <v>601156</v>
      </c>
      <c r="T1679" s="33" t="s">
        <v>406</v>
      </c>
      <c r="U1679" s="34">
        <v>10785.149960000001</v>
      </c>
      <c r="V1679" s="7"/>
      <c r="W1679" s="7" t="str">
        <f>VLOOKUP($Q1679,Mapping!$E$11:$I$96,3,0)</f>
        <v>Non-network general assets - IT</v>
      </c>
      <c r="X1679" s="7" t="str">
        <f>VLOOKUP($S1679,Mapping!$E$140:$K$2771,5,0)</f>
        <v>Labour</v>
      </c>
      <c r="Y1679" s="7" t="str">
        <f>VLOOKUP($S1679,Mapping!$E$140:$K$2771,7,0)</f>
        <v>ENDirect</v>
      </c>
      <c r="Z1679" s="7" t="str">
        <f>IFERROR(HLOOKUP(X1679,'Calc|Weightings'!$K$5:$M$5,1,0),"Excl")</f>
        <v>Labour</v>
      </c>
      <c r="AA1679" s="7" t="str">
        <f>VLOOKUP(Q1679,Mapping!$E$11:$I$96,5,0)</f>
        <v>SCS</v>
      </c>
      <c r="AC1679" s="111">
        <v>168</v>
      </c>
      <c r="AD1679" s="111" t="s">
        <v>2176</v>
      </c>
      <c r="AE1679" s="111">
        <v>613240</v>
      </c>
      <c r="AF1679" s="111" t="s">
        <v>2082</v>
      </c>
      <c r="AG1679" s="112">
        <v>40.404150000000001</v>
      </c>
      <c r="AI1679" s="7" t="str">
        <f>VLOOKUP($AC1679,Mapping!$E$11:$I$96,3,0)</f>
        <v>Augmentation</v>
      </c>
      <c r="AJ1679" s="7" t="str">
        <f>VLOOKUP($AE1679,Mapping!$E$140:$K$2771,5,0)</f>
        <v>Labour</v>
      </c>
      <c r="AK1679" s="7" t="str">
        <f>VLOOKUP($AE1679,Mapping!$E$140:$K$2771,7,0)</f>
        <v>ENDirect</v>
      </c>
      <c r="AL1679" s="7" t="str">
        <f>IFERROR(HLOOKUP(AJ1679,'Calc|Weightings'!$K$5:$M$5,1,0),"Excl")</f>
        <v>Labour</v>
      </c>
      <c r="AM1679" s="7" t="str">
        <f>VLOOKUP(AC1679,Mapping!$E$11:$I$96,5,0)</f>
        <v>SCS</v>
      </c>
      <c r="AO1679" s="134">
        <v>177</v>
      </c>
      <c r="AP1679" s="135" t="s">
        <v>2387</v>
      </c>
      <c r="AQ1679" s="135">
        <v>612210</v>
      </c>
      <c r="AR1679" s="135" t="s">
        <v>1184</v>
      </c>
      <c r="AS1679" s="136">
        <v>0.82528999999999997</v>
      </c>
      <c r="AU1679" s="7" t="str">
        <f>VLOOKUP($AO1679,Mapping!$E$11:$I$96,3,0)</f>
        <v>Augmentation</v>
      </c>
      <c r="AV1679" s="7" t="str">
        <f>VLOOKUP($AQ1679,Mapping!$E$140:$K$2771,5,0)</f>
        <v>Labour</v>
      </c>
      <c r="AW1679" s="7" t="str">
        <f>VLOOKUP($AQ1679,Mapping!$E$140:$K$2771,7,0)</f>
        <v>ENDirect</v>
      </c>
      <c r="AX1679" s="7" t="str">
        <f>IFERROR(HLOOKUP(AV1679,'Calc|Weightings'!$K$5:$M$5,1,0),"Excl")</f>
        <v>Labour</v>
      </c>
      <c r="AY1679" s="7" t="str">
        <f>VLOOKUP(AO1679,Mapping!$E$11:$I$96,5,0)</f>
        <v>SCS</v>
      </c>
    </row>
    <row r="1680" spans="1:51" x14ac:dyDescent="0.2">
      <c r="A1680" s="7"/>
      <c r="B1680" s="7"/>
      <c r="C1680" s="7"/>
      <c r="D1680" s="7"/>
      <c r="E1680" s="36">
        <v>157</v>
      </c>
      <c r="F1680" s="36" t="s">
        <v>2166</v>
      </c>
      <c r="G1680" s="36">
        <v>591997</v>
      </c>
      <c r="H1680" s="36" t="s">
        <v>2194</v>
      </c>
      <c r="I1680" s="37">
        <v>-0.43034</v>
      </c>
      <c r="J1680" s="7"/>
      <c r="K1680" s="7" t="str">
        <f>VLOOKUP($E1680,Mapping!$E$11:$I$96,3,0)</f>
        <v>Replacement</v>
      </c>
      <c r="L1680" s="7" t="str">
        <f>VLOOKUP($G1680,Mapping!$E$140:$K$2771,5,0)</f>
        <v>Contracts</v>
      </c>
      <c r="M1680" s="7" t="str">
        <f>VLOOKUP($G1680,Mapping!$E$140:$K$2771,7,0)</f>
        <v>ENDirect</v>
      </c>
      <c r="N1680" s="7" t="str">
        <f>IFERROR(HLOOKUP(L1680,'Calc|Weightings'!$K$5:$M$5,1,0),"Excl")</f>
        <v>Contracts</v>
      </c>
      <c r="O1680" s="7" t="str">
        <f>VLOOKUP(E1680,Mapping!$E$11:$I$96,5,0)</f>
        <v>SCS</v>
      </c>
      <c r="Q1680" s="33">
        <v>200</v>
      </c>
      <c r="R1680" s="33" t="s">
        <v>2181</v>
      </c>
      <c r="S1680" s="33">
        <v>601157</v>
      </c>
      <c r="T1680" s="33" t="s">
        <v>407</v>
      </c>
      <c r="U1680" s="34">
        <v>1401.3555000000001</v>
      </c>
      <c r="V1680" s="7"/>
      <c r="W1680" s="7" t="str">
        <f>VLOOKUP($Q1680,Mapping!$E$11:$I$96,3,0)</f>
        <v>Non-network general assets - IT</v>
      </c>
      <c r="X1680" s="7" t="str">
        <f>VLOOKUP($S1680,Mapping!$E$140:$K$2771,5,0)</f>
        <v>IT Project MG</v>
      </c>
      <c r="Y1680" s="7" t="str">
        <f>VLOOKUP($S1680,Mapping!$E$140:$K$2771,7,0)</f>
        <v>ENDirect</v>
      </c>
      <c r="Z1680" s="7" t="str">
        <f>IFERROR(HLOOKUP(X1680,'Calc|Weightings'!$K$5:$M$5,1,0),"Excl")</f>
        <v>Excl</v>
      </c>
      <c r="AA1680" s="7" t="str">
        <f>VLOOKUP(Q1680,Mapping!$E$11:$I$96,5,0)</f>
        <v>SCS</v>
      </c>
      <c r="AC1680" s="111">
        <v>168</v>
      </c>
      <c r="AD1680" s="111" t="s">
        <v>2176</v>
      </c>
      <c r="AE1680" s="111">
        <v>613241</v>
      </c>
      <c r="AF1680" s="111" t="s">
        <v>2083</v>
      </c>
      <c r="AG1680" s="112">
        <v>1.6113299999999999</v>
      </c>
      <c r="AI1680" s="7" t="str">
        <f>VLOOKUP($AC1680,Mapping!$E$11:$I$96,3,0)</f>
        <v>Augmentation</v>
      </c>
      <c r="AJ1680" s="7" t="str">
        <f>VLOOKUP($AE1680,Mapping!$E$140:$K$2771,5,0)</f>
        <v>Labour</v>
      </c>
      <c r="AK1680" s="7" t="str">
        <f>VLOOKUP($AE1680,Mapping!$E$140:$K$2771,7,0)</f>
        <v>ENDirect</v>
      </c>
      <c r="AL1680" s="7" t="str">
        <f>IFERROR(HLOOKUP(AJ1680,'Calc|Weightings'!$K$5:$M$5,1,0),"Excl")</f>
        <v>Labour</v>
      </c>
      <c r="AM1680" s="7" t="str">
        <f>VLOOKUP(AC1680,Mapping!$E$11:$I$96,5,0)</f>
        <v>SCS</v>
      </c>
      <c r="AO1680" s="134">
        <v>177</v>
      </c>
      <c r="AP1680" s="135" t="s">
        <v>2387</v>
      </c>
      <c r="AQ1680" s="135">
        <v>613240</v>
      </c>
      <c r="AR1680" s="135" t="s">
        <v>2082</v>
      </c>
      <c r="AS1680" s="136">
        <v>0.78047999999999995</v>
      </c>
      <c r="AU1680" s="7" t="str">
        <f>VLOOKUP($AO1680,Mapping!$E$11:$I$96,3,0)</f>
        <v>Augmentation</v>
      </c>
      <c r="AV1680" s="7" t="str">
        <f>VLOOKUP($AQ1680,Mapping!$E$140:$K$2771,5,0)</f>
        <v>Labour</v>
      </c>
      <c r="AW1680" s="7" t="str">
        <f>VLOOKUP($AQ1680,Mapping!$E$140:$K$2771,7,0)</f>
        <v>ENDirect</v>
      </c>
      <c r="AX1680" s="7" t="str">
        <f>IFERROR(HLOOKUP(AV1680,'Calc|Weightings'!$K$5:$M$5,1,0),"Excl")</f>
        <v>Labour</v>
      </c>
      <c r="AY1680" s="7" t="str">
        <f>VLOOKUP(AO1680,Mapping!$E$11:$I$96,5,0)</f>
        <v>SCS</v>
      </c>
    </row>
    <row r="1681" spans="1:51" x14ac:dyDescent="0.2">
      <c r="A1681" s="7"/>
      <c r="B1681" s="7"/>
      <c r="C1681" s="7"/>
      <c r="D1681" s="7"/>
      <c r="E1681" s="36">
        <v>157</v>
      </c>
      <c r="F1681" s="36" t="s">
        <v>2166</v>
      </c>
      <c r="G1681" s="36">
        <v>591999</v>
      </c>
      <c r="H1681" s="36" t="s">
        <v>2195</v>
      </c>
      <c r="I1681" s="37">
        <v>-5.4449699999999996</v>
      </c>
      <c r="J1681" s="7"/>
      <c r="K1681" s="7" t="str">
        <f>VLOOKUP($E1681,Mapping!$E$11:$I$96,3,0)</f>
        <v>Replacement</v>
      </c>
      <c r="L1681" s="7" t="str">
        <f>VLOOKUP($G1681,Mapping!$E$140:$K$2771,5,0)</f>
        <v>Contracts</v>
      </c>
      <c r="M1681" s="7" t="str">
        <f>VLOOKUP($G1681,Mapping!$E$140:$K$2771,7,0)</f>
        <v>ENDirect</v>
      </c>
      <c r="N1681" s="7" t="str">
        <f>IFERROR(HLOOKUP(L1681,'Calc|Weightings'!$K$5:$M$5,1,0),"Excl")</f>
        <v>Contracts</v>
      </c>
      <c r="O1681" s="7" t="str">
        <f>VLOOKUP(E1681,Mapping!$E$11:$I$96,5,0)</f>
        <v>SCS</v>
      </c>
      <c r="Q1681" s="33">
        <v>200</v>
      </c>
      <c r="R1681" s="33" t="s">
        <v>2181</v>
      </c>
      <c r="S1681" s="33">
        <v>613244</v>
      </c>
      <c r="T1681" s="33" t="s">
        <v>2084</v>
      </c>
      <c r="U1681" s="34">
        <v>1.1684300000000001</v>
      </c>
      <c r="V1681" s="7"/>
      <c r="W1681" s="7" t="str">
        <f>VLOOKUP($Q1681,Mapping!$E$11:$I$96,3,0)</f>
        <v>Non-network general assets - IT</v>
      </c>
      <c r="X1681" s="7" t="str">
        <f>VLOOKUP($S1681,Mapping!$E$140:$K$2771,5,0)</f>
        <v>Labour</v>
      </c>
      <c r="Y1681" s="7" t="str">
        <f>VLOOKUP($S1681,Mapping!$E$140:$K$2771,7,0)</f>
        <v>ENDirect</v>
      </c>
      <c r="Z1681" s="7" t="str">
        <f>IFERROR(HLOOKUP(X1681,'Calc|Weightings'!$K$5:$M$5,1,0),"Excl")</f>
        <v>Labour</v>
      </c>
      <c r="AA1681" s="7" t="str">
        <f>VLOOKUP(Q1681,Mapping!$E$11:$I$96,5,0)</f>
        <v>SCS</v>
      </c>
      <c r="AC1681" s="111">
        <v>168</v>
      </c>
      <c r="AD1681" s="111" t="s">
        <v>2176</v>
      </c>
      <c r="AE1681" s="111">
        <v>613250</v>
      </c>
      <c r="AF1681" s="111" t="s">
        <v>2086</v>
      </c>
      <c r="AG1681" s="112">
        <v>74.457579999999993</v>
      </c>
      <c r="AI1681" s="7" t="str">
        <f>VLOOKUP($AC1681,Mapping!$E$11:$I$96,3,0)</f>
        <v>Augmentation</v>
      </c>
      <c r="AJ1681" s="7" t="str">
        <f>VLOOKUP($AE1681,Mapping!$E$140:$K$2771,5,0)</f>
        <v>Labour</v>
      </c>
      <c r="AK1681" s="7" t="str">
        <f>VLOOKUP($AE1681,Mapping!$E$140:$K$2771,7,0)</f>
        <v>ENDirect</v>
      </c>
      <c r="AL1681" s="7" t="str">
        <f>IFERROR(HLOOKUP(AJ1681,'Calc|Weightings'!$K$5:$M$5,1,0),"Excl")</f>
        <v>Labour</v>
      </c>
      <c r="AM1681" s="7" t="str">
        <f>VLOOKUP(AC1681,Mapping!$E$11:$I$96,5,0)</f>
        <v>SCS</v>
      </c>
      <c r="AO1681" s="134">
        <v>177</v>
      </c>
      <c r="AP1681" s="135" t="s">
        <v>2387</v>
      </c>
      <c r="AQ1681" s="135">
        <v>613250</v>
      </c>
      <c r="AR1681" s="135" t="s">
        <v>2086</v>
      </c>
      <c r="AS1681" s="136">
        <v>2.0428899999999999</v>
      </c>
      <c r="AU1681" s="7" t="str">
        <f>VLOOKUP($AO1681,Mapping!$E$11:$I$96,3,0)</f>
        <v>Augmentation</v>
      </c>
      <c r="AV1681" s="7" t="str">
        <f>VLOOKUP($AQ1681,Mapping!$E$140:$K$2771,5,0)</f>
        <v>Labour</v>
      </c>
      <c r="AW1681" s="7" t="str">
        <f>VLOOKUP($AQ1681,Mapping!$E$140:$K$2771,7,0)</f>
        <v>ENDirect</v>
      </c>
      <c r="AX1681" s="7" t="str">
        <f>IFERROR(HLOOKUP(AV1681,'Calc|Weightings'!$K$5:$M$5,1,0),"Excl")</f>
        <v>Labour</v>
      </c>
      <c r="AY1681" s="7" t="str">
        <f>VLOOKUP(AO1681,Mapping!$E$11:$I$96,5,0)</f>
        <v>SCS</v>
      </c>
    </row>
    <row r="1682" spans="1:51" x14ac:dyDescent="0.2">
      <c r="A1682" s="7"/>
      <c r="B1682" s="7"/>
      <c r="C1682" s="7"/>
      <c r="D1682" s="7"/>
      <c r="E1682" s="36">
        <v>157</v>
      </c>
      <c r="F1682" s="36" t="s">
        <v>2166</v>
      </c>
      <c r="G1682" s="36">
        <v>611860</v>
      </c>
      <c r="H1682" s="36" t="s">
        <v>2125</v>
      </c>
      <c r="I1682" s="37">
        <v>10.996449999999999</v>
      </c>
      <c r="J1682" s="7"/>
      <c r="K1682" s="7" t="str">
        <f>VLOOKUP($E1682,Mapping!$E$11:$I$96,3,0)</f>
        <v>Replacement</v>
      </c>
      <c r="L1682" s="7" t="str">
        <f>VLOOKUP($G1682,Mapping!$E$140:$K$2771,5,0)</f>
        <v>Labour</v>
      </c>
      <c r="M1682" s="7" t="str">
        <f>VLOOKUP($G1682,Mapping!$E$140:$K$2771,7,0)</f>
        <v>ENDirect</v>
      </c>
      <c r="N1682" s="7" t="str">
        <f>IFERROR(HLOOKUP(L1682,'Calc|Weightings'!$K$5:$M$5,1,0),"Excl")</f>
        <v>Labour</v>
      </c>
      <c r="O1682" s="7" t="str">
        <f>VLOOKUP(E1682,Mapping!$E$11:$I$96,5,0)</f>
        <v>SCS</v>
      </c>
      <c r="Q1682" s="33">
        <v>200</v>
      </c>
      <c r="R1682" s="33" t="s">
        <v>2181</v>
      </c>
      <c r="S1682" s="33">
        <v>613245</v>
      </c>
      <c r="T1682" s="33" t="s">
        <v>2085</v>
      </c>
      <c r="U1682" s="34">
        <v>0.26649</v>
      </c>
      <c r="V1682" s="7"/>
      <c r="W1682" s="7" t="str">
        <f>VLOOKUP($Q1682,Mapping!$E$11:$I$96,3,0)</f>
        <v>Non-network general assets - IT</v>
      </c>
      <c r="X1682" s="7" t="str">
        <f>VLOOKUP($S1682,Mapping!$E$140:$K$2771,5,0)</f>
        <v>Labour</v>
      </c>
      <c r="Y1682" s="7" t="str">
        <f>VLOOKUP($S1682,Mapping!$E$140:$K$2771,7,0)</f>
        <v>ENDirect</v>
      </c>
      <c r="Z1682" s="7" t="str">
        <f>IFERROR(HLOOKUP(X1682,'Calc|Weightings'!$K$5:$M$5,1,0),"Excl")</f>
        <v>Labour</v>
      </c>
      <c r="AA1682" s="7" t="str">
        <f>VLOOKUP(Q1682,Mapping!$E$11:$I$96,5,0)</f>
        <v>SCS</v>
      </c>
      <c r="AC1682" s="111">
        <v>168</v>
      </c>
      <c r="AD1682" s="111" t="s">
        <v>2176</v>
      </c>
      <c r="AE1682" s="111">
        <v>613251</v>
      </c>
      <c r="AF1682" s="111" t="s">
        <v>2087</v>
      </c>
      <c r="AG1682" s="112">
        <v>4.1549800000000001</v>
      </c>
      <c r="AI1682" s="7" t="str">
        <f>VLOOKUP($AC1682,Mapping!$E$11:$I$96,3,0)</f>
        <v>Augmentation</v>
      </c>
      <c r="AJ1682" s="7" t="str">
        <f>VLOOKUP($AE1682,Mapping!$E$140:$K$2771,5,0)</f>
        <v>Labour</v>
      </c>
      <c r="AK1682" s="7" t="str">
        <f>VLOOKUP($AE1682,Mapping!$E$140:$K$2771,7,0)</f>
        <v>ENDirect</v>
      </c>
      <c r="AL1682" s="7" t="str">
        <f>IFERROR(HLOOKUP(AJ1682,'Calc|Weightings'!$K$5:$M$5,1,0),"Excl")</f>
        <v>Labour</v>
      </c>
      <c r="AM1682" s="7" t="str">
        <f>VLOOKUP(AC1682,Mapping!$E$11:$I$96,5,0)</f>
        <v>SCS</v>
      </c>
      <c r="AO1682" s="134">
        <v>177</v>
      </c>
      <c r="AP1682" s="135" t="s">
        <v>2387</v>
      </c>
      <c r="AQ1682" s="135">
        <v>613260</v>
      </c>
      <c r="AR1682" s="135" t="s">
        <v>2090</v>
      </c>
      <c r="AS1682" s="136">
        <v>1.11456</v>
      </c>
      <c r="AU1682" s="7" t="str">
        <f>VLOOKUP($AO1682,Mapping!$E$11:$I$96,3,0)</f>
        <v>Augmentation</v>
      </c>
      <c r="AV1682" s="7" t="str">
        <f>VLOOKUP($AQ1682,Mapping!$E$140:$K$2771,5,0)</f>
        <v>Labour</v>
      </c>
      <c r="AW1682" s="7" t="str">
        <f>VLOOKUP($AQ1682,Mapping!$E$140:$K$2771,7,0)</f>
        <v>ENDirect</v>
      </c>
      <c r="AX1682" s="7" t="str">
        <f>IFERROR(HLOOKUP(AV1682,'Calc|Weightings'!$K$5:$M$5,1,0),"Excl")</f>
        <v>Labour</v>
      </c>
      <c r="AY1682" s="7" t="str">
        <f>VLOOKUP(AO1682,Mapping!$E$11:$I$96,5,0)</f>
        <v>SCS</v>
      </c>
    </row>
    <row r="1683" spans="1:51" x14ac:dyDescent="0.2">
      <c r="A1683" s="7"/>
      <c r="B1683" s="7"/>
      <c r="C1683" s="7"/>
      <c r="D1683" s="7"/>
      <c r="E1683" s="36">
        <v>157</v>
      </c>
      <c r="F1683" s="36" t="s">
        <v>2166</v>
      </c>
      <c r="G1683" s="36">
        <v>611900</v>
      </c>
      <c r="H1683" s="36" t="s">
        <v>2079</v>
      </c>
      <c r="I1683" s="37">
        <v>1.68655</v>
      </c>
      <c r="J1683" s="7"/>
      <c r="K1683" s="7" t="str">
        <f>VLOOKUP($E1683,Mapping!$E$11:$I$96,3,0)</f>
        <v>Replacement</v>
      </c>
      <c r="L1683" s="7" t="str">
        <f>VLOOKUP($G1683,Mapping!$E$140:$K$2771,5,0)</f>
        <v>Contracts</v>
      </c>
      <c r="M1683" s="7" t="str">
        <f>VLOOKUP($G1683,Mapping!$E$140:$K$2771,7,0)</f>
        <v>ENDirect</v>
      </c>
      <c r="N1683" s="7" t="str">
        <f>IFERROR(HLOOKUP(L1683,'Calc|Weightings'!$K$5:$M$5,1,0),"Excl")</f>
        <v>Contracts</v>
      </c>
      <c r="O1683" s="7" t="str">
        <f>VLOOKUP(E1683,Mapping!$E$11:$I$96,5,0)</f>
        <v>SCS</v>
      </c>
      <c r="Q1683" s="33">
        <v>200</v>
      </c>
      <c r="R1683" s="33" t="s">
        <v>2181</v>
      </c>
      <c r="S1683" s="33">
        <v>613254</v>
      </c>
      <c r="T1683" s="33" t="s">
        <v>2088</v>
      </c>
      <c r="U1683" s="34">
        <v>3.5349200000000001</v>
      </c>
      <c r="V1683" s="7"/>
      <c r="W1683" s="7" t="str">
        <f>VLOOKUP($Q1683,Mapping!$E$11:$I$96,3,0)</f>
        <v>Non-network general assets - IT</v>
      </c>
      <c r="X1683" s="7" t="str">
        <f>VLOOKUP($S1683,Mapping!$E$140:$K$2771,5,0)</f>
        <v>Labour</v>
      </c>
      <c r="Y1683" s="7" t="str">
        <f>VLOOKUP($S1683,Mapping!$E$140:$K$2771,7,0)</f>
        <v>ENDirect</v>
      </c>
      <c r="Z1683" s="7" t="str">
        <f>IFERROR(HLOOKUP(X1683,'Calc|Weightings'!$K$5:$M$5,1,0),"Excl")</f>
        <v>Labour</v>
      </c>
      <c r="AA1683" s="7" t="str">
        <f>VLOOKUP(Q1683,Mapping!$E$11:$I$96,5,0)</f>
        <v>SCS</v>
      </c>
      <c r="AC1683" s="111">
        <v>168</v>
      </c>
      <c r="AD1683" s="111" t="s">
        <v>2176</v>
      </c>
      <c r="AE1683" s="111">
        <v>613260</v>
      </c>
      <c r="AF1683" s="111" t="s">
        <v>2090</v>
      </c>
      <c r="AG1683" s="112">
        <v>8.5609599999999997</v>
      </c>
      <c r="AI1683" s="7" t="str">
        <f>VLOOKUP($AC1683,Mapping!$E$11:$I$96,3,0)</f>
        <v>Augmentation</v>
      </c>
      <c r="AJ1683" s="7" t="str">
        <f>VLOOKUP($AE1683,Mapping!$E$140:$K$2771,5,0)</f>
        <v>Labour</v>
      </c>
      <c r="AK1683" s="7" t="str">
        <f>VLOOKUP($AE1683,Mapping!$E$140:$K$2771,7,0)</f>
        <v>ENDirect</v>
      </c>
      <c r="AL1683" s="7" t="str">
        <f>IFERROR(HLOOKUP(AJ1683,'Calc|Weightings'!$K$5:$M$5,1,0),"Excl")</f>
        <v>Labour</v>
      </c>
      <c r="AM1683" s="7" t="str">
        <f>VLOOKUP(AC1683,Mapping!$E$11:$I$96,5,0)</f>
        <v>SCS</v>
      </c>
      <c r="AO1683" s="134">
        <v>177</v>
      </c>
      <c r="AP1683" s="135" t="s">
        <v>2387</v>
      </c>
      <c r="AQ1683" s="135">
        <v>613261</v>
      </c>
      <c r="AR1683" s="135" t="s">
        <v>2091</v>
      </c>
      <c r="AS1683" s="136">
        <v>3.7516500000000002</v>
      </c>
      <c r="AU1683" s="7" t="str">
        <f>VLOOKUP($AO1683,Mapping!$E$11:$I$96,3,0)</f>
        <v>Augmentation</v>
      </c>
      <c r="AV1683" s="7" t="str">
        <f>VLOOKUP($AQ1683,Mapping!$E$140:$K$2771,5,0)</f>
        <v>Labour</v>
      </c>
      <c r="AW1683" s="7" t="str">
        <f>VLOOKUP($AQ1683,Mapping!$E$140:$K$2771,7,0)</f>
        <v>ENDirect</v>
      </c>
      <c r="AX1683" s="7" t="str">
        <f>IFERROR(HLOOKUP(AV1683,'Calc|Weightings'!$K$5:$M$5,1,0),"Excl")</f>
        <v>Labour</v>
      </c>
      <c r="AY1683" s="7" t="str">
        <f>VLOOKUP(AO1683,Mapping!$E$11:$I$96,5,0)</f>
        <v>SCS</v>
      </c>
    </row>
    <row r="1684" spans="1:51" x14ac:dyDescent="0.2">
      <c r="A1684" s="7"/>
      <c r="B1684" s="7"/>
      <c r="C1684" s="7"/>
      <c r="D1684" s="7"/>
      <c r="E1684" s="36">
        <v>157</v>
      </c>
      <c r="F1684" s="36" t="s">
        <v>2166</v>
      </c>
      <c r="G1684" s="36">
        <v>611901</v>
      </c>
      <c r="H1684" s="36" t="s">
        <v>2080</v>
      </c>
      <c r="I1684" s="37">
        <v>18.814990000000002</v>
      </c>
      <c r="J1684" s="7"/>
      <c r="K1684" s="7" t="str">
        <f>VLOOKUP($E1684,Mapping!$E$11:$I$96,3,0)</f>
        <v>Replacement</v>
      </c>
      <c r="L1684" s="7" t="str">
        <f>VLOOKUP($G1684,Mapping!$E$140:$K$2771,5,0)</f>
        <v>Contracts</v>
      </c>
      <c r="M1684" s="7" t="str">
        <f>VLOOKUP($G1684,Mapping!$E$140:$K$2771,7,0)</f>
        <v>ENDirect</v>
      </c>
      <c r="N1684" s="7" t="str">
        <f>IFERROR(HLOOKUP(L1684,'Calc|Weightings'!$K$5:$M$5,1,0),"Excl")</f>
        <v>Contracts</v>
      </c>
      <c r="O1684" s="7" t="str">
        <f>VLOOKUP(E1684,Mapping!$E$11:$I$96,5,0)</f>
        <v>SCS</v>
      </c>
      <c r="Q1684" s="33">
        <v>200</v>
      </c>
      <c r="R1684" s="33" t="s">
        <v>2181</v>
      </c>
      <c r="S1684" s="33">
        <v>613255</v>
      </c>
      <c r="T1684" s="33" t="s">
        <v>2089</v>
      </c>
      <c r="U1684" s="34">
        <v>0.79881999999999997</v>
      </c>
      <c r="V1684" s="7"/>
      <c r="W1684" s="7" t="str">
        <f>VLOOKUP($Q1684,Mapping!$E$11:$I$96,3,0)</f>
        <v>Non-network general assets - IT</v>
      </c>
      <c r="X1684" s="7" t="str">
        <f>VLOOKUP($S1684,Mapping!$E$140:$K$2771,5,0)</f>
        <v>Labour</v>
      </c>
      <c r="Y1684" s="7" t="str">
        <f>VLOOKUP($S1684,Mapping!$E$140:$K$2771,7,0)</f>
        <v>ENDirect</v>
      </c>
      <c r="Z1684" s="7" t="str">
        <f>IFERROR(HLOOKUP(X1684,'Calc|Weightings'!$K$5:$M$5,1,0),"Excl")</f>
        <v>Labour</v>
      </c>
      <c r="AA1684" s="7" t="str">
        <f>VLOOKUP(Q1684,Mapping!$E$11:$I$96,5,0)</f>
        <v>SCS</v>
      </c>
      <c r="AC1684" s="111">
        <v>168</v>
      </c>
      <c r="AD1684" s="111" t="s">
        <v>2176</v>
      </c>
      <c r="AE1684" s="111">
        <v>613280</v>
      </c>
      <c r="AF1684" s="111" t="s">
        <v>1342</v>
      </c>
      <c r="AG1684" s="112">
        <v>96.407550000000001</v>
      </c>
      <c r="AI1684" s="7" t="str">
        <f>VLOOKUP($AC1684,Mapping!$E$11:$I$96,3,0)</f>
        <v>Augmentation</v>
      </c>
      <c r="AJ1684" s="7" t="str">
        <f>VLOOKUP($AE1684,Mapping!$E$140:$K$2771,5,0)</f>
        <v>Labour</v>
      </c>
      <c r="AK1684" s="7" t="str">
        <f>VLOOKUP($AE1684,Mapping!$E$140:$K$2771,7,0)</f>
        <v>ENDirect</v>
      </c>
      <c r="AL1684" s="7" t="str">
        <f>IFERROR(HLOOKUP(AJ1684,'Calc|Weightings'!$K$5:$M$5,1,0),"Excl")</f>
        <v>Labour</v>
      </c>
      <c r="AM1684" s="7" t="str">
        <f>VLOOKUP(AC1684,Mapping!$E$11:$I$96,5,0)</f>
        <v>SCS</v>
      </c>
      <c r="AO1684" s="134">
        <v>177</v>
      </c>
      <c r="AP1684" s="135" t="s">
        <v>2387</v>
      </c>
      <c r="AQ1684" s="135">
        <v>613280</v>
      </c>
      <c r="AR1684" s="135" t="s">
        <v>1342</v>
      </c>
      <c r="AS1684" s="136">
        <v>163.7962</v>
      </c>
      <c r="AU1684" s="7" t="str">
        <f>VLOOKUP($AO1684,Mapping!$E$11:$I$96,3,0)</f>
        <v>Augmentation</v>
      </c>
      <c r="AV1684" s="7" t="str">
        <f>VLOOKUP($AQ1684,Mapping!$E$140:$K$2771,5,0)</f>
        <v>Labour</v>
      </c>
      <c r="AW1684" s="7" t="str">
        <f>VLOOKUP($AQ1684,Mapping!$E$140:$K$2771,7,0)</f>
        <v>ENDirect</v>
      </c>
      <c r="AX1684" s="7" t="str">
        <f>IFERROR(HLOOKUP(AV1684,'Calc|Weightings'!$K$5:$M$5,1,0),"Excl")</f>
        <v>Labour</v>
      </c>
      <c r="AY1684" s="7" t="str">
        <f>VLOOKUP(AO1684,Mapping!$E$11:$I$96,5,0)</f>
        <v>SCS</v>
      </c>
    </row>
    <row r="1685" spans="1:51" x14ac:dyDescent="0.2">
      <c r="A1685" s="7"/>
      <c r="B1685" s="7"/>
      <c r="C1685" s="7"/>
      <c r="D1685" s="7"/>
      <c r="E1685" s="36">
        <v>157</v>
      </c>
      <c r="F1685" s="36" t="s">
        <v>2166</v>
      </c>
      <c r="G1685" s="36">
        <v>611902</v>
      </c>
      <c r="H1685" s="36" t="s">
        <v>2081</v>
      </c>
      <c r="I1685" s="37">
        <v>10.146280000000001</v>
      </c>
      <c r="J1685" s="7"/>
      <c r="K1685" s="7" t="str">
        <f>VLOOKUP($E1685,Mapping!$E$11:$I$96,3,0)</f>
        <v>Replacement</v>
      </c>
      <c r="L1685" s="7" t="str">
        <f>VLOOKUP($G1685,Mapping!$E$140:$K$2771,5,0)</f>
        <v>Contracts</v>
      </c>
      <c r="M1685" s="7" t="str">
        <f>VLOOKUP($G1685,Mapping!$E$140:$K$2771,7,0)</f>
        <v>ENDirect</v>
      </c>
      <c r="N1685" s="7" t="str">
        <f>IFERROR(HLOOKUP(L1685,'Calc|Weightings'!$K$5:$M$5,1,0),"Excl")</f>
        <v>Contracts</v>
      </c>
      <c r="O1685" s="7" t="str">
        <f>VLOOKUP(E1685,Mapping!$E$11:$I$96,5,0)</f>
        <v>SCS</v>
      </c>
      <c r="Q1685" s="33">
        <v>200</v>
      </c>
      <c r="R1685" s="33" t="s">
        <v>2181</v>
      </c>
      <c r="S1685" s="33">
        <v>613410</v>
      </c>
      <c r="T1685" s="33" t="s">
        <v>2100</v>
      </c>
      <c r="U1685" s="34">
        <v>0.27961000000000003</v>
      </c>
      <c r="V1685" s="7"/>
      <c r="W1685" s="7" t="str">
        <f>VLOOKUP($Q1685,Mapping!$E$11:$I$96,3,0)</f>
        <v>Non-network general assets - IT</v>
      </c>
      <c r="X1685" s="7" t="str">
        <f>VLOOKUP($S1685,Mapping!$E$140:$K$2771,5,0)</f>
        <v>Labour</v>
      </c>
      <c r="Y1685" s="7" t="str">
        <f>VLOOKUP($S1685,Mapping!$E$140:$K$2771,7,0)</f>
        <v>ENDirect</v>
      </c>
      <c r="Z1685" s="7" t="str">
        <f>IFERROR(HLOOKUP(X1685,'Calc|Weightings'!$K$5:$M$5,1,0),"Excl")</f>
        <v>Labour</v>
      </c>
      <c r="AA1685" s="7" t="str">
        <f>VLOOKUP(Q1685,Mapping!$E$11:$I$96,5,0)</f>
        <v>SCS</v>
      </c>
      <c r="AC1685" s="111">
        <v>168</v>
      </c>
      <c r="AD1685" s="111" t="s">
        <v>2176</v>
      </c>
      <c r="AE1685" s="111">
        <v>613281</v>
      </c>
      <c r="AF1685" s="111" t="s">
        <v>1343</v>
      </c>
      <c r="AG1685" s="112">
        <v>0.82698000000000005</v>
      </c>
      <c r="AI1685" s="7" t="str">
        <f>VLOOKUP($AC1685,Mapping!$E$11:$I$96,3,0)</f>
        <v>Augmentation</v>
      </c>
      <c r="AJ1685" s="7" t="str">
        <f>VLOOKUP($AE1685,Mapping!$E$140:$K$2771,5,0)</f>
        <v>Labour</v>
      </c>
      <c r="AK1685" s="7" t="str">
        <f>VLOOKUP($AE1685,Mapping!$E$140:$K$2771,7,0)</f>
        <v>ENDirect</v>
      </c>
      <c r="AL1685" s="7" t="str">
        <f>IFERROR(HLOOKUP(AJ1685,'Calc|Weightings'!$K$5:$M$5,1,0),"Excl")</f>
        <v>Labour</v>
      </c>
      <c r="AM1685" s="7" t="str">
        <f>VLOOKUP(AC1685,Mapping!$E$11:$I$96,5,0)</f>
        <v>SCS</v>
      </c>
      <c r="AO1685" s="134">
        <v>177</v>
      </c>
      <c r="AP1685" s="135" t="s">
        <v>2387</v>
      </c>
      <c r="AQ1685" s="135">
        <v>613290</v>
      </c>
      <c r="AR1685" s="135" t="s">
        <v>2093</v>
      </c>
      <c r="AS1685" s="136">
        <v>390.35307</v>
      </c>
      <c r="AU1685" s="7" t="str">
        <f>VLOOKUP($AO1685,Mapping!$E$11:$I$96,3,0)</f>
        <v>Augmentation</v>
      </c>
      <c r="AV1685" s="7" t="str">
        <f>VLOOKUP($AQ1685,Mapping!$E$140:$K$2771,5,0)</f>
        <v>Labour</v>
      </c>
      <c r="AW1685" s="7" t="str">
        <f>VLOOKUP($AQ1685,Mapping!$E$140:$K$2771,7,0)</f>
        <v>ENDirect</v>
      </c>
      <c r="AX1685" s="7" t="str">
        <f>IFERROR(HLOOKUP(AV1685,'Calc|Weightings'!$K$5:$M$5,1,0),"Excl")</f>
        <v>Labour</v>
      </c>
      <c r="AY1685" s="7" t="str">
        <f>VLOOKUP(AO1685,Mapping!$E$11:$I$96,5,0)</f>
        <v>SCS</v>
      </c>
    </row>
    <row r="1686" spans="1:51" x14ac:dyDescent="0.2">
      <c r="A1686" s="7"/>
      <c r="B1686" s="7"/>
      <c r="C1686" s="7"/>
      <c r="D1686" s="7"/>
      <c r="E1686" s="36">
        <v>157</v>
      </c>
      <c r="F1686" s="36" t="s">
        <v>2166</v>
      </c>
      <c r="G1686" s="36">
        <v>612210</v>
      </c>
      <c r="H1686" s="36" t="s">
        <v>1184</v>
      </c>
      <c r="I1686" s="37">
        <v>2.5823</v>
      </c>
      <c r="J1686" s="7"/>
      <c r="K1686" s="7" t="str">
        <f>VLOOKUP($E1686,Mapping!$E$11:$I$96,3,0)</f>
        <v>Replacement</v>
      </c>
      <c r="L1686" s="7" t="str">
        <f>VLOOKUP($G1686,Mapping!$E$140:$K$2771,5,0)</f>
        <v>Labour</v>
      </c>
      <c r="M1686" s="7" t="str">
        <f>VLOOKUP($G1686,Mapping!$E$140:$K$2771,7,0)</f>
        <v>ENDirect</v>
      </c>
      <c r="N1686" s="7" t="str">
        <f>IFERROR(HLOOKUP(L1686,'Calc|Weightings'!$K$5:$M$5,1,0),"Excl")</f>
        <v>Labour</v>
      </c>
      <c r="O1686" s="7" t="str">
        <f>VLOOKUP(E1686,Mapping!$E$11:$I$96,5,0)</f>
        <v>SCS</v>
      </c>
      <c r="Q1686" s="33">
        <v>200</v>
      </c>
      <c r="R1686" s="33" t="s">
        <v>2181</v>
      </c>
      <c r="S1686" s="33">
        <v>615008</v>
      </c>
      <c r="T1686" s="33" t="s">
        <v>1707</v>
      </c>
      <c r="U1686" s="34">
        <v>145.77108999999999</v>
      </c>
      <c r="V1686" s="7"/>
      <c r="W1686" s="7" t="str">
        <f>VLOOKUP($Q1686,Mapping!$E$11:$I$96,3,0)</f>
        <v>Non-network general assets - IT</v>
      </c>
      <c r="X1686" s="7" t="str">
        <f>VLOOKUP($S1686,Mapping!$E$140:$K$2771,5,0)</f>
        <v>Labour</v>
      </c>
      <c r="Y1686" s="7" t="str">
        <f>VLOOKUP($S1686,Mapping!$E$140:$K$2771,7,0)</f>
        <v>ENDirect</v>
      </c>
      <c r="Z1686" s="7" t="str">
        <f>IFERROR(HLOOKUP(X1686,'Calc|Weightings'!$K$5:$M$5,1,0),"Excl")</f>
        <v>Labour</v>
      </c>
      <c r="AA1686" s="7" t="str">
        <f>VLOOKUP(Q1686,Mapping!$E$11:$I$96,5,0)</f>
        <v>SCS</v>
      </c>
      <c r="AC1686" s="111">
        <v>168</v>
      </c>
      <c r="AD1686" s="111" t="s">
        <v>2176</v>
      </c>
      <c r="AE1686" s="111">
        <v>613290</v>
      </c>
      <c r="AF1686" s="111" t="s">
        <v>2093</v>
      </c>
      <c r="AG1686" s="112">
        <v>168.91717</v>
      </c>
      <c r="AI1686" s="7" t="str">
        <f>VLOOKUP($AC1686,Mapping!$E$11:$I$96,3,0)</f>
        <v>Augmentation</v>
      </c>
      <c r="AJ1686" s="7" t="str">
        <f>VLOOKUP($AE1686,Mapping!$E$140:$K$2771,5,0)</f>
        <v>Labour</v>
      </c>
      <c r="AK1686" s="7" t="str">
        <f>VLOOKUP($AE1686,Mapping!$E$140:$K$2771,7,0)</f>
        <v>ENDirect</v>
      </c>
      <c r="AL1686" s="7" t="str">
        <f>IFERROR(HLOOKUP(AJ1686,'Calc|Weightings'!$K$5:$M$5,1,0),"Excl")</f>
        <v>Labour</v>
      </c>
      <c r="AM1686" s="7" t="str">
        <f>VLOOKUP(AC1686,Mapping!$E$11:$I$96,5,0)</f>
        <v>SCS</v>
      </c>
      <c r="AO1686" s="134">
        <v>177</v>
      </c>
      <c r="AP1686" s="135" t="s">
        <v>2387</v>
      </c>
      <c r="AQ1686" s="135">
        <v>613310</v>
      </c>
      <c r="AR1686" s="135" t="s">
        <v>2095</v>
      </c>
      <c r="AS1686" s="136">
        <v>11.27313</v>
      </c>
      <c r="AU1686" s="7" t="str">
        <f>VLOOKUP($AO1686,Mapping!$E$11:$I$96,3,0)</f>
        <v>Augmentation</v>
      </c>
      <c r="AV1686" s="7" t="str">
        <f>VLOOKUP($AQ1686,Mapping!$E$140:$K$2771,5,0)</f>
        <v>Labour</v>
      </c>
      <c r="AW1686" s="7" t="str">
        <f>VLOOKUP($AQ1686,Mapping!$E$140:$K$2771,7,0)</f>
        <v>ENDirect</v>
      </c>
      <c r="AX1686" s="7" t="str">
        <f>IFERROR(HLOOKUP(AV1686,'Calc|Weightings'!$K$5:$M$5,1,0),"Excl")</f>
        <v>Labour</v>
      </c>
      <c r="AY1686" s="7" t="str">
        <f>VLOOKUP(AO1686,Mapping!$E$11:$I$96,5,0)</f>
        <v>SCS</v>
      </c>
    </row>
    <row r="1687" spans="1:51" x14ac:dyDescent="0.2">
      <c r="A1687" s="7"/>
      <c r="B1687" s="7"/>
      <c r="C1687" s="7"/>
      <c r="D1687" s="7"/>
      <c r="E1687" s="36">
        <v>157</v>
      </c>
      <c r="F1687" s="36" t="s">
        <v>2166</v>
      </c>
      <c r="G1687" s="36">
        <v>612215</v>
      </c>
      <c r="H1687" s="36" t="s">
        <v>1189</v>
      </c>
      <c r="I1687" s="37">
        <v>-16.395119999999999</v>
      </c>
      <c r="J1687" s="7"/>
      <c r="K1687" s="7" t="str">
        <f>VLOOKUP($E1687,Mapping!$E$11:$I$96,3,0)</f>
        <v>Replacement</v>
      </c>
      <c r="L1687" s="7" t="str">
        <f>VLOOKUP($G1687,Mapping!$E$140:$K$2771,5,0)</f>
        <v>Labour</v>
      </c>
      <c r="M1687" s="7" t="str">
        <f>VLOOKUP($G1687,Mapping!$E$140:$K$2771,7,0)</f>
        <v>ENDirect</v>
      </c>
      <c r="N1687" s="7" t="str">
        <f>IFERROR(HLOOKUP(L1687,'Calc|Weightings'!$K$5:$M$5,1,0),"Excl")</f>
        <v>Labour</v>
      </c>
      <c r="O1687" s="7" t="str">
        <f>VLOOKUP(E1687,Mapping!$E$11:$I$96,5,0)</f>
        <v>SCS</v>
      </c>
      <c r="Q1687" s="33">
        <v>200</v>
      </c>
      <c r="R1687" s="33" t="s">
        <v>2181</v>
      </c>
      <c r="S1687" s="33">
        <v>615009</v>
      </c>
      <c r="T1687" s="33" t="s">
        <v>1708</v>
      </c>
      <c r="U1687" s="34">
        <v>114.59595</v>
      </c>
      <c r="V1687" s="7"/>
      <c r="W1687" s="7" t="str">
        <f>VLOOKUP($Q1687,Mapping!$E$11:$I$96,3,0)</f>
        <v>Non-network general assets - IT</v>
      </c>
      <c r="X1687" s="7" t="str">
        <f>VLOOKUP($S1687,Mapping!$E$140:$K$2771,5,0)</f>
        <v>Labour</v>
      </c>
      <c r="Y1687" s="7" t="str">
        <f>VLOOKUP($S1687,Mapping!$E$140:$K$2771,7,0)</f>
        <v>ENDirect</v>
      </c>
      <c r="Z1687" s="7" t="str">
        <f>IFERROR(HLOOKUP(X1687,'Calc|Weightings'!$K$5:$M$5,1,0),"Excl")</f>
        <v>Labour</v>
      </c>
      <c r="AA1687" s="7" t="str">
        <f>VLOOKUP(Q1687,Mapping!$E$11:$I$96,5,0)</f>
        <v>SCS</v>
      </c>
      <c r="AC1687" s="111">
        <v>168</v>
      </c>
      <c r="AD1687" s="111" t="s">
        <v>2176</v>
      </c>
      <c r="AE1687" s="111">
        <v>613310</v>
      </c>
      <c r="AF1687" s="111" t="s">
        <v>2095</v>
      </c>
      <c r="AG1687" s="112">
        <v>62.534500000000001</v>
      </c>
      <c r="AI1687" s="7" t="str">
        <f>VLOOKUP($AC1687,Mapping!$E$11:$I$96,3,0)</f>
        <v>Augmentation</v>
      </c>
      <c r="AJ1687" s="7" t="str">
        <f>VLOOKUP($AE1687,Mapping!$E$140:$K$2771,5,0)</f>
        <v>Labour</v>
      </c>
      <c r="AK1687" s="7" t="str">
        <f>VLOOKUP($AE1687,Mapping!$E$140:$K$2771,7,0)</f>
        <v>ENDirect</v>
      </c>
      <c r="AL1687" s="7" t="str">
        <f>IFERROR(HLOOKUP(AJ1687,'Calc|Weightings'!$K$5:$M$5,1,0),"Excl")</f>
        <v>Labour</v>
      </c>
      <c r="AM1687" s="7" t="str">
        <f>VLOOKUP(AC1687,Mapping!$E$11:$I$96,5,0)</f>
        <v>SCS</v>
      </c>
      <c r="AO1687" s="134">
        <v>177</v>
      </c>
      <c r="AP1687" s="135" t="s">
        <v>2387</v>
      </c>
      <c r="AQ1687" s="135">
        <v>613311</v>
      </c>
      <c r="AR1687" s="135" t="s">
        <v>2116</v>
      </c>
      <c r="AS1687" s="136">
        <v>0.51236999999999999</v>
      </c>
      <c r="AU1687" s="7" t="str">
        <f>VLOOKUP($AO1687,Mapping!$E$11:$I$96,3,0)</f>
        <v>Augmentation</v>
      </c>
      <c r="AV1687" s="7" t="str">
        <f>VLOOKUP($AQ1687,Mapping!$E$140:$K$2771,5,0)</f>
        <v>Labour</v>
      </c>
      <c r="AW1687" s="7" t="str">
        <f>VLOOKUP($AQ1687,Mapping!$E$140:$K$2771,7,0)</f>
        <v>ENDirect</v>
      </c>
      <c r="AX1687" s="7" t="str">
        <f>IFERROR(HLOOKUP(AV1687,'Calc|Weightings'!$K$5:$M$5,1,0),"Excl")</f>
        <v>Labour</v>
      </c>
      <c r="AY1687" s="7" t="str">
        <f>VLOOKUP(AO1687,Mapping!$E$11:$I$96,5,0)</f>
        <v>SCS</v>
      </c>
    </row>
    <row r="1688" spans="1:51" x14ac:dyDescent="0.2">
      <c r="A1688" s="7"/>
      <c r="B1688" s="7"/>
      <c r="C1688" s="7"/>
      <c r="D1688" s="7"/>
      <c r="E1688" s="36">
        <v>157</v>
      </c>
      <c r="F1688" s="36" t="s">
        <v>2166</v>
      </c>
      <c r="G1688" s="36">
        <v>612460</v>
      </c>
      <c r="H1688" s="36" t="s">
        <v>1243</v>
      </c>
      <c r="I1688" s="37">
        <v>6.01905</v>
      </c>
      <c r="J1688" s="7"/>
      <c r="K1688" s="7" t="str">
        <f>VLOOKUP($E1688,Mapping!$E$11:$I$96,3,0)</f>
        <v>Replacement</v>
      </c>
      <c r="L1688" s="7" t="str">
        <f>VLOOKUP($G1688,Mapping!$E$140:$K$2771,5,0)</f>
        <v>Labour</v>
      </c>
      <c r="M1688" s="7" t="str">
        <f>VLOOKUP($G1688,Mapping!$E$140:$K$2771,7,0)</f>
        <v>ENDirect</v>
      </c>
      <c r="N1688" s="7" t="str">
        <f>IFERROR(HLOOKUP(L1688,'Calc|Weightings'!$K$5:$M$5,1,0),"Excl")</f>
        <v>Labour</v>
      </c>
      <c r="O1688" s="7" t="str">
        <f>VLOOKUP(E1688,Mapping!$E$11:$I$96,5,0)</f>
        <v>SCS</v>
      </c>
      <c r="Q1688" s="33">
        <v>200</v>
      </c>
      <c r="R1688" s="33" t="s">
        <v>2181</v>
      </c>
      <c r="S1688" s="33">
        <v>615062</v>
      </c>
      <c r="T1688" s="33" t="s">
        <v>1710</v>
      </c>
      <c r="U1688" s="34">
        <v>11.8125</v>
      </c>
      <c r="V1688" s="7"/>
      <c r="W1688" s="7" t="str">
        <f>VLOOKUP($Q1688,Mapping!$E$11:$I$96,3,0)</f>
        <v>Non-network general assets - IT</v>
      </c>
      <c r="X1688" s="7" t="str">
        <f>VLOOKUP($S1688,Mapping!$E$140:$K$2771,5,0)</f>
        <v>Labour</v>
      </c>
      <c r="Y1688" s="7" t="str">
        <f>VLOOKUP($S1688,Mapping!$E$140:$K$2771,7,0)</f>
        <v>ENDirect</v>
      </c>
      <c r="Z1688" s="7" t="str">
        <f>IFERROR(HLOOKUP(X1688,'Calc|Weightings'!$K$5:$M$5,1,0),"Excl")</f>
        <v>Labour</v>
      </c>
      <c r="AA1688" s="7" t="str">
        <f>VLOOKUP(Q1688,Mapping!$E$11:$I$96,5,0)</f>
        <v>SCS</v>
      </c>
      <c r="AC1688" s="111">
        <v>168</v>
      </c>
      <c r="AD1688" s="111" t="s">
        <v>2176</v>
      </c>
      <c r="AE1688" s="111">
        <v>613311</v>
      </c>
      <c r="AF1688" s="111" t="s">
        <v>2116</v>
      </c>
      <c r="AG1688" s="112">
        <v>2.2202799999999998</v>
      </c>
      <c r="AI1688" s="7" t="str">
        <f>VLOOKUP($AC1688,Mapping!$E$11:$I$96,3,0)</f>
        <v>Augmentation</v>
      </c>
      <c r="AJ1688" s="7" t="str">
        <f>VLOOKUP($AE1688,Mapping!$E$140:$K$2771,5,0)</f>
        <v>Labour</v>
      </c>
      <c r="AK1688" s="7" t="str">
        <f>VLOOKUP($AE1688,Mapping!$E$140:$K$2771,7,0)</f>
        <v>ENDirect</v>
      </c>
      <c r="AL1688" s="7" t="str">
        <f>IFERROR(HLOOKUP(AJ1688,'Calc|Weightings'!$K$5:$M$5,1,0),"Excl")</f>
        <v>Labour</v>
      </c>
      <c r="AM1688" s="7" t="str">
        <f>VLOOKUP(AC1688,Mapping!$E$11:$I$96,5,0)</f>
        <v>SCS</v>
      </c>
      <c r="AO1688" s="134">
        <v>177</v>
      </c>
      <c r="AP1688" s="135" t="s">
        <v>2387</v>
      </c>
      <c r="AQ1688" s="135">
        <v>613350</v>
      </c>
      <c r="AR1688" s="135" t="s">
        <v>2096</v>
      </c>
      <c r="AS1688" s="136">
        <v>2.5446900000000001</v>
      </c>
      <c r="AU1688" s="7" t="str">
        <f>VLOOKUP($AO1688,Mapping!$E$11:$I$96,3,0)</f>
        <v>Augmentation</v>
      </c>
      <c r="AV1688" s="7" t="str">
        <f>VLOOKUP($AQ1688,Mapping!$E$140:$K$2771,5,0)</f>
        <v>Labour</v>
      </c>
      <c r="AW1688" s="7" t="str">
        <f>VLOOKUP($AQ1688,Mapping!$E$140:$K$2771,7,0)</f>
        <v>ENDirect</v>
      </c>
      <c r="AX1688" s="7" t="str">
        <f>IFERROR(HLOOKUP(AV1688,'Calc|Weightings'!$K$5:$M$5,1,0),"Excl")</f>
        <v>Labour</v>
      </c>
      <c r="AY1688" s="7" t="str">
        <f>VLOOKUP(AO1688,Mapping!$E$11:$I$96,5,0)</f>
        <v>SCS</v>
      </c>
    </row>
    <row r="1689" spans="1:51" x14ac:dyDescent="0.2">
      <c r="A1689" s="7"/>
      <c r="B1689" s="7"/>
      <c r="C1689" s="7"/>
      <c r="D1689" s="7"/>
      <c r="E1689" s="36">
        <v>157</v>
      </c>
      <c r="F1689" s="36" t="s">
        <v>2166</v>
      </c>
      <c r="G1689" s="36">
        <v>613240</v>
      </c>
      <c r="H1689" s="36" t="s">
        <v>2082</v>
      </c>
      <c r="I1689" s="37">
        <v>11.811970000000001</v>
      </c>
      <c r="J1689" s="7"/>
      <c r="K1689" s="7" t="str">
        <f>VLOOKUP($E1689,Mapping!$E$11:$I$96,3,0)</f>
        <v>Replacement</v>
      </c>
      <c r="L1689" s="7" t="str">
        <f>VLOOKUP($G1689,Mapping!$E$140:$K$2771,5,0)</f>
        <v>Labour</v>
      </c>
      <c r="M1689" s="7" t="str">
        <f>VLOOKUP($G1689,Mapping!$E$140:$K$2771,7,0)</f>
        <v>ENDirect</v>
      </c>
      <c r="N1689" s="7" t="str">
        <f>IFERROR(HLOOKUP(L1689,'Calc|Weightings'!$K$5:$M$5,1,0),"Excl")</f>
        <v>Labour</v>
      </c>
      <c r="O1689" s="7" t="str">
        <f>VLOOKUP(E1689,Mapping!$E$11:$I$96,5,0)</f>
        <v>SCS</v>
      </c>
      <c r="Q1689" s="33">
        <v>205</v>
      </c>
      <c r="R1689" s="33" t="s">
        <v>2184</v>
      </c>
      <c r="S1689" s="33">
        <v>140200</v>
      </c>
      <c r="T1689" s="33" t="s">
        <v>49</v>
      </c>
      <c r="U1689" s="34">
        <v>1.0000000000000001E-5</v>
      </c>
      <c r="V1689" s="7"/>
      <c r="W1689" s="7" t="str">
        <f>VLOOKUP($Q1689,Mapping!$E$11:$I$96,3,0)</f>
        <v>Metering Capex</v>
      </c>
      <c r="X1689" s="7" t="str">
        <f>VLOOKUP($S1689,Mapping!$E$140:$K$2771,5,0)</f>
        <v>Materials</v>
      </c>
      <c r="Y1689" s="7" t="str">
        <f>VLOOKUP($S1689,Mapping!$E$140:$K$2771,7,0)</f>
        <v>ENDirect</v>
      </c>
      <c r="Z1689" s="7" t="str">
        <f>IFERROR(HLOOKUP(X1689,'Calc|Weightings'!$K$5:$M$5,1,0),"Excl")</f>
        <v>Materials</v>
      </c>
      <c r="AA1689" s="7" t="str">
        <f>VLOOKUP(Q1689,Mapping!$E$11:$I$96,5,0)</f>
        <v>Metering Services</v>
      </c>
      <c r="AC1689" s="111">
        <v>168</v>
      </c>
      <c r="AD1689" s="111" t="s">
        <v>2176</v>
      </c>
      <c r="AE1689" s="111">
        <v>613350</v>
      </c>
      <c r="AF1689" s="111" t="s">
        <v>2096</v>
      </c>
      <c r="AG1689" s="112">
        <v>11.765549999999999</v>
      </c>
      <c r="AI1689" s="7" t="str">
        <f>VLOOKUP($AC1689,Mapping!$E$11:$I$96,3,0)</f>
        <v>Augmentation</v>
      </c>
      <c r="AJ1689" s="7" t="str">
        <f>VLOOKUP($AE1689,Mapping!$E$140:$K$2771,5,0)</f>
        <v>Labour</v>
      </c>
      <c r="AK1689" s="7" t="str">
        <f>VLOOKUP($AE1689,Mapping!$E$140:$K$2771,7,0)</f>
        <v>ENDirect</v>
      </c>
      <c r="AL1689" s="7" t="str">
        <f>IFERROR(HLOOKUP(AJ1689,'Calc|Weightings'!$K$5:$M$5,1,0),"Excl")</f>
        <v>Labour</v>
      </c>
      <c r="AM1689" s="7" t="str">
        <f>VLOOKUP(AC1689,Mapping!$E$11:$I$96,5,0)</f>
        <v>SCS</v>
      </c>
      <c r="AO1689" s="134">
        <v>177</v>
      </c>
      <c r="AP1689" s="135" t="s">
        <v>2387</v>
      </c>
      <c r="AQ1689" s="135">
        <v>613360</v>
      </c>
      <c r="AR1689" s="135" t="s">
        <v>2097</v>
      </c>
      <c r="AS1689" s="136">
        <v>15.495749999999999</v>
      </c>
      <c r="AU1689" s="7" t="str">
        <f>VLOOKUP($AO1689,Mapping!$E$11:$I$96,3,0)</f>
        <v>Augmentation</v>
      </c>
      <c r="AV1689" s="7" t="str">
        <f>VLOOKUP($AQ1689,Mapping!$E$140:$K$2771,5,0)</f>
        <v>Labour</v>
      </c>
      <c r="AW1689" s="7" t="str">
        <f>VLOOKUP($AQ1689,Mapping!$E$140:$K$2771,7,0)</f>
        <v>ENDirect</v>
      </c>
      <c r="AX1689" s="7" t="str">
        <f>IFERROR(HLOOKUP(AV1689,'Calc|Weightings'!$K$5:$M$5,1,0),"Excl")</f>
        <v>Labour</v>
      </c>
      <c r="AY1689" s="7" t="str">
        <f>VLOOKUP(AO1689,Mapping!$E$11:$I$96,5,0)</f>
        <v>SCS</v>
      </c>
    </row>
    <row r="1690" spans="1:51" x14ac:dyDescent="0.2">
      <c r="A1690" s="7"/>
      <c r="B1690" s="7"/>
      <c r="C1690" s="7"/>
      <c r="D1690" s="7"/>
      <c r="E1690" s="36">
        <v>157</v>
      </c>
      <c r="F1690" s="36" t="s">
        <v>2166</v>
      </c>
      <c r="G1690" s="36">
        <v>613250</v>
      </c>
      <c r="H1690" s="36" t="s">
        <v>2086</v>
      </c>
      <c r="I1690" s="37">
        <v>0.39942</v>
      </c>
      <c r="J1690" s="7"/>
      <c r="K1690" s="7" t="str">
        <f>VLOOKUP($E1690,Mapping!$E$11:$I$96,3,0)</f>
        <v>Replacement</v>
      </c>
      <c r="L1690" s="7" t="str">
        <f>VLOOKUP($G1690,Mapping!$E$140:$K$2771,5,0)</f>
        <v>Labour</v>
      </c>
      <c r="M1690" s="7" t="str">
        <f>VLOOKUP($G1690,Mapping!$E$140:$K$2771,7,0)</f>
        <v>ENDirect</v>
      </c>
      <c r="N1690" s="7" t="str">
        <f>IFERROR(HLOOKUP(L1690,'Calc|Weightings'!$K$5:$M$5,1,0),"Excl")</f>
        <v>Labour</v>
      </c>
      <c r="O1690" s="7" t="str">
        <f>VLOOKUP(E1690,Mapping!$E$11:$I$96,5,0)</f>
        <v>SCS</v>
      </c>
      <c r="Q1690" s="33">
        <v>205</v>
      </c>
      <c r="R1690" s="33" t="s">
        <v>2184</v>
      </c>
      <c r="S1690" s="33">
        <v>141112</v>
      </c>
      <c r="T1690" s="33" t="s">
        <v>52</v>
      </c>
      <c r="U1690" s="34">
        <v>69.599999999999994</v>
      </c>
      <c r="V1690" s="7"/>
      <c r="W1690" s="7" t="str">
        <f>VLOOKUP($Q1690,Mapping!$E$11:$I$96,3,0)</f>
        <v>Metering Capex</v>
      </c>
      <c r="X1690" s="7" t="str">
        <f>VLOOKUP($S1690,Mapping!$E$140:$K$2771,5,0)</f>
        <v>Materials</v>
      </c>
      <c r="Y1690" s="7" t="str">
        <f>VLOOKUP($S1690,Mapping!$E$140:$K$2771,7,0)</f>
        <v>ENDirect</v>
      </c>
      <c r="Z1690" s="7" t="str">
        <f>IFERROR(HLOOKUP(X1690,'Calc|Weightings'!$K$5:$M$5,1,0),"Excl")</f>
        <v>Materials</v>
      </c>
      <c r="AA1690" s="7" t="str">
        <f>VLOOKUP(Q1690,Mapping!$E$11:$I$96,5,0)</f>
        <v>Metering Services</v>
      </c>
      <c r="AC1690" s="111">
        <v>168</v>
      </c>
      <c r="AD1690" s="111" t="s">
        <v>2176</v>
      </c>
      <c r="AE1690" s="111">
        <v>613360</v>
      </c>
      <c r="AF1690" s="111" t="s">
        <v>2097</v>
      </c>
      <c r="AG1690" s="112">
        <v>16.845109999999998</v>
      </c>
      <c r="AI1690" s="7" t="str">
        <f>VLOOKUP($AC1690,Mapping!$E$11:$I$96,3,0)</f>
        <v>Augmentation</v>
      </c>
      <c r="AJ1690" s="7" t="str">
        <f>VLOOKUP($AE1690,Mapping!$E$140:$K$2771,5,0)</f>
        <v>Labour</v>
      </c>
      <c r="AK1690" s="7" t="str">
        <f>VLOOKUP($AE1690,Mapping!$E$140:$K$2771,7,0)</f>
        <v>ENDirect</v>
      </c>
      <c r="AL1690" s="7" t="str">
        <f>IFERROR(HLOOKUP(AJ1690,'Calc|Weightings'!$K$5:$M$5,1,0),"Excl")</f>
        <v>Labour</v>
      </c>
      <c r="AM1690" s="7" t="str">
        <f>VLOOKUP(AC1690,Mapping!$E$11:$I$96,5,0)</f>
        <v>SCS</v>
      </c>
      <c r="AO1690" s="134">
        <v>177</v>
      </c>
      <c r="AP1690" s="135" t="s">
        <v>2387</v>
      </c>
      <c r="AQ1690" s="135">
        <v>613362</v>
      </c>
      <c r="AR1690" s="135" t="s">
        <v>1396</v>
      </c>
      <c r="AS1690" s="136">
        <v>32.770530000000001</v>
      </c>
      <c r="AU1690" s="7" t="str">
        <f>VLOOKUP($AO1690,Mapping!$E$11:$I$96,3,0)</f>
        <v>Augmentation</v>
      </c>
      <c r="AV1690" s="7" t="str">
        <f>VLOOKUP($AQ1690,Mapping!$E$140:$K$2771,5,0)</f>
        <v>Labour</v>
      </c>
      <c r="AW1690" s="7" t="str">
        <f>VLOOKUP($AQ1690,Mapping!$E$140:$K$2771,7,0)</f>
        <v>ENDirect</v>
      </c>
      <c r="AX1690" s="7" t="str">
        <f>IFERROR(HLOOKUP(AV1690,'Calc|Weightings'!$K$5:$M$5,1,0),"Excl")</f>
        <v>Labour</v>
      </c>
      <c r="AY1690" s="7" t="str">
        <f>VLOOKUP(AO1690,Mapping!$E$11:$I$96,5,0)</f>
        <v>SCS</v>
      </c>
    </row>
    <row r="1691" spans="1:51" x14ac:dyDescent="0.2">
      <c r="A1691" s="7"/>
      <c r="B1691" s="7"/>
      <c r="C1691" s="7"/>
      <c r="D1691" s="7"/>
      <c r="E1691" s="36">
        <v>157</v>
      </c>
      <c r="F1691" s="36" t="s">
        <v>2166</v>
      </c>
      <c r="G1691" s="36">
        <v>613260</v>
      </c>
      <c r="H1691" s="36" t="s">
        <v>2090</v>
      </c>
      <c r="I1691" s="37">
        <v>199.65371999999999</v>
      </c>
      <c r="J1691" s="7"/>
      <c r="K1691" s="7" t="str">
        <f>VLOOKUP($E1691,Mapping!$E$11:$I$96,3,0)</f>
        <v>Replacement</v>
      </c>
      <c r="L1691" s="7" t="str">
        <f>VLOOKUP($G1691,Mapping!$E$140:$K$2771,5,0)</f>
        <v>Labour</v>
      </c>
      <c r="M1691" s="7" t="str">
        <f>VLOOKUP($G1691,Mapping!$E$140:$K$2771,7,0)</f>
        <v>ENDirect</v>
      </c>
      <c r="N1691" s="7" t="str">
        <f>IFERROR(HLOOKUP(L1691,'Calc|Weightings'!$K$5:$M$5,1,0),"Excl")</f>
        <v>Labour</v>
      </c>
      <c r="O1691" s="7" t="str">
        <f>VLOOKUP(E1691,Mapping!$E$11:$I$96,5,0)</f>
        <v>SCS</v>
      </c>
      <c r="Q1691" s="33">
        <v>205</v>
      </c>
      <c r="R1691" s="33" t="s">
        <v>2184</v>
      </c>
      <c r="S1691" s="33">
        <v>524200</v>
      </c>
      <c r="T1691" s="33" t="s">
        <v>2182</v>
      </c>
      <c r="U1691" s="34">
        <v>-10.56559</v>
      </c>
      <c r="V1691" s="7"/>
      <c r="W1691" s="7" t="str">
        <f>VLOOKUP($Q1691,Mapping!$E$11:$I$96,3,0)</f>
        <v>Metering Capex</v>
      </c>
      <c r="X1691" s="7" t="str">
        <f>VLOOKUP($S1691,Mapping!$E$140:$K$2771,5,0)</f>
        <v>Materials</v>
      </c>
      <c r="Y1691" s="7" t="str">
        <f>VLOOKUP($S1691,Mapping!$E$140:$K$2771,7,0)</f>
        <v>ENDirect</v>
      </c>
      <c r="Z1691" s="7" t="str">
        <f>IFERROR(HLOOKUP(X1691,'Calc|Weightings'!$K$5:$M$5,1,0),"Excl")</f>
        <v>Materials</v>
      </c>
      <c r="AA1691" s="7" t="str">
        <f>VLOOKUP(Q1691,Mapping!$E$11:$I$96,5,0)</f>
        <v>Metering Services</v>
      </c>
      <c r="AC1691" s="111">
        <v>168</v>
      </c>
      <c r="AD1691" s="111" t="s">
        <v>2176</v>
      </c>
      <c r="AE1691" s="111">
        <v>613366</v>
      </c>
      <c r="AF1691" s="111" t="s">
        <v>1400</v>
      </c>
      <c r="AG1691" s="112">
        <v>31.314050000000002</v>
      </c>
      <c r="AI1691" s="7" t="str">
        <f>VLOOKUP($AC1691,Mapping!$E$11:$I$96,3,0)</f>
        <v>Augmentation</v>
      </c>
      <c r="AJ1691" s="7" t="str">
        <f>VLOOKUP($AE1691,Mapping!$E$140:$K$2771,5,0)</f>
        <v>Labour</v>
      </c>
      <c r="AK1691" s="7" t="str">
        <f>VLOOKUP($AE1691,Mapping!$E$140:$K$2771,7,0)</f>
        <v>ENDirect</v>
      </c>
      <c r="AL1691" s="7" t="str">
        <f>IFERROR(HLOOKUP(AJ1691,'Calc|Weightings'!$K$5:$M$5,1,0),"Excl")</f>
        <v>Labour</v>
      </c>
      <c r="AM1691" s="7" t="str">
        <f>VLOOKUP(AC1691,Mapping!$E$11:$I$96,5,0)</f>
        <v>SCS</v>
      </c>
      <c r="AO1691" s="134">
        <v>177</v>
      </c>
      <c r="AP1691" s="135" t="s">
        <v>2387</v>
      </c>
      <c r="AQ1691" s="135">
        <v>613400</v>
      </c>
      <c r="AR1691" s="135" t="s">
        <v>2099</v>
      </c>
      <c r="AS1691" s="136">
        <v>3.51213</v>
      </c>
      <c r="AU1691" s="7" t="str">
        <f>VLOOKUP($AO1691,Mapping!$E$11:$I$96,3,0)</f>
        <v>Augmentation</v>
      </c>
      <c r="AV1691" s="7" t="str">
        <f>VLOOKUP($AQ1691,Mapping!$E$140:$K$2771,5,0)</f>
        <v>Labour</v>
      </c>
      <c r="AW1691" s="7" t="str">
        <f>VLOOKUP($AQ1691,Mapping!$E$140:$K$2771,7,0)</f>
        <v>ENDirect</v>
      </c>
      <c r="AX1691" s="7" t="str">
        <f>IFERROR(HLOOKUP(AV1691,'Calc|Weightings'!$K$5:$M$5,1,0),"Excl")</f>
        <v>Labour</v>
      </c>
      <c r="AY1691" s="7" t="str">
        <f>VLOOKUP(AO1691,Mapping!$E$11:$I$96,5,0)</f>
        <v>SCS</v>
      </c>
    </row>
    <row r="1692" spans="1:51" x14ac:dyDescent="0.2">
      <c r="A1692" s="7"/>
      <c r="B1692" s="7"/>
      <c r="C1692" s="7"/>
      <c r="D1692" s="7"/>
      <c r="E1692" s="36">
        <v>157</v>
      </c>
      <c r="F1692" s="36" t="s">
        <v>2166</v>
      </c>
      <c r="G1692" s="36">
        <v>613261</v>
      </c>
      <c r="H1692" s="36" t="s">
        <v>2091</v>
      </c>
      <c r="I1692" s="37">
        <v>19.131360000000001</v>
      </c>
      <c r="J1692" s="7"/>
      <c r="K1692" s="7" t="str">
        <f>VLOOKUP($E1692,Mapping!$E$11:$I$96,3,0)</f>
        <v>Replacement</v>
      </c>
      <c r="L1692" s="7" t="str">
        <f>VLOOKUP($G1692,Mapping!$E$140:$K$2771,5,0)</f>
        <v>Labour</v>
      </c>
      <c r="M1692" s="7" t="str">
        <f>VLOOKUP($G1692,Mapping!$E$140:$K$2771,7,0)</f>
        <v>ENDirect</v>
      </c>
      <c r="N1692" s="7" t="str">
        <f>IFERROR(HLOOKUP(L1692,'Calc|Weightings'!$K$5:$M$5,1,0),"Excl")</f>
        <v>Labour</v>
      </c>
      <c r="O1692" s="7" t="str">
        <f>VLOOKUP(E1692,Mapping!$E$11:$I$96,5,0)</f>
        <v>SCS</v>
      </c>
      <c r="Q1692" s="33">
        <v>205</v>
      </c>
      <c r="R1692" s="33" t="s">
        <v>2184</v>
      </c>
      <c r="S1692" s="33">
        <v>601156</v>
      </c>
      <c r="T1692" s="33" t="s">
        <v>406</v>
      </c>
      <c r="U1692" s="34">
        <v>834.83537000000001</v>
      </c>
      <c r="V1692" s="7"/>
      <c r="W1692" s="7" t="str">
        <f>VLOOKUP($Q1692,Mapping!$E$11:$I$96,3,0)</f>
        <v>Metering Capex</v>
      </c>
      <c r="X1692" s="7" t="str">
        <f>VLOOKUP($S1692,Mapping!$E$140:$K$2771,5,0)</f>
        <v>Labour</v>
      </c>
      <c r="Y1692" s="7" t="str">
        <f>VLOOKUP($S1692,Mapping!$E$140:$K$2771,7,0)</f>
        <v>ENDirect</v>
      </c>
      <c r="Z1692" s="7" t="str">
        <f>IFERROR(HLOOKUP(X1692,'Calc|Weightings'!$K$5:$M$5,1,0),"Excl")</f>
        <v>Labour</v>
      </c>
      <c r="AA1692" s="7" t="str">
        <f>VLOOKUP(Q1692,Mapping!$E$11:$I$96,5,0)</f>
        <v>Metering Services</v>
      </c>
      <c r="AC1692" s="111">
        <v>168</v>
      </c>
      <c r="AD1692" s="111" t="s">
        <v>2176</v>
      </c>
      <c r="AE1692" s="111">
        <v>613370</v>
      </c>
      <c r="AF1692" s="111" t="s">
        <v>1402</v>
      </c>
      <c r="AG1692" s="112">
        <v>7.9128499999999997</v>
      </c>
      <c r="AI1692" s="7" t="str">
        <f>VLOOKUP($AC1692,Mapping!$E$11:$I$96,3,0)</f>
        <v>Augmentation</v>
      </c>
      <c r="AJ1692" s="7" t="str">
        <f>VLOOKUP($AE1692,Mapping!$E$140:$K$2771,5,0)</f>
        <v>Labour</v>
      </c>
      <c r="AK1692" s="7" t="str">
        <f>VLOOKUP($AE1692,Mapping!$E$140:$K$2771,7,0)</f>
        <v>ENDirect</v>
      </c>
      <c r="AL1692" s="7" t="str">
        <f>IFERROR(HLOOKUP(AJ1692,'Calc|Weightings'!$K$5:$M$5,1,0),"Excl")</f>
        <v>Labour</v>
      </c>
      <c r="AM1692" s="7" t="str">
        <f>VLOOKUP(AC1692,Mapping!$E$11:$I$96,5,0)</f>
        <v>SCS</v>
      </c>
      <c r="AO1692" s="134">
        <v>177</v>
      </c>
      <c r="AP1692" s="135" t="s">
        <v>2387</v>
      </c>
      <c r="AQ1692" s="135">
        <v>613410</v>
      </c>
      <c r="AR1692" s="135" t="s">
        <v>2100</v>
      </c>
      <c r="AS1692" s="136">
        <v>8.0398499999999995</v>
      </c>
      <c r="AU1692" s="7" t="str">
        <f>VLOOKUP($AO1692,Mapping!$E$11:$I$96,3,0)</f>
        <v>Augmentation</v>
      </c>
      <c r="AV1692" s="7" t="str">
        <f>VLOOKUP($AQ1692,Mapping!$E$140:$K$2771,5,0)</f>
        <v>Labour</v>
      </c>
      <c r="AW1692" s="7" t="str">
        <f>VLOOKUP($AQ1692,Mapping!$E$140:$K$2771,7,0)</f>
        <v>ENDirect</v>
      </c>
      <c r="AX1692" s="7" t="str">
        <f>IFERROR(HLOOKUP(AV1692,'Calc|Weightings'!$K$5:$M$5,1,0),"Excl")</f>
        <v>Labour</v>
      </c>
      <c r="AY1692" s="7" t="str">
        <f>VLOOKUP(AO1692,Mapping!$E$11:$I$96,5,0)</f>
        <v>SCS</v>
      </c>
    </row>
    <row r="1693" spans="1:51" x14ac:dyDescent="0.2">
      <c r="A1693" s="7"/>
      <c r="B1693" s="7"/>
      <c r="C1693" s="7"/>
      <c r="D1693" s="7"/>
      <c r="E1693" s="36">
        <v>157</v>
      </c>
      <c r="F1693" s="36" t="s">
        <v>2166</v>
      </c>
      <c r="G1693" s="36">
        <v>613268</v>
      </c>
      <c r="H1693" s="36" t="s">
        <v>1335</v>
      </c>
      <c r="I1693" s="37">
        <v>30.653310000000001</v>
      </c>
      <c r="J1693" s="7"/>
      <c r="K1693" s="7" t="str">
        <f>VLOOKUP($E1693,Mapping!$E$11:$I$96,3,0)</f>
        <v>Replacement</v>
      </c>
      <c r="L1693" s="7" t="str">
        <f>VLOOKUP($G1693,Mapping!$E$140:$K$2771,5,0)</f>
        <v>Labour</v>
      </c>
      <c r="M1693" s="7" t="str">
        <f>VLOOKUP($G1693,Mapping!$E$140:$K$2771,7,0)</f>
        <v>ENDirect</v>
      </c>
      <c r="N1693" s="7" t="str">
        <f>IFERROR(HLOOKUP(L1693,'Calc|Weightings'!$K$5:$M$5,1,0),"Excl")</f>
        <v>Labour</v>
      </c>
      <c r="O1693" s="7" t="str">
        <f>VLOOKUP(E1693,Mapping!$E$11:$I$96,5,0)</f>
        <v>SCS</v>
      </c>
      <c r="Q1693" s="33">
        <v>205</v>
      </c>
      <c r="R1693" s="33" t="s">
        <v>2184</v>
      </c>
      <c r="S1693" s="33">
        <v>601157</v>
      </c>
      <c r="T1693" s="33" t="s">
        <v>407</v>
      </c>
      <c r="U1693" s="34">
        <v>108.52667</v>
      </c>
      <c r="V1693" s="7"/>
      <c r="W1693" s="7" t="str">
        <f>VLOOKUP($Q1693,Mapping!$E$11:$I$96,3,0)</f>
        <v>Metering Capex</v>
      </c>
      <c r="X1693" s="7" t="str">
        <f>VLOOKUP($S1693,Mapping!$E$140:$K$2771,5,0)</f>
        <v>IT Project MG</v>
      </c>
      <c r="Y1693" s="7" t="str">
        <f>VLOOKUP($S1693,Mapping!$E$140:$K$2771,7,0)</f>
        <v>ENDirect</v>
      </c>
      <c r="Z1693" s="7" t="str">
        <f>IFERROR(HLOOKUP(X1693,'Calc|Weightings'!$K$5:$M$5,1,0),"Excl")</f>
        <v>Excl</v>
      </c>
      <c r="AA1693" s="7" t="str">
        <f>VLOOKUP(Q1693,Mapping!$E$11:$I$96,5,0)</f>
        <v>Metering Services</v>
      </c>
      <c r="AC1693" s="111">
        <v>168</v>
      </c>
      <c r="AD1693" s="111" t="s">
        <v>2176</v>
      </c>
      <c r="AE1693" s="111">
        <v>613420</v>
      </c>
      <c r="AF1693" s="111" t="s">
        <v>2393</v>
      </c>
      <c r="AG1693" s="112">
        <v>4.7363200000000001</v>
      </c>
      <c r="AI1693" s="7" t="str">
        <f>VLOOKUP($AC1693,Mapping!$E$11:$I$96,3,0)</f>
        <v>Augmentation</v>
      </c>
      <c r="AJ1693" s="7" t="str">
        <f>VLOOKUP($AE1693,Mapping!$E$140:$K$2771,5,0)</f>
        <v>Labour</v>
      </c>
      <c r="AK1693" s="7" t="str">
        <f>VLOOKUP($AE1693,Mapping!$E$140:$K$2771,7,0)</f>
        <v>ENDirect</v>
      </c>
      <c r="AL1693" s="7" t="str">
        <f>IFERROR(HLOOKUP(AJ1693,'Calc|Weightings'!$K$5:$M$5,1,0),"Excl")</f>
        <v>Labour</v>
      </c>
      <c r="AM1693" s="7" t="str">
        <f>VLOOKUP(AC1693,Mapping!$E$11:$I$96,5,0)</f>
        <v>SCS</v>
      </c>
      <c r="AO1693" s="134">
        <v>177</v>
      </c>
      <c r="AP1693" s="135" t="s">
        <v>2387</v>
      </c>
      <c r="AQ1693" s="135">
        <v>613411</v>
      </c>
      <c r="AR1693" s="135" t="s">
        <v>2101</v>
      </c>
      <c r="AS1693" s="136">
        <v>0.74080000000000001</v>
      </c>
      <c r="AU1693" s="7" t="str">
        <f>VLOOKUP($AO1693,Mapping!$E$11:$I$96,3,0)</f>
        <v>Augmentation</v>
      </c>
      <c r="AV1693" s="7" t="str">
        <f>VLOOKUP($AQ1693,Mapping!$E$140:$K$2771,5,0)</f>
        <v>Labour</v>
      </c>
      <c r="AW1693" s="7" t="str">
        <f>VLOOKUP($AQ1693,Mapping!$E$140:$K$2771,7,0)</f>
        <v>ENDirect</v>
      </c>
      <c r="AX1693" s="7" t="str">
        <f>IFERROR(HLOOKUP(AV1693,'Calc|Weightings'!$K$5:$M$5,1,0),"Excl")</f>
        <v>Labour</v>
      </c>
      <c r="AY1693" s="7" t="str">
        <f>VLOOKUP(AO1693,Mapping!$E$11:$I$96,5,0)</f>
        <v>SCS</v>
      </c>
    </row>
    <row r="1694" spans="1:51" x14ac:dyDescent="0.2">
      <c r="A1694" s="7"/>
      <c r="B1694" s="7"/>
      <c r="C1694" s="7"/>
      <c r="D1694" s="7"/>
      <c r="E1694" s="36">
        <v>157</v>
      </c>
      <c r="F1694" s="36" t="s">
        <v>2166</v>
      </c>
      <c r="G1694" s="36">
        <v>613270</v>
      </c>
      <c r="H1694" s="36" t="s">
        <v>2092</v>
      </c>
      <c r="I1694" s="37">
        <v>66.272880000000001</v>
      </c>
      <c r="J1694" s="7"/>
      <c r="K1694" s="7" t="str">
        <f>VLOOKUP($E1694,Mapping!$E$11:$I$96,3,0)</f>
        <v>Replacement</v>
      </c>
      <c r="L1694" s="7" t="str">
        <f>VLOOKUP($G1694,Mapping!$E$140:$K$2771,5,0)</f>
        <v>Labour</v>
      </c>
      <c r="M1694" s="7" t="str">
        <f>VLOOKUP($G1694,Mapping!$E$140:$K$2771,7,0)</f>
        <v>ENDirect</v>
      </c>
      <c r="N1694" s="7" t="str">
        <f>IFERROR(HLOOKUP(L1694,'Calc|Weightings'!$K$5:$M$5,1,0),"Excl")</f>
        <v>Labour</v>
      </c>
      <c r="O1694" s="7" t="str">
        <f>VLOOKUP(E1694,Mapping!$E$11:$I$96,5,0)</f>
        <v>SCS</v>
      </c>
      <c r="Q1694" s="33">
        <v>210</v>
      </c>
      <c r="R1694" s="33" t="s">
        <v>2185</v>
      </c>
      <c r="S1694" s="33">
        <v>140180</v>
      </c>
      <c r="T1694" s="33" t="s">
        <v>48</v>
      </c>
      <c r="U1694" s="34">
        <v>9.0678300000000007</v>
      </c>
      <c r="V1694" s="7"/>
      <c r="W1694" s="7" t="str">
        <f>VLOOKUP($Q1694,Mapping!$E$11:$I$96,3,0)</f>
        <v>Non-network general assets - Other</v>
      </c>
      <c r="X1694" s="7" t="str">
        <f>VLOOKUP($S1694,Mapping!$E$140:$K$2771,5,0)</f>
        <v>Materials</v>
      </c>
      <c r="Y1694" s="7" t="str">
        <f>VLOOKUP($S1694,Mapping!$E$140:$K$2771,7,0)</f>
        <v>ENDirect</v>
      </c>
      <c r="Z1694" s="7" t="str">
        <f>IFERROR(HLOOKUP(X1694,'Calc|Weightings'!$K$5:$M$5,1,0),"Excl")</f>
        <v>Materials</v>
      </c>
      <c r="AA1694" s="7" t="str">
        <f>VLOOKUP(Q1694,Mapping!$E$11:$I$96,5,0)</f>
        <v>SCS</v>
      </c>
      <c r="AC1694" s="111">
        <v>168</v>
      </c>
      <c r="AD1694" s="111" t="s">
        <v>2176</v>
      </c>
      <c r="AE1694" s="111">
        <v>613440</v>
      </c>
      <c r="AF1694" s="111" t="s">
        <v>2103</v>
      </c>
      <c r="AG1694" s="112">
        <v>2.0402999999999998</v>
      </c>
      <c r="AI1694" s="7" t="str">
        <f>VLOOKUP($AC1694,Mapping!$E$11:$I$96,3,0)</f>
        <v>Augmentation</v>
      </c>
      <c r="AJ1694" s="7" t="str">
        <f>VLOOKUP($AE1694,Mapping!$E$140:$K$2771,5,0)</f>
        <v>Labour</v>
      </c>
      <c r="AK1694" s="7" t="str">
        <f>VLOOKUP($AE1694,Mapping!$E$140:$K$2771,7,0)</f>
        <v>ENDirect</v>
      </c>
      <c r="AL1694" s="7" t="str">
        <f>IFERROR(HLOOKUP(AJ1694,'Calc|Weightings'!$K$5:$M$5,1,0),"Excl")</f>
        <v>Labour</v>
      </c>
      <c r="AM1694" s="7" t="str">
        <f>VLOOKUP(AC1694,Mapping!$E$11:$I$96,5,0)</f>
        <v>SCS</v>
      </c>
      <c r="AO1694" s="134">
        <v>177</v>
      </c>
      <c r="AP1694" s="135" t="s">
        <v>2387</v>
      </c>
      <c r="AQ1694" s="135">
        <v>613420</v>
      </c>
      <c r="AR1694" s="135" t="s">
        <v>2393</v>
      </c>
      <c r="AS1694" s="136">
        <v>0.48419000000000001</v>
      </c>
      <c r="AU1694" s="7" t="str">
        <f>VLOOKUP($AO1694,Mapping!$E$11:$I$96,3,0)</f>
        <v>Augmentation</v>
      </c>
      <c r="AV1694" s="7" t="str">
        <f>VLOOKUP($AQ1694,Mapping!$E$140:$K$2771,5,0)</f>
        <v>Labour</v>
      </c>
      <c r="AW1694" s="7" t="str">
        <f>VLOOKUP($AQ1694,Mapping!$E$140:$K$2771,7,0)</f>
        <v>ENDirect</v>
      </c>
      <c r="AX1694" s="7" t="str">
        <f>IFERROR(HLOOKUP(AV1694,'Calc|Weightings'!$K$5:$M$5,1,0),"Excl")</f>
        <v>Labour</v>
      </c>
      <c r="AY1694" s="7" t="str">
        <f>VLOOKUP(AO1694,Mapping!$E$11:$I$96,5,0)</f>
        <v>SCS</v>
      </c>
    </row>
    <row r="1695" spans="1:51" x14ac:dyDescent="0.2">
      <c r="A1695" s="7"/>
      <c r="B1695" s="7"/>
      <c r="C1695" s="7"/>
      <c r="D1695" s="7"/>
      <c r="E1695" s="36">
        <v>157</v>
      </c>
      <c r="F1695" s="36" t="s">
        <v>2166</v>
      </c>
      <c r="G1695" s="36">
        <v>613271</v>
      </c>
      <c r="H1695" s="36" t="s">
        <v>2150</v>
      </c>
      <c r="I1695" s="37">
        <v>16.101089999999999</v>
      </c>
      <c r="J1695" s="7"/>
      <c r="K1695" s="7" t="str">
        <f>VLOOKUP($E1695,Mapping!$E$11:$I$96,3,0)</f>
        <v>Replacement</v>
      </c>
      <c r="L1695" s="7" t="str">
        <f>VLOOKUP($G1695,Mapping!$E$140:$K$2771,5,0)</f>
        <v>Labour</v>
      </c>
      <c r="M1695" s="7" t="str">
        <f>VLOOKUP($G1695,Mapping!$E$140:$K$2771,7,0)</f>
        <v>ENDirect</v>
      </c>
      <c r="N1695" s="7" t="str">
        <f>IFERROR(HLOOKUP(L1695,'Calc|Weightings'!$K$5:$M$5,1,0),"Excl")</f>
        <v>Labour</v>
      </c>
      <c r="O1695" s="7" t="str">
        <f>VLOOKUP(E1695,Mapping!$E$11:$I$96,5,0)</f>
        <v>SCS</v>
      </c>
      <c r="Q1695" s="33">
        <v>210</v>
      </c>
      <c r="R1695" s="33" t="s">
        <v>2185</v>
      </c>
      <c r="S1695" s="33">
        <v>140200</v>
      </c>
      <c r="T1695" s="33" t="s">
        <v>49</v>
      </c>
      <c r="U1695" s="34">
        <v>56.177979999999998</v>
      </c>
      <c r="V1695" s="7"/>
      <c r="W1695" s="7" t="str">
        <f>VLOOKUP($Q1695,Mapping!$E$11:$I$96,3,0)</f>
        <v>Non-network general assets - Other</v>
      </c>
      <c r="X1695" s="7" t="str">
        <f>VLOOKUP($S1695,Mapping!$E$140:$K$2771,5,0)</f>
        <v>Materials</v>
      </c>
      <c r="Y1695" s="7" t="str">
        <f>VLOOKUP($S1695,Mapping!$E$140:$K$2771,7,0)</f>
        <v>ENDirect</v>
      </c>
      <c r="Z1695" s="7" t="str">
        <f>IFERROR(HLOOKUP(X1695,'Calc|Weightings'!$K$5:$M$5,1,0),"Excl")</f>
        <v>Materials</v>
      </c>
      <c r="AA1695" s="7" t="str">
        <f>VLOOKUP(Q1695,Mapping!$E$11:$I$96,5,0)</f>
        <v>SCS</v>
      </c>
      <c r="AC1695" s="111">
        <v>168</v>
      </c>
      <c r="AD1695" s="111" t="s">
        <v>2176</v>
      </c>
      <c r="AE1695" s="111">
        <v>613450</v>
      </c>
      <c r="AF1695" s="111" t="s">
        <v>2175</v>
      </c>
      <c r="AG1695" s="112">
        <v>5.3259499999999997</v>
      </c>
      <c r="AI1695" s="7" t="str">
        <f>VLOOKUP($AC1695,Mapping!$E$11:$I$96,3,0)</f>
        <v>Augmentation</v>
      </c>
      <c r="AJ1695" s="7" t="str">
        <f>VLOOKUP($AE1695,Mapping!$E$140:$K$2771,5,0)</f>
        <v>Labour</v>
      </c>
      <c r="AK1695" s="7" t="str">
        <f>VLOOKUP($AE1695,Mapping!$E$140:$K$2771,7,0)</f>
        <v>ENDirect</v>
      </c>
      <c r="AL1695" s="7" t="str">
        <f>IFERROR(HLOOKUP(AJ1695,'Calc|Weightings'!$K$5:$M$5,1,0),"Excl")</f>
        <v>Labour</v>
      </c>
      <c r="AM1695" s="7" t="str">
        <f>VLOOKUP(AC1695,Mapping!$E$11:$I$96,5,0)</f>
        <v>SCS</v>
      </c>
      <c r="AO1695" s="134">
        <v>177</v>
      </c>
      <c r="AP1695" s="135" t="s">
        <v>2387</v>
      </c>
      <c r="AQ1695" s="135">
        <v>613421</v>
      </c>
      <c r="AR1695" s="135" t="s">
        <v>2419</v>
      </c>
      <c r="AS1695" s="136">
        <v>0.48492000000000002</v>
      </c>
      <c r="AU1695" s="7" t="str">
        <f>VLOOKUP($AO1695,Mapping!$E$11:$I$96,3,0)</f>
        <v>Augmentation</v>
      </c>
      <c r="AV1695" s="7" t="str">
        <f>VLOOKUP($AQ1695,Mapping!$E$140:$K$2771,5,0)</f>
        <v>Labour</v>
      </c>
      <c r="AW1695" s="7" t="str">
        <f>VLOOKUP($AQ1695,Mapping!$E$140:$K$2771,7,0)</f>
        <v>ENDirect</v>
      </c>
      <c r="AX1695" s="7" t="str">
        <f>IFERROR(HLOOKUP(AV1695,'Calc|Weightings'!$K$5:$M$5,1,0),"Excl")</f>
        <v>Labour</v>
      </c>
      <c r="AY1695" s="7" t="str">
        <f>VLOOKUP(AO1695,Mapping!$E$11:$I$96,5,0)</f>
        <v>SCS</v>
      </c>
    </row>
    <row r="1696" spans="1:51" x14ac:dyDescent="0.2">
      <c r="A1696" s="7"/>
      <c r="B1696" s="7"/>
      <c r="C1696" s="7"/>
      <c r="D1696" s="7"/>
      <c r="E1696" s="36">
        <v>157</v>
      </c>
      <c r="F1696" s="36" t="s">
        <v>2166</v>
      </c>
      <c r="G1696" s="36">
        <v>613280</v>
      </c>
      <c r="H1696" s="36" t="s">
        <v>1342</v>
      </c>
      <c r="I1696" s="37">
        <v>92.070089999999993</v>
      </c>
      <c r="J1696" s="7"/>
      <c r="K1696" s="7" t="str">
        <f>VLOOKUP($E1696,Mapping!$E$11:$I$96,3,0)</f>
        <v>Replacement</v>
      </c>
      <c r="L1696" s="7" t="str">
        <f>VLOOKUP($G1696,Mapping!$E$140:$K$2771,5,0)</f>
        <v>Labour</v>
      </c>
      <c r="M1696" s="7" t="str">
        <f>VLOOKUP($G1696,Mapping!$E$140:$K$2771,7,0)</f>
        <v>ENDirect</v>
      </c>
      <c r="N1696" s="7" t="str">
        <f>IFERROR(HLOOKUP(L1696,'Calc|Weightings'!$K$5:$M$5,1,0),"Excl")</f>
        <v>Labour</v>
      </c>
      <c r="O1696" s="7" t="str">
        <f>VLOOKUP(E1696,Mapping!$E$11:$I$96,5,0)</f>
        <v>SCS</v>
      </c>
      <c r="Q1696" s="33">
        <v>230</v>
      </c>
      <c r="R1696" s="33" t="s">
        <v>2187</v>
      </c>
      <c r="S1696" s="33">
        <v>140120</v>
      </c>
      <c r="T1696" s="33" t="s">
        <v>46</v>
      </c>
      <c r="U1696" s="34">
        <v>34.411999999999999</v>
      </c>
      <c r="V1696" s="7"/>
      <c r="W1696" s="7" t="str">
        <f>VLOOKUP($Q1696,Mapping!$E$11:$I$96,3,0)</f>
        <v>Non-network general assets - Other</v>
      </c>
      <c r="X1696" s="7" t="str">
        <f>VLOOKUP($S1696,Mapping!$E$140:$K$2771,5,0)</f>
        <v>Materials</v>
      </c>
      <c r="Y1696" s="7" t="str">
        <f>VLOOKUP($S1696,Mapping!$E$140:$K$2771,7,0)</f>
        <v>ENDirect</v>
      </c>
      <c r="Z1696" s="7" t="str">
        <f>IFERROR(HLOOKUP(X1696,'Calc|Weightings'!$K$5:$M$5,1,0),"Excl")</f>
        <v>Materials</v>
      </c>
      <c r="AA1696" s="7" t="str">
        <f>VLOOKUP(Q1696,Mapping!$E$11:$I$96,5,0)</f>
        <v>SCS</v>
      </c>
      <c r="AC1696" s="111">
        <v>168</v>
      </c>
      <c r="AD1696" s="111" t="s">
        <v>2176</v>
      </c>
      <c r="AE1696" s="111">
        <v>613566</v>
      </c>
      <c r="AF1696" s="111" t="s">
        <v>1482</v>
      </c>
      <c r="AG1696" s="112">
        <v>13.958740000000001</v>
      </c>
      <c r="AI1696" s="7" t="str">
        <f>VLOOKUP($AC1696,Mapping!$E$11:$I$96,3,0)</f>
        <v>Augmentation</v>
      </c>
      <c r="AJ1696" s="7" t="str">
        <f>VLOOKUP($AE1696,Mapping!$E$140:$K$2771,5,0)</f>
        <v>Labour</v>
      </c>
      <c r="AK1696" s="7" t="str">
        <f>VLOOKUP($AE1696,Mapping!$E$140:$K$2771,7,0)</f>
        <v>ENDirect</v>
      </c>
      <c r="AL1696" s="7" t="str">
        <f>IFERROR(HLOOKUP(AJ1696,'Calc|Weightings'!$K$5:$M$5,1,0),"Excl")</f>
        <v>Labour</v>
      </c>
      <c r="AM1696" s="7" t="str">
        <f>VLOOKUP(AC1696,Mapping!$E$11:$I$96,5,0)</f>
        <v>SCS</v>
      </c>
      <c r="AO1696" s="134">
        <v>177</v>
      </c>
      <c r="AP1696" s="135" t="s">
        <v>2387</v>
      </c>
      <c r="AQ1696" s="135">
        <v>613460</v>
      </c>
      <c r="AR1696" s="135" t="s">
        <v>2167</v>
      </c>
      <c r="AS1696" s="136">
        <v>0.87771999999999994</v>
      </c>
      <c r="AU1696" s="7" t="str">
        <f>VLOOKUP($AO1696,Mapping!$E$11:$I$96,3,0)</f>
        <v>Augmentation</v>
      </c>
      <c r="AV1696" s="7" t="str">
        <f>VLOOKUP($AQ1696,Mapping!$E$140:$K$2771,5,0)</f>
        <v>Labour</v>
      </c>
      <c r="AW1696" s="7" t="str">
        <f>VLOOKUP($AQ1696,Mapping!$E$140:$K$2771,7,0)</f>
        <v>ENDirect</v>
      </c>
      <c r="AX1696" s="7" t="str">
        <f>IFERROR(HLOOKUP(AV1696,'Calc|Weightings'!$K$5:$M$5,1,0),"Excl")</f>
        <v>Labour</v>
      </c>
      <c r="AY1696" s="7" t="str">
        <f>VLOOKUP(AO1696,Mapping!$E$11:$I$96,5,0)</f>
        <v>SCS</v>
      </c>
    </row>
    <row r="1697" spans="1:51" x14ac:dyDescent="0.2">
      <c r="A1697" s="7"/>
      <c r="B1697" s="7"/>
      <c r="C1697" s="7"/>
      <c r="D1697" s="7"/>
      <c r="E1697" s="36">
        <v>157</v>
      </c>
      <c r="F1697" s="36" t="s">
        <v>2166</v>
      </c>
      <c r="G1697" s="36">
        <v>613290</v>
      </c>
      <c r="H1697" s="36" t="s">
        <v>2093</v>
      </c>
      <c r="I1697" s="37">
        <v>307.96505000000002</v>
      </c>
      <c r="J1697" s="7"/>
      <c r="K1697" s="7" t="str">
        <f>VLOOKUP($E1697,Mapping!$E$11:$I$96,3,0)</f>
        <v>Replacement</v>
      </c>
      <c r="L1697" s="7" t="str">
        <f>VLOOKUP($G1697,Mapping!$E$140:$K$2771,5,0)</f>
        <v>Labour</v>
      </c>
      <c r="M1697" s="7" t="str">
        <f>VLOOKUP($G1697,Mapping!$E$140:$K$2771,7,0)</f>
        <v>ENDirect</v>
      </c>
      <c r="N1697" s="7" t="str">
        <f>IFERROR(HLOOKUP(L1697,'Calc|Weightings'!$K$5:$M$5,1,0),"Excl")</f>
        <v>Labour</v>
      </c>
      <c r="O1697" s="7" t="str">
        <f>VLOOKUP(E1697,Mapping!$E$11:$I$96,5,0)</f>
        <v>SCS</v>
      </c>
      <c r="Q1697" s="33">
        <v>230</v>
      </c>
      <c r="R1697" s="33" t="s">
        <v>2187</v>
      </c>
      <c r="S1697" s="33">
        <v>531000</v>
      </c>
      <c r="T1697" s="33" t="s">
        <v>242</v>
      </c>
      <c r="U1697" s="34">
        <v>276.68113</v>
      </c>
      <c r="V1697" s="7"/>
      <c r="W1697" s="7" t="str">
        <f>VLOOKUP($Q1697,Mapping!$E$11:$I$96,3,0)</f>
        <v>Non-network general assets - Other</v>
      </c>
      <c r="X1697" s="7" t="str">
        <f>VLOOKUP($S1697,Mapping!$E$140:$K$2771,5,0)</f>
        <v>Contracts</v>
      </c>
      <c r="Y1697" s="7" t="str">
        <f>VLOOKUP($S1697,Mapping!$E$140:$K$2771,7,0)</f>
        <v>ENDirect</v>
      </c>
      <c r="Z1697" s="7" t="str">
        <f>IFERROR(HLOOKUP(X1697,'Calc|Weightings'!$K$5:$M$5,1,0),"Excl")</f>
        <v>Contracts</v>
      </c>
      <c r="AA1697" s="7" t="str">
        <f>VLOOKUP(Q1697,Mapping!$E$11:$I$96,5,0)</f>
        <v>SCS</v>
      </c>
      <c r="AC1697" s="111">
        <v>168</v>
      </c>
      <c r="AD1697" s="111" t="s">
        <v>2176</v>
      </c>
      <c r="AE1697" s="111">
        <v>613567</v>
      </c>
      <c r="AF1697" s="111" t="s">
        <v>1483</v>
      </c>
      <c r="AG1697" s="112">
        <v>0.90720000000000001</v>
      </c>
      <c r="AI1697" s="7" t="str">
        <f>VLOOKUP($AC1697,Mapping!$E$11:$I$96,3,0)</f>
        <v>Augmentation</v>
      </c>
      <c r="AJ1697" s="7" t="str">
        <f>VLOOKUP($AE1697,Mapping!$E$140:$K$2771,5,0)</f>
        <v>Labour</v>
      </c>
      <c r="AK1697" s="7" t="str">
        <f>VLOOKUP($AE1697,Mapping!$E$140:$K$2771,7,0)</f>
        <v>ENDirect</v>
      </c>
      <c r="AL1697" s="7" t="str">
        <f>IFERROR(HLOOKUP(AJ1697,'Calc|Weightings'!$K$5:$M$5,1,0),"Excl")</f>
        <v>Labour</v>
      </c>
      <c r="AM1697" s="7" t="str">
        <f>VLOOKUP(AC1697,Mapping!$E$11:$I$96,5,0)</f>
        <v>SCS</v>
      </c>
      <c r="AO1697" s="134">
        <v>177</v>
      </c>
      <c r="AP1697" s="135" t="s">
        <v>2387</v>
      </c>
      <c r="AQ1697" s="135">
        <v>613461</v>
      </c>
      <c r="AR1697" s="135" t="s">
        <v>2168</v>
      </c>
      <c r="AS1697" s="136">
        <v>0.11672</v>
      </c>
      <c r="AU1697" s="7" t="str">
        <f>VLOOKUP($AO1697,Mapping!$E$11:$I$96,3,0)</f>
        <v>Augmentation</v>
      </c>
      <c r="AV1697" s="7" t="str">
        <f>VLOOKUP($AQ1697,Mapping!$E$140:$K$2771,5,0)</f>
        <v>Labour</v>
      </c>
      <c r="AW1697" s="7" t="str">
        <f>VLOOKUP($AQ1697,Mapping!$E$140:$K$2771,7,0)</f>
        <v>ENDirect</v>
      </c>
      <c r="AX1697" s="7" t="str">
        <f>IFERROR(HLOOKUP(AV1697,'Calc|Weightings'!$K$5:$M$5,1,0),"Excl")</f>
        <v>Labour</v>
      </c>
      <c r="AY1697" s="7" t="str">
        <f>VLOOKUP(AO1697,Mapping!$E$11:$I$96,5,0)</f>
        <v>SCS</v>
      </c>
    </row>
    <row r="1698" spans="1:51" x14ac:dyDescent="0.2">
      <c r="A1698" s="7"/>
      <c r="B1698" s="7"/>
      <c r="C1698" s="7"/>
      <c r="D1698" s="7"/>
      <c r="E1698" s="36">
        <v>157</v>
      </c>
      <c r="F1698" s="36" t="s">
        <v>2166</v>
      </c>
      <c r="G1698" s="36">
        <v>613291</v>
      </c>
      <c r="H1698" s="36" t="s">
        <v>2094</v>
      </c>
      <c r="I1698" s="37">
        <v>5.8369999999999998E-2</v>
      </c>
      <c r="J1698" s="7"/>
      <c r="K1698" s="7" t="str">
        <f>VLOOKUP($E1698,Mapping!$E$11:$I$96,3,0)</f>
        <v>Replacement</v>
      </c>
      <c r="L1698" s="7" t="str">
        <f>VLOOKUP($G1698,Mapping!$E$140:$K$2771,5,0)</f>
        <v>Labour</v>
      </c>
      <c r="M1698" s="7" t="str">
        <f>VLOOKUP($G1698,Mapping!$E$140:$K$2771,7,0)</f>
        <v>ENDirect</v>
      </c>
      <c r="N1698" s="7" t="str">
        <f>IFERROR(HLOOKUP(L1698,'Calc|Weightings'!$K$5:$M$5,1,0),"Excl")</f>
        <v>Labour</v>
      </c>
      <c r="O1698" s="7" t="str">
        <f>VLOOKUP(E1698,Mapping!$E$11:$I$96,5,0)</f>
        <v>SCS</v>
      </c>
      <c r="Q1698" s="33">
        <v>230</v>
      </c>
      <c r="R1698" s="33" t="s">
        <v>2187</v>
      </c>
      <c r="S1698" s="33">
        <v>532500</v>
      </c>
      <c r="T1698" s="33" t="s">
        <v>308</v>
      </c>
      <c r="U1698" s="34">
        <v>2352.8935799999999</v>
      </c>
      <c r="V1698" s="7"/>
      <c r="W1698" s="7" t="str">
        <f>VLOOKUP($Q1698,Mapping!$E$11:$I$96,3,0)</f>
        <v>Non-network general assets - Other</v>
      </c>
      <c r="X1698" s="7" t="str">
        <f>VLOOKUP($S1698,Mapping!$E$140:$K$2771,5,0)</f>
        <v>Contracts</v>
      </c>
      <c r="Y1698" s="7" t="str">
        <f>VLOOKUP($S1698,Mapping!$E$140:$K$2771,7,0)</f>
        <v>ENDirect</v>
      </c>
      <c r="Z1698" s="7" t="str">
        <f>IFERROR(HLOOKUP(X1698,'Calc|Weightings'!$K$5:$M$5,1,0),"Excl")</f>
        <v>Contracts</v>
      </c>
      <c r="AA1698" s="7" t="str">
        <f>VLOOKUP(Q1698,Mapping!$E$11:$I$96,5,0)</f>
        <v>SCS</v>
      </c>
      <c r="AC1698" s="111">
        <v>168</v>
      </c>
      <c r="AD1698" s="111" t="s">
        <v>2176</v>
      </c>
      <c r="AE1698" s="111">
        <v>613576</v>
      </c>
      <c r="AF1698" s="111" t="s">
        <v>1490</v>
      </c>
      <c r="AG1698" s="112">
        <v>1.51888</v>
      </c>
      <c r="AI1698" s="7" t="str">
        <f>VLOOKUP($AC1698,Mapping!$E$11:$I$96,3,0)</f>
        <v>Augmentation</v>
      </c>
      <c r="AJ1698" s="7" t="str">
        <f>VLOOKUP($AE1698,Mapping!$E$140:$K$2771,5,0)</f>
        <v>Labour</v>
      </c>
      <c r="AK1698" s="7" t="str">
        <f>VLOOKUP($AE1698,Mapping!$E$140:$K$2771,7,0)</f>
        <v>ENDirect</v>
      </c>
      <c r="AL1698" s="7" t="str">
        <f>IFERROR(HLOOKUP(AJ1698,'Calc|Weightings'!$K$5:$M$5,1,0),"Excl")</f>
        <v>Labour</v>
      </c>
      <c r="AM1698" s="7" t="str">
        <f>VLOOKUP(AC1698,Mapping!$E$11:$I$96,5,0)</f>
        <v>SCS</v>
      </c>
      <c r="AO1698" s="134">
        <v>177</v>
      </c>
      <c r="AP1698" s="135" t="s">
        <v>2387</v>
      </c>
      <c r="AQ1698" s="135">
        <v>613566</v>
      </c>
      <c r="AR1698" s="135" t="s">
        <v>1482</v>
      </c>
      <c r="AS1698" s="136">
        <v>1.8649800000000001</v>
      </c>
      <c r="AU1698" s="7" t="str">
        <f>VLOOKUP($AO1698,Mapping!$E$11:$I$96,3,0)</f>
        <v>Augmentation</v>
      </c>
      <c r="AV1698" s="7" t="str">
        <f>VLOOKUP($AQ1698,Mapping!$E$140:$K$2771,5,0)</f>
        <v>Labour</v>
      </c>
      <c r="AW1698" s="7" t="str">
        <f>VLOOKUP($AQ1698,Mapping!$E$140:$K$2771,7,0)</f>
        <v>ENDirect</v>
      </c>
      <c r="AX1698" s="7" t="str">
        <f>IFERROR(HLOOKUP(AV1698,'Calc|Weightings'!$K$5:$M$5,1,0),"Excl")</f>
        <v>Labour</v>
      </c>
      <c r="AY1698" s="7" t="str">
        <f>VLOOKUP(AO1698,Mapping!$E$11:$I$96,5,0)</f>
        <v>SCS</v>
      </c>
    </row>
    <row r="1699" spans="1:51" x14ac:dyDescent="0.2">
      <c r="A1699" s="7"/>
      <c r="B1699" s="7"/>
      <c r="C1699" s="7"/>
      <c r="D1699" s="7"/>
      <c r="E1699" s="36">
        <v>157</v>
      </c>
      <c r="F1699" s="36" t="s">
        <v>2166</v>
      </c>
      <c r="G1699" s="36">
        <v>613298</v>
      </c>
      <c r="H1699" s="36" t="s">
        <v>2122</v>
      </c>
      <c r="I1699" s="37">
        <v>20.070989999999998</v>
      </c>
      <c r="J1699" s="7"/>
      <c r="K1699" s="7" t="str">
        <f>VLOOKUP($E1699,Mapping!$E$11:$I$96,3,0)</f>
        <v>Replacement</v>
      </c>
      <c r="L1699" s="7" t="str">
        <f>VLOOKUP($G1699,Mapping!$E$140:$K$2771,5,0)</f>
        <v>Labour</v>
      </c>
      <c r="M1699" s="7" t="str">
        <f>VLOOKUP($G1699,Mapping!$E$140:$K$2771,7,0)</f>
        <v>ENDirect</v>
      </c>
      <c r="N1699" s="7" t="str">
        <f>IFERROR(HLOOKUP(L1699,'Calc|Weightings'!$K$5:$M$5,1,0),"Excl")</f>
        <v>Labour</v>
      </c>
      <c r="O1699" s="7" t="str">
        <f>VLOOKUP(E1699,Mapping!$E$11:$I$96,5,0)</f>
        <v>SCS</v>
      </c>
      <c r="Q1699" s="33">
        <v>240</v>
      </c>
      <c r="R1699" s="33" t="s">
        <v>2190</v>
      </c>
      <c r="S1699" s="33">
        <v>140180</v>
      </c>
      <c r="T1699" s="33" t="s">
        <v>48</v>
      </c>
      <c r="U1699" s="34">
        <v>434.37441999999999</v>
      </c>
      <c r="V1699" s="7"/>
      <c r="W1699" s="7" t="str">
        <f>VLOOKUP($Q1699,Mapping!$E$11:$I$96,3,0)</f>
        <v>Non-network general assets - Other</v>
      </c>
      <c r="X1699" s="7" t="str">
        <f>VLOOKUP($S1699,Mapping!$E$140:$K$2771,5,0)</f>
        <v>Materials</v>
      </c>
      <c r="Y1699" s="7" t="str">
        <f>VLOOKUP($S1699,Mapping!$E$140:$K$2771,7,0)</f>
        <v>ENDirect</v>
      </c>
      <c r="Z1699" s="7" t="str">
        <f>IFERROR(HLOOKUP(X1699,'Calc|Weightings'!$K$5:$M$5,1,0),"Excl")</f>
        <v>Materials</v>
      </c>
      <c r="AA1699" s="7" t="str">
        <f>VLOOKUP(Q1699,Mapping!$E$11:$I$96,5,0)</f>
        <v>SCS</v>
      </c>
      <c r="AC1699" s="111">
        <v>168</v>
      </c>
      <c r="AD1699" s="111" t="s">
        <v>2176</v>
      </c>
      <c r="AE1699" s="111">
        <v>613577</v>
      </c>
      <c r="AF1699" s="111" t="s">
        <v>1491</v>
      </c>
      <c r="AG1699" s="112">
        <v>1.1977500000000001</v>
      </c>
      <c r="AI1699" s="7" t="str">
        <f>VLOOKUP($AC1699,Mapping!$E$11:$I$96,3,0)</f>
        <v>Augmentation</v>
      </c>
      <c r="AJ1699" s="7" t="str">
        <f>VLOOKUP($AE1699,Mapping!$E$140:$K$2771,5,0)</f>
        <v>Labour</v>
      </c>
      <c r="AK1699" s="7" t="str">
        <f>VLOOKUP($AE1699,Mapping!$E$140:$K$2771,7,0)</f>
        <v>ENDirect</v>
      </c>
      <c r="AL1699" s="7" t="str">
        <f>IFERROR(HLOOKUP(AJ1699,'Calc|Weightings'!$K$5:$M$5,1,0),"Excl")</f>
        <v>Labour</v>
      </c>
      <c r="AM1699" s="7" t="str">
        <f>VLOOKUP(AC1699,Mapping!$E$11:$I$96,5,0)</f>
        <v>SCS</v>
      </c>
      <c r="AO1699" s="134">
        <v>177</v>
      </c>
      <c r="AP1699" s="135" t="s">
        <v>2387</v>
      </c>
      <c r="AQ1699" s="135">
        <v>613567</v>
      </c>
      <c r="AR1699" s="135" t="s">
        <v>1483</v>
      </c>
      <c r="AS1699" s="136">
        <v>0.44098999999999999</v>
      </c>
      <c r="AU1699" s="7" t="str">
        <f>VLOOKUP($AO1699,Mapping!$E$11:$I$96,3,0)</f>
        <v>Augmentation</v>
      </c>
      <c r="AV1699" s="7" t="str">
        <f>VLOOKUP($AQ1699,Mapping!$E$140:$K$2771,5,0)</f>
        <v>Labour</v>
      </c>
      <c r="AW1699" s="7" t="str">
        <f>VLOOKUP($AQ1699,Mapping!$E$140:$K$2771,7,0)</f>
        <v>ENDirect</v>
      </c>
      <c r="AX1699" s="7" t="str">
        <f>IFERROR(HLOOKUP(AV1699,'Calc|Weightings'!$K$5:$M$5,1,0),"Excl")</f>
        <v>Labour</v>
      </c>
      <c r="AY1699" s="7" t="str">
        <f>VLOOKUP(AO1699,Mapping!$E$11:$I$96,5,0)</f>
        <v>SCS</v>
      </c>
    </row>
    <row r="1700" spans="1:51" x14ac:dyDescent="0.2">
      <c r="A1700" s="7"/>
      <c r="B1700" s="7"/>
      <c r="C1700" s="7"/>
      <c r="D1700" s="7"/>
      <c r="E1700" s="36">
        <v>157</v>
      </c>
      <c r="F1700" s="36" t="s">
        <v>2166</v>
      </c>
      <c r="G1700" s="36">
        <v>613310</v>
      </c>
      <c r="H1700" s="36" t="s">
        <v>2095</v>
      </c>
      <c r="I1700" s="37">
        <v>16.85445</v>
      </c>
      <c r="J1700" s="7"/>
      <c r="K1700" s="7" t="str">
        <f>VLOOKUP($E1700,Mapping!$E$11:$I$96,3,0)</f>
        <v>Replacement</v>
      </c>
      <c r="L1700" s="7" t="str">
        <f>VLOOKUP($G1700,Mapping!$E$140:$K$2771,5,0)</f>
        <v>Labour</v>
      </c>
      <c r="M1700" s="7" t="str">
        <f>VLOOKUP($G1700,Mapping!$E$140:$K$2771,7,0)</f>
        <v>ENDirect</v>
      </c>
      <c r="N1700" s="7" t="str">
        <f>IFERROR(HLOOKUP(L1700,'Calc|Weightings'!$K$5:$M$5,1,0),"Excl")</f>
        <v>Labour</v>
      </c>
      <c r="O1700" s="7" t="str">
        <f>VLOOKUP(E1700,Mapping!$E$11:$I$96,5,0)</f>
        <v>SCS</v>
      </c>
      <c r="Q1700" s="33">
        <v>273</v>
      </c>
      <c r="R1700" s="33" t="s">
        <v>2388</v>
      </c>
      <c r="S1700" s="33">
        <v>520100</v>
      </c>
      <c r="T1700" s="33" t="s">
        <v>2072</v>
      </c>
      <c r="U1700" s="34">
        <v>0.315</v>
      </c>
      <c r="V1700" s="7"/>
      <c r="W1700" s="7" t="str">
        <f>VLOOKUP($Q1700,Mapping!$E$11:$I$96,3,0)</f>
        <v>Non-network general assets - Other</v>
      </c>
      <c r="X1700" s="7" t="str">
        <f>VLOOKUP($S1700,Mapping!$E$140:$K$2771,5,0)</f>
        <v>Materials</v>
      </c>
      <c r="Y1700" s="7" t="str">
        <f>VLOOKUP($S1700,Mapping!$E$140:$K$2771,7,0)</f>
        <v>ENDirect</v>
      </c>
      <c r="Z1700" s="7" t="str">
        <f>IFERROR(HLOOKUP(X1700,'Calc|Weightings'!$K$5:$M$5,1,0),"Excl")</f>
        <v>Materials</v>
      </c>
      <c r="AA1700" s="7" t="str">
        <f>VLOOKUP(Q1700,Mapping!$E$11:$I$96,5,0)</f>
        <v>SCS</v>
      </c>
      <c r="AC1700" s="111">
        <v>168</v>
      </c>
      <c r="AD1700" s="111" t="s">
        <v>2176</v>
      </c>
      <c r="AE1700" s="111">
        <v>613630</v>
      </c>
      <c r="AF1700" s="111" t="s">
        <v>1498</v>
      </c>
      <c r="AG1700" s="112">
        <v>9.4984800000000007</v>
      </c>
      <c r="AI1700" s="7" t="str">
        <f>VLOOKUP($AC1700,Mapping!$E$11:$I$96,3,0)</f>
        <v>Augmentation</v>
      </c>
      <c r="AJ1700" s="7" t="str">
        <f>VLOOKUP($AE1700,Mapping!$E$140:$K$2771,5,0)</f>
        <v>Labour</v>
      </c>
      <c r="AK1700" s="7" t="str">
        <f>VLOOKUP($AE1700,Mapping!$E$140:$K$2771,7,0)</f>
        <v>ENDirect</v>
      </c>
      <c r="AL1700" s="7" t="str">
        <f>IFERROR(HLOOKUP(AJ1700,'Calc|Weightings'!$K$5:$M$5,1,0),"Excl")</f>
        <v>Labour</v>
      </c>
      <c r="AM1700" s="7" t="str">
        <f>VLOOKUP(AC1700,Mapping!$E$11:$I$96,5,0)</f>
        <v>SCS</v>
      </c>
      <c r="AO1700" s="134">
        <v>177</v>
      </c>
      <c r="AP1700" s="135" t="s">
        <v>2387</v>
      </c>
      <c r="AQ1700" s="135">
        <v>613570</v>
      </c>
      <c r="AR1700" s="135" t="s">
        <v>1484</v>
      </c>
      <c r="AS1700" s="136">
        <v>0.29546</v>
      </c>
      <c r="AU1700" s="7" t="str">
        <f>VLOOKUP($AO1700,Mapping!$E$11:$I$96,3,0)</f>
        <v>Augmentation</v>
      </c>
      <c r="AV1700" s="7" t="str">
        <f>VLOOKUP($AQ1700,Mapping!$E$140:$K$2771,5,0)</f>
        <v>Labour</v>
      </c>
      <c r="AW1700" s="7" t="str">
        <f>VLOOKUP($AQ1700,Mapping!$E$140:$K$2771,7,0)</f>
        <v>ENDirect</v>
      </c>
      <c r="AX1700" s="7" t="str">
        <f>IFERROR(HLOOKUP(AV1700,'Calc|Weightings'!$K$5:$M$5,1,0),"Excl")</f>
        <v>Labour</v>
      </c>
      <c r="AY1700" s="7" t="str">
        <f>VLOOKUP(AO1700,Mapping!$E$11:$I$96,5,0)</f>
        <v>SCS</v>
      </c>
    </row>
    <row r="1701" spans="1:51" x14ac:dyDescent="0.2">
      <c r="A1701" s="7"/>
      <c r="B1701" s="7"/>
      <c r="C1701" s="7"/>
      <c r="D1701" s="7"/>
      <c r="E1701" s="36">
        <v>157</v>
      </c>
      <c r="F1701" s="36" t="s">
        <v>2166</v>
      </c>
      <c r="G1701" s="36">
        <v>613311</v>
      </c>
      <c r="H1701" s="36" t="s">
        <v>2116</v>
      </c>
      <c r="I1701" s="37">
        <v>2.0862599999999998</v>
      </c>
      <c r="J1701" s="7"/>
      <c r="K1701" s="7" t="str">
        <f>VLOOKUP($E1701,Mapping!$E$11:$I$96,3,0)</f>
        <v>Replacement</v>
      </c>
      <c r="L1701" s="7" t="str">
        <f>VLOOKUP($G1701,Mapping!$E$140:$K$2771,5,0)</f>
        <v>Labour</v>
      </c>
      <c r="M1701" s="7" t="str">
        <f>VLOOKUP($G1701,Mapping!$E$140:$K$2771,7,0)</f>
        <v>ENDirect</v>
      </c>
      <c r="N1701" s="7" t="str">
        <f>IFERROR(HLOOKUP(L1701,'Calc|Weightings'!$K$5:$M$5,1,0),"Excl")</f>
        <v>Labour</v>
      </c>
      <c r="O1701" s="7" t="str">
        <f>VLOOKUP(E1701,Mapping!$E$11:$I$96,5,0)</f>
        <v>SCS</v>
      </c>
      <c r="Q1701" s="33">
        <v>273</v>
      </c>
      <c r="R1701" s="33" t="s">
        <v>2388</v>
      </c>
      <c r="S1701" s="33">
        <v>531000</v>
      </c>
      <c r="T1701" s="33" t="s">
        <v>242</v>
      </c>
      <c r="U1701" s="34">
        <v>1.0900000000000001</v>
      </c>
      <c r="V1701" s="7"/>
      <c r="W1701" s="7" t="str">
        <f>VLOOKUP($Q1701,Mapping!$E$11:$I$96,3,0)</f>
        <v>Non-network general assets - Other</v>
      </c>
      <c r="X1701" s="7" t="str">
        <f>VLOOKUP($S1701,Mapping!$E$140:$K$2771,5,0)</f>
        <v>Contracts</v>
      </c>
      <c r="Y1701" s="7" t="str">
        <f>VLOOKUP($S1701,Mapping!$E$140:$K$2771,7,0)</f>
        <v>ENDirect</v>
      </c>
      <c r="Z1701" s="7" t="str">
        <f>IFERROR(HLOOKUP(X1701,'Calc|Weightings'!$K$5:$M$5,1,0),"Excl")</f>
        <v>Contracts</v>
      </c>
      <c r="AA1701" s="7" t="str">
        <f>VLOOKUP(Q1701,Mapping!$E$11:$I$96,5,0)</f>
        <v>SCS</v>
      </c>
      <c r="AC1701" s="111">
        <v>168</v>
      </c>
      <c r="AD1701" s="111" t="s">
        <v>2176</v>
      </c>
      <c r="AE1701" s="111">
        <v>613641</v>
      </c>
      <c r="AF1701" s="111" t="s">
        <v>2199</v>
      </c>
      <c r="AG1701" s="112">
        <v>1.5072000000000001</v>
      </c>
      <c r="AI1701" s="7" t="str">
        <f>VLOOKUP($AC1701,Mapping!$E$11:$I$96,3,0)</f>
        <v>Augmentation</v>
      </c>
      <c r="AJ1701" s="7" t="str">
        <f>VLOOKUP($AE1701,Mapping!$E$140:$K$2771,5,0)</f>
        <v>Labour</v>
      </c>
      <c r="AK1701" s="7" t="str">
        <f>VLOOKUP($AE1701,Mapping!$E$140:$K$2771,7,0)</f>
        <v>ENDirect</v>
      </c>
      <c r="AL1701" s="7" t="str">
        <f>IFERROR(HLOOKUP(AJ1701,'Calc|Weightings'!$K$5:$M$5,1,0),"Excl")</f>
        <v>Labour</v>
      </c>
      <c r="AM1701" s="7" t="str">
        <f>VLOOKUP(AC1701,Mapping!$E$11:$I$96,5,0)</f>
        <v>SCS</v>
      </c>
      <c r="AO1701" s="134">
        <v>177</v>
      </c>
      <c r="AP1701" s="135" t="s">
        <v>2387</v>
      </c>
      <c r="AQ1701" s="135">
        <v>613574</v>
      </c>
      <c r="AR1701" s="135" t="s">
        <v>1488</v>
      </c>
      <c r="AS1701" s="136">
        <v>4.1547900000000002</v>
      </c>
      <c r="AU1701" s="7" t="str">
        <f>VLOOKUP($AO1701,Mapping!$E$11:$I$96,3,0)</f>
        <v>Augmentation</v>
      </c>
      <c r="AV1701" s="7" t="str">
        <f>VLOOKUP($AQ1701,Mapping!$E$140:$K$2771,5,0)</f>
        <v>Labour</v>
      </c>
      <c r="AW1701" s="7" t="str">
        <f>VLOOKUP($AQ1701,Mapping!$E$140:$K$2771,7,0)</f>
        <v>ENDirect</v>
      </c>
      <c r="AX1701" s="7" t="str">
        <f>IFERROR(HLOOKUP(AV1701,'Calc|Weightings'!$K$5:$M$5,1,0),"Excl")</f>
        <v>Labour</v>
      </c>
      <c r="AY1701" s="7" t="str">
        <f>VLOOKUP(AO1701,Mapping!$E$11:$I$96,5,0)</f>
        <v>SCS</v>
      </c>
    </row>
    <row r="1702" spans="1:51" x14ac:dyDescent="0.2">
      <c r="A1702" s="7"/>
      <c r="B1702" s="7"/>
      <c r="C1702" s="7"/>
      <c r="D1702" s="7"/>
      <c r="E1702" s="36">
        <v>157</v>
      </c>
      <c r="F1702" s="36" t="s">
        <v>2166</v>
      </c>
      <c r="G1702" s="36">
        <v>613318</v>
      </c>
      <c r="H1702" s="36" t="s">
        <v>1360</v>
      </c>
      <c r="I1702" s="37">
        <v>98.009969999999996</v>
      </c>
      <c r="J1702" s="7"/>
      <c r="K1702" s="7" t="str">
        <f>VLOOKUP($E1702,Mapping!$E$11:$I$96,3,0)</f>
        <v>Replacement</v>
      </c>
      <c r="L1702" s="7" t="str">
        <f>VLOOKUP($G1702,Mapping!$E$140:$K$2771,5,0)</f>
        <v>Labour</v>
      </c>
      <c r="M1702" s="7" t="str">
        <f>VLOOKUP($G1702,Mapping!$E$140:$K$2771,7,0)</f>
        <v>ENDirect</v>
      </c>
      <c r="N1702" s="7" t="str">
        <f>IFERROR(HLOOKUP(L1702,'Calc|Weightings'!$K$5:$M$5,1,0),"Excl")</f>
        <v>Labour</v>
      </c>
      <c r="O1702" s="7" t="str">
        <f>VLOOKUP(E1702,Mapping!$E$11:$I$96,5,0)</f>
        <v>SCS</v>
      </c>
      <c r="Q1702" s="33">
        <v>273</v>
      </c>
      <c r="R1702" s="33" t="s">
        <v>2388</v>
      </c>
      <c r="S1702" s="33">
        <v>532050</v>
      </c>
      <c r="T1702" s="33" t="s">
        <v>279</v>
      </c>
      <c r="U1702" s="34">
        <v>19.125499999999999</v>
      </c>
      <c r="V1702" s="7"/>
      <c r="W1702" s="7" t="str">
        <f>VLOOKUP($Q1702,Mapping!$E$11:$I$96,3,0)</f>
        <v>Non-network general assets - Other</v>
      </c>
      <c r="X1702" s="7" t="str">
        <f>VLOOKUP($S1702,Mapping!$E$140:$K$2771,5,0)</f>
        <v>Contracts</v>
      </c>
      <c r="Y1702" s="7" t="str">
        <f>VLOOKUP($S1702,Mapping!$E$140:$K$2771,7,0)</f>
        <v>ENDirect</v>
      </c>
      <c r="Z1702" s="7" t="str">
        <f>IFERROR(HLOOKUP(X1702,'Calc|Weightings'!$K$5:$M$5,1,0),"Excl")</f>
        <v>Contracts</v>
      </c>
      <c r="AA1702" s="7" t="str">
        <f>VLOOKUP(Q1702,Mapping!$E$11:$I$96,5,0)</f>
        <v>SCS</v>
      </c>
      <c r="AC1702" s="111">
        <v>168</v>
      </c>
      <c r="AD1702" s="111" t="s">
        <v>2176</v>
      </c>
      <c r="AE1702" s="111">
        <v>613680</v>
      </c>
      <c r="AF1702" s="111" t="s">
        <v>2107</v>
      </c>
      <c r="AG1702" s="112">
        <v>117.16931</v>
      </c>
      <c r="AI1702" s="7" t="str">
        <f>VLOOKUP($AC1702,Mapping!$E$11:$I$96,3,0)</f>
        <v>Augmentation</v>
      </c>
      <c r="AJ1702" s="7" t="str">
        <f>VLOOKUP($AE1702,Mapping!$E$140:$K$2771,5,0)</f>
        <v>Labour</v>
      </c>
      <c r="AK1702" s="7" t="str">
        <f>VLOOKUP($AE1702,Mapping!$E$140:$K$2771,7,0)</f>
        <v>ENDirect</v>
      </c>
      <c r="AL1702" s="7" t="str">
        <f>IFERROR(HLOOKUP(AJ1702,'Calc|Weightings'!$K$5:$M$5,1,0),"Excl")</f>
        <v>Labour</v>
      </c>
      <c r="AM1702" s="7" t="str">
        <f>VLOOKUP(AC1702,Mapping!$E$11:$I$96,5,0)</f>
        <v>SCS</v>
      </c>
      <c r="AO1702" s="134">
        <v>177</v>
      </c>
      <c r="AP1702" s="135" t="s">
        <v>2387</v>
      </c>
      <c r="AQ1702" s="135">
        <v>613575</v>
      </c>
      <c r="AR1702" s="135" t="s">
        <v>1489</v>
      </c>
      <c r="AS1702" s="136">
        <v>1.0668299999999999</v>
      </c>
      <c r="AU1702" s="7" t="str">
        <f>VLOOKUP($AO1702,Mapping!$E$11:$I$96,3,0)</f>
        <v>Augmentation</v>
      </c>
      <c r="AV1702" s="7" t="str">
        <f>VLOOKUP($AQ1702,Mapping!$E$140:$K$2771,5,0)</f>
        <v>Labour</v>
      </c>
      <c r="AW1702" s="7" t="str">
        <f>VLOOKUP($AQ1702,Mapping!$E$140:$K$2771,7,0)</f>
        <v>ENDirect</v>
      </c>
      <c r="AX1702" s="7" t="str">
        <f>IFERROR(HLOOKUP(AV1702,'Calc|Weightings'!$K$5:$M$5,1,0),"Excl")</f>
        <v>Labour</v>
      </c>
      <c r="AY1702" s="7" t="str">
        <f>VLOOKUP(AO1702,Mapping!$E$11:$I$96,5,0)</f>
        <v>SCS</v>
      </c>
    </row>
    <row r="1703" spans="1:51" x14ac:dyDescent="0.2">
      <c r="A1703" s="7"/>
      <c r="B1703" s="7"/>
      <c r="C1703" s="7"/>
      <c r="D1703" s="7"/>
      <c r="E1703" s="36">
        <v>157</v>
      </c>
      <c r="F1703" s="36" t="s">
        <v>2166</v>
      </c>
      <c r="G1703" s="36">
        <v>613319</v>
      </c>
      <c r="H1703" s="36" t="s">
        <v>2358</v>
      </c>
      <c r="I1703" s="37">
        <v>13.31034</v>
      </c>
      <c r="J1703" s="7"/>
      <c r="K1703" s="7" t="str">
        <f>VLOOKUP($E1703,Mapping!$E$11:$I$96,3,0)</f>
        <v>Replacement</v>
      </c>
      <c r="L1703" s="7" t="str">
        <f>VLOOKUP($G1703,Mapping!$E$140:$K$2771,5,0)</f>
        <v>Labour</v>
      </c>
      <c r="M1703" s="7" t="str">
        <f>VLOOKUP($G1703,Mapping!$E$140:$K$2771,7,0)</f>
        <v>ENDirect</v>
      </c>
      <c r="N1703" s="7" t="str">
        <f>IFERROR(HLOOKUP(L1703,'Calc|Weightings'!$K$5:$M$5,1,0),"Excl")</f>
        <v>Labour</v>
      </c>
      <c r="O1703" s="7" t="str">
        <f>VLOOKUP(E1703,Mapping!$E$11:$I$96,5,0)</f>
        <v>SCS</v>
      </c>
      <c r="Q1703" s="33">
        <v>273</v>
      </c>
      <c r="R1703" s="33" t="s">
        <v>2388</v>
      </c>
      <c r="S1703" s="33">
        <v>534230</v>
      </c>
      <c r="T1703" s="33" t="s">
        <v>341</v>
      </c>
      <c r="U1703" s="34">
        <v>3.0563199999999999</v>
      </c>
      <c r="V1703" s="7"/>
      <c r="W1703" s="7" t="str">
        <f>VLOOKUP($Q1703,Mapping!$E$11:$I$96,3,0)</f>
        <v>Non-network general assets - Other</v>
      </c>
      <c r="X1703" s="7" t="str">
        <f>VLOOKUP($S1703,Mapping!$E$140:$K$2771,5,0)</f>
        <v>Contracts</v>
      </c>
      <c r="Y1703" s="7" t="str">
        <f>VLOOKUP($S1703,Mapping!$E$140:$K$2771,7,0)</f>
        <v>ENDirect</v>
      </c>
      <c r="Z1703" s="7" t="str">
        <f>IFERROR(HLOOKUP(X1703,'Calc|Weightings'!$K$5:$M$5,1,0),"Excl")</f>
        <v>Contracts</v>
      </c>
      <c r="AA1703" s="7" t="str">
        <f>VLOOKUP(Q1703,Mapping!$E$11:$I$96,5,0)</f>
        <v>SCS</v>
      </c>
      <c r="AC1703" s="111">
        <v>168</v>
      </c>
      <c r="AD1703" s="111" t="s">
        <v>2176</v>
      </c>
      <c r="AE1703" s="111">
        <v>613681</v>
      </c>
      <c r="AF1703" s="111" t="s">
        <v>2108</v>
      </c>
      <c r="AG1703" s="112">
        <v>2.9901300000000002</v>
      </c>
      <c r="AI1703" s="7" t="str">
        <f>VLOOKUP($AC1703,Mapping!$E$11:$I$96,3,0)</f>
        <v>Augmentation</v>
      </c>
      <c r="AJ1703" s="7" t="str">
        <f>VLOOKUP($AE1703,Mapping!$E$140:$K$2771,5,0)</f>
        <v>Labour</v>
      </c>
      <c r="AK1703" s="7" t="str">
        <f>VLOOKUP($AE1703,Mapping!$E$140:$K$2771,7,0)</f>
        <v>ENDirect</v>
      </c>
      <c r="AL1703" s="7" t="str">
        <f>IFERROR(HLOOKUP(AJ1703,'Calc|Weightings'!$K$5:$M$5,1,0),"Excl")</f>
        <v>Labour</v>
      </c>
      <c r="AM1703" s="7" t="str">
        <f>VLOOKUP(AC1703,Mapping!$E$11:$I$96,5,0)</f>
        <v>SCS</v>
      </c>
      <c r="AO1703" s="134">
        <v>177</v>
      </c>
      <c r="AP1703" s="135" t="s">
        <v>2387</v>
      </c>
      <c r="AQ1703" s="135">
        <v>613576</v>
      </c>
      <c r="AR1703" s="135" t="s">
        <v>1490</v>
      </c>
      <c r="AS1703" s="136">
        <v>11.1456</v>
      </c>
      <c r="AU1703" s="7" t="str">
        <f>VLOOKUP($AO1703,Mapping!$E$11:$I$96,3,0)</f>
        <v>Augmentation</v>
      </c>
      <c r="AV1703" s="7" t="str">
        <f>VLOOKUP($AQ1703,Mapping!$E$140:$K$2771,5,0)</f>
        <v>Labour</v>
      </c>
      <c r="AW1703" s="7" t="str">
        <f>VLOOKUP($AQ1703,Mapping!$E$140:$K$2771,7,0)</f>
        <v>ENDirect</v>
      </c>
      <c r="AX1703" s="7" t="str">
        <f>IFERROR(HLOOKUP(AV1703,'Calc|Weightings'!$K$5:$M$5,1,0),"Excl")</f>
        <v>Labour</v>
      </c>
      <c r="AY1703" s="7" t="str">
        <f>VLOOKUP(AO1703,Mapping!$E$11:$I$96,5,0)</f>
        <v>SCS</v>
      </c>
    </row>
    <row r="1704" spans="1:51" x14ac:dyDescent="0.2">
      <c r="A1704" s="7"/>
      <c r="B1704" s="7"/>
      <c r="C1704" s="7"/>
      <c r="D1704" s="7"/>
      <c r="E1704" s="36">
        <v>157</v>
      </c>
      <c r="F1704" s="36" t="s">
        <v>2166</v>
      </c>
      <c r="G1704" s="36">
        <v>613350</v>
      </c>
      <c r="H1704" s="36" t="s">
        <v>2096</v>
      </c>
      <c r="I1704" s="37">
        <v>14.07802</v>
      </c>
      <c r="J1704" s="7"/>
      <c r="K1704" s="7" t="str">
        <f>VLOOKUP($E1704,Mapping!$E$11:$I$96,3,0)</f>
        <v>Replacement</v>
      </c>
      <c r="L1704" s="7" t="str">
        <f>VLOOKUP($G1704,Mapping!$E$140:$K$2771,5,0)</f>
        <v>Labour</v>
      </c>
      <c r="M1704" s="7" t="str">
        <f>VLOOKUP($G1704,Mapping!$E$140:$K$2771,7,0)</f>
        <v>ENDirect</v>
      </c>
      <c r="N1704" s="7" t="str">
        <f>IFERROR(HLOOKUP(L1704,'Calc|Weightings'!$K$5:$M$5,1,0),"Excl")</f>
        <v>Labour</v>
      </c>
      <c r="O1704" s="7" t="str">
        <f>VLOOKUP(E1704,Mapping!$E$11:$I$96,5,0)</f>
        <v>SCS</v>
      </c>
      <c r="Q1704" s="33">
        <v>273</v>
      </c>
      <c r="R1704" s="33" t="s">
        <v>2388</v>
      </c>
      <c r="S1704" s="33">
        <v>613250</v>
      </c>
      <c r="T1704" s="33" t="s">
        <v>2086</v>
      </c>
      <c r="U1704" s="34">
        <v>0.39567000000000002</v>
      </c>
      <c r="V1704" s="7"/>
      <c r="W1704" s="7" t="str">
        <f>VLOOKUP($Q1704,Mapping!$E$11:$I$96,3,0)</f>
        <v>Non-network general assets - Other</v>
      </c>
      <c r="X1704" s="7" t="str">
        <f>VLOOKUP($S1704,Mapping!$E$140:$K$2771,5,0)</f>
        <v>Labour</v>
      </c>
      <c r="Y1704" s="7" t="str">
        <f>VLOOKUP($S1704,Mapping!$E$140:$K$2771,7,0)</f>
        <v>ENDirect</v>
      </c>
      <c r="Z1704" s="7" t="str">
        <f>IFERROR(HLOOKUP(X1704,'Calc|Weightings'!$K$5:$M$5,1,0),"Excl")</f>
        <v>Labour</v>
      </c>
      <c r="AA1704" s="7" t="str">
        <f>VLOOKUP(Q1704,Mapping!$E$11:$I$96,5,0)</f>
        <v>SCS</v>
      </c>
      <c r="AC1704" s="111">
        <v>168</v>
      </c>
      <c r="AD1704" s="111" t="s">
        <v>2176</v>
      </c>
      <c r="AE1704" s="111">
        <v>615375</v>
      </c>
      <c r="AF1704" s="111" t="s">
        <v>1717</v>
      </c>
      <c r="AG1704" s="112">
        <v>0.1</v>
      </c>
      <c r="AI1704" s="7" t="str">
        <f>VLOOKUP($AC1704,Mapping!$E$11:$I$96,3,0)</f>
        <v>Augmentation</v>
      </c>
      <c r="AJ1704" s="7" t="str">
        <f>VLOOKUP($AE1704,Mapping!$E$140:$K$2771,5,0)</f>
        <v>Labour</v>
      </c>
      <c r="AK1704" s="7" t="str">
        <f>VLOOKUP($AE1704,Mapping!$E$140:$K$2771,7,0)</f>
        <v>ENDirect</v>
      </c>
      <c r="AL1704" s="7" t="str">
        <f>IFERROR(HLOOKUP(AJ1704,'Calc|Weightings'!$K$5:$M$5,1,0),"Excl")</f>
        <v>Labour</v>
      </c>
      <c r="AM1704" s="7" t="str">
        <f>VLOOKUP(AC1704,Mapping!$E$11:$I$96,5,0)</f>
        <v>SCS</v>
      </c>
      <c r="AO1704" s="134">
        <v>177</v>
      </c>
      <c r="AP1704" s="135" t="s">
        <v>2387</v>
      </c>
      <c r="AQ1704" s="135">
        <v>613577</v>
      </c>
      <c r="AR1704" s="135" t="s">
        <v>1491</v>
      </c>
      <c r="AS1704" s="136">
        <v>6.0860099999999999</v>
      </c>
      <c r="AU1704" s="7" t="str">
        <f>VLOOKUP($AO1704,Mapping!$E$11:$I$96,3,0)</f>
        <v>Augmentation</v>
      </c>
      <c r="AV1704" s="7" t="str">
        <f>VLOOKUP($AQ1704,Mapping!$E$140:$K$2771,5,0)</f>
        <v>Labour</v>
      </c>
      <c r="AW1704" s="7" t="str">
        <f>VLOOKUP($AQ1704,Mapping!$E$140:$K$2771,7,0)</f>
        <v>ENDirect</v>
      </c>
      <c r="AX1704" s="7" t="str">
        <f>IFERROR(HLOOKUP(AV1704,'Calc|Weightings'!$K$5:$M$5,1,0),"Excl")</f>
        <v>Labour</v>
      </c>
      <c r="AY1704" s="7" t="str">
        <f>VLOOKUP(AO1704,Mapping!$E$11:$I$96,5,0)</f>
        <v>SCS</v>
      </c>
    </row>
    <row r="1705" spans="1:51" x14ac:dyDescent="0.2">
      <c r="A1705" s="7"/>
      <c r="B1705" s="7"/>
      <c r="C1705" s="7"/>
      <c r="D1705" s="7"/>
      <c r="E1705" s="36">
        <v>157</v>
      </c>
      <c r="F1705" s="36" t="s">
        <v>2166</v>
      </c>
      <c r="G1705" s="36">
        <v>613360</v>
      </c>
      <c r="H1705" s="36" t="s">
        <v>2097</v>
      </c>
      <c r="I1705" s="37">
        <v>7.0794600000000001</v>
      </c>
      <c r="J1705" s="7"/>
      <c r="K1705" s="7" t="str">
        <f>VLOOKUP($E1705,Mapping!$E$11:$I$96,3,0)</f>
        <v>Replacement</v>
      </c>
      <c r="L1705" s="7" t="str">
        <f>VLOOKUP($G1705,Mapping!$E$140:$K$2771,5,0)</f>
        <v>Labour</v>
      </c>
      <c r="M1705" s="7" t="str">
        <f>VLOOKUP($G1705,Mapping!$E$140:$K$2771,7,0)</f>
        <v>ENDirect</v>
      </c>
      <c r="N1705" s="7" t="str">
        <f>IFERROR(HLOOKUP(L1705,'Calc|Weightings'!$K$5:$M$5,1,0),"Excl")</f>
        <v>Labour</v>
      </c>
      <c r="O1705" s="7" t="str">
        <f>VLOOKUP(E1705,Mapping!$E$11:$I$96,5,0)</f>
        <v>SCS</v>
      </c>
      <c r="Q1705" s="7"/>
      <c r="R1705" s="7"/>
      <c r="S1705" s="7"/>
      <c r="T1705" s="7"/>
      <c r="U1705" s="7"/>
      <c r="V1705" s="7"/>
      <c r="AC1705" s="111">
        <v>168</v>
      </c>
      <c r="AD1705" s="111" t="s">
        <v>2176</v>
      </c>
      <c r="AE1705" s="111">
        <v>615395</v>
      </c>
      <c r="AF1705" s="111" t="s">
        <v>2196</v>
      </c>
      <c r="AG1705" s="112">
        <v>39.5715</v>
      </c>
      <c r="AI1705" s="7" t="str">
        <f>VLOOKUP($AC1705,Mapping!$E$11:$I$96,3,0)</f>
        <v>Augmentation</v>
      </c>
      <c r="AJ1705" s="7" t="str">
        <f>VLOOKUP($AE1705,Mapping!$E$140:$K$2771,5,0)</f>
        <v>Labour</v>
      </c>
      <c r="AK1705" s="7" t="str">
        <f>VLOOKUP($AE1705,Mapping!$E$140:$K$2771,7,0)</f>
        <v>ENDirect</v>
      </c>
      <c r="AL1705" s="7" t="str">
        <f>IFERROR(HLOOKUP(AJ1705,'Calc|Weightings'!$K$5:$M$5,1,0),"Excl")</f>
        <v>Labour</v>
      </c>
      <c r="AM1705" s="7" t="str">
        <f>VLOOKUP(AC1705,Mapping!$E$11:$I$96,5,0)</f>
        <v>SCS</v>
      </c>
      <c r="AO1705" s="134">
        <v>177</v>
      </c>
      <c r="AP1705" s="135" t="s">
        <v>2387</v>
      </c>
      <c r="AQ1705" s="135">
        <v>613602</v>
      </c>
      <c r="AR1705" s="135" t="s">
        <v>1494</v>
      </c>
      <c r="AS1705" s="136">
        <v>1.14168</v>
      </c>
      <c r="AU1705" s="7" t="str">
        <f>VLOOKUP($AO1705,Mapping!$E$11:$I$96,3,0)</f>
        <v>Augmentation</v>
      </c>
      <c r="AV1705" s="7" t="str">
        <f>VLOOKUP($AQ1705,Mapping!$E$140:$K$2771,5,0)</f>
        <v>Labour</v>
      </c>
      <c r="AW1705" s="7" t="str">
        <f>VLOOKUP($AQ1705,Mapping!$E$140:$K$2771,7,0)</f>
        <v>ENDirect</v>
      </c>
      <c r="AX1705" s="7" t="str">
        <f>IFERROR(HLOOKUP(AV1705,'Calc|Weightings'!$K$5:$M$5,1,0),"Excl")</f>
        <v>Labour</v>
      </c>
      <c r="AY1705" s="7" t="str">
        <f>VLOOKUP(AO1705,Mapping!$E$11:$I$96,5,0)</f>
        <v>SCS</v>
      </c>
    </row>
    <row r="1706" spans="1:51" x14ac:dyDescent="0.2">
      <c r="A1706" s="7"/>
      <c r="B1706" s="7"/>
      <c r="C1706" s="7"/>
      <c r="D1706" s="7"/>
      <c r="E1706" s="36">
        <v>157</v>
      </c>
      <c r="F1706" s="36" t="s">
        <v>2166</v>
      </c>
      <c r="G1706" s="36">
        <v>613370</v>
      </c>
      <c r="H1706" s="36" t="s">
        <v>1402</v>
      </c>
      <c r="I1706" s="37">
        <v>17.812819999999999</v>
      </c>
      <c r="J1706" s="7"/>
      <c r="K1706" s="7" t="str">
        <f>VLOOKUP($E1706,Mapping!$E$11:$I$96,3,0)</f>
        <v>Replacement</v>
      </c>
      <c r="L1706" s="7" t="str">
        <f>VLOOKUP($G1706,Mapping!$E$140:$K$2771,5,0)</f>
        <v>Labour</v>
      </c>
      <c r="M1706" s="7" t="str">
        <f>VLOOKUP($G1706,Mapping!$E$140:$K$2771,7,0)</f>
        <v>ENDirect</v>
      </c>
      <c r="N1706" s="7" t="str">
        <f>IFERROR(HLOOKUP(L1706,'Calc|Weightings'!$K$5:$M$5,1,0),"Excl")</f>
        <v>Labour</v>
      </c>
      <c r="O1706" s="7" t="str">
        <f>VLOOKUP(E1706,Mapping!$E$11:$I$96,5,0)</f>
        <v>SCS</v>
      </c>
      <c r="Q1706" s="7"/>
      <c r="R1706" s="7"/>
      <c r="S1706" s="7"/>
      <c r="T1706" s="7"/>
      <c r="U1706" s="7"/>
      <c r="V1706" s="7"/>
      <c r="AC1706" s="111">
        <v>168</v>
      </c>
      <c r="AD1706" s="111" t="s">
        <v>2176</v>
      </c>
      <c r="AE1706" s="111">
        <v>634001</v>
      </c>
      <c r="AF1706" s="111" t="s">
        <v>2110</v>
      </c>
      <c r="AG1706" s="112">
        <v>104.07026</v>
      </c>
      <c r="AI1706" s="7" t="str">
        <f>VLOOKUP($AC1706,Mapping!$E$11:$I$96,3,0)</f>
        <v>Augmentation</v>
      </c>
      <c r="AJ1706" s="7" t="str">
        <f>VLOOKUP($AE1706,Mapping!$E$140:$K$2771,5,0)</f>
        <v>Local OH</v>
      </c>
      <c r="AK1706" s="7" t="str">
        <f>VLOOKUP($AE1706,Mapping!$E$140:$K$2771,7,0)</f>
        <v>OH</v>
      </c>
      <c r="AL1706" s="7" t="str">
        <f>IFERROR(HLOOKUP(AJ1706,'Calc|Weightings'!$K$5:$M$5,1,0),"Excl")</f>
        <v>Excl</v>
      </c>
      <c r="AM1706" s="7" t="str">
        <f>VLOOKUP(AC1706,Mapping!$E$11:$I$96,5,0)</f>
        <v>SCS</v>
      </c>
      <c r="AO1706" s="134">
        <v>177</v>
      </c>
      <c r="AP1706" s="135" t="s">
        <v>2387</v>
      </c>
      <c r="AQ1706" s="135">
        <v>613630</v>
      </c>
      <c r="AR1706" s="135" t="s">
        <v>1498</v>
      </c>
      <c r="AS1706" s="136">
        <v>89.850939999999994</v>
      </c>
      <c r="AU1706" s="7" t="str">
        <f>VLOOKUP($AO1706,Mapping!$E$11:$I$96,3,0)</f>
        <v>Augmentation</v>
      </c>
      <c r="AV1706" s="7" t="str">
        <f>VLOOKUP($AQ1706,Mapping!$E$140:$K$2771,5,0)</f>
        <v>Labour</v>
      </c>
      <c r="AW1706" s="7" t="str">
        <f>VLOOKUP($AQ1706,Mapping!$E$140:$K$2771,7,0)</f>
        <v>ENDirect</v>
      </c>
      <c r="AX1706" s="7" t="str">
        <f>IFERROR(HLOOKUP(AV1706,'Calc|Weightings'!$K$5:$M$5,1,0),"Excl")</f>
        <v>Labour</v>
      </c>
      <c r="AY1706" s="7" t="str">
        <f>VLOOKUP(AO1706,Mapping!$E$11:$I$96,5,0)</f>
        <v>SCS</v>
      </c>
    </row>
    <row r="1707" spans="1:51" x14ac:dyDescent="0.2">
      <c r="A1707" s="7"/>
      <c r="B1707" s="7"/>
      <c r="C1707" s="7"/>
      <c r="D1707" s="7"/>
      <c r="E1707" s="36">
        <v>157</v>
      </c>
      <c r="F1707" s="36" t="s">
        <v>2166</v>
      </c>
      <c r="G1707" s="36">
        <v>613428</v>
      </c>
      <c r="H1707" s="36" t="s">
        <v>1430</v>
      </c>
      <c r="I1707" s="37">
        <v>2.0230399999999999</v>
      </c>
      <c r="J1707" s="7"/>
      <c r="K1707" s="7" t="str">
        <f>VLOOKUP($E1707,Mapping!$E$11:$I$96,3,0)</f>
        <v>Replacement</v>
      </c>
      <c r="L1707" s="7" t="str">
        <f>VLOOKUP($G1707,Mapping!$E$140:$K$2771,5,0)</f>
        <v>Labour</v>
      </c>
      <c r="M1707" s="7" t="str">
        <f>VLOOKUP($G1707,Mapping!$E$140:$K$2771,7,0)</f>
        <v>ENDirect</v>
      </c>
      <c r="N1707" s="7" t="str">
        <f>IFERROR(HLOOKUP(L1707,'Calc|Weightings'!$K$5:$M$5,1,0),"Excl")</f>
        <v>Labour</v>
      </c>
      <c r="O1707" s="7" t="str">
        <f>VLOOKUP(E1707,Mapping!$E$11:$I$96,5,0)</f>
        <v>SCS</v>
      </c>
      <c r="Q1707" s="7"/>
      <c r="R1707" s="7"/>
      <c r="S1707" s="7"/>
      <c r="T1707" s="7"/>
      <c r="U1707" s="7"/>
      <c r="V1707" s="7"/>
      <c r="AC1707" s="111">
        <v>168</v>
      </c>
      <c r="AD1707" s="111" t="s">
        <v>2176</v>
      </c>
      <c r="AE1707" s="111">
        <v>635001</v>
      </c>
      <c r="AF1707" s="111" t="s">
        <v>1929</v>
      </c>
      <c r="AG1707" s="112">
        <v>65.080209999999994</v>
      </c>
      <c r="AI1707" s="7" t="str">
        <f>VLOOKUP($AC1707,Mapping!$E$11:$I$96,3,0)</f>
        <v>Augmentation</v>
      </c>
      <c r="AJ1707" s="7" t="str">
        <f>VLOOKUP($AE1707,Mapping!$E$140:$K$2771,5,0)</f>
        <v>PNS MG</v>
      </c>
      <c r="AK1707" s="7" t="str">
        <f>VLOOKUP($AE1707,Mapping!$E$140:$K$2771,7,0)</f>
        <v>ENDirect</v>
      </c>
      <c r="AL1707" s="7" t="str">
        <f>IFERROR(HLOOKUP(AJ1707,'Calc|Weightings'!$K$5:$M$5,1,0),"Excl")</f>
        <v>Excl</v>
      </c>
      <c r="AM1707" s="7" t="str">
        <f>VLOOKUP(AC1707,Mapping!$E$11:$I$96,5,0)</f>
        <v>SCS</v>
      </c>
      <c r="AO1707" s="134">
        <v>177</v>
      </c>
      <c r="AP1707" s="135" t="s">
        <v>2387</v>
      </c>
      <c r="AQ1707" s="135">
        <v>613680</v>
      </c>
      <c r="AR1707" s="135" t="s">
        <v>2107</v>
      </c>
      <c r="AS1707" s="136">
        <v>101.34857</v>
      </c>
      <c r="AU1707" s="7" t="str">
        <f>VLOOKUP($AO1707,Mapping!$E$11:$I$96,3,0)</f>
        <v>Augmentation</v>
      </c>
      <c r="AV1707" s="7" t="str">
        <f>VLOOKUP($AQ1707,Mapping!$E$140:$K$2771,5,0)</f>
        <v>Labour</v>
      </c>
      <c r="AW1707" s="7" t="str">
        <f>VLOOKUP($AQ1707,Mapping!$E$140:$K$2771,7,0)</f>
        <v>ENDirect</v>
      </c>
      <c r="AX1707" s="7" t="str">
        <f>IFERROR(HLOOKUP(AV1707,'Calc|Weightings'!$K$5:$M$5,1,0),"Excl")</f>
        <v>Labour</v>
      </c>
      <c r="AY1707" s="7" t="str">
        <f>VLOOKUP(AO1707,Mapping!$E$11:$I$96,5,0)</f>
        <v>SCS</v>
      </c>
    </row>
    <row r="1708" spans="1:51" x14ac:dyDescent="0.2">
      <c r="A1708" s="7"/>
      <c r="B1708" s="7"/>
      <c r="C1708" s="7"/>
      <c r="D1708" s="7"/>
      <c r="E1708" s="36">
        <v>157</v>
      </c>
      <c r="F1708" s="36" t="s">
        <v>2166</v>
      </c>
      <c r="G1708" s="36">
        <v>613566</v>
      </c>
      <c r="H1708" s="36" t="s">
        <v>1482</v>
      </c>
      <c r="I1708" s="37">
        <v>0.30427999999999999</v>
      </c>
      <c r="J1708" s="7"/>
      <c r="K1708" s="7" t="str">
        <f>VLOOKUP($E1708,Mapping!$E$11:$I$96,3,0)</f>
        <v>Replacement</v>
      </c>
      <c r="L1708" s="7" t="str">
        <f>VLOOKUP($G1708,Mapping!$E$140:$K$2771,5,0)</f>
        <v>Labour</v>
      </c>
      <c r="M1708" s="7" t="str">
        <f>VLOOKUP($G1708,Mapping!$E$140:$K$2771,7,0)</f>
        <v>ENDirect</v>
      </c>
      <c r="N1708" s="7" t="str">
        <f>IFERROR(HLOOKUP(L1708,'Calc|Weightings'!$K$5:$M$5,1,0),"Excl")</f>
        <v>Labour</v>
      </c>
      <c r="O1708" s="7" t="str">
        <f>VLOOKUP(E1708,Mapping!$E$11:$I$96,5,0)</f>
        <v>SCS</v>
      </c>
      <c r="Q1708" s="7"/>
      <c r="R1708" s="7"/>
      <c r="S1708" s="7"/>
      <c r="T1708" s="7"/>
      <c r="U1708" s="7"/>
      <c r="V1708" s="7"/>
      <c r="AC1708" s="111">
        <v>168</v>
      </c>
      <c r="AD1708" s="111" t="s">
        <v>2176</v>
      </c>
      <c r="AE1708" s="111">
        <v>636001</v>
      </c>
      <c r="AF1708" s="111" t="s">
        <v>2111</v>
      </c>
      <c r="AG1708" s="112">
        <v>68.651780000000002</v>
      </c>
      <c r="AI1708" s="7" t="str">
        <f>VLOOKUP($AC1708,Mapping!$E$11:$I$96,3,0)</f>
        <v>Augmentation</v>
      </c>
      <c r="AJ1708" s="7" t="str">
        <f>VLOOKUP($AE1708,Mapping!$E$140:$K$2771,5,0)</f>
        <v>System Control OH</v>
      </c>
      <c r="AK1708" s="7" t="str">
        <f>VLOOKUP($AE1708,Mapping!$E$140:$K$2771,7,0)</f>
        <v>OH</v>
      </c>
      <c r="AL1708" s="7" t="str">
        <f>IFERROR(HLOOKUP(AJ1708,'Calc|Weightings'!$K$5:$M$5,1,0),"Excl")</f>
        <v>Excl</v>
      </c>
      <c r="AM1708" s="7" t="str">
        <f>VLOOKUP(AC1708,Mapping!$E$11:$I$96,5,0)</f>
        <v>SCS</v>
      </c>
      <c r="AO1708" s="134">
        <v>177</v>
      </c>
      <c r="AP1708" s="135" t="s">
        <v>2387</v>
      </c>
      <c r="AQ1708" s="135">
        <v>615370</v>
      </c>
      <c r="AR1708" s="135" t="s">
        <v>2422</v>
      </c>
      <c r="AS1708" s="136">
        <v>1.37853</v>
      </c>
      <c r="AU1708" s="7" t="str">
        <f>VLOOKUP($AO1708,Mapping!$E$11:$I$96,3,0)</f>
        <v>Augmentation</v>
      </c>
      <c r="AV1708" s="7" t="str">
        <f>VLOOKUP($AQ1708,Mapping!$E$140:$K$2771,5,0)</f>
        <v>Contracts</v>
      </c>
      <c r="AW1708" s="7" t="str">
        <f>VLOOKUP($AQ1708,Mapping!$E$140:$K$2771,7,0)</f>
        <v>ENDirect</v>
      </c>
      <c r="AX1708" s="7" t="str">
        <f>IFERROR(HLOOKUP(AV1708,'Calc|Weightings'!$K$5:$M$5,1,0),"Excl")</f>
        <v>Contracts</v>
      </c>
      <c r="AY1708" s="7" t="str">
        <f>VLOOKUP(AO1708,Mapping!$E$11:$I$96,5,0)</f>
        <v>SCS</v>
      </c>
    </row>
    <row r="1709" spans="1:51" x14ac:dyDescent="0.2">
      <c r="A1709" s="7"/>
      <c r="B1709" s="7"/>
      <c r="C1709" s="7"/>
      <c r="D1709" s="7"/>
      <c r="E1709" s="36">
        <v>157</v>
      </c>
      <c r="F1709" s="36" t="s">
        <v>2166</v>
      </c>
      <c r="G1709" s="36">
        <v>613576</v>
      </c>
      <c r="H1709" s="36" t="s">
        <v>1490</v>
      </c>
      <c r="I1709" s="37">
        <v>12.792999999999999</v>
      </c>
      <c r="J1709" s="7"/>
      <c r="K1709" s="7" t="str">
        <f>VLOOKUP($E1709,Mapping!$E$11:$I$96,3,0)</f>
        <v>Replacement</v>
      </c>
      <c r="L1709" s="7" t="str">
        <f>VLOOKUP($G1709,Mapping!$E$140:$K$2771,5,0)</f>
        <v>Labour</v>
      </c>
      <c r="M1709" s="7" t="str">
        <f>VLOOKUP($G1709,Mapping!$E$140:$K$2771,7,0)</f>
        <v>ENDirect</v>
      </c>
      <c r="N1709" s="7" t="str">
        <f>IFERROR(HLOOKUP(L1709,'Calc|Weightings'!$K$5:$M$5,1,0),"Excl")</f>
        <v>Labour</v>
      </c>
      <c r="O1709" s="7" t="str">
        <f>VLOOKUP(E1709,Mapping!$E$11:$I$96,5,0)</f>
        <v>SCS</v>
      </c>
      <c r="Q1709" s="7"/>
      <c r="R1709" s="7"/>
      <c r="S1709" s="7"/>
      <c r="T1709" s="7"/>
      <c r="U1709" s="7"/>
      <c r="V1709" s="7"/>
      <c r="AC1709" s="111">
        <v>168</v>
      </c>
      <c r="AD1709" s="111" t="s">
        <v>2176</v>
      </c>
      <c r="AE1709" s="111">
        <v>639000</v>
      </c>
      <c r="AF1709" s="111" t="s">
        <v>2112</v>
      </c>
      <c r="AG1709" s="112">
        <v>62.996299999999998</v>
      </c>
      <c r="AI1709" s="7" t="str">
        <f>VLOOKUP($AC1709,Mapping!$E$11:$I$96,3,0)</f>
        <v>Augmentation</v>
      </c>
      <c r="AJ1709" s="7" t="str">
        <f>VLOOKUP($AE1709,Mapping!$E$140:$K$2771,5,0)</f>
        <v>PNS Corporate OH</v>
      </c>
      <c r="AK1709" s="7" t="str">
        <f>VLOOKUP($AE1709,Mapping!$E$140:$K$2771,7,0)</f>
        <v>OH</v>
      </c>
      <c r="AL1709" s="7" t="str">
        <f>IFERROR(HLOOKUP(AJ1709,'Calc|Weightings'!$K$5:$M$5,1,0),"Excl")</f>
        <v>Excl</v>
      </c>
      <c r="AM1709" s="7" t="str">
        <f>VLOOKUP(AC1709,Mapping!$E$11:$I$96,5,0)</f>
        <v>SCS</v>
      </c>
      <c r="AO1709" s="134">
        <v>177</v>
      </c>
      <c r="AP1709" s="135" t="s">
        <v>2387</v>
      </c>
      <c r="AQ1709" s="135">
        <v>615395</v>
      </c>
      <c r="AR1709" s="135" t="s">
        <v>2196</v>
      </c>
      <c r="AS1709" s="136">
        <v>2.03626</v>
      </c>
      <c r="AU1709" s="7" t="str">
        <f>VLOOKUP($AO1709,Mapping!$E$11:$I$96,3,0)</f>
        <v>Augmentation</v>
      </c>
      <c r="AV1709" s="7" t="str">
        <f>VLOOKUP($AQ1709,Mapping!$E$140:$K$2771,5,0)</f>
        <v>Labour</v>
      </c>
      <c r="AW1709" s="7" t="str">
        <f>VLOOKUP($AQ1709,Mapping!$E$140:$K$2771,7,0)</f>
        <v>ENDirect</v>
      </c>
      <c r="AX1709" s="7" t="str">
        <f>IFERROR(HLOOKUP(AV1709,'Calc|Weightings'!$K$5:$M$5,1,0),"Excl")</f>
        <v>Labour</v>
      </c>
      <c r="AY1709" s="7" t="str">
        <f>VLOOKUP(AO1709,Mapping!$E$11:$I$96,5,0)</f>
        <v>SCS</v>
      </c>
    </row>
    <row r="1710" spans="1:51" x14ac:dyDescent="0.2">
      <c r="A1710" s="7"/>
      <c r="B1710" s="7"/>
      <c r="C1710" s="7"/>
      <c r="D1710" s="7"/>
      <c r="E1710" s="36">
        <v>157</v>
      </c>
      <c r="F1710" s="36" t="s">
        <v>2166</v>
      </c>
      <c r="G1710" s="36">
        <v>613602</v>
      </c>
      <c r="H1710" s="36" t="s">
        <v>1494</v>
      </c>
      <c r="I1710" s="37">
        <v>14.8864</v>
      </c>
      <c r="J1710" s="7"/>
      <c r="K1710" s="7" t="str">
        <f>VLOOKUP($E1710,Mapping!$E$11:$I$96,3,0)</f>
        <v>Replacement</v>
      </c>
      <c r="L1710" s="7" t="str">
        <f>VLOOKUP($G1710,Mapping!$E$140:$K$2771,5,0)</f>
        <v>Labour</v>
      </c>
      <c r="M1710" s="7" t="str">
        <f>VLOOKUP($G1710,Mapping!$E$140:$K$2771,7,0)</f>
        <v>ENDirect</v>
      </c>
      <c r="N1710" s="7" t="str">
        <f>IFERROR(HLOOKUP(L1710,'Calc|Weightings'!$K$5:$M$5,1,0),"Excl")</f>
        <v>Labour</v>
      </c>
      <c r="O1710" s="7" t="str">
        <f>VLOOKUP(E1710,Mapping!$E$11:$I$96,5,0)</f>
        <v>SCS</v>
      </c>
      <c r="Q1710" s="7"/>
      <c r="R1710" s="7"/>
      <c r="S1710" s="7"/>
      <c r="T1710" s="7"/>
      <c r="U1710" s="7"/>
      <c r="V1710" s="7"/>
      <c r="AC1710" s="111">
        <v>168</v>
      </c>
      <c r="AD1710" s="111" t="s">
        <v>2176</v>
      </c>
      <c r="AE1710" s="111">
        <v>639050</v>
      </c>
      <c r="AF1710" s="111" t="s">
        <v>2113</v>
      </c>
      <c r="AG1710" s="112">
        <v>9.0674899999999994</v>
      </c>
      <c r="AI1710" s="7" t="str">
        <f>VLOOKUP($AC1710,Mapping!$E$11:$I$96,3,0)</f>
        <v>Augmentation</v>
      </c>
      <c r="AJ1710" s="7" t="str">
        <f>VLOOKUP($AE1710,Mapping!$E$140:$K$2771,5,0)</f>
        <v>PNS Fleet &amp; Property OH</v>
      </c>
      <c r="AK1710" s="7" t="str">
        <f>VLOOKUP($AE1710,Mapping!$E$140:$K$2771,7,0)</f>
        <v>OH</v>
      </c>
      <c r="AL1710" s="7" t="str">
        <f>IFERROR(HLOOKUP(AJ1710,'Calc|Weightings'!$K$5:$M$5,1,0),"Excl")</f>
        <v>Excl</v>
      </c>
      <c r="AM1710" s="7" t="str">
        <f>VLOOKUP(AC1710,Mapping!$E$11:$I$96,5,0)</f>
        <v>SCS</v>
      </c>
      <c r="AO1710" s="134">
        <v>177</v>
      </c>
      <c r="AP1710" s="135" t="s">
        <v>2387</v>
      </c>
      <c r="AQ1710" s="135">
        <v>634001</v>
      </c>
      <c r="AR1710" s="135" t="s">
        <v>2110</v>
      </c>
      <c r="AS1710" s="136">
        <v>689.24788000000001</v>
      </c>
      <c r="AU1710" s="7" t="str">
        <f>VLOOKUP($AO1710,Mapping!$E$11:$I$96,3,0)</f>
        <v>Augmentation</v>
      </c>
      <c r="AV1710" s="7" t="str">
        <f>VLOOKUP($AQ1710,Mapping!$E$140:$K$2771,5,0)</f>
        <v>Local OH</v>
      </c>
      <c r="AW1710" s="7" t="str">
        <f>VLOOKUP($AQ1710,Mapping!$E$140:$K$2771,7,0)</f>
        <v>OH</v>
      </c>
      <c r="AX1710" s="7" t="str">
        <f>IFERROR(HLOOKUP(AV1710,'Calc|Weightings'!$K$5:$M$5,1,0),"Excl")</f>
        <v>Excl</v>
      </c>
      <c r="AY1710" s="7" t="str">
        <f>VLOOKUP(AO1710,Mapping!$E$11:$I$96,5,0)</f>
        <v>SCS</v>
      </c>
    </row>
    <row r="1711" spans="1:51" x14ac:dyDescent="0.2">
      <c r="A1711" s="7"/>
      <c r="B1711" s="7"/>
      <c r="C1711" s="7"/>
      <c r="D1711" s="7"/>
      <c r="E1711" s="36">
        <v>157</v>
      </c>
      <c r="F1711" s="36" t="s">
        <v>2166</v>
      </c>
      <c r="G1711" s="36">
        <v>613630</v>
      </c>
      <c r="H1711" s="36" t="s">
        <v>1498</v>
      </c>
      <c r="I1711" s="37">
        <v>0.63404000000000005</v>
      </c>
      <c r="J1711" s="7"/>
      <c r="K1711" s="7" t="str">
        <f>VLOOKUP($E1711,Mapping!$E$11:$I$96,3,0)</f>
        <v>Replacement</v>
      </c>
      <c r="L1711" s="7" t="str">
        <f>VLOOKUP($G1711,Mapping!$E$140:$K$2771,5,0)</f>
        <v>Labour</v>
      </c>
      <c r="M1711" s="7" t="str">
        <f>VLOOKUP($G1711,Mapping!$E$140:$K$2771,7,0)</f>
        <v>ENDirect</v>
      </c>
      <c r="N1711" s="7" t="str">
        <f>IFERROR(HLOOKUP(L1711,'Calc|Weightings'!$K$5:$M$5,1,0),"Excl")</f>
        <v>Labour</v>
      </c>
      <c r="O1711" s="7" t="str">
        <f>VLOOKUP(E1711,Mapping!$E$11:$I$96,5,0)</f>
        <v>SCS</v>
      </c>
      <c r="Q1711" s="7"/>
      <c r="R1711" s="7"/>
      <c r="S1711" s="7"/>
      <c r="T1711" s="7"/>
      <c r="U1711" s="7"/>
      <c r="V1711" s="7"/>
      <c r="AC1711" s="111">
        <v>172</v>
      </c>
      <c r="AD1711" s="111" t="s">
        <v>2177</v>
      </c>
      <c r="AE1711" s="111">
        <v>520100</v>
      </c>
      <c r="AF1711" s="111" t="s">
        <v>2072</v>
      </c>
      <c r="AG1711" s="112">
        <v>7.1168300000000002</v>
      </c>
      <c r="AI1711" s="7" t="str">
        <f>VLOOKUP($AC1711,Mapping!$E$11:$I$96,3,0)</f>
        <v>Replacement</v>
      </c>
      <c r="AJ1711" s="7" t="str">
        <f>VLOOKUP($AE1711,Mapping!$E$140:$K$2771,5,0)</f>
        <v>Materials</v>
      </c>
      <c r="AK1711" s="7" t="str">
        <f>VLOOKUP($AE1711,Mapping!$E$140:$K$2771,7,0)</f>
        <v>ENDirect</v>
      </c>
      <c r="AL1711" s="7" t="str">
        <f>IFERROR(HLOOKUP(AJ1711,'Calc|Weightings'!$K$5:$M$5,1,0),"Excl")</f>
        <v>Materials</v>
      </c>
      <c r="AM1711" s="7" t="str">
        <f>VLOOKUP(AC1711,Mapping!$E$11:$I$96,5,0)</f>
        <v>SCS</v>
      </c>
      <c r="AO1711" s="134">
        <v>177</v>
      </c>
      <c r="AP1711" s="135" t="s">
        <v>2387</v>
      </c>
      <c r="AQ1711" s="135">
        <v>635001</v>
      </c>
      <c r="AR1711" s="135" t="s">
        <v>1929</v>
      </c>
      <c r="AS1711" s="136">
        <v>606.50563</v>
      </c>
      <c r="AU1711" s="7" t="str">
        <f>VLOOKUP($AO1711,Mapping!$E$11:$I$96,3,0)</f>
        <v>Augmentation</v>
      </c>
      <c r="AV1711" s="7" t="str">
        <f>VLOOKUP($AQ1711,Mapping!$E$140:$K$2771,5,0)</f>
        <v>PNS MG</v>
      </c>
      <c r="AW1711" s="7" t="str">
        <f>VLOOKUP($AQ1711,Mapping!$E$140:$K$2771,7,0)</f>
        <v>ENDirect</v>
      </c>
      <c r="AX1711" s="7" t="str">
        <f>IFERROR(HLOOKUP(AV1711,'Calc|Weightings'!$K$5:$M$5,1,0),"Excl")</f>
        <v>Excl</v>
      </c>
      <c r="AY1711" s="7" t="str">
        <f>VLOOKUP(AO1711,Mapping!$E$11:$I$96,5,0)</f>
        <v>SCS</v>
      </c>
    </row>
    <row r="1712" spans="1:51" x14ac:dyDescent="0.2">
      <c r="A1712" s="7"/>
      <c r="B1712" s="7"/>
      <c r="C1712" s="7"/>
      <c r="D1712" s="7"/>
      <c r="E1712" s="36">
        <v>157</v>
      </c>
      <c r="F1712" s="36" t="s">
        <v>2166</v>
      </c>
      <c r="G1712" s="36">
        <v>613680</v>
      </c>
      <c r="H1712" s="36" t="s">
        <v>2107</v>
      </c>
      <c r="I1712" s="37">
        <v>37.983139999999999</v>
      </c>
      <c r="J1712" s="7"/>
      <c r="K1712" s="7" t="str">
        <f>VLOOKUP($E1712,Mapping!$E$11:$I$96,3,0)</f>
        <v>Replacement</v>
      </c>
      <c r="L1712" s="7" t="str">
        <f>VLOOKUP($G1712,Mapping!$E$140:$K$2771,5,0)</f>
        <v>Labour</v>
      </c>
      <c r="M1712" s="7" t="str">
        <f>VLOOKUP($G1712,Mapping!$E$140:$K$2771,7,0)</f>
        <v>ENDirect</v>
      </c>
      <c r="N1712" s="7" t="str">
        <f>IFERROR(HLOOKUP(L1712,'Calc|Weightings'!$K$5:$M$5,1,0),"Excl")</f>
        <v>Labour</v>
      </c>
      <c r="O1712" s="7" t="str">
        <f>VLOOKUP(E1712,Mapping!$E$11:$I$96,5,0)</f>
        <v>SCS</v>
      </c>
      <c r="Q1712" s="7"/>
      <c r="R1712" s="7"/>
      <c r="S1712" s="7"/>
      <c r="T1712" s="7"/>
      <c r="U1712" s="7"/>
      <c r="V1712" s="7"/>
      <c r="AC1712" s="111">
        <v>172</v>
      </c>
      <c r="AD1712" s="111" t="s">
        <v>2177</v>
      </c>
      <c r="AE1712" s="111">
        <v>531467</v>
      </c>
      <c r="AF1712" s="111" t="s">
        <v>259</v>
      </c>
      <c r="AG1712" s="112">
        <v>4.5922599999999996</v>
      </c>
      <c r="AI1712" s="7" t="str">
        <f>VLOOKUP($AC1712,Mapping!$E$11:$I$96,3,0)</f>
        <v>Replacement</v>
      </c>
      <c r="AJ1712" s="7" t="str">
        <f>VLOOKUP($AE1712,Mapping!$E$140:$K$2771,5,0)</f>
        <v>Contracts</v>
      </c>
      <c r="AK1712" s="7" t="str">
        <f>VLOOKUP($AE1712,Mapping!$E$140:$K$2771,7,0)</f>
        <v>ENDirect</v>
      </c>
      <c r="AL1712" s="7" t="str">
        <f>IFERROR(HLOOKUP(AJ1712,'Calc|Weightings'!$K$5:$M$5,1,0),"Excl")</f>
        <v>Contracts</v>
      </c>
      <c r="AM1712" s="7" t="str">
        <f>VLOOKUP(AC1712,Mapping!$E$11:$I$96,5,0)</f>
        <v>SCS</v>
      </c>
      <c r="AO1712" s="134">
        <v>177</v>
      </c>
      <c r="AP1712" s="135" t="s">
        <v>2387</v>
      </c>
      <c r="AQ1712" s="135">
        <v>636001</v>
      </c>
      <c r="AR1712" s="135" t="s">
        <v>2111</v>
      </c>
      <c r="AS1712" s="136">
        <v>476.97566</v>
      </c>
      <c r="AU1712" s="7" t="str">
        <f>VLOOKUP($AO1712,Mapping!$E$11:$I$96,3,0)</f>
        <v>Augmentation</v>
      </c>
      <c r="AV1712" s="7" t="str">
        <f>VLOOKUP($AQ1712,Mapping!$E$140:$K$2771,5,0)</f>
        <v>System Control OH</v>
      </c>
      <c r="AW1712" s="7" t="str">
        <f>VLOOKUP($AQ1712,Mapping!$E$140:$K$2771,7,0)</f>
        <v>OH</v>
      </c>
      <c r="AX1712" s="7" t="str">
        <f>IFERROR(HLOOKUP(AV1712,'Calc|Weightings'!$K$5:$M$5,1,0),"Excl")</f>
        <v>Excl</v>
      </c>
      <c r="AY1712" s="7" t="str">
        <f>VLOOKUP(AO1712,Mapping!$E$11:$I$96,5,0)</f>
        <v>SCS</v>
      </c>
    </row>
    <row r="1713" spans="1:51" x14ac:dyDescent="0.2">
      <c r="A1713" s="7"/>
      <c r="B1713" s="7"/>
      <c r="C1713" s="7"/>
      <c r="D1713" s="7"/>
      <c r="E1713" s="36">
        <v>157</v>
      </c>
      <c r="F1713" s="36" t="s">
        <v>2166</v>
      </c>
      <c r="G1713" s="36">
        <v>615375</v>
      </c>
      <c r="H1713" s="36" t="s">
        <v>1717</v>
      </c>
      <c r="I1713" s="37">
        <v>1.7532000000000001</v>
      </c>
      <c r="J1713" s="7"/>
      <c r="K1713" s="7" t="str">
        <f>VLOOKUP($E1713,Mapping!$E$11:$I$96,3,0)</f>
        <v>Replacement</v>
      </c>
      <c r="L1713" s="7" t="str">
        <f>VLOOKUP($G1713,Mapping!$E$140:$K$2771,5,0)</f>
        <v>Labour</v>
      </c>
      <c r="M1713" s="7" t="str">
        <f>VLOOKUP($G1713,Mapping!$E$140:$K$2771,7,0)</f>
        <v>ENDirect</v>
      </c>
      <c r="N1713" s="7" t="str">
        <f>IFERROR(HLOOKUP(L1713,'Calc|Weightings'!$K$5:$M$5,1,0),"Excl")</f>
        <v>Labour</v>
      </c>
      <c r="O1713" s="7" t="str">
        <f>VLOOKUP(E1713,Mapping!$E$11:$I$96,5,0)</f>
        <v>SCS</v>
      </c>
      <c r="Q1713" s="7"/>
      <c r="R1713" s="7"/>
      <c r="S1713" s="7"/>
      <c r="T1713" s="7"/>
      <c r="U1713" s="7"/>
      <c r="V1713" s="7"/>
      <c r="AC1713" s="111">
        <v>172</v>
      </c>
      <c r="AD1713" s="111" t="s">
        <v>2177</v>
      </c>
      <c r="AE1713" s="111">
        <v>611900</v>
      </c>
      <c r="AF1713" s="111" t="s">
        <v>2079</v>
      </c>
      <c r="AG1713" s="112">
        <v>0.41971000000000003</v>
      </c>
      <c r="AI1713" s="7" t="str">
        <f>VLOOKUP($AC1713,Mapping!$E$11:$I$96,3,0)</f>
        <v>Replacement</v>
      </c>
      <c r="AJ1713" s="7" t="str">
        <f>VLOOKUP($AE1713,Mapping!$E$140:$K$2771,5,0)</f>
        <v>Contracts</v>
      </c>
      <c r="AK1713" s="7" t="str">
        <f>VLOOKUP($AE1713,Mapping!$E$140:$K$2771,7,0)</f>
        <v>ENDirect</v>
      </c>
      <c r="AL1713" s="7" t="str">
        <f>IFERROR(HLOOKUP(AJ1713,'Calc|Weightings'!$K$5:$M$5,1,0),"Excl")</f>
        <v>Contracts</v>
      </c>
      <c r="AM1713" s="7" t="str">
        <f>VLOOKUP(AC1713,Mapping!$E$11:$I$96,5,0)</f>
        <v>SCS</v>
      </c>
      <c r="AO1713" s="134">
        <v>177</v>
      </c>
      <c r="AP1713" s="135" t="s">
        <v>2387</v>
      </c>
      <c r="AQ1713" s="135">
        <v>639000</v>
      </c>
      <c r="AR1713" s="135" t="s">
        <v>2112</v>
      </c>
      <c r="AS1713" s="136">
        <v>475.25000999999997</v>
      </c>
      <c r="AU1713" s="7" t="str">
        <f>VLOOKUP($AO1713,Mapping!$E$11:$I$96,3,0)</f>
        <v>Augmentation</v>
      </c>
      <c r="AV1713" s="7" t="str">
        <f>VLOOKUP($AQ1713,Mapping!$E$140:$K$2771,5,0)</f>
        <v>PNS Corporate OH</v>
      </c>
      <c r="AW1713" s="7" t="str">
        <f>VLOOKUP($AQ1713,Mapping!$E$140:$K$2771,7,0)</f>
        <v>OH</v>
      </c>
      <c r="AX1713" s="7" t="str">
        <f>IFERROR(HLOOKUP(AV1713,'Calc|Weightings'!$K$5:$M$5,1,0),"Excl")</f>
        <v>Excl</v>
      </c>
      <c r="AY1713" s="7" t="str">
        <f>VLOOKUP(AO1713,Mapping!$E$11:$I$96,5,0)</f>
        <v>SCS</v>
      </c>
    </row>
    <row r="1714" spans="1:51" x14ac:dyDescent="0.2">
      <c r="A1714" s="7"/>
      <c r="B1714" s="7"/>
      <c r="C1714" s="7"/>
      <c r="D1714" s="7"/>
      <c r="E1714" s="36">
        <v>157</v>
      </c>
      <c r="F1714" s="36" t="s">
        <v>2166</v>
      </c>
      <c r="G1714" s="36">
        <v>615395</v>
      </c>
      <c r="H1714" s="36" t="s">
        <v>2196</v>
      </c>
      <c r="I1714" s="37">
        <v>1.4238</v>
      </c>
      <c r="J1714" s="7"/>
      <c r="K1714" s="7" t="str">
        <f>VLOOKUP($E1714,Mapping!$E$11:$I$96,3,0)</f>
        <v>Replacement</v>
      </c>
      <c r="L1714" s="7" t="str">
        <f>VLOOKUP($G1714,Mapping!$E$140:$K$2771,5,0)</f>
        <v>Labour</v>
      </c>
      <c r="M1714" s="7" t="str">
        <f>VLOOKUP($G1714,Mapping!$E$140:$K$2771,7,0)</f>
        <v>ENDirect</v>
      </c>
      <c r="N1714" s="7" t="str">
        <f>IFERROR(HLOOKUP(L1714,'Calc|Weightings'!$K$5:$M$5,1,0),"Excl")</f>
        <v>Labour</v>
      </c>
      <c r="O1714" s="7" t="str">
        <f>VLOOKUP(E1714,Mapping!$E$11:$I$96,5,0)</f>
        <v>SCS</v>
      </c>
      <c r="Q1714" s="7"/>
      <c r="R1714" s="7"/>
      <c r="S1714" s="7"/>
      <c r="T1714" s="7"/>
      <c r="U1714" s="7"/>
      <c r="V1714" s="7"/>
      <c r="AC1714" s="111">
        <v>172</v>
      </c>
      <c r="AD1714" s="111" t="s">
        <v>2177</v>
      </c>
      <c r="AE1714" s="111">
        <v>611901</v>
      </c>
      <c r="AF1714" s="111" t="s">
        <v>2080</v>
      </c>
      <c r="AG1714" s="112">
        <v>7.28E-3</v>
      </c>
      <c r="AI1714" s="7" t="str">
        <f>VLOOKUP($AC1714,Mapping!$E$11:$I$96,3,0)</f>
        <v>Replacement</v>
      </c>
      <c r="AJ1714" s="7" t="str">
        <f>VLOOKUP($AE1714,Mapping!$E$140:$K$2771,5,0)</f>
        <v>Contracts</v>
      </c>
      <c r="AK1714" s="7" t="str">
        <f>VLOOKUP($AE1714,Mapping!$E$140:$K$2771,7,0)</f>
        <v>ENDirect</v>
      </c>
      <c r="AL1714" s="7" t="str">
        <f>IFERROR(HLOOKUP(AJ1714,'Calc|Weightings'!$K$5:$M$5,1,0),"Excl")</f>
        <v>Contracts</v>
      </c>
      <c r="AM1714" s="7" t="str">
        <f>VLOOKUP(AC1714,Mapping!$E$11:$I$96,5,0)</f>
        <v>SCS</v>
      </c>
      <c r="AO1714" s="134">
        <v>177</v>
      </c>
      <c r="AP1714" s="135" t="s">
        <v>2387</v>
      </c>
      <c r="AQ1714" s="135">
        <v>639050</v>
      </c>
      <c r="AR1714" s="135" t="s">
        <v>2113</v>
      </c>
      <c r="AS1714" s="136">
        <v>124.35938</v>
      </c>
      <c r="AU1714" s="7" t="str">
        <f>VLOOKUP($AO1714,Mapping!$E$11:$I$96,3,0)</f>
        <v>Augmentation</v>
      </c>
      <c r="AV1714" s="7" t="str">
        <f>VLOOKUP($AQ1714,Mapping!$E$140:$K$2771,5,0)</f>
        <v>PNS Fleet &amp; Property OH</v>
      </c>
      <c r="AW1714" s="7" t="str">
        <f>VLOOKUP($AQ1714,Mapping!$E$140:$K$2771,7,0)</f>
        <v>OH</v>
      </c>
      <c r="AX1714" s="7" t="str">
        <f>IFERROR(HLOOKUP(AV1714,'Calc|Weightings'!$K$5:$M$5,1,0),"Excl")</f>
        <v>Excl</v>
      </c>
      <c r="AY1714" s="7" t="str">
        <f>VLOOKUP(AO1714,Mapping!$E$11:$I$96,5,0)</f>
        <v>SCS</v>
      </c>
    </row>
    <row r="1715" spans="1:51" x14ac:dyDescent="0.2">
      <c r="A1715" s="7"/>
      <c r="B1715" s="7"/>
      <c r="C1715" s="7"/>
      <c r="D1715" s="7"/>
      <c r="E1715" s="36">
        <v>157</v>
      </c>
      <c r="F1715" s="36" t="s">
        <v>2166</v>
      </c>
      <c r="G1715" s="36">
        <v>633000</v>
      </c>
      <c r="H1715" s="36" t="s">
        <v>2202</v>
      </c>
      <c r="I1715" s="37">
        <v>679.61505</v>
      </c>
      <c r="J1715" s="7"/>
      <c r="K1715" s="7" t="str">
        <f>VLOOKUP($E1715,Mapping!$E$11:$I$96,3,0)</f>
        <v>Replacement</v>
      </c>
      <c r="L1715" s="7" t="str">
        <f>VLOOKUP($G1715,Mapping!$E$140:$K$2771,5,0)</f>
        <v>Contracts</v>
      </c>
      <c r="M1715" s="7" t="str">
        <f>VLOOKUP($G1715,Mapping!$E$140:$K$2771,7,0)</f>
        <v>OH</v>
      </c>
      <c r="N1715" s="7" t="str">
        <f>IFERROR(HLOOKUP(L1715,'Calc|Weightings'!$K$5:$M$5,1,0),"Excl")</f>
        <v>Contracts</v>
      </c>
      <c r="O1715" s="7" t="str">
        <f>VLOOKUP(E1715,Mapping!$E$11:$I$96,5,0)</f>
        <v>SCS</v>
      </c>
      <c r="Q1715" s="7"/>
      <c r="R1715" s="7"/>
      <c r="S1715" s="7"/>
      <c r="T1715" s="7"/>
      <c r="U1715" s="7"/>
      <c r="V1715" s="7"/>
      <c r="AC1715" s="111">
        <v>172</v>
      </c>
      <c r="AD1715" s="111" t="s">
        <v>2177</v>
      </c>
      <c r="AE1715" s="111">
        <v>613240</v>
      </c>
      <c r="AF1715" s="111" t="s">
        <v>2082</v>
      </c>
      <c r="AG1715" s="112">
        <v>12.804589999999999</v>
      </c>
      <c r="AI1715" s="7" t="str">
        <f>VLOOKUP($AC1715,Mapping!$E$11:$I$96,3,0)</f>
        <v>Replacement</v>
      </c>
      <c r="AJ1715" s="7" t="str">
        <f>VLOOKUP($AE1715,Mapping!$E$140:$K$2771,5,0)</f>
        <v>Labour</v>
      </c>
      <c r="AK1715" s="7" t="str">
        <f>VLOOKUP($AE1715,Mapping!$E$140:$K$2771,7,0)</f>
        <v>ENDirect</v>
      </c>
      <c r="AL1715" s="7" t="str">
        <f>IFERROR(HLOOKUP(AJ1715,'Calc|Weightings'!$K$5:$M$5,1,0),"Excl")</f>
        <v>Labour</v>
      </c>
      <c r="AM1715" s="7" t="str">
        <f>VLOOKUP(AC1715,Mapping!$E$11:$I$96,5,0)</f>
        <v>SCS</v>
      </c>
      <c r="AO1715" s="134">
        <v>200</v>
      </c>
      <c r="AP1715" s="135" t="s">
        <v>2181</v>
      </c>
      <c r="AQ1715" s="135">
        <v>140200</v>
      </c>
      <c r="AR1715" s="135" t="s">
        <v>49</v>
      </c>
      <c r="AS1715" s="136">
        <v>40.835450000000002</v>
      </c>
      <c r="AU1715" s="7" t="str">
        <f>VLOOKUP($AO1715,Mapping!$E$11:$I$96,3,0)</f>
        <v>Non-network general assets - IT</v>
      </c>
      <c r="AV1715" s="7" t="str">
        <f>VLOOKUP($AQ1715,Mapping!$E$140:$K$2771,5,0)</f>
        <v>Materials</v>
      </c>
      <c r="AW1715" s="7" t="str">
        <f>VLOOKUP($AQ1715,Mapping!$E$140:$K$2771,7,0)</f>
        <v>ENDirect</v>
      </c>
      <c r="AX1715" s="7" t="str">
        <f>IFERROR(HLOOKUP(AV1715,'Calc|Weightings'!$K$5:$M$5,1,0),"Excl")</f>
        <v>Materials</v>
      </c>
      <c r="AY1715" s="7" t="str">
        <f>VLOOKUP(AO1715,Mapping!$E$11:$I$96,5,0)</f>
        <v>SCS</v>
      </c>
    </row>
    <row r="1716" spans="1:51" x14ac:dyDescent="0.2">
      <c r="A1716" s="7"/>
      <c r="B1716" s="7"/>
      <c r="C1716" s="7"/>
      <c r="D1716" s="7"/>
      <c r="E1716" s="36">
        <v>157</v>
      </c>
      <c r="F1716" s="36" t="s">
        <v>2166</v>
      </c>
      <c r="G1716" s="36">
        <v>634001</v>
      </c>
      <c r="H1716" s="36" t="s">
        <v>2110</v>
      </c>
      <c r="I1716" s="37">
        <v>260.74883999999997</v>
      </c>
      <c r="J1716" s="7"/>
      <c r="K1716" s="7" t="str">
        <f>VLOOKUP($E1716,Mapping!$E$11:$I$96,3,0)</f>
        <v>Replacement</v>
      </c>
      <c r="L1716" s="7" t="str">
        <f>VLOOKUP($G1716,Mapping!$E$140:$K$2771,5,0)</f>
        <v>Local OH</v>
      </c>
      <c r="M1716" s="7" t="str">
        <f>VLOOKUP($G1716,Mapping!$E$140:$K$2771,7,0)</f>
        <v>OH</v>
      </c>
      <c r="N1716" s="7" t="str">
        <f>IFERROR(HLOOKUP(L1716,'Calc|Weightings'!$K$5:$M$5,1,0),"Excl")</f>
        <v>Excl</v>
      </c>
      <c r="O1716" s="7" t="str">
        <f>VLOOKUP(E1716,Mapping!$E$11:$I$96,5,0)</f>
        <v>SCS</v>
      </c>
      <c r="Q1716" s="7"/>
      <c r="R1716" s="7"/>
      <c r="S1716" s="7"/>
      <c r="T1716" s="7"/>
      <c r="U1716" s="7"/>
      <c r="V1716" s="7"/>
      <c r="AC1716" s="111">
        <v>172</v>
      </c>
      <c r="AD1716" s="111" t="s">
        <v>2177</v>
      </c>
      <c r="AE1716" s="111">
        <v>613250</v>
      </c>
      <c r="AF1716" s="111" t="s">
        <v>2086</v>
      </c>
      <c r="AG1716" s="112">
        <v>21.886240000000001</v>
      </c>
      <c r="AI1716" s="7" t="str">
        <f>VLOOKUP($AC1716,Mapping!$E$11:$I$96,3,0)</f>
        <v>Replacement</v>
      </c>
      <c r="AJ1716" s="7" t="str">
        <f>VLOOKUP($AE1716,Mapping!$E$140:$K$2771,5,0)</f>
        <v>Labour</v>
      </c>
      <c r="AK1716" s="7" t="str">
        <f>VLOOKUP($AE1716,Mapping!$E$140:$K$2771,7,0)</f>
        <v>ENDirect</v>
      </c>
      <c r="AL1716" s="7" t="str">
        <f>IFERROR(HLOOKUP(AJ1716,'Calc|Weightings'!$K$5:$M$5,1,0),"Excl")</f>
        <v>Labour</v>
      </c>
      <c r="AM1716" s="7" t="str">
        <f>VLOOKUP(AC1716,Mapping!$E$11:$I$96,5,0)</f>
        <v>SCS</v>
      </c>
      <c r="AO1716" s="134">
        <v>200</v>
      </c>
      <c r="AP1716" s="135" t="s">
        <v>2181</v>
      </c>
      <c r="AQ1716" s="135">
        <v>601156</v>
      </c>
      <c r="AR1716" s="135" t="s">
        <v>406</v>
      </c>
      <c r="AS1716" s="136">
        <v>7246.45064</v>
      </c>
      <c r="AU1716" s="7" t="str">
        <f>VLOOKUP($AO1716,Mapping!$E$11:$I$96,3,0)</f>
        <v>Non-network general assets - IT</v>
      </c>
      <c r="AV1716" s="7" t="str">
        <f>VLOOKUP($AQ1716,Mapping!$E$140:$K$2771,5,0)</f>
        <v>Labour</v>
      </c>
      <c r="AW1716" s="7" t="str">
        <f>VLOOKUP($AQ1716,Mapping!$E$140:$K$2771,7,0)</f>
        <v>ENDirect</v>
      </c>
      <c r="AX1716" s="7" t="str">
        <f>IFERROR(HLOOKUP(AV1716,'Calc|Weightings'!$K$5:$M$5,1,0),"Excl")</f>
        <v>Labour</v>
      </c>
      <c r="AY1716" s="7" t="str">
        <f>VLOOKUP(AO1716,Mapping!$E$11:$I$96,5,0)</f>
        <v>SCS</v>
      </c>
    </row>
    <row r="1717" spans="1:51" x14ac:dyDescent="0.2">
      <c r="A1717" s="7"/>
      <c r="B1717" s="7"/>
      <c r="C1717" s="7"/>
      <c r="D1717" s="7"/>
      <c r="E1717" s="36">
        <v>157</v>
      </c>
      <c r="F1717" s="36" t="s">
        <v>2166</v>
      </c>
      <c r="G1717" s="36">
        <v>635001</v>
      </c>
      <c r="H1717" s="36" t="s">
        <v>1929</v>
      </c>
      <c r="I1717" s="37">
        <v>137.94399000000001</v>
      </c>
      <c r="J1717" s="7"/>
      <c r="K1717" s="7" t="str">
        <f>VLOOKUP($E1717,Mapping!$E$11:$I$96,3,0)</f>
        <v>Replacement</v>
      </c>
      <c r="L1717" s="7" t="str">
        <f>VLOOKUP($G1717,Mapping!$E$140:$K$2771,5,0)</f>
        <v>PNS MG</v>
      </c>
      <c r="M1717" s="7" t="str">
        <f>VLOOKUP($G1717,Mapping!$E$140:$K$2771,7,0)</f>
        <v>ENDirect</v>
      </c>
      <c r="N1717" s="7" t="str">
        <f>IFERROR(HLOOKUP(L1717,'Calc|Weightings'!$K$5:$M$5,1,0),"Excl")</f>
        <v>Excl</v>
      </c>
      <c r="O1717" s="7" t="str">
        <f>VLOOKUP(E1717,Mapping!$E$11:$I$96,5,0)</f>
        <v>SCS</v>
      </c>
      <c r="Q1717" s="7"/>
      <c r="R1717" s="7"/>
      <c r="S1717" s="7"/>
      <c r="T1717" s="7"/>
      <c r="U1717" s="7"/>
      <c r="V1717" s="7"/>
      <c r="AC1717" s="111">
        <v>172</v>
      </c>
      <c r="AD1717" s="111" t="s">
        <v>2177</v>
      </c>
      <c r="AE1717" s="111">
        <v>613291</v>
      </c>
      <c r="AF1717" s="111" t="s">
        <v>2094</v>
      </c>
      <c r="AG1717" s="112">
        <v>7.5870000000000007E-2</v>
      </c>
      <c r="AI1717" s="7" t="str">
        <f>VLOOKUP($AC1717,Mapping!$E$11:$I$96,3,0)</f>
        <v>Replacement</v>
      </c>
      <c r="AJ1717" s="7" t="str">
        <f>VLOOKUP($AE1717,Mapping!$E$140:$K$2771,5,0)</f>
        <v>Labour</v>
      </c>
      <c r="AK1717" s="7" t="str">
        <f>VLOOKUP($AE1717,Mapping!$E$140:$K$2771,7,0)</f>
        <v>ENDirect</v>
      </c>
      <c r="AL1717" s="7" t="str">
        <f>IFERROR(HLOOKUP(AJ1717,'Calc|Weightings'!$K$5:$M$5,1,0),"Excl")</f>
        <v>Labour</v>
      </c>
      <c r="AM1717" s="7" t="str">
        <f>VLOOKUP(AC1717,Mapping!$E$11:$I$96,5,0)</f>
        <v>SCS</v>
      </c>
      <c r="AO1717" s="134">
        <v>200</v>
      </c>
      <c r="AP1717" s="135" t="s">
        <v>2181</v>
      </c>
      <c r="AQ1717" s="135">
        <v>601157</v>
      </c>
      <c r="AR1717" s="135" t="s">
        <v>407</v>
      </c>
      <c r="AS1717" s="136">
        <v>780.08360000000005</v>
      </c>
      <c r="AU1717" s="7" t="str">
        <f>VLOOKUP($AO1717,Mapping!$E$11:$I$96,3,0)</f>
        <v>Non-network general assets - IT</v>
      </c>
      <c r="AV1717" s="7" t="str">
        <f>VLOOKUP($AQ1717,Mapping!$E$140:$K$2771,5,0)</f>
        <v>IT Project MG</v>
      </c>
      <c r="AW1717" s="7" t="str">
        <f>VLOOKUP($AQ1717,Mapping!$E$140:$K$2771,7,0)</f>
        <v>ENDirect</v>
      </c>
      <c r="AX1717" s="7" t="str">
        <f>IFERROR(HLOOKUP(AV1717,'Calc|Weightings'!$K$5:$M$5,1,0),"Excl")</f>
        <v>Excl</v>
      </c>
      <c r="AY1717" s="7" t="str">
        <f>VLOOKUP(AO1717,Mapping!$E$11:$I$96,5,0)</f>
        <v>SCS</v>
      </c>
    </row>
    <row r="1718" spans="1:51" x14ac:dyDescent="0.2">
      <c r="A1718" s="7"/>
      <c r="B1718" s="7"/>
      <c r="C1718" s="7"/>
      <c r="D1718" s="7"/>
      <c r="E1718" s="36">
        <v>157</v>
      </c>
      <c r="F1718" s="36" t="s">
        <v>2166</v>
      </c>
      <c r="G1718" s="36">
        <v>636001</v>
      </c>
      <c r="H1718" s="36" t="s">
        <v>2111</v>
      </c>
      <c r="I1718" s="37">
        <v>85.267520000000005</v>
      </c>
      <c r="J1718" s="7"/>
      <c r="K1718" s="7" t="str">
        <f>VLOOKUP($E1718,Mapping!$E$11:$I$96,3,0)</f>
        <v>Replacement</v>
      </c>
      <c r="L1718" s="7" t="str">
        <f>VLOOKUP($G1718,Mapping!$E$140:$K$2771,5,0)</f>
        <v>System Control OH</v>
      </c>
      <c r="M1718" s="7" t="str">
        <f>VLOOKUP($G1718,Mapping!$E$140:$K$2771,7,0)</f>
        <v>OH</v>
      </c>
      <c r="N1718" s="7" t="str">
        <f>IFERROR(HLOOKUP(L1718,'Calc|Weightings'!$K$5:$M$5,1,0),"Excl")</f>
        <v>Excl</v>
      </c>
      <c r="O1718" s="7" t="str">
        <f>VLOOKUP(E1718,Mapping!$E$11:$I$96,5,0)</f>
        <v>SCS</v>
      </c>
      <c r="Q1718" s="7"/>
      <c r="R1718" s="7"/>
      <c r="S1718" s="7"/>
      <c r="T1718" s="7"/>
      <c r="U1718" s="7"/>
      <c r="V1718" s="7"/>
      <c r="AC1718" s="111">
        <v>172</v>
      </c>
      <c r="AD1718" s="111" t="s">
        <v>2177</v>
      </c>
      <c r="AE1718" s="111">
        <v>613410</v>
      </c>
      <c r="AF1718" s="111" t="s">
        <v>2100</v>
      </c>
      <c r="AG1718" s="112">
        <v>0.14788000000000001</v>
      </c>
      <c r="AI1718" s="7" t="str">
        <f>VLOOKUP($AC1718,Mapping!$E$11:$I$96,3,0)</f>
        <v>Replacement</v>
      </c>
      <c r="AJ1718" s="7" t="str">
        <f>VLOOKUP($AE1718,Mapping!$E$140:$K$2771,5,0)</f>
        <v>Labour</v>
      </c>
      <c r="AK1718" s="7" t="str">
        <f>VLOOKUP($AE1718,Mapping!$E$140:$K$2771,7,0)</f>
        <v>ENDirect</v>
      </c>
      <c r="AL1718" s="7" t="str">
        <f>IFERROR(HLOOKUP(AJ1718,'Calc|Weightings'!$K$5:$M$5,1,0),"Excl")</f>
        <v>Labour</v>
      </c>
      <c r="AM1718" s="7" t="str">
        <f>VLOOKUP(AC1718,Mapping!$E$11:$I$96,5,0)</f>
        <v>SCS</v>
      </c>
      <c r="AO1718" s="134">
        <v>210</v>
      </c>
      <c r="AP1718" s="135" t="s">
        <v>2185</v>
      </c>
      <c r="AQ1718" s="135">
        <v>140180</v>
      </c>
      <c r="AR1718" s="135" t="s">
        <v>48</v>
      </c>
      <c r="AS1718" s="136">
        <v>111.78100000000001</v>
      </c>
      <c r="AU1718" s="7" t="str">
        <f>VLOOKUP($AO1718,Mapping!$E$11:$I$96,3,0)</f>
        <v>Non-network general assets - Other</v>
      </c>
      <c r="AV1718" s="7" t="str">
        <f>VLOOKUP($AQ1718,Mapping!$E$140:$K$2771,5,0)</f>
        <v>Materials</v>
      </c>
      <c r="AW1718" s="7" t="str">
        <f>VLOOKUP($AQ1718,Mapping!$E$140:$K$2771,7,0)</f>
        <v>ENDirect</v>
      </c>
      <c r="AX1718" s="7" t="str">
        <f>IFERROR(HLOOKUP(AV1718,'Calc|Weightings'!$K$5:$M$5,1,0),"Excl")</f>
        <v>Materials</v>
      </c>
      <c r="AY1718" s="7" t="str">
        <f>VLOOKUP(AO1718,Mapping!$E$11:$I$96,5,0)</f>
        <v>SCS</v>
      </c>
    </row>
    <row r="1719" spans="1:51" x14ac:dyDescent="0.2">
      <c r="A1719" s="7"/>
      <c r="B1719" s="7"/>
      <c r="C1719" s="7"/>
      <c r="D1719" s="7"/>
      <c r="E1719" s="36">
        <v>157</v>
      </c>
      <c r="F1719" s="36" t="s">
        <v>2166</v>
      </c>
      <c r="G1719" s="36">
        <v>639000</v>
      </c>
      <c r="H1719" s="36" t="s">
        <v>2112</v>
      </c>
      <c r="I1719" s="37">
        <v>152.45231000000001</v>
      </c>
      <c r="J1719" s="7"/>
      <c r="K1719" s="7" t="str">
        <f>VLOOKUP($E1719,Mapping!$E$11:$I$96,3,0)</f>
        <v>Replacement</v>
      </c>
      <c r="L1719" s="7" t="str">
        <f>VLOOKUP($G1719,Mapping!$E$140:$K$2771,5,0)</f>
        <v>PNS Corporate OH</v>
      </c>
      <c r="M1719" s="7" t="str">
        <f>VLOOKUP($G1719,Mapping!$E$140:$K$2771,7,0)</f>
        <v>OH</v>
      </c>
      <c r="N1719" s="7" t="str">
        <f>IFERROR(HLOOKUP(L1719,'Calc|Weightings'!$K$5:$M$5,1,0),"Excl")</f>
        <v>Excl</v>
      </c>
      <c r="O1719" s="7" t="str">
        <f>VLOOKUP(E1719,Mapping!$E$11:$I$96,5,0)</f>
        <v>SCS</v>
      </c>
      <c r="Q1719" s="7"/>
      <c r="R1719" s="7"/>
      <c r="S1719" s="7"/>
      <c r="T1719" s="7"/>
      <c r="U1719" s="7"/>
      <c r="V1719" s="7"/>
      <c r="AC1719" s="111">
        <v>172</v>
      </c>
      <c r="AD1719" s="111" t="s">
        <v>2177</v>
      </c>
      <c r="AE1719" s="111">
        <v>613440</v>
      </c>
      <c r="AF1719" s="111" t="s">
        <v>2103</v>
      </c>
      <c r="AG1719" s="112">
        <v>1.422E-2</v>
      </c>
      <c r="AI1719" s="7" t="str">
        <f>VLOOKUP($AC1719,Mapping!$E$11:$I$96,3,0)</f>
        <v>Replacement</v>
      </c>
      <c r="AJ1719" s="7" t="str">
        <f>VLOOKUP($AE1719,Mapping!$E$140:$K$2771,5,0)</f>
        <v>Labour</v>
      </c>
      <c r="AK1719" s="7" t="str">
        <f>VLOOKUP($AE1719,Mapping!$E$140:$K$2771,7,0)</f>
        <v>ENDirect</v>
      </c>
      <c r="AL1719" s="7" t="str">
        <f>IFERROR(HLOOKUP(AJ1719,'Calc|Weightings'!$K$5:$M$5,1,0),"Excl")</f>
        <v>Labour</v>
      </c>
      <c r="AM1719" s="7" t="str">
        <f>VLOOKUP(AC1719,Mapping!$E$11:$I$96,5,0)</f>
        <v>SCS</v>
      </c>
      <c r="AO1719" s="134">
        <v>210</v>
      </c>
      <c r="AP1719" s="135" t="s">
        <v>2185</v>
      </c>
      <c r="AQ1719" s="135">
        <v>140200</v>
      </c>
      <c r="AR1719" s="135" t="s">
        <v>49</v>
      </c>
      <c r="AS1719" s="136">
        <v>133.94942</v>
      </c>
      <c r="AU1719" s="7" t="str">
        <f>VLOOKUP($AO1719,Mapping!$E$11:$I$96,3,0)</f>
        <v>Non-network general assets - Other</v>
      </c>
      <c r="AV1719" s="7" t="str">
        <f>VLOOKUP($AQ1719,Mapping!$E$140:$K$2771,5,0)</f>
        <v>Materials</v>
      </c>
      <c r="AW1719" s="7" t="str">
        <f>VLOOKUP($AQ1719,Mapping!$E$140:$K$2771,7,0)</f>
        <v>ENDirect</v>
      </c>
      <c r="AX1719" s="7" t="str">
        <f>IFERROR(HLOOKUP(AV1719,'Calc|Weightings'!$K$5:$M$5,1,0),"Excl")</f>
        <v>Materials</v>
      </c>
      <c r="AY1719" s="7" t="str">
        <f>VLOOKUP(AO1719,Mapping!$E$11:$I$96,5,0)</f>
        <v>SCS</v>
      </c>
    </row>
    <row r="1720" spans="1:51" x14ac:dyDescent="0.2">
      <c r="A1720" s="7"/>
      <c r="B1720" s="7"/>
      <c r="C1720" s="7"/>
      <c r="D1720" s="7"/>
      <c r="E1720" s="36">
        <v>157</v>
      </c>
      <c r="F1720" s="36" t="s">
        <v>2166</v>
      </c>
      <c r="G1720" s="36">
        <v>639050</v>
      </c>
      <c r="H1720" s="36" t="s">
        <v>2113</v>
      </c>
      <c r="I1720" s="37">
        <v>18.292860000000001</v>
      </c>
      <c r="J1720" s="7"/>
      <c r="K1720" s="7" t="str">
        <f>VLOOKUP($E1720,Mapping!$E$11:$I$96,3,0)</f>
        <v>Replacement</v>
      </c>
      <c r="L1720" s="7" t="str">
        <f>VLOOKUP($G1720,Mapping!$E$140:$K$2771,5,0)</f>
        <v>PNS Fleet &amp; Property OH</v>
      </c>
      <c r="M1720" s="7" t="str">
        <f>VLOOKUP($G1720,Mapping!$E$140:$K$2771,7,0)</f>
        <v>OH</v>
      </c>
      <c r="N1720" s="7" t="str">
        <f>IFERROR(HLOOKUP(L1720,'Calc|Weightings'!$K$5:$M$5,1,0),"Excl")</f>
        <v>Excl</v>
      </c>
      <c r="O1720" s="7" t="str">
        <f>VLOOKUP(E1720,Mapping!$E$11:$I$96,5,0)</f>
        <v>SCS</v>
      </c>
      <c r="Q1720" s="7"/>
      <c r="R1720" s="7"/>
      <c r="S1720" s="7"/>
      <c r="T1720" s="7"/>
      <c r="U1720" s="7"/>
      <c r="V1720" s="7"/>
      <c r="AC1720" s="111">
        <v>172</v>
      </c>
      <c r="AD1720" s="111" t="s">
        <v>2177</v>
      </c>
      <c r="AE1720" s="111">
        <v>613441</v>
      </c>
      <c r="AF1720" s="111" t="s">
        <v>2104</v>
      </c>
      <c r="AG1720" s="112">
        <v>0.10664</v>
      </c>
      <c r="AI1720" s="7" t="str">
        <f>VLOOKUP($AC1720,Mapping!$E$11:$I$96,3,0)</f>
        <v>Replacement</v>
      </c>
      <c r="AJ1720" s="7" t="str">
        <f>VLOOKUP($AE1720,Mapping!$E$140:$K$2771,5,0)</f>
        <v>Labour</v>
      </c>
      <c r="AK1720" s="7" t="str">
        <f>VLOOKUP($AE1720,Mapping!$E$140:$K$2771,7,0)</f>
        <v>ENDirect</v>
      </c>
      <c r="AL1720" s="7" t="str">
        <f>IFERROR(HLOOKUP(AJ1720,'Calc|Weightings'!$K$5:$M$5,1,0),"Excl")</f>
        <v>Labour</v>
      </c>
      <c r="AM1720" s="7" t="str">
        <f>VLOOKUP(AC1720,Mapping!$E$11:$I$96,5,0)</f>
        <v>SCS</v>
      </c>
      <c r="AO1720" s="134">
        <v>230</v>
      </c>
      <c r="AP1720" s="135" t="s">
        <v>2187</v>
      </c>
      <c r="AQ1720" s="135">
        <v>140120</v>
      </c>
      <c r="AR1720" s="135" t="s">
        <v>46</v>
      </c>
      <c r="AS1720" s="136">
        <v>25</v>
      </c>
      <c r="AU1720" s="7" t="str">
        <f>VLOOKUP($AO1720,Mapping!$E$11:$I$96,3,0)</f>
        <v>Non-network general assets - Other</v>
      </c>
      <c r="AV1720" s="7" t="str">
        <f>VLOOKUP($AQ1720,Mapping!$E$140:$K$2771,5,0)</f>
        <v>Materials</v>
      </c>
      <c r="AW1720" s="7" t="str">
        <f>VLOOKUP($AQ1720,Mapping!$E$140:$K$2771,7,0)</f>
        <v>ENDirect</v>
      </c>
      <c r="AX1720" s="7" t="str">
        <f>IFERROR(HLOOKUP(AV1720,'Calc|Weightings'!$K$5:$M$5,1,0),"Excl")</f>
        <v>Materials</v>
      </c>
      <c r="AY1720" s="7" t="str">
        <f>VLOOKUP(AO1720,Mapping!$E$11:$I$96,5,0)</f>
        <v>SCS</v>
      </c>
    </row>
    <row r="1721" spans="1:51" x14ac:dyDescent="0.2">
      <c r="A1721" s="7"/>
      <c r="B1721" s="7"/>
      <c r="C1721" s="7"/>
      <c r="D1721" s="7"/>
      <c r="E1721" s="36">
        <v>158</v>
      </c>
      <c r="F1721" s="36" t="s">
        <v>2169</v>
      </c>
      <c r="G1721" s="36">
        <v>520100</v>
      </c>
      <c r="H1721" s="36" t="s">
        <v>2072</v>
      </c>
      <c r="I1721" s="37">
        <v>3.7439800000000001</v>
      </c>
      <c r="J1721" s="7"/>
      <c r="K1721" s="7" t="str">
        <f>VLOOKUP($E1721,Mapping!$E$11:$I$96,3,0)</f>
        <v>Replacement</v>
      </c>
      <c r="L1721" s="7" t="str">
        <f>VLOOKUP($G1721,Mapping!$E$140:$K$2771,5,0)</f>
        <v>Materials</v>
      </c>
      <c r="M1721" s="7" t="str">
        <f>VLOOKUP($G1721,Mapping!$E$140:$K$2771,7,0)</f>
        <v>ENDirect</v>
      </c>
      <c r="N1721" s="7" t="str">
        <f>IFERROR(HLOOKUP(L1721,'Calc|Weightings'!$K$5:$M$5,1,0),"Excl")</f>
        <v>Materials</v>
      </c>
      <c r="O1721" s="7" t="str">
        <f>VLOOKUP(E1721,Mapping!$E$11:$I$96,5,0)</f>
        <v>SCS</v>
      </c>
      <c r="Q1721" s="7"/>
      <c r="R1721" s="7"/>
      <c r="S1721" s="7"/>
      <c r="T1721" s="7"/>
      <c r="U1721" s="7"/>
      <c r="V1721" s="7"/>
      <c r="AC1721" s="111">
        <v>172</v>
      </c>
      <c r="AD1721" s="111" t="s">
        <v>2177</v>
      </c>
      <c r="AE1721" s="111">
        <v>613566</v>
      </c>
      <c r="AF1721" s="111" t="s">
        <v>1482</v>
      </c>
      <c r="AG1721" s="112">
        <v>1.6983999999999999</v>
      </c>
      <c r="AI1721" s="7" t="str">
        <f>VLOOKUP($AC1721,Mapping!$E$11:$I$96,3,0)</f>
        <v>Replacement</v>
      </c>
      <c r="AJ1721" s="7" t="str">
        <f>VLOOKUP($AE1721,Mapping!$E$140:$K$2771,5,0)</f>
        <v>Labour</v>
      </c>
      <c r="AK1721" s="7" t="str">
        <f>VLOOKUP($AE1721,Mapping!$E$140:$K$2771,7,0)</f>
        <v>ENDirect</v>
      </c>
      <c r="AL1721" s="7" t="str">
        <f>IFERROR(HLOOKUP(AJ1721,'Calc|Weightings'!$K$5:$M$5,1,0),"Excl")</f>
        <v>Labour</v>
      </c>
      <c r="AM1721" s="7" t="str">
        <f>VLOOKUP(AC1721,Mapping!$E$11:$I$96,5,0)</f>
        <v>SCS</v>
      </c>
      <c r="AO1721" s="134">
        <v>230</v>
      </c>
      <c r="AP1721" s="135" t="s">
        <v>2187</v>
      </c>
      <c r="AQ1721" s="135">
        <v>140200</v>
      </c>
      <c r="AR1721" s="135" t="s">
        <v>49</v>
      </c>
      <c r="AS1721" s="136">
        <v>153.315</v>
      </c>
      <c r="AU1721" s="7" t="str">
        <f>VLOOKUP($AO1721,Mapping!$E$11:$I$96,3,0)</f>
        <v>Non-network general assets - Other</v>
      </c>
      <c r="AV1721" s="7" t="str">
        <f>VLOOKUP($AQ1721,Mapping!$E$140:$K$2771,5,0)</f>
        <v>Materials</v>
      </c>
      <c r="AW1721" s="7" t="str">
        <f>VLOOKUP($AQ1721,Mapping!$E$140:$K$2771,7,0)</f>
        <v>ENDirect</v>
      </c>
      <c r="AX1721" s="7" t="str">
        <f>IFERROR(HLOOKUP(AV1721,'Calc|Weightings'!$K$5:$M$5,1,0),"Excl")</f>
        <v>Materials</v>
      </c>
      <c r="AY1721" s="7" t="str">
        <f>VLOOKUP(AO1721,Mapping!$E$11:$I$96,5,0)</f>
        <v>SCS</v>
      </c>
    </row>
    <row r="1722" spans="1:51" x14ac:dyDescent="0.2">
      <c r="A1722" s="7"/>
      <c r="B1722" s="7"/>
      <c r="C1722" s="7"/>
      <c r="D1722" s="7"/>
      <c r="E1722" s="36">
        <v>158</v>
      </c>
      <c r="F1722" s="36" t="s">
        <v>2169</v>
      </c>
      <c r="G1722" s="36">
        <v>531035</v>
      </c>
      <c r="H1722" s="36" t="s">
        <v>244</v>
      </c>
      <c r="I1722" s="37">
        <v>0.32712000000000002</v>
      </c>
      <c r="J1722" s="7"/>
      <c r="K1722" s="7" t="str">
        <f>VLOOKUP($E1722,Mapping!$E$11:$I$96,3,0)</f>
        <v>Replacement</v>
      </c>
      <c r="L1722" s="7" t="str">
        <f>VLOOKUP($G1722,Mapping!$E$140:$K$2771,5,0)</f>
        <v>Labour</v>
      </c>
      <c r="M1722" s="7" t="str">
        <f>VLOOKUP($G1722,Mapping!$E$140:$K$2771,7,0)</f>
        <v>ENDirect</v>
      </c>
      <c r="N1722" s="7" t="str">
        <f>IFERROR(HLOOKUP(L1722,'Calc|Weightings'!$K$5:$M$5,1,0),"Excl")</f>
        <v>Labour</v>
      </c>
      <c r="O1722" s="7" t="str">
        <f>VLOOKUP(E1722,Mapping!$E$11:$I$96,5,0)</f>
        <v>SCS</v>
      </c>
      <c r="Q1722" s="7"/>
      <c r="R1722" s="7"/>
      <c r="S1722" s="7"/>
      <c r="T1722" s="7"/>
      <c r="U1722" s="7"/>
      <c r="V1722" s="7"/>
      <c r="AC1722" s="111">
        <v>172</v>
      </c>
      <c r="AD1722" s="111" t="s">
        <v>2177</v>
      </c>
      <c r="AE1722" s="111">
        <v>634001</v>
      </c>
      <c r="AF1722" s="111" t="s">
        <v>2110</v>
      </c>
      <c r="AG1722" s="112">
        <v>3.7733599999999998</v>
      </c>
      <c r="AI1722" s="7" t="str">
        <f>VLOOKUP($AC1722,Mapping!$E$11:$I$96,3,0)</f>
        <v>Replacement</v>
      </c>
      <c r="AJ1722" s="7" t="str">
        <f>VLOOKUP($AE1722,Mapping!$E$140:$K$2771,5,0)</f>
        <v>Local OH</v>
      </c>
      <c r="AK1722" s="7" t="str">
        <f>VLOOKUP($AE1722,Mapping!$E$140:$K$2771,7,0)</f>
        <v>OH</v>
      </c>
      <c r="AL1722" s="7" t="str">
        <f>IFERROR(HLOOKUP(AJ1722,'Calc|Weightings'!$K$5:$M$5,1,0),"Excl")</f>
        <v>Excl</v>
      </c>
      <c r="AM1722" s="7" t="str">
        <f>VLOOKUP(AC1722,Mapping!$E$11:$I$96,5,0)</f>
        <v>SCS</v>
      </c>
      <c r="AO1722" s="134">
        <v>230</v>
      </c>
      <c r="AP1722" s="135" t="s">
        <v>2187</v>
      </c>
      <c r="AQ1722" s="135">
        <v>523300</v>
      </c>
      <c r="AR1722" s="135" t="s">
        <v>2075</v>
      </c>
      <c r="AS1722" s="136">
        <v>253.19593</v>
      </c>
      <c r="AU1722" s="7" t="str">
        <f>VLOOKUP($AO1722,Mapping!$E$11:$I$96,3,0)</f>
        <v>Non-network general assets - Other</v>
      </c>
      <c r="AV1722" s="7" t="str">
        <f>VLOOKUP($AQ1722,Mapping!$E$140:$K$2771,5,0)</f>
        <v>Materials</v>
      </c>
      <c r="AW1722" s="7" t="str">
        <f>VLOOKUP($AQ1722,Mapping!$E$140:$K$2771,7,0)</f>
        <v>ENDirect</v>
      </c>
      <c r="AX1722" s="7" t="str">
        <f>IFERROR(HLOOKUP(AV1722,'Calc|Weightings'!$K$5:$M$5,1,0),"Excl")</f>
        <v>Materials</v>
      </c>
      <c r="AY1722" s="7" t="str">
        <f>VLOOKUP(AO1722,Mapping!$E$11:$I$96,5,0)</f>
        <v>SCS</v>
      </c>
    </row>
    <row r="1723" spans="1:51" x14ac:dyDescent="0.2">
      <c r="A1723" s="7"/>
      <c r="B1723" s="7"/>
      <c r="C1723" s="7"/>
      <c r="D1723" s="7"/>
      <c r="E1723" s="36">
        <v>158</v>
      </c>
      <c r="F1723" s="36" t="s">
        <v>2169</v>
      </c>
      <c r="G1723" s="36">
        <v>531200</v>
      </c>
      <c r="H1723" s="36" t="s">
        <v>250</v>
      </c>
      <c r="I1723" s="37">
        <v>-2.3795199999999999</v>
      </c>
      <c r="J1723" s="7"/>
      <c r="K1723" s="7" t="str">
        <f>VLOOKUP($E1723,Mapping!$E$11:$I$96,3,0)</f>
        <v>Replacement</v>
      </c>
      <c r="L1723" s="7" t="str">
        <f>VLOOKUP($G1723,Mapping!$E$140:$K$2771,5,0)</f>
        <v>Contracts</v>
      </c>
      <c r="M1723" s="7" t="str">
        <f>VLOOKUP($G1723,Mapping!$E$140:$K$2771,7,0)</f>
        <v>ENDirect</v>
      </c>
      <c r="N1723" s="7" t="str">
        <f>IFERROR(HLOOKUP(L1723,'Calc|Weightings'!$K$5:$M$5,1,0),"Excl")</f>
        <v>Contracts</v>
      </c>
      <c r="O1723" s="7" t="str">
        <f>VLOOKUP(E1723,Mapping!$E$11:$I$96,5,0)</f>
        <v>SCS</v>
      </c>
      <c r="Q1723" s="7"/>
      <c r="R1723" s="7"/>
      <c r="S1723" s="7"/>
      <c r="T1723" s="7"/>
      <c r="U1723" s="7"/>
      <c r="V1723" s="7"/>
      <c r="AC1723" s="111">
        <v>172</v>
      </c>
      <c r="AD1723" s="111" t="s">
        <v>2177</v>
      </c>
      <c r="AE1723" s="111">
        <v>635001</v>
      </c>
      <c r="AF1723" s="111" t="s">
        <v>1929</v>
      </c>
      <c r="AG1723" s="112">
        <v>2.4332699999999998</v>
      </c>
      <c r="AI1723" s="7" t="str">
        <f>VLOOKUP($AC1723,Mapping!$E$11:$I$96,3,0)</f>
        <v>Replacement</v>
      </c>
      <c r="AJ1723" s="7" t="str">
        <f>VLOOKUP($AE1723,Mapping!$E$140:$K$2771,5,0)</f>
        <v>PNS MG</v>
      </c>
      <c r="AK1723" s="7" t="str">
        <f>VLOOKUP($AE1723,Mapping!$E$140:$K$2771,7,0)</f>
        <v>ENDirect</v>
      </c>
      <c r="AL1723" s="7" t="str">
        <f>IFERROR(HLOOKUP(AJ1723,'Calc|Weightings'!$K$5:$M$5,1,0),"Excl")</f>
        <v>Excl</v>
      </c>
      <c r="AM1723" s="7" t="str">
        <f>VLOOKUP(AC1723,Mapping!$E$11:$I$96,5,0)</f>
        <v>SCS</v>
      </c>
      <c r="AO1723" s="134">
        <v>230</v>
      </c>
      <c r="AP1723" s="135" t="s">
        <v>2187</v>
      </c>
      <c r="AQ1723" s="135">
        <v>531000</v>
      </c>
      <c r="AR1723" s="135" t="s">
        <v>242</v>
      </c>
      <c r="AS1723" s="136">
        <v>4.6112200000000003</v>
      </c>
      <c r="AU1723" s="7" t="str">
        <f>VLOOKUP($AO1723,Mapping!$E$11:$I$96,3,0)</f>
        <v>Non-network general assets - Other</v>
      </c>
      <c r="AV1723" s="7" t="str">
        <f>VLOOKUP($AQ1723,Mapping!$E$140:$K$2771,5,0)</f>
        <v>Contracts</v>
      </c>
      <c r="AW1723" s="7" t="str">
        <f>VLOOKUP($AQ1723,Mapping!$E$140:$K$2771,7,0)</f>
        <v>ENDirect</v>
      </c>
      <c r="AX1723" s="7" t="str">
        <f>IFERROR(HLOOKUP(AV1723,'Calc|Weightings'!$K$5:$M$5,1,0),"Excl")</f>
        <v>Contracts</v>
      </c>
      <c r="AY1723" s="7" t="str">
        <f>VLOOKUP(AO1723,Mapping!$E$11:$I$96,5,0)</f>
        <v>SCS</v>
      </c>
    </row>
    <row r="1724" spans="1:51" x14ac:dyDescent="0.2">
      <c r="A1724" s="7"/>
      <c r="B1724" s="7"/>
      <c r="C1724" s="7"/>
      <c r="D1724" s="7"/>
      <c r="E1724" s="36">
        <v>158</v>
      </c>
      <c r="F1724" s="36" t="s">
        <v>2169</v>
      </c>
      <c r="G1724" s="36">
        <v>531464</v>
      </c>
      <c r="H1724" s="36" t="s">
        <v>256</v>
      </c>
      <c r="I1724" s="37">
        <v>3.7937500000000002</v>
      </c>
      <c r="J1724" s="7"/>
      <c r="K1724" s="7" t="str">
        <f>VLOOKUP($E1724,Mapping!$E$11:$I$96,3,0)</f>
        <v>Replacement</v>
      </c>
      <c r="L1724" s="7" t="str">
        <f>VLOOKUP($G1724,Mapping!$E$140:$K$2771,5,0)</f>
        <v>Contracts</v>
      </c>
      <c r="M1724" s="7" t="str">
        <f>VLOOKUP($G1724,Mapping!$E$140:$K$2771,7,0)</f>
        <v>ENDirect</v>
      </c>
      <c r="N1724" s="7" t="str">
        <f>IFERROR(HLOOKUP(L1724,'Calc|Weightings'!$K$5:$M$5,1,0),"Excl")</f>
        <v>Contracts</v>
      </c>
      <c r="O1724" s="7" t="str">
        <f>VLOOKUP(E1724,Mapping!$E$11:$I$96,5,0)</f>
        <v>SCS</v>
      </c>
      <c r="Q1724" s="7"/>
      <c r="R1724" s="7"/>
      <c r="S1724" s="7"/>
      <c r="T1724" s="7"/>
      <c r="U1724" s="7"/>
      <c r="V1724" s="7"/>
      <c r="AC1724" s="111">
        <v>172</v>
      </c>
      <c r="AD1724" s="111" t="s">
        <v>2177</v>
      </c>
      <c r="AE1724" s="111">
        <v>636001</v>
      </c>
      <c r="AF1724" s="111" t="s">
        <v>2111</v>
      </c>
      <c r="AG1724" s="112">
        <v>0.89534000000000002</v>
      </c>
      <c r="AI1724" s="7" t="str">
        <f>VLOOKUP($AC1724,Mapping!$E$11:$I$96,3,0)</f>
        <v>Replacement</v>
      </c>
      <c r="AJ1724" s="7" t="str">
        <f>VLOOKUP($AE1724,Mapping!$E$140:$K$2771,5,0)</f>
        <v>System Control OH</v>
      </c>
      <c r="AK1724" s="7" t="str">
        <f>VLOOKUP($AE1724,Mapping!$E$140:$K$2771,7,0)</f>
        <v>OH</v>
      </c>
      <c r="AL1724" s="7" t="str">
        <f>IFERROR(HLOOKUP(AJ1724,'Calc|Weightings'!$K$5:$M$5,1,0),"Excl")</f>
        <v>Excl</v>
      </c>
      <c r="AM1724" s="7" t="str">
        <f>VLOOKUP(AC1724,Mapping!$E$11:$I$96,5,0)</f>
        <v>SCS</v>
      </c>
      <c r="AO1724" s="134">
        <v>230</v>
      </c>
      <c r="AP1724" s="135" t="s">
        <v>2187</v>
      </c>
      <c r="AQ1724" s="135">
        <v>532500</v>
      </c>
      <c r="AR1724" s="135" t="s">
        <v>308</v>
      </c>
      <c r="AS1724" s="136">
        <v>734.76964999999996</v>
      </c>
      <c r="AU1724" s="7" t="str">
        <f>VLOOKUP($AO1724,Mapping!$E$11:$I$96,3,0)</f>
        <v>Non-network general assets - Other</v>
      </c>
      <c r="AV1724" s="7" t="str">
        <f>VLOOKUP($AQ1724,Mapping!$E$140:$K$2771,5,0)</f>
        <v>Contracts</v>
      </c>
      <c r="AW1724" s="7" t="str">
        <f>VLOOKUP($AQ1724,Mapping!$E$140:$K$2771,7,0)</f>
        <v>ENDirect</v>
      </c>
      <c r="AX1724" s="7" t="str">
        <f>IFERROR(HLOOKUP(AV1724,'Calc|Weightings'!$K$5:$M$5,1,0),"Excl")</f>
        <v>Contracts</v>
      </c>
      <c r="AY1724" s="7" t="str">
        <f>VLOOKUP(AO1724,Mapping!$E$11:$I$96,5,0)</f>
        <v>SCS</v>
      </c>
    </row>
    <row r="1725" spans="1:51" x14ac:dyDescent="0.2">
      <c r="A1725" s="7"/>
      <c r="B1725" s="7"/>
      <c r="C1725" s="7"/>
      <c r="D1725" s="7"/>
      <c r="E1725" s="36">
        <v>158</v>
      </c>
      <c r="F1725" s="36" t="s">
        <v>2169</v>
      </c>
      <c r="G1725" s="36">
        <v>531466</v>
      </c>
      <c r="H1725" s="36" t="s">
        <v>258</v>
      </c>
      <c r="I1725" s="37">
        <v>7.1467099999999997</v>
      </c>
      <c r="J1725" s="7"/>
      <c r="K1725" s="7" t="str">
        <f>VLOOKUP($E1725,Mapping!$E$11:$I$96,3,0)</f>
        <v>Replacement</v>
      </c>
      <c r="L1725" s="7" t="str">
        <f>VLOOKUP($G1725,Mapping!$E$140:$K$2771,5,0)</f>
        <v>Contracts</v>
      </c>
      <c r="M1725" s="7" t="str">
        <f>VLOOKUP($G1725,Mapping!$E$140:$K$2771,7,0)</f>
        <v>ENDirect</v>
      </c>
      <c r="N1725" s="7" t="str">
        <f>IFERROR(HLOOKUP(L1725,'Calc|Weightings'!$K$5:$M$5,1,0),"Excl")</f>
        <v>Contracts</v>
      </c>
      <c r="O1725" s="7" t="str">
        <f>VLOOKUP(E1725,Mapping!$E$11:$I$96,5,0)</f>
        <v>SCS</v>
      </c>
      <c r="Q1725" s="7"/>
      <c r="R1725" s="7"/>
      <c r="S1725" s="7"/>
      <c r="T1725" s="7"/>
      <c r="U1725" s="7"/>
      <c r="V1725" s="7"/>
      <c r="AC1725" s="111">
        <v>172</v>
      </c>
      <c r="AD1725" s="111" t="s">
        <v>2177</v>
      </c>
      <c r="AE1725" s="111">
        <v>639000</v>
      </c>
      <c r="AF1725" s="111" t="s">
        <v>2112</v>
      </c>
      <c r="AG1725" s="112">
        <v>2.63409</v>
      </c>
      <c r="AI1725" s="7" t="str">
        <f>VLOOKUP($AC1725,Mapping!$E$11:$I$96,3,0)</f>
        <v>Replacement</v>
      </c>
      <c r="AJ1725" s="7" t="str">
        <f>VLOOKUP($AE1725,Mapping!$E$140:$K$2771,5,0)</f>
        <v>PNS Corporate OH</v>
      </c>
      <c r="AK1725" s="7" t="str">
        <f>VLOOKUP($AE1725,Mapping!$E$140:$K$2771,7,0)</f>
        <v>OH</v>
      </c>
      <c r="AL1725" s="7" t="str">
        <f>IFERROR(HLOOKUP(AJ1725,'Calc|Weightings'!$K$5:$M$5,1,0),"Excl")</f>
        <v>Excl</v>
      </c>
      <c r="AM1725" s="7" t="str">
        <f>VLOOKUP(AC1725,Mapping!$E$11:$I$96,5,0)</f>
        <v>SCS</v>
      </c>
      <c r="AO1725" s="134">
        <v>240</v>
      </c>
      <c r="AP1725" s="135" t="s">
        <v>2190</v>
      </c>
      <c r="AQ1725" s="135">
        <v>140180</v>
      </c>
      <c r="AR1725" s="135" t="s">
        <v>48</v>
      </c>
      <c r="AS1725" s="136">
        <v>83.908749999999998</v>
      </c>
      <c r="AU1725" s="7" t="str">
        <f>VLOOKUP($AO1725,Mapping!$E$11:$I$96,3,0)</f>
        <v>Non-network general assets - Other</v>
      </c>
      <c r="AV1725" s="7" t="str">
        <f>VLOOKUP($AQ1725,Mapping!$E$140:$K$2771,5,0)</f>
        <v>Materials</v>
      </c>
      <c r="AW1725" s="7" t="str">
        <f>VLOOKUP($AQ1725,Mapping!$E$140:$K$2771,7,0)</f>
        <v>ENDirect</v>
      </c>
      <c r="AX1725" s="7" t="str">
        <f>IFERROR(HLOOKUP(AV1725,'Calc|Weightings'!$K$5:$M$5,1,0),"Excl")</f>
        <v>Materials</v>
      </c>
      <c r="AY1725" s="7" t="str">
        <f>VLOOKUP(AO1725,Mapping!$E$11:$I$96,5,0)</f>
        <v>SCS</v>
      </c>
    </row>
    <row r="1726" spans="1:51" x14ac:dyDescent="0.2">
      <c r="A1726" s="7"/>
      <c r="B1726" s="7"/>
      <c r="C1726" s="7"/>
      <c r="D1726" s="7"/>
      <c r="E1726" s="36">
        <v>158</v>
      </c>
      <c r="F1726" s="36" t="s">
        <v>2169</v>
      </c>
      <c r="G1726" s="36">
        <v>531467</v>
      </c>
      <c r="H1726" s="36" t="s">
        <v>259</v>
      </c>
      <c r="I1726" s="37">
        <v>6.5505300000000002</v>
      </c>
      <c r="J1726" s="7"/>
      <c r="K1726" s="7" t="str">
        <f>VLOOKUP($E1726,Mapping!$E$11:$I$96,3,0)</f>
        <v>Replacement</v>
      </c>
      <c r="L1726" s="7" t="str">
        <f>VLOOKUP($G1726,Mapping!$E$140:$K$2771,5,0)</f>
        <v>Contracts</v>
      </c>
      <c r="M1726" s="7" t="str">
        <f>VLOOKUP($G1726,Mapping!$E$140:$K$2771,7,0)</f>
        <v>ENDirect</v>
      </c>
      <c r="N1726" s="7" t="str">
        <f>IFERROR(HLOOKUP(L1726,'Calc|Weightings'!$K$5:$M$5,1,0),"Excl")</f>
        <v>Contracts</v>
      </c>
      <c r="O1726" s="7" t="str">
        <f>VLOOKUP(E1726,Mapping!$E$11:$I$96,5,0)</f>
        <v>SCS</v>
      </c>
      <c r="Q1726" s="7"/>
      <c r="R1726" s="7"/>
      <c r="S1726" s="7"/>
      <c r="T1726" s="7"/>
      <c r="U1726" s="7"/>
      <c r="V1726" s="7"/>
      <c r="AC1726" s="111">
        <v>172</v>
      </c>
      <c r="AD1726" s="111" t="s">
        <v>2177</v>
      </c>
      <c r="AE1726" s="111">
        <v>639050</v>
      </c>
      <c r="AF1726" s="111" t="s">
        <v>2113</v>
      </c>
      <c r="AG1726" s="112">
        <v>0.35583999999999999</v>
      </c>
      <c r="AI1726" s="7" t="str">
        <f>VLOOKUP($AC1726,Mapping!$E$11:$I$96,3,0)</f>
        <v>Replacement</v>
      </c>
      <c r="AJ1726" s="7" t="str">
        <f>VLOOKUP($AE1726,Mapping!$E$140:$K$2771,5,0)</f>
        <v>PNS Fleet &amp; Property OH</v>
      </c>
      <c r="AK1726" s="7" t="str">
        <f>VLOOKUP($AE1726,Mapping!$E$140:$K$2771,7,0)</f>
        <v>OH</v>
      </c>
      <c r="AL1726" s="7" t="str">
        <f>IFERROR(HLOOKUP(AJ1726,'Calc|Weightings'!$K$5:$M$5,1,0),"Excl")</f>
        <v>Excl</v>
      </c>
      <c r="AM1726" s="7" t="str">
        <f>VLOOKUP(AC1726,Mapping!$E$11:$I$96,5,0)</f>
        <v>SCS</v>
      </c>
      <c r="AO1726" s="137"/>
      <c r="AP1726" s="138"/>
      <c r="AQ1726" s="138"/>
      <c r="AR1726" s="138"/>
      <c r="AS1726" s="139"/>
    </row>
    <row r="1727" spans="1:51" x14ac:dyDescent="0.2">
      <c r="A1727" s="7"/>
      <c r="B1727" s="7"/>
      <c r="C1727" s="7"/>
      <c r="D1727" s="7"/>
      <c r="E1727" s="36">
        <v>158</v>
      </c>
      <c r="F1727" s="36" t="s">
        <v>2169</v>
      </c>
      <c r="G1727" s="36">
        <v>611860</v>
      </c>
      <c r="H1727" s="36" t="s">
        <v>2125</v>
      </c>
      <c r="I1727" s="37">
        <v>-17.54092</v>
      </c>
      <c r="J1727" s="7"/>
      <c r="K1727" s="7" t="str">
        <f>VLOOKUP($E1727,Mapping!$E$11:$I$96,3,0)</f>
        <v>Replacement</v>
      </c>
      <c r="L1727" s="7" t="str">
        <f>VLOOKUP($G1727,Mapping!$E$140:$K$2771,5,0)</f>
        <v>Labour</v>
      </c>
      <c r="M1727" s="7" t="str">
        <f>VLOOKUP($G1727,Mapping!$E$140:$K$2771,7,0)</f>
        <v>ENDirect</v>
      </c>
      <c r="N1727" s="7" t="str">
        <f>IFERROR(HLOOKUP(L1727,'Calc|Weightings'!$K$5:$M$5,1,0),"Excl")</f>
        <v>Labour</v>
      </c>
      <c r="O1727" s="7" t="str">
        <f>VLOOKUP(E1727,Mapping!$E$11:$I$96,5,0)</f>
        <v>SCS</v>
      </c>
      <c r="Q1727" s="7"/>
      <c r="R1727" s="7"/>
      <c r="S1727" s="7"/>
      <c r="T1727" s="7"/>
      <c r="U1727" s="7"/>
      <c r="V1727" s="7"/>
      <c r="AC1727" s="111">
        <v>174</v>
      </c>
      <c r="AD1727" s="111" t="s">
        <v>2178</v>
      </c>
      <c r="AE1727" s="111">
        <v>520100</v>
      </c>
      <c r="AF1727" s="111" t="s">
        <v>2072</v>
      </c>
      <c r="AG1727" s="112">
        <v>15.645200000000001</v>
      </c>
      <c r="AI1727" s="7" t="str">
        <f>VLOOKUP($AC1727,Mapping!$E$11:$I$96,3,0)</f>
        <v>Replacement</v>
      </c>
      <c r="AJ1727" s="7" t="str">
        <f>VLOOKUP($AE1727,Mapping!$E$140:$K$2771,5,0)</f>
        <v>Materials</v>
      </c>
      <c r="AK1727" s="7" t="str">
        <f>VLOOKUP($AE1727,Mapping!$E$140:$K$2771,7,0)</f>
        <v>ENDirect</v>
      </c>
      <c r="AL1727" s="7" t="str">
        <f>IFERROR(HLOOKUP(AJ1727,'Calc|Weightings'!$K$5:$M$5,1,0),"Excl")</f>
        <v>Materials</v>
      </c>
      <c r="AM1727" s="7" t="str">
        <f>VLOOKUP(AC1727,Mapping!$E$11:$I$96,5,0)</f>
        <v>SCS</v>
      </c>
      <c r="AO1727" s="7"/>
      <c r="AP1727" s="7"/>
      <c r="AQ1727" s="7"/>
      <c r="AR1727" s="7"/>
      <c r="AS1727" s="7"/>
    </row>
    <row r="1728" spans="1:51" x14ac:dyDescent="0.2">
      <c r="A1728" s="7"/>
      <c r="B1728" s="7"/>
      <c r="C1728" s="7"/>
      <c r="D1728" s="7"/>
      <c r="E1728" s="36">
        <v>158</v>
      </c>
      <c r="F1728" s="36" t="s">
        <v>2169</v>
      </c>
      <c r="G1728" s="36">
        <v>611861</v>
      </c>
      <c r="H1728" s="36" t="s">
        <v>2140</v>
      </c>
      <c r="I1728" s="37">
        <v>-7.0385600000000004</v>
      </c>
      <c r="J1728" s="7"/>
      <c r="K1728" s="7" t="str">
        <f>VLOOKUP($E1728,Mapping!$E$11:$I$96,3,0)</f>
        <v>Replacement</v>
      </c>
      <c r="L1728" s="7" t="str">
        <f>VLOOKUP($G1728,Mapping!$E$140:$K$2771,5,0)</f>
        <v>Labour</v>
      </c>
      <c r="M1728" s="7" t="str">
        <f>VLOOKUP($G1728,Mapping!$E$140:$K$2771,7,0)</f>
        <v>ENDirect</v>
      </c>
      <c r="N1728" s="7" t="str">
        <f>IFERROR(HLOOKUP(L1728,'Calc|Weightings'!$K$5:$M$5,1,0),"Excl")</f>
        <v>Labour</v>
      </c>
      <c r="O1728" s="7" t="str">
        <f>VLOOKUP(E1728,Mapping!$E$11:$I$96,5,0)</f>
        <v>SCS</v>
      </c>
      <c r="Q1728" s="7"/>
      <c r="R1728" s="7"/>
      <c r="S1728" s="7"/>
      <c r="T1728" s="7"/>
      <c r="U1728" s="7"/>
      <c r="V1728" s="7"/>
      <c r="AC1728" s="111">
        <v>174</v>
      </c>
      <c r="AD1728" s="111" t="s">
        <v>2178</v>
      </c>
      <c r="AE1728" s="111">
        <v>531464</v>
      </c>
      <c r="AF1728" s="111" t="s">
        <v>256</v>
      </c>
      <c r="AG1728" s="112">
        <v>1.8654500000000001</v>
      </c>
      <c r="AI1728" s="7" t="str">
        <f>VLOOKUP($AC1728,Mapping!$E$11:$I$96,3,0)</f>
        <v>Replacement</v>
      </c>
      <c r="AJ1728" s="7" t="str">
        <f>VLOOKUP($AE1728,Mapping!$E$140:$K$2771,5,0)</f>
        <v>Contracts</v>
      </c>
      <c r="AK1728" s="7" t="str">
        <f>VLOOKUP($AE1728,Mapping!$E$140:$K$2771,7,0)</f>
        <v>ENDirect</v>
      </c>
      <c r="AL1728" s="7" t="str">
        <f>IFERROR(HLOOKUP(AJ1728,'Calc|Weightings'!$K$5:$M$5,1,0),"Excl")</f>
        <v>Contracts</v>
      </c>
      <c r="AM1728" s="7" t="str">
        <f>VLOOKUP(AC1728,Mapping!$E$11:$I$96,5,0)</f>
        <v>SCS</v>
      </c>
      <c r="AO1728" s="7"/>
      <c r="AP1728" s="7"/>
      <c r="AQ1728" s="7"/>
      <c r="AR1728" s="7"/>
      <c r="AS1728" s="7"/>
    </row>
    <row r="1729" spans="1:45" x14ac:dyDescent="0.2">
      <c r="A1729" s="7"/>
      <c r="B1729" s="7"/>
      <c r="C1729" s="7"/>
      <c r="D1729" s="7"/>
      <c r="E1729" s="36">
        <v>158</v>
      </c>
      <c r="F1729" s="36" t="s">
        <v>2169</v>
      </c>
      <c r="G1729" s="36">
        <v>611900</v>
      </c>
      <c r="H1729" s="36" t="s">
        <v>2079</v>
      </c>
      <c r="I1729" s="37">
        <v>4.0259999999999997E-2</v>
      </c>
      <c r="J1729" s="7"/>
      <c r="K1729" s="7" t="str">
        <f>VLOOKUP($E1729,Mapping!$E$11:$I$96,3,0)</f>
        <v>Replacement</v>
      </c>
      <c r="L1729" s="7" t="str">
        <f>VLOOKUP($G1729,Mapping!$E$140:$K$2771,5,0)</f>
        <v>Contracts</v>
      </c>
      <c r="M1729" s="7" t="str">
        <f>VLOOKUP($G1729,Mapping!$E$140:$K$2771,7,0)</f>
        <v>ENDirect</v>
      </c>
      <c r="N1729" s="7" t="str">
        <f>IFERROR(HLOOKUP(L1729,'Calc|Weightings'!$K$5:$M$5,1,0),"Excl")</f>
        <v>Contracts</v>
      </c>
      <c r="O1729" s="7" t="str">
        <f>VLOOKUP(E1729,Mapping!$E$11:$I$96,5,0)</f>
        <v>SCS</v>
      </c>
      <c r="Q1729" s="7"/>
      <c r="R1729" s="7"/>
      <c r="S1729" s="7"/>
      <c r="T1729" s="7"/>
      <c r="U1729" s="7"/>
      <c r="V1729" s="7"/>
      <c r="AC1729" s="111">
        <v>174</v>
      </c>
      <c r="AD1729" s="111" t="s">
        <v>2178</v>
      </c>
      <c r="AE1729" s="111">
        <v>531467</v>
      </c>
      <c r="AF1729" s="111" t="s">
        <v>259</v>
      </c>
      <c r="AG1729" s="112">
        <v>7.2815000000000003</v>
      </c>
      <c r="AI1729" s="7" t="str">
        <f>VLOOKUP($AC1729,Mapping!$E$11:$I$96,3,0)</f>
        <v>Replacement</v>
      </c>
      <c r="AJ1729" s="7" t="str">
        <f>VLOOKUP($AE1729,Mapping!$E$140:$K$2771,5,0)</f>
        <v>Contracts</v>
      </c>
      <c r="AK1729" s="7" t="str">
        <f>VLOOKUP($AE1729,Mapping!$E$140:$K$2771,7,0)</f>
        <v>ENDirect</v>
      </c>
      <c r="AL1729" s="7" t="str">
        <f>IFERROR(HLOOKUP(AJ1729,'Calc|Weightings'!$K$5:$M$5,1,0),"Excl")</f>
        <v>Contracts</v>
      </c>
      <c r="AM1729" s="7" t="str">
        <f>VLOOKUP(AC1729,Mapping!$E$11:$I$96,5,0)</f>
        <v>SCS</v>
      </c>
      <c r="AO1729" s="7"/>
      <c r="AP1729" s="7"/>
      <c r="AQ1729" s="7"/>
      <c r="AR1729" s="7"/>
      <c r="AS1729" s="7"/>
    </row>
    <row r="1730" spans="1:45" x14ac:dyDescent="0.2">
      <c r="A1730" s="7"/>
      <c r="B1730" s="7"/>
      <c r="C1730" s="7"/>
      <c r="D1730" s="7"/>
      <c r="E1730" s="36">
        <v>158</v>
      </c>
      <c r="F1730" s="36" t="s">
        <v>2169</v>
      </c>
      <c r="G1730" s="36">
        <v>611901</v>
      </c>
      <c r="H1730" s="36" t="s">
        <v>2080</v>
      </c>
      <c r="I1730" s="37">
        <v>-2.777E-2</v>
      </c>
      <c r="J1730" s="7"/>
      <c r="K1730" s="7" t="str">
        <f>VLOOKUP($E1730,Mapping!$E$11:$I$96,3,0)</f>
        <v>Replacement</v>
      </c>
      <c r="L1730" s="7" t="str">
        <f>VLOOKUP($G1730,Mapping!$E$140:$K$2771,5,0)</f>
        <v>Contracts</v>
      </c>
      <c r="M1730" s="7" t="str">
        <f>VLOOKUP($G1730,Mapping!$E$140:$K$2771,7,0)</f>
        <v>ENDirect</v>
      </c>
      <c r="N1730" s="7" t="str">
        <f>IFERROR(HLOOKUP(L1730,'Calc|Weightings'!$K$5:$M$5,1,0),"Excl")</f>
        <v>Contracts</v>
      </c>
      <c r="O1730" s="7" t="str">
        <f>VLOOKUP(E1730,Mapping!$E$11:$I$96,5,0)</f>
        <v>SCS</v>
      </c>
      <c r="Q1730" s="7"/>
      <c r="R1730" s="7"/>
      <c r="S1730" s="7"/>
      <c r="T1730" s="7"/>
      <c r="U1730" s="7"/>
      <c r="V1730" s="7"/>
      <c r="AC1730" s="111">
        <v>174</v>
      </c>
      <c r="AD1730" s="111" t="s">
        <v>2178</v>
      </c>
      <c r="AE1730" s="111">
        <v>531468</v>
      </c>
      <c r="AF1730" s="111" t="s">
        <v>260</v>
      </c>
      <c r="AG1730" s="112">
        <v>3.7098100000000001</v>
      </c>
      <c r="AI1730" s="7" t="str">
        <f>VLOOKUP($AC1730,Mapping!$E$11:$I$96,3,0)</f>
        <v>Replacement</v>
      </c>
      <c r="AJ1730" s="7" t="str">
        <f>VLOOKUP($AE1730,Mapping!$E$140:$K$2771,5,0)</f>
        <v>Contracts</v>
      </c>
      <c r="AK1730" s="7" t="str">
        <f>VLOOKUP($AE1730,Mapping!$E$140:$K$2771,7,0)</f>
        <v>ENDirect</v>
      </c>
      <c r="AL1730" s="7" t="str">
        <f>IFERROR(HLOOKUP(AJ1730,'Calc|Weightings'!$K$5:$M$5,1,0),"Excl")</f>
        <v>Contracts</v>
      </c>
      <c r="AM1730" s="7" t="str">
        <f>VLOOKUP(AC1730,Mapping!$E$11:$I$96,5,0)</f>
        <v>SCS</v>
      </c>
      <c r="AO1730" s="7"/>
      <c r="AP1730" s="7"/>
      <c r="AQ1730" s="7"/>
      <c r="AR1730" s="7"/>
      <c r="AS1730" s="7"/>
    </row>
    <row r="1731" spans="1:45" x14ac:dyDescent="0.2">
      <c r="A1731" s="7"/>
      <c r="B1731" s="7"/>
      <c r="C1731" s="7"/>
      <c r="D1731" s="7"/>
      <c r="E1731" s="36">
        <v>158</v>
      </c>
      <c r="F1731" s="36" t="s">
        <v>2169</v>
      </c>
      <c r="G1731" s="36">
        <v>612210</v>
      </c>
      <c r="H1731" s="36" t="s">
        <v>1184</v>
      </c>
      <c r="I1731" s="37">
        <v>1.9928399999999999</v>
      </c>
      <c r="J1731" s="7"/>
      <c r="K1731" s="7" t="str">
        <f>VLOOKUP($E1731,Mapping!$E$11:$I$96,3,0)</f>
        <v>Replacement</v>
      </c>
      <c r="L1731" s="7" t="str">
        <f>VLOOKUP($G1731,Mapping!$E$140:$K$2771,5,0)</f>
        <v>Labour</v>
      </c>
      <c r="M1731" s="7" t="str">
        <f>VLOOKUP($G1731,Mapping!$E$140:$K$2771,7,0)</f>
        <v>ENDirect</v>
      </c>
      <c r="N1731" s="7" t="str">
        <f>IFERROR(HLOOKUP(L1731,'Calc|Weightings'!$K$5:$M$5,1,0),"Excl")</f>
        <v>Labour</v>
      </c>
      <c r="O1731" s="7" t="str">
        <f>VLOOKUP(E1731,Mapping!$E$11:$I$96,5,0)</f>
        <v>SCS</v>
      </c>
      <c r="Q1731" s="7"/>
      <c r="R1731" s="7"/>
      <c r="S1731" s="7"/>
      <c r="T1731" s="7"/>
      <c r="U1731" s="7"/>
      <c r="V1731" s="7"/>
      <c r="AC1731" s="111">
        <v>174</v>
      </c>
      <c r="AD1731" s="111" t="s">
        <v>2178</v>
      </c>
      <c r="AE1731" s="111">
        <v>611900</v>
      </c>
      <c r="AF1731" s="111" t="s">
        <v>2079</v>
      </c>
      <c r="AG1731" s="112">
        <v>0.74697999999999998</v>
      </c>
      <c r="AI1731" s="7" t="str">
        <f>VLOOKUP($AC1731,Mapping!$E$11:$I$96,3,0)</f>
        <v>Replacement</v>
      </c>
      <c r="AJ1731" s="7" t="str">
        <f>VLOOKUP($AE1731,Mapping!$E$140:$K$2771,5,0)</f>
        <v>Contracts</v>
      </c>
      <c r="AK1731" s="7" t="str">
        <f>VLOOKUP($AE1731,Mapping!$E$140:$K$2771,7,0)</f>
        <v>ENDirect</v>
      </c>
      <c r="AL1731" s="7" t="str">
        <f>IFERROR(HLOOKUP(AJ1731,'Calc|Weightings'!$K$5:$M$5,1,0),"Excl")</f>
        <v>Contracts</v>
      </c>
      <c r="AM1731" s="7" t="str">
        <f>VLOOKUP(AC1731,Mapping!$E$11:$I$96,5,0)</f>
        <v>SCS</v>
      </c>
      <c r="AO1731" s="7"/>
      <c r="AP1731" s="7"/>
      <c r="AQ1731" s="7"/>
      <c r="AR1731" s="7"/>
      <c r="AS1731" s="7"/>
    </row>
    <row r="1732" spans="1:45" x14ac:dyDescent="0.2">
      <c r="A1732" s="7"/>
      <c r="B1732" s="7"/>
      <c r="C1732" s="7"/>
      <c r="D1732" s="7"/>
      <c r="E1732" s="36">
        <v>158</v>
      </c>
      <c r="F1732" s="36" t="s">
        <v>2169</v>
      </c>
      <c r="G1732" s="36">
        <v>612462</v>
      </c>
      <c r="H1732" s="36" t="s">
        <v>1244</v>
      </c>
      <c r="I1732" s="37">
        <v>-0.53568000000000005</v>
      </c>
      <c r="J1732" s="7"/>
      <c r="K1732" s="7" t="str">
        <f>VLOOKUP($E1732,Mapping!$E$11:$I$96,3,0)</f>
        <v>Replacement</v>
      </c>
      <c r="L1732" s="7" t="str">
        <f>VLOOKUP($G1732,Mapping!$E$140:$K$2771,5,0)</f>
        <v>Labour</v>
      </c>
      <c r="M1732" s="7" t="str">
        <f>VLOOKUP($G1732,Mapping!$E$140:$K$2771,7,0)</f>
        <v>ENDirect</v>
      </c>
      <c r="N1732" s="7" t="str">
        <f>IFERROR(HLOOKUP(L1732,'Calc|Weightings'!$K$5:$M$5,1,0),"Excl")</f>
        <v>Labour</v>
      </c>
      <c r="O1732" s="7" t="str">
        <f>VLOOKUP(E1732,Mapping!$E$11:$I$96,5,0)</f>
        <v>SCS</v>
      </c>
      <c r="Q1732" s="7"/>
      <c r="R1732" s="7"/>
      <c r="S1732" s="7"/>
      <c r="T1732" s="7"/>
      <c r="U1732" s="7"/>
      <c r="V1732" s="7"/>
      <c r="AC1732" s="111">
        <v>174</v>
      </c>
      <c r="AD1732" s="111" t="s">
        <v>2178</v>
      </c>
      <c r="AE1732" s="111">
        <v>611901</v>
      </c>
      <c r="AF1732" s="111" t="s">
        <v>2080</v>
      </c>
      <c r="AG1732" s="112">
        <v>0.19173000000000001</v>
      </c>
      <c r="AI1732" s="7" t="str">
        <f>VLOOKUP($AC1732,Mapping!$E$11:$I$96,3,0)</f>
        <v>Replacement</v>
      </c>
      <c r="AJ1732" s="7" t="str">
        <f>VLOOKUP($AE1732,Mapping!$E$140:$K$2771,5,0)</f>
        <v>Contracts</v>
      </c>
      <c r="AK1732" s="7" t="str">
        <f>VLOOKUP($AE1732,Mapping!$E$140:$K$2771,7,0)</f>
        <v>ENDirect</v>
      </c>
      <c r="AL1732" s="7" t="str">
        <f>IFERROR(HLOOKUP(AJ1732,'Calc|Weightings'!$K$5:$M$5,1,0),"Excl")</f>
        <v>Contracts</v>
      </c>
      <c r="AM1732" s="7" t="str">
        <f>VLOOKUP(AC1732,Mapping!$E$11:$I$96,5,0)</f>
        <v>SCS</v>
      </c>
      <c r="AO1732" s="7"/>
      <c r="AP1732" s="7"/>
      <c r="AQ1732" s="7"/>
      <c r="AR1732" s="7"/>
      <c r="AS1732" s="7"/>
    </row>
    <row r="1733" spans="1:45" x14ac:dyDescent="0.2">
      <c r="A1733" s="7"/>
      <c r="B1733" s="7"/>
      <c r="C1733" s="7"/>
      <c r="D1733" s="7"/>
      <c r="E1733" s="36">
        <v>158</v>
      </c>
      <c r="F1733" s="36" t="s">
        <v>2169</v>
      </c>
      <c r="G1733" s="36">
        <v>613248</v>
      </c>
      <c r="H1733" s="36" t="s">
        <v>2383</v>
      </c>
      <c r="I1733" s="37">
        <v>0.48683999999999999</v>
      </c>
      <c r="J1733" s="7"/>
      <c r="K1733" s="7" t="str">
        <f>VLOOKUP($E1733,Mapping!$E$11:$I$96,3,0)</f>
        <v>Replacement</v>
      </c>
      <c r="L1733" s="7" t="str">
        <f>VLOOKUP($G1733,Mapping!$E$140:$K$2771,5,0)</f>
        <v>Labour</v>
      </c>
      <c r="M1733" s="7" t="str">
        <f>VLOOKUP($G1733,Mapping!$E$140:$K$2771,7,0)</f>
        <v>ENDirect</v>
      </c>
      <c r="N1733" s="7" t="str">
        <f>IFERROR(HLOOKUP(L1733,'Calc|Weightings'!$K$5:$M$5,1,0),"Excl")</f>
        <v>Labour</v>
      </c>
      <c r="O1733" s="7" t="str">
        <f>VLOOKUP(E1733,Mapping!$E$11:$I$96,5,0)</f>
        <v>SCS</v>
      </c>
      <c r="Q1733" s="7"/>
      <c r="R1733" s="7"/>
      <c r="S1733" s="7"/>
      <c r="T1733" s="7"/>
      <c r="U1733" s="7"/>
      <c r="V1733" s="7"/>
      <c r="AC1733" s="111">
        <v>174</v>
      </c>
      <c r="AD1733" s="111" t="s">
        <v>2178</v>
      </c>
      <c r="AE1733" s="111">
        <v>613240</v>
      </c>
      <c r="AF1733" s="111" t="s">
        <v>2082</v>
      </c>
      <c r="AG1733" s="112">
        <v>18.006029999999999</v>
      </c>
      <c r="AI1733" s="7" t="str">
        <f>VLOOKUP($AC1733,Mapping!$E$11:$I$96,3,0)</f>
        <v>Replacement</v>
      </c>
      <c r="AJ1733" s="7" t="str">
        <f>VLOOKUP($AE1733,Mapping!$E$140:$K$2771,5,0)</f>
        <v>Labour</v>
      </c>
      <c r="AK1733" s="7" t="str">
        <f>VLOOKUP($AE1733,Mapping!$E$140:$K$2771,7,0)</f>
        <v>ENDirect</v>
      </c>
      <c r="AL1733" s="7" t="str">
        <f>IFERROR(HLOOKUP(AJ1733,'Calc|Weightings'!$K$5:$M$5,1,0),"Excl")</f>
        <v>Labour</v>
      </c>
      <c r="AM1733" s="7" t="str">
        <f>VLOOKUP(AC1733,Mapping!$E$11:$I$96,5,0)</f>
        <v>SCS</v>
      </c>
      <c r="AO1733" s="7"/>
      <c r="AP1733" s="7"/>
      <c r="AQ1733" s="7"/>
      <c r="AR1733" s="7"/>
      <c r="AS1733" s="7"/>
    </row>
    <row r="1734" spans="1:45" x14ac:dyDescent="0.2">
      <c r="A1734" s="7"/>
      <c r="B1734" s="7"/>
      <c r="C1734" s="7"/>
      <c r="D1734" s="7"/>
      <c r="E1734" s="36">
        <v>158</v>
      </c>
      <c r="F1734" s="36" t="s">
        <v>2169</v>
      </c>
      <c r="G1734" s="36">
        <v>613278</v>
      </c>
      <c r="H1734" s="36" t="s">
        <v>2357</v>
      </c>
      <c r="I1734" s="37">
        <v>0.55996000000000001</v>
      </c>
      <c r="J1734" s="7"/>
      <c r="K1734" s="7" t="str">
        <f>VLOOKUP($E1734,Mapping!$E$11:$I$96,3,0)</f>
        <v>Replacement</v>
      </c>
      <c r="L1734" s="7" t="str">
        <f>VLOOKUP($G1734,Mapping!$E$140:$K$2771,5,0)</f>
        <v>Labour</v>
      </c>
      <c r="M1734" s="7" t="str">
        <f>VLOOKUP($G1734,Mapping!$E$140:$K$2771,7,0)</f>
        <v>ENDirect</v>
      </c>
      <c r="N1734" s="7" t="str">
        <f>IFERROR(HLOOKUP(L1734,'Calc|Weightings'!$K$5:$M$5,1,0),"Excl")</f>
        <v>Labour</v>
      </c>
      <c r="O1734" s="7" t="str">
        <f>VLOOKUP(E1734,Mapping!$E$11:$I$96,5,0)</f>
        <v>SCS</v>
      </c>
      <c r="Q1734" s="7"/>
      <c r="R1734" s="7"/>
      <c r="S1734" s="7"/>
      <c r="T1734" s="7"/>
      <c r="U1734" s="7"/>
      <c r="V1734" s="7"/>
      <c r="AC1734" s="111">
        <v>174</v>
      </c>
      <c r="AD1734" s="111" t="s">
        <v>2178</v>
      </c>
      <c r="AE1734" s="111">
        <v>613241</v>
      </c>
      <c r="AF1734" s="111" t="s">
        <v>2083</v>
      </c>
      <c r="AG1734" s="112">
        <v>0.61384000000000005</v>
      </c>
      <c r="AI1734" s="7" t="str">
        <f>VLOOKUP($AC1734,Mapping!$E$11:$I$96,3,0)</f>
        <v>Replacement</v>
      </c>
      <c r="AJ1734" s="7" t="str">
        <f>VLOOKUP($AE1734,Mapping!$E$140:$K$2771,5,0)</f>
        <v>Labour</v>
      </c>
      <c r="AK1734" s="7" t="str">
        <f>VLOOKUP($AE1734,Mapping!$E$140:$K$2771,7,0)</f>
        <v>ENDirect</v>
      </c>
      <c r="AL1734" s="7" t="str">
        <f>IFERROR(HLOOKUP(AJ1734,'Calc|Weightings'!$K$5:$M$5,1,0),"Excl")</f>
        <v>Labour</v>
      </c>
      <c r="AM1734" s="7" t="str">
        <f>VLOOKUP(AC1734,Mapping!$E$11:$I$96,5,0)</f>
        <v>SCS</v>
      </c>
      <c r="AO1734" s="7"/>
      <c r="AP1734" s="7"/>
      <c r="AQ1734" s="7"/>
      <c r="AR1734" s="7"/>
      <c r="AS1734" s="7"/>
    </row>
    <row r="1735" spans="1:45" x14ac:dyDescent="0.2">
      <c r="A1735" s="7"/>
      <c r="B1735" s="7"/>
      <c r="C1735" s="7"/>
      <c r="D1735" s="7"/>
      <c r="E1735" s="36">
        <v>158</v>
      </c>
      <c r="F1735" s="36" t="s">
        <v>2169</v>
      </c>
      <c r="G1735" s="36">
        <v>613279</v>
      </c>
      <c r="H1735" s="36" t="s">
        <v>2360</v>
      </c>
      <c r="I1735" s="37">
        <v>2.5198200000000002</v>
      </c>
      <c r="J1735" s="7"/>
      <c r="K1735" s="7" t="str">
        <f>VLOOKUP($E1735,Mapping!$E$11:$I$96,3,0)</f>
        <v>Replacement</v>
      </c>
      <c r="L1735" s="7" t="str">
        <f>VLOOKUP($G1735,Mapping!$E$140:$K$2771,5,0)</f>
        <v>Labour</v>
      </c>
      <c r="M1735" s="7" t="str">
        <f>VLOOKUP($G1735,Mapping!$E$140:$K$2771,7,0)</f>
        <v>ENDirect</v>
      </c>
      <c r="N1735" s="7" t="str">
        <f>IFERROR(HLOOKUP(L1735,'Calc|Weightings'!$K$5:$M$5,1,0),"Excl")</f>
        <v>Labour</v>
      </c>
      <c r="O1735" s="7" t="str">
        <f>VLOOKUP(E1735,Mapping!$E$11:$I$96,5,0)</f>
        <v>SCS</v>
      </c>
      <c r="Q1735" s="7"/>
      <c r="R1735" s="7"/>
      <c r="S1735" s="7"/>
      <c r="T1735" s="7"/>
      <c r="U1735" s="7"/>
      <c r="V1735" s="7"/>
      <c r="AC1735" s="111">
        <v>174</v>
      </c>
      <c r="AD1735" s="111" t="s">
        <v>2178</v>
      </c>
      <c r="AE1735" s="111">
        <v>613250</v>
      </c>
      <c r="AF1735" s="111" t="s">
        <v>2086</v>
      </c>
      <c r="AG1735" s="112">
        <v>35.934840000000001</v>
      </c>
      <c r="AI1735" s="7" t="str">
        <f>VLOOKUP($AC1735,Mapping!$E$11:$I$96,3,0)</f>
        <v>Replacement</v>
      </c>
      <c r="AJ1735" s="7" t="str">
        <f>VLOOKUP($AE1735,Mapping!$E$140:$K$2771,5,0)</f>
        <v>Labour</v>
      </c>
      <c r="AK1735" s="7" t="str">
        <f>VLOOKUP($AE1735,Mapping!$E$140:$K$2771,7,0)</f>
        <v>ENDirect</v>
      </c>
      <c r="AL1735" s="7" t="str">
        <f>IFERROR(HLOOKUP(AJ1735,'Calc|Weightings'!$K$5:$M$5,1,0),"Excl")</f>
        <v>Labour</v>
      </c>
      <c r="AM1735" s="7" t="str">
        <f>VLOOKUP(AC1735,Mapping!$E$11:$I$96,5,0)</f>
        <v>SCS</v>
      </c>
      <c r="AO1735" s="7"/>
      <c r="AP1735" s="7"/>
      <c r="AQ1735" s="7"/>
      <c r="AR1735" s="7"/>
      <c r="AS1735" s="7"/>
    </row>
    <row r="1736" spans="1:45" x14ac:dyDescent="0.2">
      <c r="A1736" s="7"/>
      <c r="B1736" s="7"/>
      <c r="C1736" s="7"/>
      <c r="D1736" s="7"/>
      <c r="E1736" s="36">
        <v>158</v>
      </c>
      <c r="F1736" s="36" t="s">
        <v>2169</v>
      </c>
      <c r="G1736" s="36">
        <v>613280</v>
      </c>
      <c r="H1736" s="36" t="s">
        <v>1342</v>
      </c>
      <c r="I1736" s="37">
        <v>5.6599999999999998E-2</v>
      </c>
      <c r="J1736" s="7"/>
      <c r="K1736" s="7" t="str">
        <f>VLOOKUP($E1736,Mapping!$E$11:$I$96,3,0)</f>
        <v>Replacement</v>
      </c>
      <c r="L1736" s="7" t="str">
        <f>VLOOKUP($G1736,Mapping!$E$140:$K$2771,5,0)</f>
        <v>Labour</v>
      </c>
      <c r="M1736" s="7" t="str">
        <f>VLOOKUP($G1736,Mapping!$E$140:$K$2771,7,0)</f>
        <v>ENDirect</v>
      </c>
      <c r="N1736" s="7" t="str">
        <f>IFERROR(HLOOKUP(L1736,'Calc|Weightings'!$K$5:$M$5,1,0),"Excl")</f>
        <v>Labour</v>
      </c>
      <c r="O1736" s="7" t="str">
        <f>VLOOKUP(E1736,Mapping!$E$11:$I$96,5,0)</f>
        <v>SCS</v>
      </c>
      <c r="Q1736" s="7"/>
      <c r="R1736" s="7"/>
      <c r="S1736" s="7"/>
      <c r="T1736" s="7"/>
      <c r="U1736" s="7"/>
      <c r="V1736" s="7"/>
      <c r="AC1736" s="111">
        <v>174</v>
      </c>
      <c r="AD1736" s="111" t="s">
        <v>2178</v>
      </c>
      <c r="AE1736" s="111">
        <v>613251</v>
      </c>
      <c r="AF1736" s="111" t="s">
        <v>2087</v>
      </c>
      <c r="AG1736" s="112">
        <v>0.67835999999999996</v>
      </c>
      <c r="AI1736" s="7" t="str">
        <f>VLOOKUP($AC1736,Mapping!$E$11:$I$96,3,0)</f>
        <v>Replacement</v>
      </c>
      <c r="AJ1736" s="7" t="str">
        <f>VLOOKUP($AE1736,Mapping!$E$140:$K$2771,5,0)</f>
        <v>Labour</v>
      </c>
      <c r="AK1736" s="7" t="str">
        <f>VLOOKUP($AE1736,Mapping!$E$140:$K$2771,7,0)</f>
        <v>ENDirect</v>
      </c>
      <c r="AL1736" s="7" t="str">
        <f>IFERROR(HLOOKUP(AJ1736,'Calc|Weightings'!$K$5:$M$5,1,0),"Excl")</f>
        <v>Labour</v>
      </c>
      <c r="AM1736" s="7" t="str">
        <f>VLOOKUP(AC1736,Mapping!$E$11:$I$96,5,0)</f>
        <v>SCS</v>
      </c>
      <c r="AO1736" s="7"/>
      <c r="AP1736" s="7"/>
      <c r="AQ1736" s="7"/>
      <c r="AR1736" s="7"/>
      <c r="AS1736" s="7"/>
    </row>
    <row r="1737" spans="1:45" x14ac:dyDescent="0.2">
      <c r="A1737" s="7"/>
      <c r="B1737" s="7"/>
      <c r="C1737" s="7"/>
      <c r="D1737" s="7"/>
      <c r="E1737" s="36">
        <v>158</v>
      </c>
      <c r="F1737" s="36" t="s">
        <v>2169</v>
      </c>
      <c r="G1737" s="36">
        <v>613290</v>
      </c>
      <c r="H1737" s="36" t="s">
        <v>2093</v>
      </c>
      <c r="I1737" s="37">
        <v>2.5495999999999999</v>
      </c>
      <c r="J1737" s="7"/>
      <c r="K1737" s="7" t="str">
        <f>VLOOKUP($E1737,Mapping!$E$11:$I$96,3,0)</f>
        <v>Replacement</v>
      </c>
      <c r="L1737" s="7" t="str">
        <f>VLOOKUP($G1737,Mapping!$E$140:$K$2771,5,0)</f>
        <v>Labour</v>
      </c>
      <c r="M1737" s="7" t="str">
        <f>VLOOKUP($G1737,Mapping!$E$140:$K$2771,7,0)</f>
        <v>ENDirect</v>
      </c>
      <c r="N1737" s="7" t="str">
        <f>IFERROR(HLOOKUP(L1737,'Calc|Weightings'!$K$5:$M$5,1,0),"Excl")</f>
        <v>Labour</v>
      </c>
      <c r="O1737" s="7" t="str">
        <f>VLOOKUP(E1737,Mapping!$E$11:$I$96,5,0)</f>
        <v>SCS</v>
      </c>
      <c r="Q1737" s="7"/>
      <c r="R1737" s="7"/>
      <c r="S1737" s="7"/>
      <c r="T1737" s="7"/>
      <c r="U1737" s="7"/>
      <c r="V1737" s="7"/>
      <c r="AC1737" s="111">
        <v>174</v>
      </c>
      <c r="AD1737" s="111" t="s">
        <v>2178</v>
      </c>
      <c r="AE1737" s="111">
        <v>613290</v>
      </c>
      <c r="AF1737" s="111" t="s">
        <v>2093</v>
      </c>
      <c r="AG1737" s="112">
        <v>0.37853999999999999</v>
      </c>
      <c r="AI1737" s="7" t="str">
        <f>VLOOKUP($AC1737,Mapping!$E$11:$I$96,3,0)</f>
        <v>Replacement</v>
      </c>
      <c r="AJ1737" s="7" t="str">
        <f>VLOOKUP($AE1737,Mapping!$E$140:$K$2771,5,0)</f>
        <v>Labour</v>
      </c>
      <c r="AK1737" s="7" t="str">
        <f>VLOOKUP($AE1737,Mapping!$E$140:$K$2771,7,0)</f>
        <v>ENDirect</v>
      </c>
      <c r="AL1737" s="7" t="str">
        <f>IFERROR(HLOOKUP(AJ1737,'Calc|Weightings'!$K$5:$M$5,1,0),"Excl")</f>
        <v>Labour</v>
      </c>
      <c r="AM1737" s="7" t="str">
        <f>VLOOKUP(AC1737,Mapping!$E$11:$I$96,5,0)</f>
        <v>SCS</v>
      </c>
      <c r="AO1737" s="7"/>
      <c r="AP1737" s="7"/>
      <c r="AQ1737" s="7"/>
      <c r="AR1737" s="7"/>
      <c r="AS1737" s="7"/>
    </row>
    <row r="1738" spans="1:45" x14ac:dyDescent="0.2">
      <c r="A1738" s="7"/>
      <c r="B1738" s="7"/>
      <c r="C1738" s="7"/>
      <c r="D1738" s="7"/>
      <c r="E1738" s="36">
        <v>158</v>
      </c>
      <c r="F1738" s="36" t="s">
        <v>2169</v>
      </c>
      <c r="G1738" s="36">
        <v>613318</v>
      </c>
      <c r="H1738" s="36" t="s">
        <v>1360</v>
      </c>
      <c r="I1738" s="37">
        <v>0.29081000000000001</v>
      </c>
      <c r="J1738" s="7"/>
      <c r="K1738" s="7" t="str">
        <f>VLOOKUP($E1738,Mapping!$E$11:$I$96,3,0)</f>
        <v>Replacement</v>
      </c>
      <c r="L1738" s="7" t="str">
        <f>VLOOKUP($G1738,Mapping!$E$140:$K$2771,5,0)</f>
        <v>Labour</v>
      </c>
      <c r="M1738" s="7" t="str">
        <f>VLOOKUP($G1738,Mapping!$E$140:$K$2771,7,0)</f>
        <v>ENDirect</v>
      </c>
      <c r="N1738" s="7" t="str">
        <f>IFERROR(HLOOKUP(L1738,'Calc|Weightings'!$K$5:$M$5,1,0),"Excl")</f>
        <v>Labour</v>
      </c>
      <c r="O1738" s="7" t="str">
        <f>VLOOKUP(E1738,Mapping!$E$11:$I$96,5,0)</f>
        <v>SCS</v>
      </c>
      <c r="Q1738" s="7"/>
      <c r="R1738" s="7"/>
      <c r="S1738" s="7"/>
      <c r="T1738" s="7"/>
      <c r="U1738" s="7"/>
      <c r="V1738" s="7"/>
      <c r="AC1738" s="111">
        <v>174</v>
      </c>
      <c r="AD1738" s="111" t="s">
        <v>2178</v>
      </c>
      <c r="AE1738" s="111">
        <v>613410</v>
      </c>
      <c r="AF1738" s="111" t="s">
        <v>2100</v>
      </c>
      <c r="AG1738" s="112">
        <v>2.9575999999999998</v>
      </c>
      <c r="AI1738" s="7" t="str">
        <f>VLOOKUP($AC1738,Mapping!$E$11:$I$96,3,0)</f>
        <v>Replacement</v>
      </c>
      <c r="AJ1738" s="7" t="str">
        <f>VLOOKUP($AE1738,Mapping!$E$140:$K$2771,5,0)</f>
        <v>Labour</v>
      </c>
      <c r="AK1738" s="7" t="str">
        <f>VLOOKUP($AE1738,Mapping!$E$140:$K$2771,7,0)</f>
        <v>ENDirect</v>
      </c>
      <c r="AL1738" s="7" t="str">
        <f>IFERROR(HLOOKUP(AJ1738,'Calc|Weightings'!$K$5:$M$5,1,0),"Excl")</f>
        <v>Labour</v>
      </c>
      <c r="AM1738" s="7" t="str">
        <f>VLOOKUP(AC1738,Mapping!$E$11:$I$96,5,0)</f>
        <v>SCS</v>
      </c>
      <c r="AO1738" s="7"/>
      <c r="AP1738" s="7"/>
      <c r="AQ1738" s="7"/>
      <c r="AR1738" s="7"/>
      <c r="AS1738" s="7"/>
    </row>
    <row r="1739" spans="1:45" x14ac:dyDescent="0.2">
      <c r="A1739" s="7"/>
      <c r="B1739" s="7"/>
      <c r="C1739" s="7"/>
      <c r="D1739" s="7"/>
      <c r="E1739" s="36">
        <v>158</v>
      </c>
      <c r="F1739" s="36" t="s">
        <v>2169</v>
      </c>
      <c r="G1739" s="36">
        <v>613350</v>
      </c>
      <c r="H1739" s="36" t="s">
        <v>2096</v>
      </c>
      <c r="I1739" s="37">
        <v>0.36834</v>
      </c>
      <c r="J1739" s="7"/>
      <c r="K1739" s="7" t="str">
        <f>VLOOKUP($E1739,Mapping!$E$11:$I$96,3,0)</f>
        <v>Replacement</v>
      </c>
      <c r="L1739" s="7" t="str">
        <f>VLOOKUP($G1739,Mapping!$E$140:$K$2771,5,0)</f>
        <v>Labour</v>
      </c>
      <c r="M1739" s="7" t="str">
        <f>VLOOKUP($G1739,Mapping!$E$140:$K$2771,7,0)</f>
        <v>ENDirect</v>
      </c>
      <c r="N1739" s="7" t="str">
        <f>IFERROR(HLOOKUP(L1739,'Calc|Weightings'!$K$5:$M$5,1,0),"Excl")</f>
        <v>Labour</v>
      </c>
      <c r="O1739" s="7" t="str">
        <f>VLOOKUP(E1739,Mapping!$E$11:$I$96,5,0)</f>
        <v>SCS</v>
      </c>
      <c r="Q1739" s="7"/>
      <c r="R1739" s="7"/>
      <c r="S1739" s="7"/>
      <c r="T1739" s="7"/>
      <c r="U1739" s="7"/>
      <c r="V1739" s="7"/>
      <c r="AC1739" s="111">
        <v>174</v>
      </c>
      <c r="AD1739" s="111" t="s">
        <v>2178</v>
      </c>
      <c r="AE1739" s="111">
        <v>613411</v>
      </c>
      <c r="AF1739" s="111" t="s">
        <v>2101</v>
      </c>
      <c r="AG1739" s="112">
        <v>0.25439000000000001</v>
      </c>
      <c r="AI1739" s="7" t="str">
        <f>VLOOKUP($AC1739,Mapping!$E$11:$I$96,3,0)</f>
        <v>Replacement</v>
      </c>
      <c r="AJ1739" s="7" t="str">
        <f>VLOOKUP($AE1739,Mapping!$E$140:$K$2771,5,0)</f>
        <v>Labour</v>
      </c>
      <c r="AK1739" s="7" t="str">
        <f>VLOOKUP($AE1739,Mapping!$E$140:$K$2771,7,0)</f>
        <v>ENDirect</v>
      </c>
      <c r="AL1739" s="7" t="str">
        <f>IFERROR(HLOOKUP(AJ1739,'Calc|Weightings'!$K$5:$M$5,1,0),"Excl")</f>
        <v>Labour</v>
      </c>
      <c r="AM1739" s="7" t="str">
        <f>VLOOKUP(AC1739,Mapping!$E$11:$I$96,5,0)</f>
        <v>SCS</v>
      </c>
      <c r="AO1739" s="7"/>
      <c r="AP1739" s="7"/>
      <c r="AQ1739" s="7"/>
      <c r="AR1739" s="7"/>
      <c r="AS1739" s="7"/>
    </row>
    <row r="1740" spans="1:45" x14ac:dyDescent="0.2">
      <c r="A1740" s="7"/>
      <c r="B1740" s="7"/>
      <c r="C1740" s="7"/>
      <c r="D1740" s="7"/>
      <c r="E1740" s="36">
        <v>158</v>
      </c>
      <c r="F1740" s="36" t="s">
        <v>2169</v>
      </c>
      <c r="G1740" s="36">
        <v>613360</v>
      </c>
      <c r="H1740" s="36" t="s">
        <v>2097</v>
      </c>
      <c r="I1740" s="37">
        <v>2.2618100000000001</v>
      </c>
      <c r="J1740" s="7"/>
      <c r="K1740" s="7" t="str">
        <f>VLOOKUP($E1740,Mapping!$E$11:$I$96,3,0)</f>
        <v>Replacement</v>
      </c>
      <c r="L1740" s="7" t="str">
        <f>VLOOKUP($G1740,Mapping!$E$140:$K$2771,5,0)</f>
        <v>Labour</v>
      </c>
      <c r="M1740" s="7" t="str">
        <f>VLOOKUP($G1740,Mapping!$E$140:$K$2771,7,0)</f>
        <v>ENDirect</v>
      </c>
      <c r="N1740" s="7" t="str">
        <f>IFERROR(HLOOKUP(L1740,'Calc|Weightings'!$K$5:$M$5,1,0),"Excl")</f>
        <v>Labour</v>
      </c>
      <c r="O1740" s="7" t="str">
        <f>VLOOKUP(E1740,Mapping!$E$11:$I$96,5,0)</f>
        <v>SCS</v>
      </c>
      <c r="Q1740" s="7"/>
      <c r="R1740" s="7"/>
      <c r="S1740" s="7"/>
      <c r="T1740" s="7"/>
      <c r="U1740" s="7"/>
      <c r="V1740" s="7"/>
      <c r="AC1740" s="111">
        <v>174</v>
      </c>
      <c r="AD1740" s="111" t="s">
        <v>2178</v>
      </c>
      <c r="AE1740" s="111">
        <v>613440</v>
      </c>
      <c r="AF1740" s="111" t="s">
        <v>2103</v>
      </c>
      <c r="AG1740" s="112">
        <v>7.11E-3</v>
      </c>
      <c r="AI1740" s="7" t="str">
        <f>VLOOKUP($AC1740,Mapping!$E$11:$I$96,3,0)</f>
        <v>Replacement</v>
      </c>
      <c r="AJ1740" s="7" t="str">
        <f>VLOOKUP($AE1740,Mapping!$E$140:$K$2771,5,0)</f>
        <v>Labour</v>
      </c>
      <c r="AK1740" s="7" t="str">
        <f>VLOOKUP($AE1740,Mapping!$E$140:$K$2771,7,0)</f>
        <v>ENDirect</v>
      </c>
      <c r="AL1740" s="7" t="str">
        <f>IFERROR(HLOOKUP(AJ1740,'Calc|Weightings'!$K$5:$M$5,1,0),"Excl")</f>
        <v>Labour</v>
      </c>
      <c r="AM1740" s="7" t="str">
        <f>VLOOKUP(AC1740,Mapping!$E$11:$I$96,5,0)</f>
        <v>SCS</v>
      </c>
      <c r="AO1740" s="7"/>
      <c r="AP1740" s="7"/>
      <c r="AQ1740" s="7"/>
      <c r="AR1740" s="7"/>
      <c r="AS1740" s="7"/>
    </row>
    <row r="1741" spans="1:45" x14ac:dyDescent="0.2">
      <c r="A1741" s="7"/>
      <c r="B1741" s="7"/>
      <c r="C1741" s="7"/>
      <c r="D1741" s="7"/>
      <c r="E1741" s="36">
        <v>158</v>
      </c>
      <c r="F1741" s="36" t="s">
        <v>2169</v>
      </c>
      <c r="G1741" s="36">
        <v>613390</v>
      </c>
      <c r="H1741" s="36" t="s">
        <v>2141</v>
      </c>
      <c r="I1741" s="37">
        <v>-3.2064599999999999</v>
      </c>
      <c r="J1741" s="7"/>
      <c r="K1741" s="7" t="str">
        <f>VLOOKUP($E1741,Mapping!$E$11:$I$96,3,0)</f>
        <v>Replacement</v>
      </c>
      <c r="L1741" s="7" t="str">
        <f>VLOOKUP($G1741,Mapping!$E$140:$K$2771,5,0)</f>
        <v>Contracts</v>
      </c>
      <c r="M1741" s="7" t="str">
        <f>VLOOKUP($G1741,Mapping!$E$140:$K$2771,7,0)</f>
        <v>ENDirect</v>
      </c>
      <c r="N1741" s="7" t="str">
        <f>IFERROR(HLOOKUP(L1741,'Calc|Weightings'!$K$5:$M$5,1,0),"Excl")</f>
        <v>Contracts</v>
      </c>
      <c r="O1741" s="7" t="str">
        <f>VLOOKUP(E1741,Mapping!$E$11:$I$96,5,0)</f>
        <v>SCS</v>
      </c>
      <c r="Q1741" s="7"/>
      <c r="R1741" s="7"/>
      <c r="S1741" s="7"/>
      <c r="T1741" s="7"/>
      <c r="U1741" s="7"/>
      <c r="V1741" s="7"/>
      <c r="AC1741" s="111">
        <v>174</v>
      </c>
      <c r="AD1741" s="111" t="s">
        <v>2178</v>
      </c>
      <c r="AE1741" s="111">
        <v>613566</v>
      </c>
      <c r="AF1741" s="111" t="s">
        <v>1482</v>
      </c>
      <c r="AG1741" s="112">
        <v>9.1288999999999998</v>
      </c>
      <c r="AI1741" s="7" t="str">
        <f>VLOOKUP($AC1741,Mapping!$E$11:$I$96,3,0)</f>
        <v>Replacement</v>
      </c>
      <c r="AJ1741" s="7" t="str">
        <f>VLOOKUP($AE1741,Mapping!$E$140:$K$2771,5,0)</f>
        <v>Labour</v>
      </c>
      <c r="AK1741" s="7" t="str">
        <f>VLOOKUP($AE1741,Mapping!$E$140:$K$2771,7,0)</f>
        <v>ENDirect</v>
      </c>
      <c r="AL1741" s="7" t="str">
        <f>IFERROR(HLOOKUP(AJ1741,'Calc|Weightings'!$K$5:$M$5,1,0),"Excl")</f>
        <v>Labour</v>
      </c>
      <c r="AM1741" s="7" t="str">
        <f>VLOOKUP(AC1741,Mapping!$E$11:$I$96,5,0)</f>
        <v>SCS</v>
      </c>
      <c r="AO1741" s="7"/>
      <c r="AP1741" s="7"/>
      <c r="AQ1741" s="7"/>
      <c r="AR1741" s="7"/>
      <c r="AS1741" s="7"/>
    </row>
    <row r="1742" spans="1:45" x14ac:dyDescent="0.2">
      <c r="A1742" s="7"/>
      <c r="B1742" s="7"/>
      <c r="C1742" s="7"/>
      <c r="D1742" s="7"/>
      <c r="E1742" s="36">
        <v>158</v>
      </c>
      <c r="F1742" s="36" t="s">
        <v>2169</v>
      </c>
      <c r="G1742" s="36">
        <v>613408</v>
      </c>
      <c r="H1742" s="36" t="s">
        <v>1418</v>
      </c>
      <c r="I1742" s="37">
        <v>8.7631200000000007</v>
      </c>
      <c r="J1742" s="7"/>
      <c r="K1742" s="7" t="str">
        <f>VLOOKUP($E1742,Mapping!$E$11:$I$96,3,0)</f>
        <v>Replacement</v>
      </c>
      <c r="L1742" s="7" t="str">
        <f>VLOOKUP($G1742,Mapping!$E$140:$K$2771,5,0)</f>
        <v>Labour</v>
      </c>
      <c r="M1742" s="7" t="str">
        <f>VLOOKUP($G1742,Mapping!$E$140:$K$2771,7,0)</f>
        <v>ENDirect</v>
      </c>
      <c r="N1742" s="7" t="str">
        <f>IFERROR(HLOOKUP(L1742,'Calc|Weightings'!$K$5:$M$5,1,0),"Excl")</f>
        <v>Labour</v>
      </c>
      <c r="O1742" s="7" t="str">
        <f>VLOOKUP(E1742,Mapping!$E$11:$I$96,5,0)</f>
        <v>SCS</v>
      </c>
      <c r="Q1742" s="7"/>
      <c r="R1742" s="7"/>
      <c r="S1742" s="7"/>
      <c r="T1742" s="7"/>
      <c r="U1742" s="7"/>
      <c r="V1742" s="7"/>
      <c r="AC1742" s="111">
        <v>174</v>
      </c>
      <c r="AD1742" s="111" t="s">
        <v>2178</v>
      </c>
      <c r="AE1742" s="111">
        <v>613567</v>
      </c>
      <c r="AF1742" s="111" t="s">
        <v>1483</v>
      </c>
      <c r="AG1742" s="112">
        <v>0.3402</v>
      </c>
      <c r="AI1742" s="7" t="str">
        <f>VLOOKUP($AC1742,Mapping!$E$11:$I$96,3,0)</f>
        <v>Replacement</v>
      </c>
      <c r="AJ1742" s="7" t="str">
        <f>VLOOKUP($AE1742,Mapping!$E$140:$K$2771,5,0)</f>
        <v>Labour</v>
      </c>
      <c r="AK1742" s="7" t="str">
        <f>VLOOKUP($AE1742,Mapping!$E$140:$K$2771,7,0)</f>
        <v>ENDirect</v>
      </c>
      <c r="AL1742" s="7" t="str">
        <f>IFERROR(HLOOKUP(AJ1742,'Calc|Weightings'!$K$5:$M$5,1,0),"Excl")</f>
        <v>Labour</v>
      </c>
      <c r="AM1742" s="7" t="str">
        <f>VLOOKUP(AC1742,Mapping!$E$11:$I$96,5,0)</f>
        <v>SCS</v>
      </c>
      <c r="AO1742" s="7"/>
      <c r="AP1742" s="7"/>
      <c r="AQ1742" s="7"/>
      <c r="AR1742" s="7"/>
      <c r="AS1742" s="7"/>
    </row>
    <row r="1743" spans="1:45" x14ac:dyDescent="0.2">
      <c r="A1743" s="7"/>
      <c r="B1743" s="7"/>
      <c r="C1743" s="7"/>
      <c r="D1743" s="7"/>
      <c r="E1743" s="36">
        <v>158</v>
      </c>
      <c r="F1743" s="36" t="s">
        <v>2169</v>
      </c>
      <c r="G1743" s="36">
        <v>613409</v>
      </c>
      <c r="H1743" s="36" t="s">
        <v>1419</v>
      </c>
      <c r="I1743" s="37">
        <v>11.136509999999999</v>
      </c>
      <c r="J1743" s="7"/>
      <c r="K1743" s="7" t="str">
        <f>VLOOKUP($E1743,Mapping!$E$11:$I$96,3,0)</f>
        <v>Replacement</v>
      </c>
      <c r="L1743" s="7" t="str">
        <f>VLOOKUP($G1743,Mapping!$E$140:$K$2771,5,0)</f>
        <v>Labour</v>
      </c>
      <c r="M1743" s="7" t="str">
        <f>VLOOKUP($G1743,Mapping!$E$140:$K$2771,7,0)</f>
        <v>ENDirect</v>
      </c>
      <c r="N1743" s="7" t="str">
        <f>IFERROR(HLOOKUP(L1743,'Calc|Weightings'!$K$5:$M$5,1,0),"Excl")</f>
        <v>Labour</v>
      </c>
      <c r="O1743" s="7" t="str">
        <f>VLOOKUP(E1743,Mapping!$E$11:$I$96,5,0)</f>
        <v>SCS</v>
      </c>
      <c r="Q1743" s="7"/>
      <c r="R1743" s="7"/>
      <c r="S1743" s="7"/>
      <c r="T1743" s="7"/>
      <c r="U1743" s="7"/>
      <c r="V1743" s="7"/>
      <c r="AC1743" s="111">
        <v>174</v>
      </c>
      <c r="AD1743" s="111" t="s">
        <v>2178</v>
      </c>
      <c r="AE1743" s="111">
        <v>634001</v>
      </c>
      <c r="AF1743" s="111" t="s">
        <v>2110</v>
      </c>
      <c r="AG1743" s="112">
        <v>7.5161699999999998</v>
      </c>
      <c r="AI1743" s="7" t="str">
        <f>VLOOKUP($AC1743,Mapping!$E$11:$I$96,3,0)</f>
        <v>Replacement</v>
      </c>
      <c r="AJ1743" s="7" t="str">
        <f>VLOOKUP($AE1743,Mapping!$E$140:$K$2771,5,0)</f>
        <v>Local OH</v>
      </c>
      <c r="AK1743" s="7" t="str">
        <f>VLOOKUP($AE1743,Mapping!$E$140:$K$2771,7,0)</f>
        <v>OH</v>
      </c>
      <c r="AL1743" s="7" t="str">
        <f>IFERROR(HLOOKUP(AJ1743,'Calc|Weightings'!$K$5:$M$5,1,0),"Excl")</f>
        <v>Excl</v>
      </c>
      <c r="AM1743" s="7" t="str">
        <f>VLOOKUP(AC1743,Mapping!$E$11:$I$96,5,0)</f>
        <v>SCS</v>
      </c>
      <c r="AO1743" s="7"/>
      <c r="AP1743" s="7"/>
      <c r="AQ1743" s="7"/>
      <c r="AR1743" s="7"/>
      <c r="AS1743" s="7"/>
    </row>
    <row r="1744" spans="1:45" x14ac:dyDescent="0.2">
      <c r="A1744" s="7"/>
      <c r="B1744" s="7"/>
      <c r="C1744" s="7"/>
      <c r="D1744" s="7"/>
      <c r="E1744" s="36">
        <v>158</v>
      </c>
      <c r="F1744" s="36" t="s">
        <v>2169</v>
      </c>
      <c r="G1744" s="36">
        <v>613439</v>
      </c>
      <c r="H1744" s="36" t="s">
        <v>1437</v>
      </c>
      <c r="I1744" s="37">
        <v>2.7998099999999999</v>
      </c>
      <c r="J1744" s="7"/>
      <c r="K1744" s="7" t="str">
        <f>VLOOKUP($E1744,Mapping!$E$11:$I$96,3,0)</f>
        <v>Replacement</v>
      </c>
      <c r="L1744" s="7" t="str">
        <f>VLOOKUP($G1744,Mapping!$E$140:$K$2771,5,0)</f>
        <v>Labour</v>
      </c>
      <c r="M1744" s="7" t="str">
        <f>VLOOKUP($G1744,Mapping!$E$140:$K$2771,7,0)</f>
        <v>ENDirect</v>
      </c>
      <c r="N1744" s="7" t="str">
        <f>IFERROR(HLOOKUP(L1744,'Calc|Weightings'!$K$5:$M$5,1,0),"Excl")</f>
        <v>Labour</v>
      </c>
      <c r="O1744" s="7" t="str">
        <f>VLOOKUP(E1744,Mapping!$E$11:$I$96,5,0)</f>
        <v>SCS</v>
      </c>
      <c r="Q1744" s="7"/>
      <c r="R1744" s="7"/>
      <c r="S1744" s="7"/>
      <c r="T1744" s="7"/>
      <c r="U1744" s="7"/>
      <c r="V1744" s="7"/>
      <c r="AC1744" s="111">
        <v>174</v>
      </c>
      <c r="AD1744" s="111" t="s">
        <v>2178</v>
      </c>
      <c r="AE1744" s="111">
        <v>635001</v>
      </c>
      <c r="AF1744" s="111" t="s">
        <v>1929</v>
      </c>
      <c r="AG1744" s="112">
        <v>4.4399800000000003</v>
      </c>
      <c r="AI1744" s="7" t="str">
        <f>VLOOKUP($AC1744,Mapping!$E$11:$I$96,3,0)</f>
        <v>Replacement</v>
      </c>
      <c r="AJ1744" s="7" t="str">
        <f>VLOOKUP($AE1744,Mapping!$E$140:$K$2771,5,0)</f>
        <v>PNS MG</v>
      </c>
      <c r="AK1744" s="7" t="str">
        <f>VLOOKUP($AE1744,Mapping!$E$140:$K$2771,7,0)</f>
        <v>ENDirect</v>
      </c>
      <c r="AL1744" s="7" t="str">
        <f>IFERROR(HLOOKUP(AJ1744,'Calc|Weightings'!$K$5:$M$5,1,0),"Excl")</f>
        <v>Excl</v>
      </c>
      <c r="AM1744" s="7" t="str">
        <f>VLOOKUP(AC1744,Mapping!$E$11:$I$96,5,0)</f>
        <v>SCS</v>
      </c>
      <c r="AO1744" s="7"/>
      <c r="AP1744" s="7"/>
      <c r="AQ1744" s="7"/>
      <c r="AR1744" s="7"/>
      <c r="AS1744" s="7"/>
    </row>
    <row r="1745" spans="1:45" x14ac:dyDescent="0.2">
      <c r="A1745" s="7"/>
      <c r="B1745" s="7"/>
      <c r="C1745" s="7"/>
      <c r="D1745" s="7"/>
      <c r="E1745" s="36">
        <v>158</v>
      </c>
      <c r="F1745" s="36" t="s">
        <v>2169</v>
      </c>
      <c r="G1745" s="36">
        <v>613680</v>
      </c>
      <c r="H1745" s="36" t="s">
        <v>2107</v>
      </c>
      <c r="I1745" s="37">
        <v>0.32343</v>
      </c>
      <c r="J1745" s="7"/>
      <c r="K1745" s="7" t="str">
        <f>VLOOKUP($E1745,Mapping!$E$11:$I$96,3,0)</f>
        <v>Replacement</v>
      </c>
      <c r="L1745" s="7" t="str">
        <f>VLOOKUP($G1745,Mapping!$E$140:$K$2771,5,0)</f>
        <v>Labour</v>
      </c>
      <c r="M1745" s="7" t="str">
        <f>VLOOKUP($G1745,Mapping!$E$140:$K$2771,7,0)</f>
        <v>ENDirect</v>
      </c>
      <c r="N1745" s="7" t="str">
        <f>IFERROR(HLOOKUP(L1745,'Calc|Weightings'!$K$5:$M$5,1,0),"Excl")</f>
        <v>Labour</v>
      </c>
      <c r="O1745" s="7" t="str">
        <f>VLOOKUP(E1745,Mapping!$E$11:$I$96,5,0)</f>
        <v>SCS</v>
      </c>
      <c r="Q1745" s="7"/>
      <c r="R1745" s="7"/>
      <c r="S1745" s="7"/>
      <c r="T1745" s="7"/>
      <c r="U1745" s="7"/>
      <c r="V1745" s="7"/>
      <c r="AC1745" s="111">
        <v>174</v>
      </c>
      <c r="AD1745" s="111" t="s">
        <v>2178</v>
      </c>
      <c r="AE1745" s="111">
        <v>636001</v>
      </c>
      <c r="AF1745" s="111" t="s">
        <v>2111</v>
      </c>
      <c r="AG1745" s="112">
        <v>1.7899400000000001</v>
      </c>
      <c r="AI1745" s="7" t="str">
        <f>VLOOKUP($AC1745,Mapping!$E$11:$I$96,3,0)</f>
        <v>Replacement</v>
      </c>
      <c r="AJ1745" s="7" t="str">
        <f>VLOOKUP($AE1745,Mapping!$E$140:$K$2771,5,0)</f>
        <v>System Control OH</v>
      </c>
      <c r="AK1745" s="7" t="str">
        <f>VLOOKUP($AE1745,Mapping!$E$140:$K$2771,7,0)</f>
        <v>OH</v>
      </c>
      <c r="AL1745" s="7" t="str">
        <f>IFERROR(HLOOKUP(AJ1745,'Calc|Weightings'!$K$5:$M$5,1,0),"Excl")</f>
        <v>Excl</v>
      </c>
      <c r="AM1745" s="7" t="str">
        <f>VLOOKUP(AC1745,Mapping!$E$11:$I$96,5,0)</f>
        <v>SCS</v>
      </c>
      <c r="AO1745" s="7"/>
      <c r="AP1745" s="7"/>
      <c r="AQ1745" s="7"/>
      <c r="AR1745" s="7"/>
      <c r="AS1745" s="7"/>
    </row>
    <row r="1746" spans="1:45" x14ac:dyDescent="0.2">
      <c r="A1746" s="7"/>
      <c r="B1746" s="7"/>
      <c r="C1746" s="7"/>
      <c r="D1746" s="7"/>
      <c r="E1746" s="36">
        <v>158</v>
      </c>
      <c r="F1746" s="36" t="s">
        <v>2169</v>
      </c>
      <c r="G1746" s="36">
        <v>613800</v>
      </c>
      <c r="H1746" s="36" t="s">
        <v>2142</v>
      </c>
      <c r="I1746" s="37">
        <v>-4.1044299999999998</v>
      </c>
      <c r="J1746" s="7"/>
      <c r="K1746" s="7" t="str">
        <f>VLOOKUP($E1746,Mapping!$E$11:$I$96,3,0)</f>
        <v>Replacement</v>
      </c>
      <c r="L1746" s="7" t="str">
        <f>VLOOKUP($G1746,Mapping!$E$140:$K$2771,5,0)</f>
        <v>Materials</v>
      </c>
      <c r="M1746" s="7" t="str">
        <f>VLOOKUP($G1746,Mapping!$E$140:$K$2771,7,0)</f>
        <v>ENDirect</v>
      </c>
      <c r="N1746" s="7" t="str">
        <f>IFERROR(HLOOKUP(L1746,'Calc|Weightings'!$K$5:$M$5,1,0),"Excl")</f>
        <v>Materials</v>
      </c>
      <c r="O1746" s="7" t="str">
        <f>VLOOKUP(E1746,Mapping!$E$11:$I$96,5,0)</f>
        <v>SCS</v>
      </c>
      <c r="Q1746" s="7"/>
      <c r="R1746" s="7"/>
      <c r="S1746" s="7"/>
      <c r="T1746" s="7"/>
      <c r="U1746" s="7"/>
      <c r="V1746" s="7"/>
      <c r="AC1746" s="111">
        <v>174</v>
      </c>
      <c r="AD1746" s="111" t="s">
        <v>2178</v>
      </c>
      <c r="AE1746" s="111">
        <v>639000</v>
      </c>
      <c r="AF1746" s="111" t="s">
        <v>2112</v>
      </c>
      <c r="AG1746" s="112">
        <v>5.2682000000000002</v>
      </c>
      <c r="AI1746" s="7" t="str">
        <f>VLOOKUP($AC1746,Mapping!$E$11:$I$96,3,0)</f>
        <v>Replacement</v>
      </c>
      <c r="AJ1746" s="7" t="str">
        <f>VLOOKUP($AE1746,Mapping!$E$140:$K$2771,5,0)</f>
        <v>PNS Corporate OH</v>
      </c>
      <c r="AK1746" s="7" t="str">
        <f>VLOOKUP($AE1746,Mapping!$E$140:$K$2771,7,0)</f>
        <v>OH</v>
      </c>
      <c r="AL1746" s="7" t="str">
        <f>IFERROR(HLOOKUP(AJ1746,'Calc|Weightings'!$K$5:$M$5,1,0),"Excl")</f>
        <v>Excl</v>
      </c>
      <c r="AM1746" s="7" t="str">
        <f>VLOOKUP(AC1746,Mapping!$E$11:$I$96,5,0)</f>
        <v>SCS</v>
      </c>
      <c r="AO1746" s="7"/>
      <c r="AP1746" s="7"/>
      <c r="AQ1746" s="7"/>
      <c r="AR1746" s="7"/>
      <c r="AS1746" s="7"/>
    </row>
    <row r="1747" spans="1:45" x14ac:dyDescent="0.2">
      <c r="A1747" s="7"/>
      <c r="B1747" s="7"/>
      <c r="C1747" s="7"/>
      <c r="D1747" s="7"/>
      <c r="E1747" s="36">
        <v>158</v>
      </c>
      <c r="F1747" s="36" t="s">
        <v>2169</v>
      </c>
      <c r="G1747" s="36">
        <v>633000</v>
      </c>
      <c r="H1747" s="36" t="s">
        <v>2202</v>
      </c>
      <c r="I1747" s="37">
        <v>4.8840000000000003</v>
      </c>
      <c r="J1747" s="7"/>
      <c r="K1747" s="7" t="str">
        <f>VLOOKUP($E1747,Mapping!$E$11:$I$96,3,0)</f>
        <v>Replacement</v>
      </c>
      <c r="L1747" s="7" t="str">
        <f>VLOOKUP($G1747,Mapping!$E$140:$K$2771,5,0)</f>
        <v>Contracts</v>
      </c>
      <c r="M1747" s="7" t="str">
        <f>VLOOKUP($G1747,Mapping!$E$140:$K$2771,7,0)</f>
        <v>OH</v>
      </c>
      <c r="N1747" s="7" t="str">
        <f>IFERROR(HLOOKUP(L1747,'Calc|Weightings'!$K$5:$M$5,1,0),"Excl")</f>
        <v>Contracts</v>
      </c>
      <c r="O1747" s="7" t="str">
        <f>VLOOKUP(E1747,Mapping!$E$11:$I$96,5,0)</f>
        <v>SCS</v>
      </c>
      <c r="Q1747" s="7"/>
      <c r="R1747" s="7"/>
      <c r="S1747" s="7"/>
      <c r="T1747" s="7"/>
      <c r="U1747" s="7"/>
      <c r="V1747" s="7"/>
      <c r="AC1747" s="111">
        <v>174</v>
      </c>
      <c r="AD1747" s="111" t="s">
        <v>2178</v>
      </c>
      <c r="AE1747" s="111">
        <v>639050</v>
      </c>
      <c r="AF1747" s="111" t="s">
        <v>2113</v>
      </c>
      <c r="AG1747" s="112">
        <v>0.69769999999999999</v>
      </c>
      <c r="AI1747" s="7" t="str">
        <f>VLOOKUP($AC1747,Mapping!$E$11:$I$96,3,0)</f>
        <v>Replacement</v>
      </c>
      <c r="AJ1747" s="7" t="str">
        <f>VLOOKUP($AE1747,Mapping!$E$140:$K$2771,5,0)</f>
        <v>PNS Fleet &amp; Property OH</v>
      </c>
      <c r="AK1747" s="7" t="str">
        <f>VLOOKUP($AE1747,Mapping!$E$140:$K$2771,7,0)</f>
        <v>OH</v>
      </c>
      <c r="AL1747" s="7" t="str">
        <f>IFERROR(HLOOKUP(AJ1747,'Calc|Weightings'!$K$5:$M$5,1,0),"Excl")</f>
        <v>Excl</v>
      </c>
      <c r="AM1747" s="7" t="str">
        <f>VLOOKUP(AC1747,Mapping!$E$11:$I$96,5,0)</f>
        <v>SCS</v>
      </c>
      <c r="AO1747" s="7"/>
      <c r="AP1747" s="7"/>
      <c r="AQ1747" s="7"/>
      <c r="AR1747" s="7"/>
      <c r="AS1747" s="7"/>
    </row>
    <row r="1748" spans="1:45" x14ac:dyDescent="0.2">
      <c r="A1748" s="7"/>
      <c r="B1748" s="7"/>
      <c r="C1748" s="7"/>
      <c r="D1748" s="7"/>
      <c r="E1748" s="36">
        <v>158</v>
      </c>
      <c r="F1748" s="36" t="s">
        <v>2169</v>
      </c>
      <c r="G1748" s="36">
        <v>634001</v>
      </c>
      <c r="H1748" s="36" t="s">
        <v>2110</v>
      </c>
      <c r="I1748" s="37">
        <v>0.45955000000000001</v>
      </c>
      <c r="J1748" s="7"/>
      <c r="K1748" s="7" t="str">
        <f>VLOOKUP($E1748,Mapping!$E$11:$I$96,3,0)</f>
        <v>Replacement</v>
      </c>
      <c r="L1748" s="7" t="str">
        <f>VLOOKUP($G1748,Mapping!$E$140:$K$2771,5,0)</f>
        <v>Local OH</v>
      </c>
      <c r="M1748" s="7" t="str">
        <f>VLOOKUP($G1748,Mapping!$E$140:$K$2771,7,0)</f>
        <v>OH</v>
      </c>
      <c r="N1748" s="7" t="str">
        <f>IFERROR(HLOOKUP(L1748,'Calc|Weightings'!$K$5:$M$5,1,0),"Excl")</f>
        <v>Excl</v>
      </c>
      <c r="O1748" s="7" t="str">
        <f>VLOOKUP(E1748,Mapping!$E$11:$I$96,5,0)</f>
        <v>SCS</v>
      </c>
      <c r="Q1748" s="7"/>
      <c r="R1748" s="7"/>
      <c r="S1748" s="7"/>
      <c r="T1748" s="7"/>
      <c r="U1748" s="7"/>
      <c r="V1748" s="7"/>
      <c r="AC1748" s="111">
        <v>175</v>
      </c>
      <c r="AD1748" s="111" t="s">
        <v>2179</v>
      </c>
      <c r="AE1748" s="111">
        <v>613927</v>
      </c>
      <c r="AF1748" s="111" t="s">
        <v>1158</v>
      </c>
      <c r="AG1748" s="112">
        <v>31.132259999999999</v>
      </c>
      <c r="AI1748" s="7" t="str">
        <f>VLOOKUP($AC1748,Mapping!$E$11:$I$96,3,0)</f>
        <v>Metering Capex</v>
      </c>
      <c r="AJ1748" s="7" t="str">
        <f>VLOOKUP($AE1748,Mapping!$E$140:$K$2771,5,0)</f>
        <v>Materials</v>
      </c>
      <c r="AK1748" s="7" t="str">
        <f>VLOOKUP($AE1748,Mapping!$E$140:$K$2771,7,0)</f>
        <v>ENDirect</v>
      </c>
      <c r="AL1748" s="7" t="str">
        <f>IFERROR(HLOOKUP(AJ1748,'Calc|Weightings'!$K$5:$M$5,1,0),"Excl")</f>
        <v>Materials</v>
      </c>
      <c r="AM1748" s="7" t="str">
        <f>VLOOKUP(AC1748,Mapping!$E$11:$I$96,5,0)</f>
        <v>Metering Services</v>
      </c>
      <c r="AO1748" s="7"/>
      <c r="AP1748" s="7"/>
      <c r="AQ1748" s="7"/>
      <c r="AR1748" s="7"/>
      <c r="AS1748" s="7"/>
    </row>
    <row r="1749" spans="1:45" x14ac:dyDescent="0.2">
      <c r="A1749" s="7"/>
      <c r="B1749" s="7"/>
      <c r="C1749" s="7"/>
      <c r="D1749" s="7"/>
      <c r="E1749" s="36">
        <v>158</v>
      </c>
      <c r="F1749" s="36" t="s">
        <v>2169</v>
      </c>
      <c r="G1749" s="36">
        <v>635001</v>
      </c>
      <c r="H1749" s="36" t="s">
        <v>1929</v>
      </c>
      <c r="I1749" s="37">
        <v>2.5152299999999999</v>
      </c>
      <c r="J1749" s="7"/>
      <c r="K1749" s="7" t="str">
        <f>VLOOKUP($E1749,Mapping!$E$11:$I$96,3,0)</f>
        <v>Replacement</v>
      </c>
      <c r="L1749" s="7" t="str">
        <f>VLOOKUP($G1749,Mapping!$E$140:$K$2771,5,0)</f>
        <v>PNS MG</v>
      </c>
      <c r="M1749" s="7" t="str">
        <f>VLOOKUP($G1749,Mapping!$E$140:$K$2771,7,0)</f>
        <v>ENDirect</v>
      </c>
      <c r="N1749" s="7" t="str">
        <f>IFERROR(HLOOKUP(L1749,'Calc|Weightings'!$K$5:$M$5,1,0),"Excl")</f>
        <v>Excl</v>
      </c>
      <c r="O1749" s="7" t="str">
        <f>VLOOKUP(E1749,Mapping!$E$11:$I$96,5,0)</f>
        <v>SCS</v>
      </c>
      <c r="Q1749" s="7"/>
      <c r="R1749" s="7"/>
      <c r="S1749" s="7"/>
      <c r="T1749" s="7"/>
      <c r="U1749" s="7"/>
      <c r="V1749" s="7"/>
      <c r="AC1749" s="111">
        <v>175</v>
      </c>
      <c r="AD1749" s="111" t="s">
        <v>2179</v>
      </c>
      <c r="AE1749" s="111">
        <v>613932</v>
      </c>
      <c r="AF1749" s="111" t="s">
        <v>718</v>
      </c>
      <c r="AG1749" s="112">
        <v>0.13367999999999999</v>
      </c>
      <c r="AI1749" s="7" t="str">
        <f>VLOOKUP($AC1749,Mapping!$E$11:$I$96,3,0)</f>
        <v>Metering Capex</v>
      </c>
      <c r="AJ1749" s="7" t="str">
        <f>VLOOKUP($AE1749,Mapping!$E$140:$K$2771,5,0)</f>
        <v>Materials</v>
      </c>
      <c r="AK1749" s="7" t="str">
        <f>VLOOKUP($AE1749,Mapping!$E$140:$K$2771,7,0)</f>
        <v>ENDirect</v>
      </c>
      <c r="AL1749" s="7" t="str">
        <f>IFERROR(HLOOKUP(AJ1749,'Calc|Weightings'!$K$5:$M$5,1,0),"Excl")</f>
        <v>Materials</v>
      </c>
      <c r="AM1749" s="7" t="str">
        <f>VLOOKUP(AC1749,Mapping!$E$11:$I$96,5,0)</f>
        <v>Metering Services</v>
      </c>
      <c r="AO1749" s="7"/>
      <c r="AP1749" s="7"/>
      <c r="AQ1749" s="7"/>
      <c r="AR1749" s="7"/>
      <c r="AS1749" s="7"/>
    </row>
    <row r="1750" spans="1:45" x14ac:dyDescent="0.2">
      <c r="A1750" s="7"/>
      <c r="B1750" s="7"/>
      <c r="C1750" s="7"/>
      <c r="D1750" s="7"/>
      <c r="E1750" s="36">
        <v>158</v>
      </c>
      <c r="F1750" s="36" t="s">
        <v>2169</v>
      </c>
      <c r="G1750" s="36">
        <v>636001</v>
      </c>
      <c r="H1750" s="36" t="s">
        <v>2111</v>
      </c>
      <c r="I1750" s="37">
        <v>0.48803999999999997</v>
      </c>
      <c r="J1750" s="7"/>
      <c r="K1750" s="7" t="str">
        <f>VLOOKUP($E1750,Mapping!$E$11:$I$96,3,0)</f>
        <v>Replacement</v>
      </c>
      <c r="L1750" s="7" t="str">
        <f>VLOOKUP($G1750,Mapping!$E$140:$K$2771,5,0)</f>
        <v>System Control OH</v>
      </c>
      <c r="M1750" s="7" t="str">
        <f>VLOOKUP($G1750,Mapping!$E$140:$K$2771,7,0)</f>
        <v>OH</v>
      </c>
      <c r="N1750" s="7" t="str">
        <f>IFERROR(HLOOKUP(L1750,'Calc|Weightings'!$K$5:$M$5,1,0),"Excl")</f>
        <v>Excl</v>
      </c>
      <c r="O1750" s="7" t="str">
        <f>VLOOKUP(E1750,Mapping!$E$11:$I$96,5,0)</f>
        <v>SCS</v>
      </c>
      <c r="Q1750" s="7"/>
      <c r="R1750" s="7"/>
      <c r="S1750" s="7"/>
      <c r="T1750" s="7"/>
      <c r="U1750" s="7"/>
      <c r="V1750" s="7"/>
      <c r="AC1750" s="111">
        <v>175</v>
      </c>
      <c r="AD1750" s="111" t="s">
        <v>2179</v>
      </c>
      <c r="AE1750" s="111">
        <v>613934</v>
      </c>
      <c r="AF1750" s="111" t="s">
        <v>720</v>
      </c>
      <c r="AG1750" s="112">
        <v>0.29293999999999998</v>
      </c>
      <c r="AI1750" s="7" t="str">
        <f>VLOOKUP($AC1750,Mapping!$E$11:$I$96,3,0)</f>
        <v>Metering Capex</v>
      </c>
      <c r="AJ1750" s="7" t="str">
        <f>VLOOKUP($AE1750,Mapping!$E$140:$K$2771,5,0)</f>
        <v>Materials</v>
      </c>
      <c r="AK1750" s="7" t="str">
        <f>VLOOKUP($AE1750,Mapping!$E$140:$K$2771,7,0)</f>
        <v>ENDirect</v>
      </c>
      <c r="AL1750" s="7" t="str">
        <f>IFERROR(HLOOKUP(AJ1750,'Calc|Weightings'!$K$5:$M$5,1,0),"Excl")</f>
        <v>Materials</v>
      </c>
      <c r="AM1750" s="7" t="str">
        <f>VLOOKUP(AC1750,Mapping!$E$11:$I$96,5,0)</f>
        <v>Metering Services</v>
      </c>
      <c r="AO1750" s="7"/>
      <c r="AP1750" s="7"/>
      <c r="AQ1750" s="7"/>
      <c r="AR1750" s="7"/>
      <c r="AS1750" s="7"/>
    </row>
    <row r="1751" spans="1:45" x14ac:dyDescent="0.2">
      <c r="A1751" s="7"/>
      <c r="B1751" s="7"/>
      <c r="C1751" s="7"/>
      <c r="D1751" s="7"/>
      <c r="E1751" s="36">
        <v>158</v>
      </c>
      <c r="F1751" s="36" t="s">
        <v>2169</v>
      </c>
      <c r="G1751" s="36">
        <v>639000</v>
      </c>
      <c r="H1751" s="36" t="s">
        <v>2112</v>
      </c>
      <c r="I1751" s="37">
        <v>0.88388</v>
      </c>
      <c r="J1751" s="7"/>
      <c r="K1751" s="7" t="str">
        <f>VLOOKUP($E1751,Mapping!$E$11:$I$96,3,0)</f>
        <v>Replacement</v>
      </c>
      <c r="L1751" s="7" t="str">
        <f>VLOOKUP($G1751,Mapping!$E$140:$K$2771,5,0)</f>
        <v>PNS Corporate OH</v>
      </c>
      <c r="M1751" s="7" t="str">
        <f>VLOOKUP($G1751,Mapping!$E$140:$K$2771,7,0)</f>
        <v>OH</v>
      </c>
      <c r="N1751" s="7" t="str">
        <f>IFERROR(HLOOKUP(L1751,'Calc|Weightings'!$K$5:$M$5,1,0),"Excl")</f>
        <v>Excl</v>
      </c>
      <c r="O1751" s="7" t="str">
        <f>VLOOKUP(E1751,Mapping!$E$11:$I$96,5,0)</f>
        <v>SCS</v>
      </c>
      <c r="Q1751" s="7"/>
      <c r="R1751" s="7"/>
      <c r="S1751" s="7"/>
      <c r="T1751" s="7"/>
      <c r="U1751" s="7"/>
      <c r="V1751" s="7"/>
      <c r="AC1751" s="111">
        <v>175</v>
      </c>
      <c r="AD1751" s="111" t="s">
        <v>2179</v>
      </c>
      <c r="AE1751" s="111">
        <v>613935</v>
      </c>
      <c r="AF1751" s="111" t="s">
        <v>721</v>
      </c>
      <c r="AG1751" s="112">
        <v>4.9820000000000003E-2</v>
      </c>
      <c r="AI1751" s="7" t="str">
        <f>VLOOKUP($AC1751,Mapping!$E$11:$I$96,3,0)</f>
        <v>Metering Capex</v>
      </c>
      <c r="AJ1751" s="7" t="str">
        <f>VLOOKUP($AE1751,Mapping!$E$140:$K$2771,5,0)</f>
        <v>Labour</v>
      </c>
      <c r="AK1751" s="7" t="str">
        <f>VLOOKUP($AE1751,Mapping!$E$140:$K$2771,7,0)</f>
        <v>ENDirect</v>
      </c>
      <c r="AL1751" s="7" t="str">
        <f>IFERROR(HLOOKUP(AJ1751,'Calc|Weightings'!$K$5:$M$5,1,0),"Excl")</f>
        <v>Labour</v>
      </c>
      <c r="AM1751" s="7" t="str">
        <f>VLOOKUP(AC1751,Mapping!$E$11:$I$96,5,0)</f>
        <v>Metering Services</v>
      </c>
      <c r="AO1751" s="7"/>
      <c r="AP1751" s="7"/>
      <c r="AQ1751" s="7"/>
      <c r="AR1751" s="7"/>
      <c r="AS1751" s="7"/>
    </row>
    <row r="1752" spans="1:45" x14ac:dyDescent="0.2">
      <c r="A1752" s="7"/>
      <c r="B1752" s="7"/>
      <c r="C1752" s="7"/>
      <c r="D1752" s="7"/>
      <c r="E1752" s="36">
        <v>158</v>
      </c>
      <c r="F1752" s="36" t="s">
        <v>2169</v>
      </c>
      <c r="G1752" s="36">
        <v>639050</v>
      </c>
      <c r="H1752" s="36" t="s">
        <v>2113</v>
      </c>
      <c r="I1752" s="37">
        <v>0.13988</v>
      </c>
      <c r="J1752" s="7"/>
      <c r="K1752" s="7" t="str">
        <f>VLOOKUP($E1752,Mapping!$E$11:$I$96,3,0)</f>
        <v>Replacement</v>
      </c>
      <c r="L1752" s="7" t="str">
        <f>VLOOKUP($G1752,Mapping!$E$140:$K$2771,5,0)</f>
        <v>PNS Fleet &amp; Property OH</v>
      </c>
      <c r="M1752" s="7" t="str">
        <f>VLOOKUP($G1752,Mapping!$E$140:$K$2771,7,0)</f>
        <v>OH</v>
      </c>
      <c r="N1752" s="7" t="str">
        <f>IFERROR(HLOOKUP(L1752,'Calc|Weightings'!$K$5:$M$5,1,0),"Excl")</f>
        <v>Excl</v>
      </c>
      <c r="O1752" s="7" t="str">
        <f>VLOOKUP(E1752,Mapping!$E$11:$I$96,5,0)</f>
        <v>SCS</v>
      </c>
      <c r="Q1752" s="7"/>
      <c r="R1752" s="7"/>
      <c r="S1752" s="7"/>
      <c r="T1752" s="7"/>
      <c r="U1752" s="7"/>
      <c r="V1752" s="7"/>
      <c r="AC1752" s="111">
        <v>175</v>
      </c>
      <c r="AD1752" s="111" t="s">
        <v>2179</v>
      </c>
      <c r="AE1752" s="111">
        <v>613937</v>
      </c>
      <c r="AF1752" s="111" t="s">
        <v>723</v>
      </c>
      <c r="AG1752" s="112">
        <v>7.4719999999999995E-2</v>
      </c>
      <c r="AI1752" s="7" t="str">
        <f>VLOOKUP($AC1752,Mapping!$E$11:$I$96,3,0)</f>
        <v>Metering Capex</v>
      </c>
      <c r="AJ1752" s="7" t="str">
        <f>VLOOKUP($AE1752,Mapping!$E$140:$K$2771,5,0)</f>
        <v>Labour</v>
      </c>
      <c r="AK1752" s="7" t="str">
        <f>VLOOKUP($AE1752,Mapping!$E$140:$K$2771,7,0)</f>
        <v>ENDirect</v>
      </c>
      <c r="AL1752" s="7" t="str">
        <f>IFERROR(HLOOKUP(AJ1752,'Calc|Weightings'!$K$5:$M$5,1,0),"Excl")</f>
        <v>Labour</v>
      </c>
      <c r="AM1752" s="7" t="str">
        <f>VLOOKUP(AC1752,Mapping!$E$11:$I$96,5,0)</f>
        <v>Metering Services</v>
      </c>
      <c r="AO1752" s="7"/>
      <c r="AP1752" s="7"/>
      <c r="AQ1752" s="7"/>
      <c r="AR1752" s="7"/>
      <c r="AS1752" s="7"/>
    </row>
    <row r="1753" spans="1:45" x14ac:dyDescent="0.2">
      <c r="A1753" s="7"/>
      <c r="B1753" s="7"/>
      <c r="C1753" s="7"/>
      <c r="D1753" s="7"/>
      <c r="E1753" s="36">
        <v>160</v>
      </c>
      <c r="F1753" s="36" t="s">
        <v>2170</v>
      </c>
      <c r="G1753" s="36">
        <v>503281</v>
      </c>
      <c r="H1753" s="36" t="s">
        <v>2198</v>
      </c>
      <c r="I1753" s="37">
        <v>7.45E-3</v>
      </c>
      <c r="J1753" s="7"/>
      <c r="K1753" s="7" t="str">
        <f>VLOOKUP($E1753,Mapping!$E$11:$I$96,3,0)</f>
        <v>Augmentation</v>
      </c>
      <c r="L1753" s="7" t="str">
        <f>VLOOKUP($G1753,Mapping!$E$140:$K$2771,5,0)</f>
        <v>Contracts</v>
      </c>
      <c r="M1753" s="7" t="str">
        <f>VLOOKUP($G1753,Mapping!$E$140:$K$2771,7,0)</f>
        <v>ENDirect</v>
      </c>
      <c r="N1753" s="7" t="str">
        <f>IFERROR(HLOOKUP(L1753,'Calc|Weightings'!$K$5:$M$5,1,0),"Excl")</f>
        <v>Contracts</v>
      </c>
      <c r="O1753" s="7" t="str">
        <f>VLOOKUP(E1753,Mapping!$E$11:$I$96,5,0)</f>
        <v>SCS</v>
      </c>
      <c r="Q1753" s="7"/>
      <c r="R1753" s="7"/>
      <c r="S1753" s="7"/>
      <c r="T1753" s="7"/>
      <c r="U1753" s="7"/>
      <c r="V1753" s="7"/>
      <c r="AC1753" s="111">
        <v>175</v>
      </c>
      <c r="AD1753" s="111" t="s">
        <v>2179</v>
      </c>
      <c r="AE1753" s="111">
        <v>634001</v>
      </c>
      <c r="AF1753" s="111" t="s">
        <v>2110</v>
      </c>
      <c r="AG1753" s="112">
        <v>4.0989999999999999E-2</v>
      </c>
      <c r="AI1753" s="7" t="str">
        <f>VLOOKUP($AC1753,Mapping!$E$11:$I$96,3,0)</f>
        <v>Metering Capex</v>
      </c>
      <c r="AJ1753" s="7" t="str">
        <f>VLOOKUP($AE1753,Mapping!$E$140:$K$2771,5,0)</f>
        <v>Local OH</v>
      </c>
      <c r="AK1753" s="7" t="str">
        <f>VLOOKUP($AE1753,Mapping!$E$140:$K$2771,7,0)</f>
        <v>OH</v>
      </c>
      <c r="AL1753" s="7" t="str">
        <f>IFERROR(HLOOKUP(AJ1753,'Calc|Weightings'!$K$5:$M$5,1,0),"Excl")</f>
        <v>Excl</v>
      </c>
      <c r="AM1753" s="7" t="str">
        <f>VLOOKUP(AC1753,Mapping!$E$11:$I$96,5,0)</f>
        <v>Metering Services</v>
      </c>
      <c r="AO1753" s="7"/>
      <c r="AP1753" s="7"/>
      <c r="AQ1753" s="7"/>
      <c r="AR1753" s="7"/>
      <c r="AS1753" s="7"/>
    </row>
    <row r="1754" spans="1:45" x14ac:dyDescent="0.2">
      <c r="A1754" s="7"/>
      <c r="B1754" s="7"/>
      <c r="C1754" s="7"/>
      <c r="D1754" s="7"/>
      <c r="E1754" s="36">
        <v>160</v>
      </c>
      <c r="F1754" s="36" t="s">
        <v>2170</v>
      </c>
      <c r="G1754" s="36">
        <v>520100</v>
      </c>
      <c r="H1754" s="36" t="s">
        <v>2072</v>
      </c>
      <c r="I1754" s="37">
        <v>133.72837000000001</v>
      </c>
      <c r="J1754" s="7"/>
      <c r="K1754" s="7" t="str">
        <f>VLOOKUP($E1754,Mapping!$E$11:$I$96,3,0)</f>
        <v>Augmentation</v>
      </c>
      <c r="L1754" s="7" t="str">
        <f>VLOOKUP($G1754,Mapping!$E$140:$K$2771,5,0)</f>
        <v>Materials</v>
      </c>
      <c r="M1754" s="7" t="str">
        <f>VLOOKUP($G1754,Mapping!$E$140:$K$2771,7,0)</f>
        <v>ENDirect</v>
      </c>
      <c r="N1754" s="7" t="str">
        <f>IFERROR(HLOOKUP(L1754,'Calc|Weightings'!$K$5:$M$5,1,0),"Excl")</f>
        <v>Materials</v>
      </c>
      <c r="O1754" s="7" t="str">
        <f>VLOOKUP(E1754,Mapping!$E$11:$I$96,5,0)</f>
        <v>SCS</v>
      </c>
      <c r="Q1754" s="7"/>
      <c r="R1754" s="7"/>
      <c r="S1754" s="7"/>
      <c r="T1754" s="7"/>
      <c r="U1754" s="7"/>
      <c r="V1754" s="7"/>
      <c r="AC1754" s="111">
        <v>175</v>
      </c>
      <c r="AD1754" s="111" t="s">
        <v>2179</v>
      </c>
      <c r="AE1754" s="111">
        <v>635001</v>
      </c>
      <c r="AF1754" s="111" t="s">
        <v>1929</v>
      </c>
      <c r="AG1754" s="112">
        <v>8.7899999999999992E-3</v>
      </c>
      <c r="AI1754" s="7" t="str">
        <f>VLOOKUP($AC1754,Mapping!$E$11:$I$96,3,0)</f>
        <v>Metering Capex</v>
      </c>
      <c r="AJ1754" s="7" t="str">
        <f>VLOOKUP($AE1754,Mapping!$E$140:$K$2771,5,0)</f>
        <v>PNS MG</v>
      </c>
      <c r="AK1754" s="7" t="str">
        <f>VLOOKUP($AE1754,Mapping!$E$140:$K$2771,7,0)</f>
        <v>ENDirect</v>
      </c>
      <c r="AL1754" s="7" t="str">
        <f>IFERROR(HLOOKUP(AJ1754,'Calc|Weightings'!$K$5:$M$5,1,0),"Excl")</f>
        <v>Excl</v>
      </c>
      <c r="AM1754" s="7" t="str">
        <f>VLOOKUP(AC1754,Mapping!$E$11:$I$96,5,0)</f>
        <v>Metering Services</v>
      </c>
      <c r="AO1754" s="7"/>
      <c r="AP1754" s="7"/>
      <c r="AQ1754" s="7"/>
      <c r="AR1754" s="7"/>
      <c r="AS1754" s="7"/>
    </row>
    <row r="1755" spans="1:45" x14ac:dyDescent="0.2">
      <c r="A1755" s="7"/>
      <c r="B1755" s="7"/>
      <c r="C1755" s="7"/>
      <c r="D1755" s="7"/>
      <c r="E1755" s="36">
        <v>160</v>
      </c>
      <c r="F1755" s="36" t="s">
        <v>2170</v>
      </c>
      <c r="G1755" s="36">
        <v>520200</v>
      </c>
      <c r="H1755" s="36" t="s">
        <v>2073</v>
      </c>
      <c r="I1755" s="37">
        <v>3.7749999999999999</v>
      </c>
      <c r="J1755" s="7"/>
      <c r="K1755" s="7" t="str">
        <f>VLOOKUP($E1755,Mapping!$E$11:$I$96,3,0)</f>
        <v>Augmentation</v>
      </c>
      <c r="L1755" s="7" t="str">
        <f>VLOOKUP($G1755,Mapping!$E$140:$K$2771,5,0)</f>
        <v>Materials</v>
      </c>
      <c r="M1755" s="7" t="str">
        <f>VLOOKUP($G1755,Mapping!$E$140:$K$2771,7,0)</f>
        <v>ENDirect</v>
      </c>
      <c r="N1755" s="7" t="str">
        <f>IFERROR(HLOOKUP(L1755,'Calc|Weightings'!$K$5:$M$5,1,0),"Excl")</f>
        <v>Materials</v>
      </c>
      <c r="O1755" s="7" t="str">
        <f>VLOOKUP(E1755,Mapping!$E$11:$I$96,5,0)</f>
        <v>SCS</v>
      </c>
      <c r="Q1755" s="7"/>
      <c r="R1755" s="7"/>
      <c r="S1755" s="7"/>
      <c r="T1755" s="7"/>
      <c r="U1755" s="7"/>
      <c r="V1755" s="7"/>
      <c r="AC1755" s="111">
        <v>175</v>
      </c>
      <c r="AD1755" s="111" t="s">
        <v>2179</v>
      </c>
      <c r="AE1755" s="111">
        <v>636001</v>
      </c>
      <c r="AF1755" s="111" t="s">
        <v>2111</v>
      </c>
      <c r="AG1755" s="112">
        <v>9.6699999999999998E-3</v>
      </c>
      <c r="AI1755" s="7" t="str">
        <f>VLOOKUP($AC1755,Mapping!$E$11:$I$96,3,0)</f>
        <v>Metering Capex</v>
      </c>
      <c r="AJ1755" s="7" t="str">
        <f>VLOOKUP($AE1755,Mapping!$E$140:$K$2771,5,0)</f>
        <v>System Control OH</v>
      </c>
      <c r="AK1755" s="7" t="str">
        <f>VLOOKUP($AE1755,Mapping!$E$140:$K$2771,7,0)</f>
        <v>OH</v>
      </c>
      <c r="AL1755" s="7" t="str">
        <f>IFERROR(HLOOKUP(AJ1755,'Calc|Weightings'!$K$5:$M$5,1,0),"Excl")</f>
        <v>Excl</v>
      </c>
      <c r="AM1755" s="7" t="str">
        <f>VLOOKUP(AC1755,Mapping!$E$11:$I$96,5,0)</f>
        <v>Metering Services</v>
      </c>
      <c r="AO1755" s="7"/>
      <c r="AP1755" s="7"/>
      <c r="AQ1755" s="7"/>
      <c r="AR1755" s="7"/>
      <c r="AS1755" s="7"/>
    </row>
    <row r="1756" spans="1:45" x14ac:dyDescent="0.2">
      <c r="A1756" s="7"/>
      <c r="B1756" s="7"/>
      <c r="C1756" s="7"/>
      <c r="D1756" s="7"/>
      <c r="E1756" s="36">
        <v>160</v>
      </c>
      <c r="F1756" s="36" t="s">
        <v>2170</v>
      </c>
      <c r="G1756" s="36">
        <v>523100</v>
      </c>
      <c r="H1756" s="36" t="s">
        <v>2074</v>
      </c>
      <c r="I1756" s="37">
        <v>0.41832999999999998</v>
      </c>
      <c r="J1756" s="7"/>
      <c r="K1756" s="7" t="str">
        <f>VLOOKUP($E1756,Mapping!$E$11:$I$96,3,0)</f>
        <v>Augmentation</v>
      </c>
      <c r="L1756" s="7" t="str">
        <f>VLOOKUP($G1756,Mapping!$E$140:$K$2771,5,0)</f>
        <v>Materials</v>
      </c>
      <c r="M1756" s="7" t="str">
        <f>VLOOKUP($G1756,Mapping!$E$140:$K$2771,7,0)</f>
        <v>ENDirect</v>
      </c>
      <c r="N1756" s="7" t="str">
        <f>IFERROR(HLOOKUP(L1756,'Calc|Weightings'!$K$5:$M$5,1,0),"Excl")</f>
        <v>Materials</v>
      </c>
      <c r="O1756" s="7" t="str">
        <f>VLOOKUP(E1756,Mapping!$E$11:$I$96,5,0)</f>
        <v>SCS</v>
      </c>
      <c r="Q1756" s="7"/>
      <c r="R1756" s="7"/>
      <c r="S1756" s="7"/>
      <c r="T1756" s="7"/>
      <c r="U1756" s="7"/>
      <c r="V1756" s="7"/>
      <c r="AC1756" s="111">
        <v>175</v>
      </c>
      <c r="AD1756" s="111" t="s">
        <v>2179</v>
      </c>
      <c r="AE1756" s="111">
        <v>639000</v>
      </c>
      <c r="AF1756" s="111" t="s">
        <v>2112</v>
      </c>
      <c r="AG1756" s="112">
        <v>2.971E-2</v>
      </c>
      <c r="AI1756" s="7" t="str">
        <f>VLOOKUP($AC1756,Mapping!$E$11:$I$96,3,0)</f>
        <v>Metering Capex</v>
      </c>
      <c r="AJ1756" s="7" t="str">
        <f>VLOOKUP($AE1756,Mapping!$E$140:$K$2771,5,0)</f>
        <v>PNS Corporate OH</v>
      </c>
      <c r="AK1756" s="7" t="str">
        <f>VLOOKUP($AE1756,Mapping!$E$140:$K$2771,7,0)</f>
        <v>OH</v>
      </c>
      <c r="AL1756" s="7" t="str">
        <f>IFERROR(HLOOKUP(AJ1756,'Calc|Weightings'!$K$5:$M$5,1,0),"Excl")</f>
        <v>Excl</v>
      </c>
      <c r="AM1756" s="7" t="str">
        <f>VLOOKUP(AC1756,Mapping!$E$11:$I$96,5,0)</f>
        <v>Metering Services</v>
      </c>
      <c r="AO1756" s="7"/>
      <c r="AP1756" s="7"/>
      <c r="AQ1756" s="7"/>
      <c r="AR1756" s="7"/>
      <c r="AS1756" s="7"/>
    </row>
    <row r="1757" spans="1:45" x14ac:dyDescent="0.2">
      <c r="A1757" s="7"/>
      <c r="B1757" s="7"/>
      <c r="C1757" s="7"/>
      <c r="D1757" s="7"/>
      <c r="E1757" s="36">
        <v>160</v>
      </c>
      <c r="F1757" s="36" t="s">
        <v>2170</v>
      </c>
      <c r="G1757" s="36">
        <v>531020</v>
      </c>
      <c r="H1757" s="36" t="s">
        <v>219</v>
      </c>
      <c r="I1757" s="37">
        <v>-3.24</v>
      </c>
      <c r="J1757" s="7"/>
      <c r="K1757" s="7" t="str">
        <f>VLOOKUP($E1757,Mapping!$E$11:$I$96,3,0)</f>
        <v>Augmentation</v>
      </c>
      <c r="L1757" s="7" t="str">
        <f>VLOOKUP($G1757,Mapping!$E$140:$K$2771,5,0)</f>
        <v>Labour</v>
      </c>
      <c r="M1757" s="7" t="str">
        <f>VLOOKUP($G1757,Mapping!$E$140:$K$2771,7,0)</f>
        <v>ENDirect</v>
      </c>
      <c r="N1757" s="7" t="str">
        <f>IFERROR(HLOOKUP(L1757,'Calc|Weightings'!$K$5:$M$5,1,0),"Excl")</f>
        <v>Labour</v>
      </c>
      <c r="O1757" s="7" t="str">
        <f>VLOOKUP(E1757,Mapping!$E$11:$I$96,5,0)</f>
        <v>SCS</v>
      </c>
      <c r="Q1757" s="7"/>
      <c r="R1757" s="7"/>
      <c r="S1757" s="7"/>
      <c r="T1757" s="7"/>
      <c r="U1757" s="7"/>
      <c r="V1757" s="7"/>
      <c r="AC1757" s="111">
        <v>175</v>
      </c>
      <c r="AD1757" s="111" t="s">
        <v>2179</v>
      </c>
      <c r="AE1757" s="111">
        <v>639050</v>
      </c>
      <c r="AF1757" s="111" t="s">
        <v>2113</v>
      </c>
      <c r="AG1757" s="112">
        <v>2.9E-4</v>
      </c>
      <c r="AI1757" s="7" t="str">
        <f>VLOOKUP($AC1757,Mapping!$E$11:$I$96,3,0)</f>
        <v>Metering Capex</v>
      </c>
      <c r="AJ1757" s="7" t="str">
        <f>VLOOKUP($AE1757,Mapping!$E$140:$K$2771,5,0)</f>
        <v>PNS Fleet &amp; Property OH</v>
      </c>
      <c r="AK1757" s="7" t="str">
        <f>VLOOKUP($AE1757,Mapping!$E$140:$K$2771,7,0)</f>
        <v>OH</v>
      </c>
      <c r="AL1757" s="7" t="str">
        <f>IFERROR(HLOOKUP(AJ1757,'Calc|Weightings'!$K$5:$M$5,1,0),"Excl")</f>
        <v>Excl</v>
      </c>
      <c r="AM1757" s="7" t="str">
        <f>VLOOKUP(AC1757,Mapping!$E$11:$I$96,5,0)</f>
        <v>Metering Services</v>
      </c>
      <c r="AO1757" s="7"/>
      <c r="AP1757" s="7"/>
      <c r="AQ1757" s="7"/>
      <c r="AR1757" s="7"/>
      <c r="AS1757" s="7"/>
    </row>
    <row r="1758" spans="1:45" x14ac:dyDescent="0.2">
      <c r="A1758" s="7"/>
      <c r="B1758" s="7"/>
      <c r="C1758" s="7"/>
      <c r="D1758" s="7"/>
      <c r="E1758" s="36">
        <v>160</v>
      </c>
      <c r="F1758" s="36" t="s">
        <v>2170</v>
      </c>
      <c r="G1758" s="36">
        <v>531035</v>
      </c>
      <c r="H1758" s="36" t="s">
        <v>244</v>
      </c>
      <c r="I1758" s="37">
        <v>4.4944600000000001</v>
      </c>
      <c r="J1758" s="7"/>
      <c r="K1758" s="7" t="str">
        <f>VLOOKUP($E1758,Mapping!$E$11:$I$96,3,0)</f>
        <v>Augmentation</v>
      </c>
      <c r="L1758" s="7" t="str">
        <f>VLOOKUP($G1758,Mapping!$E$140:$K$2771,5,0)</f>
        <v>Labour</v>
      </c>
      <c r="M1758" s="7" t="str">
        <f>VLOOKUP($G1758,Mapping!$E$140:$K$2771,7,0)</f>
        <v>ENDirect</v>
      </c>
      <c r="N1758" s="7" t="str">
        <f>IFERROR(HLOOKUP(L1758,'Calc|Weightings'!$K$5:$M$5,1,0),"Excl")</f>
        <v>Labour</v>
      </c>
      <c r="O1758" s="7" t="str">
        <f>VLOOKUP(E1758,Mapping!$E$11:$I$96,5,0)</f>
        <v>SCS</v>
      </c>
      <c r="Q1758" s="7"/>
      <c r="R1758" s="7"/>
      <c r="S1758" s="7"/>
      <c r="T1758" s="7"/>
      <c r="U1758" s="7"/>
      <c r="V1758" s="7"/>
      <c r="AC1758" s="111">
        <v>177</v>
      </c>
      <c r="AD1758" s="111" t="s">
        <v>2387</v>
      </c>
      <c r="AE1758" s="111">
        <v>503281</v>
      </c>
      <c r="AF1758" s="111" t="s">
        <v>2198</v>
      </c>
      <c r="AG1758" s="112">
        <v>2.22614</v>
      </c>
      <c r="AI1758" s="7" t="str">
        <f>VLOOKUP($AC1758,Mapping!$E$11:$I$96,3,0)</f>
        <v>Augmentation</v>
      </c>
      <c r="AJ1758" s="7" t="str">
        <f>VLOOKUP($AE1758,Mapping!$E$140:$K$2771,5,0)</f>
        <v>Contracts</v>
      </c>
      <c r="AK1758" s="7" t="str">
        <f>VLOOKUP($AE1758,Mapping!$E$140:$K$2771,7,0)</f>
        <v>ENDirect</v>
      </c>
      <c r="AL1758" s="7" t="str">
        <f>IFERROR(HLOOKUP(AJ1758,'Calc|Weightings'!$K$5:$M$5,1,0),"Excl")</f>
        <v>Contracts</v>
      </c>
      <c r="AM1758" s="7" t="str">
        <f>VLOOKUP(AC1758,Mapping!$E$11:$I$96,5,0)</f>
        <v>SCS</v>
      </c>
      <c r="AO1758" s="7"/>
      <c r="AP1758" s="7"/>
      <c r="AQ1758" s="7"/>
      <c r="AR1758" s="7"/>
      <c r="AS1758" s="7"/>
    </row>
    <row r="1759" spans="1:45" x14ac:dyDescent="0.2">
      <c r="A1759" s="7"/>
      <c r="B1759" s="7"/>
      <c r="C1759" s="7"/>
      <c r="D1759" s="7"/>
      <c r="E1759" s="36">
        <v>160</v>
      </c>
      <c r="F1759" s="36" t="s">
        <v>2170</v>
      </c>
      <c r="G1759" s="36">
        <v>531200</v>
      </c>
      <c r="H1759" s="36" t="s">
        <v>250</v>
      </c>
      <c r="I1759" s="37">
        <v>-1.984</v>
      </c>
      <c r="J1759" s="7"/>
      <c r="K1759" s="7" t="str">
        <f>VLOOKUP($E1759,Mapping!$E$11:$I$96,3,0)</f>
        <v>Augmentation</v>
      </c>
      <c r="L1759" s="7" t="str">
        <f>VLOOKUP($G1759,Mapping!$E$140:$K$2771,5,0)</f>
        <v>Contracts</v>
      </c>
      <c r="M1759" s="7" t="str">
        <f>VLOOKUP($G1759,Mapping!$E$140:$K$2771,7,0)</f>
        <v>ENDirect</v>
      </c>
      <c r="N1759" s="7" t="str">
        <f>IFERROR(HLOOKUP(L1759,'Calc|Weightings'!$K$5:$M$5,1,0),"Excl")</f>
        <v>Contracts</v>
      </c>
      <c r="O1759" s="7" t="str">
        <f>VLOOKUP(E1759,Mapping!$E$11:$I$96,5,0)</f>
        <v>SCS</v>
      </c>
      <c r="Q1759" s="7"/>
      <c r="R1759" s="7"/>
      <c r="S1759" s="7"/>
      <c r="T1759" s="7"/>
      <c r="U1759" s="7"/>
      <c r="V1759" s="7"/>
      <c r="AC1759" s="111">
        <v>177</v>
      </c>
      <c r="AD1759" s="111" t="s">
        <v>2387</v>
      </c>
      <c r="AE1759" s="111">
        <v>503330</v>
      </c>
      <c r="AF1759" s="111" t="s">
        <v>180</v>
      </c>
      <c r="AG1759" s="112">
        <v>0.32584999999999997</v>
      </c>
      <c r="AI1759" s="7" t="str">
        <f>VLOOKUP($AC1759,Mapping!$E$11:$I$96,3,0)</f>
        <v>Augmentation</v>
      </c>
      <c r="AJ1759" s="7" t="str">
        <f>VLOOKUP($AE1759,Mapping!$E$140:$K$2771,5,0)</f>
        <v>Contracts</v>
      </c>
      <c r="AK1759" s="7" t="str">
        <f>VLOOKUP($AE1759,Mapping!$E$140:$K$2771,7,0)</f>
        <v>ENDirect</v>
      </c>
      <c r="AL1759" s="7" t="str">
        <f>IFERROR(HLOOKUP(AJ1759,'Calc|Weightings'!$K$5:$M$5,1,0),"Excl")</f>
        <v>Contracts</v>
      </c>
      <c r="AM1759" s="7" t="str">
        <f>VLOOKUP(AC1759,Mapping!$E$11:$I$96,5,0)</f>
        <v>SCS</v>
      </c>
      <c r="AO1759" s="7"/>
      <c r="AP1759" s="7"/>
      <c r="AQ1759" s="7"/>
      <c r="AR1759" s="7"/>
      <c r="AS1759" s="7"/>
    </row>
    <row r="1760" spans="1:45" x14ac:dyDescent="0.2">
      <c r="A1760" s="7"/>
      <c r="B1760" s="7"/>
      <c r="C1760" s="7"/>
      <c r="D1760" s="7"/>
      <c r="E1760" s="36">
        <v>160</v>
      </c>
      <c r="F1760" s="36" t="s">
        <v>2170</v>
      </c>
      <c r="G1760" s="36">
        <v>531464</v>
      </c>
      <c r="H1760" s="36" t="s">
        <v>256</v>
      </c>
      <c r="I1760" s="37">
        <v>84.035309999999996</v>
      </c>
      <c r="J1760" s="7"/>
      <c r="K1760" s="7" t="str">
        <f>VLOOKUP($E1760,Mapping!$E$11:$I$96,3,0)</f>
        <v>Augmentation</v>
      </c>
      <c r="L1760" s="7" t="str">
        <f>VLOOKUP($G1760,Mapping!$E$140:$K$2771,5,0)</f>
        <v>Contracts</v>
      </c>
      <c r="M1760" s="7" t="str">
        <f>VLOOKUP($G1760,Mapping!$E$140:$K$2771,7,0)</f>
        <v>ENDirect</v>
      </c>
      <c r="N1760" s="7" t="str">
        <f>IFERROR(HLOOKUP(L1760,'Calc|Weightings'!$K$5:$M$5,1,0),"Excl")</f>
        <v>Contracts</v>
      </c>
      <c r="O1760" s="7" t="str">
        <f>VLOOKUP(E1760,Mapping!$E$11:$I$96,5,0)</f>
        <v>SCS</v>
      </c>
      <c r="Q1760" s="7"/>
      <c r="R1760" s="7"/>
      <c r="S1760" s="7"/>
      <c r="T1760" s="7"/>
      <c r="U1760" s="7"/>
      <c r="V1760" s="7"/>
      <c r="AC1760" s="111">
        <v>177</v>
      </c>
      <c r="AD1760" s="111" t="s">
        <v>2387</v>
      </c>
      <c r="AE1760" s="111">
        <v>503350</v>
      </c>
      <c r="AF1760" s="111" t="s">
        <v>182</v>
      </c>
      <c r="AG1760" s="112">
        <v>1.02074</v>
      </c>
      <c r="AI1760" s="7" t="str">
        <f>VLOOKUP($AC1760,Mapping!$E$11:$I$96,3,0)</f>
        <v>Augmentation</v>
      </c>
      <c r="AJ1760" s="7" t="str">
        <f>VLOOKUP($AE1760,Mapping!$E$140:$K$2771,5,0)</f>
        <v>Contracts</v>
      </c>
      <c r="AK1760" s="7" t="str">
        <f>VLOOKUP($AE1760,Mapping!$E$140:$K$2771,7,0)</f>
        <v>ENDirect</v>
      </c>
      <c r="AL1760" s="7" t="str">
        <f>IFERROR(HLOOKUP(AJ1760,'Calc|Weightings'!$K$5:$M$5,1,0),"Excl")</f>
        <v>Contracts</v>
      </c>
      <c r="AM1760" s="7" t="str">
        <f>VLOOKUP(AC1760,Mapping!$E$11:$I$96,5,0)</f>
        <v>SCS</v>
      </c>
      <c r="AO1760" s="7"/>
      <c r="AP1760" s="7"/>
      <c r="AQ1760" s="7"/>
      <c r="AR1760" s="7"/>
      <c r="AS1760" s="7"/>
    </row>
    <row r="1761" spans="1:45" x14ac:dyDescent="0.2">
      <c r="A1761" s="7"/>
      <c r="B1761" s="7"/>
      <c r="C1761" s="7"/>
      <c r="D1761" s="7"/>
      <c r="E1761" s="36">
        <v>160</v>
      </c>
      <c r="F1761" s="36" t="s">
        <v>2170</v>
      </c>
      <c r="G1761" s="36">
        <v>531466</v>
      </c>
      <c r="H1761" s="36" t="s">
        <v>258</v>
      </c>
      <c r="I1761" s="37">
        <v>23.17174</v>
      </c>
      <c r="J1761" s="7"/>
      <c r="K1761" s="7" t="str">
        <f>VLOOKUP($E1761,Mapping!$E$11:$I$96,3,0)</f>
        <v>Augmentation</v>
      </c>
      <c r="L1761" s="7" t="str">
        <f>VLOOKUP($G1761,Mapping!$E$140:$K$2771,5,0)</f>
        <v>Contracts</v>
      </c>
      <c r="M1761" s="7" t="str">
        <f>VLOOKUP($G1761,Mapping!$E$140:$K$2771,7,0)</f>
        <v>ENDirect</v>
      </c>
      <c r="N1761" s="7" t="str">
        <f>IFERROR(HLOOKUP(L1761,'Calc|Weightings'!$K$5:$M$5,1,0),"Excl")</f>
        <v>Contracts</v>
      </c>
      <c r="O1761" s="7" t="str">
        <f>VLOOKUP(E1761,Mapping!$E$11:$I$96,5,0)</f>
        <v>SCS</v>
      </c>
      <c r="Q1761" s="7"/>
      <c r="R1761" s="7"/>
      <c r="S1761" s="7"/>
      <c r="T1761" s="7"/>
      <c r="U1761" s="7"/>
      <c r="V1761" s="7"/>
      <c r="AC1761" s="111">
        <v>177</v>
      </c>
      <c r="AD1761" s="111" t="s">
        <v>2387</v>
      </c>
      <c r="AE1761" s="111">
        <v>520100</v>
      </c>
      <c r="AF1761" s="111" t="s">
        <v>2072</v>
      </c>
      <c r="AG1761" s="112">
        <v>763.53083000000004</v>
      </c>
      <c r="AI1761" s="7" t="str">
        <f>VLOOKUP($AC1761,Mapping!$E$11:$I$96,3,0)</f>
        <v>Augmentation</v>
      </c>
      <c r="AJ1761" s="7" t="str">
        <f>VLOOKUP($AE1761,Mapping!$E$140:$K$2771,5,0)</f>
        <v>Materials</v>
      </c>
      <c r="AK1761" s="7" t="str">
        <f>VLOOKUP($AE1761,Mapping!$E$140:$K$2771,7,0)</f>
        <v>ENDirect</v>
      </c>
      <c r="AL1761" s="7" t="str">
        <f>IFERROR(HLOOKUP(AJ1761,'Calc|Weightings'!$K$5:$M$5,1,0),"Excl")</f>
        <v>Materials</v>
      </c>
      <c r="AM1761" s="7" t="str">
        <f>VLOOKUP(AC1761,Mapping!$E$11:$I$96,5,0)</f>
        <v>SCS</v>
      </c>
      <c r="AO1761" s="7"/>
      <c r="AP1761" s="7"/>
      <c r="AQ1761" s="7"/>
      <c r="AR1761" s="7"/>
      <c r="AS1761" s="7"/>
    </row>
    <row r="1762" spans="1:45" x14ac:dyDescent="0.2">
      <c r="A1762" s="7"/>
      <c r="B1762" s="7"/>
      <c r="C1762" s="7"/>
      <c r="D1762" s="7"/>
      <c r="E1762" s="36">
        <v>160</v>
      </c>
      <c r="F1762" s="36" t="s">
        <v>2170</v>
      </c>
      <c r="G1762" s="36">
        <v>531467</v>
      </c>
      <c r="H1762" s="36" t="s">
        <v>259</v>
      </c>
      <c r="I1762" s="37">
        <v>36.446710000000003</v>
      </c>
      <c r="J1762" s="7"/>
      <c r="K1762" s="7" t="str">
        <f>VLOOKUP($E1762,Mapping!$E$11:$I$96,3,0)</f>
        <v>Augmentation</v>
      </c>
      <c r="L1762" s="7" t="str">
        <f>VLOOKUP($G1762,Mapping!$E$140:$K$2771,5,0)</f>
        <v>Contracts</v>
      </c>
      <c r="M1762" s="7" t="str">
        <f>VLOOKUP($G1762,Mapping!$E$140:$K$2771,7,0)</f>
        <v>ENDirect</v>
      </c>
      <c r="N1762" s="7" t="str">
        <f>IFERROR(HLOOKUP(L1762,'Calc|Weightings'!$K$5:$M$5,1,0),"Excl")</f>
        <v>Contracts</v>
      </c>
      <c r="O1762" s="7" t="str">
        <f>VLOOKUP(E1762,Mapping!$E$11:$I$96,5,0)</f>
        <v>SCS</v>
      </c>
      <c r="Q1762" s="7"/>
      <c r="R1762" s="7"/>
      <c r="S1762" s="7"/>
      <c r="T1762" s="7"/>
      <c r="U1762" s="7"/>
      <c r="V1762" s="7"/>
      <c r="AC1762" s="111">
        <v>177</v>
      </c>
      <c r="AD1762" s="111" t="s">
        <v>2387</v>
      </c>
      <c r="AE1762" s="111">
        <v>522100</v>
      </c>
      <c r="AF1762" s="111" t="s">
        <v>2115</v>
      </c>
      <c r="AG1762" s="112">
        <v>4.1889999999999997E-2</v>
      </c>
      <c r="AI1762" s="7" t="str">
        <f>VLOOKUP($AC1762,Mapping!$E$11:$I$96,3,0)</f>
        <v>Augmentation</v>
      </c>
      <c r="AJ1762" s="7" t="str">
        <f>VLOOKUP($AE1762,Mapping!$E$140:$K$2771,5,0)</f>
        <v>Materials</v>
      </c>
      <c r="AK1762" s="7" t="str">
        <f>VLOOKUP($AE1762,Mapping!$E$140:$K$2771,7,0)</f>
        <v>ENDirect</v>
      </c>
      <c r="AL1762" s="7" t="str">
        <f>IFERROR(HLOOKUP(AJ1762,'Calc|Weightings'!$K$5:$M$5,1,0),"Excl")</f>
        <v>Materials</v>
      </c>
      <c r="AM1762" s="7" t="str">
        <f>VLOOKUP(AC1762,Mapping!$E$11:$I$96,5,0)</f>
        <v>SCS</v>
      </c>
      <c r="AO1762" s="7"/>
      <c r="AP1762" s="7"/>
      <c r="AQ1762" s="7"/>
      <c r="AR1762" s="7"/>
      <c r="AS1762" s="7"/>
    </row>
    <row r="1763" spans="1:45" x14ac:dyDescent="0.2">
      <c r="A1763" s="7"/>
      <c r="B1763" s="7"/>
      <c r="C1763" s="7"/>
      <c r="D1763" s="7"/>
      <c r="E1763" s="36">
        <v>160</v>
      </c>
      <c r="F1763" s="36" t="s">
        <v>2170</v>
      </c>
      <c r="G1763" s="36">
        <v>531468</v>
      </c>
      <c r="H1763" s="36" t="s">
        <v>260</v>
      </c>
      <c r="I1763" s="37">
        <v>13.28274</v>
      </c>
      <c r="J1763" s="7"/>
      <c r="K1763" s="7" t="str">
        <f>VLOOKUP($E1763,Mapping!$E$11:$I$96,3,0)</f>
        <v>Augmentation</v>
      </c>
      <c r="L1763" s="7" t="str">
        <f>VLOOKUP($G1763,Mapping!$E$140:$K$2771,5,0)</f>
        <v>Contracts</v>
      </c>
      <c r="M1763" s="7" t="str">
        <f>VLOOKUP($G1763,Mapping!$E$140:$K$2771,7,0)</f>
        <v>ENDirect</v>
      </c>
      <c r="N1763" s="7" t="str">
        <f>IFERROR(HLOOKUP(L1763,'Calc|Weightings'!$K$5:$M$5,1,0),"Excl")</f>
        <v>Contracts</v>
      </c>
      <c r="O1763" s="7" t="str">
        <f>VLOOKUP(E1763,Mapping!$E$11:$I$96,5,0)</f>
        <v>SCS</v>
      </c>
      <c r="Q1763" s="7"/>
      <c r="R1763" s="7"/>
      <c r="S1763" s="7"/>
      <c r="T1763" s="7"/>
      <c r="U1763" s="7"/>
      <c r="V1763" s="7"/>
      <c r="AC1763" s="111">
        <v>177</v>
      </c>
      <c r="AD1763" s="111" t="s">
        <v>2387</v>
      </c>
      <c r="AE1763" s="111">
        <v>522200</v>
      </c>
      <c r="AF1763" s="111" t="s">
        <v>2121</v>
      </c>
      <c r="AG1763" s="112">
        <v>7.9500000000000005E-3</v>
      </c>
      <c r="AI1763" s="7" t="str">
        <f>VLOOKUP($AC1763,Mapping!$E$11:$I$96,3,0)</f>
        <v>Augmentation</v>
      </c>
      <c r="AJ1763" s="7" t="str">
        <f>VLOOKUP($AE1763,Mapping!$E$140:$K$2771,5,0)</f>
        <v>Materials</v>
      </c>
      <c r="AK1763" s="7" t="str">
        <f>VLOOKUP($AE1763,Mapping!$E$140:$K$2771,7,0)</f>
        <v>ENDirect</v>
      </c>
      <c r="AL1763" s="7" t="str">
        <f>IFERROR(HLOOKUP(AJ1763,'Calc|Weightings'!$K$5:$M$5,1,0),"Excl")</f>
        <v>Materials</v>
      </c>
      <c r="AM1763" s="7" t="str">
        <f>VLOOKUP(AC1763,Mapping!$E$11:$I$96,5,0)</f>
        <v>SCS</v>
      </c>
      <c r="AO1763" s="7"/>
      <c r="AP1763" s="7"/>
      <c r="AQ1763" s="7"/>
      <c r="AR1763" s="7"/>
      <c r="AS1763" s="7"/>
    </row>
    <row r="1764" spans="1:45" x14ac:dyDescent="0.2">
      <c r="A1764" s="7"/>
      <c r="B1764" s="7"/>
      <c r="C1764" s="7"/>
      <c r="D1764" s="7"/>
      <c r="E1764" s="36">
        <v>160</v>
      </c>
      <c r="F1764" s="36" t="s">
        <v>2170</v>
      </c>
      <c r="G1764" s="36">
        <v>531469</v>
      </c>
      <c r="H1764" s="36" t="s">
        <v>261</v>
      </c>
      <c r="I1764" s="37">
        <v>23.4</v>
      </c>
      <c r="J1764" s="7"/>
      <c r="K1764" s="7" t="str">
        <f>VLOOKUP($E1764,Mapping!$E$11:$I$96,3,0)</f>
        <v>Augmentation</v>
      </c>
      <c r="L1764" s="7" t="str">
        <f>VLOOKUP($G1764,Mapping!$E$140:$K$2771,5,0)</f>
        <v>Labour</v>
      </c>
      <c r="M1764" s="7" t="str">
        <f>VLOOKUP($G1764,Mapping!$E$140:$K$2771,7,0)</f>
        <v>ENDirect</v>
      </c>
      <c r="N1764" s="7" t="str">
        <f>IFERROR(HLOOKUP(L1764,'Calc|Weightings'!$K$5:$M$5,1,0),"Excl")</f>
        <v>Labour</v>
      </c>
      <c r="O1764" s="7" t="str">
        <f>VLOOKUP(E1764,Mapping!$E$11:$I$96,5,0)</f>
        <v>SCS</v>
      </c>
      <c r="Q1764" s="7"/>
      <c r="R1764" s="7"/>
      <c r="S1764" s="7"/>
      <c r="T1764" s="7"/>
      <c r="U1764" s="7"/>
      <c r="V1764" s="7"/>
      <c r="AC1764" s="111">
        <v>177</v>
      </c>
      <c r="AD1764" s="111" t="s">
        <v>2387</v>
      </c>
      <c r="AE1764" s="111">
        <v>523100</v>
      </c>
      <c r="AF1764" s="111" t="s">
        <v>2074</v>
      </c>
      <c r="AG1764" s="112">
        <v>4.4051400000000003</v>
      </c>
      <c r="AI1764" s="7" t="str">
        <f>VLOOKUP($AC1764,Mapping!$E$11:$I$96,3,0)</f>
        <v>Augmentation</v>
      </c>
      <c r="AJ1764" s="7" t="str">
        <f>VLOOKUP($AE1764,Mapping!$E$140:$K$2771,5,0)</f>
        <v>Materials</v>
      </c>
      <c r="AK1764" s="7" t="str">
        <f>VLOOKUP($AE1764,Mapping!$E$140:$K$2771,7,0)</f>
        <v>ENDirect</v>
      </c>
      <c r="AL1764" s="7" t="str">
        <f>IFERROR(HLOOKUP(AJ1764,'Calc|Weightings'!$K$5:$M$5,1,0),"Excl")</f>
        <v>Materials</v>
      </c>
      <c r="AM1764" s="7" t="str">
        <f>VLOOKUP(AC1764,Mapping!$E$11:$I$96,5,0)</f>
        <v>SCS</v>
      </c>
      <c r="AO1764" s="7"/>
      <c r="AP1764" s="7"/>
      <c r="AQ1764" s="7"/>
      <c r="AR1764" s="7"/>
      <c r="AS1764" s="7"/>
    </row>
    <row r="1765" spans="1:45" x14ac:dyDescent="0.2">
      <c r="A1765" s="7"/>
      <c r="B1765" s="7"/>
      <c r="C1765" s="7"/>
      <c r="D1765" s="7"/>
      <c r="E1765" s="36">
        <v>160</v>
      </c>
      <c r="F1765" s="36" t="s">
        <v>2170</v>
      </c>
      <c r="G1765" s="36">
        <v>531485</v>
      </c>
      <c r="H1765" s="36" t="s">
        <v>2350</v>
      </c>
      <c r="I1765" s="37">
        <v>0.02</v>
      </c>
      <c r="J1765" s="7"/>
      <c r="K1765" s="7" t="str">
        <f>VLOOKUP($E1765,Mapping!$E$11:$I$96,3,0)</f>
        <v>Augmentation</v>
      </c>
      <c r="L1765" s="7" t="str">
        <f>VLOOKUP($G1765,Mapping!$E$140:$K$2771,5,0)</f>
        <v>Contracts</v>
      </c>
      <c r="M1765" s="7" t="str">
        <f>VLOOKUP($G1765,Mapping!$E$140:$K$2771,7,0)</f>
        <v>ENDirect</v>
      </c>
      <c r="N1765" s="7" t="str">
        <f>IFERROR(HLOOKUP(L1765,'Calc|Weightings'!$K$5:$M$5,1,0),"Excl")</f>
        <v>Contracts</v>
      </c>
      <c r="O1765" s="7" t="str">
        <f>VLOOKUP(E1765,Mapping!$E$11:$I$96,5,0)</f>
        <v>SCS</v>
      </c>
      <c r="Q1765" s="7"/>
      <c r="R1765" s="7"/>
      <c r="S1765" s="7"/>
      <c r="T1765" s="7"/>
      <c r="U1765" s="7"/>
      <c r="V1765" s="7"/>
      <c r="AC1765" s="111">
        <v>177</v>
      </c>
      <c r="AD1765" s="111" t="s">
        <v>2387</v>
      </c>
      <c r="AE1765" s="111">
        <v>523300</v>
      </c>
      <c r="AF1765" s="111" t="s">
        <v>2075</v>
      </c>
      <c r="AG1765" s="112">
        <v>3.0859999999999999E-2</v>
      </c>
      <c r="AI1765" s="7" t="str">
        <f>VLOOKUP($AC1765,Mapping!$E$11:$I$96,3,0)</f>
        <v>Augmentation</v>
      </c>
      <c r="AJ1765" s="7" t="str">
        <f>VLOOKUP($AE1765,Mapping!$E$140:$K$2771,5,0)</f>
        <v>Materials</v>
      </c>
      <c r="AK1765" s="7" t="str">
        <f>VLOOKUP($AE1765,Mapping!$E$140:$K$2771,7,0)</f>
        <v>ENDirect</v>
      </c>
      <c r="AL1765" s="7" t="str">
        <f>IFERROR(HLOOKUP(AJ1765,'Calc|Weightings'!$K$5:$M$5,1,0),"Excl")</f>
        <v>Materials</v>
      </c>
      <c r="AM1765" s="7" t="str">
        <f>VLOOKUP(AC1765,Mapping!$E$11:$I$96,5,0)</f>
        <v>SCS</v>
      </c>
      <c r="AO1765" s="7"/>
      <c r="AP1765" s="7"/>
      <c r="AQ1765" s="7"/>
      <c r="AR1765" s="7"/>
      <c r="AS1765" s="7"/>
    </row>
    <row r="1766" spans="1:45" x14ac:dyDescent="0.2">
      <c r="A1766" s="7"/>
      <c r="B1766" s="7"/>
      <c r="C1766" s="7"/>
      <c r="D1766" s="7"/>
      <c r="E1766" s="36">
        <v>160</v>
      </c>
      <c r="F1766" s="36" t="s">
        <v>2170</v>
      </c>
      <c r="G1766" s="36">
        <v>531495</v>
      </c>
      <c r="H1766" s="36" t="s">
        <v>2353</v>
      </c>
      <c r="I1766" s="37">
        <v>507.97881999999998</v>
      </c>
      <c r="J1766" s="7"/>
      <c r="K1766" s="7" t="str">
        <f>VLOOKUP($E1766,Mapping!$E$11:$I$96,3,0)</f>
        <v>Augmentation</v>
      </c>
      <c r="L1766" s="7" t="str">
        <f>VLOOKUP($G1766,Mapping!$E$140:$K$2771,5,0)</f>
        <v>Contracts</v>
      </c>
      <c r="M1766" s="7" t="str">
        <f>VLOOKUP($G1766,Mapping!$E$140:$K$2771,7,0)</f>
        <v>ENDirect</v>
      </c>
      <c r="N1766" s="7" t="str">
        <f>IFERROR(HLOOKUP(L1766,'Calc|Weightings'!$K$5:$M$5,1,0),"Excl")</f>
        <v>Contracts</v>
      </c>
      <c r="O1766" s="7" t="str">
        <f>VLOOKUP(E1766,Mapping!$E$11:$I$96,5,0)</f>
        <v>SCS</v>
      </c>
      <c r="Q1766" s="7"/>
      <c r="R1766" s="7"/>
      <c r="S1766" s="7"/>
      <c r="T1766" s="7"/>
      <c r="U1766" s="7"/>
      <c r="V1766" s="7"/>
      <c r="AC1766" s="111">
        <v>177</v>
      </c>
      <c r="AD1766" s="111" t="s">
        <v>2387</v>
      </c>
      <c r="AE1766" s="111">
        <v>531000</v>
      </c>
      <c r="AF1766" s="111" t="s">
        <v>242</v>
      </c>
      <c r="AG1766" s="112">
        <v>0.23915</v>
      </c>
      <c r="AI1766" s="7" t="str">
        <f>VLOOKUP($AC1766,Mapping!$E$11:$I$96,3,0)</f>
        <v>Augmentation</v>
      </c>
      <c r="AJ1766" s="7" t="str">
        <f>VLOOKUP($AE1766,Mapping!$E$140:$K$2771,5,0)</f>
        <v>Contracts</v>
      </c>
      <c r="AK1766" s="7" t="str">
        <f>VLOOKUP($AE1766,Mapping!$E$140:$K$2771,7,0)</f>
        <v>ENDirect</v>
      </c>
      <c r="AL1766" s="7" t="str">
        <f>IFERROR(HLOOKUP(AJ1766,'Calc|Weightings'!$K$5:$M$5,1,0),"Excl")</f>
        <v>Contracts</v>
      </c>
      <c r="AM1766" s="7" t="str">
        <f>VLOOKUP(AC1766,Mapping!$E$11:$I$96,5,0)</f>
        <v>SCS</v>
      </c>
      <c r="AO1766" s="7"/>
      <c r="AP1766" s="7"/>
      <c r="AQ1766" s="7"/>
      <c r="AR1766" s="7"/>
      <c r="AS1766" s="7"/>
    </row>
    <row r="1767" spans="1:45" x14ac:dyDescent="0.2">
      <c r="A1767" s="7"/>
      <c r="B1767" s="7"/>
      <c r="C1767" s="7"/>
      <c r="D1767" s="7"/>
      <c r="E1767" s="36">
        <v>160</v>
      </c>
      <c r="F1767" s="36" t="s">
        <v>2170</v>
      </c>
      <c r="G1767" s="36">
        <v>591997</v>
      </c>
      <c r="H1767" s="36" t="s">
        <v>2194</v>
      </c>
      <c r="I1767" s="37">
        <v>9.9330000000000002E-2</v>
      </c>
      <c r="J1767" s="7"/>
      <c r="K1767" s="7" t="str">
        <f>VLOOKUP($E1767,Mapping!$E$11:$I$96,3,0)</f>
        <v>Augmentation</v>
      </c>
      <c r="L1767" s="7" t="str">
        <f>VLOOKUP($G1767,Mapping!$E$140:$K$2771,5,0)</f>
        <v>Contracts</v>
      </c>
      <c r="M1767" s="7" t="str">
        <f>VLOOKUP($G1767,Mapping!$E$140:$K$2771,7,0)</f>
        <v>ENDirect</v>
      </c>
      <c r="N1767" s="7" t="str">
        <f>IFERROR(HLOOKUP(L1767,'Calc|Weightings'!$K$5:$M$5,1,0),"Excl")</f>
        <v>Contracts</v>
      </c>
      <c r="O1767" s="7" t="str">
        <f>VLOOKUP(E1767,Mapping!$E$11:$I$96,5,0)</f>
        <v>SCS</v>
      </c>
      <c r="Q1767" s="7"/>
      <c r="R1767" s="7"/>
      <c r="S1767" s="7"/>
      <c r="T1767" s="7"/>
      <c r="U1767" s="7"/>
      <c r="V1767" s="7"/>
      <c r="AC1767" s="111">
        <v>177</v>
      </c>
      <c r="AD1767" s="111" t="s">
        <v>2387</v>
      </c>
      <c r="AE1767" s="111">
        <v>531020</v>
      </c>
      <c r="AF1767" s="111" t="s">
        <v>219</v>
      </c>
      <c r="AG1767" s="112">
        <v>31.495740000000001</v>
      </c>
      <c r="AI1767" s="7" t="str">
        <f>VLOOKUP($AC1767,Mapping!$E$11:$I$96,3,0)</f>
        <v>Augmentation</v>
      </c>
      <c r="AJ1767" s="7" t="str">
        <f>VLOOKUP($AE1767,Mapping!$E$140:$K$2771,5,0)</f>
        <v>Labour</v>
      </c>
      <c r="AK1767" s="7" t="str">
        <f>VLOOKUP($AE1767,Mapping!$E$140:$K$2771,7,0)</f>
        <v>ENDirect</v>
      </c>
      <c r="AL1767" s="7" t="str">
        <f>IFERROR(HLOOKUP(AJ1767,'Calc|Weightings'!$K$5:$M$5,1,0),"Excl")</f>
        <v>Labour</v>
      </c>
      <c r="AM1767" s="7" t="str">
        <f>VLOOKUP(AC1767,Mapping!$E$11:$I$96,5,0)</f>
        <v>SCS</v>
      </c>
      <c r="AO1767" s="7"/>
      <c r="AP1767" s="7"/>
      <c r="AQ1767" s="7"/>
      <c r="AR1767" s="7"/>
      <c r="AS1767" s="7"/>
    </row>
    <row r="1768" spans="1:45" x14ac:dyDescent="0.2">
      <c r="A1768" s="7"/>
      <c r="B1768" s="7"/>
      <c r="C1768" s="7"/>
      <c r="D1768" s="7"/>
      <c r="E1768" s="36">
        <v>160</v>
      </c>
      <c r="F1768" s="36" t="s">
        <v>2170</v>
      </c>
      <c r="G1768" s="36">
        <v>591998</v>
      </c>
      <c r="H1768" s="36" t="s">
        <v>2077</v>
      </c>
      <c r="I1768" s="37">
        <v>-2.0000000000000002E-5</v>
      </c>
      <c r="J1768" s="7"/>
      <c r="K1768" s="7" t="str">
        <f>VLOOKUP($E1768,Mapping!$E$11:$I$96,3,0)</f>
        <v>Augmentation</v>
      </c>
      <c r="L1768" s="7" t="str">
        <f>VLOOKUP($G1768,Mapping!$E$140:$K$2771,5,0)</f>
        <v>Contracts</v>
      </c>
      <c r="M1768" s="7" t="str">
        <f>VLOOKUP($G1768,Mapping!$E$140:$K$2771,7,0)</f>
        <v>ENDirect</v>
      </c>
      <c r="N1768" s="7" t="str">
        <f>IFERROR(HLOOKUP(L1768,'Calc|Weightings'!$K$5:$M$5,1,0),"Excl")</f>
        <v>Contracts</v>
      </c>
      <c r="O1768" s="7" t="str">
        <f>VLOOKUP(E1768,Mapping!$E$11:$I$96,5,0)</f>
        <v>SCS</v>
      </c>
      <c r="Q1768" s="7"/>
      <c r="R1768" s="7"/>
      <c r="S1768" s="7"/>
      <c r="T1768" s="7"/>
      <c r="U1768" s="7"/>
      <c r="V1768" s="7"/>
      <c r="AC1768" s="111">
        <v>177</v>
      </c>
      <c r="AD1768" s="111" t="s">
        <v>2387</v>
      </c>
      <c r="AE1768" s="111">
        <v>531035</v>
      </c>
      <c r="AF1768" s="111" t="s">
        <v>244</v>
      </c>
      <c r="AG1768" s="112">
        <v>1.2190000000000001</v>
      </c>
      <c r="AI1768" s="7" t="str">
        <f>VLOOKUP($AC1768,Mapping!$E$11:$I$96,3,0)</f>
        <v>Augmentation</v>
      </c>
      <c r="AJ1768" s="7" t="str">
        <f>VLOOKUP($AE1768,Mapping!$E$140:$K$2771,5,0)</f>
        <v>Labour</v>
      </c>
      <c r="AK1768" s="7" t="str">
        <f>VLOOKUP($AE1768,Mapping!$E$140:$K$2771,7,0)</f>
        <v>ENDirect</v>
      </c>
      <c r="AL1768" s="7" t="str">
        <f>IFERROR(HLOOKUP(AJ1768,'Calc|Weightings'!$K$5:$M$5,1,0),"Excl")</f>
        <v>Labour</v>
      </c>
      <c r="AM1768" s="7" t="str">
        <f>VLOOKUP(AC1768,Mapping!$E$11:$I$96,5,0)</f>
        <v>SCS</v>
      </c>
      <c r="AO1768" s="7"/>
      <c r="AP1768" s="7"/>
      <c r="AQ1768" s="7"/>
      <c r="AR1768" s="7"/>
      <c r="AS1768" s="7"/>
    </row>
    <row r="1769" spans="1:45" x14ac:dyDescent="0.2">
      <c r="A1769" s="7"/>
      <c r="B1769" s="7"/>
      <c r="C1769" s="7"/>
      <c r="D1769" s="7"/>
      <c r="E1769" s="36">
        <v>160</v>
      </c>
      <c r="F1769" s="36" t="s">
        <v>2170</v>
      </c>
      <c r="G1769" s="36">
        <v>591999</v>
      </c>
      <c r="H1769" s="36" t="s">
        <v>2195</v>
      </c>
      <c r="I1769" s="37">
        <v>4.3941800000000004</v>
      </c>
      <c r="J1769" s="7"/>
      <c r="K1769" s="7" t="str">
        <f>VLOOKUP($E1769,Mapping!$E$11:$I$96,3,0)</f>
        <v>Augmentation</v>
      </c>
      <c r="L1769" s="7" t="str">
        <f>VLOOKUP($G1769,Mapping!$E$140:$K$2771,5,0)</f>
        <v>Contracts</v>
      </c>
      <c r="M1769" s="7" t="str">
        <f>VLOOKUP($G1769,Mapping!$E$140:$K$2771,7,0)</f>
        <v>ENDirect</v>
      </c>
      <c r="N1769" s="7" t="str">
        <f>IFERROR(HLOOKUP(L1769,'Calc|Weightings'!$K$5:$M$5,1,0),"Excl")</f>
        <v>Contracts</v>
      </c>
      <c r="O1769" s="7" t="str">
        <f>VLOOKUP(E1769,Mapping!$E$11:$I$96,5,0)</f>
        <v>SCS</v>
      </c>
      <c r="Q1769" s="7"/>
      <c r="R1769" s="7"/>
      <c r="S1769" s="7"/>
      <c r="T1769" s="7"/>
      <c r="U1769" s="7"/>
      <c r="V1769" s="7"/>
      <c r="AC1769" s="111">
        <v>177</v>
      </c>
      <c r="AD1769" s="111" t="s">
        <v>2387</v>
      </c>
      <c r="AE1769" s="111">
        <v>531200</v>
      </c>
      <c r="AF1769" s="111" t="s">
        <v>250</v>
      </c>
      <c r="AG1769" s="112">
        <v>78.187950000000001</v>
      </c>
      <c r="AI1769" s="7" t="str">
        <f>VLOOKUP($AC1769,Mapping!$E$11:$I$96,3,0)</f>
        <v>Augmentation</v>
      </c>
      <c r="AJ1769" s="7" t="str">
        <f>VLOOKUP($AE1769,Mapping!$E$140:$K$2771,5,0)</f>
        <v>Contracts</v>
      </c>
      <c r="AK1769" s="7" t="str">
        <f>VLOOKUP($AE1769,Mapping!$E$140:$K$2771,7,0)</f>
        <v>ENDirect</v>
      </c>
      <c r="AL1769" s="7" t="str">
        <f>IFERROR(HLOOKUP(AJ1769,'Calc|Weightings'!$K$5:$M$5,1,0),"Excl")</f>
        <v>Contracts</v>
      </c>
      <c r="AM1769" s="7" t="str">
        <f>VLOOKUP(AC1769,Mapping!$E$11:$I$96,5,0)</f>
        <v>SCS</v>
      </c>
      <c r="AO1769" s="7"/>
      <c r="AP1769" s="7"/>
      <c r="AQ1769" s="7"/>
      <c r="AR1769" s="7"/>
      <c r="AS1769" s="7"/>
    </row>
    <row r="1770" spans="1:45" x14ac:dyDescent="0.2">
      <c r="A1770" s="7"/>
      <c r="B1770" s="7"/>
      <c r="C1770" s="7"/>
      <c r="D1770" s="7"/>
      <c r="E1770" s="36">
        <v>160</v>
      </c>
      <c r="F1770" s="36" t="s">
        <v>2170</v>
      </c>
      <c r="G1770" s="36">
        <v>611860</v>
      </c>
      <c r="H1770" s="36" t="s">
        <v>2125</v>
      </c>
      <c r="I1770" s="37">
        <v>19.485569999999999</v>
      </c>
      <c r="J1770" s="7"/>
      <c r="K1770" s="7" t="str">
        <f>VLOOKUP($E1770,Mapping!$E$11:$I$96,3,0)</f>
        <v>Augmentation</v>
      </c>
      <c r="L1770" s="7" t="str">
        <f>VLOOKUP($G1770,Mapping!$E$140:$K$2771,5,0)</f>
        <v>Labour</v>
      </c>
      <c r="M1770" s="7" t="str">
        <f>VLOOKUP($G1770,Mapping!$E$140:$K$2771,7,0)</f>
        <v>ENDirect</v>
      </c>
      <c r="N1770" s="7" t="str">
        <f>IFERROR(HLOOKUP(L1770,'Calc|Weightings'!$K$5:$M$5,1,0),"Excl")</f>
        <v>Labour</v>
      </c>
      <c r="O1770" s="7" t="str">
        <f>VLOOKUP(E1770,Mapping!$E$11:$I$96,5,0)</f>
        <v>SCS</v>
      </c>
      <c r="Q1770" s="7"/>
      <c r="R1770" s="7"/>
      <c r="S1770" s="7"/>
      <c r="T1770" s="7"/>
      <c r="U1770" s="7"/>
      <c r="V1770" s="7"/>
      <c r="AC1770" s="111">
        <v>177</v>
      </c>
      <c r="AD1770" s="111" t="s">
        <v>2387</v>
      </c>
      <c r="AE1770" s="111">
        <v>531201</v>
      </c>
      <c r="AF1770" s="111" t="s">
        <v>251</v>
      </c>
      <c r="AG1770" s="112">
        <v>0.12914999999999999</v>
      </c>
      <c r="AI1770" s="7" t="str">
        <f>VLOOKUP($AC1770,Mapping!$E$11:$I$96,3,0)</f>
        <v>Augmentation</v>
      </c>
      <c r="AJ1770" s="7" t="str">
        <f>VLOOKUP($AE1770,Mapping!$E$140:$K$2771,5,0)</f>
        <v>Contracts</v>
      </c>
      <c r="AK1770" s="7" t="str">
        <f>VLOOKUP($AE1770,Mapping!$E$140:$K$2771,7,0)</f>
        <v>ENDirect</v>
      </c>
      <c r="AL1770" s="7" t="str">
        <f>IFERROR(HLOOKUP(AJ1770,'Calc|Weightings'!$K$5:$M$5,1,0),"Excl")</f>
        <v>Contracts</v>
      </c>
      <c r="AM1770" s="7" t="str">
        <f>VLOOKUP(AC1770,Mapping!$E$11:$I$96,5,0)</f>
        <v>SCS</v>
      </c>
      <c r="AO1770" s="7"/>
      <c r="AP1770" s="7"/>
      <c r="AQ1770" s="7"/>
      <c r="AR1770" s="7"/>
      <c r="AS1770" s="7"/>
    </row>
    <row r="1771" spans="1:45" x14ac:dyDescent="0.2">
      <c r="A1771" s="7"/>
      <c r="B1771" s="7"/>
      <c r="C1771" s="7"/>
      <c r="D1771" s="7"/>
      <c r="E1771" s="36">
        <v>160</v>
      </c>
      <c r="F1771" s="36" t="s">
        <v>2170</v>
      </c>
      <c r="G1771" s="36">
        <v>611900</v>
      </c>
      <c r="H1771" s="36" t="s">
        <v>2079</v>
      </c>
      <c r="I1771" s="37">
        <v>2.1550199999999999</v>
      </c>
      <c r="J1771" s="7"/>
      <c r="K1771" s="7" t="str">
        <f>VLOOKUP($E1771,Mapping!$E$11:$I$96,3,0)</f>
        <v>Augmentation</v>
      </c>
      <c r="L1771" s="7" t="str">
        <f>VLOOKUP($G1771,Mapping!$E$140:$K$2771,5,0)</f>
        <v>Contracts</v>
      </c>
      <c r="M1771" s="7" t="str">
        <f>VLOOKUP($G1771,Mapping!$E$140:$K$2771,7,0)</f>
        <v>ENDirect</v>
      </c>
      <c r="N1771" s="7" t="str">
        <f>IFERROR(HLOOKUP(L1771,'Calc|Weightings'!$K$5:$M$5,1,0),"Excl")</f>
        <v>Contracts</v>
      </c>
      <c r="O1771" s="7" t="str">
        <f>VLOOKUP(E1771,Mapping!$E$11:$I$96,5,0)</f>
        <v>SCS</v>
      </c>
      <c r="Q1771" s="7"/>
      <c r="R1771" s="7"/>
      <c r="S1771" s="7"/>
      <c r="T1771" s="7"/>
      <c r="U1771" s="7"/>
      <c r="V1771" s="7"/>
      <c r="AC1771" s="111">
        <v>177</v>
      </c>
      <c r="AD1771" s="111" t="s">
        <v>2387</v>
      </c>
      <c r="AE1771" s="111">
        <v>531464</v>
      </c>
      <c r="AF1771" s="111" t="s">
        <v>256</v>
      </c>
      <c r="AG1771" s="112">
        <v>30.607199999999999</v>
      </c>
      <c r="AI1771" s="7" t="str">
        <f>VLOOKUP($AC1771,Mapping!$E$11:$I$96,3,0)</f>
        <v>Augmentation</v>
      </c>
      <c r="AJ1771" s="7" t="str">
        <f>VLOOKUP($AE1771,Mapping!$E$140:$K$2771,5,0)</f>
        <v>Contracts</v>
      </c>
      <c r="AK1771" s="7" t="str">
        <f>VLOOKUP($AE1771,Mapping!$E$140:$K$2771,7,0)</f>
        <v>ENDirect</v>
      </c>
      <c r="AL1771" s="7" t="str">
        <f>IFERROR(HLOOKUP(AJ1771,'Calc|Weightings'!$K$5:$M$5,1,0),"Excl")</f>
        <v>Contracts</v>
      </c>
      <c r="AM1771" s="7" t="str">
        <f>VLOOKUP(AC1771,Mapping!$E$11:$I$96,5,0)</f>
        <v>SCS</v>
      </c>
      <c r="AO1771" s="7"/>
      <c r="AP1771" s="7"/>
      <c r="AQ1771" s="7"/>
      <c r="AR1771" s="7"/>
      <c r="AS1771" s="7"/>
    </row>
    <row r="1772" spans="1:45" x14ac:dyDescent="0.2">
      <c r="A1772" s="7"/>
      <c r="B1772" s="7"/>
      <c r="C1772" s="7"/>
      <c r="D1772" s="7"/>
      <c r="E1772" s="36">
        <v>160</v>
      </c>
      <c r="F1772" s="36" t="s">
        <v>2170</v>
      </c>
      <c r="G1772" s="36">
        <v>611901</v>
      </c>
      <c r="H1772" s="36" t="s">
        <v>2080</v>
      </c>
      <c r="I1772" s="37">
        <v>17.728390000000001</v>
      </c>
      <c r="J1772" s="7"/>
      <c r="K1772" s="7" t="str">
        <f>VLOOKUP($E1772,Mapping!$E$11:$I$96,3,0)</f>
        <v>Augmentation</v>
      </c>
      <c r="L1772" s="7" t="str">
        <f>VLOOKUP($G1772,Mapping!$E$140:$K$2771,5,0)</f>
        <v>Contracts</v>
      </c>
      <c r="M1772" s="7" t="str">
        <f>VLOOKUP($G1772,Mapping!$E$140:$K$2771,7,0)</f>
        <v>ENDirect</v>
      </c>
      <c r="N1772" s="7" t="str">
        <f>IFERROR(HLOOKUP(L1772,'Calc|Weightings'!$K$5:$M$5,1,0),"Excl")</f>
        <v>Contracts</v>
      </c>
      <c r="O1772" s="7" t="str">
        <f>VLOOKUP(E1772,Mapping!$E$11:$I$96,5,0)</f>
        <v>SCS</v>
      </c>
      <c r="Q1772" s="7"/>
      <c r="R1772" s="7"/>
      <c r="S1772" s="7"/>
      <c r="T1772" s="7"/>
      <c r="U1772" s="7"/>
      <c r="V1772" s="7"/>
      <c r="AC1772" s="111">
        <v>177</v>
      </c>
      <c r="AD1772" s="111" t="s">
        <v>2387</v>
      </c>
      <c r="AE1772" s="111">
        <v>531467</v>
      </c>
      <c r="AF1772" s="111" t="s">
        <v>259</v>
      </c>
      <c r="AG1772" s="112">
        <v>14.19098</v>
      </c>
      <c r="AI1772" s="7" t="str">
        <f>VLOOKUP($AC1772,Mapping!$E$11:$I$96,3,0)</f>
        <v>Augmentation</v>
      </c>
      <c r="AJ1772" s="7" t="str">
        <f>VLOOKUP($AE1772,Mapping!$E$140:$K$2771,5,0)</f>
        <v>Contracts</v>
      </c>
      <c r="AK1772" s="7" t="str">
        <f>VLOOKUP($AE1772,Mapping!$E$140:$K$2771,7,0)</f>
        <v>ENDirect</v>
      </c>
      <c r="AL1772" s="7" t="str">
        <f>IFERROR(HLOOKUP(AJ1772,'Calc|Weightings'!$K$5:$M$5,1,0),"Excl")</f>
        <v>Contracts</v>
      </c>
      <c r="AM1772" s="7" t="str">
        <f>VLOOKUP(AC1772,Mapping!$E$11:$I$96,5,0)</f>
        <v>SCS</v>
      </c>
      <c r="AO1772" s="7"/>
      <c r="AP1772" s="7"/>
      <c r="AQ1772" s="7"/>
      <c r="AR1772" s="7"/>
      <c r="AS1772" s="7"/>
    </row>
    <row r="1773" spans="1:45" x14ac:dyDescent="0.2">
      <c r="A1773" s="7"/>
      <c r="B1773" s="7"/>
      <c r="C1773" s="7"/>
      <c r="D1773" s="7"/>
      <c r="E1773" s="36">
        <v>160</v>
      </c>
      <c r="F1773" s="36" t="s">
        <v>2170</v>
      </c>
      <c r="G1773" s="36">
        <v>611902</v>
      </c>
      <c r="H1773" s="36" t="s">
        <v>2081</v>
      </c>
      <c r="I1773" s="37">
        <v>1.1360300000000001</v>
      </c>
      <c r="J1773" s="7"/>
      <c r="K1773" s="7" t="str">
        <f>VLOOKUP($E1773,Mapping!$E$11:$I$96,3,0)</f>
        <v>Augmentation</v>
      </c>
      <c r="L1773" s="7" t="str">
        <f>VLOOKUP($G1773,Mapping!$E$140:$K$2771,5,0)</f>
        <v>Contracts</v>
      </c>
      <c r="M1773" s="7" t="str">
        <f>VLOOKUP($G1773,Mapping!$E$140:$K$2771,7,0)</f>
        <v>ENDirect</v>
      </c>
      <c r="N1773" s="7" t="str">
        <f>IFERROR(HLOOKUP(L1773,'Calc|Weightings'!$K$5:$M$5,1,0),"Excl")</f>
        <v>Contracts</v>
      </c>
      <c r="O1773" s="7" t="str">
        <f>VLOOKUP(E1773,Mapping!$E$11:$I$96,5,0)</f>
        <v>SCS</v>
      </c>
      <c r="Q1773" s="7"/>
      <c r="R1773" s="7"/>
      <c r="S1773" s="7"/>
      <c r="T1773" s="7"/>
      <c r="U1773" s="7"/>
      <c r="V1773" s="7"/>
      <c r="AC1773" s="111">
        <v>177</v>
      </c>
      <c r="AD1773" s="111" t="s">
        <v>2387</v>
      </c>
      <c r="AE1773" s="111">
        <v>531468</v>
      </c>
      <c r="AF1773" s="111" t="s">
        <v>260</v>
      </c>
      <c r="AG1773" s="112">
        <v>54.42</v>
      </c>
      <c r="AI1773" s="7" t="str">
        <f>VLOOKUP($AC1773,Mapping!$E$11:$I$96,3,0)</f>
        <v>Augmentation</v>
      </c>
      <c r="AJ1773" s="7" t="str">
        <f>VLOOKUP($AE1773,Mapping!$E$140:$K$2771,5,0)</f>
        <v>Contracts</v>
      </c>
      <c r="AK1773" s="7" t="str">
        <f>VLOOKUP($AE1773,Mapping!$E$140:$K$2771,7,0)</f>
        <v>ENDirect</v>
      </c>
      <c r="AL1773" s="7" t="str">
        <f>IFERROR(HLOOKUP(AJ1773,'Calc|Weightings'!$K$5:$M$5,1,0),"Excl")</f>
        <v>Contracts</v>
      </c>
      <c r="AM1773" s="7" t="str">
        <f>VLOOKUP(AC1773,Mapping!$E$11:$I$96,5,0)</f>
        <v>SCS</v>
      </c>
      <c r="AO1773" s="7"/>
      <c r="AP1773" s="7"/>
      <c r="AQ1773" s="7"/>
      <c r="AR1773" s="7"/>
      <c r="AS1773" s="7"/>
    </row>
    <row r="1774" spans="1:45" x14ac:dyDescent="0.2">
      <c r="A1774" s="7"/>
      <c r="B1774" s="7"/>
      <c r="C1774" s="7"/>
      <c r="D1774" s="7"/>
      <c r="E1774" s="36">
        <v>160</v>
      </c>
      <c r="F1774" s="36" t="s">
        <v>2170</v>
      </c>
      <c r="G1774" s="36">
        <v>612211</v>
      </c>
      <c r="H1774" s="36" t="s">
        <v>1185</v>
      </c>
      <c r="I1774" s="37">
        <v>-5.7000000000000002E-2</v>
      </c>
      <c r="J1774" s="7"/>
      <c r="K1774" s="7" t="str">
        <f>VLOOKUP($E1774,Mapping!$E$11:$I$96,3,0)</f>
        <v>Augmentation</v>
      </c>
      <c r="L1774" s="7" t="str">
        <f>VLOOKUP($G1774,Mapping!$E$140:$K$2771,5,0)</f>
        <v>Labour</v>
      </c>
      <c r="M1774" s="7" t="str">
        <f>VLOOKUP($G1774,Mapping!$E$140:$K$2771,7,0)</f>
        <v>ENDirect</v>
      </c>
      <c r="N1774" s="7" t="str">
        <f>IFERROR(HLOOKUP(L1774,'Calc|Weightings'!$K$5:$M$5,1,0),"Excl")</f>
        <v>Labour</v>
      </c>
      <c r="O1774" s="7" t="str">
        <f>VLOOKUP(E1774,Mapping!$E$11:$I$96,5,0)</f>
        <v>SCS</v>
      </c>
      <c r="Q1774" s="7"/>
      <c r="R1774" s="7"/>
      <c r="S1774" s="7"/>
      <c r="T1774" s="7"/>
      <c r="U1774" s="7"/>
      <c r="V1774" s="7"/>
      <c r="AC1774" s="111">
        <v>177</v>
      </c>
      <c r="AD1774" s="111" t="s">
        <v>2387</v>
      </c>
      <c r="AE1774" s="111">
        <v>531469</v>
      </c>
      <c r="AF1774" s="111" t="s">
        <v>261</v>
      </c>
      <c r="AG1774" s="112">
        <v>2265.6971699999999</v>
      </c>
      <c r="AI1774" s="7" t="str">
        <f>VLOOKUP($AC1774,Mapping!$E$11:$I$96,3,0)</f>
        <v>Augmentation</v>
      </c>
      <c r="AJ1774" s="7" t="str">
        <f>VLOOKUP($AE1774,Mapping!$E$140:$K$2771,5,0)</f>
        <v>Labour</v>
      </c>
      <c r="AK1774" s="7" t="str">
        <f>VLOOKUP($AE1774,Mapping!$E$140:$K$2771,7,0)</f>
        <v>ENDirect</v>
      </c>
      <c r="AL1774" s="7" t="str">
        <f>IFERROR(HLOOKUP(AJ1774,'Calc|Weightings'!$K$5:$M$5,1,0),"Excl")</f>
        <v>Labour</v>
      </c>
      <c r="AM1774" s="7" t="str">
        <f>VLOOKUP(AC1774,Mapping!$E$11:$I$96,5,0)</f>
        <v>SCS</v>
      </c>
      <c r="AO1774" s="7"/>
      <c r="AP1774" s="7"/>
      <c r="AQ1774" s="7"/>
      <c r="AR1774" s="7"/>
      <c r="AS1774" s="7"/>
    </row>
    <row r="1775" spans="1:45" x14ac:dyDescent="0.2">
      <c r="A1775" s="7"/>
      <c r="B1775" s="7"/>
      <c r="C1775" s="7"/>
      <c r="D1775" s="7"/>
      <c r="E1775" s="36">
        <v>160</v>
      </c>
      <c r="F1775" s="36" t="s">
        <v>2170</v>
      </c>
      <c r="G1775" s="36">
        <v>612460</v>
      </c>
      <c r="H1775" s="36" t="s">
        <v>1243</v>
      </c>
      <c r="I1775" s="37">
        <v>-6.4624800000000002</v>
      </c>
      <c r="J1775" s="7"/>
      <c r="K1775" s="7" t="str">
        <f>VLOOKUP($E1775,Mapping!$E$11:$I$96,3,0)</f>
        <v>Augmentation</v>
      </c>
      <c r="L1775" s="7" t="str">
        <f>VLOOKUP($G1775,Mapping!$E$140:$K$2771,5,0)</f>
        <v>Labour</v>
      </c>
      <c r="M1775" s="7" t="str">
        <f>VLOOKUP($G1775,Mapping!$E$140:$K$2771,7,0)</f>
        <v>ENDirect</v>
      </c>
      <c r="N1775" s="7" t="str">
        <f>IFERROR(HLOOKUP(L1775,'Calc|Weightings'!$K$5:$M$5,1,0),"Excl")</f>
        <v>Labour</v>
      </c>
      <c r="O1775" s="7" t="str">
        <f>VLOOKUP(E1775,Mapping!$E$11:$I$96,5,0)</f>
        <v>SCS</v>
      </c>
      <c r="Q1775" s="7"/>
      <c r="R1775" s="7"/>
      <c r="S1775" s="7"/>
      <c r="T1775" s="7"/>
      <c r="U1775" s="7"/>
      <c r="V1775" s="7"/>
      <c r="AC1775" s="111">
        <v>177</v>
      </c>
      <c r="AD1775" s="111" t="s">
        <v>2387</v>
      </c>
      <c r="AE1775" s="111">
        <v>531480</v>
      </c>
      <c r="AF1775" s="111" t="s">
        <v>2076</v>
      </c>
      <c r="AG1775" s="112">
        <v>39.908189999999998</v>
      </c>
      <c r="AI1775" s="7" t="str">
        <f>VLOOKUP($AC1775,Mapping!$E$11:$I$96,3,0)</f>
        <v>Augmentation</v>
      </c>
      <c r="AJ1775" s="7" t="str">
        <f>VLOOKUP($AE1775,Mapping!$E$140:$K$2771,5,0)</f>
        <v>Labour</v>
      </c>
      <c r="AK1775" s="7" t="str">
        <f>VLOOKUP($AE1775,Mapping!$E$140:$K$2771,7,0)</f>
        <v>ENDirect</v>
      </c>
      <c r="AL1775" s="7" t="str">
        <f>IFERROR(HLOOKUP(AJ1775,'Calc|Weightings'!$K$5:$M$5,1,0),"Excl")</f>
        <v>Labour</v>
      </c>
      <c r="AM1775" s="7" t="str">
        <f>VLOOKUP(AC1775,Mapping!$E$11:$I$96,5,0)</f>
        <v>SCS</v>
      </c>
      <c r="AO1775" s="7"/>
      <c r="AP1775" s="7"/>
      <c r="AQ1775" s="7"/>
      <c r="AR1775" s="7"/>
      <c r="AS1775" s="7"/>
    </row>
    <row r="1776" spans="1:45" x14ac:dyDescent="0.2">
      <c r="A1776" s="7"/>
      <c r="B1776" s="7"/>
      <c r="C1776" s="7"/>
      <c r="D1776" s="7"/>
      <c r="E1776" s="36">
        <v>160</v>
      </c>
      <c r="F1776" s="36" t="s">
        <v>2170</v>
      </c>
      <c r="G1776" s="36">
        <v>613240</v>
      </c>
      <c r="H1776" s="36" t="s">
        <v>2082</v>
      </c>
      <c r="I1776" s="37">
        <v>3.89472</v>
      </c>
      <c r="J1776" s="7"/>
      <c r="K1776" s="7" t="str">
        <f>VLOOKUP($E1776,Mapping!$E$11:$I$96,3,0)</f>
        <v>Augmentation</v>
      </c>
      <c r="L1776" s="7" t="str">
        <f>VLOOKUP($G1776,Mapping!$E$140:$K$2771,5,0)</f>
        <v>Labour</v>
      </c>
      <c r="M1776" s="7" t="str">
        <f>VLOOKUP($G1776,Mapping!$E$140:$K$2771,7,0)</f>
        <v>ENDirect</v>
      </c>
      <c r="N1776" s="7" t="str">
        <f>IFERROR(HLOOKUP(L1776,'Calc|Weightings'!$K$5:$M$5,1,0),"Excl")</f>
        <v>Labour</v>
      </c>
      <c r="O1776" s="7" t="str">
        <f>VLOOKUP(E1776,Mapping!$E$11:$I$96,5,0)</f>
        <v>SCS</v>
      </c>
      <c r="Q1776" s="7"/>
      <c r="R1776" s="7"/>
      <c r="S1776" s="7"/>
      <c r="T1776" s="7"/>
      <c r="U1776" s="7"/>
      <c r="V1776" s="7"/>
      <c r="AC1776" s="111">
        <v>177</v>
      </c>
      <c r="AD1776" s="111" t="s">
        <v>2387</v>
      </c>
      <c r="AE1776" s="111">
        <v>532061</v>
      </c>
      <c r="AF1776" s="111" t="s">
        <v>282</v>
      </c>
      <c r="AG1776" s="112">
        <v>63</v>
      </c>
      <c r="AI1776" s="7" t="str">
        <f>VLOOKUP($AC1776,Mapping!$E$11:$I$96,3,0)</f>
        <v>Augmentation</v>
      </c>
      <c r="AJ1776" s="7" t="str">
        <f>VLOOKUP($AE1776,Mapping!$E$140:$K$2771,5,0)</f>
        <v>Contracts</v>
      </c>
      <c r="AK1776" s="7" t="str">
        <f>VLOOKUP($AE1776,Mapping!$E$140:$K$2771,7,0)</f>
        <v>ENDirect</v>
      </c>
      <c r="AL1776" s="7" t="str">
        <f>IFERROR(HLOOKUP(AJ1776,'Calc|Weightings'!$K$5:$M$5,1,0),"Excl")</f>
        <v>Contracts</v>
      </c>
      <c r="AM1776" s="7" t="str">
        <f>VLOOKUP(AC1776,Mapping!$E$11:$I$96,5,0)</f>
        <v>SCS</v>
      </c>
      <c r="AO1776" s="7"/>
      <c r="AP1776" s="7"/>
      <c r="AQ1776" s="7"/>
      <c r="AR1776" s="7"/>
      <c r="AS1776" s="7"/>
    </row>
    <row r="1777" spans="1:45" x14ac:dyDescent="0.2">
      <c r="A1777" s="7"/>
      <c r="B1777" s="7"/>
      <c r="C1777" s="7"/>
      <c r="D1777" s="7"/>
      <c r="E1777" s="36">
        <v>160</v>
      </c>
      <c r="F1777" s="36" t="s">
        <v>2170</v>
      </c>
      <c r="G1777" s="36">
        <v>613248</v>
      </c>
      <c r="H1777" s="36" t="s">
        <v>2383</v>
      </c>
      <c r="I1777" s="37">
        <v>52.883000000000003</v>
      </c>
      <c r="J1777" s="7"/>
      <c r="K1777" s="7" t="str">
        <f>VLOOKUP($E1777,Mapping!$E$11:$I$96,3,0)</f>
        <v>Augmentation</v>
      </c>
      <c r="L1777" s="7" t="str">
        <f>VLOOKUP($G1777,Mapping!$E$140:$K$2771,5,0)</f>
        <v>Labour</v>
      </c>
      <c r="M1777" s="7" t="str">
        <f>VLOOKUP($G1777,Mapping!$E$140:$K$2771,7,0)</f>
        <v>ENDirect</v>
      </c>
      <c r="N1777" s="7" t="str">
        <f>IFERROR(HLOOKUP(L1777,'Calc|Weightings'!$K$5:$M$5,1,0),"Excl")</f>
        <v>Labour</v>
      </c>
      <c r="O1777" s="7" t="str">
        <f>VLOOKUP(E1777,Mapping!$E$11:$I$96,5,0)</f>
        <v>SCS</v>
      </c>
      <c r="Q1777" s="7"/>
      <c r="R1777" s="7"/>
      <c r="S1777" s="7"/>
      <c r="T1777" s="7"/>
      <c r="U1777" s="7"/>
      <c r="V1777" s="7"/>
      <c r="AC1777" s="111">
        <v>177</v>
      </c>
      <c r="AD1777" s="111" t="s">
        <v>2387</v>
      </c>
      <c r="AE1777" s="111">
        <v>532100</v>
      </c>
      <c r="AF1777" s="111" t="s">
        <v>286</v>
      </c>
      <c r="AG1777" s="112">
        <v>0.14634</v>
      </c>
      <c r="AI1777" s="7" t="str">
        <f>VLOOKUP($AC1777,Mapping!$E$11:$I$96,3,0)</f>
        <v>Augmentation</v>
      </c>
      <c r="AJ1777" s="7" t="str">
        <f>VLOOKUP($AE1777,Mapping!$E$140:$K$2771,5,0)</f>
        <v>Contracts</v>
      </c>
      <c r="AK1777" s="7" t="str">
        <f>VLOOKUP($AE1777,Mapping!$E$140:$K$2771,7,0)</f>
        <v>ENDirect</v>
      </c>
      <c r="AL1777" s="7" t="str">
        <f>IFERROR(HLOOKUP(AJ1777,'Calc|Weightings'!$K$5:$M$5,1,0),"Excl")</f>
        <v>Contracts</v>
      </c>
      <c r="AM1777" s="7" t="str">
        <f>VLOOKUP(AC1777,Mapping!$E$11:$I$96,5,0)</f>
        <v>SCS</v>
      </c>
      <c r="AO1777" s="7"/>
      <c r="AP1777" s="7"/>
      <c r="AQ1777" s="7"/>
      <c r="AR1777" s="7"/>
      <c r="AS1777" s="7"/>
    </row>
    <row r="1778" spans="1:45" x14ac:dyDescent="0.2">
      <c r="A1778" s="7"/>
      <c r="B1778" s="7"/>
      <c r="C1778" s="7"/>
      <c r="D1778" s="7"/>
      <c r="E1778" s="36">
        <v>160</v>
      </c>
      <c r="F1778" s="36" t="s">
        <v>2170</v>
      </c>
      <c r="G1778" s="36">
        <v>613249</v>
      </c>
      <c r="H1778" s="36" t="s">
        <v>2384</v>
      </c>
      <c r="I1778" s="37">
        <v>1.46052</v>
      </c>
      <c r="J1778" s="7"/>
      <c r="K1778" s="7" t="str">
        <f>VLOOKUP($E1778,Mapping!$E$11:$I$96,3,0)</f>
        <v>Augmentation</v>
      </c>
      <c r="L1778" s="7" t="str">
        <f>VLOOKUP($G1778,Mapping!$E$140:$K$2771,5,0)</f>
        <v>Labour</v>
      </c>
      <c r="M1778" s="7" t="str">
        <f>VLOOKUP($G1778,Mapping!$E$140:$K$2771,7,0)</f>
        <v>ENDirect</v>
      </c>
      <c r="N1778" s="7" t="str">
        <f>IFERROR(HLOOKUP(L1778,'Calc|Weightings'!$K$5:$M$5,1,0),"Excl")</f>
        <v>Labour</v>
      </c>
      <c r="O1778" s="7" t="str">
        <f>VLOOKUP(E1778,Mapping!$E$11:$I$96,5,0)</f>
        <v>SCS</v>
      </c>
      <c r="Q1778" s="7"/>
      <c r="R1778" s="7"/>
      <c r="S1778" s="7"/>
      <c r="T1778" s="7"/>
      <c r="U1778" s="7"/>
      <c r="V1778" s="7"/>
      <c r="AC1778" s="111">
        <v>177</v>
      </c>
      <c r="AD1778" s="111" t="s">
        <v>2387</v>
      </c>
      <c r="AE1778" s="111">
        <v>532140</v>
      </c>
      <c r="AF1778" s="111" t="s">
        <v>288</v>
      </c>
      <c r="AG1778" s="112">
        <v>21.893249999999998</v>
      </c>
      <c r="AI1778" s="7" t="str">
        <f>VLOOKUP($AC1778,Mapping!$E$11:$I$96,3,0)</f>
        <v>Augmentation</v>
      </c>
      <c r="AJ1778" s="7" t="str">
        <f>VLOOKUP($AE1778,Mapping!$E$140:$K$2771,5,0)</f>
        <v>Contracts</v>
      </c>
      <c r="AK1778" s="7" t="str">
        <f>VLOOKUP($AE1778,Mapping!$E$140:$K$2771,7,0)</f>
        <v>ENDirect</v>
      </c>
      <c r="AL1778" s="7" t="str">
        <f>IFERROR(HLOOKUP(AJ1778,'Calc|Weightings'!$K$5:$M$5,1,0),"Excl")</f>
        <v>Contracts</v>
      </c>
      <c r="AM1778" s="7" t="str">
        <f>VLOOKUP(AC1778,Mapping!$E$11:$I$96,5,0)</f>
        <v>SCS</v>
      </c>
      <c r="AO1778" s="7"/>
      <c r="AP1778" s="7"/>
      <c r="AQ1778" s="7"/>
      <c r="AR1778" s="7"/>
      <c r="AS1778" s="7"/>
    </row>
    <row r="1779" spans="1:45" x14ac:dyDescent="0.2">
      <c r="A1779" s="7"/>
      <c r="B1779" s="7"/>
      <c r="C1779" s="7"/>
      <c r="D1779" s="7"/>
      <c r="E1779" s="36">
        <v>160</v>
      </c>
      <c r="F1779" s="36" t="s">
        <v>2170</v>
      </c>
      <c r="G1779" s="36">
        <v>613250</v>
      </c>
      <c r="H1779" s="36" t="s">
        <v>2086</v>
      </c>
      <c r="I1779" s="37">
        <v>2.5296599999999998</v>
      </c>
      <c r="J1779" s="7"/>
      <c r="K1779" s="7" t="str">
        <f>VLOOKUP($E1779,Mapping!$E$11:$I$96,3,0)</f>
        <v>Augmentation</v>
      </c>
      <c r="L1779" s="7" t="str">
        <f>VLOOKUP($G1779,Mapping!$E$140:$K$2771,5,0)</f>
        <v>Labour</v>
      </c>
      <c r="M1779" s="7" t="str">
        <f>VLOOKUP($G1779,Mapping!$E$140:$K$2771,7,0)</f>
        <v>ENDirect</v>
      </c>
      <c r="N1779" s="7" t="str">
        <f>IFERROR(HLOOKUP(L1779,'Calc|Weightings'!$K$5:$M$5,1,0),"Excl")</f>
        <v>Labour</v>
      </c>
      <c r="O1779" s="7" t="str">
        <f>VLOOKUP(E1779,Mapping!$E$11:$I$96,5,0)</f>
        <v>SCS</v>
      </c>
      <c r="Q1779" s="7"/>
      <c r="R1779" s="7"/>
      <c r="S1779" s="7"/>
      <c r="T1779" s="7"/>
      <c r="U1779" s="7"/>
      <c r="V1779" s="7"/>
      <c r="AC1779" s="111">
        <v>177</v>
      </c>
      <c r="AD1779" s="111" t="s">
        <v>2387</v>
      </c>
      <c r="AE1779" s="111">
        <v>532200</v>
      </c>
      <c r="AF1779" s="111" t="s">
        <v>291</v>
      </c>
      <c r="AG1779" s="112">
        <v>16.556049999999999</v>
      </c>
      <c r="AI1779" s="7" t="str">
        <f>VLOOKUP($AC1779,Mapping!$E$11:$I$96,3,0)</f>
        <v>Augmentation</v>
      </c>
      <c r="AJ1779" s="7" t="str">
        <f>VLOOKUP($AE1779,Mapping!$E$140:$K$2771,5,0)</f>
        <v>Contracts</v>
      </c>
      <c r="AK1779" s="7" t="str">
        <f>VLOOKUP($AE1779,Mapping!$E$140:$K$2771,7,0)</f>
        <v>ENDirect</v>
      </c>
      <c r="AL1779" s="7" t="str">
        <f>IFERROR(HLOOKUP(AJ1779,'Calc|Weightings'!$K$5:$M$5,1,0),"Excl")</f>
        <v>Contracts</v>
      </c>
      <c r="AM1779" s="7" t="str">
        <f>VLOOKUP(AC1779,Mapping!$E$11:$I$96,5,0)</f>
        <v>SCS</v>
      </c>
      <c r="AO1779" s="7"/>
      <c r="AP1779" s="7"/>
      <c r="AQ1779" s="7"/>
      <c r="AR1779" s="7"/>
      <c r="AS1779" s="7"/>
    </row>
    <row r="1780" spans="1:45" x14ac:dyDescent="0.2">
      <c r="A1780" s="7"/>
      <c r="B1780" s="7"/>
      <c r="C1780" s="7"/>
      <c r="D1780" s="7"/>
      <c r="E1780" s="36">
        <v>160</v>
      </c>
      <c r="F1780" s="36" t="s">
        <v>2170</v>
      </c>
      <c r="G1780" s="36">
        <v>613258</v>
      </c>
      <c r="H1780" s="36" t="s">
        <v>2356</v>
      </c>
      <c r="I1780" s="37">
        <v>24.031770000000002</v>
      </c>
      <c r="J1780" s="7"/>
      <c r="K1780" s="7" t="str">
        <f>VLOOKUP($E1780,Mapping!$E$11:$I$96,3,0)</f>
        <v>Augmentation</v>
      </c>
      <c r="L1780" s="7" t="str">
        <f>VLOOKUP($G1780,Mapping!$E$140:$K$2771,5,0)</f>
        <v>Labour</v>
      </c>
      <c r="M1780" s="7" t="str">
        <f>VLOOKUP($G1780,Mapping!$E$140:$K$2771,7,0)</f>
        <v>ENDirect</v>
      </c>
      <c r="N1780" s="7" t="str">
        <f>IFERROR(HLOOKUP(L1780,'Calc|Weightings'!$K$5:$M$5,1,0),"Excl")</f>
        <v>Labour</v>
      </c>
      <c r="O1780" s="7" t="str">
        <f>VLOOKUP(E1780,Mapping!$E$11:$I$96,5,0)</f>
        <v>SCS</v>
      </c>
      <c r="Q1780" s="7"/>
      <c r="R1780" s="7"/>
      <c r="S1780" s="7"/>
      <c r="T1780" s="7"/>
      <c r="U1780" s="7"/>
      <c r="V1780" s="7"/>
      <c r="AC1780" s="111">
        <v>177</v>
      </c>
      <c r="AD1780" s="111" t="s">
        <v>2387</v>
      </c>
      <c r="AE1780" s="111">
        <v>532420</v>
      </c>
      <c r="AF1780" s="111" t="s">
        <v>307</v>
      </c>
      <c r="AG1780" s="112">
        <v>0.57086999999999999</v>
      </c>
      <c r="AI1780" s="7" t="str">
        <f>VLOOKUP($AC1780,Mapping!$E$11:$I$96,3,0)</f>
        <v>Augmentation</v>
      </c>
      <c r="AJ1780" s="7" t="str">
        <f>VLOOKUP($AE1780,Mapping!$E$140:$K$2771,5,0)</f>
        <v>Contracts</v>
      </c>
      <c r="AK1780" s="7" t="str">
        <f>VLOOKUP($AE1780,Mapping!$E$140:$K$2771,7,0)</f>
        <v>ENDirect</v>
      </c>
      <c r="AL1780" s="7" t="str">
        <f>IFERROR(HLOOKUP(AJ1780,'Calc|Weightings'!$K$5:$M$5,1,0),"Excl")</f>
        <v>Contracts</v>
      </c>
      <c r="AM1780" s="7" t="str">
        <f>VLOOKUP(AC1780,Mapping!$E$11:$I$96,5,0)</f>
        <v>SCS</v>
      </c>
      <c r="AO1780" s="7"/>
      <c r="AP1780" s="7"/>
      <c r="AQ1780" s="7"/>
      <c r="AR1780" s="7"/>
      <c r="AS1780" s="7"/>
    </row>
    <row r="1781" spans="1:45" x14ac:dyDescent="0.2">
      <c r="A1781" s="7"/>
      <c r="B1781" s="7"/>
      <c r="C1781" s="7"/>
      <c r="D1781" s="7"/>
      <c r="E1781" s="36">
        <v>160</v>
      </c>
      <c r="F1781" s="36" t="s">
        <v>2170</v>
      </c>
      <c r="G1781" s="36">
        <v>613259</v>
      </c>
      <c r="H1781" s="36" t="s">
        <v>2359</v>
      </c>
      <c r="I1781" s="37">
        <v>0.53256000000000003</v>
      </c>
      <c r="J1781" s="7"/>
      <c r="K1781" s="7" t="str">
        <f>VLOOKUP($E1781,Mapping!$E$11:$I$96,3,0)</f>
        <v>Augmentation</v>
      </c>
      <c r="L1781" s="7" t="str">
        <f>VLOOKUP($G1781,Mapping!$E$140:$K$2771,5,0)</f>
        <v>Labour</v>
      </c>
      <c r="M1781" s="7" t="str">
        <f>VLOOKUP($G1781,Mapping!$E$140:$K$2771,7,0)</f>
        <v>ENDirect</v>
      </c>
      <c r="N1781" s="7" t="str">
        <f>IFERROR(HLOOKUP(L1781,'Calc|Weightings'!$K$5:$M$5,1,0),"Excl")</f>
        <v>Labour</v>
      </c>
      <c r="O1781" s="7" t="str">
        <f>VLOOKUP(E1781,Mapping!$E$11:$I$96,5,0)</f>
        <v>SCS</v>
      </c>
      <c r="Q1781" s="7"/>
      <c r="R1781" s="7"/>
      <c r="S1781" s="7"/>
      <c r="T1781" s="7"/>
      <c r="U1781" s="7"/>
      <c r="V1781" s="7"/>
      <c r="AC1781" s="111">
        <v>177</v>
      </c>
      <c r="AD1781" s="111" t="s">
        <v>2387</v>
      </c>
      <c r="AE1781" s="111">
        <v>532500</v>
      </c>
      <c r="AF1781" s="111" t="s">
        <v>308</v>
      </c>
      <c r="AG1781" s="112">
        <v>0.52605000000000002</v>
      </c>
      <c r="AI1781" s="7" t="str">
        <f>VLOOKUP($AC1781,Mapping!$E$11:$I$96,3,0)</f>
        <v>Augmentation</v>
      </c>
      <c r="AJ1781" s="7" t="str">
        <f>VLOOKUP($AE1781,Mapping!$E$140:$K$2771,5,0)</f>
        <v>Contracts</v>
      </c>
      <c r="AK1781" s="7" t="str">
        <f>VLOOKUP($AE1781,Mapping!$E$140:$K$2771,7,0)</f>
        <v>ENDirect</v>
      </c>
      <c r="AL1781" s="7" t="str">
        <f>IFERROR(HLOOKUP(AJ1781,'Calc|Weightings'!$K$5:$M$5,1,0),"Excl")</f>
        <v>Contracts</v>
      </c>
      <c r="AM1781" s="7" t="str">
        <f>VLOOKUP(AC1781,Mapping!$E$11:$I$96,5,0)</f>
        <v>SCS</v>
      </c>
      <c r="AO1781" s="7"/>
      <c r="AP1781" s="7"/>
      <c r="AQ1781" s="7"/>
      <c r="AR1781" s="7"/>
      <c r="AS1781" s="7"/>
    </row>
    <row r="1782" spans="1:45" x14ac:dyDescent="0.2">
      <c r="A1782" s="7"/>
      <c r="B1782" s="7"/>
      <c r="C1782" s="7"/>
      <c r="D1782" s="7"/>
      <c r="E1782" s="36">
        <v>160</v>
      </c>
      <c r="F1782" s="36" t="s">
        <v>2170</v>
      </c>
      <c r="G1782" s="36">
        <v>613261</v>
      </c>
      <c r="H1782" s="36" t="s">
        <v>2091</v>
      </c>
      <c r="I1782" s="37">
        <v>0.4652</v>
      </c>
      <c r="J1782" s="7"/>
      <c r="K1782" s="7" t="str">
        <f>VLOOKUP($E1782,Mapping!$E$11:$I$96,3,0)</f>
        <v>Augmentation</v>
      </c>
      <c r="L1782" s="7" t="str">
        <f>VLOOKUP($G1782,Mapping!$E$140:$K$2771,5,0)</f>
        <v>Labour</v>
      </c>
      <c r="M1782" s="7" t="str">
        <f>VLOOKUP($G1782,Mapping!$E$140:$K$2771,7,0)</f>
        <v>ENDirect</v>
      </c>
      <c r="N1782" s="7" t="str">
        <f>IFERROR(HLOOKUP(L1782,'Calc|Weightings'!$K$5:$M$5,1,0),"Excl")</f>
        <v>Labour</v>
      </c>
      <c r="O1782" s="7" t="str">
        <f>VLOOKUP(E1782,Mapping!$E$11:$I$96,5,0)</f>
        <v>SCS</v>
      </c>
      <c r="Q1782" s="7"/>
      <c r="R1782" s="7"/>
      <c r="S1782" s="7"/>
      <c r="T1782" s="7"/>
      <c r="U1782" s="7"/>
      <c r="V1782" s="7"/>
      <c r="AC1782" s="111">
        <v>177</v>
      </c>
      <c r="AD1782" s="111" t="s">
        <v>2387</v>
      </c>
      <c r="AE1782" s="111">
        <v>545150</v>
      </c>
      <c r="AF1782" s="111" t="s">
        <v>345</v>
      </c>
      <c r="AG1782" s="112">
        <v>1.0679700000000001</v>
      </c>
      <c r="AI1782" s="7" t="str">
        <f>VLOOKUP($AC1782,Mapping!$E$11:$I$96,3,0)</f>
        <v>Augmentation</v>
      </c>
      <c r="AJ1782" s="7" t="str">
        <f>VLOOKUP($AE1782,Mapping!$E$140:$K$2771,5,0)</f>
        <v>Contracts</v>
      </c>
      <c r="AK1782" s="7" t="str">
        <f>VLOOKUP($AE1782,Mapping!$E$140:$K$2771,7,0)</f>
        <v>ENDirect</v>
      </c>
      <c r="AL1782" s="7" t="str">
        <f>IFERROR(HLOOKUP(AJ1782,'Calc|Weightings'!$K$5:$M$5,1,0),"Excl")</f>
        <v>Contracts</v>
      </c>
      <c r="AM1782" s="7" t="str">
        <f>VLOOKUP(AC1782,Mapping!$E$11:$I$96,5,0)</f>
        <v>SCS</v>
      </c>
      <c r="AO1782" s="7"/>
      <c r="AP1782" s="7"/>
      <c r="AQ1782" s="7"/>
      <c r="AR1782" s="7"/>
      <c r="AS1782" s="7"/>
    </row>
    <row r="1783" spans="1:45" x14ac:dyDescent="0.2">
      <c r="A1783" s="7"/>
      <c r="B1783" s="7"/>
      <c r="C1783" s="7"/>
      <c r="D1783" s="7"/>
      <c r="E1783" s="36">
        <v>160</v>
      </c>
      <c r="F1783" s="36" t="s">
        <v>2170</v>
      </c>
      <c r="G1783" s="36">
        <v>613268</v>
      </c>
      <c r="H1783" s="36" t="s">
        <v>1335</v>
      </c>
      <c r="I1783" s="37">
        <v>3.1400999999999999</v>
      </c>
      <c r="J1783" s="7"/>
      <c r="K1783" s="7" t="str">
        <f>VLOOKUP($E1783,Mapping!$E$11:$I$96,3,0)</f>
        <v>Augmentation</v>
      </c>
      <c r="L1783" s="7" t="str">
        <f>VLOOKUP($G1783,Mapping!$E$140:$K$2771,5,0)</f>
        <v>Labour</v>
      </c>
      <c r="M1783" s="7" t="str">
        <f>VLOOKUP($G1783,Mapping!$E$140:$K$2771,7,0)</f>
        <v>ENDirect</v>
      </c>
      <c r="N1783" s="7" t="str">
        <f>IFERROR(HLOOKUP(L1783,'Calc|Weightings'!$K$5:$M$5,1,0),"Excl")</f>
        <v>Labour</v>
      </c>
      <c r="O1783" s="7" t="str">
        <f>VLOOKUP(E1783,Mapping!$E$11:$I$96,5,0)</f>
        <v>SCS</v>
      </c>
      <c r="Q1783" s="7"/>
      <c r="R1783" s="7"/>
      <c r="S1783" s="7"/>
      <c r="T1783" s="7"/>
      <c r="U1783" s="7"/>
      <c r="V1783" s="7"/>
      <c r="AC1783" s="111">
        <v>177</v>
      </c>
      <c r="AD1783" s="111" t="s">
        <v>2387</v>
      </c>
      <c r="AE1783" s="111">
        <v>555000</v>
      </c>
      <c r="AF1783" s="111" t="s">
        <v>367</v>
      </c>
      <c r="AG1783" s="112">
        <v>47.209989999999998</v>
      </c>
      <c r="AI1783" s="7" t="str">
        <f>VLOOKUP($AC1783,Mapping!$E$11:$I$96,3,0)</f>
        <v>Augmentation</v>
      </c>
      <c r="AJ1783" s="7" t="str">
        <f>VLOOKUP($AE1783,Mapping!$E$140:$K$2771,5,0)</f>
        <v>Contracts</v>
      </c>
      <c r="AK1783" s="7" t="str">
        <f>VLOOKUP($AE1783,Mapping!$E$140:$K$2771,7,0)</f>
        <v>ENDirect</v>
      </c>
      <c r="AL1783" s="7" t="str">
        <f>IFERROR(HLOOKUP(AJ1783,'Calc|Weightings'!$K$5:$M$5,1,0),"Excl")</f>
        <v>Contracts</v>
      </c>
      <c r="AM1783" s="7" t="str">
        <f>VLOOKUP(AC1783,Mapping!$E$11:$I$96,5,0)</f>
        <v>SCS</v>
      </c>
      <c r="AO1783" s="7"/>
      <c r="AP1783" s="7"/>
      <c r="AQ1783" s="7"/>
      <c r="AR1783" s="7"/>
      <c r="AS1783" s="7"/>
    </row>
    <row r="1784" spans="1:45" x14ac:dyDescent="0.2">
      <c r="A1784" s="7"/>
      <c r="B1784" s="7"/>
      <c r="C1784" s="7"/>
      <c r="D1784" s="7"/>
      <c r="E1784" s="36">
        <v>160</v>
      </c>
      <c r="F1784" s="36" t="s">
        <v>2170</v>
      </c>
      <c r="G1784" s="36">
        <v>613270</v>
      </c>
      <c r="H1784" s="36" t="s">
        <v>2092</v>
      </c>
      <c r="I1784" s="37">
        <v>17.21884</v>
      </c>
      <c r="J1784" s="7"/>
      <c r="K1784" s="7" t="str">
        <f>VLOOKUP($E1784,Mapping!$E$11:$I$96,3,0)</f>
        <v>Augmentation</v>
      </c>
      <c r="L1784" s="7" t="str">
        <f>VLOOKUP($G1784,Mapping!$E$140:$K$2771,5,0)</f>
        <v>Labour</v>
      </c>
      <c r="M1784" s="7" t="str">
        <f>VLOOKUP($G1784,Mapping!$E$140:$K$2771,7,0)</f>
        <v>ENDirect</v>
      </c>
      <c r="N1784" s="7" t="str">
        <f>IFERROR(HLOOKUP(L1784,'Calc|Weightings'!$K$5:$M$5,1,0),"Excl")</f>
        <v>Labour</v>
      </c>
      <c r="O1784" s="7" t="str">
        <f>VLOOKUP(E1784,Mapping!$E$11:$I$96,5,0)</f>
        <v>SCS</v>
      </c>
      <c r="Q1784" s="7"/>
      <c r="R1784" s="7"/>
      <c r="S1784" s="7"/>
      <c r="T1784" s="7"/>
      <c r="U1784" s="7"/>
      <c r="V1784" s="7"/>
      <c r="AC1784" s="111">
        <v>177</v>
      </c>
      <c r="AD1784" s="111" t="s">
        <v>2387</v>
      </c>
      <c r="AE1784" s="111">
        <v>582300</v>
      </c>
      <c r="AF1784" s="111" t="s">
        <v>381</v>
      </c>
      <c r="AG1784" s="112">
        <v>0.89844999999999997</v>
      </c>
      <c r="AI1784" s="7" t="str">
        <f>VLOOKUP($AC1784,Mapping!$E$11:$I$96,3,0)</f>
        <v>Augmentation</v>
      </c>
      <c r="AJ1784" s="7" t="str">
        <f>VLOOKUP($AE1784,Mapping!$E$140:$K$2771,5,0)</f>
        <v>Contracts</v>
      </c>
      <c r="AK1784" s="7" t="str">
        <f>VLOOKUP($AE1784,Mapping!$E$140:$K$2771,7,0)</f>
        <v>ENDirect</v>
      </c>
      <c r="AL1784" s="7" t="str">
        <f>IFERROR(HLOOKUP(AJ1784,'Calc|Weightings'!$K$5:$M$5,1,0),"Excl")</f>
        <v>Contracts</v>
      </c>
      <c r="AM1784" s="7" t="str">
        <f>VLOOKUP(AC1784,Mapping!$E$11:$I$96,5,0)</f>
        <v>SCS</v>
      </c>
      <c r="AO1784" s="7"/>
      <c r="AP1784" s="7"/>
      <c r="AQ1784" s="7"/>
      <c r="AR1784" s="7"/>
      <c r="AS1784" s="7"/>
    </row>
    <row r="1785" spans="1:45" x14ac:dyDescent="0.2">
      <c r="A1785" s="7"/>
      <c r="B1785" s="7"/>
      <c r="C1785" s="7"/>
      <c r="D1785" s="7"/>
      <c r="E1785" s="36">
        <v>160</v>
      </c>
      <c r="F1785" s="36" t="s">
        <v>2170</v>
      </c>
      <c r="G1785" s="36">
        <v>613271</v>
      </c>
      <c r="H1785" s="36" t="s">
        <v>2150</v>
      </c>
      <c r="I1785" s="37">
        <v>2.2398500000000001</v>
      </c>
      <c r="J1785" s="7"/>
      <c r="K1785" s="7" t="str">
        <f>VLOOKUP($E1785,Mapping!$E$11:$I$96,3,0)</f>
        <v>Augmentation</v>
      </c>
      <c r="L1785" s="7" t="str">
        <f>VLOOKUP($G1785,Mapping!$E$140:$K$2771,5,0)</f>
        <v>Labour</v>
      </c>
      <c r="M1785" s="7" t="str">
        <f>VLOOKUP($G1785,Mapping!$E$140:$K$2771,7,0)</f>
        <v>ENDirect</v>
      </c>
      <c r="N1785" s="7" t="str">
        <f>IFERROR(HLOOKUP(L1785,'Calc|Weightings'!$K$5:$M$5,1,0),"Excl")</f>
        <v>Labour</v>
      </c>
      <c r="O1785" s="7" t="str">
        <f>VLOOKUP(E1785,Mapping!$E$11:$I$96,5,0)</f>
        <v>SCS</v>
      </c>
      <c r="Q1785" s="7"/>
      <c r="R1785" s="7"/>
      <c r="S1785" s="7"/>
      <c r="T1785" s="7"/>
      <c r="U1785" s="7"/>
      <c r="V1785" s="7"/>
      <c r="AC1785" s="111">
        <v>177</v>
      </c>
      <c r="AD1785" s="111" t="s">
        <v>2387</v>
      </c>
      <c r="AE1785" s="111">
        <v>611900</v>
      </c>
      <c r="AF1785" s="111" t="s">
        <v>2079</v>
      </c>
      <c r="AG1785" s="112">
        <v>5.5800599999999996</v>
      </c>
      <c r="AI1785" s="7" t="str">
        <f>VLOOKUP($AC1785,Mapping!$E$11:$I$96,3,0)</f>
        <v>Augmentation</v>
      </c>
      <c r="AJ1785" s="7" t="str">
        <f>VLOOKUP($AE1785,Mapping!$E$140:$K$2771,5,0)</f>
        <v>Contracts</v>
      </c>
      <c r="AK1785" s="7" t="str">
        <f>VLOOKUP($AE1785,Mapping!$E$140:$K$2771,7,0)</f>
        <v>ENDirect</v>
      </c>
      <c r="AL1785" s="7" t="str">
        <f>IFERROR(HLOOKUP(AJ1785,'Calc|Weightings'!$K$5:$M$5,1,0),"Excl")</f>
        <v>Contracts</v>
      </c>
      <c r="AM1785" s="7" t="str">
        <f>VLOOKUP(AC1785,Mapping!$E$11:$I$96,5,0)</f>
        <v>SCS</v>
      </c>
      <c r="AO1785" s="7"/>
      <c r="AP1785" s="7"/>
      <c r="AQ1785" s="7"/>
      <c r="AR1785" s="7"/>
      <c r="AS1785" s="7"/>
    </row>
    <row r="1786" spans="1:45" x14ac:dyDescent="0.2">
      <c r="A1786" s="7"/>
      <c r="B1786" s="7"/>
      <c r="C1786" s="7"/>
      <c r="D1786" s="7"/>
      <c r="E1786" s="36">
        <v>160</v>
      </c>
      <c r="F1786" s="36" t="s">
        <v>2170</v>
      </c>
      <c r="G1786" s="36">
        <v>613278</v>
      </c>
      <c r="H1786" s="36" t="s">
        <v>2357</v>
      </c>
      <c r="I1786" s="37">
        <v>19.598600000000001</v>
      </c>
      <c r="J1786" s="7"/>
      <c r="K1786" s="7" t="str">
        <f>VLOOKUP($E1786,Mapping!$E$11:$I$96,3,0)</f>
        <v>Augmentation</v>
      </c>
      <c r="L1786" s="7" t="str">
        <f>VLOOKUP($G1786,Mapping!$E$140:$K$2771,5,0)</f>
        <v>Labour</v>
      </c>
      <c r="M1786" s="7" t="str">
        <f>VLOOKUP($G1786,Mapping!$E$140:$K$2771,7,0)</f>
        <v>ENDirect</v>
      </c>
      <c r="N1786" s="7" t="str">
        <f>IFERROR(HLOOKUP(L1786,'Calc|Weightings'!$K$5:$M$5,1,0),"Excl")</f>
        <v>Labour</v>
      </c>
      <c r="O1786" s="7" t="str">
        <f>VLOOKUP(E1786,Mapping!$E$11:$I$96,5,0)</f>
        <v>SCS</v>
      </c>
      <c r="Q1786" s="7"/>
      <c r="R1786" s="7"/>
      <c r="S1786" s="7"/>
      <c r="T1786" s="7"/>
      <c r="U1786" s="7"/>
      <c r="V1786" s="7"/>
      <c r="AC1786" s="111">
        <v>177</v>
      </c>
      <c r="AD1786" s="111" t="s">
        <v>2387</v>
      </c>
      <c r="AE1786" s="111">
        <v>611901</v>
      </c>
      <c r="AF1786" s="111" t="s">
        <v>2080</v>
      </c>
      <c r="AG1786" s="112">
        <v>3.5184899999999999</v>
      </c>
      <c r="AI1786" s="7" t="str">
        <f>VLOOKUP($AC1786,Mapping!$E$11:$I$96,3,0)</f>
        <v>Augmentation</v>
      </c>
      <c r="AJ1786" s="7" t="str">
        <f>VLOOKUP($AE1786,Mapping!$E$140:$K$2771,5,0)</f>
        <v>Contracts</v>
      </c>
      <c r="AK1786" s="7" t="str">
        <f>VLOOKUP($AE1786,Mapping!$E$140:$K$2771,7,0)</f>
        <v>ENDirect</v>
      </c>
      <c r="AL1786" s="7" t="str">
        <f>IFERROR(HLOOKUP(AJ1786,'Calc|Weightings'!$K$5:$M$5,1,0),"Excl")</f>
        <v>Contracts</v>
      </c>
      <c r="AM1786" s="7" t="str">
        <f>VLOOKUP(AC1786,Mapping!$E$11:$I$96,5,0)</f>
        <v>SCS</v>
      </c>
      <c r="AO1786" s="7"/>
      <c r="AP1786" s="7"/>
      <c r="AQ1786" s="7"/>
      <c r="AR1786" s="7"/>
      <c r="AS1786" s="7"/>
    </row>
    <row r="1787" spans="1:45" x14ac:dyDescent="0.2">
      <c r="A1787" s="7"/>
      <c r="B1787" s="7"/>
      <c r="C1787" s="7"/>
      <c r="D1787" s="7"/>
      <c r="E1787" s="36">
        <v>160</v>
      </c>
      <c r="F1787" s="36" t="s">
        <v>2170</v>
      </c>
      <c r="G1787" s="36">
        <v>613280</v>
      </c>
      <c r="H1787" s="36" t="s">
        <v>1342</v>
      </c>
      <c r="I1787" s="37">
        <v>5.5015200000000002</v>
      </c>
      <c r="J1787" s="7"/>
      <c r="K1787" s="7" t="str">
        <f>VLOOKUP($E1787,Mapping!$E$11:$I$96,3,0)</f>
        <v>Augmentation</v>
      </c>
      <c r="L1787" s="7" t="str">
        <f>VLOOKUP($G1787,Mapping!$E$140:$K$2771,5,0)</f>
        <v>Labour</v>
      </c>
      <c r="M1787" s="7" t="str">
        <f>VLOOKUP($G1787,Mapping!$E$140:$K$2771,7,0)</f>
        <v>ENDirect</v>
      </c>
      <c r="N1787" s="7" t="str">
        <f>IFERROR(HLOOKUP(L1787,'Calc|Weightings'!$K$5:$M$5,1,0),"Excl")</f>
        <v>Labour</v>
      </c>
      <c r="O1787" s="7" t="str">
        <f>VLOOKUP(E1787,Mapping!$E$11:$I$96,5,0)</f>
        <v>SCS</v>
      </c>
      <c r="Q1787" s="7"/>
      <c r="R1787" s="7"/>
      <c r="S1787" s="7"/>
      <c r="T1787" s="7"/>
      <c r="U1787" s="7"/>
      <c r="V1787" s="7"/>
      <c r="AC1787" s="111">
        <v>177</v>
      </c>
      <c r="AD1787" s="111" t="s">
        <v>2387</v>
      </c>
      <c r="AE1787" s="111">
        <v>611902</v>
      </c>
      <c r="AF1787" s="111" t="s">
        <v>2081</v>
      </c>
      <c r="AG1787" s="112">
        <v>0.25367000000000001</v>
      </c>
      <c r="AI1787" s="7" t="str">
        <f>VLOOKUP($AC1787,Mapping!$E$11:$I$96,3,0)</f>
        <v>Augmentation</v>
      </c>
      <c r="AJ1787" s="7" t="str">
        <f>VLOOKUP($AE1787,Mapping!$E$140:$K$2771,5,0)</f>
        <v>Contracts</v>
      </c>
      <c r="AK1787" s="7" t="str">
        <f>VLOOKUP($AE1787,Mapping!$E$140:$K$2771,7,0)</f>
        <v>ENDirect</v>
      </c>
      <c r="AL1787" s="7" t="str">
        <f>IFERROR(HLOOKUP(AJ1787,'Calc|Weightings'!$K$5:$M$5,1,0),"Excl")</f>
        <v>Contracts</v>
      </c>
      <c r="AM1787" s="7" t="str">
        <f>VLOOKUP(AC1787,Mapping!$E$11:$I$96,5,0)</f>
        <v>SCS</v>
      </c>
      <c r="AO1787" s="7"/>
      <c r="AP1787" s="7"/>
      <c r="AQ1787" s="7"/>
      <c r="AR1787" s="7"/>
      <c r="AS1787" s="7"/>
    </row>
    <row r="1788" spans="1:45" x14ac:dyDescent="0.2">
      <c r="A1788" s="7"/>
      <c r="B1788" s="7"/>
      <c r="C1788" s="7"/>
      <c r="D1788" s="7"/>
      <c r="E1788" s="36">
        <v>160</v>
      </c>
      <c r="F1788" s="36" t="s">
        <v>2170</v>
      </c>
      <c r="G1788" s="36">
        <v>613281</v>
      </c>
      <c r="H1788" s="36" t="s">
        <v>1343</v>
      </c>
      <c r="I1788" s="37">
        <v>1.1319999999999999</v>
      </c>
      <c r="J1788" s="7"/>
      <c r="K1788" s="7" t="str">
        <f>VLOOKUP($E1788,Mapping!$E$11:$I$96,3,0)</f>
        <v>Augmentation</v>
      </c>
      <c r="L1788" s="7" t="str">
        <f>VLOOKUP($G1788,Mapping!$E$140:$K$2771,5,0)</f>
        <v>Labour</v>
      </c>
      <c r="M1788" s="7" t="str">
        <f>VLOOKUP($G1788,Mapping!$E$140:$K$2771,7,0)</f>
        <v>ENDirect</v>
      </c>
      <c r="N1788" s="7" t="str">
        <f>IFERROR(HLOOKUP(L1788,'Calc|Weightings'!$K$5:$M$5,1,0),"Excl")</f>
        <v>Labour</v>
      </c>
      <c r="O1788" s="7" t="str">
        <f>VLOOKUP(E1788,Mapping!$E$11:$I$96,5,0)</f>
        <v>SCS</v>
      </c>
      <c r="Q1788" s="7"/>
      <c r="R1788" s="7"/>
      <c r="S1788" s="7"/>
      <c r="T1788" s="7"/>
      <c r="U1788" s="7"/>
      <c r="V1788" s="7"/>
      <c r="AC1788" s="111">
        <v>177</v>
      </c>
      <c r="AD1788" s="111" t="s">
        <v>2387</v>
      </c>
      <c r="AE1788" s="111">
        <v>613260</v>
      </c>
      <c r="AF1788" s="111" t="s">
        <v>2090</v>
      </c>
      <c r="AG1788" s="112">
        <v>1.1046400000000001</v>
      </c>
      <c r="AI1788" s="7" t="str">
        <f>VLOOKUP($AC1788,Mapping!$E$11:$I$96,3,0)</f>
        <v>Augmentation</v>
      </c>
      <c r="AJ1788" s="7" t="str">
        <f>VLOOKUP($AE1788,Mapping!$E$140:$K$2771,5,0)</f>
        <v>Labour</v>
      </c>
      <c r="AK1788" s="7" t="str">
        <f>VLOOKUP($AE1788,Mapping!$E$140:$K$2771,7,0)</f>
        <v>ENDirect</v>
      </c>
      <c r="AL1788" s="7" t="str">
        <f>IFERROR(HLOOKUP(AJ1788,'Calc|Weightings'!$K$5:$M$5,1,0),"Excl")</f>
        <v>Labour</v>
      </c>
      <c r="AM1788" s="7" t="str">
        <f>VLOOKUP(AC1788,Mapping!$E$11:$I$96,5,0)</f>
        <v>SCS</v>
      </c>
      <c r="AO1788" s="7"/>
      <c r="AP1788" s="7"/>
      <c r="AQ1788" s="7"/>
      <c r="AR1788" s="7"/>
      <c r="AS1788" s="7"/>
    </row>
    <row r="1789" spans="1:45" x14ac:dyDescent="0.2">
      <c r="A1789" s="7"/>
      <c r="B1789" s="7"/>
      <c r="C1789" s="7"/>
      <c r="D1789" s="7"/>
      <c r="E1789" s="36">
        <v>160</v>
      </c>
      <c r="F1789" s="36" t="s">
        <v>2170</v>
      </c>
      <c r="G1789" s="36">
        <v>613290</v>
      </c>
      <c r="H1789" s="36" t="s">
        <v>2093</v>
      </c>
      <c r="I1789" s="37">
        <v>19.404789999999998</v>
      </c>
      <c r="J1789" s="7"/>
      <c r="K1789" s="7" t="str">
        <f>VLOOKUP($E1789,Mapping!$E$11:$I$96,3,0)</f>
        <v>Augmentation</v>
      </c>
      <c r="L1789" s="7" t="str">
        <f>VLOOKUP($G1789,Mapping!$E$140:$K$2771,5,0)</f>
        <v>Labour</v>
      </c>
      <c r="M1789" s="7" t="str">
        <f>VLOOKUP($G1789,Mapping!$E$140:$K$2771,7,0)</f>
        <v>ENDirect</v>
      </c>
      <c r="N1789" s="7" t="str">
        <f>IFERROR(HLOOKUP(L1789,'Calc|Weightings'!$K$5:$M$5,1,0),"Excl")</f>
        <v>Labour</v>
      </c>
      <c r="O1789" s="7" t="str">
        <f>VLOOKUP(E1789,Mapping!$E$11:$I$96,5,0)</f>
        <v>SCS</v>
      </c>
      <c r="Q1789" s="7"/>
      <c r="R1789" s="7"/>
      <c r="S1789" s="7"/>
      <c r="T1789" s="7"/>
      <c r="U1789" s="7"/>
      <c r="V1789" s="7"/>
      <c r="AC1789" s="111">
        <v>177</v>
      </c>
      <c r="AD1789" s="111" t="s">
        <v>2387</v>
      </c>
      <c r="AE1789" s="111">
        <v>613261</v>
      </c>
      <c r="AF1789" s="111" t="s">
        <v>2091</v>
      </c>
      <c r="AG1789" s="112">
        <v>1.0380499999999999</v>
      </c>
      <c r="AI1789" s="7" t="str">
        <f>VLOOKUP($AC1789,Mapping!$E$11:$I$96,3,0)</f>
        <v>Augmentation</v>
      </c>
      <c r="AJ1789" s="7" t="str">
        <f>VLOOKUP($AE1789,Mapping!$E$140:$K$2771,5,0)</f>
        <v>Labour</v>
      </c>
      <c r="AK1789" s="7" t="str">
        <f>VLOOKUP($AE1789,Mapping!$E$140:$K$2771,7,0)</f>
        <v>ENDirect</v>
      </c>
      <c r="AL1789" s="7" t="str">
        <f>IFERROR(HLOOKUP(AJ1789,'Calc|Weightings'!$K$5:$M$5,1,0),"Excl")</f>
        <v>Labour</v>
      </c>
      <c r="AM1789" s="7" t="str">
        <f>VLOOKUP(AC1789,Mapping!$E$11:$I$96,5,0)</f>
        <v>SCS</v>
      </c>
      <c r="AO1789" s="7"/>
      <c r="AP1789" s="7"/>
      <c r="AQ1789" s="7"/>
      <c r="AR1789" s="7"/>
      <c r="AS1789" s="7"/>
    </row>
    <row r="1790" spans="1:45" x14ac:dyDescent="0.2">
      <c r="A1790" s="7"/>
      <c r="B1790" s="7"/>
      <c r="C1790" s="7"/>
      <c r="D1790" s="7"/>
      <c r="E1790" s="36">
        <v>160</v>
      </c>
      <c r="F1790" s="36" t="s">
        <v>2170</v>
      </c>
      <c r="G1790" s="36">
        <v>613310</v>
      </c>
      <c r="H1790" s="36" t="s">
        <v>2095</v>
      </c>
      <c r="I1790" s="37">
        <v>2.9713400000000001</v>
      </c>
      <c r="J1790" s="7"/>
      <c r="K1790" s="7" t="str">
        <f>VLOOKUP($E1790,Mapping!$E$11:$I$96,3,0)</f>
        <v>Augmentation</v>
      </c>
      <c r="L1790" s="7" t="str">
        <f>VLOOKUP($G1790,Mapping!$E$140:$K$2771,5,0)</f>
        <v>Labour</v>
      </c>
      <c r="M1790" s="7" t="str">
        <f>VLOOKUP($G1790,Mapping!$E$140:$K$2771,7,0)</f>
        <v>ENDirect</v>
      </c>
      <c r="N1790" s="7" t="str">
        <f>IFERROR(HLOOKUP(L1790,'Calc|Weightings'!$K$5:$M$5,1,0),"Excl")</f>
        <v>Labour</v>
      </c>
      <c r="O1790" s="7" t="str">
        <f>VLOOKUP(E1790,Mapping!$E$11:$I$96,5,0)</f>
        <v>SCS</v>
      </c>
      <c r="Q1790" s="7"/>
      <c r="R1790" s="7"/>
      <c r="S1790" s="7"/>
      <c r="T1790" s="7"/>
      <c r="U1790" s="7"/>
      <c r="V1790" s="7"/>
      <c r="AC1790" s="111">
        <v>177</v>
      </c>
      <c r="AD1790" s="111" t="s">
        <v>2387</v>
      </c>
      <c r="AE1790" s="111">
        <v>613280</v>
      </c>
      <c r="AF1790" s="111" t="s">
        <v>1342</v>
      </c>
      <c r="AG1790" s="112">
        <v>11.19974</v>
      </c>
      <c r="AI1790" s="7" t="str">
        <f>VLOOKUP($AC1790,Mapping!$E$11:$I$96,3,0)</f>
        <v>Augmentation</v>
      </c>
      <c r="AJ1790" s="7" t="str">
        <f>VLOOKUP($AE1790,Mapping!$E$140:$K$2771,5,0)</f>
        <v>Labour</v>
      </c>
      <c r="AK1790" s="7" t="str">
        <f>VLOOKUP($AE1790,Mapping!$E$140:$K$2771,7,0)</f>
        <v>ENDirect</v>
      </c>
      <c r="AL1790" s="7" t="str">
        <f>IFERROR(HLOOKUP(AJ1790,'Calc|Weightings'!$K$5:$M$5,1,0),"Excl")</f>
        <v>Labour</v>
      </c>
      <c r="AM1790" s="7" t="str">
        <f>VLOOKUP(AC1790,Mapping!$E$11:$I$96,5,0)</f>
        <v>SCS</v>
      </c>
      <c r="AO1790" s="7"/>
      <c r="AP1790" s="7"/>
      <c r="AQ1790" s="7"/>
      <c r="AR1790" s="7"/>
      <c r="AS1790" s="7"/>
    </row>
    <row r="1791" spans="1:45" x14ac:dyDescent="0.2">
      <c r="A1791" s="7"/>
      <c r="B1791" s="7"/>
      <c r="C1791" s="7"/>
      <c r="D1791" s="7"/>
      <c r="E1791" s="36">
        <v>160</v>
      </c>
      <c r="F1791" s="36" t="s">
        <v>2170</v>
      </c>
      <c r="G1791" s="36">
        <v>613318</v>
      </c>
      <c r="H1791" s="36" t="s">
        <v>1360</v>
      </c>
      <c r="I1791" s="37">
        <v>1.7069399999999999</v>
      </c>
      <c r="J1791" s="7"/>
      <c r="K1791" s="7" t="str">
        <f>VLOOKUP($E1791,Mapping!$E$11:$I$96,3,0)</f>
        <v>Augmentation</v>
      </c>
      <c r="L1791" s="7" t="str">
        <f>VLOOKUP($G1791,Mapping!$E$140:$K$2771,5,0)</f>
        <v>Labour</v>
      </c>
      <c r="M1791" s="7" t="str">
        <f>VLOOKUP($G1791,Mapping!$E$140:$K$2771,7,0)</f>
        <v>ENDirect</v>
      </c>
      <c r="N1791" s="7" t="str">
        <f>IFERROR(HLOOKUP(L1791,'Calc|Weightings'!$K$5:$M$5,1,0),"Excl")</f>
        <v>Labour</v>
      </c>
      <c r="O1791" s="7" t="str">
        <f>VLOOKUP(E1791,Mapping!$E$11:$I$96,5,0)</f>
        <v>SCS</v>
      </c>
      <c r="Q1791" s="7"/>
      <c r="R1791" s="7"/>
      <c r="S1791" s="7"/>
      <c r="T1791" s="7"/>
      <c r="U1791" s="7"/>
      <c r="V1791" s="7"/>
      <c r="AC1791" s="111">
        <v>177</v>
      </c>
      <c r="AD1791" s="111" t="s">
        <v>2387</v>
      </c>
      <c r="AE1791" s="111">
        <v>613290</v>
      </c>
      <c r="AF1791" s="111" t="s">
        <v>2093</v>
      </c>
      <c r="AG1791" s="112">
        <v>314.64877999999999</v>
      </c>
      <c r="AI1791" s="7" t="str">
        <f>VLOOKUP($AC1791,Mapping!$E$11:$I$96,3,0)</f>
        <v>Augmentation</v>
      </c>
      <c r="AJ1791" s="7" t="str">
        <f>VLOOKUP($AE1791,Mapping!$E$140:$K$2771,5,0)</f>
        <v>Labour</v>
      </c>
      <c r="AK1791" s="7" t="str">
        <f>VLOOKUP($AE1791,Mapping!$E$140:$K$2771,7,0)</f>
        <v>ENDirect</v>
      </c>
      <c r="AL1791" s="7" t="str">
        <f>IFERROR(HLOOKUP(AJ1791,'Calc|Weightings'!$K$5:$M$5,1,0),"Excl")</f>
        <v>Labour</v>
      </c>
      <c r="AM1791" s="7" t="str">
        <f>VLOOKUP(AC1791,Mapping!$E$11:$I$96,5,0)</f>
        <v>SCS</v>
      </c>
      <c r="AO1791" s="7"/>
      <c r="AP1791" s="7"/>
      <c r="AQ1791" s="7"/>
      <c r="AR1791" s="7"/>
      <c r="AS1791" s="7"/>
    </row>
    <row r="1792" spans="1:45" x14ac:dyDescent="0.2">
      <c r="A1792" s="7"/>
      <c r="B1792" s="7"/>
      <c r="C1792" s="7"/>
      <c r="D1792" s="7"/>
      <c r="E1792" s="36">
        <v>160</v>
      </c>
      <c r="F1792" s="36" t="s">
        <v>2170</v>
      </c>
      <c r="G1792" s="36">
        <v>613350</v>
      </c>
      <c r="H1792" s="36" t="s">
        <v>2096</v>
      </c>
      <c r="I1792" s="37">
        <v>2.09137</v>
      </c>
      <c r="J1792" s="7"/>
      <c r="K1792" s="7" t="str">
        <f>VLOOKUP($E1792,Mapping!$E$11:$I$96,3,0)</f>
        <v>Augmentation</v>
      </c>
      <c r="L1792" s="7" t="str">
        <f>VLOOKUP($G1792,Mapping!$E$140:$K$2771,5,0)</f>
        <v>Labour</v>
      </c>
      <c r="M1792" s="7" t="str">
        <f>VLOOKUP($G1792,Mapping!$E$140:$K$2771,7,0)</f>
        <v>ENDirect</v>
      </c>
      <c r="N1792" s="7" t="str">
        <f>IFERROR(HLOOKUP(L1792,'Calc|Weightings'!$K$5:$M$5,1,0),"Excl")</f>
        <v>Labour</v>
      </c>
      <c r="O1792" s="7" t="str">
        <f>VLOOKUP(E1792,Mapping!$E$11:$I$96,5,0)</f>
        <v>SCS</v>
      </c>
      <c r="Q1792" s="7"/>
      <c r="R1792" s="7"/>
      <c r="S1792" s="7"/>
      <c r="T1792" s="7"/>
      <c r="U1792" s="7"/>
      <c r="V1792" s="7"/>
      <c r="AC1792" s="111">
        <v>177</v>
      </c>
      <c r="AD1792" s="111" t="s">
        <v>2387</v>
      </c>
      <c r="AE1792" s="111">
        <v>613310</v>
      </c>
      <c r="AF1792" s="111" t="s">
        <v>2095</v>
      </c>
      <c r="AG1792" s="112">
        <v>1.88269</v>
      </c>
      <c r="AI1792" s="7" t="str">
        <f>VLOOKUP($AC1792,Mapping!$E$11:$I$96,3,0)</f>
        <v>Augmentation</v>
      </c>
      <c r="AJ1792" s="7" t="str">
        <f>VLOOKUP($AE1792,Mapping!$E$140:$K$2771,5,0)</f>
        <v>Labour</v>
      </c>
      <c r="AK1792" s="7" t="str">
        <f>VLOOKUP($AE1792,Mapping!$E$140:$K$2771,7,0)</f>
        <v>ENDirect</v>
      </c>
      <c r="AL1792" s="7" t="str">
        <f>IFERROR(HLOOKUP(AJ1792,'Calc|Weightings'!$K$5:$M$5,1,0),"Excl")</f>
        <v>Labour</v>
      </c>
      <c r="AM1792" s="7" t="str">
        <f>VLOOKUP(AC1792,Mapping!$E$11:$I$96,5,0)</f>
        <v>SCS</v>
      </c>
      <c r="AO1792" s="7"/>
      <c r="AP1792" s="7"/>
      <c r="AQ1792" s="7"/>
      <c r="AR1792" s="7"/>
      <c r="AS1792" s="7"/>
    </row>
    <row r="1793" spans="1:45" x14ac:dyDescent="0.2">
      <c r="A1793" s="7"/>
      <c r="B1793" s="7"/>
      <c r="C1793" s="7"/>
      <c r="D1793" s="7"/>
      <c r="E1793" s="36">
        <v>160</v>
      </c>
      <c r="F1793" s="36" t="s">
        <v>2170</v>
      </c>
      <c r="G1793" s="36">
        <v>613360</v>
      </c>
      <c r="H1793" s="36" t="s">
        <v>2097</v>
      </c>
      <c r="I1793" s="37">
        <v>33.248620000000003</v>
      </c>
      <c r="J1793" s="7"/>
      <c r="K1793" s="7" t="str">
        <f>VLOOKUP($E1793,Mapping!$E$11:$I$96,3,0)</f>
        <v>Augmentation</v>
      </c>
      <c r="L1793" s="7" t="str">
        <f>VLOOKUP($G1793,Mapping!$E$140:$K$2771,5,0)</f>
        <v>Labour</v>
      </c>
      <c r="M1793" s="7" t="str">
        <f>VLOOKUP($G1793,Mapping!$E$140:$K$2771,7,0)</f>
        <v>ENDirect</v>
      </c>
      <c r="N1793" s="7" t="str">
        <f>IFERROR(HLOOKUP(L1793,'Calc|Weightings'!$K$5:$M$5,1,0),"Excl")</f>
        <v>Labour</v>
      </c>
      <c r="O1793" s="7" t="str">
        <f>VLOOKUP(E1793,Mapping!$E$11:$I$96,5,0)</f>
        <v>SCS</v>
      </c>
      <c r="Q1793" s="7"/>
      <c r="R1793" s="7"/>
      <c r="S1793" s="7"/>
      <c r="T1793" s="7"/>
      <c r="U1793" s="7"/>
      <c r="V1793" s="7"/>
      <c r="AC1793" s="111">
        <v>177</v>
      </c>
      <c r="AD1793" s="111" t="s">
        <v>2387</v>
      </c>
      <c r="AE1793" s="111">
        <v>613360</v>
      </c>
      <c r="AF1793" s="111" t="s">
        <v>2097</v>
      </c>
      <c r="AG1793" s="112">
        <v>15.458539999999999</v>
      </c>
      <c r="AI1793" s="7" t="str">
        <f>VLOOKUP($AC1793,Mapping!$E$11:$I$96,3,0)</f>
        <v>Augmentation</v>
      </c>
      <c r="AJ1793" s="7" t="str">
        <f>VLOOKUP($AE1793,Mapping!$E$140:$K$2771,5,0)</f>
        <v>Labour</v>
      </c>
      <c r="AK1793" s="7" t="str">
        <f>VLOOKUP($AE1793,Mapping!$E$140:$K$2771,7,0)</f>
        <v>ENDirect</v>
      </c>
      <c r="AL1793" s="7" t="str">
        <f>IFERROR(HLOOKUP(AJ1793,'Calc|Weightings'!$K$5:$M$5,1,0),"Excl")</f>
        <v>Labour</v>
      </c>
      <c r="AM1793" s="7" t="str">
        <f>VLOOKUP(AC1793,Mapping!$E$11:$I$96,5,0)</f>
        <v>SCS</v>
      </c>
      <c r="AO1793" s="7"/>
      <c r="AP1793" s="7"/>
      <c r="AQ1793" s="7"/>
      <c r="AR1793" s="7"/>
      <c r="AS1793" s="7"/>
    </row>
    <row r="1794" spans="1:45" x14ac:dyDescent="0.2">
      <c r="A1794" s="7"/>
      <c r="B1794" s="7"/>
      <c r="C1794" s="7"/>
      <c r="D1794" s="7"/>
      <c r="E1794" s="36">
        <v>160</v>
      </c>
      <c r="F1794" s="36" t="s">
        <v>2170</v>
      </c>
      <c r="G1794" s="36">
        <v>613361</v>
      </c>
      <c r="H1794" s="36" t="s">
        <v>2098</v>
      </c>
      <c r="I1794" s="37">
        <v>4.5801600000000002</v>
      </c>
      <c r="J1794" s="7"/>
      <c r="K1794" s="7" t="str">
        <f>VLOOKUP($E1794,Mapping!$E$11:$I$96,3,0)</f>
        <v>Augmentation</v>
      </c>
      <c r="L1794" s="7" t="str">
        <f>VLOOKUP($G1794,Mapping!$E$140:$K$2771,5,0)</f>
        <v>Labour</v>
      </c>
      <c r="M1794" s="7" t="str">
        <f>VLOOKUP($G1794,Mapping!$E$140:$K$2771,7,0)</f>
        <v>ENDirect</v>
      </c>
      <c r="N1794" s="7" t="str">
        <f>IFERROR(HLOOKUP(L1794,'Calc|Weightings'!$K$5:$M$5,1,0),"Excl")</f>
        <v>Labour</v>
      </c>
      <c r="O1794" s="7" t="str">
        <f>VLOOKUP(E1794,Mapping!$E$11:$I$96,5,0)</f>
        <v>SCS</v>
      </c>
      <c r="Q1794" s="7"/>
      <c r="R1794" s="7"/>
      <c r="S1794" s="7"/>
      <c r="T1794" s="7"/>
      <c r="U1794" s="7"/>
      <c r="V1794" s="7"/>
      <c r="AC1794" s="111">
        <v>177</v>
      </c>
      <c r="AD1794" s="111" t="s">
        <v>2387</v>
      </c>
      <c r="AE1794" s="111">
        <v>613361</v>
      </c>
      <c r="AF1794" s="111" t="s">
        <v>2098</v>
      </c>
      <c r="AG1794" s="112">
        <v>8.3906799999999997</v>
      </c>
      <c r="AI1794" s="7" t="str">
        <f>VLOOKUP($AC1794,Mapping!$E$11:$I$96,3,0)</f>
        <v>Augmentation</v>
      </c>
      <c r="AJ1794" s="7" t="str">
        <f>VLOOKUP($AE1794,Mapping!$E$140:$K$2771,5,0)</f>
        <v>Labour</v>
      </c>
      <c r="AK1794" s="7" t="str">
        <f>VLOOKUP($AE1794,Mapping!$E$140:$K$2771,7,0)</f>
        <v>ENDirect</v>
      </c>
      <c r="AL1794" s="7" t="str">
        <f>IFERROR(HLOOKUP(AJ1794,'Calc|Weightings'!$K$5:$M$5,1,0),"Excl")</f>
        <v>Labour</v>
      </c>
      <c r="AM1794" s="7" t="str">
        <f>VLOOKUP(AC1794,Mapping!$E$11:$I$96,5,0)</f>
        <v>SCS</v>
      </c>
      <c r="AO1794" s="7"/>
      <c r="AP1794" s="7"/>
      <c r="AQ1794" s="7"/>
      <c r="AR1794" s="7"/>
      <c r="AS1794" s="7"/>
    </row>
    <row r="1795" spans="1:45" x14ac:dyDescent="0.2">
      <c r="A1795" s="7"/>
      <c r="B1795" s="7"/>
      <c r="C1795" s="7"/>
      <c r="D1795" s="7"/>
      <c r="E1795" s="36">
        <v>160</v>
      </c>
      <c r="F1795" s="36" t="s">
        <v>2170</v>
      </c>
      <c r="G1795" s="36">
        <v>613370</v>
      </c>
      <c r="H1795" s="36" t="s">
        <v>1402</v>
      </c>
      <c r="I1795" s="37">
        <v>0.84401000000000004</v>
      </c>
      <c r="J1795" s="7"/>
      <c r="K1795" s="7" t="str">
        <f>VLOOKUP($E1795,Mapping!$E$11:$I$96,3,0)</f>
        <v>Augmentation</v>
      </c>
      <c r="L1795" s="7" t="str">
        <f>VLOOKUP($G1795,Mapping!$E$140:$K$2771,5,0)</f>
        <v>Labour</v>
      </c>
      <c r="M1795" s="7" t="str">
        <f>VLOOKUP($G1795,Mapping!$E$140:$K$2771,7,0)</f>
        <v>ENDirect</v>
      </c>
      <c r="N1795" s="7" t="str">
        <f>IFERROR(HLOOKUP(L1795,'Calc|Weightings'!$K$5:$M$5,1,0),"Excl")</f>
        <v>Labour</v>
      </c>
      <c r="O1795" s="7" t="str">
        <f>VLOOKUP(E1795,Mapping!$E$11:$I$96,5,0)</f>
        <v>SCS</v>
      </c>
      <c r="Q1795" s="7"/>
      <c r="R1795" s="7"/>
      <c r="S1795" s="7"/>
      <c r="T1795" s="7"/>
      <c r="U1795" s="7"/>
      <c r="V1795" s="7"/>
      <c r="AC1795" s="111">
        <v>177</v>
      </c>
      <c r="AD1795" s="111" t="s">
        <v>2387</v>
      </c>
      <c r="AE1795" s="111">
        <v>613370</v>
      </c>
      <c r="AF1795" s="111" t="s">
        <v>1402</v>
      </c>
      <c r="AG1795" s="112">
        <v>0.60487999999999997</v>
      </c>
      <c r="AI1795" s="7" t="str">
        <f>VLOOKUP($AC1795,Mapping!$E$11:$I$96,3,0)</f>
        <v>Augmentation</v>
      </c>
      <c r="AJ1795" s="7" t="str">
        <f>VLOOKUP($AE1795,Mapping!$E$140:$K$2771,5,0)</f>
        <v>Labour</v>
      </c>
      <c r="AK1795" s="7" t="str">
        <f>VLOOKUP($AE1795,Mapping!$E$140:$K$2771,7,0)</f>
        <v>ENDirect</v>
      </c>
      <c r="AL1795" s="7" t="str">
        <f>IFERROR(HLOOKUP(AJ1795,'Calc|Weightings'!$K$5:$M$5,1,0),"Excl")</f>
        <v>Labour</v>
      </c>
      <c r="AM1795" s="7" t="str">
        <f>VLOOKUP(AC1795,Mapping!$E$11:$I$96,5,0)</f>
        <v>SCS</v>
      </c>
      <c r="AO1795" s="7"/>
      <c r="AP1795" s="7"/>
      <c r="AQ1795" s="7"/>
      <c r="AR1795" s="7"/>
      <c r="AS1795" s="7"/>
    </row>
    <row r="1796" spans="1:45" x14ac:dyDescent="0.2">
      <c r="A1796" s="7"/>
      <c r="B1796" s="7"/>
      <c r="C1796" s="7"/>
      <c r="D1796" s="7"/>
      <c r="E1796" s="36">
        <v>160</v>
      </c>
      <c r="F1796" s="36" t="s">
        <v>2170</v>
      </c>
      <c r="G1796" s="36">
        <v>613371</v>
      </c>
      <c r="H1796" s="36" t="s">
        <v>1403</v>
      </c>
      <c r="I1796" s="37">
        <v>0.60719999999999996</v>
      </c>
      <c r="J1796" s="7"/>
      <c r="K1796" s="7" t="str">
        <f>VLOOKUP($E1796,Mapping!$E$11:$I$96,3,0)</f>
        <v>Augmentation</v>
      </c>
      <c r="L1796" s="7" t="str">
        <f>VLOOKUP($G1796,Mapping!$E$140:$K$2771,5,0)</f>
        <v>Labour</v>
      </c>
      <c r="M1796" s="7" t="str">
        <f>VLOOKUP($G1796,Mapping!$E$140:$K$2771,7,0)</f>
        <v>ENDirect</v>
      </c>
      <c r="N1796" s="7" t="str">
        <f>IFERROR(HLOOKUP(L1796,'Calc|Weightings'!$K$5:$M$5,1,0),"Excl")</f>
        <v>Labour</v>
      </c>
      <c r="O1796" s="7" t="str">
        <f>VLOOKUP(E1796,Mapping!$E$11:$I$96,5,0)</f>
        <v>SCS</v>
      </c>
      <c r="Q1796" s="7"/>
      <c r="R1796" s="7"/>
      <c r="S1796" s="7"/>
      <c r="T1796" s="7"/>
      <c r="U1796" s="7"/>
      <c r="V1796" s="7"/>
      <c r="AC1796" s="111">
        <v>177</v>
      </c>
      <c r="AD1796" s="111" t="s">
        <v>2387</v>
      </c>
      <c r="AE1796" s="111">
        <v>613420</v>
      </c>
      <c r="AF1796" s="111" t="s">
        <v>2393</v>
      </c>
      <c r="AG1796" s="112">
        <v>1.41201</v>
      </c>
      <c r="AI1796" s="7" t="str">
        <f>VLOOKUP($AC1796,Mapping!$E$11:$I$96,3,0)</f>
        <v>Augmentation</v>
      </c>
      <c r="AJ1796" s="7" t="str">
        <f>VLOOKUP($AE1796,Mapping!$E$140:$K$2771,5,0)</f>
        <v>Labour</v>
      </c>
      <c r="AK1796" s="7" t="str">
        <f>VLOOKUP($AE1796,Mapping!$E$140:$K$2771,7,0)</f>
        <v>ENDirect</v>
      </c>
      <c r="AL1796" s="7" t="str">
        <f>IFERROR(HLOOKUP(AJ1796,'Calc|Weightings'!$K$5:$M$5,1,0),"Excl")</f>
        <v>Labour</v>
      </c>
      <c r="AM1796" s="7" t="str">
        <f>VLOOKUP(AC1796,Mapping!$E$11:$I$96,5,0)</f>
        <v>SCS</v>
      </c>
      <c r="AO1796" s="7"/>
      <c r="AP1796" s="7"/>
      <c r="AQ1796" s="7"/>
      <c r="AR1796" s="7"/>
      <c r="AS1796" s="7"/>
    </row>
    <row r="1797" spans="1:45" x14ac:dyDescent="0.2">
      <c r="A1797" s="7"/>
      <c r="B1797" s="7"/>
      <c r="C1797" s="7"/>
      <c r="D1797" s="7"/>
      <c r="E1797" s="36">
        <v>160</v>
      </c>
      <c r="F1797" s="36" t="s">
        <v>2170</v>
      </c>
      <c r="G1797" s="36">
        <v>613400</v>
      </c>
      <c r="H1797" s="36" t="s">
        <v>2099</v>
      </c>
      <c r="I1797" s="37">
        <v>1.94736</v>
      </c>
      <c r="J1797" s="7"/>
      <c r="K1797" s="7" t="str">
        <f>VLOOKUP($E1797,Mapping!$E$11:$I$96,3,0)</f>
        <v>Augmentation</v>
      </c>
      <c r="L1797" s="7" t="str">
        <f>VLOOKUP($G1797,Mapping!$E$140:$K$2771,5,0)</f>
        <v>Labour</v>
      </c>
      <c r="M1797" s="7" t="str">
        <f>VLOOKUP($G1797,Mapping!$E$140:$K$2771,7,0)</f>
        <v>ENDirect</v>
      </c>
      <c r="N1797" s="7" t="str">
        <f>IFERROR(HLOOKUP(L1797,'Calc|Weightings'!$K$5:$M$5,1,0),"Excl")</f>
        <v>Labour</v>
      </c>
      <c r="O1797" s="7" t="str">
        <f>VLOOKUP(E1797,Mapping!$E$11:$I$96,5,0)</f>
        <v>SCS</v>
      </c>
      <c r="Q1797" s="7"/>
      <c r="R1797" s="7"/>
      <c r="S1797" s="7"/>
      <c r="T1797" s="7"/>
      <c r="U1797" s="7"/>
      <c r="V1797" s="7"/>
      <c r="AC1797" s="111">
        <v>177</v>
      </c>
      <c r="AD1797" s="111" t="s">
        <v>2387</v>
      </c>
      <c r="AE1797" s="111">
        <v>613566</v>
      </c>
      <c r="AF1797" s="111" t="s">
        <v>1482</v>
      </c>
      <c r="AG1797" s="112">
        <v>1.21967</v>
      </c>
      <c r="AI1797" s="7" t="str">
        <f>VLOOKUP($AC1797,Mapping!$E$11:$I$96,3,0)</f>
        <v>Augmentation</v>
      </c>
      <c r="AJ1797" s="7" t="str">
        <f>VLOOKUP($AE1797,Mapping!$E$140:$K$2771,5,0)</f>
        <v>Labour</v>
      </c>
      <c r="AK1797" s="7" t="str">
        <f>VLOOKUP($AE1797,Mapping!$E$140:$K$2771,7,0)</f>
        <v>ENDirect</v>
      </c>
      <c r="AL1797" s="7" t="str">
        <f>IFERROR(HLOOKUP(AJ1797,'Calc|Weightings'!$K$5:$M$5,1,0),"Excl")</f>
        <v>Labour</v>
      </c>
      <c r="AM1797" s="7" t="str">
        <f>VLOOKUP(AC1797,Mapping!$E$11:$I$96,5,0)</f>
        <v>SCS</v>
      </c>
      <c r="AO1797" s="7"/>
      <c r="AP1797" s="7"/>
      <c r="AQ1797" s="7"/>
      <c r="AR1797" s="7"/>
      <c r="AS1797" s="7"/>
    </row>
    <row r="1798" spans="1:45" x14ac:dyDescent="0.2">
      <c r="A1798" s="7"/>
      <c r="B1798" s="7"/>
      <c r="C1798" s="7"/>
      <c r="D1798" s="7"/>
      <c r="E1798" s="36">
        <v>160</v>
      </c>
      <c r="F1798" s="36" t="s">
        <v>2170</v>
      </c>
      <c r="G1798" s="36">
        <v>613408</v>
      </c>
      <c r="H1798" s="36" t="s">
        <v>1418</v>
      </c>
      <c r="I1798" s="37">
        <v>54.647790000000001</v>
      </c>
      <c r="J1798" s="7"/>
      <c r="K1798" s="7" t="str">
        <f>VLOOKUP($E1798,Mapping!$E$11:$I$96,3,0)</f>
        <v>Augmentation</v>
      </c>
      <c r="L1798" s="7" t="str">
        <f>VLOOKUP($G1798,Mapping!$E$140:$K$2771,5,0)</f>
        <v>Labour</v>
      </c>
      <c r="M1798" s="7" t="str">
        <f>VLOOKUP($G1798,Mapping!$E$140:$K$2771,7,0)</f>
        <v>ENDirect</v>
      </c>
      <c r="N1798" s="7" t="str">
        <f>IFERROR(HLOOKUP(L1798,'Calc|Weightings'!$K$5:$M$5,1,0),"Excl")</f>
        <v>Labour</v>
      </c>
      <c r="O1798" s="7" t="str">
        <f>VLOOKUP(E1798,Mapping!$E$11:$I$96,5,0)</f>
        <v>SCS</v>
      </c>
      <c r="Q1798" s="7"/>
      <c r="R1798" s="7"/>
      <c r="S1798" s="7"/>
      <c r="T1798" s="7"/>
      <c r="U1798" s="7"/>
      <c r="V1798" s="7"/>
      <c r="AC1798" s="111">
        <v>177</v>
      </c>
      <c r="AD1798" s="111" t="s">
        <v>2387</v>
      </c>
      <c r="AE1798" s="111">
        <v>613567</v>
      </c>
      <c r="AF1798" s="111" t="s">
        <v>1483</v>
      </c>
      <c r="AG1798" s="112">
        <v>2.9917799999999999</v>
      </c>
      <c r="AI1798" s="7" t="str">
        <f>VLOOKUP($AC1798,Mapping!$E$11:$I$96,3,0)</f>
        <v>Augmentation</v>
      </c>
      <c r="AJ1798" s="7" t="str">
        <f>VLOOKUP($AE1798,Mapping!$E$140:$K$2771,5,0)</f>
        <v>Labour</v>
      </c>
      <c r="AK1798" s="7" t="str">
        <f>VLOOKUP($AE1798,Mapping!$E$140:$K$2771,7,0)</f>
        <v>ENDirect</v>
      </c>
      <c r="AL1798" s="7" t="str">
        <f>IFERROR(HLOOKUP(AJ1798,'Calc|Weightings'!$K$5:$M$5,1,0),"Excl")</f>
        <v>Labour</v>
      </c>
      <c r="AM1798" s="7" t="str">
        <f>VLOOKUP(AC1798,Mapping!$E$11:$I$96,5,0)</f>
        <v>SCS</v>
      </c>
      <c r="AO1798" s="7"/>
      <c r="AP1798" s="7"/>
      <c r="AQ1798" s="7"/>
      <c r="AR1798" s="7"/>
      <c r="AS1798" s="7"/>
    </row>
    <row r="1799" spans="1:45" x14ac:dyDescent="0.2">
      <c r="A1799" s="7"/>
      <c r="B1799" s="7"/>
      <c r="C1799" s="7"/>
      <c r="D1799" s="7"/>
      <c r="E1799" s="36">
        <v>160</v>
      </c>
      <c r="F1799" s="36" t="s">
        <v>2170</v>
      </c>
      <c r="G1799" s="36">
        <v>613409</v>
      </c>
      <c r="H1799" s="36" t="s">
        <v>1419</v>
      </c>
      <c r="I1799" s="37">
        <v>0.36513000000000001</v>
      </c>
      <c r="J1799" s="7"/>
      <c r="K1799" s="7" t="str">
        <f>VLOOKUP($E1799,Mapping!$E$11:$I$96,3,0)</f>
        <v>Augmentation</v>
      </c>
      <c r="L1799" s="7" t="str">
        <f>VLOOKUP($G1799,Mapping!$E$140:$K$2771,5,0)</f>
        <v>Labour</v>
      </c>
      <c r="M1799" s="7" t="str">
        <f>VLOOKUP($G1799,Mapping!$E$140:$K$2771,7,0)</f>
        <v>ENDirect</v>
      </c>
      <c r="N1799" s="7" t="str">
        <f>IFERROR(HLOOKUP(L1799,'Calc|Weightings'!$K$5:$M$5,1,0),"Excl")</f>
        <v>Labour</v>
      </c>
      <c r="O1799" s="7" t="str">
        <f>VLOOKUP(E1799,Mapping!$E$11:$I$96,5,0)</f>
        <v>SCS</v>
      </c>
      <c r="Q1799" s="7"/>
      <c r="R1799" s="7"/>
      <c r="S1799" s="7"/>
      <c r="T1799" s="7"/>
      <c r="U1799" s="7"/>
      <c r="V1799" s="7"/>
      <c r="AC1799" s="111">
        <v>177</v>
      </c>
      <c r="AD1799" s="111" t="s">
        <v>2387</v>
      </c>
      <c r="AE1799" s="111">
        <v>613570</v>
      </c>
      <c r="AF1799" s="111" t="s">
        <v>1484</v>
      </c>
      <c r="AG1799" s="112">
        <v>1.1703300000000001</v>
      </c>
      <c r="AI1799" s="7" t="str">
        <f>VLOOKUP($AC1799,Mapping!$E$11:$I$96,3,0)</f>
        <v>Augmentation</v>
      </c>
      <c r="AJ1799" s="7" t="str">
        <f>VLOOKUP($AE1799,Mapping!$E$140:$K$2771,5,0)</f>
        <v>Labour</v>
      </c>
      <c r="AK1799" s="7" t="str">
        <f>VLOOKUP($AE1799,Mapping!$E$140:$K$2771,7,0)</f>
        <v>ENDirect</v>
      </c>
      <c r="AL1799" s="7" t="str">
        <f>IFERROR(HLOOKUP(AJ1799,'Calc|Weightings'!$K$5:$M$5,1,0),"Excl")</f>
        <v>Labour</v>
      </c>
      <c r="AM1799" s="7" t="str">
        <f>VLOOKUP(AC1799,Mapping!$E$11:$I$96,5,0)</f>
        <v>SCS</v>
      </c>
      <c r="AO1799" s="7"/>
      <c r="AP1799" s="7"/>
      <c r="AQ1799" s="7"/>
      <c r="AR1799" s="7"/>
      <c r="AS1799" s="7"/>
    </row>
    <row r="1800" spans="1:45" x14ac:dyDescent="0.2">
      <c r="A1800" s="7"/>
      <c r="B1800" s="7"/>
      <c r="C1800" s="7"/>
      <c r="D1800" s="7"/>
      <c r="E1800" s="36">
        <v>160</v>
      </c>
      <c r="F1800" s="36" t="s">
        <v>2170</v>
      </c>
      <c r="G1800" s="36">
        <v>613410</v>
      </c>
      <c r="H1800" s="36" t="s">
        <v>2100</v>
      </c>
      <c r="I1800" s="37">
        <v>13.84656</v>
      </c>
      <c r="J1800" s="7"/>
      <c r="K1800" s="7" t="str">
        <f>VLOOKUP($E1800,Mapping!$E$11:$I$96,3,0)</f>
        <v>Augmentation</v>
      </c>
      <c r="L1800" s="7" t="str">
        <f>VLOOKUP($G1800,Mapping!$E$140:$K$2771,5,0)</f>
        <v>Labour</v>
      </c>
      <c r="M1800" s="7" t="str">
        <f>VLOOKUP($G1800,Mapping!$E$140:$K$2771,7,0)</f>
        <v>ENDirect</v>
      </c>
      <c r="N1800" s="7" t="str">
        <f>IFERROR(HLOOKUP(L1800,'Calc|Weightings'!$K$5:$M$5,1,0),"Excl")</f>
        <v>Labour</v>
      </c>
      <c r="O1800" s="7" t="str">
        <f>VLOOKUP(E1800,Mapping!$E$11:$I$96,5,0)</f>
        <v>SCS</v>
      </c>
      <c r="Q1800" s="7"/>
      <c r="R1800" s="7"/>
      <c r="S1800" s="7"/>
      <c r="T1800" s="7"/>
      <c r="U1800" s="7"/>
      <c r="V1800" s="7"/>
      <c r="AC1800" s="111">
        <v>177</v>
      </c>
      <c r="AD1800" s="111" t="s">
        <v>2387</v>
      </c>
      <c r="AE1800" s="111">
        <v>613571</v>
      </c>
      <c r="AF1800" s="111" t="s">
        <v>1485</v>
      </c>
      <c r="AG1800" s="112">
        <v>4.3954800000000001</v>
      </c>
      <c r="AI1800" s="7" t="str">
        <f>VLOOKUP($AC1800,Mapping!$E$11:$I$96,3,0)</f>
        <v>Augmentation</v>
      </c>
      <c r="AJ1800" s="7" t="str">
        <f>VLOOKUP($AE1800,Mapping!$E$140:$K$2771,5,0)</f>
        <v>Labour</v>
      </c>
      <c r="AK1800" s="7" t="str">
        <f>VLOOKUP($AE1800,Mapping!$E$140:$K$2771,7,0)</f>
        <v>ENDirect</v>
      </c>
      <c r="AL1800" s="7" t="str">
        <f>IFERROR(HLOOKUP(AJ1800,'Calc|Weightings'!$K$5:$M$5,1,0),"Excl")</f>
        <v>Labour</v>
      </c>
      <c r="AM1800" s="7" t="str">
        <f>VLOOKUP(AC1800,Mapping!$E$11:$I$96,5,0)</f>
        <v>SCS</v>
      </c>
      <c r="AO1800" s="7"/>
      <c r="AP1800" s="7"/>
      <c r="AQ1800" s="7"/>
      <c r="AR1800" s="7"/>
      <c r="AS1800" s="7"/>
    </row>
    <row r="1801" spans="1:45" x14ac:dyDescent="0.2">
      <c r="A1801" s="7"/>
      <c r="B1801" s="7"/>
      <c r="C1801" s="7"/>
      <c r="D1801" s="7"/>
      <c r="E1801" s="36">
        <v>160</v>
      </c>
      <c r="F1801" s="36" t="s">
        <v>2170</v>
      </c>
      <c r="G1801" s="36">
        <v>613411</v>
      </c>
      <c r="H1801" s="36" t="s">
        <v>2101</v>
      </c>
      <c r="I1801" s="37">
        <v>0.53256000000000003</v>
      </c>
      <c r="J1801" s="7"/>
      <c r="K1801" s="7" t="str">
        <f>VLOOKUP($E1801,Mapping!$E$11:$I$96,3,0)</f>
        <v>Augmentation</v>
      </c>
      <c r="L1801" s="7" t="str">
        <f>VLOOKUP($G1801,Mapping!$E$140:$K$2771,5,0)</f>
        <v>Labour</v>
      </c>
      <c r="M1801" s="7" t="str">
        <f>VLOOKUP($G1801,Mapping!$E$140:$K$2771,7,0)</f>
        <v>ENDirect</v>
      </c>
      <c r="N1801" s="7" t="str">
        <f>IFERROR(HLOOKUP(L1801,'Calc|Weightings'!$K$5:$M$5,1,0),"Excl")</f>
        <v>Labour</v>
      </c>
      <c r="O1801" s="7" t="str">
        <f>VLOOKUP(E1801,Mapping!$E$11:$I$96,5,0)</f>
        <v>SCS</v>
      </c>
      <c r="Q1801" s="7"/>
      <c r="R1801" s="7"/>
      <c r="S1801" s="7"/>
      <c r="T1801" s="7"/>
      <c r="U1801" s="7"/>
      <c r="V1801" s="7"/>
      <c r="AC1801" s="111">
        <v>177</v>
      </c>
      <c r="AD1801" s="111" t="s">
        <v>2387</v>
      </c>
      <c r="AE1801" s="111">
        <v>613574</v>
      </c>
      <c r="AF1801" s="111" t="s">
        <v>1488</v>
      </c>
      <c r="AG1801" s="112">
        <v>10.10506</v>
      </c>
      <c r="AI1801" s="7" t="str">
        <f>VLOOKUP($AC1801,Mapping!$E$11:$I$96,3,0)</f>
        <v>Augmentation</v>
      </c>
      <c r="AJ1801" s="7" t="str">
        <f>VLOOKUP($AE1801,Mapping!$E$140:$K$2771,5,0)</f>
        <v>Labour</v>
      </c>
      <c r="AK1801" s="7" t="str">
        <f>VLOOKUP($AE1801,Mapping!$E$140:$K$2771,7,0)</f>
        <v>ENDirect</v>
      </c>
      <c r="AL1801" s="7" t="str">
        <f>IFERROR(HLOOKUP(AJ1801,'Calc|Weightings'!$K$5:$M$5,1,0),"Excl")</f>
        <v>Labour</v>
      </c>
      <c r="AM1801" s="7" t="str">
        <f>VLOOKUP(AC1801,Mapping!$E$11:$I$96,5,0)</f>
        <v>SCS</v>
      </c>
      <c r="AO1801" s="7"/>
      <c r="AP1801" s="7"/>
      <c r="AQ1801" s="7"/>
      <c r="AR1801" s="7"/>
      <c r="AS1801" s="7"/>
    </row>
    <row r="1802" spans="1:45" x14ac:dyDescent="0.2">
      <c r="A1802" s="7"/>
      <c r="B1802" s="7"/>
      <c r="C1802" s="7"/>
      <c r="D1802" s="7"/>
      <c r="E1802" s="36">
        <v>160</v>
      </c>
      <c r="F1802" s="36" t="s">
        <v>2170</v>
      </c>
      <c r="G1802" s="36">
        <v>613418</v>
      </c>
      <c r="H1802" s="36" t="s">
        <v>1424</v>
      </c>
      <c r="I1802" s="37">
        <v>24.49776</v>
      </c>
      <c r="J1802" s="7"/>
      <c r="K1802" s="7" t="str">
        <f>VLOOKUP($E1802,Mapping!$E$11:$I$96,3,0)</f>
        <v>Augmentation</v>
      </c>
      <c r="L1802" s="7" t="str">
        <f>VLOOKUP($G1802,Mapping!$E$140:$K$2771,5,0)</f>
        <v>Labour</v>
      </c>
      <c r="M1802" s="7" t="str">
        <f>VLOOKUP($G1802,Mapping!$E$140:$K$2771,7,0)</f>
        <v>ENDirect</v>
      </c>
      <c r="N1802" s="7" t="str">
        <f>IFERROR(HLOOKUP(L1802,'Calc|Weightings'!$K$5:$M$5,1,0),"Excl")</f>
        <v>Labour</v>
      </c>
      <c r="O1802" s="7" t="str">
        <f>VLOOKUP(E1802,Mapping!$E$11:$I$96,5,0)</f>
        <v>SCS</v>
      </c>
      <c r="Q1802" s="7"/>
      <c r="R1802" s="7"/>
      <c r="S1802" s="7"/>
      <c r="T1802" s="7"/>
      <c r="U1802" s="7"/>
      <c r="V1802" s="7"/>
      <c r="AC1802" s="111">
        <v>177</v>
      </c>
      <c r="AD1802" s="111" t="s">
        <v>2387</v>
      </c>
      <c r="AE1802" s="111">
        <v>613575</v>
      </c>
      <c r="AF1802" s="111" t="s">
        <v>1489</v>
      </c>
      <c r="AG1802" s="112">
        <v>8.0250500000000002</v>
      </c>
      <c r="AI1802" s="7" t="str">
        <f>VLOOKUP($AC1802,Mapping!$E$11:$I$96,3,0)</f>
        <v>Augmentation</v>
      </c>
      <c r="AJ1802" s="7" t="str">
        <f>VLOOKUP($AE1802,Mapping!$E$140:$K$2771,5,0)</f>
        <v>Labour</v>
      </c>
      <c r="AK1802" s="7" t="str">
        <f>VLOOKUP($AE1802,Mapping!$E$140:$K$2771,7,0)</f>
        <v>ENDirect</v>
      </c>
      <c r="AL1802" s="7" t="str">
        <f>IFERROR(HLOOKUP(AJ1802,'Calc|Weightings'!$K$5:$M$5,1,0),"Excl")</f>
        <v>Labour</v>
      </c>
      <c r="AM1802" s="7" t="str">
        <f>VLOOKUP(AC1802,Mapping!$E$11:$I$96,5,0)</f>
        <v>SCS</v>
      </c>
      <c r="AO1802" s="7"/>
      <c r="AP1802" s="7"/>
      <c r="AQ1802" s="7"/>
      <c r="AR1802" s="7"/>
      <c r="AS1802" s="7"/>
    </row>
    <row r="1803" spans="1:45" x14ac:dyDescent="0.2">
      <c r="A1803" s="7"/>
      <c r="B1803" s="7"/>
      <c r="C1803" s="7"/>
      <c r="D1803" s="7"/>
      <c r="E1803" s="36">
        <v>160</v>
      </c>
      <c r="F1803" s="36" t="s">
        <v>2170</v>
      </c>
      <c r="G1803" s="36">
        <v>613419</v>
      </c>
      <c r="H1803" s="36" t="s">
        <v>1425</v>
      </c>
      <c r="I1803" s="37">
        <v>0.99855000000000005</v>
      </c>
      <c r="J1803" s="7"/>
      <c r="K1803" s="7" t="str">
        <f>VLOOKUP($E1803,Mapping!$E$11:$I$96,3,0)</f>
        <v>Augmentation</v>
      </c>
      <c r="L1803" s="7" t="str">
        <f>VLOOKUP($G1803,Mapping!$E$140:$K$2771,5,0)</f>
        <v>Labour</v>
      </c>
      <c r="M1803" s="7" t="str">
        <f>VLOOKUP($G1803,Mapping!$E$140:$K$2771,7,0)</f>
        <v>ENDirect</v>
      </c>
      <c r="N1803" s="7" t="str">
        <f>IFERROR(HLOOKUP(L1803,'Calc|Weightings'!$K$5:$M$5,1,0),"Excl")</f>
        <v>Labour</v>
      </c>
      <c r="O1803" s="7" t="str">
        <f>VLOOKUP(E1803,Mapping!$E$11:$I$96,5,0)</f>
        <v>SCS</v>
      </c>
      <c r="Q1803" s="7"/>
      <c r="R1803" s="7"/>
      <c r="S1803" s="7"/>
      <c r="T1803" s="7"/>
      <c r="U1803" s="7"/>
      <c r="V1803" s="7"/>
      <c r="AC1803" s="111">
        <v>177</v>
      </c>
      <c r="AD1803" s="111" t="s">
        <v>2387</v>
      </c>
      <c r="AE1803" s="111">
        <v>613576</v>
      </c>
      <c r="AF1803" s="111" t="s">
        <v>1490</v>
      </c>
      <c r="AG1803" s="112">
        <v>18.226559999999999</v>
      </c>
      <c r="AI1803" s="7" t="str">
        <f>VLOOKUP($AC1803,Mapping!$E$11:$I$96,3,0)</f>
        <v>Augmentation</v>
      </c>
      <c r="AJ1803" s="7" t="str">
        <f>VLOOKUP($AE1803,Mapping!$E$140:$K$2771,5,0)</f>
        <v>Labour</v>
      </c>
      <c r="AK1803" s="7" t="str">
        <f>VLOOKUP($AE1803,Mapping!$E$140:$K$2771,7,0)</f>
        <v>ENDirect</v>
      </c>
      <c r="AL1803" s="7" t="str">
        <f>IFERROR(HLOOKUP(AJ1803,'Calc|Weightings'!$K$5:$M$5,1,0),"Excl")</f>
        <v>Labour</v>
      </c>
      <c r="AM1803" s="7" t="str">
        <f>VLOOKUP(AC1803,Mapping!$E$11:$I$96,5,0)</f>
        <v>SCS</v>
      </c>
      <c r="AO1803" s="7"/>
      <c r="AP1803" s="7"/>
      <c r="AQ1803" s="7"/>
      <c r="AR1803" s="7"/>
      <c r="AS1803" s="7"/>
    </row>
    <row r="1804" spans="1:45" x14ac:dyDescent="0.2">
      <c r="A1804" s="7"/>
      <c r="B1804" s="7"/>
      <c r="C1804" s="7"/>
      <c r="D1804" s="7"/>
      <c r="E1804" s="36">
        <v>160</v>
      </c>
      <c r="F1804" s="36" t="s">
        <v>2170</v>
      </c>
      <c r="G1804" s="36">
        <v>613680</v>
      </c>
      <c r="H1804" s="36" t="s">
        <v>2107</v>
      </c>
      <c r="I1804" s="37">
        <v>10.608409999999999</v>
      </c>
      <c r="J1804" s="7"/>
      <c r="K1804" s="7" t="str">
        <f>VLOOKUP($E1804,Mapping!$E$11:$I$96,3,0)</f>
        <v>Augmentation</v>
      </c>
      <c r="L1804" s="7" t="str">
        <f>VLOOKUP($G1804,Mapping!$E$140:$K$2771,5,0)</f>
        <v>Labour</v>
      </c>
      <c r="M1804" s="7" t="str">
        <f>VLOOKUP($G1804,Mapping!$E$140:$K$2771,7,0)</f>
        <v>ENDirect</v>
      </c>
      <c r="N1804" s="7" t="str">
        <f>IFERROR(HLOOKUP(L1804,'Calc|Weightings'!$K$5:$M$5,1,0),"Excl")</f>
        <v>Labour</v>
      </c>
      <c r="O1804" s="7" t="str">
        <f>VLOOKUP(E1804,Mapping!$E$11:$I$96,5,0)</f>
        <v>SCS</v>
      </c>
      <c r="Q1804" s="7"/>
      <c r="R1804" s="7"/>
      <c r="S1804" s="7"/>
      <c r="T1804" s="7"/>
      <c r="U1804" s="7"/>
      <c r="V1804" s="7"/>
      <c r="AC1804" s="111">
        <v>177</v>
      </c>
      <c r="AD1804" s="111" t="s">
        <v>2387</v>
      </c>
      <c r="AE1804" s="111">
        <v>613577</v>
      </c>
      <c r="AF1804" s="111" t="s">
        <v>1491</v>
      </c>
      <c r="AG1804" s="112">
        <v>0.47910000000000003</v>
      </c>
      <c r="AI1804" s="7" t="str">
        <f>VLOOKUP($AC1804,Mapping!$E$11:$I$96,3,0)</f>
        <v>Augmentation</v>
      </c>
      <c r="AJ1804" s="7" t="str">
        <f>VLOOKUP($AE1804,Mapping!$E$140:$K$2771,5,0)</f>
        <v>Labour</v>
      </c>
      <c r="AK1804" s="7" t="str">
        <f>VLOOKUP($AE1804,Mapping!$E$140:$K$2771,7,0)</f>
        <v>ENDirect</v>
      </c>
      <c r="AL1804" s="7" t="str">
        <f>IFERROR(HLOOKUP(AJ1804,'Calc|Weightings'!$K$5:$M$5,1,0),"Excl")</f>
        <v>Labour</v>
      </c>
      <c r="AM1804" s="7" t="str">
        <f>VLOOKUP(AC1804,Mapping!$E$11:$I$96,5,0)</f>
        <v>SCS</v>
      </c>
      <c r="AO1804" s="7"/>
      <c r="AP1804" s="7"/>
      <c r="AQ1804" s="7"/>
      <c r="AR1804" s="7"/>
      <c r="AS1804" s="7"/>
    </row>
    <row r="1805" spans="1:45" x14ac:dyDescent="0.2">
      <c r="A1805" s="7"/>
      <c r="B1805" s="7"/>
      <c r="C1805" s="7"/>
      <c r="D1805" s="7"/>
      <c r="E1805" s="36">
        <v>160</v>
      </c>
      <c r="F1805" s="36" t="s">
        <v>2170</v>
      </c>
      <c r="G1805" s="36">
        <v>613681</v>
      </c>
      <c r="H1805" s="36" t="s">
        <v>2108</v>
      </c>
      <c r="I1805" s="37">
        <v>3.8809999999999997E-2</v>
      </c>
      <c r="J1805" s="7"/>
      <c r="K1805" s="7" t="str">
        <f>VLOOKUP($E1805,Mapping!$E$11:$I$96,3,0)</f>
        <v>Augmentation</v>
      </c>
      <c r="L1805" s="7" t="str">
        <f>VLOOKUP($G1805,Mapping!$E$140:$K$2771,5,0)</f>
        <v>Labour</v>
      </c>
      <c r="M1805" s="7" t="str">
        <f>VLOOKUP($G1805,Mapping!$E$140:$K$2771,7,0)</f>
        <v>ENDirect</v>
      </c>
      <c r="N1805" s="7" t="str">
        <f>IFERROR(HLOOKUP(L1805,'Calc|Weightings'!$K$5:$M$5,1,0),"Excl")</f>
        <v>Labour</v>
      </c>
      <c r="O1805" s="7" t="str">
        <f>VLOOKUP(E1805,Mapping!$E$11:$I$96,5,0)</f>
        <v>SCS</v>
      </c>
      <c r="Q1805" s="7"/>
      <c r="R1805" s="7"/>
      <c r="S1805" s="7"/>
      <c r="T1805" s="7"/>
      <c r="U1805" s="7"/>
      <c r="V1805" s="7"/>
      <c r="AC1805" s="111">
        <v>177</v>
      </c>
      <c r="AD1805" s="111" t="s">
        <v>2387</v>
      </c>
      <c r="AE1805" s="111">
        <v>613602</v>
      </c>
      <c r="AF1805" s="111" t="s">
        <v>1494</v>
      </c>
      <c r="AG1805" s="112">
        <v>6.35168</v>
      </c>
      <c r="AI1805" s="7" t="str">
        <f>VLOOKUP($AC1805,Mapping!$E$11:$I$96,3,0)</f>
        <v>Augmentation</v>
      </c>
      <c r="AJ1805" s="7" t="str">
        <f>VLOOKUP($AE1805,Mapping!$E$140:$K$2771,5,0)</f>
        <v>Labour</v>
      </c>
      <c r="AK1805" s="7" t="str">
        <f>VLOOKUP($AE1805,Mapping!$E$140:$K$2771,7,0)</f>
        <v>ENDirect</v>
      </c>
      <c r="AL1805" s="7" t="str">
        <f>IFERROR(HLOOKUP(AJ1805,'Calc|Weightings'!$K$5:$M$5,1,0),"Excl")</f>
        <v>Labour</v>
      </c>
      <c r="AM1805" s="7" t="str">
        <f>VLOOKUP(AC1805,Mapping!$E$11:$I$96,5,0)</f>
        <v>SCS</v>
      </c>
      <c r="AO1805" s="7"/>
      <c r="AP1805" s="7"/>
      <c r="AQ1805" s="7"/>
      <c r="AR1805" s="7"/>
      <c r="AS1805" s="7"/>
    </row>
    <row r="1806" spans="1:45" x14ac:dyDescent="0.2">
      <c r="A1806" s="7"/>
      <c r="B1806" s="7"/>
      <c r="C1806" s="7"/>
      <c r="D1806" s="7"/>
      <c r="E1806" s="36">
        <v>160</v>
      </c>
      <c r="F1806" s="36" t="s">
        <v>2170</v>
      </c>
      <c r="G1806" s="36">
        <v>633000</v>
      </c>
      <c r="H1806" s="36" t="s">
        <v>2202</v>
      </c>
      <c r="I1806" s="37">
        <v>184.82525999999999</v>
      </c>
      <c r="J1806" s="7"/>
      <c r="K1806" s="7" t="str">
        <f>VLOOKUP($E1806,Mapping!$E$11:$I$96,3,0)</f>
        <v>Augmentation</v>
      </c>
      <c r="L1806" s="7" t="str">
        <f>VLOOKUP($G1806,Mapping!$E$140:$K$2771,5,0)</f>
        <v>Contracts</v>
      </c>
      <c r="M1806" s="7" t="str">
        <f>VLOOKUP($G1806,Mapping!$E$140:$K$2771,7,0)</f>
        <v>OH</v>
      </c>
      <c r="N1806" s="7" t="str">
        <f>IFERROR(HLOOKUP(L1806,'Calc|Weightings'!$K$5:$M$5,1,0),"Excl")</f>
        <v>Contracts</v>
      </c>
      <c r="O1806" s="7" t="str">
        <f>VLOOKUP(E1806,Mapping!$E$11:$I$96,5,0)</f>
        <v>SCS</v>
      </c>
      <c r="Q1806" s="7"/>
      <c r="R1806" s="7"/>
      <c r="S1806" s="7"/>
      <c r="T1806" s="7"/>
      <c r="U1806" s="7"/>
      <c r="V1806" s="7"/>
      <c r="AC1806" s="111">
        <v>177</v>
      </c>
      <c r="AD1806" s="111" t="s">
        <v>2387</v>
      </c>
      <c r="AE1806" s="111">
        <v>613603</v>
      </c>
      <c r="AF1806" s="111" t="s">
        <v>1495</v>
      </c>
      <c r="AG1806" s="112">
        <v>0.47910000000000003</v>
      </c>
      <c r="AI1806" s="7" t="str">
        <f>VLOOKUP($AC1806,Mapping!$E$11:$I$96,3,0)</f>
        <v>Augmentation</v>
      </c>
      <c r="AJ1806" s="7" t="str">
        <f>VLOOKUP($AE1806,Mapping!$E$140:$K$2771,5,0)</f>
        <v>Labour</v>
      </c>
      <c r="AK1806" s="7" t="str">
        <f>VLOOKUP($AE1806,Mapping!$E$140:$K$2771,7,0)</f>
        <v>ENDirect</v>
      </c>
      <c r="AL1806" s="7" t="str">
        <f>IFERROR(HLOOKUP(AJ1806,'Calc|Weightings'!$K$5:$M$5,1,0),"Excl")</f>
        <v>Labour</v>
      </c>
      <c r="AM1806" s="7" t="str">
        <f>VLOOKUP(AC1806,Mapping!$E$11:$I$96,5,0)</f>
        <v>SCS</v>
      </c>
      <c r="AO1806" s="7"/>
      <c r="AP1806" s="7"/>
      <c r="AQ1806" s="7"/>
      <c r="AR1806" s="7"/>
      <c r="AS1806" s="7"/>
    </row>
    <row r="1807" spans="1:45" x14ac:dyDescent="0.2">
      <c r="A1807" s="7"/>
      <c r="B1807" s="7"/>
      <c r="C1807" s="7"/>
      <c r="D1807" s="7"/>
      <c r="E1807" s="36">
        <v>160</v>
      </c>
      <c r="F1807" s="36" t="s">
        <v>2170</v>
      </c>
      <c r="G1807" s="36">
        <v>634001</v>
      </c>
      <c r="H1807" s="36" t="s">
        <v>2110</v>
      </c>
      <c r="I1807" s="37">
        <v>78.626589999999993</v>
      </c>
      <c r="J1807" s="7"/>
      <c r="K1807" s="7" t="str">
        <f>VLOOKUP($E1807,Mapping!$E$11:$I$96,3,0)</f>
        <v>Augmentation</v>
      </c>
      <c r="L1807" s="7" t="str">
        <f>VLOOKUP($G1807,Mapping!$E$140:$K$2771,5,0)</f>
        <v>Local OH</v>
      </c>
      <c r="M1807" s="7" t="str">
        <f>VLOOKUP($G1807,Mapping!$E$140:$K$2771,7,0)</f>
        <v>OH</v>
      </c>
      <c r="N1807" s="7" t="str">
        <f>IFERROR(HLOOKUP(L1807,'Calc|Weightings'!$K$5:$M$5,1,0),"Excl")</f>
        <v>Excl</v>
      </c>
      <c r="O1807" s="7" t="str">
        <f>VLOOKUP(E1807,Mapping!$E$11:$I$96,5,0)</f>
        <v>SCS</v>
      </c>
      <c r="Q1807" s="7"/>
      <c r="R1807" s="7"/>
      <c r="S1807" s="7"/>
      <c r="T1807" s="7"/>
      <c r="U1807" s="7"/>
      <c r="V1807" s="7"/>
      <c r="AC1807" s="111">
        <v>177</v>
      </c>
      <c r="AD1807" s="111" t="s">
        <v>2387</v>
      </c>
      <c r="AE1807" s="111">
        <v>613630</v>
      </c>
      <c r="AF1807" s="111" t="s">
        <v>1498</v>
      </c>
      <c r="AG1807" s="112">
        <v>106.47349</v>
      </c>
      <c r="AI1807" s="7" t="str">
        <f>VLOOKUP($AC1807,Mapping!$E$11:$I$96,3,0)</f>
        <v>Augmentation</v>
      </c>
      <c r="AJ1807" s="7" t="str">
        <f>VLOOKUP($AE1807,Mapping!$E$140:$K$2771,5,0)</f>
        <v>Labour</v>
      </c>
      <c r="AK1807" s="7" t="str">
        <f>VLOOKUP($AE1807,Mapping!$E$140:$K$2771,7,0)</f>
        <v>ENDirect</v>
      </c>
      <c r="AL1807" s="7" t="str">
        <f>IFERROR(HLOOKUP(AJ1807,'Calc|Weightings'!$K$5:$M$5,1,0),"Excl")</f>
        <v>Labour</v>
      </c>
      <c r="AM1807" s="7" t="str">
        <f>VLOOKUP(AC1807,Mapping!$E$11:$I$96,5,0)</f>
        <v>SCS</v>
      </c>
      <c r="AO1807" s="7"/>
      <c r="AP1807" s="7"/>
      <c r="AQ1807" s="7"/>
      <c r="AR1807" s="7"/>
      <c r="AS1807" s="7"/>
    </row>
    <row r="1808" spans="1:45" x14ac:dyDescent="0.2">
      <c r="A1808" s="7"/>
      <c r="B1808" s="7"/>
      <c r="C1808" s="7"/>
      <c r="D1808" s="7"/>
      <c r="E1808" s="36">
        <v>160</v>
      </c>
      <c r="F1808" s="36" t="s">
        <v>2170</v>
      </c>
      <c r="G1808" s="36">
        <v>635001</v>
      </c>
      <c r="H1808" s="36" t="s">
        <v>1929</v>
      </c>
      <c r="I1808" s="37">
        <v>55.084539999999997</v>
      </c>
      <c r="J1808" s="7"/>
      <c r="K1808" s="7" t="str">
        <f>VLOOKUP($E1808,Mapping!$E$11:$I$96,3,0)</f>
        <v>Augmentation</v>
      </c>
      <c r="L1808" s="7" t="str">
        <f>VLOOKUP($G1808,Mapping!$E$140:$K$2771,5,0)</f>
        <v>PNS MG</v>
      </c>
      <c r="M1808" s="7" t="str">
        <f>VLOOKUP($G1808,Mapping!$E$140:$K$2771,7,0)</f>
        <v>ENDirect</v>
      </c>
      <c r="N1808" s="7" t="str">
        <f>IFERROR(HLOOKUP(L1808,'Calc|Weightings'!$K$5:$M$5,1,0),"Excl")</f>
        <v>Excl</v>
      </c>
      <c r="O1808" s="7" t="str">
        <f>VLOOKUP(E1808,Mapping!$E$11:$I$96,5,0)</f>
        <v>SCS</v>
      </c>
      <c r="Q1808" s="7"/>
      <c r="R1808" s="7"/>
      <c r="S1808" s="7"/>
      <c r="T1808" s="7"/>
      <c r="U1808" s="7"/>
      <c r="V1808" s="7"/>
      <c r="AC1808" s="111">
        <v>177</v>
      </c>
      <c r="AD1808" s="111" t="s">
        <v>2387</v>
      </c>
      <c r="AE1808" s="111">
        <v>613640</v>
      </c>
      <c r="AF1808" s="111" t="s">
        <v>2201</v>
      </c>
      <c r="AG1808" s="112">
        <v>1.15489</v>
      </c>
      <c r="AI1808" s="7" t="str">
        <f>VLOOKUP($AC1808,Mapping!$E$11:$I$96,3,0)</f>
        <v>Augmentation</v>
      </c>
      <c r="AJ1808" s="7" t="str">
        <f>VLOOKUP($AE1808,Mapping!$E$140:$K$2771,5,0)</f>
        <v>Labour</v>
      </c>
      <c r="AK1808" s="7" t="str">
        <f>VLOOKUP($AE1808,Mapping!$E$140:$K$2771,7,0)</f>
        <v>ENDirect</v>
      </c>
      <c r="AL1808" s="7" t="str">
        <f>IFERROR(HLOOKUP(AJ1808,'Calc|Weightings'!$K$5:$M$5,1,0),"Excl")</f>
        <v>Labour</v>
      </c>
      <c r="AM1808" s="7" t="str">
        <f>VLOOKUP(AC1808,Mapping!$E$11:$I$96,5,0)</f>
        <v>SCS</v>
      </c>
      <c r="AO1808" s="7"/>
      <c r="AP1808" s="7"/>
      <c r="AQ1808" s="7"/>
      <c r="AR1808" s="7"/>
      <c r="AS1808" s="7"/>
    </row>
    <row r="1809" spans="1:45" x14ac:dyDescent="0.2">
      <c r="A1809" s="7"/>
      <c r="B1809" s="7"/>
      <c r="C1809" s="7"/>
      <c r="D1809" s="7"/>
      <c r="E1809" s="36">
        <v>160</v>
      </c>
      <c r="F1809" s="36" t="s">
        <v>2170</v>
      </c>
      <c r="G1809" s="36">
        <v>636001</v>
      </c>
      <c r="H1809" s="36" t="s">
        <v>2111</v>
      </c>
      <c r="I1809" s="37">
        <v>24.142890000000001</v>
      </c>
      <c r="J1809" s="7"/>
      <c r="K1809" s="7" t="str">
        <f>VLOOKUP($E1809,Mapping!$E$11:$I$96,3,0)</f>
        <v>Augmentation</v>
      </c>
      <c r="L1809" s="7" t="str">
        <f>VLOOKUP($G1809,Mapping!$E$140:$K$2771,5,0)</f>
        <v>System Control OH</v>
      </c>
      <c r="M1809" s="7" t="str">
        <f>VLOOKUP($G1809,Mapping!$E$140:$K$2771,7,0)</f>
        <v>OH</v>
      </c>
      <c r="N1809" s="7" t="str">
        <f>IFERROR(HLOOKUP(L1809,'Calc|Weightings'!$K$5:$M$5,1,0),"Excl")</f>
        <v>Excl</v>
      </c>
      <c r="O1809" s="7" t="str">
        <f>VLOOKUP(E1809,Mapping!$E$11:$I$96,5,0)</f>
        <v>SCS</v>
      </c>
      <c r="Q1809" s="7"/>
      <c r="R1809" s="7"/>
      <c r="S1809" s="7"/>
      <c r="T1809" s="7"/>
      <c r="U1809" s="7"/>
      <c r="V1809" s="7"/>
      <c r="AC1809" s="111">
        <v>177</v>
      </c>
      <c r="AD1809" s="111" t="s">
        <v>2387</v>
      </c>
      <c r="AE1809" s="111">
        <v>613641</v>
      </c>
      <c r="AF1809" s="111" t="s">
        <v>2199</v>
      </c>
      <c r="AG1809" s="112">
        <v>9.9849999999999994E-2</v>
      </c>
      <c r="AI1809" s="7" t="str">
        <f>VLOOKUP($AC1809,Mapping!$E$11:$I$96,3,0)</f>
        <v>Augmentation</v>
      </c>
      <c r="AJ1809" s="7" t="str">
        <f>VLOOKUP($AE1809,Mapping!$E$140:$K$2771,5,0)</f>
        <v>Labour</v>
      </c>
      <c r="AK1809" s="7" t="str">
        <f>VLOOKUP($AE1809,Mapping!$E$140:$K$2771,7,0)</f>
        <v>ENDirect</v>
      </c>
      <c r="AL1809" s="7" t="str">
        <f>IFERROR(HLOOKUP(AJ1809,'Calc|Weightings'!$K$5:$M$5,1,0),"Excl")</f>
        <v>Labour</v>
      </c>
      <c r="AM1809" s="7" t="str">
        <f>VLOOKUP(AC1809,Mapping!$E$11:$I$96,5,0)</f>
        <v>SCS</v>
      </c>
      <c r="AO1809" s="7"/>
      <c r="AP1809" s="7"/>
      <c r="AQ1809" s="7"/>
      <c r="AR1809" s="7"/>
      <c r="AS1809" s="7"/>
    </row>
    <row r="1810" spans="1:45" x14ac:dyDescent="0.2">
      <c r="A1810" s="7"/>
      <c r="B1810" s="7"/>
      <c r="C1810" s="7"/>
      <c r="D1810" s="7"/>
      <c r="E1810" s="36">
        <v>160</v>
      </c>
      <c r="F1810" s="36" t="s">
        <v>2170</v>
      </c>
      <c r="G1810" s="36">
        <v>639000</v>
      </c>
      <c r="H1810" s="36" t="s">
        <v>2112</v>
      </c>
      <c r="I1810" s="37">
        <v>52.3675</v>
      </c>
      <c r="J1810" s="7"/>
      <c r="K1810" s="7" t="str">
        <f>VLOOKUP($E1810,Mapping!$E$11:$I$96,3,0)</f>
        <v>Augmentation</v>
      </c>
      <c r="L1810" s="7" t="str">
        <f>VLOOKUP($G1810,Mapping!$E$140:$K$2771,5,0)</f>
        <v>PNS Corporate OH</v>
      </c>
      <c r="M1810" s="7" t="str">
        <f>VLOOKUP($G1810,Mapping!$E$140:$K$2771,7,0)</f>
        <v>OH</v>
      </c>
      <c r="N1810" s="7" t="str">
        <f>IFERROR(HLOOKUP(L1810,'Calc|Weightings'!$K$5:$M$5,1,0),"Excl")</f>
        <v>Excl</v>
      </c>
      <c r="O1810" s="7" t="str">
        <f>VLOOKUP(E1810,Mapping!$E$11:$I$96,5,0)</f>
        <v>SCS</v>
      </c>
      <c r="Q1810" s="7"/>
      <c r="R1810" s="7"/>
      <c r="S1810" s="7"/>
      <c r="T1810" s="7"/>
      <c r="U1810" s="7"/>
      <c r="V1810" s="7"/>
      <c r="AC1810" s="111">
        <v>177</v>
      </c>
      <c r="AD1810" s="111" t="s">
        <v>2387</v>
      </c>
      <c r="AE1810" s="111">
        <v>613680</v>
      </c>
      <c r="AF1810" s="111" t="s">
        <v>2107</v>
      </c>
      <c r="AG1810" s="112">
        <v>88.994190000000003</v>
      </c>
      <c r="AI1810" s="7" t="str">
        <f>VLOOKUP($AC1810,Mapping!$E$11:$I$96,3,0)</f>
        <v>Augmentation</v>
      </c>
      <c r="AJ1810" s="7" t="str">
        <f>VLOOKUP($AE1810,Mapping!$E$140:$K$2771,5,0)</f>
        <v>Labour</v>
      </c>
      <c r="AK1810" s="7" t="str">
        <f>VLOOKUP($AE1810,Mapping!$E$140:$K$2771,7,0)</f>
        <v>ENDirect</v>
      </c>
      <c r="AL1810" s="7" t="str">
        <f>IFERROR(HLOOKUP(AJ1810,'Calc|Weightings'!$K$5:$M$5,1,0),"Excl")</f>
        <v>Labour</v>
      </c>
      <c r="AM1810" s="7" t="str">
        <f>VLOOKUP(AC1810,Mapping!$E$11:$I$96,5,0)</f>
        <v>SCS</v>
      </c>
      <c r="AO1810" s="7"/>
      <c r="AP1810" s="7"/>
      <c r="AQ1810" s="7"/>
      <c r="AR1810" s="7"/>
      <c r="AS1810" s="7"/>
    </row>
    <row r="1811" spans="1:45" x14ac:dyDescent="0.2">
      <c r="A1811" s="7"/>
      <c r="B1811" s="7"/>
      <c r="C1811" s="7"/>
      <c r="D1811" s="7"/>
      <c r="E1811" s="36">
        <v>160</v>
      </c>
      <c r="F1811" s="36" t="s">
        <v>2170</v>
      </c>
      <c r="G1811" s="36">
        <v>639050</v>
      </c>
      <c r="H1811" s="36" t="s">
        <v>2113</v>
      </c>
      <c r="I1811" s="37">
        <v>6.9929300000000003</v>
      </c>
      <c r="J1811" s="7"/>
      <c r="K1811" s="7" t="str">
        <f>VLOOKUP($E1811,Mapping!$E$11:$I$96,3,0)</f>
        <v>Augmentation</v>
      </c>
      <c r="L1811" s="7" t="str">
        <f>VLOOKUP($G1811,Mapping!$E$140:$K$2771,5,0)</f>
        <v>PNS Fleet &amp; Property OH</v>
      </c>
      <c r="M1811" s="7" t="str">
        <f>VLOOKUP($G1811,Mapping!$E$140:$K$2771,7,0)</f>
        <v>OH</v>
      </c>
      <c r="N1811" s="7" t="str">
        <f>IFERROR(HLOOKUP(L1811,'Calc|Weightings'!$K$5:$M$5,1,0),"Excl")</f>
        <v>Excl</v>
      </c>
      <c r="O1811" s="7" t="str">
        <f>VLOOKUP(E1811,Mapping!$E$11:$I$96,5,0)</f>
        <v>SCS</v>
      </c>
      <c r="Q1811" s="7"/>
      <c r="R1811" s="7"/>
      <c r="S1811" s="7"/>
      <c r="T1811" s="7"/>
      <c r="U1811" s="7"/>
      <c r="V1811" s="7"/>
      <c r="AC1811" s="111">
        <v>177</v>
      </c>
      <c r="AD1811" s="111" t="s">
        <v>2387</v>
      </c>
      <c r="AE1811" s="111">
        <v>634001</v>
      </c>
      <c r="AF1811" s="111" t="s">
        <v>2110</v>
      </c>
      <c r="AG1811" s="112">
        <v>287.54757000000001</v>
      </c>
      <c r="AI1811" s="7" t="str">
        <f>VLOOKUP($AC1811,Mapping!$E$11:$I$96,3,0)</f>
        <v>Augmentation</v>
      </c>
      <c r="AJ1811" s="7" t="str">
        <f>VLOOKUP($AE1811,Mapping!$E$140:$K$2771,5,0)</f>
        <v>Local OH</v>
      </c>
      <c r="AK1811" s="7" t="str">
        <f>VLOOKUP($AE1811,Mapping!$E$140:$K$2771,7,0)</f>
        <v>OH</v>
      </c>
      <c r="AL1811" s="7" t="str">
        <f>IFERROR(HLOOKUP(AJ1811,'Calc|Weightings'!$K$5:$M$5,1,0),"Excl")</f>
        <v>Excl</v>
      </c>
      <c r="AM1811" s="7" t="str">
        <f>VLOOKUP(AC1811,Mapping!$E$11:$I$96,5,0)</f>
        <v>SCS</v>
      </c>
      <c r="AO1811" s="7"/>
      <c r="AP1811" s="7"/>
      <c r="AQ1811" s="7"/>
      <c r="AR1811" s="7"/>
      <c r="AS1811" s="7"/>
    </row>
    <row r="1812" spans="1:45" x14ac:dyDescent="0.2">
      <c r="A1812" s="7"/>
      <c r="B1812" s="7"/>
      <c r="C1812" s="7"/>
      <c r="D1812" s="7"/>
      <c r="E1812" s="36">
        <v>161</v>
      </c>
      <c r="F1812" s="36" t="s">
        <v>2171</v>
      </c>
      <c r="G1812" s="36">
        <v>500200</v>
      </c>
      <c r="H1812" s="36" t="s">
        <v>136</v>
      </c>
      <c r="I1812" s="37">
        <v>0.10199999999999999</v>
      </c>
      <c r="J1812" s="7"/>
      <c r="K1812" s="7" t="str">
        <f>VLOOKUP($E1812,Mapping!$E$11:$I$96,3,0)</f>
        <v>Augmentation</v>
      </c>
      <c r="L1812" s="7" t="str">
        <f>VLOOKUP($G1812,Mapping!$E$140:$K$2771,5,0)</f>
        <v>Labour</v>
      </c>
      <c r="M1812" s="7" t="str">
        <f>VLOOKUP($G1812,Mapping!$E$140:$K$2771,7,0)</f>
        <v>ENDirect</v>
      </c>
      <c r="N1812" s="7" t="str">
        <f>IFERROR(HLOOKUP(L1812,'Calc|Weightings'!$K$5:$M$5,1,0),"Excl")</f>
        <v>Labour</v>
      </c>
      <c r="O1812" s="7" t="str">
        <f>VLOOKUP(E1812,Mapping!$E$11:$I$96,5,0)</f>
        <v>SCS</v>
      </c>
      <c r="Q1812" s="7"/>
      <c r="R1812" s="7"/>
      <c r="S1812" s="7"/>
      <c r="T1812" s="7"/>
      <c r="U1812" s="7"/>
      <c r="V1812" s="7"/>
      <c r="AC1812" s="111">
        <v>177</v>
      </c>
      <c r="AD1812" s="111" t="s">
        <v>2387</v>
      </c>
      <c r="AE1812" s="111">
        <v>635001</v>
      </c>
      <c r="AF1812" s="111" t="s">
        <v>1929</v>
      </c>
      <c r="AG1812" s="112">
        <v>179.18705</v>
      </c>
      <c r="AI1812" s="7" t="str">
        <f>VLOOKUP($AC1812,Mapping!$E$11:$I$96,3,0)</f>
        <v>Augmentation</v>
      </c>
      <c r="AJ1812" s="7" t="str">
        <f>VLOOKUP($AE1812,Mapping!$E$140:$K$2771,5,0)</f>
        <v>PNS MG</v>
      </c>
      <c r="AK1812" s="7" t="str">
        <f>VLOOKUP($AE1812,Mapping!$E$140:$K$2771,7,0)</f>
        <v>ENDirect</v>
      </c>
      <c r="AL1812" s="7" t="str">
        <f>IFERROR(HLOOKUP(AJ1812,'Calc|Weightings'!$K$5:$M$5,1,0),"Excl")</f>
        <v>Excl</v>
      </c>
      <c r="AM1812" s="7" t="str">
        <f>VLOOKUP(AC1812,Mapping!$E$11:$I$96,5,0)</f>
        <v>SCS</v>
      </c>
      <c r="AO1812" s="7"/>
      <c r="AP1812" s="7"/>
      <c r="AQ1812" s="7"/>
      <c r="AR1812" s="7"/>
      <c r="AS1812" s="7"/>
    </row>
    <row r="1813" spans="1:45" x14ac:dyDescent="0.2">
      <c r="A1813" s="7"/>
      <c r="B1813" s="7"/>
      <c r="C1813" s="7"/>
      <c r="D1813" s="7"/>
      <c r="E1813" s="36">
        <v>161</v>
      </c>
      <c r="F1813" s="36" t="s">
        <v>2171</v>
      </c>
      <c r="G1813" s="36">
        <v>503194</v>
      </c>
      <c r="H1813" s="36" t="s">
        <v>162</v>
      </c>
      <c r="I1813" s="37">
        <v>2.0910000000000002E-2</v>
      </c>
      <c r="J1813" s="7"/>
      <c r="K1813" s="7" t="str">
        <f>VLOOKUP($E1813,Mapping!$E$11:$I$96,3,0)</f>
        <v>Augmentation</v>
      </c>
      <c r="L1813" s="7" t="str">
        <f>VLOOKUP($G1813,Mapping!$E$140:$K$2771,5,0)</f>
        <v>Contracts</v>
      </c>
      <c r="M1813" s="7" t="str">
        <f>VLOOKUP($G1813,Mapping!$E$140:$K$2771,7,0)</f>
        <v>ENDirect</v>
      </c>
      <c r="N1813" s="7" t="str">
        <f>IFERROR(HLOOKUP(L1813,'Calc|Weightings'!$K$5:$M$5,1,0),"Excl")</f>
        <v>Contracts</v>
      </c>
      <c r="O1813" s="7" t="str">
        <f>VLOOKUP(E1813,Mapping!$E$11:$I$96,5,0)</f>
        <v>SCS</v>
      </c>
      <c r="Q1813" s="7"/>
      <c r="R1813" s="7"/>
      <c r="S1813" s="7"/>
      <c r="T1813" s="7"/>
      <c r="U1813" s="7"/>
      <c r="V1813" s="7"/>
      <c r="AC1813" s="111">
        <v>177</v>
      </c>
      <c r="AD1813" s="111" t="s">
        <v>2387</v>
      </c>
      <c r="AE1813" s="111">
        <v>636001</v>
      </c>
      <c r="AF1813" s="111" t="s">
        <v>2111</v>
      </c>
      <c r="AG1813" s="112">
        <v>223.27346</v>
      </c>
      <c r="AI1813" s="7" t="str">
        <f>VLOOKUP($AC1813,Mapping!$E$11:$I$96,3,0)</f>
        <v>Augmentation</v>
      </c>
      <c r="AJ1813" s="7" t="str">
        <f>VLOOKUP($AE1813,Mapping!$E$140:$K$2771,5,0)</f>
        <v>System Control OH</v>
      </c>
      <c r="AK1813" s="7" t="str">
        <f>VLOOKUP($AE1813,Mapping!$E$140:$K$2771,7,0)</f>
        <v>OH</v>
      </c>
      <c r="AL1813" s="7" t="str">
        <f>IFERROR(HLOOKUP(AJ1813,'Calc|Weightings'!$K$5:$M$5,1,0),"Excl")</f>
        <v>Excl</v>
      </c>
      <c r="AM1813" s="7" t="str">
        <f>VLOOKUP(AC1813,Mapping!$E$11:$I$96,5,0)</f>
        <v>SCS</v>
      </c>
      <c r="AO1813" s="7"/>
      <c r="AP1813" s="7"/>
      <c r="AQ1813" s="7"/>
      <c r="AR1813" s="7"/>
      <c r="AS1813" s="7"/>
    </row>
    <row r="1814" spans="1:45" x14ac:dyDescent="0.2">
      <c r="A1814" s="7"/>
      <c r="B1814" s="7"/>
      <c r="C1814" s="7"/>
      <c r="D1814" s="7"/>
      <c r="E1814" s="36">
        <v>161</v>
      </c>
      <c r="F1814" s="36" t="s">
        <v>2171</v>
      </c>
      <c r="G1814" s="36">
        <v>503230</v>
      </c>
      <c r="H1814" s="36" t="s">
        <v>168</v>
      </c>
      <c r="I1814" s="37">
        <v>-3.3730000000000003E-2</v>
      </c>
      <c r="J1814" s="7"/>
      <c r="K1814" s="7" t="str">
        <f>VLOOKUP($E1814,Mapping!$E$11:$I$96,3,0)</f>
        <v>Augmentation</v>
      </c>
      <c r="L1814" s="7" t="str">
        <f>VLOOKUP($G1814,Mapping!$E$140:$K$2771,5,0)</f>
        <v>Contracts</v>
      </c>
      <c r="M1814" s="7" t="str">
        <f>VLOOKUP($G1814,Mapping!$E$140:$K$2771,7,0)</f>
        <v>ENDirect</v>
      </c>
      <c r="N1814" s="7" t="str">
        <f>IFERROR(HLOOKUP(L1814,'Calc|Weightings'!$K$5:$M$5,1,0),"Excl")</f>
        <v>Contracts</v>
      </c>
      <c r="O1814" s="7" t="str">
        <f>VLOOKUP(E1814,Mapping!$E$11:$I$96,5,0)</f>
        <v>SCS</v>
      </c>
      <c r="Q1814" s="7"/>
      <c r="R1814" s="7"/>
      <c r="S1814" s="7"/>
      <c r="T1814" s="7"/>
      <c r="U1814" s="7"/>
      <c r="V1814" s="7"/>
      <c r="AC1814" s="111">
        <v>177</v>
      </c>
      <c r="AD1814" s="111" t="s">
        <v>2387</v>
      </c>
      <c r="AE1814" s="111">
        <v>639000</v>
      </c>
      <c r="AF1814" s="111" t="s">
        <v>2112</v>
      </c>
      <c r="AG1814" s="112">
        <v>202.20940999999999</v>
      </c>
      <c r="AI1814" s="7" t="str">
        <f>VLOOKUP($AC1814,Mapping!$E$11:$I$96,3,0)</f>
        <v>Augmentation</v>
      </c>
      <c r="AJ1814" s="7" t="str">
        <f>VLOOKUP($AE1814,Mapping!$E$140:$K$2771,5,0)</f>
        <v>PNS Corporate OH</v>
      </c>
      <c r="AK1814" s="7" t="str">
        <f>VLOOKUP($AE1814,Mapping!$E$140:$K$2771,7,0)</f>
        <v>OH</v>
      </c>
      <c r="AL1814" s="7" t="str">
        <f>IFERROR(HLOOKUP(AJ1814,'Calc|Weightings'!$K$5:$M$5,1,0),"Excl")</f>
        <v>Excl</v>
      </c>
      <c r="AM1814" s="7" t="str">
        <f>VLOOKUP(AC1814,Mapping!$E$11:$I$96,5,0)</f>
        <v>SCS</v>
      </c>
      <c r="AO1814" s="7"/>
      <c r="AP1814" s="7"/>
      <c r="AQ1814" s="7"/>
      <c r="AR1814" s="7"/>
      <c r="AS1814" s="7"/>
    </row>
    <row r="1815" spans="1:45" x14ac:dyDescent="0.2">
      <c r="A1815" s="7"/>
      <c r="B1815" s="7"/>
      <c r="C1815" s="7"/>
      <c r="D1815" s="7"/>
      <c r="E1815" s="36">
        <v>161</v>
      </c>
      <c r="F1815" s="36" t="s">
        <v>2171</v>
      </c>
      <c r="G1815" s="36">
        <v>503240</v>
      </c>
      <c r="H1815" s="36" t="s">
        <v>169</v>
      </c>
      <c r="I1815" s="37">
        <v>3.9730000000000001E-2</v>
      </c>
      <c r="J1815" s="7"/>
      <c r="K1815" s="7" t="str">
        <f>VLOOKUP($E1815,Mapping!$E$11:$I$96,3,0)</f>
        <v>Augmentation</v>
      </c>
      <c r="L1815" s="7" t="str">
        <f>VLOOKUP($G1815,Mapping!$E$140:$K$2771,5,0)</f>
        <v>Contracts</v>
      </c>
      <c r="M1815" s="7" t="str">
        <f>VLOOKUP($G1815,Mapping!$E$140:$K$2771,7,0)</f>
        <v>ENDirect</v>
      </c>
      <c r="N1815" s="7" t="str">
        <f>IFERROR(HLOOKUP(L1815,'Calc|Weightings'!$K$5:$M$5,1,0),"Excl")</f>
        <v>Contracts</v>
      </c>
      <c r="O1815" s="7" t="str">
        <f>VLOOKUP(E1815,Mapping!$E$11:$I$96,5,0)</f>
        <v>SCS</v>
      </c>
      <c r="Q1815" s="7"/>
      <c r="R1815" s="7"/>
      <c r="S1815" s="7"/>
      <c r="T1815" s="7"/>
      <c r="U1815" s="7"/>
      <c r="V1815" s="7"/>
      <c r="AC1815" s="111">
        <v>177</v>
      </c>
      <c r="AD1815" s="111" t="s">
        <v>2387</v>
      </c>
      <c r="AE1815" s="111">
        <v>639050</v>
      </c>
      <c r="AF1815" s="111" t="s">
        <v>2113</v>
      </c>
      <c r="AG1815" s="112">
        <v>25.607800000000001</v>
      </c>
      <c r="AI1815" s="7" t="str">
        <f>VLOOKUP($AC1815,Mapping!$E$11:$I$96,3,0)</f>
        <v>Augmentation</v>
      </c>
      <c r="AJ1815" s="7" t="str">
        <f>VLOOKUP($AE1815,Mapping!$E$140:$K$2771,5,0)</f>
        <v>PNS Fleet &amp; Property OH</v>
      </c>
      <c r="AK1815" s="7" t="str">
        <f>VLOOKUP($AE1815,Mapping!$E$140:$K$2771,7,0)</f>
        <v>OH</v>
      </c>
      <c r="AL1815" s="7" t="str">
        <f>IFERROR(HLOOKUP(AJ1815,'Calc|Weightings'!$K$5:$M$5,1,0),"Excl")</f>
        <v>Excl</v>
      </c>
      <c r="AM1815" s="7" t="str">
        <f>VLOOKUP(AC1815,Mapping!$E$11:$I$96,5,0)</f>
        <v>SCS</v>
      </c>
      <c r="AO1815" s="7"/>
      <c r="AP1815" s="7"/>
      <c r="AQ1815" s="7"/>
      <c r="AR1815" s="7"/>
      <c r="AS1815" s="7"/>
    </row>
    <row r="1816" spans="1:45" x14ac:dyDescent="0.2">
      <c r="A1816" s="7"/>
      <c r="B1816" s="7"/>
      <c r="C1816" s="7"/>
      <c r="D1816" s="7"/>
      <c r="E1816" s="36">
        <v>161</v>
      </c>
      <c r="F1816" s="36" t="s">
        <v>2171</v>
      </c>
      <c r="G1816" s="36">
        <v>503260</v>
      </c>
      <c r="H1816" s="36" t="s">
        <v>171</v>
      </c>
      <c r="I1816" s="37">
        <v>5.364E-2</v>
      </c>
      <c r="J1816" s="7"/>
      <c r="K1816" s="7" t="str">
        <f>VLOOKUP($E1816,Mapping!$E$11:$I$96,3,0)</f>
        <v>Augmentation</v>
      </c>
      <c r="L1816" s="7" t="str">
        <f>VLOOKUP($G1816,Mapping!$E$140:$K$2771,5,0)</f>
        <v>Labour</v>
      </c>
      <c r="M1816" s="7" t="str">
        <f>VLOOKUP($G1816,Mapping!$E$140:$K$2771,7,0)</f>
        <v>ENDirect</v>
      </c>
      <c r="N1816" s="7" t="str">
        <f>IFERROR(HLOOKUP(L1816,'Calc|Weightings'!$K$5:$M$5,1,0),"Excl")</f>
        <v>Labour</v>
      </c>
      <c r="O1816" s="7" t="str">
        <f>VLOOKUP(E1816,Mapping!$E$11:$I$96,5,0)</f>
        <v>SCS</v>
      </c>
      <c r="Q1816" s="7"/>
      <c r="R1816" s="7"/>
      <c r="S1816" s="7"/>
      <c r="T1816" s="7"/>
      <c r="U1816" s="7"/>
      <c r="V1816" s="7"/>
      <c r="AC1816" s="111">
        <v>200</v>
      </c>
      <c r="AD1816" s="111" t="s">
        <v>2181</v>
      </c>
      <c r="AE1816" s="111">
        <v>140200</v>
      </c>
      <c r="AF1816" s="111" t="s">
        <v>49</v>
      </c>
      <c r="AG1816" s="112">
        <v>283.15544999999997</v>
      </c>
      <c r="AI1816" s="7" t="str">
        <f>VLOOKUP($AC1816,Mapping!$E$11:$I$96,3,0)</f>
        <v>Non-network general assets - IT</v>
      </c>
      <c r="AJ1816" s="7" t="str">
        <f>VLOOKUP($AE1816,Mapping!$E$140:$K$2771,5,0)</f>
        <v>Materials</v>
      </c>
      <c r="AK1816" s="7" t="str">
        <f>VLOOKUP($AE1816,Mapping!$E$140:$K$2771,7,0)</f>
        <v>ENDirect</v>
      </c>
      <c r="AL1816" s="7" t="str">
        <f>IFERROR(HLOOKUP(AJ1816,'Calc|Weightings'!$K$5:$M$5,1,0),"Excl")</f>
        <v>Materials</v>
      </c>
      <c r="AM1816" s="7" t="str">
        <f>VLOOKUP(AC1816,Mapping!$E$11:$I$96,5,0)</f>
        <v>SCS</v>
      </c>
      <c r="AO1816" s="7"/>
      <c r="AP1816" s="7"/>
      <c r="AQ1816" s="7"/>
      <c r="AR1816" s="7"/>
      <c r="AS1816" s="7"/>
    </row>
    <row r="1817" spans="1:45" x14ac:dyDescent="0.2">
      <c r="A1817" s="7"/>
      <c r="B1817" s="7"/>
      <c r="C1817" s="7"/>
      <c r="D1817" s="7"/>
      <c r="E1817" s="36">
        <v>161</v>
      </c>
      <c r="F1817" s="36" t="s">
        <v>2171</v>
      </c>
      <c r="G1817" s="36">
        <v>503281</v>
      </c>
      <c r="H1817" s="36" t="s">
        <v>2198</v>
      </c>
      <c r="I1817" s="37">
        <v>4.1034100000000002</v>
      </c>
      <c r="J1817" s="7"/>
      <c r="K1817" s="7" t="str">
        <f>VLOOKUP($E1817,Mapping!$E$11:$I$96,3,0)</f>
        <v>Augmentation</v>
      </c>
      <c r="L1817" s="7" t="str">
        <f>VLOOKUP($G1817,Mapping!$E$140:$K$2771,5,0)</f>
        <v>Contracts</v>
      </c>
      <c r="M1817" s="7" t="str">
        <f>VLOOKUP($G1817,Mapping!$E$140:$K$2771,7,0)</f>
        <v>ENDirect</v>
      </c>
      <c r="N1817" s="7" t="str">
        <f>IFERROR(HLOOKUP(L1817,'Calc|Weightings'!$K$5:$M$5,1,0),"Excl")</f>
        <v>Contracts</v>
      </c>
      <c r="O1817" s="7" t="str">
        <f>VLOOKUP(E1817,Mapping!$E$11:$I$96,5,0)</f>
        <v>SCS</v>
      </c>
      <c r="Q1817" s="7"/>
      <c r="R1817" s="7"/>
      <c r="S1817" s="7"/>
      <c r="T1817" s="7"/>
      <c r="U1817" s="7"/>
      <c r="V1817" s="7"/>
      <c r="AC1817" s="111">
        <v>200</v>
      </c>
      <c r="AD1817" s="111" t="s">
        <v>2181</v>
      </c>
      <c r="AE1817" s="111">
        <v>601156</v>
      </c>
      <c r="AF1817" s="111" t="s">
        <v>406</v>
      </c>
      <c r="AG1817" s="112">
        <v>7359.1580899999999</v>
      </c>
      <c r="AI1817" s="7" t="str">
        <f>VLOOKUP($AC1817,Mapping!$E$11:$I$96,3,0)</f>
        <v>Non-network general assets - IT</v>
      </c>
      <c r="AJ1817" s="7" t="str">
        <f>VLOOKUP($AE1817,Mapping!$E$140:$K$2771,5,0)</f>
        <v>Labour</v>
      </c>
      <c r="AK1817" s="7" t="str">
        <f>VLOOKUP($AE1817,Mapping!$E$140:$K$2771,7,0)</f>
        <v>ENDirect</v>
      </c>
      <c r="AL1817" s="7" t="str">
        <f>IFERROR(HLOOKUP(AJ1817,'Calc|Weightings'!$K$5:$M$5,1,0),"Excl")</f>
        <v>Labour</v>
      </c>
      <c r="AM1817" s="7" t="str">
        <f>VLOOKUP(AC1817,Mapping!$E$11:$I$96,5,0)</f>
        <v>SCS</v>
      </c>
      <c r="AO1817" s="7"/>
      <c r="AP1817" s="7"/>
      <c r="AQ1817" s="7"/>
      <c r="AR1817" s="7"/>
      <c r="AS1817" s="7"/>
    </row>
    <row r="1818" spans="1:45" x14ac:dyDescent="0.2">
      <c r="A1818" s="7"/>
      <c r="B1818" s="7"/>
      <c r="C1818" s="7"/>
      <c r="D1818" s="7"/>
      <c r="E1818" s="36">
        <v>161</v>
      </c>
      <c r="F1818" s="36" t="s">
        <v>2171</v>
      </c>
      <c r="G1818" s="36">
        <v>503300</v>
      </c>
      <c r="H1818" s="36" t="s">
        <v>176</v>
      </c>
      <c r="I1818" s="37">
        <v>0.18182000000000001</v>
      </c>
      <c r="J1818" s="7"/>
      <c r="K1818" s="7" t="str">
        <f>VLOOKUP($E1818,Mapping!$E$11:$I$96,3,0)</f>
        <v>Augmentation</v>
      </c>
      <c r="L1818" s="7" t="str">
        <f>VLOOKUP($G1818,Mapping!$E$140:$K$2771,5,0)</f>
        <v>Contracts</v>
      </c>
      <c r="M1818" s="7" t="str">
        <f>VLOOKUP($G1818,Mapping!$E$140:$K$2771,7,0)</f>
        <v>ENDirect</v>
      </c>
      <c r="N1818" s="7" t="str">
        <f>IFERROR(HLOOKUP(L1818,'Calc|Weightings'!$K$5:$M$5,1,0),"Excl")</f>
        <v>Contracts</v>
      </c>
      <c r="O1818" s="7" t="str">
        <f>VLOOKUP(E1818,Mapping!$E$11:$I$96,5,0)</f>
        <v>SCS</v>
      </c>
      <c r="Q1818" s="7"/>
      <c r="R1818" s="7"/>
      <c r="S1818" s="7"/>
      <c r="T1818" s="7"/>
      <c r="U1818" s="7"/>
      <c r="V1818" s="7"/>
      <c r="AC1818" s="111">
        <v>200</v>
      </c>
      <c r="AD1818" s="111" t="s">
        <v>2181</v>
      </c>
      <c r="AE1818" s="111">
        <v>601157</v>
      </c>
      <c r="AF1818" s="111" t="s">
        <v>407</v>
      </c>
      <c r="AG1818" s="112">
        <v>945.04006000000004</v>
      </c>
      <c r="AI1818" s="7" t="str">
        <f>VLOOKUP($AC1818,Mapping!$E$11:$I$96,3,0)</f>
        <v>Non-network general assets - IT</v>
      </c>
      <c r="AJ1818" s="7" t="str">
        <f>VLOOKUP($AE1818,Mapping!$E$140:$K$2771,5,0)</f>
        <v>IT Project MG</v>
      </c>
      <c r="AK1818" s="7" t="str">
        <f>VLOOKUP($AE1818,Mapping!$E$140:$K$2771,7,0)</f>
        <v>ENDirect</v>
      </c>
      <c r="AL1818" s="7" t="str">
        <f>IFERROR(HLOOKUP(AJ1818,'Calc|Weightings'!$K$5:$M$5,1,0),"Excl")</f>
        <v>Excl</v>
      </c>
      <c r="AM1818" s="7" t="str">
        <f>VLOOKUP(AC1818,Mapping!$E$11:$I$96,5,0)</f>
        <v>SCS</v>
      </c>
      <c r="AO1818" s="7"/>
      <c r="AP1818" s="7"/>
      <c r="AQ1818" s="7"/>
      <c r="AR1818" s="7"/>
      <c r="AS1818" s="7"/>
    </row>
    <row r="1819" spans="1:45" x14ac:dyDescent="0.2">
      <c r="A1819" s="7"/>
      <c r="B1819" s="7"/>
      <c r="C1819" s="7"/>
      <c r="D1819" s="7"/>
      <c r="E1819" s="36">
        <v>161</v>
      </c>
      <c r="F1819" s="36" t="s">
        <v>2171</v>
      </c>
      <c r="G1819" s="36">
        <v>503330</v>
      </c>
      <c r="H1819" s="36" t="s">
        <v>180</v>
      </c>
      <c r="I1819" s="37">
        <v>0.93340000000000001</v>
      </c>
      <c r="J1819" s="7"/>
      <c r="K1819" s="7" t="str">
        <f>VLOOKUP($E1819,Mapping!$E$11:$I$96,3,0)</f>
        <v>Augmentation</v>
      </c>
      <c r="L1819" s="7" t="str">
        <f>VLOOKUP($G1819,Mapping!$E$140:$K$2771,5,0)</f>
        <v>Contracts</v>
      </c>
      <c r="M1819" s="7" t="str">
        <f>VLOOKUP($G1819,Mapping!$E$140:$K$2771,7,0)</f>
        <v>ENDirect</v>
      </c>
      <c r="N1819" s="7" t="str">
        <f>IFERROR(HLOOKUP(L1819,'Calc|Weightings'!$K$5:$M$5,1,0),"Excl")</f>
        <v>Contracts</v>
      </c>
      <c r="O1819" s="7" t="str">
        <f>VLOOKUP(E1819,Mapping!$E$11:$I$96,5,0)</f>
        <v>SCS</v>
      </c>
      <c r="Q1819" s="7"/>
      <c r="R1819" s="7"/>
      <c r="S1819" s="7"/>
      <c r="T1819" s="7"/>
      <c r="U1819" s="7"/>
      <c r="V1819" s="7"/>
      <c r="AC1819" s="111">
        <v>205</v>
      </c>
      <c r="AD1819" s="111" t="s">
        <v>2184</v>
      </c>
      <c r="AE1819" s="111">
        <v>140200</v>
      </c>
      <c r="AF1819" s="111" t="s">
        <v>49</v>
      </c>
      <c r="AG1819" s="112">
        <v>25.208159999999999</v>
      </c>
      <c r="AI1819" s="7" t="str">
        <f>VLOOKUP($AC1819,Mapping!$E$11:$I$96,3,0)</f>
        <v>Metering Capex</v>
      </c>
      <c r="AJ1819" s="7" t="str">
        <f>VLOOKUP($AE1819,Mapping!$E$140:$K$2771,5,0)</f>
        <v>Materials</v>
      </c>
      <c r="AK1819" s="7" t="str">
        <f>VLOOKUP($AE1819,Mapping!$E$140:$K$2771,7,0)</f>
        <v>ENDirect</v>
      </c>
      <c r="AL1819" s="7" t="str">
        <f>IFERROR(HLOOKUP(AJ1819,'Calc|Weightings'!$K$5:$M$5,1,0),"Excl")</f>
        <v>Materials</v>
      </c>
      <c r="AM1819" s="7" t="str">
        <f>VLOOKUP(AC1819,Mapping!$E$11:$I$96,5,0)</f>
        <v>Metering Services</v>
      </c>
      <c r="AO1819" s="7"/>
      <c r="AP1819" s="7"/>
      <c r="AQ1819" s="7"/>
      <c r="AR1819" s="7"/>
      <c r="AS1819" s="7"/>
    </row>
    <row r="1820" spans="1:45" x14ac:dyDescent="0.2">
      <c r="A1820" s="7"/>
      <c r="B1820" s="7"/>
      <c r="C1820" s="7"/>
      <c r="D1820" s="7"/>
      <c r="E1820" s="36">
        <v>161</v>
      </c>
      <c r="F1820" s="36" t="s">
        <v>2171</v>
      </c>
      <c r="G1820" s="36">
        <v>503340</v>
      </c>
      <c r="H1820" s="36" t="s">
        <v>181</v>
      </c>
      <c r="I1820" s="37">
        <v>0.53088000000000002</v>
      </c>
      <c r="J1820" s="7"/>
      <c r="K1820" s="7" t="str">
        <f>VLOOKUP($E1820,Mapping!$E$11:$I$96,3,0)</f>
        <v>Augmentation</v>
      </c>
      <c r="L1820" s="7" t="str">
        <f>VLOOKUP($G1820,Mapping!$E$140:$K$2771,5,0)</f>
        <v>Contracts</v>
      </c>
      <c r="M1820" s="7" t="str">
        <f>VLOOKUP($G1820,Mapping!$E$140:$K$2771,7,0)</f>
        <v>ENDirect</v>
      </c>
      <c r="N1820" s="7" t="str">
        <f>IFERROR(HLOOKUP(L1820,'Calc|Weightings'!$K$5:$M$5,1,0),"Excl")</f>
        <v>Contracts</v>
      </c>
      <c r="O1820" s="7" t="str">
        <f>VLOOKUP(E1820,Mapping!$E$11:$I$96,5,0)</f>
        <v>SCS</v>
      </c>
      <c r="Q1820" s="7"/>
      <c r="R1820" s="7"/>
      <c r="S1820" s="7"/>
      <c r="T1820" s="7"/>
      <c r="U1820" s="7"/>
      <c r="V1820" s="7"/>
      <c r="AC1820" s="111">
        <v>205</v>
      </c>
      <c r="AD1820" s="111" t="s">
        <v>2184</v>
      </c>
      <c r="AE1820" s="111">
        <v>601156</v>
      </c>
      <c r="AF1820" s="111" t="s">
        <v>406</v>
      </c>
      <c r="AG1820" s="112">
        <v>167.24396000000002</v>
      </c>
      <c r="AI1820" s="7" t="str">
        <f>VLOOKUP($AC1820,Mapping!$E$11:$I$96,3,0)</f>
        <v>Metering Capex</v>
      </c>
      <c r="AJ1820" s="7" t="str">
        <f>VLOOKUP($AE1820,Mapping!$E$140:$K$2771,5,0)</f>
        <v>Labour</v>
      </c>
      <c r="AK1820" s="7" t="str">
        <f>VLOOKUP($AE1820,Mapping!$E$140:$K$2771,7,0)</f>
        <v>ENDirect</v>
      </c>
      <c r="AL1820" s="7" t="str">
        <f>IFERROR(HLOOKUP(AJ1820,'Calc|Weightings'!$K$5:$M$5,1,0),"Excl")</f>
        <v>Labour</v>
      </c>
      <c r="AM1820" s="7" t="str">
        <f>VLOOKUP(AC1820,Mapping!$E$11:$I$96,5,0)</f>
        <v>Metering Services</v>
      </c>
      <c r="AO1820" s="7"/>
      <c r="AP1820" s="7"/>
      <c r="AQ1820" s="7"/>
      <c r="AR1820" s="7"/>
      <c r="AS1820" s="7"/>
    </row>
    <row r="1821" spans="1:45" x14ac:dyDescent="0.2">
      <c r="A1821" s="7"/>
      <c r="B1821" s="7"/>
      <c r="C1821" s="7"/>
      <c r="D1821" s="7"/>
      <c r="E1821" s="36">
        <v>161</v>
      </c>
      <c r="F1821" s="36" t="s">
        <v>2171</v>
      </c>
      <c r="G1821" s="36">
        <v>503350</v>
      </c>
      <c r="H1821" s="36" t="s">
        <v>182</v>
      </c>
      <c r="I1821" s="37">
        <v>2.17422</v>
      </c>
      <c r="J1821" s="7"/>
      <c r="K1821" s="7" t="str">
        <f>VLOOKUP($E1821,Mapping!$E$11:$I$96,3,0)</f>
        <v>Augmentation</v>
      </c>
      <c r="L1821" s="7" t="str">
        <f>VLOOKUP($G1821,Mapping!$E$140:$K$2771,5,0)</f>
        <v>Contracts</v>
      </c>
      <c r="M1821" s="7" t="str">
        <f>VLOOKUP($G1821,Mapping!$E$140:$K$2771,7,0)</f>
        <v>ENDirect</v>
      </c>
      <c r="N1821" s="7" t="str">
        <f>IFERROR(HLOOKUP(L1821,'Calc|Weightings'!$K$5:$M$5,1,0),"Excl")</f>
        <v>Contracts</v>
      </c>
      <c r="O1821" s="7" t="str">
        <f>VLOOKUP(E1821,Mapping!$E$11:$I$96,5,0)</f>
        <v>SCS</v>
      </c>
      <c r="Q1821" s="7"/>
      <c r="R1821" s="7"/>
      <c r="S1821" s="7"/>
      <c r="T1821" s="7"/>
      <c r="U1821" s="7"/>
      <c r="V1821" s="7"/>
      <c r="AC1821" s="111">
        <v>205</v>
      </c>
      <c r="AD1821" s="111" t="s">
        <v>2184</v>
      </c>
      <c r="AE1821" s="111">
        <v>601157</v>
      </c>
      <c r="AF1821" s="111" t="s">
        <v>407</v>
      </c>
      <c r="AG1821" s="112">
        <v>-105.72353999999999</v>
      </c>
      <c r="AI1821" s="7" t="str">
        <f>VLOOKUP($AC1821,Mapping!$E$11:$I$96,3,0)</f>
        <v>Metering Capex</v>
      </c>
      <c r="AJ1821" s="7" t="str">
        <f>VLOOKUP($AE1821,Mapping!$E$140:$K$2771,5,0)</f>
        <v>IT Project MG</v>
      </c>
      <c r="AK1821" s="7" t="str">
        <f>VLOOKUP($AE1821,Mapping!$E$140:$K$2771,7,0)</f>
        <v>ENDirect</v>
      </c>
      <c r="AL1821" s="7" t="str">
        <f>IFERROR(HLOOKUP(AJ1821,'Calc|Weightings'!$K$5:$M$5,1,0),"Excl")</f>
        <v>Excl</v>
      </c>
      <c r="AM1821" s="7" t="str">
        <f>VLOOKUP(AC1821,Mapping!$E$11:$I$96,5,0)</f>
        <v>Metering Services</v>
      </c>
      <c r="AO1821" s="7"/>
      <c r="AP1821" s="7"/>
      <c r="AQ1821" s="7"/>
      <c r="AR1821" s="7"/>
      <c r="AS1821" s="7"/>
    </row>
    <row r="1822" spans="1:45" x14ac:dyDescent="0.2">
      <c r="A1822" s="7"/>
      <c r="B1822" s="7"/>
      <c r="C1822" s="7"/>
      <c r="D1822" s="7"/>
      <c r="E1822" s="36">
        <v>161</v>
      </c>
      <c r="F1822" s="36" t="s">
        <v>2171</v>
      </c>
      <c r="G1822" s="36">
        <v>520100</v>
      </c>
      <c r="H1822" s="36" t="s">
        <v>2072</v>
      </c>
      <c r="I1822" s="37">
        <v>5042.0357100000001</v>
      </c>
      <c r="J1822" s="7"/>
      <c r="K1822" s="7" t="str">
        <f>VLOOKUP($E1822,Mapping!$E$11:$I$96,3,0)</f>
        <v>Augmentation</v>
      </c>
      <c r="L1822" s="7" t="str">
        <f>VLOOKUP($G1822,Mapping!$E$140:$K$2771,5,0)</f>
        <v>Materials</v>
      </c>
      <c r="M1822" s="7" t="str">
        <f>VLOOKUP($G1822,Mapping!$E$140:$K$2771,7,0)</f>
        <v>ENDirect</v>
      </c>
      <c r="N1822" s="7" t="str">
        <f>IFERROR(HLOOKUP(L1822,'Calc|Weightings'!$K$5:$M$5,1,0),"Excl")</f>
        <v>Materials</v>
      </c>
      <c r="O1822" s="7" t="str">
        <f>VLOOKUP(E1822,Mapping!$E$11:$I$96,5,0)</f>
        <v>SCS</v>
      </c>
      <c r="Q1822" s="7"/>
      <c r="R1822" s="7"/>
      <c r="S1822" s="7"/>
      <c r="T1822" s="7"/>
      <c r="U1822" s="7"/>
      <c r="V1822" s="7"/>
      <c r="AC1822" s="111">
        <v>210</v>
      </c>
      <c r="AD1822" s="111" t="s">
        <v>2185</v>
      </c>
      <c r="AE1822" s="111">
        <v>140180</v>
      </c>
      <c r="AF1822" s="111" t="s">
        <v>48</v>
      </c>
      <c r="AG1822" s="112">
        <v>23.43815</v>
      </c>
      <c r="AI1822" s="7" t="str">
        <f>VLOOKUP($AC1822,Mapping!$E$11:$I$96,3,0)</f>
        <v>Non-network general assets - Other</v>
      </c>
      <c r="AJ1822" s="7" t="str">
        <f>VLOOKUP($AE1822,Mapping!$E$140:$K$2771,5,0)</f>
        <v>Materials</v>
      </c>
      <c r="AK1822" s="7" t="str">
        <f>VLOOKUP($AE1822,Mapping!$E$140:$K$2771,7,0)</f>
        <v>ENDirect</v>
      </c>
      <c r="AL1822" s="7" t="str">
        <f>IFERROR(HLOOKUP(AJ1822,'Calc|Weightings'!$K$5:$M$5,1,0),"Excl")</f>
        <v>Materials</v>
      </c>
      <c r="AM1822" s="7" t="str">
        <f>VLOOKUP(AC1822,Mapping!$E$11:$I$96,5,0)</f>
        <v>SCS</v>
      </c>
      <c r="AO1822" s="7"/>
      <c r="AP1822" s="7"/>
      <c r="AQ1822" s="7"/>
      <c r="AR1822" s="7"/>
      <c r="AS1822" s="7"/>
    </row>
    <row r="1823" spans="1:45" x14ac:dyDescent="0.2">
      <c r="A1823" s="7"/>
      <c r="B1823" s="7"/>
      <c r="C1823" s="7"/>
      <c r="D1823" s="7"/>
      <c r="E1823" s="36">
        <v>161</v>
      </c>
      <c r="F1823" s="36" t="s">
        <v>2171</v>
      </c>
      <c r="G1823" s="36">
        <v>520200</v>
      </c>
      <c r="H1823" s="36" t="s">
        <v>2073</v>
      </c>
      <c r="I1823" s="37">
        <v>131.76598000000001</v>
      </c>
      <c r="J1823" s="7"/>
      <c r="K1823" s="7" t="str">
        <f>VLOOKUP($E1823,Mapping!$E$11:$I$96,3,0)</f>
        <v>Augmentation</v>
      </c>
      <c r="L1823" s="7" t="str">
        <f>VLOOKUP($G1823,Mapping!$E$140:$K$2771,5,0)</f>
        <v>Materials</v>
      </c>
      <c r="M1823" s="7" t="str">
        <f>VLOOKUP($G1823,Mapping!$E$140:$K$2771,7,0)</f>
        <v>ENDirect</v>
      </c>
      <c r="N1823" s="7" t="str">
        <f>IFERROR(HLOOKUP(L1823,'Calc|Weightings'!$K$5:$M$5,1,0),"Excl")</f>
        <v>Materials</v>
      </c>
      <c r="O1823" s="7" t="str">
        <f>VLOOKUP(E1823,Mapping!$E$11:$I$96,5,0)</f>
        <v>SCS</v>
      </c>
      <c r="Q1823" s="7"/>
      <c r="R1823" s="7"/>
      <c r="S1823" s="7"/>
      <c r="T1823" s="7"/>
      <c r="U1823" s="7"/>
      <c r="V1823" s="7"/>
      <c r="AC1823" s="111">
        <v>210</v>
      </c>
      <c r="AD1823" s="111" t="s">
        <v>2185</v>
      </c>
      <c r="AE1823" s="111">
        <v>140200</v>
      </c>
      <c r="AF1823" s="111" t="s">
        <v>49</v>
      </c>
      <c r="AG1823" s="112">
        <v>126.6399</v>
      </c>
      <c r="AI1823" s="7" t="str">
        <f>VLOOKUP($AC1823,Mapping!$E$11:$I$96,3,0)</f>
        <v>Non-network general assets - Other</v>
      </c>
      <c r="AJ1823" s="7" t="str">
        <f>VLOOKUP($AE1823,Mapping!$E$140:$K$2771,5,0)</f>
        <v>Materials</v>
      </c>
      <c r="AK1823" s="7" t="str">
        <f>VLOOKUP($AE1823,Mapping!$E$140:$K$2771,7,0)</f>
        <v>ENDirect</v>
      </c>
      <c r="AL1823" s="7" t="str">
        <f>IFERROR(HLOOKUP(AJ1823,'Calc|Weightings'!$K$5:$M$5,1,0),"Excl")</f>
        <v>Materials</v>
      </c>
      <c r="AM1823" s="7" t="str">
        <f>VLOOKUP(AC1823,Mapping!$E$11:$I$96,5,0)</f>
        <v>SCS</v>
      </c>
      <c r="AO1823" s="7"/>
      <c r="AP1823" s="7"/>
      <c r="AQ1823" s="7"/>
      <c r="AR1823" s="7"/>
      <c r="AS1823" s="7"/>
    </row>
    <row r="1824" spans="1:45" x14ac:dyDescent="0.2">
      <c r="A1824" s="7"/>
      <c r="B1824" s="7"/>
      <c r="C1824" s="7"/>
      <c r="D1824" s="7"/>
      <c r="E1824" s="36">
        <v>161</v>
      </c>
      <c r="F1824" s="36" t="s">
        <v>2171</v>
      </c>
      <c r="G1824" s="36">
        <v>523100</v>
      </c>
      <c r="H1824" s="36" t="s">
        <v>2074</v>
      </c>
      <c r="I1824" s="37">
        <v>8.1036599999999996</v>
      </c>
      <c r="J1824" s="7"/>
      <c r="K1824" s="7" t="str">
        <f>VLOOKUP($E1824,Mapping!$E$11:$I$96,3,0)</f>
        <v>Augmentation</v>
      </c>
      <c r="L1824" s="7" t="str">
        <f>VLOOKUP($G1824,Mapping!$E$140:$K$2771,5,0)</f>
        <v>Materials</v>
      </c>
      <c r="M1824" s="7" t="str">
        <f>VLOOKUP($G1824,Mapping!$E$140:$K$2771,7,0)</f>
        <v>ENDirect</v>
      </c>
      <c r="N1824" s="7" t="str">
        <f>IFERROR(HLOOKUP(L1824,'Calc|Weightings'!$K$5:$M$5,1,0),"Excl")</f>
        <v>Materials</v>
      </c>
      <c r="O1824" s="7" t="str">
        <f>VLOOKUP(E1824,Mapping!$E$11:$I$96,5,0)</f>
        <v>SCS</v>
      </c>
      <c r="Q1824" s="7"/>
      <c r="R1824" s="7"/>
      <c r="S1824" s="7"/>
      <c r="T1824" s="7"/>
      <c r="U1824" s="7"/>
      <c r="V1824" s="7"/>
      <c r="AC1824" s="111">
        <v>230</v>
      </c>
      <c r="AD1824" s="111" t="s">
        <v>2187</v>
      </c>
      <c r="AE1824" s="111">
        <v>140120</v>
      </c>
      <c r="AF1824" s="111" t="s">
        <v>46</v>
      </c>
      <c r="AG1824" s="112">
        <v>10</v>
      </c>
      <c r="AI1824" s="7" t="str">
        <f>VLOOKUP($AC1824,Mapping!$E$11:$I$96,3,0)</f>
        <v>Non-network general assets - Other</v>
      </c>
      <c r="AJ1824" s="7" t="str">
        <f>VLOOKUP($AE1824,Mapping!$E$140:$K$2771,5,0)</f>
        <v>Materials</v>
      </c>
      <c r="AK1824" s="7" t="str">
        <f>VLOOKUP($AE1824,Mapping!$E$140:$K$2771,7,0)</f>
        <v>ENDirect</v>
      </c>
      <c r="AL1824" s="7" t="str">
        <f>IFERROR(HLOOKUP(AJ1824,'Calc|Weightings'!$K$5:$M$5,1,0),"Excl")</f>
        <v>Materials</v>
      </c>
      <c r="AM1824" s="7" t="str">
        <f>VLOOKUP(AC1824,Mapping!$E$11:$I$96,5,0)</f>
        <v>SCS</v>
      </c>
      <c r="AO1824" s="7"/>
      <c r="AP1824" s="7"/>
      <c r="AQ1824" s="7"/>
      <c r="AR1824" s="7"/>
      <c r="AS1824" s="7"/>
    </row>
    <row r="1825" spans="1:45" x14ac:dyDescent="0.2">
      <c r="A1825" s="7"/>
      <c r="B1825" s="7"/>
      <c r="C1825" s="7"/>
      <c r="D1825" s="7"/>
      <c r="E1825" s="36">
        <v>161</v>
      </c>
      <c r="F1825" s="36" t="s">
        <v>2171</v>
      </c>
      <c r="G1825" s="36">
        <v>524100</v>
      </c>
      <c r="H1825" s="36" t="s">
        <v>2188</v>
      </c>
      <c r="I1825" s="37">
        <v>4.2785799999999998</v>
      </c>
      <c r="J1825" s="7"/>
      <c r="K1825" s="7" t="str">
        <f>VLOOKUP($E1825,Mapping!$E$11:$I$96,3,0)</f>
        <v>Augmentation</v>
      </c>
      <c r="L1825" s="7" t="str">
        <f>VLOOKUP($G1825,Mapping!$E$140:$K$2771,5,0)</f>
        <v>Materials</v>
      </c>
      <c r="M1825" s="7" t="str">
        <f>VLOOKUP($G1825,Mapping!$E$140:$K$2771,7,0)</f>
        <v>ENDirect</v>
      </c>
      <c r="N1825" s="7" t="str">
        <f>IFERROR(HLOOKUP(L1825,'Calc|Weightings'!$K$5:$M$5,1,0),"Excl")</f>
        <v>Materials</v>
      </c>
      <c r="O1825" s="7" t="str">
        <f>VLOOKUP(E1825,Mapping!$E$11:$I$96,5,0)</f>
        <v>SCS</v>
      </c>
      <c r="Q1825" s="7"/>
      <c r="R1825" s="7"/>
      <c r="S1825" s="7"/>
      <c r="T1825" s="7"/>
      <c r="U1825" s="7"/>
      <c r="V1825" s="7"/>
      <c r="AC1825" s="111">
        <v>230</v>
      </c>
      <c r="AD1825" s="111" t="s">
        <v>2187</v>
      </c>
      <c r="AE1825" s="111">
        <v>503350</v>
      </c>
      <c r="AF1825" s="111" t="s">
        <v>182</v>
      </c>
      <c r="AG1825" s="112">
        <v>1.07</v>
      </c>
      <c r="AI1825" s="7" t="str">
        <f>VLOOKUP($AC1825,Mapping!$E$11:$I$96,3,0)</f>
        <v>Non-network general assets - Other</v>
      </c>
      <c r="AJ1825" s="7" t="str">
        <f>VLOOKUP($AE1825,Mapping!$E$140:$K$2771,5,0)</f>
        <v>Contracts</v>
      </c>
      <c r="AK1825" s="7" t="str">
        <f>VLOOKUP($AE1825,Mapping!$E$140:$K$2771,7,0)</f>
        <v>ENDirect</v>
      </c>
      <c r="AL1825" s="7" t="str">
        <f>IFERROR(HLOOKUP(AJ1825,'Calc|Weightings'!$K$5:$M$5,1,0),"Excl")</f>
        <v>Contracts</v>
      </c>
      <c r="AM1825" s="7" t="str">
        <f>VLOOKUP(AC1825,Mapping!$E$11:$I$96,5,0)</f>
        <v>SCS</v>
      </c>
      <c r="AO1825" s="7"/>
      <c r="AP1825" s="7"/>
      <c r="AQ1825" s="7"/>
      <c r="AR1825" s="7"/>
      <c r="AS1825" s="7"/>
    </row>
    <row r="1826" spans="1:45" x14ac:dyDescent="0.2">
      <c r="A1826" s="7"/>
      <c r="B1826" s="7"/>
      <c r="C1826" s="7"/>
      <c r="D1826" s="7"/>
      <c r="E1826" s="36">
        <v>161</v>
      </c>
      <c r="F1826" s="36" t="s">
        <v>2171</v>
      </c>
      <c r="G1826" s="36">
        <v>531000</v>
      </c>
      <c r="H1826" s="36" t="s">
        <v>242</v>
      </c>
      <c r="I1826" s="37">
        <v>1.6095200000000001</v>
      </c>
      <c r="J1826" s="7"/>
      <c r="K1826" s="7" t="str">
        <f>VLOOKUP($E1826,Mapping!$E$11:$I$96,3,0)</f>
        <v>Augmentation</v>
      </c>
      <c r="L1826" s="7" t="str">
        <f>VLOOKUP($G1826,Mapping!$E$140:$K$2771,5,0)</f>
        <v>Contracts</v>
      </c>
      <c r="M1826" s="7" t="str">
        <f>VLOOKUP($G1826,Mapping!$E$140:$K$2771,7,0)</f>
        <v>ENDirect</v>
      </c>
      <c r="N1826" s="7" t="str">
        <f>IFERROR(HLOOKUP(L1826,'Calc|Weightings'!$K$5:$M$5,1,0),"Excl")</f>
        <v>Contracts</v>
      </c>
      <c r="O1826" s="7" t="str">
        <f>VLOOKUP(E1826,Mapping!$E$11:$I$96,5,0)</f>
        <v>SCS</v>
      </c>
      <c r="Q1826" s="7"/>
      <c r="R1826" s="7"/>
      <c r="S1826" s="7"/>
      <c r="T1826" s="7"/>
      <c r="U1826" s="7"/>
      <c r="V1826" s="7"/>
      <c r="AC1826" s="111">
        <v>230</v>
      </c>
      <c r="AD1826" s="111" t="s">
        <v>2187</v>
      </c>
      <c r="AE1826" s="111">
        <v>520100</v>
      </c>
      <c r="AF1826" s="111" t="s">
        <v>2072</v>
      </c>
      <c r="AG1826" s="112">
        <v>9.6225299999999994</v>
      </c>
      <c r="AI1826" s="7" t="str">
        <f>VLOOKUP($AC1826,Mapping!$E$11:$I$96,3,0)</f>
        <v>Non-network general assets - Other</v>
      </c>
      <c r="AJ1826" s="7" t="str">
        <f>VLOOKUP($AE1826,Mapping!$E$140:$K$2771,5,0)</f>
        <v>Materials</v>
      </c>
      <c r="AK1826" s="7" t="str">
        <f>VLOOKUP($AE1826,Mapping!$E$140:$K$2771,7,0)</f>
        <v>ENDirect</v>
      </c>
      <c r="AL1826" s="7" t="str">
        <f>IFERROR(HLOOKUP(AJ1826,'Calc|Weightings'!$K$5:$M$5,1,0),"Excl")</f>
        <v>Materials</v>
      </c>
      <c r="AM1826" s="7" t="str">
        <f>VLOOKUP(AC1826,Mapping!$E$11:$I$96,5,0)</f>
        <v>SCS</v>
      </c>
      <c r="AO1826" s="7"/>
      <c r="AP1826" s="7"/>
      <c r="AQ1826" s="7"/>
      <c r="AR1826" s="7"/>
      <c r="AS1826" s="7"/>
    </row>
    <row r="1827" spans="1:45" x14ac:dyDescent="0.2">
      <c r="A1827" s="7"/>
      <c r="B1827" s="7"/>
      <c r="C1827" s="7"/>
      <c r="D1827" s="7"/>
      <c r="E1827" s="36">
        <v>161</v>
      </c>
      <c r="F1827" s="36" t="s">
        <v>2171</v>
      </c>
      <c r="G1827" s="36">
        <v>531020</v>
      </c>
      <c r="H1827" s="36" t="s">
        <v>219</v>
      </c>
      <c r="I1827" s="37">
        <v>33.950000000000003</v>
      </c>
      <c r="J1827" s="7"/>
      <c r="K1827" s="7" t="str">
        <f>VLOOKUP($E1827,Mapping!$E$11:$I$96,3,0)</f>
        <v>Augmentation</v>
      </c>
      <c r="L1827" s="7" t="str">
        <f>VLOOKUP($G1827,Mapping!$E$140:$K$2771,5,0)</f>
        <v>Labour</v>
      </c>
      <c r="M1827" s="7" t="str">
        <f>VLOOKUP($G1827,Mapping!$E$140:$K$2771,7,0)</f>
        <v>ENDirect</v>
      </c>
      <c r="N1827" s="7" t="str">
        <f>IFERROR(HLOOKUP(L1827,'Calc|Weightings'!$K$5:$M$5,1,0),"Excl")</f>
        <v>Labour</v>
      </c>
      <c r="O1827" s="7" t="str">
        <f>VLOOKUP(E1827,Mapping!$E$11:$I$96,5,0)</f>
        <v>SCS</v>
      </c>
      <c r="Q1827" s="7"/>
      <c r="R1827" s="7"/>
      <c r="S1827" s="7"/>
      <c r="T1827" s="7"/>
      <c r="U1827" s="7"/>
      <c r="V1827" s="7"/>
      <c r="AC1827" s="111">
        <v>230</v>
      </c>
      <c r="AD1827" s="111" t="s">
        <v>2187</v>
      </c>
      <c r="AE1827" s="111">
        <v>523100</v>
      </c>
      <c r="AF1827" s="111" t="s">
        <v>2074</v>
      </c>
      <c r="AG1827" s="112">
        <v>0.29044999999999999</v>
      </c>
      <c r="AI1827" s="7" t="str">
        <f>VLOOKUP($AC1827,Mapping!$E$11:$I$96,3,0)</f>
        <v>Non-network general assets - Other</v>
      </c>
      <c r="AJ1827" s="7" t="str">
        <f>VLOOKUP($AE1827,Mapping!$E$140:$K$2771,5,0)</f>
        <v>Materials</v>
      </c>
      <c r="AK1827" s="7" t="str">
        <f>VLOOKUP($AE1827,Mapping!$E$140:$K$2771,7,0)</f>
        <v>ENDirect</v>
      </c>
      <c r="AL1827" s="7" t="str">
        <f>IFERROR(HLOOKUP(AJ1827,'Calc|Weightings'!$K$5:$M$5,1,0),"Excl")</f>
        <v>Materials</v>
      </c>
      <c r="AM1827" s="7" t="str">
        <f>VLOOKUP(AC1827,Mapping!$E$11:$I$96,5,0)</f>
        <v>SCS</v>
      </c>
      <c r="AO1827" s="7"/>
      <c r="AP1827" s="7"/>
      <c r="AQ1827" s="7"/>
      <c r="AR1827" s="7"/>
      <c r="AS1827" s="7"/>
    </row>
    <row r="1828" spans="1:45" x14ac:dyDescent="0.2">
      <c r="A1828" s="7"/>
      <c r="B1828" s="7"/>
      <c r="C1828" s="7"/>
      <c r="D1828" s="7"/>
      <c r="E1828" s="36">
        <v>161</v>
      </c>
      <c r="F1828" s="36" t="s">
        <v>2171</v>
      </c>
      <c r="G1828" s="36">
        <v>531035</v>
      </c>
      <c r="H1828" s="36" t="s">
        <v>244</v>
      </c>
      <c r="I1828" s="37">
        <v>57.957729999999998</v>
      </c>
      <c r="J1828" s="7"/>
      <c r="K1828" s="7" t="str">
        <f>VLOOKUP($E1828,Mapping!$E$11:$I$96,3,0)</f>
        <v>Augmentation</v>
      </c>
      <c r="L1828" s="7" t="str">
        <f>VLOOKUP($G1828,Mapping!$E$140:$K$2771,5,0)</f>
        <v>Labour</v>
      </c>
      <c r="M1828" s="7" t="str">
        <f>VLOOKUP($G1828,Mapping!$E$140:$K$2771,7,0)</f>
        <v>ENDirect</v>
      </c>
      <c r="N1828" s="7" t="str">
        <f>IFERROR(HLOOKUP(L1828,'Calc|Weightings'!$K$5:$M$5,1,0),"Excl")</f>
        <v>Labour</v>
      </c>
      <c r="O1828" s="7" t="str">
        <f>VLOOKUP(E1828,Mapping!$E$11:$I$96,5,0)</f>
        <v>SCS</v>
      </c>
      <c r="Q1828" s="7"/>
      <c r="R1828" s="7"/>
      <c r="S1828" s="7"/>
      <c r="T1828" s="7"/>
      <c r="U1828" s="7"/>
      <c r="V1828" s="7"/>
      <c r="AC1828" s="111">
        <v>230</v>
      </c>
      <c r="AD1828" s="111" t="s">
        <v>2187</v>
      </c>
      <c r="AE1828" s="111">
        <v>523300</v>
      </c>
      <c r="AF1828" s="111" t="s">
        <v>2075</v>
      </c>
      <c r="AG1828" s="112">
        <v>15667.945519999999</v>
      </c>
      <c r="AI1828" s="7" t="str">
        <f>VLOOKUP($AC1828,Mapping!$E$11:$I$96,3,0)</f>
        <v>Non-network general assets - Other</v>
      </c>
      <c r="AJ1828" s="7" t="str">
        <f>VLOOKUP($AE1828,Mapping!$E$140:$K$2771,5,0)</f>
        <v>Materials</v>
      </c>
      <c r="AK1828" s="7" t="str">
        <f>VLOOKUP($AE1828,Mapping!$E$140:$K$2771,7,0)</f>
        <v>ENDirect</v>
      </c>
      <c r="AL1828" s="7" t="str">
        <f>IFERROR(HLOOKUP(AJ1828,'Calc|Weightings'!$K$5:$M$5,1,0),"Excl")</f>
        <v>Materials</v>
      </c>
      <c r="AM1828" s="7" t="str">
        <f>VLOOKUP(AC1828,Mapping!$E$11:$I$96,5,0)</f>
        <v>SCS</v>
      </c>
      <c r="AO1828" s="7"/>
      <c r="AP1828" s="7"/>
      <c r="AQ1828" s="7"/>
      <c r="AR1828" s="7"/>
      <c r="AS1828" s="7"/>
    </row>
    <row r="1829" spans="1:45" x14ac:dyDescent="0.2">
      <c r="A1829" s="7"/>
      <c r="B1829" s="7"/>
      <c r="C1829" s="7"/>
      <c r="D1829" s="7"/>
      <c r="E1829" s="36">
        <v>161</v>
      </c>
      <c r="F1829" s="36" t="s">
        <v>2171</v>
      </c>
      <c r="G1829" s="36">
        <v>531200</v>
      </c>
      <c r="H1829" s="36" t="s">
        <v>250</v>
      </c>
      <c r="I1829" s="37">
        <v>66.582430000000002</v>
      </c>
      <c r="J1829" s="7"/>
      <c r="K1829" s="7" t="str">
        <f>VLOOKUP($E1829,Mapping!$E$11:$I$96,3,0)</f>
        <v>Augmentation</v>
      </c>
      <c r="L1829" s="7" t="str">
        <f>VLOOKUP($G1829,Mapping!$E$140:$K$2771,5,0)</f>
        <v>Contracts</v>
      </c>
      <c r="M1829" s="7" t="str">
        <f>VLOOKUP($G1829,Mapping!$E$140:$K$2771,7,0)</f>
        <v>ENDirect</v>
      </c>
      <c r="N1829" s="7" t="str">
        <f>IFERROR(HLOOKUP(L1829,'Calc|Weightings'!$K$5:$M$5,1,0),"Excl")</f>
        <v>Contracts</v>
      </c>
      <c r="O1829" s="7" t="str">
        <f>VLOOKUP(E1829,Mapping!$E$11:$I$96,5,0)</f>
        <v>SCS</v>
      </c>
      <c r="Q1829" s="7"/>
      <c r="R1829" s="7"/>
      <c r="S1829" s="7"/>
      <c r="T1829" s="7"/>
      <c r="U1829" s="7"/>
      <c r="V1829" s="7"/>
      <c r="AC1829" s="111">
        <v>230</v>
      </c>
      <c r="AD1829" s="111" t="s">
        <v>2187</v>
      </c>
      <c r="AE1829" s="111">
        <v>531000</v>
      </c>
      <c r="AF1829" s="111" t="s">
        <v>242</v>
      </c>
      <c r="AG1829" s="112">
        <v>30.785</v>
      </c>
      <c r="AI1829" s="7" t="str">
        <f>VLOOKUP($AC1829,Mapping!$E$11:$I$96,3,0)</f>
        <v>Non-network general assets - Other</v>
      </c>
      <c r="AJ1829" s="7" t="str">
        <f>VLOOKUP($AE1829,Mapping!$E$140:$K$2771,5,0)</f>
        <v>Contracts</v>
      </c>
      <c r="AK1829" s="7" t="str">
        <f>VLOOKUP($AE1829,Mapping!$E$140:$K$2771,7,0)</f>
        <v>ENDirect</v>
      </c>
      <c r="AL1829" s="7" t="str">
        <f>IFERROR(HLOOKUP(AJ1829,'Calc|Weightings'!$K$5:$M$5,1,0),"Excl")</f>
        <v>Contracts</v>
      </c>
      <c r="AM1829" s="7" t="str">
        <f>VLOOKUP(AC1829,Mapping!$E$11:$I$96,5,0)</f>
        <v>SCS</v>
      </c>
      <c r="AO1829" s="7"/>
      <c r="AP1829" s="7"/>
      <c r="AQ1829" s="7"/>
      <c r="AR1829" s="7"/>
      <c r="AS1829" s="7"/>
    </row>
    <row r="1830" spans="1:45" x14ac:dyDescent="0.2">
      <c r="A1830" s="7"/>
      <c r="B1830" s="7"/>
      <c r="C1830" s="7"/>
      <c r="D1830" s="7"/>
      <c r="E1830" s="36">
        <v>161</v>
      </c>
      <c r="F1830" s="36" t="s">
        <v>2171</v>
      </c>
      <c r="G1830" s="36">
        <v>531201</v>
      </c>
      <c r="H1830" s="36" t="s">
        <v>251</v>
      </c>
      <c r="I1830" s="37">
        <v>-20.88</v>
      </c>
      <c r="J1830" s="7"/>
      <c r="K1830" s="7" t="str">
        <f>VLOOKUP($E1830,Mapping!$E$11:$I$96,3,0)</f>
        <v>Augmentation</v>
      </c>
      <c r="L1830" s="7" t="str">
        <f>VLOOKUP($G1830,Mapping!$E$140:$K$2771,5,0)</f>
        <v>Contracts</v>
      </c>
      <c r="M1830" s="7" t="str">
        <f>VLOOKUP($G1830,Mapping!$E$140:$K$2771,7,0)</f>
        <v>ENDirect</v>
      </c>
      <c r="N1830" s="7" t="str">
        <f>IFERROR(HLOOKUP(L1830,'Calc|Weightings'!$K$5:$M$5,1,0),"Excl")</f>
        <v>Contracts</v>
      </c>
      <c r="O1830" s="7" t="str">
        <f>VLOOKUP(E1830,Mapping!$E$11:$I$96,5,0)</f>
        <v>SCS</v>
      </c>
      <c r="Q1830" s="7"/>
      <c r="R1830" s="7"/>
      <c r="S1830" s="7"/>
      <c r="T1830" s="7"/>
      <c r="U1830" s="7"/>
      <c r="V1830" s="7"/>
      <c r="AC1830" s="111">
        <v>230</v>
      </c>
      <c r="AD1830" s="111" t="s">
        <v>2187</v>
      </c>
      <c r="AE1830" s="111">
        <v>531200</v>
      </c>
      <c r="AF1830" s="111" t="s">
        <v>250</v>
      </c>
      <c r="AG1830" s="112">
        <v>7.5556299999999998</v>
      </c>
      <c r="AI1830" s="7" t="str">
        <f>VLOOKUP($AC1830,Mapping!$E$11:$I$96,3,0)</f>
        <v>Non-network general assets - Other</v>
      </c>
      <c r="AJ1830" s="7" t="str">
        <f>VLOOKUP($AE1830,Mapping!$E$140:$K$2771,5,0)</f>
        <v>Contracts</v>
      </c>
      <c r="AK1830" s="7" t="str">
        <f>VLOOKUP($AE1830,Mapping!$E$140:$K$2771,7,0)</f>
        <v>ENDirect</v>
      </c>
      <c r="AL1830" s="7" t="str">
        <f>IFERROR(HLOOKUP(AJ1830,'Calc|Weightings'!$K$5:$M$5,1,0),"Excl")</f>
        <v>Contracts</v>
      </c>
      <c r="AM1830" s="7" t="str">
        <f>VLOOKUP(AC1830,Mapping!$E$11:$I$96,5,0)</f>
        <v>SCS</v>
      </c>
      <c r="AO1830" s="7"/>
      <c r="AP1830" s="7"/>
      <c r="AQ1830" s="7"/>
      <c r="AR1830" s="7"/>
      <c r="AS1830" s="7"/>
    </row>
    <row r="1831" spans="1:45" x14ac:dyDescent="0.2">
      <c r="A1831" s="7"/>
      <c r="B1831" s="7"/>
      <c r="C1831" s="7"/>
      <c r="D1831" s="7"/>
      <c r="E1831" s="36">
        <v>161</v>
      </c>
      <c r="F1831" s="36" t="s">
        <v>2171</v>
      </c>
      <c r="G1831" s="36">
        <v>531464</v>
      </c>
      <c r="H1831" s="36" t="s">
        <v>256</v>
      </c>
      <c r="I1831" s="37">
        <v>44.589359999999999</v>
      </c>
      <c r="J1831" s="7"/>
      <c r="K1831" s="7" t="str">
        <f>VLOOKUP($E1831,Mapping!$E$11:$I$96,3,0)</f>
        <v>Augmentation</v>
      </c>
      <c r="L1831" s="7" t="str">
        <f>VLOOKUP($G1831,Mapping!$E$140:$K$2771,5,0)</f>
        <v>Contracts</v>
      </c>
      <c r="M1831" s="7" t="str">
        <f>VLOOKUP($G1831,Mapping!$E$140:$K$2771,7,0)</f>
        <v>ENDirect</v>
      </c>
      <c r="N1831" s="7" t="str">
        <f>IFERROR(HLOOKUP(L1831,'Calc|Weightings'!$K$5:$M$5,1,0),"Excl")</f>
        <v>Contracts</v>
      </c>
      <c r="O1831" s="7" t="str">
        <f>VLOOKUP(E1831,Mapping!$E$11:$I$96,5,0)</f>
        <v>SCS</v>
      </c>
      <c r="Q1831" s="7"/>
      <c r="R1831" s="7"/>
      <c r="S1831" s="7"/>
      <c r="T1831" s="7"/>
      <c r="U1831" s="7"/>
      <c r="V1831" s="7"/>
      <c r="AC1831" s="111">
        <v>230</v>
      </c>
      <c r="AD1831" s="111" t="s">
        <v>2187</v>
      </c>
      <c r="AE1831" s="111">
        <v>531466</v>
      </c>
      <c r="AF1831" s="111" t="s">
        <v>258</v>
      </c>
      <c r="AG1831" s="112">
        <v>52.611910000000002</v>
      </c>
      <c r="AI1831" s="7" t="str">
        <f>VLOOKUP($AC1831,Mapping!$E$11:$I$96,3,0)</f>
        <v>Non-network general assets - Other</v>
      </c>
      <c r="AJ1831" s="7" t="str">
        <f>VLOOKUP($AE1831,Mapping!$E$140:$K$2771,5,0)</f>
        <v>Contracts</v>
      </c>
      <c r="AK1831" s="7" t="str">
        <f>VLOOKUP($AE1831,Mapping!$E$140:$K$2771,7,0)</f>
        <v>ENDirect</v>
      </c>
      <c r="AL1831" s="7" t="str">
        <f>IFERROR(HLOOKUP(AJ1831,'Calc|Weightings'!$K$5:$M$5,1,0),"Excl")</f>
        <v>Contracts</v>
      </c>
      <c r="AM1831" s="7" t="str">
        <f>VLOOKUP(AC1831,Mapping!$E$11:$I$96,5,0)</f>
        <v>SCS</v>
      </c>
      <c r="AO1831" s="7"/>
      <c r="AP1831" s="7"/>
      <c r="AQ1831" s="7"/>
      <c r="AR1831" s="7"/>
      <c r="AS1831" s="7"/>
    </row>
    <row r="1832" spans="1:45" x14ac:dyDescent="0.2">
      <c r="A1832" s="7"/>
      <c r="B1832" s="7"/>
      <c r="C1832" s="7"/>
      <c r="D1832" s="7"/>
      <c r="E1832" s="36">
        <v>161</v>
      </c>
      <c r="F1832" s="36" t="s">
        <v>2171</v>
      </c>
      <c r="G1832" s="36">
        <v>531468</v>
      </c>
      <c r="H1832" s="36" t="s">
        <v>260</v>
      </c>
      <c r="I1832" s="37">
        <v>0.26706000000000002</v>
      </c>
      <c r="J1832" s="7"/>
      <c r="K1832" s="7" t="str">
        <f>VLOOKUP($E1832,Mapping!$E$11:$I$96,3,0)</f>
        <v>Augmentation</v>
      </c>
      <c r="L1832" s="7" t="str">
        <f>VLOOKUP($G1832,Mapping!$E$140:$K$2771,5,0)</f>
        <v>Contracts</v>
      </c>
      <c r="M1832" s="7" t="str">
        <f>VLOOKUP($G1832,Mapping!$E$140:$K$2771,7,0)</f>
        <v>ENDirect</v>
      </c>
      <c r="N1832" s="7" t="str">
        <f>IFERROR(HLOOKUP(L1832,'Calc|Weightings'!$K$5:$M$5,1,0),"Excl")</f>
        <v>Contracts</v>
      </c>
      <c r="O1832" s="7" t="str">
        <f>VLOOKUP(E1832,Mapping!$E$11:$I$96,5,0)</f>
        <v>SCS</v>
      </c>
      <c r="Q1832" s="7"/>
      <c r="R1832" s="7"/>
      <c r="S1832" s="7"/>
      <c r="T1832" s="7"/>
      <c r="U1832" s="7"/>
      <c r="V1832" s="7"/>
      <c r="AC1832" s="111">
        <v>230</v>
      </c>
      <c r="AD1832" s="111" t="s">
        <v>2187</v>
      </c>
      <c r="AE1832" s="111">
        <v>532061</v>
      </c>
      <c r="AF1832" s="111" t="s">
        <v>282</v>
      </c>
      <c r="AG1832" s="112">
        <v>3.1107499999999999</v>
      </c>
      <c r="AI1832" s="7" t="str">
        <f>VLOOKUP($AC1832,Mapping!$E$11:$I$96,3,0)</f>
        <v>Non-network general assets - Other</v>
      </c>
      <c r="AJ1832" s="7" t="str">
        <f>VLOOKUP($AE1832,Mapping!$E$140:$K$2771,5,0)</f>
        <v>Contracts</v>
      </c>
      <c r="AK1832" s="7" t="str">
        <f>VLOOKUP($AE1832,Mapping!$E$140:$K$2771,7,0)</f>
        <v>ENDirect</v>
      </c>
      <c r="AL1832" s="7" t="str">
        <f>IFERROR(HLOOKUP(AJ1832,'Calc|Weightings'!$K$5:$M$5,1,0),"Excl")</f>
        <v>Contracts</v>
      </c>
      <c r="AM1832" s="7" t="str">
        <f>VLOOKUP(AC1832,Mapping!$E$11:$I$96,5,0)</f>
        <v>SCS</v>
      </c>
      <c r="AO1832" s="7"/>
      <c r="AP1832" s="7"/>
      <c r="AQ1832" s="7"/>
      <c r="AR1832" s="7"/>
      <c r="AS1832" s="7"/>
    </row>
    <row r="1833" spans="1:45" x14ac:dyDescent="0.2">
      <c r="A1833" s="7"/>
      <c r="B1833" s="7"/>
      <c r="C1833" s="7"/>
      <c r="D1833" s="7"/>
      <c r="E1833" s="36">
        <v>161</v>
      </c>
      <c r="F1833" s="36" t="s">
        <v>2171</v>
      </c>
      <c r="G1833" s="36">
        <v>531469</v>
      </c>
      <c r="H1833" s="36" t="s">
        <v>261</v>
      </c>
      <c r="I1833" s="37">
        <v>168.65861000000001</v>
      </c>
      <c r="J1833" s="7"/>
      <c r="K1833" s="7" t="str">
        <f>VLOOKUP($E1833,Mapping!$E$11:$I$96,3,0)</f>
        <v>Augmentation</v>
      </c>
      <c r="L1833" s="7" t="str">
        <f>VLOOKUP($G1833,Mapping!$E$140:$K$2771,5,0)</f>
        <v>Labour</v>
      </c>
      <c r="M1833" s="7" t="str">
        <f>VLOOKUP($G1833,Mapping!$E$140:$K$2771,7,0)</f>
        <v>ENDirect</v>
      </c>
      <c r="N1833" s="7" t="str">
        <f>IFERROR(HLOOKUP(L1833,'Calc|Weightings'!$K$5:$M$5,1,0),"Excl")</f>
        <v>Labour</v>
      </c>
      <c r="O1833" s="7" t="str">
        <f>VLOOKUP(E1833,Mapping!$E$11:$I$96,5,0)</f>
        <v>SCS</v>
      </c>
      <c r="Q1833" s="7"/>
      <c r="R1833" s="7"/>
      <c r="S1833" s="7"/>
      <c r="T1833" s="7"/>
      <c r="U1833" s="7"/>
      <c r="V1833" s="7"/>
      <c r="AC1833" s="111">
        <v>230</v>
      </c>
      <c r="AD1833" s="111" t="s">
        <v>2187</v>
      </c>
      <c r="AE1833" s="111">
        <v>532500</v>
      </c>
      <c r="AF1833" s="111" t="s">
        <v>308</v>
      </c>
      <c r="AG1833" s="112">
        <v>0.15872000000000241</v>
      </c>
      <c r="AI1833" s="7" t="str">
        <f>VLOOKUP($AC1833,Mapping!$E$11:$I$96,3,0)</f>
        <v>Non-network general assets - Other</v>
      </c>
      <c r="AJ1833" s="7" t="str">
        <f>VLOOKUP($AE1833,Mapping!$E$140:$K$2771,5,0)</f>
        <v>Contracts</v>
      </c>
      <c r="AK1833" s="7" t="str">
        <f>VLOOKUP($AE1833,Mapping!$E$140:$K$2771,7,0)</f>
        <v>ENDirect</v>
      </c>
      <c r="AL1833" s="7" t="str">
        <f>IFERROR(HLOOKUP(AJ1833,'Calc|Weightings'!$K$5:$M$5,1,0),"Excl")</f>
        <v>Contracts</v>
      </c>
      <c r="AM1833" s="7" t="str">
        <f>VLOOKUP(AC1833,Mapping!$E$11:$I$96,5,0)</f>
        <v>SCS</v>
      </c>
      <c r="AO1833" s="7"/>
      <c r="AP1833" s="7"/>
      <c r="AQ1833" s="7"/>
      <c r="AR1833" s="7"/>
      <c r="AS1833" s="7"/>
    </row>
    <row r="1834" spans="1:45" x14ac:dyDescent="0.2">
      <c r="A1834" s="7"/>
      <c r="B1834" s="7"/>
      <c r="C1834" s="7"/>
      <c r="D1834" s="7"/>
      <c r="E1834" s="36">
        <v>161</v>
      </c>
      <c r="F1834" s="36" t="s">
        <v>2171</v>
      </c>
      <c r="G1834" s="36">
        <v>531480</v>
      </c>
      <c r="H1834" s="36" t="s">
        <v>2076</v>
      </c>
      <c r="I1834" s="37">
        <v>12</v>
      </c>
      <c r="J1834" s="7"/>
      <c r="K1834" s="7" t="str">
        <f>VLOOKUP($E1834,Mapping!$E$11:$I$96,3,0)</f>
        <v>Augmentation</v>
      </c>
      <c r="L1834" s="7" t="str">
        <f>VLOOKUP($G1834,Mapping!$E$140:$K$2771,5,0)</f>
        <v>Labour</v>
      </c>
      <c r="M1834" s="7" t="str">
        <f>VLOOKUP($G1834,Mapping!$E$140:$K$2771,7,0)</f>
        <v>ENDirect</v>
      </c>
      <c r="N1834" s="7" t="str">
        <f>IFERROR(HLOOKUP(L1834,'Calc|Weightings'!$K$5:$M$5,1,0),"Excl")</f>
        <v>Labour</v>
      </c>
      <c r="O1834" s="7" t="str">
        <f>VLOOKUP(E1834,Mapping!$E$11:$I$96,5,0)</f>
        <v>SCS</v>
      </c>
      <c r="Q1834" s="7"/>
      <c r="R1834" s="7"/>
      <c r="S1834" s="7"/>
      <c r="T1834" s="7"/>
      <c r="U1834" s="7"/>
      <c r="V1834" s="7"/>
      <c r="AC1834" s="111">
        <v>230</v>
      </c>
      <c r="AD1834" s="111" t="s">
        <v>2187</v>
      </c>
      <c r="AE1834" s="111">
        <v>533005</v>
      </c>
      <c r="AF1834" s="111" t="s">
        <v>317</v>
      </c>
      <c r="AG1834" s="112">
        <v>40.024279999999997</v>
      </c>
      <c r="AI1834" s="7" t="str">
        <f>VLOOKUP($AC1834,Mapping!$E$11:$I$96,3,0)</f>
        <v>Non-network general assets - Other</v>
      </c>
      <c r="AJ1834" s="7" t="str">
        <f>VLOOKUP($AE1834,Mapping!$E$140:$K$2771,5,0)</f>
        <v>Contracts</v>
      </c>
      <c r="AK1834" s="7" t="str">
        <f>VLOOKUP($AE1834,Mapping!$E$140:$K$2771,7,0)</f>
        <v>ENDirect</v>
      </c>
      <c r="AL1834" s="7" t="str">
        <f>IFERROR(HLOOKUP(AJ1834,'Calc|Weightings'!$K$5:$M$5,1,0),"Excl")</f>
        <v>Contracts</v>
      </c>
      <c r="AM1834" s="7" t="str">
        <f>VLOOKUP(AC1834,Mapping!$E$11:$I$96,5,0)</f>
        <v>SCS</v>
      </c>
      <c r="AO1834" s="7"/>
      <c r="AP1834" s="7"/>
      <c r="AQ1834" s="7"/>
      <c r="AR1834" s="7"/>
      <c r="AS1834" s="7"/>
    </row>
    <row r="1835" spans="1:45" x14ac:dyDescent="0.2">
      <c r="A1835" s="7"/>
      <c r="B1835" s="7"/>
      <c r="C1835" s="7"/>
      <c r="D1835" s="7"/>
      <c r="E1835" s="36">
        <v>161</v>
      </c>
      <c r="F1835" s="36" t="s">
        <v>2171</v>
      </c>
      <c r="G1835" s="36">
        <v>531495</v>
      </c>
      <c r="H1835" s="36" t="s">
        <v>2353</v>
      </c>
      <c r="I1835" s="37">
        <v>-896.92138999999997</v>
      </c>
      <c r="J1835" s="7"/>
      <c r="K1835" s="7" t="str">
        <f>VLOOKUP($E1835,Mapping!$E$11:$I$96,3,0)</f>
        <v>Augmentation</v>
      </c>
      <c r="L1835" s="7" t="str">
        <f>VLOOKUP($G1835,Mapping!$E$140:$K$2771,5,0)</f>
        <v>Contracts</v>
      </c>
      <c r="M1835" s="7" t="str">
        <f>VLOOKUP($G1835,Mapping!$E$140:$K$2771,7,0)</f>
        <v>ENDirect</v>
      </c>
      <c r="N1835" s="7" t="str">
        <f>IFERROR(HLOOKUP(L1835,'Calc|Weightings'!$K$5:$M$5,1,0),"Excl")</f>
        <v>Contracts</v>
      </c>
      <c r="O1835" s="7" t="str">
        <f>VLOOKUP(E1835,Mapping!$E$11:$I$96,5,0)</f>
        <v>SCS</v>
      </c>
      <c r="Q1835" s="7"/>
      <c r="R1835" s="7"/>
      <c r="S1835" s="7"/>
      <c r="T1835" s="7"/>
      <c r="U1835" s="7"/>
      <c r="V1835" s="7"/>
      <c r="AC1835" s="111">
        <v>230</v>
      </c>
      <c r="AD1835" s="111" t="s">
        <v>2187</v>
      </c>
      <c r="AE1835" s="111">
        <v>545150</v>
      </c>
      <c r="AF1835" s="111" t="s">
        <v>345</v>
      </c>
      <c r="AG1835" s="112">
        <v>0.34399999999999997</v>
      </c>
      <c r="AI1835" s="7" t="str">
        <f>VLOOKUP($AC1835,Mapping!$E$11:$I$96,3,0)</f>
        <v>Non-network general assets - Other</v>
      </c>
      <c r="AJ1835" s="7" t="str">
        <f>VLOOKUP($AE1835,Mapping!$E$140:$K$2771,5,0)</f>
        <v>Contracts</v>
      </c>
      <c r="AK1835" s="7" t="str">
        <f>VLOOKUP($AE1835,Mapping!$E$140:$K$2771,7,0)</f>
        <v>ENDirect</v>
      </c>
      <c r="AL1835" s="7" t="str">
        <f>IFERROR(HLOOKUP(AJ1835,'Calc|Weightings'!$K$5:$M$5,1,0),"Excl")</f>
        <v>Contracts</v>
      </c>
      <c r="AM1835" s="7" t="str">
        <f>VLOOKUP(AC1835,Mapping!$E$11:$I$96,5,0)</f>
        <v>SCS</v>
      </c>
      <c r="AO1835" s="7"/>
      <c r="AP1835" s="7"/>
      <c r="AQ1835" s="7"/>
      <c r="AR1835" s="7"/>
      <c r="AS1835" s="7"/>
    </row>
    <row r="1836" spans="1:45" x14ac:dyDescent="0.2">
      <c r="A1836" s="7"/>
      <c r="B1836" s="7"/>
      <c r="C1836" s="7"/>
      <c r="D1836" s="7"/>
      <c r="E1836" s="36">
        <v>161</v>
      </c>
      <c r="F1836" s="36" t="s">
        <v>2171</v>
      </c>
      <c r="G1836" s="36">
        <v>532050</v>
      </c>
      <c r="H1836" s="36" t="s">
        <v>279</v>
      </c>
      <c r="I1836" s="37">
        <v>6.7269999999999996E-2</v>
      </c>
      <c r="J1836" s="7"/>
      <c r="K1836" s="7" t="str">
        <f>VLOOKUP($E1836,Mapping!$E$11:$I$96,3,0)</f>
        <v>Augmentation</v>
      </c>
      <c r="L1836" s="7" t="str">
        <f>VLOOKUP($G1836,Mapping!$E$140:$K$2771,5,0)</f>
        <v>Contracts</v>
      </c>
      <c r="M1836" s="7" t="str">
        <f>VLOOKUP($G1836,Mapping!$E$140:$K$2771,7,0)</f>
        <v>ENDirect</v>
      </c>
      <c r="N1836" s="7" t="str">
        <f>IFERROR(HLOOKUP(L1836,'Calc|Weightings'!$K$5:$M$5,1,0),"Excl")</f>
        <v>Contracts</v>
      </c>
      <c r="O1836" s="7" t="str">
        <f>VLOOKUP(E1836,Mapping!$E$11:$I$96,5,0)</f>
        <v>SCS</v>
      </c>
      <c r="Q1836" s="7"/>
      <c r="R1836" s="7"/>
      <c r="S1836" s="7"/>
      <c r="T1836" s="7"/>
      <c r="U1836" s="7"/>
      <c r="V1836" s="7"/>
      <c r="AC1836" s="111">
        <v>230</v>
      </c>
      <c r="AD1836" s="111" t="s">
        <v>2187</v>
      </c>
      <c r="AE1836" s="111">
        <v>611900</v>
      </c>
      <c r="AF1836" s="111" t="s">
        <v>2079</v>
      </c>
      <c r="AG1836" s="112">
        <v>0.45446999999999999</v>
      </c>
      <c r="AI1836" s="7" t="str">
        <f>VLOOKUP($AC1836,Mapping!$E$11:$I$96,3,0)</f>
        <v>Non-network general assets - Other</v>
      </c>
      <c r="AJ1836" s="7" t="str">
        <f>VLOOKUP($AE1836,Mapping!$E$140:$K$2771,5,0)</f>
        <v>Contracts</v>
      </c>
      <c r="AK1836" s="7" t="str">
        <f>VLOOKUP($AE1836,Mapping!$E$140:$K$2771,7,0)</f>
        <v>ENDirect</v>
      </c>
      <c r="AL1836" s="7" t="str">
        <f>IFERROR(HLOOKUP(AJ1836,'Calc|Weightings'!$K$5:$M$5,1,0),"Excl")</f>
        <v>Contracts</v>
      </c>
      <c r="AM1836" s="7" t="str">
        <f>VLOOKUP(AC1836,Mapping!$E$11:$I$96,5,0)</f>
        <v>SCS</v>
      </c>
      <c r="AO1836" s="7"/>
      <c r="AP1836" s="7"/>
      <c r="AQ1836" s="7"/>
      <c r="AR1836" s="7"/>
      <c r="AS1836" s="7"/>
    </row>
    <row r="1837" spans="1:45" x14ac:dyDescent="0.2">
      <c r="A1837" s="7"/>
      <c r="B1837" s="7"/>
      <c r="C1837" s="7"/>
      <c r="D1837" s="7"/>
      <c r="E1837" s="36">
        <v>161</v>
      </c>
      <c r="F1837" s="36" t="s">
        <v>2171</v>
      </c>
      <c r="G1837" s="36">
        <v>532160</v>
      </c>
      <c r="H1837" s="36" t="s">
        <v>289</v>
      </c>
      <c r="I1837" s="37">
        <v>0.90908999999999995</v>
      </c>
      <c r="J1837" s="7"/>
      <c r="K1837" s="7" t="str">
        <f>VLOOKUP($E1837,Mapping!$E$11:$I$96,3,0)</f>
        <v>Augmentation</v>
      </c>
      <c r="L1837" s="7" t="str">
        <f>VLOOKUP($G1837,Mapping!$E$140:$K$2771,5,0)</f>
        <v>Contracts</v>
      </c>
      <c r="M1837" s="7" t="str">
        <f>VLOOKUP($G1837,Mapping!$E$140:$K$2771,7,0)</f>
        <v>ENDirect</v>
      </c>
      <c r="N1837" s="7" t="str">
        <f>IFERROR(HLOOKUP(L1837,'Calc|Weightings'!$K$5:$M$5,1,0),"Excl")</f>
        <v>Contracts</v>
      </c>
      <c r="O1837" s="7" t="str">
        <f>VLOOKUP(E1837,Mapping!$E$11:$I$96,5,0)</f>
        <v>SCS</v>
      </c>
      <c r="Q1837" s="7"/>
      <c r="R1837" s="7"/>
      <c r="S1837" s="7"/>
      <c r="T1837" s="7"/>
      <c r="U1837" s="7"/>
      <c r="V1837" s="7"/>
      <c r="AC1837" s="111">
        <v>230</v>
      </c>
      <c r="AD1837" s="111" t="s">
        <v>2187</v>
      </c>
      <c r="AE1837" s="111">
        <v>611901</v>
      </c>
      <c r="AF1837" s="111" t="s">
        <v>2080</v>
      </c>
      <c r="AG1837" s="112">
        <v>4.2000000000000002E-4</v>
      </c>
      <c r="AI1837" s="7" t="str">
        <f>VLOOKUP($AC1837,Mapping!$E$11:$I$96,3,0)</f>
        <v>Non-network general assets - Other</v>
      </c>
      <c r="AJ1837" s="7" t="str">
        <f>VLOOKUP($AE1837,Mapping!$E$140:$K$2771,5,0)</f>
        <v>Contracts</v>
      </c>
      <c r="AK1837" s="7" t="str">
        <f>VLOOKUP($AE1837,Mapping!$E$140:$K$2771,7,0)</f>
        <v>ENDirect</v>
      </c>
      <c r="AL1837" s="7" t="str">
        <f>IFERROR(HLOOKUP(AJ1837,'Calc|Weightings'!$K$5:$M$5,1,0),"Excl")</f>
        <v>Contracts</v>
      </c>
      <c r="AM1837" s="7" t="str">
        <f>VLOOKUP(AC1837,Mapping!$E$11:$I$96,5,0)</f>
        <v>SCS</v>
      </c>
      <c r="AO1837" s="7"/>
      <c r="AP1837" s="7"/>
      <c r="AQ1837" s="7"/>
      <c r="AR1837" s="7"/>
      <c r="AS1837" s="7"/>
    </row>
    <row r="1838" spans="1:45" x14ac:dyDescent="0.2">
      <c r="A1838" s="7"/>
      <c r="B1838" s="7"/>
      <c r="C1838" s="7"/>
      <c r="D1838" s="7"/>
      <c r="E1838" s="36">
        <v>161</v>
      </c>
      <c r="F1838" s="36" t="s">
        <v>2171</v>
      </c>
      <c r="G1838" s="36">
        <v>532180</v>
      </c>
      <c r="H1838" s="36" t="s">
        <v>290</v>
      </c>
      <c r="I1838" s="37">
        <v>8.7040000000000006E-2</v>
      </c>
      <c r="J1838" s="7"/>
      <c r="K1838" s="7" t="str">
        <f>VLOOKUP($E1838,Mapping!$E$11:$I$96,3,0)</f>
        <v>Augmentation</v>
      </c>
      <c r="L1838" s="7" t="str">
        <f>VLOOKUP($G1838,Mapping!$E$140:$K$2771,5,0)</f>
        <v>Contracts</v>
      </c>
      <c r="M1838" s="7" t="str">
        <f>VLOOKUP($G1838,Mapping!$E$140:$K$2771,7,0)</f>
        <v>ENDirect</v>
      </c>
      <c r="N1838" s="7" t="str">
        <f>IFERROR(HLOOKUP(L1838,'Calc|Weightings'!$K$5:$M$5,1,0),"Excl")</f>
        <v>Contracts</v>
      </c>
      <c r="O1838" s="7" t="str">
        <f>VLOOKUP(E1838,Mapping!$E$11:$I$96,5,0)</f>
        <v>SCS</v>
      </c>
      <c r="Q1838" s="7"/>
      <c r="R1838" s="7"/>
      <c r="S1838" s="7"/>
      <c r="T1838" s="7"/>
      <c r="U1838" s="7"/>
      <c r="V1838" s="7"/>
      <c r="AC1838" s="111">
        <v>230</v>
      </c>
      <c r="AD1838" s="111" t="s">
        <v>2187</v>
      </c>
      <c r="AE1838" s="111">
        <v>613260</v>
      </c>
      <c r="AF1838" s="111" t="s">
        <v>2090</v>
      </c>
      <c r="AG1838" s="112">
        <v>0.41424</v>
      </c>
      <c r="AI1838" s="7" t="str">
        <f>VLOOKUP($AC1838,Mapping!$E$11:$I$96,3,0)</f>
        <v>Non-network general assets - Other</v>
      </c>
      <c r="AJ1838" s="7" t="str">
        <f>VLOOKUP($AE1838,Mapping!$E$140:$K$2771,5,0)</f>
        <v>Labour</v>
      </c>
      <c r="AK1838" s="7" t="str">
        <f>VLOOKUP($AE1838,Mapping!$E$140:$K$2771,7,0)</f>
        <v>ENDirect</v>
      </c>
      <c r="AL1838" s="7" t="str">
        <f>IFERROR(HLOOKUP(AJ1838,'Calc|Weightings'!$K$5:$M$5,1,0),"Excl")</f>
        <v>Labour</v>
      </c>
      <c r="AM1838" s="7" t="str">
        <f>VLOOKUP(AC1838,Mapping!$E$11:$I$96,5,0)</f>
        <v>SCS</v>
      </c>
      <c r="AO1838" s="7"/>
      <c r="AP1838" s="7"/>
      <c r="AQ1838" s="7"/>
      <c r="AR1838" s="7"/>
      <c r="AS1838" s="7"/>
    </row>
    <row r="1839" spans="1:45" x14ac:dyDescent="0.2">
      <c r="A1839" s="7"/>
      <c r="B1839" s="7"/>
      <c r="C1839" s="7"/>
      <c r="D1839" s="7"/>
      <c r="E1839" s="36">
        <v>161</v>
      </c>
      <c r="F1839" s="36" t="s">
        <v>2171</v>
      </c>
      <c r="G1839" s="36">
        <v>532200</v>
      </c>
      <c r="H1839" s="36" t="s">
        <v>291</v>
      </c>
      <c r="I1839" s="37">
        <v>22.845849999999999</v>
      </c>
      <c r="J1839" s="7"/>
      <c r="K1839" s="7" t="str">
        <f>VLOOKUP($E1839,Mapping!$E$11:$I$96,3,0)</f>
        <v>Augmentation</v>
      </c>
      <c r="L1839" s="7" t="str">
        <f>VLOOKUP($G1839,Mapping!$E$140:$K$2771,5,0)</f>
        <v>Contracts</v>
      </c>
      <c r="M1839" s="7" t="str">
        <f>VLOOKUP($G1839,Mapping!$E$140:$K$2771,7,0)</f>
        <v>ENDirect</v>
      </c>
      <c r="N1839" s="7" t="str">
        <f>IFERROR(HLOOKUP(L1839,'Calc|Weightings'!$K$5:$M$5,1,0),"Excl")</f>
        <v>Contracts</v>
      </c>
      <c r="O1839" s="7" t="str">
        <f>VLOOKUP(E1839,Mapping!$E$11:$I$96,5,0)</f>
        <v>SCS</v>
      </c>
      <c r="Q1839" s="7"/>
      <c r="R1839" s="7"/>
      <c r="S1839" s="7"/>
      <c r="T1839" s="7"/>
      <c r="U1839" s="7"/>
      <c r="V1839" s="7"/>
      <c r="AC1839" s="111">
        <v>230</v>
      </c>
      <c r="AD1839" s="111" t="s">
        <v>2187</v>
      </c>
      <c r="AE1839" s="111">
        <v>613290</v>
      </c>
      <c r="AF1839" s="111" t="s">
        <v>2093</v>
      </c>
      <c r="AG1839" s="112">
        <v>5.0529999999999999</v>
      </c>
      <c r="AI1839" s="7" t="str">
        <f>VLOOKUP($AC1839,Mapping!$E$11:$I$96,3,0)</f>
        <v>Non-network general assets - Other</v>
      </c>
      <c r="AJ1839" s="7" t="str">
        <f>VLOOKUP($AE1839,Mapping!$E$140:$K$2771,5,0)</f>
        <v>Labour</v>
      </c>
      <c r="AK1839" s="7" t="str">
        <f>VLOOKUP($AE1839,Mapping!$E$140:$K$2771,7,0)</f>
        <v>ENDirect</v>
      </c>
      <c r="AL1839" s="7" t="str">
        <f>IFERROR(HLOOKUP(AJ1839,'Calc|Weightings'!$K$5:$M$5,1,0),"Excl")</f>
        <v>Labour</v>
      </c>
      <c r="AM1839" s="7" t="str">
        <f>VLOOKUP(AC1839,Mapping!$E$11:$I$96,5,0)</f>
        <v>SCS</v>
      </c>
      <c r="AO1839" s="7"/>
      <c r="AP1839" s="7"/>
      <c r="AQ1839" s="7"/>
      <c r="AR1839" s="7"/>
      <c r="AS1839" s="7"/>
    </row>
    <row r="1840" spans="1:45" x14ac:dyDescent="0.2">
      <c r="A1840" s="7"/>
      <c r="B1840" s="7"/>
      <c r="C1840" s="7"/>
      <c r="D1840" s="7"/>
      <c r="E1840" s="36">
        <v>161</v>
      </c>
      <c r="F1840" s="36" t="s">
        <v>2171</v>
      </c>
      <c r="G1840" s="36">
        <v>532420</v>
      </c>
      <c r="H1840" s="36" t="s">
        <v>307</v>
      </c>
      <c r="I1840" s="37">
        <v>0.81662000000000001</v>
      </c>
      <c r="J1840" s="7"/>
      <c r="K1840" s="7" t="str">
        <f>VLOOKUP($E1840,Mapping!$E$11:$I$96,3,0)</f>
        <v>Augmentation</v>
      </c>
      <c r="L1840" s="7" t="str">
        <f>VLOOKUP($G1840,Mapping!$E$140:$K$2771,5,0)</f>
        <v>Contracts</v>
      </c>
      <c r="M1840" s="7" t="str">
        <f>VLOOKUP($G1840,Mapping!$E$140:$K$2771,7,0)</f>
        <v>ENDirect</v>
      </c>
      <c r="N1840" s="7" t="str">
        <f>IFERROR(HLOOKUP(L1840,'Calc|Weightings'!$K$5:$M$5,1,0),"Excl")</f>
        <v>Contracts</v>
      </c>
      <c r="O1840" s="7" t="str">
        <f>VLOOKUP(E1840,Mapping!$E$11:$I$96,5,0)</f>
        <v>SCS</v>
      </c>
      <c r="Q1840" s="7"/>
      <c r="R1840" s="7"/>
      <c r="S1840" s="7"/>
      <c r="T1840" s="7"/>
      <c r="U1840" s="7"/>
      <c r="V1840" s="7"/>
      <c r="AC1840" s="111">
        <v>230</v>
      </c>
      <c r="AD1840" s="111" t="s">
        <v>2187</v>
      </c>
      <c r="AE1840" s="111">
        <v>613360</v>
      </c>
      <c r="AF1840" s="111" t="s">
        <v>2097</v>
      </c>
      <c r="AG1840" s="112">
        <v>1.00112</v>
      </c>
      <c r="AI1840" s="7" t="str">
        <f>VLOOKUP($AC1840,Mapping!$E$11:$I$96,3,0)</f>
        <v>Non-network general assets - Other</v>
      </c>
      <c r="AJ1840" s="7" t="str">
        <f>VLOOKUP($AE1840,Mapping!$E$140:$K$2771,5,0)</f>
        <v>Labour</v>
      </c>
      <c r="AK1840" s="7" t="str">
        <f>VLOOKUP($AE1840,Mapping!$E$140:$K$2771,7,0)</f>
        <v>ENDirect</v>
      </c>
      <c r="AL1840" s="7" t="str">
        <f>IFERROR(HLOOKUP(AJ1840,'Calc|Weightings'!$K$5:$M$5,1,0),"Excl")</f>
        <v>Labour</v>
      </c>
      <c r="AM1840" s="7" t="str">
        <f>VLOOKUP(AC1840,Mapping!$E$11:$I$96,5,0)</f>
        <v>SCS</v>
      </c>
      <c r="AO1840" s="7"/>
      <c r="AP1840" s="7"/>
      <c r="AQ1840" s="7"/>
      <c r="AR1840" s="7"/>
      <c r="AS1840" s="7"/>
    </row>
    <row r="1841" spans="1:45" x14ac:dyDescent="0.2">
      <c r="A1841" s="7"/>
      <c r="B1841" s="7"/>
      <c r="C1841" s="7"/>
      <c r="D1841" s="7"/>
      <c r="E1841" s="36">
        <v>161</v>
      </c>
      <c r="F1841" s="36" t="s">
        <v>2171</v>
      </c>
      <c r="G1841" s="36">
        <v>532500</v>
      </c>
      <c r="H1841" s="36" t="s">
        <v>308</v>
      </c>
      <c r="I1841" s="37">
        <v>5232.1083500000004</v>
      </c>
      <c r="J1841" s="7"/>
      <c r="K1841" s="7" t="str">
        <f>VLOOKUP($E1841,Mapping!$E$11:$I$96,3,0)</f>
        <v>Augmentation</v>
      </c>
      <c r="L1841" s="7" t="str">
        <f>VLOOKUP($G1841,Mapping!$E$140:$K$2771,5,0)</f>
        <v>Contracts</v>
      </c>
      <c r="M1841" s="7" t="str">
        <f>VLOOKUP($G1841,Mapping!$E$140:$K$2771,7,0)</f>
        <v>ENDirect</v>
      </c>
      <c r="N1841" s="7" t="str">
        <f>IFERROR(HLOOKUP(L1841,'Calc|Weightings'!$K$5:$M$5,1,0),"Excl")</f>
        <v>Contracts</v>
      </c>
      <c r="O1841" s="7" t="str">
        <f>VLOOKUP(E1841,Mapping!$E$11:$I$96,5,0)</f>
        <v>SCS</v>
      </c>
      <c r="Q1841" s="7"/>
      <c r="R1841" s="7"/>
      <c r="S1841" s="7"/>
      <c r="T1841" s="7"/>
      <c r="U1841" s="7"/>
      <c r="V1841" s="7"/>
      <c r="AC1841" s="111">
        <v>230</v>
      </c>
      <c r="AD1841" s="111" t="s">
        <v>2187</v>
      </c>
      <c r="AE1841" s="111">
        <v>613361</v>
      </c>
      <c r="AF1841" s="111" t="s">
        <v>2098</v>
      </c>
      <c r="AG1841" s="112">
        <v>0.15919</v>
      </c>
      <c r="AI1841" s="7" t="str">
        <f>VLOOKUP($AC1841,Mapping!$E$11:$I$96,3,0)</f>
        <v>Non-network general assets - Other</v>
      </c>
      <c r="AJ1841" s="7" t="str">
        <f>VLOOKUP($AE1841,Mapping!$E$140:$K$2771,5,0)</f>
        <v>Labour</v>
      </c>
      <c r="AK1841" s="7" t="str">
        <f>VLOOKUP($AE1841,Mapping!$E$140:$K$2771,7,0)</f>
        <v>ENDirect</v>
      </c>
      <c r="AL1841" s="7" t="str">
        <f>IFERROR(HLOOKUP(AJ1841,'Calc|Weightings'!$K$5:$M$5,1,0),"Excl")</f>
        <v>Labour</v>
      </c>
      <c r="AM1841" s="7" t="str">
        <f>VLOOKUP(AC1841,Mapping!$E$11:$I$96,5,0)</f>
        <v>SCS</v>
      </c>
      <c r="AO1841" s="7"/>
      <c r="AP1841" s="7"/>
      <c r="AQ1841" s="7"/>
      <c r="AR1841" s="7"/>
      <c r="AS1841" s="7"/>
    </row>
    <row r="1842" spans="1:45" x14ac:dyDescent="0.2">
      <c r="A1842" s="7"/>
      <c r="B1842" s="7"/>
      <c r="C1842" s="7"/>
      <c r="D1842" s="7"/>
      <c r="E1842" s="36">
        <v>161</v>
      </c>
      <c r="F1842" s="36" t="s">
        <v>2171</v>
      </c>
      <c r="G1842" s="36">
        <v>533200</v>
      </c>
      <c r="H1842" s="36" t="s">
        <v>322</v>
      </c>
      <c r="I1842" s="37">
        <v>0.1</v>
      </c>
      <c r="J1842" s="7"/>
      <c r="K1842" s="7" t="str">
        <f>VLOOKUP($E1842,Mapping!$E$11:$I$96,3,0)</f>
        <v>Augmentation</v>
      </c>
      <c r="L1842" s="7" t="str">
        <f>VLOOKUP($G1842,Mapping!$E$140:$K$2771,5,0)</f>
        <v>Contracts</v>
      </c>
      <c r="M1842" s="7" t="str">
        <f>VLOOKUP($G1842,Mapping!$E$140:$K$2771,7,0)</f>
        <v>ENDirect</v>
      </c>
      <c r="N1842" s="7" t="str">
        <f>IFERROR(HLOOKUP(L1842,'Calc|Weightings'!$K$5:$M$5,1,0),"Excl")</f>
        <v>Contracts</v>
      </c>
      <c r="O1842" s="7" t="str">
        <f>VLOOKUP(E1842,Mapping!$E$11:$I$96,5,0)</f>
        <v>SCS</v>
      </c>
      <c r="Q1842" s="7"/>
      <c r="R1842" s="7"/>
      <c r="S1842" s="7"/>
      <c r="T1842" s="7"/>
      <c r="U1842" s="7"/>
      <c r="V1842" s="7"/>
      <c r="AC1842" s="111">
        <v>230</v>
      </c>
      <c r="AD1842" s="111" t="s">
        <v>2187</v>
      </c>
      <c r="AE1842" s="111">
        <v>613440</v>
      </c>
      <c r="AF1842" s="111" t="s">
        <v>2103</v>
      </c>
      <c r="AG1842" s="112">
        <v>7.11E-3</v>
      </c>
      <c r="AI1842" s="7" t="str">
        <f>VLOOKUP($AC1842,Mapping!$E$11:$I$96,3,0)</f>
        <v>Non-network general assets - Other</v>
      </c>
      <c r="AJ1842" s="7" t="str">
        <f>VLOOKUP($AE1842,Mapping!$E$140:$K$2771,5,0)</f>
        <v>Labour</v>
      </c>
      <c r="AK1842" s="7" t="str">
        <f>VLOOKUP($AE1842,Mapping!$E$140:$K$2771,7,0)</f>
        <v>ENDirect</v>
      </c>
      <c r="AL1842" s="7" t="str">
        <f>IFERROR(HLOOKUP(AJ1842,'Calc|Weightings'!$K$5:$M$5,1,0),"Excl")</f>
        <v>Labour</v>
      </c>
      <c r="AM1842" s="7" t="str">
        <f>VLOOKUP(AC1842,Mapping!$E$11:$I$96,5,0)</f>
        <v>SCS</v>
      </c>
      <c r="AO1842" s="7"/>
      <c r="AP1842" s="7"/>
      <c r="AQ1842" s="7"/>
      <c r="AR1842" s="7"/>
      <c r="AS1842" s="7"/>
    </row>
    <row r="1843" spans="1:45" x14ac:dyDescent="0.2">
      <c r="A1843" s="7"/>
      <c r="B1843" s="7"/>
      <c r="C1843" s="7"/>
      <c r="D1843" s="7"/>
      <c r="E1843" s="36">
        <v>161</v>
      </c>
      <c r="F1843" s="36" t="s">
        <v>2171</v>
      </c>
      <c r="G1843" s="36">
        <v>545150</v>
      </c>
      <c r="H1843" s="36" t="s">
        <v>345</v>
      </c>
      <c r="I1843" s="37">
        <v>1.3872500000000001</v>
      </c>
      <c r="J1843" s="7"/>
      <c r="K1843" s="7" t="str">
        <f>VLOOKUP($E1843,Mapping!$E$11:$I$96,3,0)</f>
        <v>Augmentation</v>
      </c>
      <c r="L1843" s="7" t="str">
        <f>VLOOKUP($G1843,Mapping!$E$140:$K$2771,5,0)</f>
        <v>Contracts</v>
      </c>
      <c r="M1843" s="7" t="str">
        <f>VLOOKUP($G1843,Mapping!$E$140:$K$2771,7,0)</f>
        <v>ENDirect</v>
      </c>
      <c r="N1843" s="7" t="str">
        <f>IFERROR(HLOOKUP(L1843,'Calc|Weightings'!$K$5:$M$5,1,0),"Excl")</f>
        <v>Contracts</v>
      </c>
      <c r="O1843" s="7" t="str">
        <f>VLOOKUP(E1843,Mapping!$E$11:$I$96,5,0)</f>
        <v>SCS</v>
      </c>
      <c r="Q1843" s="7"/>
      <c r="R1843" s="7"/>
      <c r="S1843" s="7"/>
      <c r="T1843" s="7"/>
      <c r="U1843" s="7"/>
      <c r="V1843" s="7"/>
      <c r="AC1843" s="111">
        <v>230</v>
      </c>
      <c r="AD1843" s="111" t="s">
        <v>2187</v>
      </c>
      <c r="AE1843" s="111">
        <v>613460</v>
      </c>
      <c r="AF1843" s="111" t="s">
        <v>2167</v>
      </c>
      <c r="AG1843" s="112">
        <v>0.41424</v>
      </c>
      <c r="AI1843" s="7" t="str">
        <f>VLOOKUP($AC1843,Mapping!$E$11:$I$96,3,0)</f>
        <v>Non-network general assets - Other</v>
      </c>
      <c r="AJ1843" s="7" t="str">
        <f>VLOOKUP($AE1843,Mapping!$E$140:$K$2771,5,0)</f>
        <v>Labour</v>
      </c>
      <c r="AK1843" s="7" t="str">
        <f>VLOOKUP($AE1843,Mapping!$E$140:$K$2771,7,0)</f>
        <v>ENDirect</v>
      </c>
      <c r="AL1843" s="7" t="str">
        <f>IFERROR(HLOOKUP(AJ1843,'Calc|Weightings'!$K$5:$M$5,1,0),"Excl")</f>
        <v>Labour</v>
      </c>
      <c r="AM1843" s="7" t="str">
        <f>VLOOKUP(AC1843,Mapping!$E$11:$I$96,5,0)</f>
        <v>SCS</v>
      </c>
      <c r="AO1843" s="7"/>
      <c r="AP1843" s="7"/>
      <c r="AQ1843" s="7"/>
      <c r="AR1843" s="7"/>
      <c r="AS1843" s="7"/>
    </row>
    <row r="1844" spans="1:45" x14ac:dyDescent="0.2">
      <c r="A1844" s="7"/>
      <c r="B1844" s="7"/>
      <c r="C1844" s="7"/>
      <c r="D1844" s="7"/>
      <c r="E1844" s="36">
        <v>161</v>
      </c>
      <c r="F1844" s="36" t="s">
        <v>2171</v>
      </c>
      <c r="G1844" s="36">
        <v>582300</v>
      </c>
      <c r="H1844" s="36" t="s">
        <v>381</v>
      </c>
      <c r="I1844" s="37">
        <v>4.0910000000000002E-2</v>
      </c>
      <c r="J1844" s="7"/>
      <c r="K1844" s="7" t="str">
        <f>VLOOKUP($E1844,Mapping!$E$11:$I$96,3,0)</f>
        <v>Augmentation</v>
      </c>
      <c r="L1844" s="7" t="str">
        <f>VLOOKUP($G1844,Mapping!$E$140:$K$2771,5,0)</f>
        <v>Contracts</v>
      </c>
      <c r="M1844" s="7" t="str">
        <f>VLOOKUP($G1844,Mapping!$E$140:$K$2771,7,0)</f>
        <v>ENDirect</v>
      </c>
      <c r="N1844" s="7" t="str">
        <f>IFERROR(HLOOKUP(L1844,'Calc|Weightings'!$K$5:$M$5,1,0),"Excl")</f>
        <v>Contracts</v>
      </c>
      <c r="O1844" s="7" t="str">
        <f>VLOOKUP(E1844,Mapping!$E$11:$I$96,5,0)</f>
        <v>SCS</v>
      </c>
      <c r="Q1844" s="7"/>
      <c r="R1844" s="7"/>
      <c r="S1844" s="7"/>
      <c r="T1844" s="7"/>
      <c r="U1844" s="7"/>
      <c r="V1844" s="7"/>
      <c r="AC1844" s="111">
        <v>230</v>
      </c>
      <c r="AD1844" s="111" t="s">
        <v>2187</v>
      </c>
      <c r="AE1844" s="111">
        <v>613574</v>
      </c>
      <c r="AF1844" s="111" t="s">
        <v>1488</v>
      </c>
      <c r="AG1844" s="112">
        <v>2.9601999999999999</v>
      </c>
      <c r="AI1844" s="7" t="str">
        <f>VLOOKUP($AC1844,Mapping!$E$11:$I$96,3,0)</f>
        <v>Non-network general assets - Other</v>
      </c>
      <c r="AJ1844" s="7" t="str">
        <f>VLOOKUP($AE1844,Mapping!$E$140:$K$2771,5,0)</f>
        <v>Labour</v>
      </c>
      <c r="AK1844" s="7" t="str">
        <f>VLOOKUP($AE1844,Mapping!$E$140:$K$2771,7,0)</f>
        <v>ENDirect</v>
      </c>
      <c r="AL1844" s="7" t="str">
        <f>IFERROR(HLOOKUP(AJ1844,'Calc|Weightings'!$K$5:$M$5,1,0),"Excl")</f>
        <v>Labour</v>
      </c>
      <c r="AM1844" s="7" t="str">
        <f>VLOOKUP(AC1844,Mapping!$E$11:$I$96,5,0)</f>
        <v>SCS</v>
      </c>
      <c r="AO1844" s="7"/>
      <c r="AP1844" s="7"/>
      <c r="AQ1844" s="7"/>
      <c r="AR1844" s="7"/>
      <c r="AS1844" s="7"/>
    </row>
    <row r="1845" spans="1:45" x14ac:dyDescent="0.2">
      <c r="A1845" s="7"/>
      <c r="B1845" s="7"/>
      <c r="C1845" s="7"/>
      <c r="D1845" s="7"/>
      <c r="E1845" s="36">
        <v>161</v>
      </c>
      <c r="F1845" s="36" t="s">
        <v>2171</v>
      </c>
      <c r="G1845" s="36">
        <v>591997</v>
      </c>
      <c r="H1845" s="36" t="s">
        <v>2194</v>
      </c>
      <c r="I1845" s="37">
        <v>0.39629999999999999</v>
      </c>
      <c r="J1845" s="7"/>
      <c r="K1845" s="7" t="str">
        <f>VLOOKUP($E1845,Mapping!$E$11:$I$96,3,0)</f>
        <v>Augmentation</v>
      </c>
      <c r="L1845" s="7" t="str">
        <f>VLOOKUP($G1845,Mapping!$E$140:$K$2771,5,0)</f>
        <v>Contracts</v>
      </c>
      <c r="M1845" s="7" t="str">
        <f>VLOOKUP($G1845,Mapping!$E$140:$K$2771,7,0)</f>
        <v>ENDirect</v>
      </c>
      <c r="N1845" s="7" t="str">
        <f>IFERROR(HLOOKUP(L1845,'Calc|Weightings'!$K$5:$M$5,1,0),"Excl")</f>
        <v>Contracts</v>
      </c>
      <c r="O1845" s="7" t="str">
        <f>VLOOKUP(E1845,Mapping!$E$11:$I$96,5,0)</f>
        <v>SCS</v>
      </c>
      <c r="Q1845" s="7"/>
      <c r="R1845" s="7"/>
      <c r="S1845" s="7"/>
      <c r="T1845" s="7"/>
      <c r="U1845" s="7"/>
      <c r="V1845" s="7"/>
      <c r="AC1845" s="111">
        <v>230</v>
      </c>
      <c r="AD1845" s="111" t="s">
        <v>2187</v>
      </c>
      <c r="AE1845" s="111">
        <v>613680</v>
      </c>
      <c r="AF1845" s="111" t="s">
        <v>2107</v>
      </c>
      <c r="AG1845" s="112">
        <v>1.4767999999999999</v>
      </c>
      <c r="AI1845" s="7" t="str">
        <f>VLOOKUP($AC1845,Mapping!$E$11:$I$96,3,0)</f>
        <v>Non-network general assets - Other</v>
      </c>
      <c r="AJ1845" s="7" t="str">
        <f>VLOOKUP($AE1845,Mapping!$E$140:$K$2771,5,0)</f>
        <v>Labour</v>
      </c>
      <c r="AK1845" s="7" t="str">
        <f>VLOOKUP($AE1845,Mapping!$E$140:$K$2771,7,0)</f>
        <v>ENDirect</v>
      </c>
      <c r="AL1845" s="7" t="str">
        <f>IFERROR(HLOOKUP(AJ1845,'Calc|Weightings'!$K$5:$M$5,1,0),"Excl")</f>
        <v>Labour</v>
      </c>
      <c r="AM1845" s="7" t="str">
        <f>VLOOKUP(AC1845,Mapping!$E$11:$I$96,5,0)</f>
        <v>SCS</v>
      </c>
      <c r="AO1845" s="7"/>
      <c r="AP1845" s="7"/>
      <c r="AQ1845" s="7"/>
      <c r="AR1845" s="7"/>
      <c r="AS1845" s="7"/>
    </row>
    <row r="1846" spans="1:45" x14ac:dyDescent="0.2">
      <c r="A1846" s="7"/>
      <c r="B1846" s="7"/>
      <c r="C1846" s="7"/>
      <c r="D1846" s="7"/>
      <c r="E1846" s="36">
        <v>161</v>
      </c>
      <c r="F1846" s="36" t="s">
        <v>2171</v>
      </c>
      <c r="G1846" s="36">
        <v>591998</v>
      </c>
      <c r="H1846" s="36" t="s">
        <v>2077</v>
      </c>
      <c r="I1846" s="37">
        <v>1.26844</v>
      </c>
      <c r="J1846" s="7"/>
      <c r="K1846" s="7" t="str">
        <f>VLOOKUP($E1846,Mapping!$E$11:$I$96,3,0)</f>
        <v>Augmentation</v>
      </c>
      <c r="L1846" s="7" t="str">
        <f>VLOOKUP($G1846,Mapping!$E$140:$K$2771,5,0)</f>
        <v>Contracts</v>
      </c>
      <c r="M1846" s="7" t="str">
        <f>VLOOKUP($G1846,Mapping!$E$140:$K$2771,7,0)</f>
        <v>ENDirect</v>
      </c>
      <c r="N1846" s="7" t="str">
        <f>IFERROR(HLOOKUP(L1846,'Calc|Weightings'!$K$5:$M$5,1,0),"Excl")</f>
        <v>Contracts</v>
      </c>
      <c r="O1846" s="7" t="str">
        <f>VLOOKUP(E1846,Mapping!$E$11:$I$96,5,0)</f>
        <v>SCS</v>
      </c>
      <c r="Q1846" s="7"/>
      <c r="R1846" s="7"/>
      <c r="S1846" s="7"/>
      <c r="T1846" s="7"/>
      <c r="U1846" s="7"/>
      <c r="V1846" s="7"/>
      <c r="AC1846" s="111">
        <v>230</v>
      </c>
      <c r="AD1846" s="111" t="s">
        <v>2187</v>
      </c>
      <c r="AE1846" s="111">
        <v>614115</v>
      </c>
      <c r="AF1846" s="111" t="s">
        <v>2109</v>
      </c>
      <c r="AG1846" s="112">
        <v>5.135E-2</v>
      </c>
      <c r="AI1846" s="7" t="str">
        <f>VLOOKUP($AC1846,Mapping!$E$11:$I$96,3,0)</f>
        <v>Non-network general assets - Other</v>
      </c>
      <c r="AJ1846" s="7" t="str">
        <f>VLOOKUP($AE1846,Mapping!$E$140:$K$2771,5,0)</f>
        <v>Labour</v>
      </c>
      <c r="AK1846" s="7" t="str">
        <f>VLOOKUP($AE1846,Mapping!$E$140:$K$2771,7,0)</f>
        <v>ENDirect</v>
      </c>
      <c r="AL1846" s="7" t="str">
        <f>IFERROR(HLOOKUP(AJ1846,'Calc|Weightings'!$K$5:$M$5,1,0),"Excl")</f>
        <v>Labour</v>
      </c>
      <c r="AM1846" s="7" t="str">
        <f>VLOOKUP(AC1846,Mapping!$E$11:$I$96,5,0)</f>
        <v>SCS</v>
      </c>
      <c r="AO1846" s="7"/>
      <c r="AP1846" s="7"/>
      <c r="AQ1846" s="7"/>
      <c r="AR1846" s="7"/>
      <c r="AS1846" s="7"/>
    </row>
    <row r="1847" spans="1:45" x14ac:dyDescent="0.2">
      <c r="A1847" s="7"/>
      <c r="B1847" s="7"/>
      <c r="C1847" s="7"/>
      <c r="D1847" s="7"/>
      <c r="E1847" s="36">
        <v>161</v>
      </c>
      <c r="F1847" s="36" t="s">
        <v>2171</v>
      </c>
      <c r="G1847" s="36">
        <v>591999</v>
      </c>
      <c r="H1847" s="36" t="s">
        <v>2195</v>
      </c>
      <c r="I1847" s="37">
        <v>-3.1859299999999999</v>
      </c>
      <c r="J1847" s="7"/>
      <c r="K1847" s="7" t="str">
        <f>VLOOKUP($E1847,Mapping!$E$11:$I$96,3,0)</f>
        <v>Augmentation</v>
      </c>
      <c r="L1847" s="7" t="str">
        <f>VLOOKUP($G1847,Mapping!$E$140:$K$2771,5,0)</f>
        <v>Contracts</v>
      </c>
      <c r="M1847" s="7" t="str">
        <f>VLOOKUP($G1847,Mapping!$E$140:$K$2771,7,0)</f>
        <v>ENDirect</v>
      </c>
      <c r="N1847" s="7" t="str">
        <f>IFERROR(HLOOKUP(L1847,'Calc|Weightings'!$K$5:$M$5,1,0),"Excl")</f>
        <v>Contracts</v>
      </c>
      <c r="O1847" s="7" t="str">
        <f>VLOOKUP(E1847,Mapping!$E$11:$I$96,5,0)</f>
        <v>SCS</v>
      </c>
      <c r="Q1847" s="7"/>
      <c r="R1847" s="7"/>
      <c r="S1847" s="7"/>
      <c r="T1847" s="7"/>
      <c r="U1847" s="7"/>
      <c r="V1847" s="7"/>
      <c r="AC1847" s="111">
        <v>240</v>
      </c>
      <c r="AD1847" s="111" t="s">
        <v>2190</v>
      </c>
      <c r="AE1847" s="111">
        <v>140180</v>
      </c>
      <c r="AF1847" s="111" t="s">
        <v>48</v>
      </c>
      <c r="AG1847" s="112">
        <v>42.799010000000003</v>
      </c>
      <c r="AI1847" s="7" t="str">
        <f>VLOOKUP($AC1847,Mapping!$E$11:$I$96,3,0)</f>
        <v>Non-network general assets - Other</v>
      </c>
      <c r="AJ1847" s="7" t="str">
        <f>VLOOKUP($AE1847,Mapping!$E$140:$K$2771,5,0)</f>
        <v>Materials</v>
      </c>
      <c r="AK1847" s="7" t="str">
        <f>VLOOKUP($AE1847,Mapping!$E$140:$K$2771,7,0)</f>
        <v>ENDirect</v>
      </c>
      <c r="AL1847" s="7" t="str">
        <f>IFERROR(HLOOKUP(AJ1847,'Calc|Weightings'!$K$5:$M$5,1,0),"Excl")</f>
        <v>Materials</v>
      </c>
      <c r="AM1847" s="7" t="str">
        <f>VLOOKUP(AC1847,Mapping!$E$11:$I$96,5,0)</f>
        <v>SCS</v>
      </c>
      <c r="AO1847" s="7"/>
      <c r="AP1847" s="7"/>
      <c r="AQ1847" s="7"/>
      <c r="AR1847" s="7"/>
      <c r="AS1847" s="7"/>
    </row>
    <row r="1848" spans="1:45" x14ac:dyDescent="0.2">
      <c r="A1848" s="7"/>
      <c r="B1848" s="7"/>
      <c r="C1848" s="7"/>
      <c r="D1848" s="7"/>
      <c r="E1848" s="36">
        <v>161</v>
      </c>
      <c r="F1848" s="36" t="s">
        <v>2171</v>
      </c>
      <c r="G1848" s="36">
        <v>611900</v>
      </c>
      <c r="H1848" s="36" t="s">
        <v>2079</v>
      </c>
      <c r="I1848" s="37">
        <v>5.4796300000000002</v>
      </c>
      <c r="J1848" s="7"/>
      <c r="K1848" s="7" t="str">
        <f>VLOOKUP($E1848,Mapping!$E$11:$I$96,3,0)</f>
        <v>Augmentation</v>
      </c>
      <c r="L1848" s="7" t="str">
        <f>VLOOKUP($G1848,Mapping!$E$140:$K$2771,5,0)</f>
        <v>Contracts</v>
      </c>
      <c r="M1848" s="7" t="str">
        <f>VLOOKUP($G1848,Mapping!$E$140:$K$2771,7,0)</f>
        <v>ENDirect</v>
      </c>
      <c r="N1848" s="7" t="str">
        <f>IFERROR(HLOOKUP(L1848,'Calc|Weightings'!$K$5:$M$5,1,0),"Excl")</f>
        <v>Contracts</v>
      </c>
      <c r="O1848" s="7" t="str">
        <f>VLOOKUP(E1848,Mapping!$E$11:$I$96,5,0)</f>
        <v>SCS</v>
      </c>
      <c r="Q1848" s="7"/>
      <c r="R1848" s="7"/>
      <c r="S1848" s="7"/>
      <c r="T1848" s="7"/>
      <c r="U1848" s="7"/>
      <c r="V1848" s="7"/>
      <c r="AC1848" s="111">
        <v>139</v>
      </c>
      <c r="AD1848" s="111" t="s">
        <v>2148</v>
      </c>
      <c r="AE1848" s="111">
        <v>531464</v>
      </c>
      <c r="AF1848" s="111" t="s">
        <v>256</v>
      </c>
      <c r="AG1848" s="112">
        <v>-2375.8502201834858</v>
      </c>
      <c r="AI1848" s="7" t="str">
        <f>VLOOKUP($AC1848,Mapping!$E$11:$I$96,3,0)</f>
        <v>Replacement</v>
      </c>
      <c r="AJ1848" s="7" t="str">
        <f>VLOOKUP($AE1848,Mapping!$E$140:$K$2771,5,0)</f>
        <v>Contracts</v>
      </c>
      <c r="AK1848" s="7" t="str">
        <f>VLOOKUP($AE1848,Mapping!$E$140:$K$2771,7,0)</f>
        <v>ENDirect</v>
      </c>
      <c r="AL1848" s="7" t="str">
        <f>IFERROR(HLOOKUP(AJ1848,'Calc|Weightings'!$K$5:$M$5,1,0),"Excl")</f>
        <v>Contracts</v>
      </c>
      <c r="AM1848" s="7" t="str">
        <f>VLOOKUP(AC1848,Mapping!$E$11:$I$96,5,0)</f>
        <v>SCS</v>
      </c>
      <c r="AO1848" s="7"/>
      <c r="AP1848" s="7"/>
      <c r="AQ1848" s="7"/>
      <c r="AR1848" s="7"/>
      <c r="AS1848" s="7"/>
    </row>
    <row r="1849" spans="1:45" x14ac:dyDescent="0.2">
      <c r="A1849" s="7"/>
      <c r="B1849" s="7"/>
      <c r="C1849" s="7"/>
      <c r="D1849" s="7"/>
      <c r="E1849" s="36">
        <v>161</v>
      </c>
      <c r="F1849" s="36" t="s">
        <v>2171</v>
      </c>
      <c r="G1849" s="36">
        <v>611901</v>
      </c>
      <c r="H1849" s="36" t="s">
        <v>2080</v>
      </c>
      <c r="I1849" s="37">
        <v>21.279920000000001</v>
      </c>
      <c r="J1849" s="7"/>
      <c r="K1849" s="7" t="str">
        <f>VLOOKUP($E1849,Mapping!$E$11:$I$96,3,0)</f>
        <v>Augmentation</v>
      </c>
      <c r="L1849" s="7" t="str">
        <f>VLOOKUP($G1849,Mapping!$E$140:$K$2771,5,0)</f>
        <v>Contracts</v>
      </c>
      <c r="M1849" s="7" t="str">
        <f>VLOOKUP($G1849,Mapping!$E$140:$K$2771,7,0)</f>
        <v>ENDirect</v>
      </c>
      <c r="N1849" s="7" t="str">
        <f>IFERROR(HLOOKUP(L1849,'Calc|Weightings'!$K$5:$M$5,1,0),"Excl")</f>
        <v>Contracts</v>
      </c>
      <c r="O1849" s="7" t="str">
        <f>VLOOKUP(E1849,Mapping!$E$11:$I$96,5,0)</f>
        <v>SCS</v>
      </c>
      <c r="Q1849" s="7"/>
      <c r="R1849" s="7"/>
      <c r="S1849" s="7"/>
      <c r="T1849" s="7"/>
      <c r="U1849" s="7"/>
      <c r="V1849" s="7"/>
      <c r="AC1849" s="7"/>
      <c r="AD1849" s="7"/>
      <c r="AE1849" s="7"/>
      <c r="AF1849" s="7"/>
      <c r="AG1849" s="7"/>
      <c r="AO1849" s="7"/>
      <c r="AP1849" s="7"/>
      <c r="AQ1849" s="7"/>
      <c r="AR1849" s="7"/>
      <c r="AS1849" s="7"/>
    </row>
    <row r="1850" spans="1:45" x14ac:dyDescent="0.2">
      <c r="A1850" s="7"/>
      <c r="B1850" s="7"/>
      <c r="C1850" s="7"/>
      <c r="D1850" s="7"/>
      <c r="E1850" s="36">
        <v>161</v>
      </c>
      <c r="F1850" s="36" t="s">
        <v>2171</v>
      </c>
      <c r="G1850" s="36">
        <v>611902</v>
      </c>
      <c r="H1850" s="36" t="s">
        <v>2081</v>
      </c>
      <c r="I1850" s="37">
        <v>4.7927600000000004</v>
      </c>
      <c r="J1850" s="7"/>
      <c r="K1850" s="7" t="str">
        <f>VLOOKUP($E1850,Mapping!$E$11:$I$96,3,0)</f>
        <v>Augmentation</v>
      </c>
      <c r="L1850" s="7" t="str">
        <f>VLOOKUP($G1850,Mapping!$E$140:$K$2771,5,0)</f>
        <v>Contracts</v>
      </c>
      <c r="M1850" s="7" t="str">
        <f>VLOOKUP($G1850,Mapping!$E$140:$K$2771,7,0)</f>
        <v>ENDirect</v>
      </c>
      <c r="N1850" s="7" t="str">
        <f>IFERROR(HLOOKUP(L1850,'Calc|Weightings'!$K$5:$M$5,1,0),"Excl")</f>
        <v>Contracts</v>
      </c>
      <c r="O1850" s="7" t="str">
        <f>VLOOKUP(E1850,Mapping!$E$11:$I$96,5,0)</f>
        <v>SCS</v>
      </c>
      <c r="Q1850" s="7"/>
      <c r="R1850" s="7"/>
      <c r="S1850" s="7"/>
      <c r="T1850" s="7"/>
      <c r="U1850" s="7"/>
      <c r="V1850" s="7"/>
      <c r="AC1850" s="7"/>
      <c r="AD1850" s="7"/>
      <c r="AE1850" s="7"/>
      <c r="AF1850" s="7"/>
      <c r="AG1850" s="7"/>
      <c r="AO1850" s="7"/>
      <c r="AP1850" s="7"/>
      <c r="AQ1850" s="7"/>
      <c r="AR1850" s="7"/>
      <c r="AS1850" s="7"/>
    </row>
    <row r="1851" spans="1:45" x14ac:dyDescent="0.2">
      <c r="A1851" s="7"/>
      <c r="B1851" s="7"/>
      <c r="C1851" s="7"/>
      <c r="D1851" s="7"/>
      <c r="E1851" s="36">
        <v>161</v>
      </c>
      <c r="F1851" s="36" t="s">
        <v>2171</v>
      </c>
      <c r="G1851" s="36">
        <v>612210</v>
      </c>
      <c r="H1851" s="36" t="s">
        <v>1184</v>
      </c>
      <c r="I1851" s="37">
        <v>17.81185</v>
      </c>
      <c r="J1851" s="7"/>
      <c r="K1851" s="7" t="str">
        <f>VLOOKUP($E1851,Mapping!$E$11:$I$96,3,0)</f>
        <v>Augmentation</v>
      </c>
      <c r="L1851" s="7" t="str">
        <f>VLOOKUP($G1851,Mapping!$E$140:$K$2771,5,0)</f>
        <v>Labour</v>
      </c>
      <c r="M1851" s="7" t="str">
        <f>VLOOKUP($G1851,Mapping!$E$140:$K$2771,7,0)</f>
        <v>ENDirect</v>
      </c>
      <c r="N1851" s="7" t="str">
        <f>IFERROR(HLOOKUP(L1851,'Calc|Weightings'!$K$5:$M$5,1,0),"Excl")</f>
        <v>Labour</v>
      </c>
      <c r="O1851" s="7" t="str">
        <f>VLOOKUP(E1851,Mapping!$E$11:$I$96,5,0)</f>
        <v>SCS</v>
      </c>
      <c r="Q1851" s="7"/>
      <c r="R1851" s="7"/>
      <c r="S1851" s="7"/>
      <c r="T1851" s="7"/>
      <c r="U1851" s="7"/>
      <c r="V1851" s="7"/>
      <c r="AC1851" s="7"/>
      <c r="AD1851" s="7"/>
      <c r="AE1851" s="7"/>
      <c r="AF1851" s="7"/>
      <c r="AG1851" s="7"/>
      <c r="AO1851" s="7"/>
      <c r="AP1851" s="7"/>
      <c r="AQ1851" s="7"/>
      <c r="AR1851" s="7"/>
      <c r="AS1851" s="7"/>
    </row>
    <row r="1852" spans="1:45" x14ac:dyDescent="0.2">
      <c r="A1852" s="7"/>
      <c r="B1852" s="7"/>
      <c r="C1852" s="7"/>
      <c r="D1852" s="7"/>
      <c r="E1852" s="36">
        <v>161</v>
      </c>
      <c r="F1852" s="36" t="s">
        <v>2171</v>
      </c>
      <c r="G1852" s="36">
        <v>612215</v>
      </c>
      <c r="H1852" s="36" t="s">
        <v>1189</v>
      </c>
      <c r="I1852" s="37">
        <v>-19.33615</v>
      </c>
      <c r="J1852" s="7"/>
      <c r="K1852" s="7" t="str">
        <f>VLOOKUP($E1852,Mapping!$E$11:$I$96,3,0)</f>
        <v>Augmentation</v>
      </c>
      <c r="L1852" s="7" t="str">
        <f>VLOOKUP($G1852,Mapping!$E$140:$K$2771,5,0)</f>
        <v>Labour</v>
      </c>
      <c r="M1852" s="7" t="str">
        <f>VLOOKUP($G1852,Mapping!$E$140:$K$2771,7,0)</f>
        <v>ENDirect</v>
      </c>
      <c r="N1852" s="7" t="str">
        <f>IFERROR(HLOOKUP(L1852,'Calc|Weightings'!$K$5:$M$5,1,0),"Excl")</f>
        <v>Labour</v>
      </c>
      <c r="O1852" s="7" t="str">
        <f>VLOOKUP(E1852,Mapping!$E$11:$I$96,5,0)</f>
        <v>SCS</v>
      </c>
      <c r="Q1852" s="7"/>
      <c r="R1852" s="7"/>
      <c r="S1852" s="7"/>
      <c r="T1852" s="7"/>
      <c r="U1852" s="7"/>
      <c r="V1852" s="7"/>
      <c r="AC1852" s="7"/>
      <c r="AD1852" s="7"/>
      <c r="AE1852" s="7"/>
      <c r="AF1852" s="7"/>
      <c r="AG1852" s="7"/>
      <c r="AO1852" s="7"/>
      <c r="AP1852" s="7"/>
      <c r="AQ1852" s="7"/>
      <c r="AR1852" s="7"/>
      <c r="AS1852" s="7"/>
    </row>
    <row r="1853" spans="1:45" x14ac:dyDescent="0.2">
      <c r="A1853" s="7"/>
      <c r="B1853" s="7"/>
      <c r="C1853" s="7"/>
      <c r="D1853" s="7"/>
      <c r="E1853" s="36">
        <v>161</v>
      </c>
      <c r="F1853" s="36" t="s">
        <v>2171</v>
      </c>
      <c r="G1853" s="36">
        <v>612460</v>
      </c>
      <c r="H1853" s="36" t="s">
        <v>1243</v>
      </c>
      <c r="I1853" s="37">
        <v>3.17238</v>
      </c>
      <c r="J1853" s="7"/>
      <c r="K1853" s="7" t="str">
        <f>VLOOKUP($E1853,Mapping!$E$11:$I$96,3,0)</f>
        <v>Augmentation</v>
      </c>
      <c r="L1853" s="7" t="str">
        <f>VLOOKUP($G1853,Mapping!$E$140:$K$2771,5,0)</f>
        <v>Labour</v>
      </c>
      <c r="M1853" s="7" t="str">
        <f>VLOOKUP($G1853,Mapping!$E$140:$K$2771,7,0)</f>
        <v>ENDirect</v>
      </c>
      <c r="N1853" s="7" t="str">
        <f>IFERROR(HLOOKUP(L1853,'Calc|Weightings'!$K$5:$M$5,1,0),"Excl")</f>
        <v>Labour</v>
      </c>
      <c r="O1853" s="7" t="str">
        <f>VLOOKUP(E1853,Mapping!$E$11:$I$96,5,0)</f>
        <v>SCS</v>
      </c>
      <c r="Q1853" s="7"/>
      <c r="R1853" s="7"/>
      <c r="S1853" s="7"/>
      <c r="T1853" s="7"/>
      <c r="U1853" s="7"/>
      <c r="V1853" s="7"/>
      <c r="AC1853" s="7"/>
      <c r="AD1853" s="7"/>
      <c r="AE1853" s="7"/>
      <c r="AF1853" s="7"/>
      <c r="AG1853" s="7"/>
      <c r="AO1853" s="7"/>
      <c r="AP1853" s="7"/>
      <c r="AQ1853" s="7"/>
      <c r="AR1853" s="7"/>
      <c r="AS1853" s="7"/>
    </row>
    <row r="1854" spans="1:45" x14ac:dyDescent="0.2">
      <c r="A1854" s="7"/>
      <c r="B1854" s="7"/>
      <c r="C1854" s="7"/>
      <c r="D1854" s="7"/>
      <c r="E1854" s="36">
        <v>161</v>
      </c>
      <c r="F1854" s="36" t="s">
        <v>2171</v>
      </c>
      <c r="G1854" s="36">
        <v>613260</v>
      </c>
      <c r="H1854" s="36" t="s">
        <v>2090</v>
      </c>
      <c r="I1854" s="37">
        <v>23.360489999999999</v>
      </c>
      <c r="J1854" s="7"/>
      <c r="K1854" s="7" t="str">
        <f>VLOOKUP($E1854,Mapping!$E$11:$I$96,3,0)</f>
        <v>Augmentation</v>
      </c>
      <c r="L1854" s="7" t="str">
        <f>VLOOKUP($G1854,Mapping!$E$140:$K$2771,5,0)</f>
        <v>Labour</v>
      </c>
      <c r="M1854" s="7" t="str">
        <f>VLOOKUP($G1854,Mapping!$E$140:$K$2771,7,0)</f>
        <v>ENDirect</v>
      </c>
      <c r="N1854" s="7" t="str">
        <f>IFERROR(HLOOKUP(L1854,'Calc|Weightings'!$K$5:$M$5,1,0),"Excl")</f>
        <v>Labour</v>
      </c>
      <c r="O1854" s="7" t="str">
        <f>VLOOKUP(E1854,Mapping!$E$11:$I$96,5,0)</f>
        <v>SCS</v>
      </c>
      <c r="Q1854" s="7"/>
      <c r="R1854" s="7"/>
      <c r="S1854" s="7"/>
      <c r="T1854" s="7"/>
      <c r="U1854" s="7"/>
      <c r="V1854" s="7"/>
      <c r="AC1854" s="7"/>
      <c r="AD1854" s="7"/>
      <c r="AE1854" s="7"/>
      <c r="AF1854" s="7"/>
      <c r="AG1854" s="7"/>
      <c r="AO1854" s="7"/>
      <c r="AP1854" s="7"/>
      <c r="AQ1854" s="7"/>
      <c r="AR1854" s="7"/>
      <c r="AS1854" s="7"/>
    </row>
    <row r="1855" spans="1:45" x14ac:dyDescent="0.2">
      <c r="A1855" s="7"/>
      <c r="B1855" s="7"/>
      <c r="C1855" s="7"/>
      <c r="D1855" s="7"/>
      <c r="E1855" s="36">
        <v>161</v>
      </c>
      <c r="F1855" s="36" t="s">
        <v>2171</v>
      </c>
      <c r="G1855" s="36">
        <v>613261</v>
      </c>
      <c r="H1855" s="36" t="s">
        <v>2091</v>
      </c>
      <c r="I1855" s="37">
        <v>31.63364</v>
      </c>
      <c r="J1855" s="7"/>
      <c r="K1855" s="7" t="str">
        <f>VLOOKUP($E1855,Mapping!$E$11:$I$96,3,0)</f>
        <v>Augmentation</v>
      </c>
      <c r="L1855" s="7" t="str">
        <f>VLOOKUP($G1855,Mapping!$E$140:$K$2771,5,0)</f>
        <v>Labour</v>
      </c>
      <c r="M1855" s="7" t="str">
        <f>VLOOKUP($G1855,Mapping!$E$140:$K$2771,7,0)</f>
        <v>ENDirect</v>
      </c>
      <c r="N1855" s="7" t="str">
        <f>IFERROR(HLOOKUP(L1855,'Calc|Weightings'!$K$5:$M$5,1,0),"Excl")</f>
        <v>Labour</v>
      </c>
      <c r="O1855" s="7" t="str">
        <f>VLOOKUP(E1855,Mapping!$E$11:$I$96,5,0)</f>
        <v>SCS</v>
      </c>
      <c r="Q1855" s="7"/>
      <c r="R1855" s="7"/>
      <c r="S1855" s="7"/>
      <c r="T1855" s="7"/>
      <c r="U1855" s="7"/>
      <c r="V1855" s="7"/>
      <c r="AC1855" s="7"/>
      <c r="AD1855" s="7"/>
      <c r="AE1855" s="7"/>
      <c r="AF1855" s="7"/>
      <c r="AG1855" s="7"/>
      <c r="AO1855" s="7"/>
      <c r="AP1855" s="7"/>
      <c r="AQ1855" s="7"/>
      <c r="AR1855" s="7"/>
      <c r="AS1855" s="7"/>
    </row>
    <row r="1856" spans="1:45" x14ac:dyDescent="0.2">
      <c r="A1856" s="7"/>
      <c r="B1856" s="7"/>
      <c r="C1856" s="7"/>
      <c r="D1856" s="7"/>
      <c r="E1856" s="36">
        <v>161</v>
      </c>
      <c r="F1856" s="36" t="s">
        <v>2171</v>
      </c>
      <c r="G1856" s="36">
        <v>613268</v>
      </c>
      <c r="H1856" s="36" t="s">
        <v>1335</v>
      </c>
      <c r="I1856" s="37">
        <v>-3.7410100000000002</v>
      </c>
      <c r="J1856" s="7"/>
      <c r="K1856" s="7" t="str">
        <f>VLOOKUP($E1856,Mapping!$E$11:$I$96,3,0)</f>
        <v>Augmentation</v>
      </c>
      <c r="L1856" s="7" t="str">
        <f>VLOOKUP($G1856,Mapping!$E$140:$K$2771,5,0)</f>
        <v>Labour</v>
      </c>
      <c r="M1856" s="7" t="str">
        <f>VLOOKUP($G1856,Mapping!$E$140:$K$2771,7,0)</f>
        <v>ENDirect</v>
      </c>
      <c r="N1856" s="7" t="str">
        <f>IFERROR(HLOOKUP(L1856,'Calc|Weightings'!$K$5:$M$5,1,0),"Excl")</f>
        <v>Labour</v>
      </c>
      <c r="O1856" s="7" t="str">
        <f>VLOOKUP(E1856,Mapping!$E$11:$I$96,5,0)</f>
        <v>SCS</v>
      </c>
      <c r="Q1856" s="7"/>
      <c r="R1856" s="7"/>
      <c r="S1856" s="7"/>
      <c r="T1856" s="7"/>
      <c r="U1856" s="7"/>
      <c r="V1856" s="7"/>
      <c r="AC1856" s="7"/>
      <c r="AD1856" s="7"/>
      <c r="AE1856" s="7"/>
      <c r="AF1856" s="7"/>
      <c r="AG1856" s="7"/>
      <c r="AO1856" s="7"/>
      <c r="AP1856" s="7"/>
      <c r="AQ1856" s="7"/>
      <c r="AR1856" s="7"/>
      <c r="AS1856" s="7"/>
    </row>
    <row r="1857" spans="1:45" x14ac:dyDescent="0.2">
      <c r="A1857" s="7"/>
      <c r="B1857" s="7"/>
      <c r="C1857" s="7"/>
      <c r="D1857" s="7"/>
      <c r="E1857" s="36">
        <v>161</v>
      </c>
      <c r="F1857" s="36" t="s">
        <v>2171</v>
      </c>
      <c r="G1857" s="36">
        <v>613269</v>
      </c>
      <c r="H1857" s="36" t="s">
        <v>1336</v>
      </c>
      <c r="I1857" s="37">
        <v>0.40775</v>
      </c>
      <c r="J1857" s="7"/>
      <c r="K1857" s="7" t="str">
        <f>VLOOKUP($E1857,Mapping!$E$11:$I$96,3,0)</f>
        <v>Augmentation</v>
      </c>
      <c r="L1857" s="7" t="str">
        <f>VLOOKUP($G1857,Mapping!$E$140:$K$2771,5,0)</f>
        <v>Labour</v>
      </c>
      <c r="M1857" s="7" t="str">
        <f>VLOOKUP($G1857,Mapping!$E$140:$K$2771,7,0)</f>
        <v>ENDirect</v>
      </c>
      <c r="N1857" s="7" t="str">
        <f>IFERROR(HLOOKUP(L1857,'Calc|Weightings'!$K$5:$M$5,1,0),"Excl")</f>
        <v>Labour</v>
      </c>
      <c r="O1857" s="7" t="str">
        <f>VLOOKUP(E1857,Mapping!$E$11:$I$96,5,0)</f>
        <v>SCS</v>
      </c>
      <c r="Q1857" s="7"/>
      <c r="R1857" s="7"/>
      <c r="S1857" s="7"/>
      <c r="T1857" s="7"/>
      <c r="U1857" s="7"/>
      <c r="V1857" s="7"/>
      <c r="AC1857" s="7"/>
      <c r="AD1857" s="7"/>
      <c r="AE1857" s="7"/>
      <c r="AF1857" s="7"/>
      <c r="AG1857" s="7"/>
      <c r="AO1857" s="7"/>
      <c r="AP1857" s="7"/>
      <c r="AQ1857" s="7"/>
      <c r="AR1857" s="7"/>
      <c r="AS1857" s="7"/>
    </row>
    <row r="1858" spans="1:45" x14ac:dyDescent="0.2">
      <c r="A1858" s="7"/>
      <c r="B1858" s="7"/>
      <c r="C1858" s="7"/>
      <c r="D1858" s="7"/>
      <c r="E1858" s="36">
        <v>161</v>
      </c>
      <c r="F1858" s="36" t="s">
        <v>2171</v>
      </c>
      <c r="G1858" s="36">
        <v>613270</v>
      </c>
      <c r="H1858" s="36" t="s">
        <v>2092</v>
      </c>
      <c r="I1858" s="37">
        <v>153.18421000000001</v>
      </c>
      <c r="J1858" s="7"/>
      <c r="K1858" s="7" t="str">
        <f>VLOOKUP($E1858,Mapping!$E$11:$I$96,3,0)</f>
        <v>Augmentation</v>
      </c>
      <c r="L1858" s="7" t="str">
        <f>VLOOKUP($G1858,Mapping!$E$140:$K$2771,5,0)</f>
        <v>Labour</v>
      </c>
      <c r="M1858" s="7" t="str">
        <f>VLOOKUP($G1858,Mapping!$E$140:$K$2771,7,0)</f>
        <v>ENDirect</v>
      </c>
      <c r="N1858" s="7" t="str">
        <f>IFERROR(HLOOKUP(L1858,'Calc|Weightings'!$K$5:$M$5,1,0),"Excl")</f>
        <v>Labour</v>
      </c>
      <c r="O1858" s="7" t="str">
        <f>VLOOKUP(E1858,Mapping!$E$11:$I$96,5,0)</f>
        <v>SCS</v>
      </c>
      <c r="Q1858" s="7"/>
      <c r="R1858" s="7"/>
      <c r="S1858" s="7"/>
      <c r="T1858" s="7"/>
      <c r="U1858" s="7"/>
      <c r="V1858" s="7"/>
      <c r="AC1858" s="7"/>
      <c r="AD1858" s="7"/>
      <c r="AE1858" s="7"/>
      <c r="AF1858" s="7"/>
      <c r="AG1858" s="7"/>
      <c r="AO1858" s="7"/>
      <c r="AP1858" s="7"/>
      <c r="AQ1858" s="7"/>
      <c r="AR1858" s="7"/>
      <c r="AS1858" s="7"/>
    </row>
    <row r="1859" spans="1:45" x14ac:dyDescent="0.2">
      <c r="A1859" s="7"/>
      <c r="B1859" s="7"/>
      <c r="C1859" s="7"/>
      <c r="D1859" s="7"/>
      <c r="E1859" s="36">
        <v>161</v>
      </c>
      <c r="F1859" s="36" t="s">
        <v>2171</v>
      </c>
      <c r="G1859" s="36">
        <v>613271</v>
      </c>
      <c r="H1859" s="36" t="s">
        <v>2150</v>
      </c>
      <c r="I1859" s="37">
        <v>34.368160000000003</v>
      </c>
      <c r="J1859" s="7"/>
      <c r="K1859" s="7" t="str">
        <f>VLOOKUP($E1859,Mapping!$E$11:$I$96,3,0)</f>
        <v>Augmentation</v>
      </c>
      <c r="L1859" s="7" t="str">
        <f>VLOOKUP($G1859,Mapping!$E$140:$K$2771,5,0)</f>
        <v>Labour</v>
      </c>
      <c r="M1859" s="7" t="str">
        <f>VLOOKUP($G1859,Mapping!$E$140:$K$2771,7,0)</f>
        <v>ENDirect</v>
      </c>
      <c r="N1859" s="7" t="str">
        <f>IFERROR(HLOOKUP(L1859,'Calc|Weightings'!$K$5:$M$5,1,0),"Excl")</f>
        <v>Labour</v>
      </c>
      <c r="O1859" s="7" t="str">
        <f>VLOOKUP(E1859,Mapping!$E$11:$I$96,5,0)</f>
        <v>SCS</v>
      </c>
      <c r="Q1859" s="7"/>
      <c r="R1859" s="7"/>
      <c r="S1859" s="7"/>
      <c r="T1859" s="7"/>
      <c r="U1859" s="7"/>
      <c r="V1859" s="7"/>
      <c r="AC1859" s="7"/>
      <c r="AD1859" s="7"/>
      <c r="AE1859" s="7"/>
      <c r="AF1859" s="7"/>
      <c r="AG1859" s="7"/>
      <c r="AO1859" s="7"/>
      <c r="AP1859" s="7"/>
      <c r="AQ1859" s="7"/>
      <c r="AR1859" s="7"/>
      <c r="AS1859" s="7"/>
    </row>
    <row r="1860" spans="1:45" x14ac:dyDescent="0.2">
      <c r="A1860" s="7"/>
      <c r="B1860" s="7"/>
      <c r="C1860" s="7"/>
      <c r="D1860" s="7"/>
      <c r="E1860" s="36">
        <v>161</v>
      </c>
      <c r="F1860" s="36" t="s">
        <v>2171</v>
      </c>
      <c r="G1860" s="36">
        <v>613280</v>
      </c>
      <c r="H1860" s="36" t="s">
        <v>1342</v>
      </c>
      <c r="I1860" s="37">
        <v>199.55574999999999</v>
      </c>
      <c r="J1860" s="7"/>
      <c r="K1860" s="7" t="str">
        <f>VLOOKUP($E1860,Mapping!$E$11:$I$96,3,0)</f>
        <v>Augmentation</v>
      </c>
      <c r="L1860" s="7" t="str">
        <f>VLOOKUP($G1860,Mapping!$E$140:$K$2771,5,0)</f>
        <v>Labour</v>
      </c>
      <c r="M1860" s="7" t="str">
        <f>VLOOKUP($G1860,Mapping!$E$140:$K$2771,7,0)</f>
        <v>ENDirect</v>
      </c>
      <c r="N1860" s="7" t="str">
        <f>IFERROR(HLOOKUP(L1860,'Calc|Weightings'!$K$5:$M$5,1,0),"Excl")</f>
        <v>Labour</v>
      </c>
      <c r="O1860" s="7" t="str">
        <f>VLOOKUP(E1860,Mapping!$E$11:$I$96,5,0)</f>
        <v>SCS</v>
      </c>
      <c r="Q1860" s="7"/>
      <c r="R1860" s="7"/>
      <c r="S1860" s="7"/>
      <c r="T1860" s="7"/>
      <c r="U1860" s="7"/>
      <c r="V1860" s="7"/>
      <c r="AC1860" s="7"/>
      <c r="AD1860" s="7"/>
      <c r="AE1860" s="7"/>
      <c r="AF1860" s="7"/>
      <c r="AG1860" s="7"/>
      <c r="AO1860" s="7"/>
      <c r="AP1860" s="7"/>
      <c r="AQ1860" s="7"/>
      <c r="AR1860" s="7"/>
      <c r="AS1860" s="7"/>
    </row>
    <row r="1861" spans="1:45" x14ac:dyDescent="0.2">
      <c r="A1861" s="7"/>
      <c r="B1861" s="7"/>
      <c r="C1861" s="7"/>
      <c r="D1861" s="7"/>
      <c r="E1861" s="36">
        <v>161</v>
      </c>
      <c r="F1861" s="36" t="s">
        <v>2171</v>
      </c>
      <c r="G1861" s="36">
        <v>613281</v>
      </c>
      <c r="H1861" s="36" t="s">
        <v>1343</v>
      </c>
      <c r="I1861" s="37">
        <v>0.45279999999999998</v>
      </c>
      <c r="J1861" s="7"/>
      <c r="K1861" s="7" t="str">
        <f>VLOOKUP($E1861,Mapping!$E$11:$I$96,3,0)</f>
        <v>Augmentation</v>
      </c>
      <c r="L1861" s="7" t="str">
        <f>VLOOKUP($G1861,Mapping!$E$140:$K$2771,5,0)</f>
        <v>Labour</v>
      </c>
      <c r="M1861" s="7" t="str">
        <f>VLOOKUP($G1861,Mapping!$E$140:$K$2771,7,0)</f>
        <v>ENDirect</v>
      </c>
      <c r="N1861" s="7" t="str">
        <f>IFERROR(HLOOKUP(L1861,'Calc|Weightings'!$K$5:$M$5,1,0),"Excl")</f>
        <v>Labour</v>
      </c>
      <c r="O1861" s="7" t="str">
        <f>VLOOKUP(E1861,Mapping!$E$11:$I$96,5,0)</f>
        <v>SCS</v>
      </c>
      <c r="Q1861" s="7"/>
      <c r="R1861" s="7"/>
      <c r="S1861" s="7"/>
      <c r="T1861" s="7"/>
      <c r="U1861" s="7"/>
      <c r="V1861" s="7"/>
      <c r="AC1861" s="7"/>
      <c r="AD1861" s="7"/>
      <c r="AE1861" s="7"/>
      <c r="AF1861" s="7"/>
      <c r="AG1861" s="7"/>
      <c r="AO1861" s="7"/>
      <c r="AP1861" s="7"/>
      <c r="AQ1861" s="7"/>
      <c r="AR1861" s="7"/>
      <c r="AS1861" s="7"/>
    </row>
    <row r="1862" spans="1:45" x14ac:dyDescent="0.2">
      <c r="A1862" s="7"/>
      <c r="B1862" s="7"/>
      <c r="C1862" s="7"/>
      <c r="D1862" s="7"/>
      <c r="E1862" s="36">
        <v>161</v>
      </c>
      <c r="F1862" s="36" t="s">
        <v>2171</v>
      </c>
      <c r="G1862" s="36">
        <v>613290</v>
      </c>
      <c r="H1862" s="36" t="s">
        <v>2093</v>
      </c>
      <c r="I1862" s="37">
        <v>242.47190000000001</v>
      </c>
      <c r="J1862" s="7"/>
      <c r="K1862" s="7" t="str">
        <f>VLOOKUP($E1862,Mapping!$E$11:$I$96,3,0)</f>
        <v>Augmentation</v>
      </c>
      <c r="L1862" s="7" t="str">
        <f>VLOOKUP($G1862,Mapping!$E$140:$K$2771,5,0)</f>
        <v>Labour</v>
      </c>
      <c r="M1862" s="7" t="str">
        <f>VLOOKUP($G1862,Mapping!$E$140:$K$2771,7,0)</f>
        <v>ENDirect</v>
      </c>
      <c r="N1862" s="7" t="str">
        <f>IFERROR(HLOOKUP(L1862,'Calc|Weightings'!$K$5:$M$5,1,0),"Excl")</f>
        <v>Labour</v>
      </c>
      <c r="O1862" s="7" t="str">
        <f>VLOOKUP(E1862,Mapping!$E$11:$I$96,5,0)</f>
        <v>SCS</v>
      </c>
      <c r="Q1862" s="7"/>
      <c r="R1862" s="7"/>
      <c r="S1862" s="7"/>
      <c r="T1862" s="7"/>
      <c r="U1862" s="7"/>
      <c r="V1862" s="7"/>
      <c r="AC1862" s="7"/>
      <c r="AD1862" s="7"/>
      <c r="AE1862" s="7"/>
      <c r="AF1862" s="7"/>
      <c r="AG1862" s="7"/>
      <c r="AO1862" s="7"/>
      <c r="AP1862" s="7"/>
      <c r="AQ1862" s="7"/>
      <c r="AR1862" s="7"/>
      <c r="AS1862" s="7"/>
    </row>
    <row r="1863" spans="1:45" x14ac:dyDescent="0.2">
      <c r="A1863" s="7"/>
      <c r="B1863" s="7"/>
      <c r="C1863" s="7"/>
      <c r="D1863" s="7"/>
      <c r="E1863" s="36">
        <v>161</v>
      </c>
      <c r="F1863" s="36" t="s">
        <v>2171</v>
      </c>
      <c r="G1863" s="36">
        <v>613298</v>
      </c>
      <c r="H1863" s="36" t="s">
        <v>2122</v>
      </c>
      <c r="I1863" s="37">
        <v>15.722189999999999</v>
      </c>
      <c r="J1863" s="7"/>
      <c r="K1863" s="7" t="str">
        <f>VLOOKUP($E1863,Mapping!$E$11:$I$96,3,0)</f>
        <v>Augmentation</v>
      </c>
      <c r="L1863" s="7" t="str">
        <f>VLOOKUP($G1863,Mapping!$E$140:$K$2771,5,0)</f>
        <v>Labour</v>
      </c>
      <c r="M1863" s="7" t="str">
        <f>VLOOKUP($G1863,Mapping!$E$140:$K$2771,7,0)</f>
        <v>ENDirect</v>
      </c>
      <c r="N1863" s="7" t="str">
        <f>IFERROR(HLOOKUP(L1863,'Calc|Weightings'!$K$5:$M$5,1,0),"Excl")</f>
        <v>Labour</v>
      </c>
      <c r="O1863" s="7" t="str">
        <f>VLOOKUP(E1863,Mapping!$E$11:$I$96,5,0)</f>
        <v>SCS</v>
      </c>
      <c r="Q1863" s="7"/>
      <c r="R1863" s="7"/>
      <c r="S1863" s="7"/>
      <c r="T1863" s="7"/>
      <c r="U1863" s="7"/>
      <c r="V1863" s="7"/>
      <c r="AC1863" s="7"/>
      <c r="AD1863" s="7"/>
      <c r="AE1863" s="7"/>
      <c r="AF1863" s="7"/>
      <c r="AG1863" s="7"/>
      <c r="AO1863" s="7"/>
      <c r="AP1863" s="7"/>
      <c r="AQ1863" s="7"/>
      <c r="AR1863" s="7"/>
      <c r="AS1863" s="7"/>
    </row>
    <row r="1864" spans="1:45" x14ac:dyDescent="0.2">
      <c r="A1864" s="7"/>
      <c r="B1864" s="7"/>
      <c r="C1864" s="7"/>
      <c r="D1864" s="7"/>
      <c r="E1864" s="36">
        <v>161</v>
      </c>
      <c r="F1864" s="36" t="s">
        <v>2171</v>
      </c>
      <c r="G1864" s="36">
        <v>613310</v>
      </c>
      <c r="H1864" s="36" t="s">
        <v>2095</v>
      </c>
      <c r="I1864" s="37">
        <v>147.68089000000001</v>
      </c>
      <c r="J1864" s="7"/>
      <c r="K1864" s="7" t="str">
        <f>VLOOKUP($E1864,Mapping!$E$11:$I$96,3,0)</f>
        <v>Augmentation</v>
      </c>
      <c r="L1864" s="7" t="str">
        <f>VLOOKUP($G1864,Mapping!$E$140:$K$2771,5,0)</f>
        <v>Labour</v>
      </c>
      <c r="M1864" s="7" t="str">
        <f>VLOOKUP($G1864,Mapping!$E$140:$K$2771,7,0)</f>
        <v>ENDirect</v>
      </c>
      <c r="N1864" s="7" t="str">
        <f>IFERROR(HLOOKUP(L1864,'Calc|Weightings'!$K$5:$M$5,1,0),"Excl")</f>
        <v>Labour</v>
      </c>
      <c r="O1864" s="7" t="str">
        <f>VLOOKUP(E1864,Mapping!$E$11:$I$96,5,0)</f>
        <v>SCS</v>
      </c>
      <c r="Q1864" s="7"/>
      <c r="R1864" s="7"/>
      <c r="S1864" s="7"/>
      <c r="T1864" s="7"/>
      <c r="U1864" s="7"/>
      <c r="V1864" s="7"/>
      <c r="AC1864" s="7"/>
      <c r="AD1864" s="7"/>
      <c r="AE1864" s="7"/>
      <c r="AF1864" s="7"/>
      <c r="AG1864" s="7"/>
      <c r="AO1864" s="7"/>
      <c r="AP1864" s="7"/>
      <c r="AQ1864" s="7"/>
      <c r="AR1864" s="7"/>
      <c r="AS1864" s="7"/>
    </row>
    <row r="1865" spans="1:45" x14ac:dyDescent="0.2">
      <c r="A1865" s="7"/>
      <c r="B1865" s="7"/>
      <c r="C1865" s="7"/>
      <c r="D1865" s="7"/>
      <c r="E1865" s="36">
        <v>161</v>
      </c>
      <c r="F1865" s="36" t="s">
        <v>2171</v>
      </c>
      <c r="G1865" s="36">
        <v>613311</v>
      </c>
      <c r="H1865" s="36" t="s">
        <v>2116</v>
      </c>
      <c r="I1865" s="37">
        <v>57.666759999999996</v>
      </c>
      <c r="J1865" s="7"/>
      <c r="K1865" s="7" t="str">
        <f>VLOOKUP($E1865,Mapping!$E$11:$I$96,3,0)</f>
        <v>Augmentation</v>
      </c>
      <c r="L1865" s="7" t="str">
        <f>VLOOKUP($G1865,Mapping!$E$140:$K$2771,5,0)</f>
        <v>Labour</v>
      </c>
      <c r="M1865" s="7" t="str">
        <f>VLOOKUP($G1865,Mapping!$E$140:$K$2771,7,0)</f>
        <v>ENDirect</v>
      </c>
      <c r="N1865" s="7" t="str">
        <f>IFERROR(HLOOKUP(L1865,'Calc|Weightings'!$K$5:$M$5,1,0),"Excl")</f>
        <v>Labour</v>
      </c>
      <c r="O1865" s="7" t="str">
        <f>VLOOKUP(E1865,Mapping!$E$11:$I$96,5,0)</f>
        <v>SCS</v>
      </c>
      <c r="Q1865" s="7"/>
      <c r="R1865" s="7"/>
      <c r="S1865" s="7"/>
      <c r="T1865" s="7"/>
      <c r="U1865" s="7"/>
      <c r="V1865" s="7"/>
      <c r="AC1865" s="7"/>
      <c r="AD1865" s="7"/>
      <c r="AE1865" s="7"/>
      <c r="AF1865" s="7"/>
      <c r="AG1865" s="7"/>
      <c r="AO1865" s="7"/>
      <c r="AP1865" s="7"/>
      <c r="AQ1865" s="7"/>
      <c r="AR1865" s="7"/>
      <c r="AS1865" s="7"/>
    </row>
    <row r="1866" spans="1:45" x14ac:dyDescent="0.2">
      <c r="A1866" s="7"/>
      <c r="B1866" s="7"/>
      <c r="C1866" s="7"/>
      <c r="D1866" s="7"/>
      <c r="E1866" s="36">
        <v>161</v>
      </c>
      <c r="F1866" s="36" t="s">
        <v>2171</v>
      </c>
      <c r="G1866" s="36">
        <v>613318</v>
      </c>
      <c r="H1866" s="36" t="s">
        <v>1360</v>
      </c>
      <c r="I1866" s="37">
        <v>36.541159999999998</v>
      </c>
      <c r="J1866" s="7"/>
      <c r="K1866" s="7" t="str">
        <f>VLOOKUP($E1866,Mapping!$E$11:$I$96,3,0)</f>
        <v>Augmentation</v>
      </c>
      <c r="L1866" s="7" t="str">
        <f>VLOOKUP($G1866,Mapping!$E$140:$K$2771,5,0)</f>
        <v>Labour</v>
      </c>
      <c r="M1866" s="7" t="str">
        <f>VLOOKUP($G1866,Mapping!$E$140:$K$2771,7,0)</f>
        <v>ENDirect</v>
      </c>
      <c r="N1866" s="7" t="str">
        <f>IFERROR(HLOOKUP(L1866,'Calc|Weightings'!$K$5:$M$5,1,0),"Excl")</f>
        <v>Labour</v>
      </c>
      <c r="O1866" s="7" t="str">
        <f>VLOOKUP(E1866,Mapping!$E$11:$I$96,5,0)</f>
        <v>SCS</v>
      </c>
      <c r="Q1866" s="7"/>
      <c r="R1866" s="7"/>
      <c r="S1866" s="7"/>
      <c r="T1866" s="7"/>
      <c r="U1866" s="7"/>
      <c r="V1866" s="7"/>
      <c r="AC1866" s="7"/>
      <c r="AD1866" s="7"/>
      <c r="AE1866" s="7"/>
      <c r="AF1866" s="7"/>
      <c r="AG1866" s="7"/>
      <c r="AO1866" s="7"/>
      <c r="AP1866" s="7"/>
      <c r="AQ1866" s="7"/>
      <c r="AR1866" s="7"/>
      <c r="AS1866" s="7"/>
    </row>
    <row r="1867" spans="1:45" x14ac:dyDescent="0.2">
      <c r="A1867" s="7"/>
      <c r="B1867" s="7"/>
      <c r="C1867" s="7"/>
      <c r="D1867" s="7"/>
      <c r="E1867" s="36">
        <v>161</v>
      </c>
      <c r="F1867" s="36" t="s">
        <v>2171</v>
      </c>
      <c r="G1867" s="36">
        <v>613319</v>
      </c>
      <c r="H1867" s="36" t="s">
        <v>2358</v>
      </c>
      <c r="I1867" s="37">
        <v>3.161</v>
      </c>
      <c r="J1867" s="7"/>
      <c r="K1867" s="7" t="str">
        <f>VLOOKUP($E1867,Mapping!$E$11:$I$96,3,0)</f>
        <v>Augmentation</v>
      </c>
      <c r="L1867" s="7" t="str">
        <f>VLOOKUP($G1867,Mapping!$E$140:$K$2771,5,0)</f>
        <v>Labour</v>
      </c>
      <c r="M1867" s="7" t="str">
        <f>VLOOKUP($G1867,Mapping!$E$140:$K$2771,7,0)</f>
        <v>ENDirect</v>
      </c>
      <c r="N1867" s="7" t="str">
        <f>IFERROR(HLOOKUP(L1867,'Calc|Weightings'!$K$5:$M$5,1,0),"Excl")</f>
        <v>Labour</v>
      </c>
      <c r="O1867" s="7" t="str">
        <f>VLOOKUP(E1867,Mapping!$E$11:$I$96,5,0)</f>
        <v>SCS</v>
      </c>
      <c r="Q1867" s="7"/>
      <c r="R1867" s="7"/>
      <c r="S1867" s="7"/>
      <c r="T1867" s="7"/>
      <c r="U1867" s="7"/>
      <c r="V1867" s="7"/>
      <c r="AC1867" s="7"/>
      <c r="AD1867" s="7"/>
      <c r="AE1867" s="7"/>
      <c r="AF1867" s="7"/>
      <c r="AG1867" s="7"/>
      <c r="AO1867" s="7"/>
      <c r="AP1867" s="7"/>
      <c r="AQ1867" s="7"/>
      <c r="AR1867" s="7"/>
      <c r="AS1867" s="7"/>
    </row>
    <row r="1868" spans="1:45" x14ac:dyDescent="0.2">
      <c r="A1868" s="7"/>
      <c r="B1868" s="7"/>
      <c r="C1868" s="7"/>
      <c r="D1868" s="7"/>
      <c r="E1868" s="36">
        <v>161</v>
      </c>
      <c r="F1868" s="36" t="s">
        <v>2171</v>
      </c>
      <c r="G1868" s="36">
        <v>613350</v>
      </c>
      <c r="H1868" s="36" t="s">
        <v>2096</v>
      </c>
      <c r="I1868" s="37">
        <v>6.4303100000000004</v>
      </c>
      <c r="J1868" s="7"/>
      <c r="K1868" s="7" t="str">
        <f>VLOOKUP($E1868,Mapping!$E$11:$I$96,3,0)</f>
        <v>Augmentation</v>
      </c>
      <c r="L1868" s="7" t="str">
        <f>VLOOKUP($G1868,Mapping!$E$140:$K$2771,5,0)</f>
        <v>Labour</v>
      </c>
      <c r="M1868" s="7" t="str">
        <f>VLOOKUP($G1868,Mapping!$E$140:$K$2771,7,0)</f>
        <v>ENDirect</v>
      </c>
      <c r="N1868" s="7" t="str">
        <f>IFERROR(HLOOKUP(L1868,'Calc|Weightings'!$K$5:$M$5,1,0),"Excl")</f>
        <v>Labour</v>
      </c>
      <c r="O1868" s="7" t="str">
        <f>VLOOKUP(E1868,Mapping!$E$11:$I$96,5,0)</f>
        <v>SCS</v>
      </c>
      <c r="Q1868" s="7"/>
      <c r="R1868" s="7"/>
      <c r="S1868" s="7"/>
      <c r="T1868" s="7"/>
      <c r="U1868" s="7"/>
      <c r="V1868" s="7"/>
      <c r="AC1868" s="7"/>
      <c r="AD1868" s="7"/>
      <c r="AE1868" s="7"/>
      <c r="AF1868" s="7"/>
      <c r="AG1868" s="7"/>
      <c r="AO1868" s="7"/>
      <c r="AP1868" s="7"/>
      <c r="AQ1868" s="7"/>
      <c r="AR1868" s="7"/>
      <c r="AS1868" s="7"/>
    </row>
    <row r="1869" spans="1:45" x14ac:dyDescent="0.2">
      <c r="A1869" s="7"/>
      <c r="B1869" s="7"/>
      <c r="C1869" s="7"/>
      <c r="D1869" s="7"/>
      <c r="E1869" s="36">
        <v>161</v>
      </c>
      <c r="F1869" s="36" t="s">
        <v>2171</v>
      </c>
      <c r="G1869" s="36">
        <v>613360</v>
      </c>
      <c r="H1869" s="36" t="s">
        <v>2097</v>
      </c>
      <c r="I1869" s="37">
        <v>2.9403700000000002</v>
      </c>
      <c r="J1869" s="7"/>
      <c r="K1869" s="7" t="str">
        <f>VLOOKUP($E1869,Mapping!$E$11:$I$96,3,0)</f>
        <v>Augmentation</v>
      </c>
      <c r="L1869" s="7" t="str">
        <f>VLOOKUP($G1869,Mapping!$E$140:$K$2771,5,0)</f>
        <v>Labour</v>
      </c>
      <c r="M1869" s="7" t="str">
        <f>VLOOKUP($G1869,Mapping!$E$140:$K$2771,7,0)</f>
        <v>ENDirect</v>
      </c>
      <c r="N1869" s="7" t="str">
        <f>IFERROR(HLOOKUP(L1869,'Calc|Weightings'!$K$5:$M$5,1,0),"Excl")</f>
        <v>Labour</v>
      </c>
      <c r="O1869" s="7" t="str">
        <f>VLOOKUP(E1869,Mapping!$E$11:$I$96,5,0)</f>
        <v>SCS</v>
      </c>
      <c r="Q1869" s="7"/>
      <c r="R1869" s="7"/>
      <c r="S1869" s="7"/>
      <c r="T1869" s="7"/>
      <c r="U1869" s="7"/>
      <c r="V1869" s="7"/>
      <c r="AC1869" s="7"/>
      <c r="AD1869" s="7"/>
      <c r="AE1869" s="7"/>
      <c r="AF1869" s="7"/>
      <c r="AG1869" s="7"/>
      <c r="AO1869" s="7"/>
      <c r="AP1869" s="7"/>
      <c r="AQ1869" s="7"/>
      <c r="AR1869" s="7"/>
      <c r="AS1869" s="7"/>
    </row>
    <row r="1870" spans="1:45" x14ac:dyDescent="0.2">
      <c r="A1870" s="7"/>
      <c r="B1870" s="7"/>
      <c r="C1870" s="7"/>
      <c r="D1870" s="7"/>
      <c r="E1870" s="36">
        <v>161</v>
      </c>
      <c r="F1870" s="36" t="s">
        <v>2171</v>
      </c>
      <c r="G1870" s="36">
        <v>613370</v>
      </c>
      <c r="H1870" s="36" t="s">
        <v>1402</v>
      </c>
      <c r="I1870" s="37">
        <v>46.881909999999998</v>
      </c>
      <c r="J1870" s="7"/>
      <c r="K1870" s="7" t="str">
        <f>VLOOKUP($E1870,Mapping!$E$11:$I$96,3,0)</f>
        <v>Augmentation</v>
      </c>
      <c r="L1870" s="7" t="str">
        <f>VLOOKUP($G1870,Mapping!$E$140:$K$2771,5,0)</f>
        <v>Labour</v>
      </c>
      <c r="M1870" s="7" t="str">
        <f>VLOOKUP($G1870,Mapping!$E$140:$K$2771,7,0)</f>
        <v>ENDirect</v>
      </c>
      <c r="N1870" s="7" t="str">
        <f>IFERROR(HLOOKUP(L1870,'Calc|Weightings'!$K$5:$M$5,1,0),"Excl")</f>
        <v>Labour</v>
      </c>
      <c r="O1870" s="7" t="str">
        <f>VLOOKUP(E1870,Mapping!$E$11:$I$96,5,0)</f>
        <v>SCS</v>
      </c>
      <c r="Q1870" s="7"/>
      <c r="R1870" s="7"/>
      <c r="S1870" s="7"/>
      <c r="T1870" s="7"/>
      <c r="U1870" s="7"/>
      <c r="V1870" s="7"/>
      <c r="AC1870" s="7"/>
      <c r="AD1870" s="7"/>
      <c r="AE1870" s="7"/>
      <c r="AF1870" s="7"/>
      <c r="AG1870" s="7"/>
      <c r="AO1870" s="7"/>
      <c r="AP1870" s="7"/>
      <c r="AQ1870" s="7"/>
      <c r="AR1870" s="7"/>
      <c r="AS1870" s="7"/>
    </row>
    <row r="1871" spans="1:45" x14ac:dyDescent="0.2">
      <c r="A1871" s="7"/>
      <c r="B1871" s="7"/>
      <c r="C1871" s="7"/>
      <c r="D1871" s="7"/>
      <c r="E1871" s="36">
        <v>161</v>
      </c>
      <c r="F1871" s="36" t="s">
        <v>2171</v>
      </c>
      <c r="G1871" s="36">
        <v>613460</v>
      </c>
      <c r="H1871" s="36" t="s">
        <v>2167</v>
      </c>
      <c r="I1871" s="37">
        <v>36.925249999999998</v>
      </c>
      <c r="J1871" s="7"/>
      <c r="K1871" s="7" t="str">
        <f>VLOOKUP($E1871,Mapping!$E$11:$I$96,3,0)</f>
        <v>Augmentation</v>
      </c>
      <c r="L1871" s="7" t="str">
        <f>VLOOKUP($G1871,Mapping!$E$140:$K$2771,5,0)</f>
        <v>Labour</v>
      </c>
      <c r="M1871" s="7" t="str">
        <f>VLOOKUP($G1871,Mapping!$E$140:$K$2771,7,0)</f>
        <v>ENDirect</v>
      </c>
      <c r="N1871" s="7" t="str">
        <f>IFERROR(HLOOKUP(L1871,'Calc|Weightings'!$K$5:$M$5,1,0),"Excl")</f>
        <v>Labour</v>
      </c>
      <c r="O1871" s="7" t="str">
        <f>VLOOKUP(E1871,Mapping!$E$11:$I$96,5,0)</f>
        <v>SCS</v>
      </c>
      <c r="Q1871" s="7"/>
      <c r="R1871" s="7"/>
      <c r="S1871" s="7"/>
      <c r="T1871" s="7"/>
      <c r="U1871" s="7"/>
      <c r="V1871" s="7"/>
      <c r="AC1871" s="7"/>
      <c r="AD1871" s="7"/>
      <c r="AE1871" s="7"/>
      <c r="AF1871" s="7"/>
      <c r="AG1871" s="7"/>
      <c r="AO1871" s="7"/>
      <c r="AP1871" s="7"/>
      <c r="AQ1871" s="7"/>
      <c r="AR1871" s="7"/>
      <c r="AS1871" s="7"/>
    </row>
    <row r="1872" spans="1:45" x14ac:dyDescent="0.2">
      <c r="A1872" s="7"/>
      <c r="B1872" s="7"/>
      <c r="C1872" s="7"/>
      <c r="D1872" s="7"/>
      <c r="E1872" s="36">
        <v>161</v>
      </c>
      <c r="F1872" s="36" t="s">
        <v>2171</v>
      </c>
      <c r="G1872" s="36">
        <v>613461</v>
      </c>
      <c r="H1872" s="36" t="s">
        <v>2168</v>
      </c>
      <c r="I1872" s="37">
        <v>5.815E-2</v>
      </c>
      <c r="J1872" s="7"/>
      <c r="K1872" s="7" t="str">
        <f>VLOOKUP($E1872,Mapping!$E$11:$I$96,3,0)</f>
        <v>Augmentation</v>
      </c>
      <c r="L1872" s="7" t="str">
        <f>VLOOKUP($G1872,Mapping!$E$140:$K$2771,5,0)</f>
        <v>Labour</v>
      </c>
      <c r="M1872" s="7" t="str">
        <f>VLOOKUP($G1872,Mapping!$E$140:$K$2771,7,0)</f>
        <v>ENDirect</v>
      </c>
      <c r="N1872" s="7" t="str">
        <f>IFERROR(HLOOKUP(L1872,'Calc|Weightings'!$K$5:$M$5,1,0),"Excl")</f>
        <v>Labour</v>
      </c>
      <c r="O1872" s="7" t="str">
        <f>VLOOKUP(E1872,Mapping!$E$11:$I$96,5,0)</f>
        <v>SCS</v>
      </c>
      <c r="Q1872" s="7"/>
      <c r="R1872" s="7"/>
      <c r="S1872" s="7"/>
      <c r="T1872" s="7"/>
      <c r="U1872" s="7"/>
      <c r="V1872" s="7"/>
      <c r="AC1872" s="7"/>
      <c r="AD1872" s="7"/>
      <c r="AE1872" s="7"/>
      <c r="AF1872" s="7"/>
      <c r="AG1872" s="7"/>
      <c r="AO1872" s="7"/>
      <c r="AP1872" s="7"/>
      <c r="AQ1872" s="7"/>
      <c r="AR1872" s="7"/>
      <c r="AS1872" s="7"/>
    </row>
    <row r="1873" spans="1:45" x14ac:dyDescent="0.2">
      <c r="A1873" s="7"/>
      <c r="B1873" s="7"/>
      <c r="C1873" s="7"/>
      <c r="D1873" s="7"/>
      <c r="E1873" s="36">
        <v>161</v>
      </c>
      <c r="F1873" s="36" t="s">
        <v>2171</v>
      </c>
      <c r="G1873" s="36">
        <v>613576</v>
      </c>
      <c r="H1873" s="36" t="s">
        <v>1490</v>
      </c>
      <c r="I1873" s="37">
        <v>0.69779999999999998</v>
      </c>
      <c r="J1873" s="7"/>
      <c r="K1873" s="7" t="str">
        <f>VLOOKUP($E1873,Mapping!$E$11:$I$96,3,0)</f>
        <v>Augmentation</v>
      </c>
      <c r="L1873" s="7" t="str">
        <f>VLOOKUP($G1873,Mapping!$E$140:$K$2771,5,0)</f>
        <v>Labour</v>
      </c>
      <c r="M1873" s="7" t="str">
        <f>VLOOKUP($G1873,Mapping!$E$140:$K$2771,7,0)</f>
        <v>ENDirect</v>
      </c>
      <c r="N1873" s="7" t="str">
        <f>IFERROR(HLOOKUP(L1873,'Calc|Weightings'!$K$5:$M$5,1,0),"Excl")</f>
        <v>Labour</v>
      </c>
      <c r="O1873" s="7" t="str">
        <f>VLOOKUP(E1873,Mapping!$E$11:$I$96,5,0)</f>
        <v>SCS</v>
      </c>
      <c r="Q1873" s="7"/>
      <c r="R1873" s="7"/>
      <c r="S1873" s="7"/>
      <c r="T1873" s="7"/>
      <c r="U1873" s="7"/>
      <c r="V1873" s="7"/>
      <c r="AC1873" s="7"/>
      <c r="AD1873" s="7"/>
      <c r="AE1873" s="7"/>
      <c r="AF1873" s="7"/>
      <c r="AG1873" s="7"/>
      <c r="AO1873" s="7"/>
      <c r="AP1873" s="7"/>
      <c r="AQ1873" s="7"/>
      <c r="AR1873" s="7"/>
      <c r="AS1873" s="7"/>
    </row>
    <row r="1874" spans="1:45" x14ac:dyDescent="0.2">
      <c r="A1874" s="7"/>
      <c r="B1874" s="7"/>
      <c r="C1874" s="7"/>
      <c r="D1874" s="7"/>
      <c r="E1874" s="36">
        <v>161</v>
      </c>
      <c r="F1874" s="36" t="s">
        <v>2171</v>
      </c>
      <c r="G1874" s="36">
        <v>613630</v>
      </c>
      <c r="H1874" s="36" t="s">
        <v>1498</v>
      </c>
      <c r="I1874" s="37">
        <v>5.3417899999999996</v>
      </c>
      <c r="J1874" s="7"/>
      <c r="K1874" s="7" t="str">
        <f>VLOOKUP($E1874,Mapping!$E$11:$I$96,3,0)</f>
        <v>Augmentation</v>
      </c>
      <c r="L1874" s="7" t="str">
        <f>VLOOKUP($G1874,Mapping!$E$140:$K$2771,5,0)</f>
        <v>Labour</v>
      </c>
      <c r="M1874" s="7" t="str">
        <f>VLOOKUP($G1874,Mapping!$E$140:$K$2771,7,0)</f>
        <v>ENDirect</v>
      </c>
      <c r="N1874" s="7" t="str">
        <f>IFERROR(HLOOKUP(L1874,'Calc|Weightings'!$K$5:$M$5,1,0),"Excl")</f>
        <v>Labour</v>
      </c>
      <c r="O1874" s="7" t="str">
        <f>VLOOKUP(E1874,Mapping!$E$11:$I$96,5,0)</f>
        <v>SCS</v>
      </c>
      <c r="Q1874" s="7"/>
      <c r="R1874" s="7"/>
      <c r="S1874" s="7"/>
      <c r="T1874" s="7"/>
      <c r="U1874" s="7"/>
      <c r="V1874" s="7"/>
      <c r="AC1874" s="7"/>
      <c r="AD1874" s="7"/>
      <c r="AE1874" s="7"/>
      <c r="AF1874" s="7"/>
      <c r="AG1874" s="7"/>
      <c r="AO1874" s="7"/>
      <c r="AP1874" s="7"/>
      <c r="AQ1874" s="7"/>
      <c r="AR1874" s="7"/>
      <c r="AS1874" s="7"/>
    </row>
    <row r="1875" spans="1:45" x14ac:dyDescent="0.2">
      <c r="A1875" s="7"/>
      <c r="B1875" s="7"/>
      <c r="C1875" s="7"/>
      <c r="D1875" s="7"/>
      <c r="E1875" s="36">
        <v>161</v>
      </c>
      <c r="F1875" s="36" t="s">
        <v>2171</v>
      </c>
      <c r="G1875" s="36">
        <v>613680</v>
      </c>
      <c r="H1875" s="36" t="s">
        <v>2107</v>
      </c>
      <c r="I1875" s="37">
        <v>481.82083999999998</v>
      </c>
      <c r="J1875" s="7"/>
      <c r="K1875" s="7" t="str">
        <f>VLOOKUP($E1875,Mapping!$E$11:$I$96,3,0)</f>
        <v>Augmentation</v>
      </c>
      <c r="L1875" s="7" t="str">
        <f>VLOOKUP($G1875,Mapping!$E$140:$K$2771,5,0)</f>
        <v>Labour</v>
      </c>
      <c r="M1875" s="7" t="str">
        <f>VLOOKUP($G1875,Mapping!$E$140:$K$2771,7,0)</f>
        <v>ENDirect</v>
      </c>
      <c r="N1875" s="7" t="str">
        <f>IFERROR(HLOOKUP(L1875,'Calc|Weightings'!$K$5:$M$5,1,0),"Excl")</f>
        <v>Labour</v>
      </c>
      <c r="O1875" s="7" t="str">
        <f>VLOOKUP(E1875,Mapping!$E$11:$I$96,5,0)</f>
        <v>SCS</v>
      </c>
      <c r="Q1875" s="7"/>
      <c r="R1875" s="7"/>
      <c r="S1875" s="7"/>
      <c r="T1875" s="7"/>
      <c r="U1875" s="7"/>
      <c r="V1875" s="7"/>
      <c r="AC1875" s="7"/>
      <c r="AD1875" s="7"/>
      <c r="AE1875" s="7"/>
      <c r="AF1875" s="7"/>
      <c r="AG1875" s="7"/>
      <c r="AO1875" s="7"/>
      <c r="AP1875" s="7"/>
      <c r="AQ1875" s="7"/>
      <c r="AR1875" s="7"/>
      <c r="AS1875" s="7"/>
    </row>
    <row r="1876" spans="1:45" x14ac:dyDescent="0.2">
      <c r="A1876" s="7"/>
      <c r="B1876" s="7"/>
      <c r="C1876" s="7"/>
      <c r="D1876" s="7"/>
      <c r="E1876" s="36">
        <v>161</v>
      </c>
      <c r="F1876" s="36" t="s">
        <v>2171</v>
      </c>
      <c r="G1876" s="36">
        <v>613681</v>
      </c>
      <c r="H1876" s="36" t="s">
        <v>2108</v>
      </c>
      <c r="I1876" s="37">
        <v>2.1993</v>
      </c>
      <c r="J1876" s="7"/>
      <c r="K1876" s="7" t="str">
        <f>VLOOKUP($E1876,Mapping!$E$11:$I$96,3,0)</f>
        <v>Augmentation</v>
      </c>
      <c r="L1876" s="7" t="str">
        <f>VLOOKUP($G1876,Mapping!$E$140:$K$2771,5,0)</f>
        <v>Labour</v>
      </c>
      <c r="M1876" s="7" t="str">
        <f>VLOOKUP($G1876,Mapping!$E$140:$K$2771,7,0)</f>
        <v>ENDirect</v>
      </c>
      <c r="N1876" s="7" t="str">
        <f>IFERROR(HLOOKUP(L1876,'Calc|Weightings'!$K$5:$M$5,1,0),"Excl")</f>
        <v>Labour</v>
      </c>
      <c r="O1876" s="7" t="str">
        <f>VLOOKUP(E1876,Mapping!$E$11:$I$96,5,0)</f>
        <v>SCS</v>
      </c>
      <c r="Q1876" s="7"/>
      <c r="R1876" s="7"/>
      <c r="S1876" s="7"/>
      <c r="T1876" s="7"/>
      <c r="U1876" s="7"/>
      <c r="V1876" s="7"/>
      <c r="AC1876" s="7"/>
      <c r="AD1876" s="7"/>
      <c r="AE1876" s="7"/>
      <c r="AF1876" s="7"/>
      <c r="AG1876" s="7"/>
      <c r="AO1876" s="7"/>
      <c r="AP1876" s="7"/>
      <c r="AQ1876" s="7"/>
      <c r="AR1876" s="7"/>
      <c r="AS1876" s="7"/>
    </row>
    <row r="1877" spans="1:45" x14ac:dyDescent="0.2">
      <c r="A1877" s="7"/>
      <c r="B1877" s="7"/>
      <c r="C1877" s="7"/>
      <c r="D1877" s="7"/>
      <c r="E1877" s="36">
        <v>161</v>
      </c>
      <c r="F1877" s="36" t="s">
        <v>2171</v>
      </c>
      <c r="G1877" s="36">
        <v>615375</v>
      </c>
      <c r="H1877" s="36" t="s">
        <v>1717</v>
      </c>
      <c r="I1877" s="37">
        <v>4.95</v>
      </c>
      <c r="J1877" s="7"/>
      <c r="K1877" s="7" t="str">
        <f>VLOOKUP($E1877,Mapping!$E$11:$I$96,3,0)</f>
        <v>Augmentation</v>
      </c>
      <c r="L1877" s="7" t="str">
        <f>VLOOKUP($G1877,Mapping!$E$140:$K$2771,5,0)</f>
        <v>Labour</v>
      </c>
      <c r="M1877" s="7" t="str">
        <f>VLOOKUP($G1877,Mapping!$E$140:$K$2771,7,0)</f>
        <v>ENDirect</v>
      </c>
      <c r="N1877" s="7" t="str">
        <f>IFERROR(HLOOKUP(L1877,'Calc|Weightings'!$K$5:$M$5,1,0),"Excl")</f>
        <v>Labour</v>
      </c>
      <c r="O1877" s="7" t="str">
        <f>VLOOKUP(E1877,Mapping!$E$11:$I$96,5,0)</f>
        <v>SCS</v>
      </c>
      <c r="Q1877" s="7"/>
      <c r="R1877" s="7"/>
      <c r="S1877" s="7"/>
      <c r="T1877" s="7"/>
      <c r="U1877" s="7"/>
      <c r="V1877" s="7"/>
      <c r="AC1877" s="7"/>
      <c r="AD1877" s="7"/>
      <c r="AE1877" s="7"/>
      <c r="AF1877" s="7"/>
      <c r="AG1877" s="7"/>
      <c r="AO1877" s="7"/>
      <c r="AP1877" s="7"/>
      <c r="AQ1877" s="7"/>
      <c r="AR1877" s="7"/>
      <c r="AS1877" s="7"/>
    </row>
    <row r="1878" spans="1:45" x14ac:dyDescent="0.2">
      <c r="A1878" s="7"/>
      <c r="B1878" s="7"/>
      <c r="C1878" s="7"/>
      <c r="D1878" s="7"/>
      <c r="E1878" s="36">
        <v>161</v>
      </c>
      <c r="F1878" s="36" t="s">
        <v>2171</v>
      </c>
      <c r="G1878" s="36">
        <v>615395</v>
      </c>
      <c r="H1878" s="36" t="s">
        <v>2196</v>
      </c>
      <c r="I1878" s="37">
        <v>2.0339999999999998</v>
      </c>
      <c r="J1878" s="7"/>
      <c r="K1878" s="7" t="str">
        <f>VLOOKUP($E1878,Mapping!$E$11:$I$96,3,0)</f>
        <v>Augmentation</v>
      </c>
      <c r="L1878" s="7" t="str">
        <f>VLOOKUP($G1878,Mapping!$E$140:$K$2771,5,0)</f>
        <v>Labour</v>
      </c>
      <c r="M1878" s="7" t="str">
        <f>VLOOKUP($G1878,Mapping!$E$140:$K$2771,7,0)</f>
        <v>ENDirect</v>
      </c>
      <c r="N1878" s="7" t="str">
        <f>IFERROR(HLOOKUP(L1878,'Calc|Weightings'!$K$5:$M$5,1,0),"Excl")</f>
        <v>Labour</v>
      </c>
      <c r="O1878" s="7" t="str">
        <f>VLOOKUP(E1878,Mapping!$E$11:$I$96,5,0)</f>
        <v>SCS</v>
      </c>
      <c r="Q1878" s="7"/>
      <c r="R1878" s="7"/>
      <c r="S1878" s="7"/>
      <c r="T1878" s="7"/>
      <c r="U1878" s="7"/>
      <c r="V1878" s="7"/>
      <c r="AC1878" s="7"/>
      <c r="AD1878" s="7"/>
      <c r="AE1878" s="7"/>
      <c r="AF1878" s="7"/>
      <c r="AG1878" s="7"/>
      <c r="AO1878" s="7"/>
      <c r="AP1878" s="7"/>
      <c r="AQ1878" s="7"/>
      <c r="AR1878" s="7"/>
      <c r="AS1878" s="7"/>
    </row>
    <row r="1879" spans="1:45" x14ac:dyDescent="0.2">
      <c r="A1879" s="7"/>
      <c r="B1879" s="7"/>
      <c r="C1879" s="7"/>
      <c r="D1879" s="7"/>
      <c r="E1879" s="36">
        <v>161</v>
      </c>
      <c r="F1879" s="36" t="s">
        <v>2171</v>
      </c>
      <c r="G1879" s="36">
        <v>633000</v>
      </c>
      <c r="H1879" s="36" t="s">
        <v>2202</v>
      </c>
      <c r="I1879" s="37">
        <v>944.93606999999997</v>
      </c>
      <c r="J1879" s="7"/>
      <c r="K1879" s="7" t="str">
        <f>VLOOKUP($E1879,Mapping!$E$11:$I$96,3,0)</f>
        <v>Augmentation</v>
      </c>
      <c r="L1879" s="7" t="str">
        <f>VLOOKUP($G1879,Mapping!$E$140:$K$2771,5,0)</f>
        <v>Contracts</v>
      </c>
      <c r="M1879" s="7" t="str">
        <f>VLOOKUP($G1879,Mapping!$E$140:$K$2771,7,0)</f>
        <v>OH</v>
      </c>
      <c r="N1879" s="7" t="str">
        <f>IFERROR(HLOOKUP(L1879,'Calc|Weightings'!$K$5:$M$5,1,0),"Excl")</f>
        <v>Contracts</v>
      </c>
      <c r="O1879" s="7" t="str">
        <f>VLOOKUP(E1879,Mapping!$E$11:$I$96,5,0)</f>
        <v>SCS</v>
      </c>
      <c r="Q1879" s="7"/>
      <c r="R1879" s="7"/>
      <c r="S1879" s="7"/>
      <c r="T1879" s="7"/>
      <c r="U1879" s="7"/>
      <c r="V1879" s="7"/>
      <c r="AC1879" s="7"/>
      <c r="AD1879" s="7"/>
      <c r="AE1879" s="7"/>
      <c r="AF1879" s="7"/>
      <c r="AG1879" s="7"/>
      <c r="AO1879" s="7"/>
      <c r="AP1879" s="7"/>
      <c r="AQ1879" s="7"/>
      <c r="AR1879" s="7"/>
      <c r="AS1879" s="7"/>
    </row>
    <row r="1880" spans="1:45" x14ac:dyDescent="0.2">
      <c r="A1880" s="7"/>
      <c r="B1880" s="7"/>
      <c r="C1880" s="7"/>
      <c r="D1880" s="7"/>
      <c r="E1880" s="36">
        <v>161</v>
      </c>
      <c r="F1880" s="36" t="s">
        <v>2171</v>
      </c>
      <c r="G1880" s="36">
        <v>634001</v>
      </c>
      <c r="H1880" s="36" t="s">
        <v>2110</v>
      </c>
      <c r="I1880" s="37">
        <v>385.99194</v>
      </c>
      <c r="J1880" s="7"/>
      <c r="K1880" s="7" t="str">
        <f>VLOOKUP($E1880,Mapping!$E$11:$I$96,3,0)</f>
        <v>Augmentation</v>
      </c>
      <c r="L1880" s="7" t="str">
        <f>VLOOKUP($G1880,Mapping!$E$140:$K$2771,5,0)</f>
        <v>Local OH</v>
      </c>
      <c r="M1880" s="7" t="str">
        <f>VLOOKUP($G1880,Mapping!$E$140:$K$2771,7,0)</f>
        <v>OH</v>
      </c>
      <c r="N1880" s="7" t="str">
        <f>IFERROR(HLOOKUP(L1880,'Calc|Weightings'!$K$5:$M$5,1,0),"Excl")</f>
        <v>Excl</v>
      </c>
      <c r="O1880" s="7" t="str">
        <f>VLOOKUP(E1880,Mapping!$E$11:$I$96,5,0)</f>
        <v>SCS</v>
      </c>
      <c r="Q1880" s="7"/>
      <c r="R1880" s="7"/>
      <c r="S1880" s="7"/>
      <c r="T1880" s="7"/>
      <c r="U1880" s="7"/>
      <c r="V1880" s="7"/>
      <c r="AC1880" s="7"/>
      <c r="AD1880" s="7"/>
      <c r="AE1880" s="7"/>
      <c r="AF1880" s="7"/>
      <c r="AG1880" s="7"/>
      <c r="AO1880" s="7"/>
      <c r="AP1880" s="7"/>
      <c r="AQ1880" s="7"/>
      <c r="AR1880" s="7"/>
      <c r="AS1880" s="7"/>
    </row>
    <row r="1881" spans="1:45" x14ac:dyDescent="0.2">
      <c r="A1881" s="7"/>
      <c r="B1881" s="7"/>
      <c r="C1881" s="7"/>
      <c r="D1881" s="7"/>
      <c r="E1881" s="36">
        <v>161</v>
      </c>
      <c r="F1881" s="36" t="s">
        <v>2171</v>
      </c>
      <c r="G1881" s="36">
        <v>635001</v>
      </c>
      <c r="H1881" s="36" t="s">
        <v>1929</v>
      </c>
      <c r="I1881" s="37">
        <v>46.411499999999997</v>
      </c>
      <c r="J1881" s="7"/>
      <c r="K1881" s="7" t="str">
        <f>VLOOKUP($E1881,Mapping!$E$11:$I$96,3,0)</f>
        <v>Augmentation</v>
      </c>
      <c r="L1881" s="7" t="str">
        <f>VLOOKUP($G1881,Mapping!$E$140:$K$2771,5,0)</f>
        <v>PNS MG</v>
      </c>
      <c r="M1881" s="7" t="str">
        <f>VLOOKUP($G1881,Mapping!$E$140:$K$2771,7,0)</f>
        <v>ENDirect</v>
      </c>
      <c r="N1881" s="7" t="str">
        <f>IFERROR(HLOOKUP(L1881,'Calc|Weightings'!$K$5:$M$5,1,0),"Excl")</f>
        <v>Excl</v>
      </c>
      <c r="O1881" s="7" t="str">
        <f>VLOOKUP(E1881,Mapping!$E$11:$I$96,5,0)</f>
        <v>SCS</v>
      </c>
      <c r="Q1881" s="7"/>
      <c r="R1881" s="7"/>
      <c r="S1881" s="7"/>
      <c r="T1881" s="7"/>
      <c r="U1881" s="7"/>
      <c r="V1881" s="7"/>
      <c r="AC1881" s="7"/>
      <c r="AD1881" s="7"/>
      <c r="AE1881" s="7"/>
      <c r="AF1881" s="7"/>
      <c r="AG1881" s="7"/>
      <c r="AO1881" s="7"/>
      <c r="AP1881" s="7"/>
      <c r="AQ1881" s="7"/>
      <c r="AR1881" s="7"/>
      <c r="AS1881" s="7"/>
    </row>
    <row r="1882" spans="1:45" x14ac:dyDescent="0.2">
      <c r="A1882" s="7"/>
      <c r="B1882" s="7"/>
      <c r="C1882" s="7"/>
      <c r="D1882" s="7"/>
      <c r="E1882" s="36">
        <v>161</v>
      </c>
      <c r="F1882" s="36" t="s">
        <v>2171</v>
      </c>
      <c r="G1882" s="36">
        <v>636001</v>
      </c>
      <c r="H1882" s="36" t="s">
        <v>2111</v>
      </c>
      <c r="I1882" s="37">
        <v>121.17892000000001</v>
      </c>
      <c r="J1882" s="7"/>
      <c r="K1882" s="7" t="str">
        <f>VLOOKUP($E1882,Mapping!$E$11:$I$96,3,0)</f>
        <v>Augmentation</v>
      </c>
      <c r="L1882" s="7" t="str">
        <f>VLOOKUP($G1882,Mapping!$E$140:$K$2771,5,0)</f>
        <v>System Control OH</v>
      </c>
      <c r="M1882" s="7" t="str">
        <f>VLOOKUP($G1882,Mapping!$E$140:$K$2771,7,0)</f>
        <v>OH</v>
      </c>
      <c r="N1882" s="7" t="str">
        <f>IFERROR(HLOOKUP(L1882,'Calc|Weightings'!$K$5:$M$5,1,0),"Excl")</f>
        <v>Excl</v>
      </c>
      <c r="O1882" s="7" t="str">
        <f>VLOOKUP(E1882,Mapping!$E$11:$I$96,5,0)</f>
        <v>SCS</v>
      </c>
      <c r="Q1882" s="7"/>
      <c r="R1882" s="7"/>
      <c r="S1882" s="7"/>
      <c r="T1882" s="7"/>
      <c r="U1882" s="7"/>
      <c r="V1882" s="7"/>
      <c r="AC1882" s="7"/>
      <c r="AD1882" s="7"/>
      <c r="AE1882" s="7"/>
      <c r="AF1882" s="7"/>
      <c r="AG1882" s="7"/>
      <c r="AO1882" s="7"/>
      <c r="AP1882" s="7"/>
      <c r="AQ1882" s="7"/>
      <c r="AR1882" s="7"/>
      <c r="AS1882" s="7"/>
    </row>
    <row r="1883" spans="1:45" x14ac:dyDescent="0.2">
      <c r="A1883" s="7"/>
      <c r="B1883" s="7"/>
      <c r="C1883" s="7"/>
      <c r="D1883" s="7"/>
      <c r="E1883" s="36">
        <v>161</v>
      </c>
      <c r="F1883" s="36" t="s">
        <v>2171</v>
      </c>
      <c r="G1883" s="36">
        <v>639000</v>
      </c>
      <c r="H1883" s="36" t="s">
        <v>2112</v>
      </c>
      <c r="I1883" s="37">
        <v>270.62833000000001</v>
      </c>
      <c r="J1883" s="7"/>
      <c r="K1883" s="7" t="str">
        <f>VLOOKUP($E1883,Mapping!$E$11:$I$96,3,0)</f>
        <v>Augmentation</v>
      </c>
      <c r="L1883" s="7" t="str">
        <f>VLOOKUP($G1883,Mapping!$E$140:$K$2771,5,0)</f>
        <v>PNS Corporate OH</v>
      </c>
      <c r="M1883" s="7" t="str">
        <f>VLOOKUP($G1883,Mapping!$E$140:$K$2771,7,0)</f>
        <v>OH</v>
      </c>
      <c r="N1883" s="7" t="str">
        <f>IFERROR(HLOOKUP(L1883,'Calc|Weightings'!$K$5:$M$5,1,0),"Excl")</f>
        <v>Excl</v>
      </c>
      <c r="O1883" s="7" t="str">
        <f>VLOOKUP(E1883,Mapping!$E$11:$I$96,5,0)</f>
        <v>SCS</v>
      </c>
      <c r="Q1883" s="7"/>
      <c r="R1883" s="7"/>
      <c r="S1883" s="7"/>
      <c r="T1883" s="7"/>
      <c r="U1883" s="7"/>
      <c r="V1883" s="7"/>
      <c r="AC1883" s="7"/>
      <c r="AD1883" s="7"/>
      <c r="AE1883" s="7"/>
      <c r="AF1883" s="7"/>
      <c r="AG1883" s="7"/>
      <c r="AO1883" s="7"/>
      <c r="AP1883" s="7"/>
      <c r="AQ1883" s="7"/>
      <c r="AR1883" s="7"/>
      <c r="AS1883" s="7"/>
    </row>
    <row r="1884" spans="1:45" x14ac:dyDescent="0.2">
      <c r="A1884" s="7"/>
      <c r="B1884" s="7"/>
      <c r="C1884" s="7"/>
      <c r="D1884" s="7"/>
      <c r="E1884" s="36">
        <v>161</v>
      </c>
      <c r="F1884" s="36" t="s">
        <v>2171</v>
      </c>
      <c r="G1884" s="36">
        <v>639050</v>
      </c>
      <c r="H1884" s="36" t="s">
        <v>2113</v>
      </c>
      <c r="I1884" s="37">
        <v>6.7467199999999998</v>
      </c>
      <c r="J1884" s="7"/>
      <c r="K1884" s="7" t="str">
        <f>VLOOKUP($E1884,Mapping!$E$11:$I$96,3,0)</f>
        <v>Augmentation</v>
      </c>
      <c r="L1884" s="7" t="str">
        <f>VLOOKUP($G1884,Mapping!$E$140:$K$2771,5,0)</f>
        <v>PNS Fleet &amp; Property OH</v>
      </c>
      <c r="M1884" s="7" t="str">
        <f>VLOOKUP($G1884,Mapping!$E$140:$K$2771,7,0)</f>
        <v>OH</v>
      </c>
      <c r="N1884" s="7" t="str">
        <f>IFERROR(HLOOKUP(L1884,'Calc|Weightings'!$K$5:$M$5,1,0),"Excl")</f>
        <v>Excl</v>
      </c>
      <c r="O1884" s="7" t="str">
        <f>VLOOKUP(E1884,Mapping!$E$11:$I$96,5,0)</f>
        <v>SCS</v>
      </c>
      <c r="Q1884" s="7"/>
      <c r="R1884" s="7"/>
      <c r="S1884" s="7"/>
      <c r="T1884" s="7"/>
      <c r="U1884" s="7"/>
      <c r="V1884" s="7"/>
      <c r="AC1884" s="7"/>
      <c r="AD1884" s="7"/>
      <c r="AE1884" s="7"/>
      <c r="AF1884" s="7"/>
      <c r="AG1884" s="7"/>
      <c r="AO1884" s="7"/>
      <c r="AP1884" s="7"/>
      <c r="AQ1884" s="7"/>
      <c r="AR1884" s="7"/>
      <c r="AS1884" s="7"/>
    </row>
    <row r="1885" spans="1:45" x14ac:dyDescent="0.2">
      <c r="A1885" s="7"/>
      <c r="B1885" s="7"/>
      <c r="C1885" s="7"/>
      <c r="D1885" s="7"/>
      <c r="E1885" s="36">
        <v>162</v>
      </c>
      <c r="F1885" s="36" t="s">
        <v>2172</v>
      </c>
      <c r="G1885" s="36">
        <v>503191</v>
      </c>
      <c r="H1885" s="36" t="s">
        <v>159</v>
      </c>
      <c r="I1885" s="37">
        <v>0.97499999999999998</v>
      </c>
      <c r="J1885" s="7"/>
      <c r="K1885" s="7" t="str">
        <f>VLOOKUP($E1885,Mapping!$E$11:$I$96,3,0)</f>
        <v>Augmentation</v>
      </c>
      <c r="L1885" s="7" t="str">
        <f>VLOOKUP($G1885,Mapping!$E$140:$K$2771,5,0)</f>
        <v>Contracts</v>
      </c>
      <c r="M1885" s="7" t="str">
        <f>VLOOKUP($G1885,Mapping!$E$140:$K$2771,7,0)</f>
        <v>ENDirect</v>
      </c>
      <c r="N1885" s="7" t="str">
        <f>IFERROR(HLOOKUP(L1885,'Calc|Weightings'!$K$5:$M$5,1,0),"Excl")</f>
        <v>Contracts</v>
      </c>
      <c r="O1885" s="7" t="str">
        <f>VLOOKUP(E1885,Mapping!$E$11:$I$96,5,0)</f>
        <v>SCS</v>
      </c>
      <c r="Q1885" s="7"/>
      <c r="R1885" s="7"/>
      <c r="S1885" s="7"/>
      <c r="T1885" s="7"/>
      <c r="U1885" s="7"/>
      <c r="V1885" s="7"/>
      <c r="AC1885" s="7"/>
      <c r="AD1885" s="7"/>
      <c r="AE1885" s="7"/>
      <c r="AF1885" s="7"/>
      <c r="AG1885" s="7"/>
      <c r="AO1885" s="7"/>
      <c r="AP1885" s="7"/>
      <c r="AQ1885" s="7"/>
      <c r="AR1885" s="7"/>
      <c r="AS1885" s="7"/>
    </row>
    <row r="1886" spans="1:45" x14ac:dyDescent="0.2">
      <c r="A1886" s="7"/>
      <c r="B1886" s="7"/>
      <c r="C1886" s="7"/>
      <c r="D1886" s="7"/>
      <c r="E1886" s="36">
        <v>162</v>
      </c>
      <c r="F1886" s="36" t="s">
        <v>2172</v>
      </c>
      <c r="G1886" s="36">
        <v>503230</v>
      </c>
      <c r="H1886" s="36" t="s">
        <v>168</v>
      </c>
      <c r="I1886" s="37">
        <v>3.3730000000000003E-2</v>
      </c>
      <c r="J1886" s="7"/>
      <c r="K1886" s="7" t="str">
        <f>VLOOKUP($E1886,Mapping!$E$11:$I$96,3,0)</f>
        <v>Augmentation</v>
      </c>
      <c r="L1886" s="7" t="str">
        <f>VLOOKUP($G1886,Mapping!$E$140:$K$2771,5,0)</f>
        <v>Contracts</v>
      </c>
      <c r="M1886" s="7" t="str">
        <f>VLOOKUP($G1886,Mapping!$E$140:$K$2771,7,0)</f>
        <v>ENDirect</v>
      </c>
      <c r="N1886" s="7" t="str">
        <f>IFERROR(HLOOKUP(L1886,'Calc|Weightings'!$K$5:$M$5,1,0),"Excl")</f>
        <v>Contracts</v>
      </c>
      <c r="O1886" s="7" t="str">
        <f>VLOOKUP(E1886,Mapping!$E$11:$I$96,5,0)</f>
        <v>SCS</v>
      </c>
      <c r="Q1886" s="7"/>
      <c r="R1886" s="7"/>
      <c r="S1886" s="7"/>
      <c r="T1886" s="7"/>
      <c r="U1886" s="7"/>
      <c r="V1886" s="7"/>
      <c r="AC1886" s="7"/>
      <c r="AD1886" s="7"/>
      <c r="AE1886" s="7"/>
      <c r="AF1886" s="7"/>
      <c r="AG1886" s="7"/>
      <c r="AO1886" s="7"/>
      <c r="AP1886" s="7"/>
      <c r="AQ1886" s="7"/>
      <c r="AR1886" s="7"/>
      <c r="AS1886" s="7"/>
    </row>
    <row r="1887" spans="1:45" x14ac:dyDescent="0.2">
      <c r="A1887" s="7"/>
      <c r="B1887" s="7"/>
      <c r="C1887" s="7"/>
      <c r="D1887" s="7"/>
      <c r="E1887" s="36">
        <v>162</v>
      </c>
      <c r="F1887" s="36" t="s">
        <v>2172</v>
      </c>
      <c r="G1887" s="36">
        <v>503240</v>
      </c>
      <c r="H1887" s="36" t="s">
        <v>169</v>
      </c>
      <c r="I1887" s="37">
        <v>0.1739</v>
      </c>
      <c r="J1887" s="7"/>
      <c r="K1887" s="7" t="str">
        <f>VLOOKUP($E1887,Mapping!$E$11:$I$96,3,0)</f>
        <v>Augmentation</v>
      </c>
      <c r="L1887" s="7" t="str">
        <f>VLOOKUP($G1887,Mapping!$E$140:$K$2771,5,0)</f>
        <v>Contracts</v>
      </c>
      <c r="M1887" s="7" t="str">
        <f>VLOOKUP($G1887,Mapping!$E$140:$K$2771,7,0)</f>
        <v>ENDirect</v>
      </c>
      <c r="N1887" s="7" t="str">
        <f>IFERROR(HLOOKUP(L1887,'Calc|Weightings'!$K$5:$M$5,1,0),"Excl")</f>
        <v>Contracts</v>
      </c>
      <c r="O1887" s="7" t="str">
        <f>VLOOKUP(E1887,Mapping!$E$11:$I$96,5,0)</f>
        <v>SCS</v>
      </c>
      <c r="Q1887" s="7"/>
      <c r="R1887" s="7"/>
      <c r="S1887" s="7"/>
      <c r="T1887" s="7"/>
      <c r="U1887" s="7"/>
      <c r="V1887" s="7"/>
      <c r="AC1887" s="7"/>
      <c r="AD1887" s="7"/>
      <c r="AE1887" s="7"/>
      <c r="AF1887" s="7"/>
      <c r="AG1887" s="7"/>
      <c r="AO1887" s="7"/>
      <c r="AP1887" s="7"/>
      <c r="AQ1887" s="7"/>
      <c r="AR1887" s="7"/>
      <c r="AS1887" s="7"/>
    </row>
    <row r="1888" spans="1:45" x14ac:dyDescent="0.2">
      <c r="A1888" s="7"/>
      <c r="B1888" s="7"/>
      <c r="C1888" s="7"/>
      <c r="D1888" s="7"/>
      <c r="E1888" s="36">
        <v>162</v>
      </c>
      <c r="F1888" s="36" t="s">
        <v>2172</v>
      </c>
      <c r="G1888" s="36">
        <v>503260</v>
      </c>
      <c r="H1888" s="36" t="s">
        <v>171</v>
      </c>
      <c r="I1888" s="37">
        <v>0.93181999999999998</v>
      </c>
      <c r="J1888" s="7"/>
      <c r="K1888" s="7" t="str">
        <f>VLOOKUP($E1888,Mapping!$E$11:$I$96,3,0)</f>
        <v>Augmentation</v>
      </c>
      <c r="L1888" s="7" t="str">
        <f>VLOOKUP($G1888,Mapping!$E$140:$K$2771,5,0)</f>
        <v>Labour</v>
      </c>
      <c r="M1888" s="7" t="str">
        <f>VLOOKUP($G1888,Mapping!$E$140:$K$2771,7,0)</f>
        <v>ENDirect</v>
      </c>
      <c r="N1888" s="7" t="str">
        <f>IFERROR(HLOOKUP(L1888,'Calc|Weightings'!$K$5:$M$5,1,0),"Excl")</f>
        <v>Labour</v>
      </c>
      <c r="O1888" s="7" t="str">
        <f>VLOOKUP(E1888,Mapping!$E$11:$I$96,5,0)</f>
        <v>SCS</v>
      </c>
      <c r="Q1888" s="7"/>
      <c r="R1888" s="7"/>
      <c r="S1888" s="7"/>
      <c r="T1888" s="7"/>
      <c r="U1888" s="7"/>
      <c r="V1888" s="7"/>
      <c r="AC1888" s="7"/>
      <c r="AD1888" s="7"/>
      <c r="AE1888" s="7"/>
      <c r="AF1888" s="7"/>
      <c r="AG1888" s="7"/>
      <c r="AO1888" s="7"/>
      <c r="AP1888" s="7"/>
      <c r="AQ1888" s="7"/>
      <c r="AR1888" s="7"/>
      <c r="AS1888" s="7"/>
    </row>
    <row r="1889" spans="1:45" x14ac:dyDescent="0.2">
      <c r="A1889" s="7"/>
      <c r="B1889" s="7"/>
      <c r="C1889" s="7"/>
      <c r="D1889" s="7"/>
      <c r="E1889" s="36">
        <v>162</v>
      </c>
      <c r="F1889" s="36" t="s">
        <v>2172</v>
      </c>
      <c r="G1889" s="36">
        <v>503281</v>
      </c>
      <c r="H1889" s="36" t="s">
        <v>2198</v>
      </c>
      <c r="I1889" s="37">
        <v>5.7016400000000003</v>
      </c>
      <c r="J1889" s="7"/>
      <c r="K1889" s="7" t="str">
        <f>VLOOKUP($E1889,Mapping!$E$11:$I$96,3,0)</f>
        <v>Augmentation</v>
      </c>
      <c r="L1889" s="7" t="str">
        <f>VLOOKUP($G1889,Mapping!$E$140:$K$2771,5,0)</f>
        <v>Contracts</v>
      </c>
      <c r="M1889" s="7" t="str">
        <f>VLOOKUP($G1889,Mapping!$E$140:$K$2771,7,0)</f>
        <v>ENDirect</v>
      </c>
      <c r="N1889" s="7" t="str">
        <f>IFERROR(HLOOKUP(L1889,'Calc|Weightings'!$K$5:$M$5,1,0),"Excl")</f>
        <v>Contracts</v>
      </c>
      <c r="O1889" s="7" t="str">
        <f>VLOOKUP(E1889,Mapping!$E$11:$I$96,5,0)</f>
        <v>SCS</v>
      </c>
      <c r="Q1889" s="7"/>
      <c r="R1889" s="7"/>
      <c r="S1889" s="7"/>
      <c r="T1889" s="7"/>
      <c r="U1889" s="7"/>
      <c r="V1889" s="7"/>
      <c r="AC1889" s="7"/>
      <c r="AD1889" s="7"/>
      <c r="AE1889" s="7"/>
      <c r="AF1889" s="7"/>
      <c r="AG1889" s="7"/>
      <c r="AO1889" s="7"/>
      <c r="AP1889" s="7"/>
      <c r="AQ1889" s="7"/>
      <c r="AR1889" s="7"/>
      <c r="AS1889" s="7"/>
    </row>
    <row r="1890" spans="1:45" x14ac:dyDescent="0.2">
      <c r="A1890" s="7"/>
      <c r="B1890" s="7"/>
      <c r="C1890" s="7"/>
      <c r="D1890" s="7"/>
      <c r="E1890" s="36">
        <v>162</v>
      </c>
      <c r="F1890" s="36" t="s">
        <v>2172</v>
      </c>
      <c r="G1890" s="36">
        <v>503340</v>
      </c>
      <c r="H1890" s="36" t="s">
        <v>181</v>
      </c>
      <c r="I1890" s="37">
        <v>9.7820000000000004E-2</v>
      </c>
      <c r="J1890" s="7"/>
      <c r="K1890" s="7" t="str">
        <f>VLOOKUP($E1890,Mapping!$E$11:$I$96,3,0)</f>
        <v>Augmentation</v>
      </c>
      <c r="L1890" s="7" t="str">
        <f>VLOOKUP($G1890,Mapping!$E$140:$K$2771,5,0)</f>
        <v>Contracts</v>
      </c>
      <c r="M1890" s="7" t="str">
        <f>VLOOKUP($G1890,Mapping!$E$140:$K$2771,7,0)</f>
        <v>ENDirect</v>
      </c>
      <c r="N1890" s="7" t="str">
        <f>IFERROR(HLOOKUP(L1890,'Calc|Weightings'!$K$5:$M$5,1,0),"Excl")</f>
        <v>Contracts</v>
      </c>
      <c r="O1890" s="7" t="str">
        <f>VLOOKUP(E1890,Mapping!$E$11:$I$96,5,0)</f>
        <v>SCS</v>
      </c>
      <c r="Q1890" s="7"/>
      <c r="R1890" s="7"/>
      <c r="S1890" s="7"/>
      <c r="T1890" s="7"/>
      <c r="U1890" s="7"/>
      <c r="V1890" s="7"/>
      <c r="AC1890" s="7"/>
      <c r="AD1890" s="7"/>
      <c r="AE1890" s="7"/>
      <c r="AF1890" s="7"/>
      <c r="AG1890" s="7"/>
      <c r="AO1890" s="7"/>
      <c r="AP1890" s="7"/>
      <c r="AQ1890" s="7"/>
      <c r="AR1890" s="7"/>
      <c r="AS1890" s="7"/>
    </row>
    <row r="1891" spans="1:45" x14ac:dyDescent="0.2">
      <c r="A1891" s="7"/>
      <c r="B1891" s="7"/>
      <c r="C1891" s="7"/>
      <c r="D1891" s="7"/>
      <c r="E1891" s="36">
        <v>162</v>
      </c>
      <c r="F1891" s="36" t="s">
        <v>2172</v>
      </c>
      <c r="G1891" s="36">
        <v>503350</v>
      </c>
      <c r="H1891" s="36" t="s">
        <v>182</v>
      </c>
      <c r="I1891" s="37">
        <v>0.55962000000000001</v>
      </c>
      <c r="J1891" s="7"/>
      <c r="K1891" s="7" t="str">
        <f>VLOOKUP($E1891,Mapping!$E$11:$I$96,3,0)</f>
        <v>Augmentation</v>
      </c>
      <c r="L1891" s="7" t="str">
        <f>VLOOKUP($G1891,Mapping!$E$140:$K$2771,5,0)</f>
        <v>Contracts</v>
      </c>
      <c r="M1891" s="7" t="str">
        <f>VLOOKUP($G1891,Mapping!$E$140:$K$2771,7,0)</f>
        <v>ENDirect</v>
      </c>
      <c r="N1891" s="7" t="str">
        <f>IFERROR(HLOOKUP(L1891,'Calc|Weightings'!$K$5:$M$5,1,0),"Excl")</f>
        <v>Contracts</v>
      </c>
      <c r="O1891" s="7" t="str">
        <f>VLOOKUP(E1891,Mapping!$E$11:$I$96,5,0)</f>
        <v>SCS</v>
      </c>
      <c r="Q1891" s="7"/>
      <c r="R1891" s="7"/>
      <c r="S1891" s="7"/>
      <c r="T1891" s="7"/>
      <c r="U1891" s="7"/>
      <c r="V1891" s="7"/>
      <c r="AC1891" s="7"/>
      <c r="AD1891" s="7"/>
      <c r="AE1891" s="7"/>
      <c r="AF1891" s="7"/>
      <c r="AG1891" s="7"/>
      <c r="AO1891" s="7"/>
      <c r="AP1891" s="7"/>
      <c r="AQ1891" s="7"/>
      <c r="AR1891" s="7"/>
      <c r="AS1891" s="7"/>
    </row>
    <row r="1892" spans="1:45" x14ac:dyDescent="0.2">
      <c r="A1892" s="7"/>
      <c r="B1892" s="7"/>
      <c r="C1892" s="7"/>
      <c r="D1892" s="7"/>
      <c r="E1892" s="36">
        <v>162</v>
      </c>
      <c r="F1892" s="36" t="s">
        <v>2172</v>
      </c>
      <c r="G1892" s="36">
        <v>520100</v>
      </c>
      <c r="H1892" s="36" t="s">
        <v>2072</v>
      </c>
      <c r="I1892" s="37">
        <v>362.05336</v>
      </c>
      <c r="J1892" s="7"/>
      <c r="K1892" s="7" t="str">
        <f>VLOOKUP($E1892,Mapping!$E$11:$I$96,3,0)</f>
        <v>Augmentation</v>
      </c>
      <c r="L1892" s="7" t="str">
        <f>VLOOKUP($G1892,Mapping!$E$140:$K$2771,5,0)</f>
        <v>Materials</v>
      </c>
      <c r="M1892" s="7" t="str">
        <f>VLOOKUP($G1892,Mapping!$E$140:$K$2771,7,0)</f>
        <v>ENDirect</v>
      </c>
      <c r="N1892" s="7" t="str">
        <f>IFERROR(HLOOKUP(L1892,'Calc|Weightings'!$K$5:$M$5,1,0),"Excl")</f>
        <v>Materials</v>
      </c>
      <c r="O1892" s="7" t="str">
        <f>VLOOKUP(E1892,Mapping!$E$11:$I$96,5,0)</f>
        <v>SCS</v>
      </c>
      <c r="Q1892" s="7"/>
      <c r="R1892" s="7"/>
      <c r="S1892" s="7"/>
      <c r="T1892" s="7"/>
      <c r="U1892" s="7"/>
      <c r="V1892" s="7"/>
      <c r="AC1892" s="7"/>
      <c r="AD1892" s="7"/>
      <c r="AE1892" s="7"/>
      <c r="AF1892" s="7"/>
      <c r="AG1892" s="7"/>
      <c r="AO1892" s="7"/>
      <c r="AP1892" s="7"/>
      <c r="AQ1892" s="7"/>
      <c r="AR1892" s="7"/>
      <c r="AS1892" s="7"/>
    </row>
    <row r="1893" spans="1:45" x14ac:dyDescent="0.2">
      <c r="A1893" s="7"/>
      <c r="B1893" s="7"/>
      <c r="C1893" s="7"/>
      <c r="D1893" s="7"/>
      <c r="E1893" s="36">
        <v>162</v>
      </c>
      <c r="F1893" s="36" t="s">
        <v>2172</v>
      </c>
      <c r="G1893" s="36">
        <v>520150</v>
      </c>
      <c r="H1893" s="36" t="s">
        <v>2205</v>
      </c>
      <c r="I1893" s="37">
        <v>4.9799999999999997E-2</v>
      </c>
      <c r="J1893" s="7"/>
      <c r="K1893" s="7" t="str">
        <f>VLOOKUP($E1893,Mapping!$E$11:$I$96,3,0)</f>
        <v>Augmentation</v>
      </c>
      <c r="L1893" s="7" t="str">
        <f>VLOOKUP($G1893,Mapping!$E$140:$K$2771,5,0)</f>
        <v>Materials</v>
      </c>
      <c r="M1893" s="7" t="str">
        <f>VLOOKUP($G1893,Mapping!$E$140:$K$2771,7,0)</f>
        <v>ENDirect</v>
      </c>
      <c r="N1893" s="7" t="str">
        <f>IFERROR(HLOOKUP(L1893,'Calc|Weightings'!$K$5:$M$5,1,0),"Excl")</f>
        <v>Materials</v>
      </c>
      <c r="O1893" s="7" t="str">
        <f>VLOOKUP(E1893,Mapping!$E$11:$I$96,5,0)</f>
        <v>SCS</v>
      </c>
      <c r="Q1893" s="7"/>
      <c r="R1893" s="7"/>
      <c r="S1893" s="7"/>
      <c r="T1893" s="7"/>
      <c r="U1893" s="7"/>
      <c r="V1893" s="7"/>
      <c r="AC1893" s="7"/>
      <c r="AD1893" s="7"/>
      <c r="AE1893" s="7"/>
      <c r="AF1893" s="7"/>
      <c r="AG1893" s="7"/>
      <c r="AO1893" s="7"/>
      <c r="AP1893" s="7"/>
      <c r="AQ1893" s="7"/>
      <c r="AR1893" s="7"/>
      <c r="AS1893" s="7"/>
    </row>
    <row r="1894" spans="1:45" x14ac:dyDescent="0.2">
      <c r="A1894" s="7"/>
      <c r="B1894" s="7"/>
      <c r="C1894" s="7"/>
      <c r="D1894" s="7"/>
      <c r="E1894" s="36">
        <v>162</v>
      </c>
      <c r="F1894" s="36" t="s">
        <v>2172</v>
      </c>
      <c r="G1894" s="36">
        <v>520200</v>
      </c>
      <c r="H1894" s="36" t="s">
        <v>2073</v>
      </c>
      <c r="I1894" s="37">
        <v>27.978259999999999</v>
      </c>
      <c r="J1894" s="7"/>
      <c r="K1894" s="7" t="str">
        <f>VLOOKUP($E1894,Mapping!$E$11:$I$96,3,0)</f>
        <v>Augmentation</v>
      </c>
      <c r="L1894" s="7" t="str">
        <f>VLOOKUP($G1894,Mapping!$E$140:$K$2771,5,0)</f>
        <v>Materials</v>
      </c>
      <c r="M1894" s="7" t="str">
        <f>VLOOKUP($G1894,Mapping!$E$140:$K$2771,7,0)</f>
        <v>ENDirect</v>
      </c>
      <c r="N1894" s="7" t="str">
        <f>IFERROR(HLOOKUP(L1894,'Calc|Weightings'!$K$5:$M$5,1,0),"Excl")</f>
        <v>Materials</v>
      </c>
      <c r="O1894" s="7" t="str">
        <f>VLOOKUP(E1894,Mapping!$E$11:$I$96,5,0)</f>
        <v>SCS</v>
      </c>
      <c r="Q1894" s="7"/>
      <c r="R1894" s="7"/>
      <c r="S1894" s="7"/>
      <c r="T1894" s="7"/>
      <c r="U1894" s="7"/>
      <c r="V1894" s="7"/>
      <c r="AC1894" s="7"/>
      <c r="AD1894" s="7"/>
      <c r="AE1894" s="7"/>
      <c r="AF1894" s="7"/>
      <c r="AG1894" s="7"/>
      <c r="AO1894" s="7"/>
      <c r="AP1894" s="7"/>
      <c r="AQ1894" s="7"/>
      <c r="AR1894" s="7"/>
      <c r="AS1894" s="7"/>
    </row>
    <row r="1895" spans="1:45" x14ac:dyDescent="0.2">
      <c r="A1895" s="7"/>
      <c r="B1895" s="7"/>
      <c r="C1895" s="7"/>
      <c r="D1895" s="7"/>
      <c r="E1895" s="36">
        <v>162</v>
      </c>
      <c r="F1895" s="36" t="s">
        <v>2172</v>
      </c>
      <c r="G1895" s="36">
        <v>523100</v>
      </c>
      <c r="H1895" s="36" t="s">
        <v>2074</v>
      </c>
      <c r="I1895" s="37">
        <v>2.5641799999999999</v>
      </c>
      <c r="J1895" s="7"/>
      <c r="K1895" s="7" t="str">
        <f>VLOOKUP($E1895,Mapping!$E$11:$I$96,3,0)</f>
        <v>Augmentation</v>
      </c>
      <c r="L1895" s="7" t="str">
        <f>VLOOKUP($G1895,Mapping!$E$140:$K$2771,5,0)</f>
        <v>Materials</v>
      </c>
      <c r="M1895" s="7" t="str">
        <f>VLOOKUP($G1895,Mapping!$E$140:$K$2771,7,0)</f>
        <v>ENDirect</v>
      </c>
      <c r="N1895" s="7" t="str">
        <f>IFERROR(HLOOKUP(L1895,'Calc|Weightings'!$K$5:$M$5,1,0),"Excl")</f>
        <v>Materials</v>
      </c>
      <c r="O1895" s="7" t="str">
        <f>VLOOKUP(E1895,Mapping!$E$11:$I$96,5,0)</f>
        <v>SCS</v>
      </c>
      <c r="Q1895" s="7"/>
      <c r="R1895" s="7"/>
      <c r="S1895" s="7"/>
      <c r="T1895" s="7"/>
      <c r="U1895" s="7"/>
      <c r="V1895" s="7"/>
      <c r="AC1895" s="7"/>
      <c r="AD1895" s="7"/>
      <c r="AE1895" s="7"/>
      <c r="AF1895" s="7"/>
      <c r="AG1895" s="7"/>
      <c r="AO1895" s="7"/>
      <c r="AP1895" s="7"/>
      <c r="AQ1895" s="7"/>
      <c r="AR1895" s="7"/>
      <c r="AS1895" s="7"/>
    </row>
    <row r="1896" spans="1:45" x14ac:dyDescent="0.2">
      <c r="A1896" s="7"/>
      <c r="B1896" s="7"/>
      <c r="C1896" s="7"/>
      <c r="D1896" s="7"/>
      <c r="E1896" s="36">
        <v>162</v>
      </c>
      <c r="F1896" s="36" t="s">
        <v>2172</v>
      </c>
      <c r="G1896" s="36">
        <v>523300</v>
      </c>
      <c r="H1896" s="36" t="s">
        <v>2075</v>
      </c>
      <c r="I1896" s="37">
        <v>6.0359800000000003</v>
      </c>
      <c r="J1896" s="7"/>
      <c r="K1896" s="7" t="str">
        <f>VLOOKUP($E1896,Mapping!$E$11:$I$96,3,0)</f>
        <v>Augmentation</v>
      </c>
      <c r="L1896" s="7" t="str">
        <f>VLOOKUP($G1896,Mapping!$E$140:$K$2771,5,0)</f>
        <v>Materials</v>
      </c>
      <c r="M1896" s="7" t="str">
        <f>VLOOKUP($G1896,Mapping!$E$140:$K$2771,7,0)</f>
        <v>ENDirect</v>
      </c>
      <c r="N1896" s="7" t="str">
        <f>IFERROR(HLOOKUP(L1896,'Calc|Weightings'!$K$5:$M$5,1,0),"Excl")</f>
        <v>Materials</v>
      </c>
      <c r="O1896" s="7" t="str">
        <f>VLOOKUP(E1896,Mapping!$E$11:$I$96,5,0)</f>
        <v>SCS</v>
      </c>
      <c r="Q1896" s="7"/>
      <c r="R1896" s="7"/>
      <c r="S1896" s="7"/>
      <c r="T1896" s="7"/>
      <c r="U1896" s="7"/>
      <c r="V1896" s="7"/>
      <c r="AC1896" s="7"/>
      <c r="AD1896" s="7"/>
      <c r="AE1896" s="7"/>
      <c r="AF1896" s="7"/>
      <c r="AG1896" s="7"/>
      <c r="AO1896" s="7"/>
      <c r="AP1896" s="7"/>
      <c r="AQ1896" s="7"/>
      <c r="AR1896" s="7"/>
      <c r="AS1896" s="7"/>
    </row>
    <row r="1897" spans="1:45" x14ac:dyDescent="0.2">
      <c r="A1897" s="7"/>
      <c r="B1897" s="7"/>
      <c r="C1897" s="7"/>
      <c r="D1897" s="7"/>
      <c r="E1897" s="36">
        <v>162</v>
      </c>
      <c r="F1897" s="36" t="s">
        <v>2172</v>
      </c>
      <c r="G1897" s="36">
        <v>531000</v>
      </c>
      <c r="H1897" s="36" t="s">
        <v>242</v>
      </c>
      <c r="I1897" s="37">
        <v>0.23300000000000001</v>
      </c>
      <c r="J1897" s="7"/>
      <c r="K1897" s="7" t="str">
        <f>VLOOKUP($E1897,Mapping!$E$11:$I$96,3,0)</f>
        <v>Augmentation</v>
      </c>
      <c r="L1897" s="7" t="str">
        <f>VLOOKUP($G1897,Mapping!$E$140:$K$2771,5,0)</f>
        <v>Contracts</v>
      </c>
      <c r="M1897" s="7" t="str">
        <f>VLOOKUP($G1897,Mapping!$E$140:$K$2771,7,0)</f>
        <v>ENDirect</v>
      </c>
      <c r="N1897" s="7" t="str">
        <f>IFERROR(HLOOKUP(L1897,'Calc|Weightings'!$K$5:$M$5,1,0),"Excl")</f>
        <v>Contracts</v>
      </c>
      <c r="O1897" s="7" t="str">
        <f>VLOOKUP(E1897,Mapping!$E$11:$I$96,5,0)</f>
        <v>SCS</v>
      </c>
      <c r="Q1897" s="7"/>
      <c r="R1897" s="7"/>
      <c r="S1897" s="7"/>
      <c r="T1897" s="7"/>
      <c r="U1897" s="7"/>
      <c r="V1897" s="7"/>
      <c r="AC1897" s="7"/>
      <c r="AD1897" s="7"/>
      <c r="AE1897" s="7"/>
      <c r="AF1897" s="7"/>
      <c r="AG1897" s="7"/>
      <c r="AO1897" s="7"/>
      <c r="AP1897" s="7"/>
      <c r="AQ1897" s="7"/>
      <c r="AR1897" s="7"/>
      <c r="AS1897" s="7"/>
    </row>
    <row r="1898" spans="1:45" x14ac:dyDescent="0.2">
      <c r="A1898" s="7"/>
      <c r="B1898" s="7"/>
      <c r="C1898" s="7"/>
      <c r="D1898" s="7"/>
      <c r="E1898" s="36">
        <v>162</v>
      </c>
      <c r="F1898" s="36" t="s">
        <v>2172</v>
      </c>
      <c r="G1898" s="36">
        <v>531020</v>
      </c>
      <c r="H1898" s="36" t="s">
        <v>219</v>
      </c>
      <c r="I1898" s="37">
        <v>6.45</v>
      </c>
      <c r="J1898" s="7"/>
      <c r="K1898" s="7" t="str">
        <f>VLOOKUP($E1898,Mapping!$E$11:$I$96,3,0)</f>
        <v>Augmentation</v>
      </c>
      <c r="L1898" s="7" t="str">
        <f>VLOOKUP($G1898,Mapping!$E$140:$K$2771,5,0)</f>
        <v>Labour</v>
      </c>
      <c r="M1898" s="7" t="str">
        <f>VLOOKUP($G1898,Mapping!$E$140:$K$2771,7,0)</f>
        <v>ENDirect</v>
      </c>
      <c r="N1898" s="7" t="str">
        <f>IFERROR(HLOOKUP(L1898,'Calc|Weightings'!$K$5:$M$5,1,0),"Excl")</f>
        <v>Labour</v>
      </c>
      <c r="O1898" s="7" t="str">
        <f>VLOOKUP(E1898,Mapping!$E$11:$I$96,5,0)</f>
        <v>SCS</v>
      </c>
      <c r="Q1898" s="7"/>
      <c r="R1898" s="7"/>
      <c r="S1898" s="7"/>
      <c r="T1898" s="7"/>
      <c r="U1898" s="7"/>
      <c r="V1898" s="7"/>
      <c r="AC1898" s="7"/>
      <c r="AD1898" s="7"/>
      <c r="AE1898" s="7"/>
      <c r="AF1898" s="7"/>
      <c r="AG1898" s="7"/>
      <c r="AO1898" s="7"/>
      <c r="AP1898" s="7"/>
      <c r="AQ1898" s="7"/>
      <c r="AR1898" s="7"/>
      <c r="AS1898" s="7"/>
    </row>
    <row r="1899" spans="1:45" x14ac:dyDescent="0.2">
      <c r="A1899" s="7"/>
      <c r="B1899" s="7"/>
      <c r="C1899" s="7"/>
      <c r="D1899" s="7"/>
      <c r="E1899" s="36">
        <v>162</v>
      </c>
      <c r="F1899" s="36" t="s">
        <v>2172</v>
      </c>
      <c r="G1899" s="36">
        <v>531035</v>
      </c>
      <c r="H1899" s="36" t="s">
        <v>244</v>
      </c>
      <c r="I1899" s="37">
        <v>137.68888000000001</v>
      </c>
      <c r="J1899" s="7"/>
      <c r="K1899" s="7" t="str">
        <f>VLOOKUP($E1899,Mapping!$E$11:$I$96,3,0)</f>
        <v>Augmentation</v>
      </c>
      <c r="L1899" s="7" t="str">
        <f>VLOOKUP($G1899,Mapping!$E$140:$K$2771,5,0)</f>
        <v>Labour</v>
      </c>
      <c r="M1899" s="7" t="str">
        <f>VLOOKUP($G1899,Mapping!$E$140:$K$2771,7,0)</f>
        <v>ENDirect</v>
      </c>
      <c r="N1899" s="7" t="str">
        <f>IFERROR(HLOOKUP(L1899,'Calc|Weightings'!$K$5:$M$5,1,0),"Excl")</f>
        <v>Labour</v>
      </c>
      <c r="O1899" s="7" t="str">
        <f>VLOOKUP(E1899,Mapping!$E$11:$I$96,5,0)</f>
        <v>SCS</v>
      </c>
      <c r="Q1899" s="7"/>
      <c r="R1899" s="7"/>
      <c r="S1899" s="7"/>
      <c r="T1899" s="7"/>
      <c r="U1899" s="7"/>
      <c r="V1899" s="7"/>
      <c r="AC1899" s="7"/>
      <c r="AD1899" s="7"/>
      <c r="AE1899" s="7"/>
      <c r="AF1899" s="7"/>
      <c r="AG1899" s="7"/>
      <c r="AO1899" s="7"/>
      <c r="AP1899" s="7"/>
      <c r="AQ1899" s="7"/>
      <c r="AR1899" s="7"/>
      <c r="AS1899" s="7"/>
    </row>
    <row r="1900" spans="1:45" x14ac:dyDescent="0.2">
      <c r="A1900" s="7"/>
      <c r="B1900" s="7"/>
      <c r="C1900" s="7"/>
      <c r="D1900" s="7"/>
      <c r="E1900" s="36">
        <v>162</v>
      </c>
      <c r="F1900" s="36" t="s">
        <v>2172</v>
      </c>
      <c r="G1900" s="36">
        <v>531200</v>
      </c>
      <c r="H1900" s="36" t="s">
        <v>250</v>
      </c>
      <c r="I1900" s="37">
        <v>66.941149999999993</v>
      </c>
      <c r="J1900" s="7"/>
      <c r="K1900" s="7" t="str">
        <f>VLOOKUP($E1900,Mapping!$E$11:$I$96,3,0)</f>
        <v>Augmentation</v>
      </c>
      <c r="L1900" s="7" t="str">
        <f>VLOOKUP($G1900,Mapping!$E$140:$K$2771,5,0)</f>
        <v>Contracts</v>
      </c>
      <c r="M1900" s="7" t="str">
        <f>VLOOKUP($G1900,Mapping!$E$140:$K$2771,7,0)</f>
        <v>ENDirect</v>
      </c>
      <c r="N1900" s="7" t="str">
        <f>IFERROR(HLOOKUP(L1900,'Calc|Weightings'!$K$5:$M$5,1,0),"Excl")</f>
        <v>Contracts</v>
      </c>
      <c r="O1900" s="7" t="str">
        <f>VLOOKUP(E1900,Mapping!$E$11:$I$96,5,0)</f>
        <v>SCS</v>
      </c>
      <c r="Q1900" s="7"/>
      <c r="R1900" s="7"/>
      <c r="S1900" s="7"/>
      <c r="T1900" s="7"/>
      <c r="U1900" s="7"/>
      <c r="V1900" s="7"/>
      <c r="AC1900" s="7"/>
      <c r="AD1900" s="7"/>
      <c r="AE1900" s="7"/>
      <c r="AF1900" s="7"/>
      <c r="AG1900" s="7"/>
      <c r="AO1900" s="7"/>
      <c r="AP1900" s="7"/>
      <c r="AQ1900" s="7"/>
      <c r="AR1900" s="7"/>
      <c r="AS1900" s="7"/>
    </row>
    <row r="1901" spans="1:45" x14ac:dyDescent="0.2">
      <c r="A1901" s="7"/>
      <c r="B1901" s="7"/>
      <c r="C1901" s="7"/>
      <c r="D1901" s="7"/>
      <c r="E1901" s="36">
        <v>162</v>
      </c>
      <c r="F1901" s="36" t="s">
        <v>2172</v>
      </c>
      <c r="G1901" s="36">
        <v>531201</v>
      </c>
      <c r="H1901" s="36" t="s">
        <v>251</v>
      </c>
      <c r="I1901" s="37">
        <v>20.88</v>
      </c>
      <c r="J1901" s="7"/>
      <c r="K1901" s="7" t="str">
        <f>VLOOKUP($E1901,Mapping!$E$11:$I$96,3,0)</f>
        <v>Augmentation</v>
      </c>
      <c r="L1901" s="7" t="str">
        <f>VLOOKUP($G1901,Mapping!$E$140:$K$2771,5,0)</f>
        <v>Contracts</v>
      </c>
      <c r="M1901" s="7" t="str">
        <f>VLOOKUP($G1901,Mapping!$E$140:$K$2771,7,0)</f>
        <v>ENDirect</v>
      </c>
      <c r="N1901" s="7" t="str">
        <f>IFERROR(HLOOKUP(L1901,'Calc|Weightings'!$K$5:$M$5,1,0),"Excl")</f>
        <v>Contracts</v>
      </c>
      <c r="O1901" s="7" t="str">
        <f>VLOOKUP(E1901,Mapping!$E$11:$I$96,5,0)</f>
        <v>SCS</v>
      </c>
      <c r="Q1901" s="7"/>
      <c r="R1901" s="7"/>
      <c r="S1901" s="7"/>
      <c r="T1901" s="7"/>
      <c r="U1901" s="7"/>
      <c r="V1901" s="7"/>
      <c r="AC1901" s="7"/>
      <c r="AD1901" s="7"/>
      <c r="AE1901" s="7"/>
      <c r="AF1901" s="7"/>
      <c r="AG1901" s="7"/>
      <c r="AO1901" s="7"/>
      <c r="AP1901" s="7"/>
      <c r="AQ1901" s="7"/>
      <c r="AR1901" s="7"/>
      <c r="AS1901" s="7"/>
    </row>
    <row r="1902" spans="1:45" x14ac:dyDescent="0.2">
      <c r="A1902" s="7"/>
      <c r="B1902" s="7"/>
      <c r="C1902" s="7"/>
      <c r="D1902" s="7"/>
      <c r="E1902" s="36">
        <v>162</v>
      </c>
      <c r="F1902" s="36" t="s">
        <v>2172</v>
      </c>
      <c r="G1902" s="36">
        <v>531464</v>
      </c>
      <c r="H1902" s="36" t="s">
        <v>256</v>
      </c>
      <c r="I1902" s="37">
        <v>1258.6727599999999</v>
      </c>
      <c r="J1902" s="7"/>
      <c r="K1902" s="7" t="str">
        <f>VLOOKUP($E1902,Mapping!$E$11:$I$96,3,0)</f>
        <v>Augmentation</v>
      </c>
      <c r="L1902" s="7" t="str">
        <f>VLOOKUP($G1902,Mapping!$E$140:$K$2771,5,0)</f>
        <v>Contracts</v>
      </c>
      <c r="M1902" s="7" t="str">
        <f>VLOOKUP($G1902,Mapping!$E$140:$K$2771,7,0)</f>
        <v>ENDirect</v>
      </c>
      <c r="N1902" s="7" t="str">
        <f>IFERROR(HLOOKUP(L1902,'Calc|Weightings'!$K$5:$M$5,1,0),"Excl")</f>
        <v>Contracts</v>
      </c>
      <c r="O1902" s="7" t="str">
        <f>VLOOKUP(E1902,Mapping!$E$11:$I$96,5,0)</f>
        <v>SCS</v>
      </c>
      <c r="Q1902" s="7"/>
      <c r="R1902" s="7"/>
      <c r="S1902" s="7"/>
      <c r="T1902" s="7"/>
      <c r="U1902" s="7"/>
      <c r="V1902" s="7"/>
      <c r="AC1902" s="7"/>
      <c r="AD1902" s="7"/>
      <c r="AE1902" s="7"/>
      <c r="AF1902" s="7"/>
      <c r="AG1902" s="7"/>
      <c r="AO1902" s="7"/>
      <c r="AP1902" s="7"/>
      <c r="AQ1902" s="7"/>
      <c r="AR1902" s="7"/>
      <c r="AS1902" s="7"/>
    </row>
    <row r="1903" spans="1:45" x14ac:dyDescent="0.2">
      <c r="A1903" s="7"/>
      <c r="B1903" s="7"/>
      <c r="C1903" s="7"/>
      <c r="D1903" s="7"/>
      <c r="E1903" s="36">
        <v>162</v>
      </c>
      <c r="F1903" s="36" t="s">
        <v>2172</v>
      </c>
      <c r="G1903" s="36">
        <v>531466</v>
      </c>
      <c r="H1903" s="36" t="s">
        <v>258</v>
      </c>
      <c r="I1903" s="37">
        <v>89.863420000000005</v>
      </c>
      <c r="J1903" s="7"/>
      <c r="K1903" s="7" t="str">
        <f>VLOOKUP($E1903,Mapping!$E$11:$I$96,3,0)</f>
        <v>Augmentation</v>
      </c>
      <c r="L1903" s="7" t="str">
        <f>VLOOKUP($G1903,Mapping!$E$140:$K$2771,5,0)</f>
        <v>Contracts</v>
      </c>
      <c r="M1903" s="7" t="str">
        <f>VLOOKUP($G1903,Mapping!$E$140:$K$2771,7,0)</f>
        <v>ENDirect</v>
      </c>
      <c r="N1903" s="7" t="str">
        <f>IFERROR(HLOOKUP(L1903,'Calc|Weightings'!$K$5:$M$5,1,0),"Excl")</f>
        <v>Contracts</v>
      </c>
      <c r="O1903" s="7" t="str">
        <f>VLOOKUP(E1903,Mapping!$E$11:$I$96,5,0)</f>
        <v>SCS</v>
      </c>
      <c r="Q1903" s="7"/>
      <c r="R1903" s="7"/>
      <c r="S1903" s="7"/>
      <c r="T1903" s="7"/>
      <c r="U1903" s="7"/>
      <c r="V1903" s="7"/>
      <c r="AC1903" s="7"/>
      <c r="AD1903" s="7"/>
      <c r="AE1903" s="7"/>
      <c r="AF1903" s="7"/>
      <c r="AG1903" s="7"/>
      <c r="AO1903" s="7"/>
      <c r="AP1903" s="7"/>
      <c r="AQ1903" s="7"/>
      <c r="AR1903" s="7"/>
      <c r="AS1903" s="7"/>
    </row>
    <row r="1904" spans="1:45" x14ac:dyDescent="0.2">
      <c r="A1904" s="7"/>
      <c r="B1904" s="7"/>
      <c r="C1904" s="7"/>
      <c r="D1904" s="7"/>
      <c r="E1904" s="36">
        <v>162</v>
      </c>
      <c r="F1904" s="36" t="s">
        <v>2172</v>
      </c>
      <c r="G1904" s="36">
        <v>531467</v>
      </c>
      <c r="H1904" s="36" t="s">
        <v>259</v>
      </c>
      <c r="I1904" s="37">
        <v>306.44992000000002</v>
      </c>
      <c r="J1904" s="7"/>
      <c r="K1904" s="7" t="str">
        <f>VLOOKUP($E1904,Mapping!$E$11:$I$96,3,0)</f>
        <v>Augmentation</v>
      </c>
      <c r="L1904" s="7" t="str">
        <f>VLOOKUP($G1904,Mapping!$E$140:$K$2771,5,0)</f>
        <v>Contracts</v>
      </c>
      <c r="M1904" s="7" t="str">
        <f>VLOOKUP($G1904,Mapping!$E$140:$K$2771,7,0)</f>
        <v>ENDirect</v>
      </c>
      <c r="N1904" s="7" t="str">
        <f>IFERROR(HLOOKUP(L1904,'Calc|Weightings'!$K$5:$M$5,1,0),"Excl")</f>
        <v>Contracts</v>
      </c>
      <c r="O1904" s="7" t="str">
        <f>VLOOKUP(E1904,Mapping!$E$11:$I$96,5,0)</f>
        <v>SCS</v>
      </c>
      <c r="Q1904" s="7"/>
      <c r="R1904" s="7"/>
      <c r="S1904" s="7"/>
      <c r="T1904" s="7"/>
      <c r="U1904" s="7"/>
      <c r="V1904" s="7"/>
      <c r="AC1904" s="7"/>
      <c r="AD1904" s="7"/>
      <c r="AE1904" s="7"/>
      <c r="AF1904" s="7"/>
      <c r="AG1904" s="7"/>
      <c r="AO1904" s="7"/>
      <c r="AP1904" s="7"/>
      <c r="AQ1904" s="7"/>
      <c r="AR1904" s="7"/>
      <c r="AS1904" s="7"/>
    </row>
    <row r="1905" spans="1:45" x14ac:dyDescent="0.2">
      <c r="A1905" s="7"/>
      <c r="B1905" s="7"/>
      <c r="C1905" s="7"/>
      <c r="D1905" s="7"/>
      <c r="E1905" s="36">
        <v>162</v>
      </c>
      <c r="F1905" s="36" t="s">
        <v>2172</v>
      </c>
      <c r="G1905" s="36">
        <v>531468</v>
      </c>
      <c r="H1905" s="36" t="s">
        <v>260</v>
      </c>
      <c r="I1905" s="37">
        <v>280.27652</v>
      </c>
      <c r="J1905" s="7"/>
      <c r="K1905" s="7" t="str">
        <f>VLOOKUP($E1905,Mapping!$E$11:$I$96,3,0)</f>
        <v>Augmentation</v>
      </c>
      <c r="L1905" s="7" t="str">
        <f>VLOOKUP($G1905,Mapping!$E$140:$K$2771,5,0)</f>
        <v>Contracts</v>
      </c>
      <c r="M1905" s="7" t="str">
        <f>VLOOKUP($G1905,Mapping!$E$140:$K$2771,7,0)</f>
        <v>ENDirect</v>
      </c>
      <c r="N1905" s="7" t="str">
        <f>IFERROR(HLOOKUP(L1905,'Calc|Weightings'!$K$5:$M$5,1,0),"Excl")</f>
        <v>Contracts</v>
      </c>
      <c r="O1905" s="7" t="str">
        <f>VLOOKUP(E1905,Mapping!$E$11:$I$96,5,0)</f>
        <v>SCS</v>
      </c>
      <c r="Q1905" s="7"/>
      <c r="R1905" s="7"/>
      <c r="S1905" s="7"/>
      <c r="T1905" s="7"/>
      <c r="U1905" s="7"/>
      <c r="V1905" s="7"/>
      <c r="AC1905" s="7"/>
      <c r="AD1905" s="7"/>
      <c r="AE1905" s="7"/>
      <c r="AF1905" s="7"/>
      <c r="AG1905" s="7"/>
      <c r="AO1905" s="7"/>
      <c r="AP1905" s="7"/>
      <c r="AQ1905" s="7"/>
      <c r="AR1905" s="7"/>
      <c r="AS1905" s="7"/>
    </row>
    <row r="1906" spans="1:45" x14ac:dyDescent="0.2">
      <c r="A1906" s="7"/>
      <c r="B1906" s="7"/>
      <c r="C1906" s="7"/>
      <c r="D1906" s="7"/>
      <c r="E1906" s="36">
        <v>162</v>
      </c>
      <c r="F1906" s="36" t="s">
        <v>2172</v>
      </c>
      <c r="G1906" s="36">
        <v>531469</v>
      </c>
      <c r="H1906" s="36" t="s">
        <v>261</v>
      </c>
      <c r="I1906" s="37">
        <v>1952.0939900000001</v>
      </c>
      <c r="J1906" s="7"/>
      <c r="K1906" s="7" t="str">
        <f>VLOOKUP($E1906,Mapping!$E$11:$I$96,3,0)</f>
        <v>Augmentation</v>
      </c>
      <c r="L1906" s="7" t="str">
        <f>VLOOKUP($G1906,Mapping!$E$140:$K$2771,5,0)</f>
        <v>Labour</v>
      </c>
      <c r="M1906" s="7" t="str">
        <f>VLOOKUP($G1906,Mapping!$E$140:$K$2771,7,0)</f>
        <v>ENDirect</v>
      </c>
      <c r="N1906" s="7" t="str">
        <f>IFERROR(HLOOKUP(L1906,'Calc|Weightings'!$K$5:$M$5,1,0),"Excl")</f>
        <v>Labour</v>
      </c>
      <c r="O1906" s="7" t="str">
        <f>VLOOKUP(E1906,Mapping!$E$11:$I$96,5,0)</f>
        <v>SCS</v>
      </c>
      <c r="Q1906" s="7"/>
      <c r="R1906" s="7"/>
      <c r="S1906" s="7"/>
      <c r="T1906" s="7"/>
      <c r="U1906" s="7"/>
      <c r="V1906" s="7"/>
      <c r="AC1906" s="7"/>
      <c r="AD1906" s="7"/>
      <c r="AE1906" s="7"/>
      <c r="AF1906" s="7"/>
      <c r="AG1906" s="7"/>
      <c r="AO1906" s="7"/>
      <c r="AP1906" s="7"/>
      <c r="AQ1906" s="7"/>
      <c r="AR1906" s="7"/>
      <c r="AS1906" s="7"/>
    </row>
    <row r="1907" spans="1:45" x14ac:dyDescent="0.2">
      <c r="A1907" s="7"/>
      <c r="B1907" s="7"/>
      <c r="C1907" s="7"/>
      <c r="D1907" s="7"/>
      <c r="E1907" s="36">
        <v>162</v>
      </c>
      <c r="F1907" s="36" t="s">
        <v>2172</v>
      </c>
      <c r="G1907" s="36">
        <v>531480</v>
      </c>
      <c r="H1907" s="36" t="s">
        <v>2076</v>
      </c>
      <c r="I1907" s="37">
        <v>9.125</v>
      </c>
      <c r="J1907" s="7"/>
      <c r="K1907" s="7" t="str">
        <f>VLOOKUP($E1907,Mapping!$E$11:$I$96,3,0)</f>
        <v>Augmentation</v>
      </c>
      <c r="L1907" s="7" t="str">
        <f>VLOOKUP($G1907,Mapping!$E$140:$K$2771,5,0)</f>
        <v>Labour</v>
      </c>
      <c r="M1907" s="7" t="str">
        <f>VLOOKUP($G1907,Mapping!$E$140:$K$2771,7,0)</f>
        <v>ENDirect</v>
      </c>
      <c r="N1907" s="7" t="str">
        <f>IFERROR(HLOOKUP(L1907,'Calc|Weightings'!$K$5:$M$5,1,0),"Excl")</f>
        <v>Labour</v>
      </c>
      <c r="O1907" s="7" t="str">
        <f>VLOOKUP(E1907,Mapping!$E$11:$I$96,5,0)</f>
        <v>SCS</v>
      </c>
      <c r="Q1907" s="7"/>
      <c r="R1907" s="7"/>
      <c r="S1907" s="7"/>
      <c r="T1907" s="7"/>
      <c r="U1907" s="7"/>
      <c r="V1907" s="7"/>
      <c r="AC1907" s="7"/>
      <c r="AD1907" s="7"/>
      <c r="AE1907" s="7"/>
      <c r="AF1907" s="7"/>
      <c r="AG1907" s="7"/>
      <c r="AO1907" s="7"/>
      <c r="AP1907" s="7"/>
      <c r="AQ1907" s="7"/>
      <c r="AR1907" s="7"/>
      <c r="AS1907" s="7"/>
    </row>
    <row r="1908" spans="1:45" x14ac:dyDescent="0.2">
      <c r="A1908" s="7"/>
      <c r="B1908" s="7"/>
      <c r="C1908" s="7"/>
      <c r="D1908" s="7"/>
      <c r="E1908" s="36">
        <v>162</v>
      </c>
      <c r="F1908" s="36" t="s">
        <v>2172</v>
      </c>
      <c r="G1908" s="36">
        <v>531485</v>
      </c>
      <c r="H1908" s="36" t="s">
        <v>2350</v>
      </c>
      <c r="I1908" s="37">
        <v>-2.7839999999999998</v>
      </c>
      <c r="J1908" s="7"/>
      <c r="K1908" s="7" t="str">
        <f>VLOOKUP($E1908,Mapping!$E$11:$I$96,3,0)</f>
        <v>Augmentation</v>
      </c>
      <c r="L1908" s="7" t="str">
        <f>VLOOKUP($G1908,Mapping!$E$140:$K$2771,5,0)</f>
        <v>Contracts</v>
      </c>
      <c r="M1908" s="7" t="str">
        <f>VLOOKUP($G1908,Mapping!$E$140:$K$2771,7,0)</f>
        <v>ENDirect</v>
      </c>
      <c r="N1908" s="7" t="str">
        <f>IFERROR(HLOOKUP(L1908,'Calc|Weightings'!$K$5:$M$5,1,0),"Excl")</f>
        <v>Contracts</v>
      </c>
      <c r="O1908" s="7" t="str">
        <f>VLOOKUP(E1908,Mapping!$E$11:$I$96,5,0)</f>
        <v>SCS</v>
      </c>
      <c r="Q1908" s="7"/>
      <c r="R1908" s="7"/>
      <c r="S1908" s="7"/>
      <c r="T1908" s="7"/>
      <c r="U1908" s="7"/>
      <c r="V1908" s="7"/>
      <c r="AC1908" s="7"/>
      <c r="AD1908" s="7"/>
      <c r="AE1908" s="7"/>
      <c r="AF1908" s="7"/>
      <c r="AG1908" s="7"/>
      <c r="AO1908" s="7"/>
      <c r="AP1908" s="7"/>
      <c r="AQ1908" s="7"/>
      <c r="AR1908" s="7"/>
      <c r="AS1908" s="7"/>
    </row>
    <row r="1909" spans="1:45" x14ac:dyDescent="0.2">
      <c r="A1909" s="7"/>
      <c r="B1909" s="7"/>
      <c r="C1909" s="7"/>
      <c r="D1909" s="7"/>
      <c r="E1909" s="36">
        <v>162</v>
      </c>
      <c r="F1909" s="36" t="s">
        <v>2172</v>
      </c>
      <c r="G1909" s="36">
        <v>531492</v>
      </c>
      <c r="H1909" s="36" t="s">
        <v>2382</v>
      </c>
      <c r="I1909" s="37">
        <v>836.71316999999999</v>
      </c>
      <c r="J1909" s="7"/>
      <c r="K1909" s="7" t="str">
        <f>VLOOKUP($E1909,Mapping!$E$11:$I$96,3,0)</f>
        <v>Augmentation</v>
      </c>
      <c r="L1909" s="7" t="str">
        <f>VLOOKUP($G1909,Mapping!$E$140:$K$2771,5,0)</f>
        <v>Contracts</v>
      </c>
      <c r="M1909" s="7" t="str">
        <f>VLOOKUP($G1909,Mapping!$E$140:$K$2771,7,0)</f>
        <v>ENDirect</v>
      </c>
      <c r="N1909" s="7" t="str">
        <f>IFERROR(HLOOKUP(L1909,'Calc|Weightings'!$K$5:$M$5,1,0),"Excl")</f>
        <v>Contracts</v>
      </c>
      <c r="O1909" s="7" t="str">
        <f>VLOOKUP(E1909,Mapping!$E$11:$I$96,5,0)</f>
        <v>SCS</v>
      </c>
      <c r="Q1909" s="7"/>
      <c r="R1909" s="7"/>
      <c r="S1909" s="7"/>
      <c r="T1909" s="7"/>
      <c r="U1909" s="7"/>
      <c r="V1909" s="7"/>
      <c r="AC1909" s="7"/>
      <c r="AD1909" s="7"/>
      <c r="AE1909" s="7"/>
      <c r="AF1909" s="7"/>
      <c r="AG1909" s="7"/>
      <c r="AO1909" s="7"/>
      <c r="AP1909" s="7"/>
      <c r="AQ1909" s="7"/>
      <c r="AR1909" s="7"/>
      <c r="AS1909" s="7"/>
    </row>
    <row r="1910" spans="1:45" x14ac:dyDescent="0.2">
      <c r="A1910" s="7"/>
      <c r="B1910" s="7"/>
      <c r="C1910" s="7"/>
      <c r="D1910" s="7"/>
      <c r="E1910" s="36">
        <v>162</v>
      </c>
      <c r="F1910" s="36" t="s">
        <v>2172</v>
      </c>
      <c r="G1910" s="36">
        <v>531495</v>
      </c>
      <c r="H1910" s="36" t="s">
        <v>2353</v>
      </c>
      <c r="I1910" s="37">
        <v>7009.1573799999996</v>
      </c>
      <c r="J1910" s="7"/>
      <c r="K1910" s="7" t="str">
        <f>VLOOKUP($E1910,Mapping!$E$11:$I$96,3,0)</f>
        <v>Augmentation</v>
      </c>
      <c r="L1910" s="7" t="str">
        <f>VLOOKUP($G1910,Mapping!$E$140:$K$2771,5,0)</f>
        <v>Contracts</v>
      </c>
      <c r="M1910" s="7" t="str">
        <f>VLOOKUP($G1910,Mapping!$E$140:$K$2771,7,0)</f>
        <v>ENDirect</v>
      </c>
      <c r="N1910" s="7" t="str">
        <f>IFERROR(HLOOKUP(L1910,'Calc|Weightings'!$K$5:$M$5,1,0),"Excl")</f>
        <v>Contracts</v>
      </c>
      <c r="O1910" s="7" t="str">
        <f>VLOOKUP(E1910,Mapping!$E$11:$I$96,5,0)</f>
        <v>SCS</v>
      </c>
      <c r="Q1910" s="7"/>
      <c r="R1910" s="7"/>
      <c r="S1910" s="7"/>
      <c r="T1910" s="7"/>
      <c r="U1910" s="7"/>
      <c r="V1910" s="7"/>
      <c r="AC1910" s="7"/>
      <c r="AD1910" s="7"/>
      <c r="AE1910" s="7"/>
      <c r="AF1910" s="7"/>
      <c r="AG1910" s="7"/>
      <c r="AO1910" s="7"/>
      <c r="AP1910" s="7"/>
      <c r="AQ1910" s="7"/>
      <c r="AR1910" s="7"/>
      <c r="AS1910" s="7"/>
    </row>
    <row r="1911" spans="1:45" x14ac:dyDescent="0.2">
      <c r="A1911" s="7"/>
      <c r="B1911" s="7"/>
      <c r="C1911" s="7"/>
      <c r="D1911" s="7"/>
      <c r="E1911" s="36">
        <v>162</v>
      </c>
      <c r="F1911" s="36" t="s">
        <v>2172</v>
      </c>
      <c r="G1911" s="36">
        <v>532160</v>
      </c>
      <c r="H1911" s="36" t="s">
        <v>289</v>
      </c>
      <c r="I1911" s="37">
        <v>2.15611</v>
      </c>
      <c r="J1911" s="7"/>
      <c r="K1911" s="7" t="str">
        <f>VLOOKUP($E1911,Mapping!$E$11:$I$96,3,0)</f>
        <v>Augmentation</v>
      </c>
      <c r="L1911" s="7" t="str">
        <f>VLOOKUP($G1911,Mapping!$E$140:$K$2771,5,0)</f>
        <v>Contracts</v>
      </c>
      <c r="M1911" s="7" t="str">
        <f>VLOOKUP($G1911,Mapping!$E$140:$K$2771,7,0)</f>
        <v>ENDirect</v>
      </c>
      <c r="N1911" s="7" t="str">
        <f>IFERROR(HLOOKUP(L1911,'Calc|Weightings'!$K$5:$M$5,1,0),"Excl")</f>
        <v>Contracts</v>
      </c>
      <c r="O1911" s="7" t="str">
        <f>VLOOKUP(E1911,Mapping!$E$11:$I$96,5,0)</f>
        <v>SCS</v>
      </c>
      <c r="Q1911" s="7"/>
      <c r="R1911" s="7"/>
      <c r="S1911" s="7"/>
      <c r="T1911" s="7"/>
      <c r="U1911" s="7"/>
      <c r="V1911" s="7"/>
      <c r="AC1911" s="7"/>
      <c r="AD1911" s="7"/>
      <c r="AE1911" s="7"/>
      <c r="AF1911" s="7"/>
      <c r="AG1911" s="7"/>
      <c r="AO1911" s="7"/>
      <c r="AP1911" s="7"/>
      <c r="AQ1911" s="7"/>
      <c r="AR1911" s="7"/>
      <c r="AS1911" s="7"/>
    </row>
    <row r="1912" spans="1:45" x14ac:dyDescent="0.2">
      <c r="A1912" s="7"/>
      <c r="B1912" s="7"/>
      <c r="C1912" s="7"/>
      <c r="D1912" s="7"/>
      <c r="E1912" s="36">
        <v>162</v>
      </c>
      <c r="F1912" s="36" t="s">
        <v>2172</v>
      </c>
      <c r="G1912" s="36">
        <v>532200</v>
      </c>
      <c r="H1912" s="36" t="s">
        <v>291</v>
      </c>
      <c r="I1912" s="37">
        <v>1.8798699999999999</v>
      </c>
      <c r="J1912" s="7"/>
      <c r="K1912" s="7" t="str">
        <f>VLOOKUP($E1912,Mapping!$E$11:$I$96,3,0)</f>
        <v>Augmentation</v>
      </c>
      <c r="L1912" s="7" t="str">
        <f>VLOOKUP($G1912,Mapping!$E$140:$K$2771,5,0)</f>
        <v>Contracts</v>
      </c>
      <c r="M1912" s="7" t="str">
        <f>VLOOKUP($G1912,Mapping!$E$140:$K$2771,7,0)</f>
        <v>ENDirect</v>
      </c>
      <c r="N1912" s="7" t="str">
        <f>IFERROR(HLOOKUP(L1912,'Calc|Weightings'!$K$5:$M$5,1,0),"Excl")</f>
        <v>Contracts</v>
      </c>
      <c r="O1912" s="7" t="str">
        <f>VLOOKUP(E1912,Mapping!$E$11:$I$96,5,0)</f>
        <v>SCS</v>
      </c>
      <c r="Q1912" s="7"/>
      <c r="R1912" s="7"/>
      <c r="S1912" s="7"/>
      <c r="T1912" s="7"/>
      <c r="U1912" s="7"/>
      <c r="V1912" s="7"/>
      <c r="AC1912" s="7"/>
      <c r="AD1912" s="7"/>
      <c r="AE1912" s="7"/>
      <c r="AF1912" s="7"/>
      <c r="AG1912" s="7"/>
      <c r="AO1912" s="7"/>
      <c r="AP1912" s="7"/>
      <c r="AQ1912" s="7"/>
      <c r="AR1912" s="7"/>
      <c r="AS1912" s="7"/>
    </row>
    <row r="1913" spans="1:45" x14ac:dyDescent="0.2">
      <c r="A1913" s="7"/>
      <c r="B1913" s="7"/>
      <c r="C1913" s="7"/>
      <c r="D1913" s="7"/>
      <c r="E1913" s="36">
        <v>162</v>
      </c>
      <c r="F1913" s="36" t="s">
        <v>2172</v>
      </c>
      <c r="G1913" s="36">
        <v>532420</v>
      </c>
      <c r="H1913" s="36" t="s">
        <v>307</v>
      </c>
      <c r="I1913" s="37">
        <v>0.54852000000000001</v>
      </c>
      <c r="J1913" s="7"/>
      <c r="K1913" s="7" t="str">
        <f>VLOOKUP($E1913,Mapping!$E$11:$I$96,3,0)</f>
        <v>Augmentation</v>
      </c>
      <c r="L1913" s="7" t="str">
        <f>VLOOKUP($G1913,Mapping!$E$140:$K$2771,5,0)</f>
        <v>Contracts</v>
      </c>
      <c r="M1913" s="7" t="str">
        <f>VLOOKUP($G1913,Mapping!$E$140:$K$2771,7,0)</f>
        <v>ENDirect</v>
      </c>
      <c r="N1913" s="7" t="str">
        <f>IFERROR(HLOOKUP(L1913,'Calc|Weightings'!$K$5:$M$5,1,0),"Excl")</f>
        <v>Contracts</v>
      </c>
      <c r="O1913" s="7" t="str">
        <f>VLOOKUP(E1913,Mapping!$E$11:$I$96,5,0)</f>
        <v>SCS</v>
      </c>
      <c r="Q1913" s="7"/>
      <c r="R1913" s="7"/>
      <c r="S1913" s="7"/>
      <c r="T1913" s="7"/>
      <c r="U1913" s="7"/>
      <c r="V1913" s="7"/>
      <c r="AC1913" s="7"/>
      <c r="AD1913" s="7"/>
      <c r="AE1913" s="7"/>
      <c r="AF1913" s="7"/>
      <c r="AG1913" s="7"/>
      <c r="AO1913" s="7"/>
      <c r="AP1913" s="7"/>
      <c r="AQ1913" s="7"/>
      <c r="AR1913" s="7"/>
      <c r="AS1913" s="7"/>
    </row>
    <row r="1914" spans="1:45" x14ac:dyDescent="0.2">
      <c r="A1914" s="7"/>
      <c r="B1914" s="7"/>
      <c r="C1914" s="7"/>
      <c r="D1914" s="7"/>
      <c r="E1914" s="36">
        <v>162</v>
      </c>
      <c r="F1914" s="36" t="s">
        <v>2172</v>
      </c>
      <c r="G1914" s="36">
        <v>545150</v>
      </c>
      <c r="H1914" s="36" t="s">
        <v>345</v>
      </c>
      <c r="I1914" s="37">
        <v>0.50190999999999997</v>
      </c>
      <c r="J1914" s="7"/>
      <c r="K1914" s="7" t="str">
        <f>VLOOKUP($E1914,Mapping!$E$11:$I$96,3,0)</f>
        <v>Augmentation</v>
      </c>
      <c r="L1914" s="7" t="str">
        <f>VLOOKUP($G1914,Mapping!$E$140:$K$2771,5,0)</f>
        <v>Contracts</v>
      </c>
      <c r="M1914" s="7" t="str">
        <f>VLOOKUP($G1914,Mapping!$E$140:$K$2771,7,0)</f>
        <v>ENDirect</v>
      </c>
      <c r="N1914" s="7" t="str">
        <f>IFERROR(HLOOKUP(L1914,'Calc|Weightings'!$K$5:$M$5,1,0),"Excl")</f>
        <v>Contracts</v>
      </c>
      <c r="O1914" s="7" t="str">
        <f>VLOOKUP(E1914,Mapping!$E$11:$I$96,5,0)</f>
        <v>SCS</v>
      </c>
      <c r="Q1914" s="7"/>
      <c r="R1914" s="7"/>
      <c r="S1914" s="7"/>
      <c r="T1914" s="7"/>
      <c r="U1914" s="7"/>
      <c r="V1914" s="7"/>
      <c r="AC1914" s="7"/>
      <c r="AD1914" s="7"/>
      <c r="AE1914" s="7"/>
      <c r="AF1914" s="7"/>
      <c r="AG1914" s="7"/>
      <c r="AO1914" s="7"/>
      <c r="AP1914" s="7"/>
      <c r="AQ1914" s="7"/>
      <c r="AR1914" s="7"/>
      <c r="AS1914" s="7"/>
    </row>
    <row r="1915" spans="1:45" x14ac:dyDescent="0.2">
      <c r="A1915" s="7"/>
      <c r="B1915" s="7"/>
      <c r="C1915" s="7"/>
      <c r="D1915" s="7"/>
      <c r="E1915" s="36">
        <v>162</v>
      </c>
      <c r="F1915" s="36" t="s">
        <v>2172</v>
      </c>
      <c r="G1915" s="36">
        <v>582301</v>
      </c>
      <c r="H1915" s="36" t="s">
        <v>382</v>
      </c>
      <c r="I1915" s="37">
        <v>65.988839999999996</v>
      </c>
      <c r="J1915" s="7"/>
      <c r="K1915" s="7" t="str">
        <f>VLOOKUP($E1915,Mapping!$E$11:$I$96,3,0)</f>
        <v>Augmentation</v>
      </c>
      <c r="L1915" s="7" t="str">
        <f>VLOOKUP($G1915,Mapping!$E$140:$K$2771,5,0)</f>
        <v>Contracts</v>
      </c>
      <c r="M1915" s="7" t="str">
        <f>VLOOKUP($G1915,Mapping!$E$140:$K$2771,7,0)</f>
        <v>ENDirect</v>
      </c>
      <c r="N1915" s="7" t="str">
        <f>IFERROR(HLOOKUP(L1915,'Calc|Weightings'!$K$5:$M$5,1,0),"Excl")</f>
        <v>Contracts</v>
      </c>
      <c r="O1915" s="7" t="str">
        <f>VLOOKUP(E1915,Mapping!$E$11:$I$96,5,0)</f>
        <v>SCS</v>
      </c>
      <c r="Q1915" s="7"/>
      <c r="R1915" s="7"/>
      <c r="S1915" s="7"/>
      <c r="T1915" s="7"/>
      <c r="U1915" s="7"/>
      <c r="V1915" s="7"/>
      <c r="AC1915" s="7"/>
      <c r="AD1915" s="7"/>
      <c r="AE1915" s="7"/>
      <c r="AF1915" s="7"/>
      <c r="AG1915" s="7"/>
      <c r="AO1915" s="7"/>
      <c r="AP1915" s="7"/>
      <c r="AQ1915" s="7"/>
      <c r="AR1915" s="7"/>
      <c r="AS1915" s="7"/>
    </row>
    <row r="1916" spans="1:45" x14ac:dyDescent="0.2">
      <c r="A1916" s="7"/>
      <c r="B1916" s="7"/>
      <c r="C1916" s="7"/>
      <c r="D1916" s="7"/>
      <c r="E1916" s="36">
        <v>162</v>
      </c>
      <c r="F1916" s="36" t="s">
        <v>2172</v>
      </c>
      <c r="G1916" s="36">
        <v>591200</v>
      </c>
      <c r="H1916" s="36" t="s">
        <v>398</v>
      </c>
      <c r="I1916" s="37">
        <v>0.15</v>
      </c>
      <c r="J1916" s="7"/>
      <c r="K1916" s="7" t="str">
        <f>VLOOKUP($E1916,Mapping!$E$11:$I$96,3,0)</f>
        <v>Augmentation</v>
      </c>
      <c r="L1916" s="7" t="str">
        <f>VLOOKUP($G1916,Mapping!$E$140:$K$2771,5,0)</f>
        <v>Contracts</v>
      </c>
      <c r="M1916" s="7" t="str">
        <f>VLOOKUP($G1916,Mapping!$E$140:$K$2771,7,0)</f>
        <v>ENDirect</v>
      </c>
      <c r="N1916" s="7" t="str">
        <f>IFERROR(HLOOKUP(L1916,'Calc|Weightings'!$K$5:$M$5,1,0),"Excl")</f>
        <v>Contracts</v>
      </c>
      <c r="O1916" s="7" t="str">
        <f>VLOOKUP(E1916,Mapping!$E$11:$I$96,5,0)</f>
        <v>SCS</v>
      </c>
      <c r="Q1916" s="7"/>
      <c r="R1916" s="7"/>
      <c r="S1916" s="7"/>
      <c r="T1916" s="7"/>
      <c r="U1916" s="7"/>
      <c r="V1916" s="7"/>
      <c r="AC1916" s="7"/>
      <c r="AD1916" s="7"/>
      <c r="AE1916" s="7"/>
      <c r="AF1916" s="7"/>
      <c r="AG1916" s="7"/>
      <c r="AO1916" s="7"/>
      <c r="AP1916" s="7"/>
      <c r="AQ1916" s="7"/>
      <c r="AR1916" s="7"/>
      <c r="AS1916" s="7"/>
    </row>
    <row r="1917" spans="1:45" x14ac:dyDescent="0.2">
      <c r="A1917" s="7"/>
      <c r="B1917" s="7"/>
      <c r="C1917" s="7"/>
      <c r="D1917" s="7"/>
      <c r="E1917" s="36">
        <v>162</v>
      </c>
      <c r="F1917" s="36" t="s">
        <v>2172</v>
      </c>
      <c r="G1917" s="36">
        <v>591997</v>
      </c>
      <c r="H1917" s="36" t="s">
        <v>2194</v>
      </c>
      <c r="I1917" s="37">
        <v>-4.5135100000000001</v>
      </c>
      <c r="J1917" s="7"/>
      <c r="K1917" s="7" t="str">
        <f>VLOOKUP($E1917,Mapping!$E$11:$I$96,3,0)</f>
        <v>Augmentation</v>
      </c>
      <c r="L1917" s="7" t="str">
        <f>VLOOKUP($G1917,Mapping!$E$140:$K$2771,5,0)</f>
        <v>Contracts</v>
      </c>
      <c r="M1917" s="7" t="str">
        <f>VLOOKUP($G1917,Mapping!$E$140:$K$2771,7,0)</f>
        <v>ENDirect</v>
      </c>
      <c r="N1917" s="7" t="str">
        <f>IFERROR(HLOOKUP(L1917,'Calc|Weightings'!$K$5:$M$5,1,0),"Excl")</f>
        <v>Contracts</v>
      </c>
      <c r="O1917" s="7" t="str">
        <f>VLOOKUP(E1917,Mapping!$E$11:$I$96,5,0)</f>
        <v>SCS</v>
      </c>
      <c r="Q1917" s="7"/>
      <c r="R1917" s="7"/>
      <c r="S1917" s="7"/>
      <c r="T1917" s="7"/>
      <c r="U1917" s="7"/>
      <c r="V1917" s="7"/>
      <c r="AC1917" s="7"/>
      <c r="AD1917" s="7"/>
      <c r="AE1917" s="7"/>
      <c r="AF1917" s="7"/>
      <c r="AG1917" s="7"/>
      <c r="AO1917" s="7"/>
      <c r="AP1917" s="7"/>
      <c r="AQ1917" s="7"/>
      <c r="AR1917" s="7"/>
      <c r="AS1917" s="7"/>
    </row>
    <row r="1918" spans="1:45" x14ac:dyDescent="0.2">
      <c r="A1918" s="7"/>
      <c r="B1918" s="7"/>
      <c r="C1918" s="7"/>
      <c r="D1918" s="7"/>
      <c r="E1918" s="36">
        <v>162</v>
      </c>
      <c r="F1918" s="36" t="s">
        <v>2172</v>
      </c>
      <c r="G1918" s="36">
        <v>591998</v>
      </c>
      <c r="H1918" s="36" t="s">
        <v>2077</v>
      </c>
      <c r="I1918" s="37">
        <v>-8.65001</v>
      </c>
      <c r="J1918" s="7"/>
      <c r="K1918" s="7" t="str">
        <f>VLOOKUP($E1918,Mapping!$E$11:$I$96,3,0)</f>
        <v>Augmentation</v>
      </c>
      <c r="L1918" s="7" t="str">
        <f>VLOOKUP($G1918,Mapping!$E$140:$K$2771,5,0)</f>
        <v>Contracts</v>
      </c>
      <c r="M1918" s="7" t="str">
        <f>VLOOKUP($G1918,Mapping!$E$140:$K$2771,7,0)</f>
        <v>ENDirect</v>
      </c>
      <c r="N1918" s="7" t="str">
        <f>IFERROR(HLOOKUP(L1918,'Calc|Weightings'!$K$5:$M$5,1,0),"Excl")</f>
        <v>Contracts</v>
      </c>
      <c r="O1918" s="7" t="str">
        <f>VLOOKUP(E1918,Mapping!$E$11:$I$96,5,0)</f>
        <v>SCS</v>
      </c>
      <c r="Q1918" s="7"/>
      <c r="R1918" s="7"/>
      <c r="S1918" s="7"/>
      <c r="T1918" s="7"/>
      <c r="U1918" s="7"/>
      <c r="V1918" s="7"/>
      <c r="AC1918" s="7"/>
      <c r="AD1918" s="7"/>
      <c r="AE1918" s="7"/>
      <c r="AF1918" s="7"/>
      <c r="AG1918" s="7"/>
      <c r="AO1918" s="7"/>
      <c r="AP1918" s="7"/>
      <c r="AQ1918" s="7"/>
      <c r="AR1918" s="7"/>
      <c r="AS1918" s="7"/>
    </row>
    <row r="1919" spans="1:45" x14ac:dyDescent="0.2">
      <c r="A1919" s="7"/>
      <c r="B1919" s="7"/>
      <c r="C1919" s="7"/>
      <c r="D1919" s="7"/>
      <c r="E1919" s="36">
        <v>162</v>
      </c>
      <c r="F1919" s="36" t="s">
        <v>2172</v>
      </c>
      <c r="G1919" s="36">
        <v>591999</v>
      </c>
      <c r="H1919" s="36" t="s">
        <v>2195</v>
      </c>
      <c r="I1919" s="37">
        <v>-22.39207</v>
      </c>
      <c r="J1919" s="7"/>
      <c r="K1919" s="7" t="str">
        <f>VLOOKUP($E1919,Mapping!$E$11:$I$96,3,0)</f>
        <v>Augmentation</v>
      </c>
      <c r="L1919" s="7" t="str">
        <f>VLOOKUP($G1919,Mapping!$E$140:$K$2771,5,0)</f>
        <v>Contracts</v>
      </c>
      <c r="M1919" s="7" t="str">
        <f>VLOOKUP($G1919,Mapping!$E$140:$K$2771,7,0)</f>
        <v>ENDirect</v>
      </c>
      <c r="N1919" s="7" t="str">
        <f>IFERROR(HLOOKUP(L1919,'Calc|Weightings'!$K$5:$M$5,1,0),"Excl")</f>
        <v>Contracts</v>
      </c>
      <c r="O1919" s="7" t="str">
        <f>VLOOKUP(E1919,Mapping!$E$11:$I$96,5,0)</f>
        <v>SCS</v>
      </c>
      <c r="Q1919" s="7"/>
      <c r="R1919" s="7"/>
      <c r="S1919" s="7"/>
      <c r="T1919" s="7"/>
      <c r="U1919" s="7"/>
      <c r="V1919" s="7"/>
      <c r="AC1919" s="7"/>
      <c r="AD1919" s="7"/>
      <c r="AE1919" s="7"/>
      <c r="AF1919" s="7"/>
      <c r="AG1919" s="7"/>
      <c r="AO1919" s="7"/>
      <c r="AP1919" s="7"/>
      <c r="AQ1919" s="7"/>
      <c r="AR1919" s="7"/>
      <c r="AS1919" s="7"/>
    </row>
    <row r="1920" spans="1:45" x14ac:dyDescent="0.2">
      <c r="A1920" s="7"/>
      <c r="B1920" s="7"/>
      <c r="C1920" s="7"/>
      <c r="D1920" s="7"/>
      <c r="E1920" s="36">
        <v>162</v>
      </c>
      <c r="F1920" s="36" t="s">
        <v>2172</v>
      </c>
      <c r="G1920" s="36">
        <v>611900</v>
      </c>
      <c r="H1920" s="36" t="s">
        <v>2079</v>
      </c>
      <c r="I1920" s="37">
        <v>6.0605099999999998</v>
      </c>
      <c r="J1920" s="7"/>
      <c r="K1920" s="7" t="str">
        <f>VLOOKUP($E1920,Mapping!$E$11:$I$96,3,0)</f>
        <v>Augmentation</v>
      </c>
      <c r="L1920" s="7" t="str">
        <f>VLOOKUP($G1920,Mapping!$E$140:$K$2771,5,0)</f>
        <v>Contracts</v>
      </c>
      <c r="M1920" s="7" t="str">
        <f>VLOOKUP($G1920,Mapping!$E$140:$K$2771,7,0)</f>
        <v>ENDirect</v>
      </c>
      <c r="N1920" s="7" t="str">
        <f>IFERROR(HLOOKUP(L1920,'Calc|Weightings'!$K$5:$M$5,1,0),"Excl")</f>
        <v>Contracts</v>
      </c>
      <c r="O1920" s="7" t="str">
        <f>VLOOKUP(E1920,Mapping!$E$11:$I$96,5,0)</f>
        <v>SCS</v>
      </c>
      <c r="Q1920" s="7"/>
      <c r="R1920" s="7"/>
      <c r="S1920" s="7"/>
      <c r="T1920" s="7"/>
      <c r="U1920" s="7"/>
      <c r="V1920" s="7"/>
      <c r="AC1920" s="7"/>
      <c r="AD1920" s="7"/>
      <c r="AE1920" s="7"/>
      <c r="AF1920" s="7"/>
      <c r="AG1920" s="7"/>
      <c r="AO1920" s="7"/>
      <c r="AP1920" s="7"/>
      <c r="AQ1920" s="7"/>
      <c r="AR1920" s="7"/>
      <c r="AS1920" s="7"/>
    </row>
    <row r="1921" spans="1:45" x14ac:dyDescent="0.2">
      <c r="A1921" s="7"/>
      <c r="B1921" s="7"/>
      <c r="C1921" s="7"/>
      <c r="D1921" s="7"/>
      <c r="E1921" s="36">
        <v>162</v>
      </c>
      <c r="F1921" s="36" t="s">
        <v>2172</v>
      </c>
      <c r="G1921" s="36">
        <v>611901</v>
      </c>
      <c r="H1921" s="36" t="s">
        <v>2080</v>
      </c>
      <c r="I1921" s="37">
        <v>27.540400000000002</v>
      </c>
      <c r="J1921" s="7"/>
      <c r="K1921" s="7" t="str">
        <f>VLOOKUP($E1921,Mapping!$E$11:$I$96,3,0)</f>
        <v>Augmentation</v>
      </c>
      <c r="L1921" s="7" t="str">
        <f>VLOOKUP($G1921,Mapping!$E$140:$K$2771,5,0)</f>
        <v>Contracts</v>
      </c>
      <c r="M1921" s="7" t="str">
        <f>VLOOKUP($G1921,Mapping!$E$140:$K$2771,7,0)</f>
        <v>ENDirect</v>
      </c>
      <c r="N1921" s="7" t="str">
        <f>IFERROR(HLOOKUP(L1921,'Calc|Weightings'!$K$5:$M$5,1,0),"Excl")</f>
        <v>Contracts</v>
      </c>
      <c r="O1921" s="7" t="str">
        <f>VLOOKUP(E1921,Mapping!$E$11:$I$96,5,0)</f>
        <v>SCS</v>
      </c>
      <c r="Q1921" s="7"/>
      <c r="R1921" s="7"/>
      <c r="S1921" s="7"/>
      <c r="T1921" s="7"/>
      <c r="U1921" s="7"/>
      <c r="V1921" s="7"/>
      <c r="AC1921" s="7"/>
      <c r="AD1921" s="7"/>
      <c r="AE1921" s="7"/>
      <c r="AF1921" s="7"/>
      <c r="AG1921" s="7"/>
      <c r="AO1921" s="7"/>
      <c r="AP1921" s="7"/>
      <c r="AQ1921" s="7"/>
      <c r="AR1921" s="7"/>
      <c r="AS1921" s="7"/>
    </row>
    <row r="1922" spans="1:45" x14ac:dyDescent="0.2">
      <c r="A1922" s="7"/>
      <c r="B1922" s="7"/>
      <c r="C1922" s="7"/>
      <c r="D1922" s="7"/>
      <c r="E1922" s="36">
        <v>162</v>
      </c>
      <c r="F1922" s="36" t="s">
        <v>2172</v>
      </c>
      <c r="G1922" s="36">
        <v>611902</v>
      </c>
      <c r="H1922" s="36" t="s">
        <v>2081</v>
      </c>
      <c r="I1922" s="37">
        <v>4.9024000000000001</v>
      </c>
      <c r="J1922" s="7"/>
      <c r="K1922" s="7" t="str">
        <f>VLOOKUP($E1922,Mapping!$E$11:$I$96,3,0)</f>
        <v>Augmentation</v>
      </c>
      <c r="L1922" s="7" t="str">
        <f>VLOOKUP($G1922,Mapping!$E$140:$K$2771,5,0)</f>
        <v>Contracts</v>
      </c>
      <c r="M1922" s="7" t="str">
        <f>VLOOKUP($G1922,Mapping!$E$140:$K$2771,7,0)</f>
        <v>ENDirect</v>
      </c>
      <c r="N1922" s="7" t="str">
        <f>IFERROR(HLOOKUP(L1922,'Calc|Weightings'!$K$5:$M$5,1,0),"Excl")</f>
        <v>Contracts</v>
      </c>
      <c r="O1922" s="7" t="str">
        <f>VLOOKUP(E1922,Mapping!$E$11:$I$96,5,0)</f>
        <v>SCS</v>
      </c>
      <c r="Q1922" s="7"/>
      <c r="R1922" s="7"/>
      <c r="S1922" s="7"/>
      <c r="T1922" s="7"/>
      <c r="U1922" s="7"/>
      <c r="V1922" s="7"/>
      <c r="AC1922" s="7"/>
      <c r="AD1922" s="7"/>
      <c r="AE1922" s="7"/>
      <c r="AF1922" s="7"/>
      <c r="AG1922" s="7"/>
      <c r="AO1922" s="7"/>
      <c r="AP1922" s="7"/>
      <c r="AQ1922" s="7"/>
      <c r="AR1922" s="7"/>
      <c r="AS1922" s="7"/>
    </row>
    <row r="1923" spans="1:45" x14ac:dyDescent="0.2">
      <c r="A1923" s="7"/>
      <c r="B1923" s="7"/>
      <c r="C1923" s="7"/>
      <c r="D1923" s="7"/>
      <c r="E1923" s="36">
        <v>162</v>
      </c>
      <c r="F1923" s="36" t="s">
        <v>2172</v>
      </c>
      <c r="G1923" s="36">
        <v>612210</v>
      </c>
      <c r="H1923" s="36" t="s">
        <v>1184</v>
      </c>
      <c r="I1923" s="37">
        <v>49.679130000000001</v>
      </c>
      <c r="J1923" s="7"/>
      <c r="K1923" s="7" t="str">
        <f>VLOOKUP($E1923,Mapping!$E$11:$I$96,3,0)</f>
        <v>Augmentation</v>
      </c>
      <c r="L1923" s="7" t="str">
        <f>VLOOKUP($G1923,Mapping!$E$140:$K$2771,5,0)</f>
        <v>Labour</v>
      </c>
      <c r="M1923" s="7" t="str">
        <f>VLOOKUP($G1923,Mapping!$E$140:$K$2771,7,0)</f>
        <v>ENDirect</v>
      </c>
      <c r="N1923" s="7" t="str">
        <f>IFERROR(HLOOKUP(L1923,'Calc|Weightings'!$K$5:$M$5,1,0),"Excl")</f>
        <v>Labour</v>
      </c>
      <c r="O1923" s="7" t="str">
        <f>VLOOKUP(E1923,Mapping!$E$11:$I$96,5,0)</f>
        <v>SCS</v>
      </c>
      <c r="Q1923" s="7"/>
      <c r="R1923" s="7"/>
      <c r="S1923" s="7"/>
      <c r="T1923" s="7"/>
      <c r="U1923" s="7"/>
      <c r="V1923" s="7"/>
      <c r="AC1923" s="7"/>
      <c r="AD1923" s="7"/>
      <c r="AE1923" s="7"/>
      <c r="AF1923" s="7"/>
      <c r="AG1923" s="7"/>
      <c r="AO1923" s="7"/>
      <c r="AP1923" s="7"/>
      <c r="AQ1923" s="7"/>
      <c r="AR1923" s="7"/>
      <c r="AS1923" s="7"/>
    </row>
    <row r="1924" spans="1:45" x14ac:dyDescent="0.2">
      <c r="A1924" s="7"/>
      <c r="B1924" s="7"/>
      <c r="C1924" s="7"/>
      <c r="D1924" s="7"/>
      <c r="E1924" s="36">
        <v>162</v>
      </c>
      <c r="F1924" s="36" t="s">
        <v>2172</v>
      </c>
      <c r="G1924" s="36">
        <v>612215</v>
      </c>
      <c r="H1924" s="36" t="s">
        <v>1189</v>
      </c>
      <c r="I1924" s="37">
        <v>35.16037</v>
      </c>
      <c r="J1924" s="7"/>
      <c r="K1924" s="7" t="str">
        <f>VLOOKUP($E1924,Mapping!$E$11:$I$96,3,0)</f>
        <v>Augmentation</v>
      </c>
      <c r="L1924" s="7" t="str">
        <f>VLOOKUP($G1924,Mapping!$E$140:$K$2771,5,0)</f>
        <v>Labour</v>
      </c>
      <c r="M1924" s="7" t="str">
        <f>VLOOKUP($G1924,Mapping!$E$140:$K$2771,7,0)</f>
        <v>ENDirect</v>
      </c>
      <c r="N1924" s="7" t="str">
        <f>IFERROR(HLOOKUP(L1924,'Calc|Weightings'!$K$5:$M$5,1,0),"Excl")</f>
        <v>Labour</v>
      </c>
      <c r="O1924" s="7" t="str">
        <f>VLOOKUP(E1924,Mapping!$E$11:$I$96,5,0)</f>
        <v>SCS</v>
      </c>
      <c r="Q1924" s="7"/>
      <c r="R1924" s="7"/>
      <c r="S1924" s="7"/>
      <c r="T1924" s="7"/>
      <c r="U1924" s="7"/>
      <c r="V1924" s="7"/>
      <c r="AC1924" s="7"/>
      <c r="AD1924" s="7"/>
      <c r="AE1924" s="7"/>
      <c r="AF1924" s="7"/>
      <c r="AG1924" s="7"/>
      <c r="AO1924" s="7"/>
      <c r="AP1924" s="7"/>
      <c r="AQ1924" s="7"/>
      <c r="AR1924" s="7"/>
      <c r="AS1924" s="7"/>
    </row>
    <row r="1925" spans="1:45" x14ac:dyDescent="0.2">
      <c r="A1925" s="7"/>
      <c r="B1925" s="7"/>
      <c r="C1925" s="7"/>
      <c r="D1925" s="7"/>
      <c r="E1925" s="36">
        <v>162</v>
      </c>
      <c r="F1925" s="36" t="s">
        <v>2172</v>
      </c>
      <c r="G1925" s="36">
        <v>612221</v>
      </c>
      <c r="H1925" s="36" t="s">
        <v>2354</v>
      </c>
      <c r="I1925" s="37">
        <v>2.32362</v>
      </c>
      <c r="J1925" s="7"/>
      <c r="K1925" s="7" t="str">
        <f>VLOOKUP($E1925,Mapping!$E$11:$I$96,3,0)</f>
        <v>Augmentation</v>
      </c>
      <c r="L1925" s="7" t="str">
        <f>VLOOKUP($G1925,Mapping!$E$140:$K$2771,5,0)</f>
        <v>Labour</v>
      </c>
      <c r="M1925" s="7" t="str">
        <f>VLOOKUP($G1925,Mapping!$E$140:$K$2771,7,0)</f>
        <v>ENDirect</v>
      </c>
      <c r="N1925" s="7" t="str">
        <f>IFERROR(HLOOKUP(L1925,'Calc|Weightings'!$K$5:$M$5,1,0),"Excl")</f>
        <v>Labour</v>
      </c>
      <c r="O1925" s="7" t="str">
        <f>VLOOKUP(E1925,Mapping!$E$11:$I$96,5,0)</f>
        <v>SCS</v>
      </c>
      <c r="Q1925" s="7"/>
      <c r="R1925" s="7"/>
      <c r="S1925" s="7"/>
      <c r="T1925" s="7"/>
      <c r="U1925" s="7"/>
      <c r="V1925" s="7"/>
      <c r="AC1925" s="7"/>
      <c r="AD1925" s="7"/>
      <c r="AE1925" s="7"/>
      <c r="AF1925" s="7"/>
      <c r="AG1925" s="7"/>
      <c r="AO1925" s="7"/>
      <c r="AP1925" s="7"/>
      <c r="AQ1925" s="7"/>
      <c r="AR1925" s="7"/>
      <c r="AS1925" s="7"/>
    </row>
    <row r="1926" spans="1:45" x14ac:dyDescent="0.2">
      <c r="A1926" s="7"/>
      <c r="B1926" s="7"/>
      <c r="C1926" s="7"/>
      <c r="D1926" s="7"/>
      <c r="E1926" s="36">
        <v>162</v>
      </c>
      <c r="F1926" s="36" t="s">
        <v>2172</v>
      </c>
      <c r="G1926" s="36">
        <v>612460</v>
      </c>
      <c r="H1926" s="36" t="s">
        <v>1243</v>
      </c>
      <c r="I1926" s="37">
        <v>25.099779999999999</v>
      </c>
      <c r="J1926" s="7"/>
      <c r="K1926" s="7" t="str">
        <f>VLOOKUP($E1926,Mapping!$E$11:$I$96,3,0)</f>
        <v>Augmentation</v>
      </c>
      <c r="L1926" s="7" t="str">
        <f>VLOOKUP($G1926,Mapping!$E$140:$K$2771,5,0)</f>
        <v>Labour</v>
      </c>
      <c r="M1926" s="7" t="str">
        <f>VLOOKUP($G1926,Mapping!$E$140:$K$2771,7,0)</f>
        <v>ENDirect</v>
      </c>
      <c r="N1926" s="7" t="str">
        <f>IFERROR(HLOOKUP(L1926,'Calc|Weightings'!$K$5:$M$5,1,0),"Excl")</f>
        <v>Labour</v>
      </c>
      <c r="O1926" s="7" t="str">
        <f>VLOOKUP(E1926,Mapping!$E$11:$I$96,5,0)</f>
        <v>SCS</v>
      </c>
      <c r="Q1926" s="7"/>
      <c r="R1926" s="7"/>
      <c r="S1926" s="7"/>
      <c r="T1926" s="7"/>
      <c r="U1926" s="7"/>
      <c r="V1926" s="7"/>
      <c r="AC1926" s="7"/>
      <c r="AD1926" s="7"/>
      <c r="AE1926" s="7"/>
      <c r="AF1926" s="7"/>
      <c r="AG1926" s="7"/>
      <c r="AO1926" s="7"/>
      <c r="AP1926" s="7"/>
      <c r="AQ1926" s="7"/>
      <c r="AR1926" s="7"/>
      <c r="AS1926" s="7"/>
    </row>
    <row r="1927" spans="1:45" x14ac:dyDescent="0.2">
      <c r="A1927" s="7"/>
      <c r="B1927" s="7"/>
      <c r="C1927" s="7"/>
      <c r="D1927" s="7"/>
      <c r="E1927" s="36">
        <v>162</v>
      </c>
      <c r="F1927" s="36" t="s">
        <v>2172</v>
      </c>
      <c r="G1927" s="36">
        <v>613240</v>
      </c>
      <c r="H1927" s="36" t="s">
        <v>2082</v>
      </c>
      <c r="I1927" s="37">
        <v>24.646280000000001</v>
      </c>
      <c r="J1927" s="7"/>
      <c r="K1927" s="7" t="str">
        <f>VLOOKUP($E1927,Mapping!$E$11:$I$96,3,0)</f>
        <v>Augmentation</v>
      </c>
      <c r="L1927" s="7" t="str">
        <f>VLOOKUP($G1927,Mapping!$E$140:$K$2771,5,0)</f>
        <v>Labour</v>
      </c>
      <c r="M1927" s="7" t="str">
        <f>VLOOKUP($G1927,Mapping!$E$140:$K$2771,7,0)</f>
        <v>ENDirect</v>
      </c>
      <c r="N1927" s="7" t="str">
        <f>IFERROR(HLOOKUP(L1927,'Calc|Weightings'!$K$5:$M$5,1,0),"Excl")</f>
        <v>Labour</v>
      </c>
      <c r="O1927" s="7" t="str">
        <f>VLOOKUP(E1927,Mapping!$E$11:$I$96,5,0)</f>
        <v>SCS</v>
      </c>
      <c r="Q1927" s="7"/>
      <c r="R1927" s="7"/>
      <c r="S1927" s="7"/>
      <c r="T1927" s="7"/>
      <c r="U1927" s="7"/>
      <c r="V1927" s="7"/>
      <c r="AC1927" s="7"/>
      <c r="AD1927" s="7"/>
      <c r="AE1927" s="7"/>
      <c r="AF1927" s="7"/>
      <c r="AG1927" s="7"/>
      <c r="AO1927" s="7"/>
      <c r="AP1927" s="7"/>
      <c r="AQ1927" s="7"/>
      <c r="AR1927" s="7"/>
      <c r="AS1927" s="7"/>
    </row>
    <row r="1928" spans="1:45" x14ac:dyDescent="0.2">
      <c r="A1928" s="7"/>
      <c r="B1928" s="7"/>
      <c r="C1928" s="7"/>
      <c r="D1928" s="7"/>
      <c r="E1928" s="36">
        <v>162</v>
      </c>
      <c r="F1928" s="36" t="s">
        <v>2172</v>
      </c>
      <c r="G1928" s="36">
        <v>613248</v>
      </c>
      <c r="H1928" s="36" t="s">
        <v>2383</v>
      </c>
      <c r="I1928" s="37">
        <v>91.343360000000004</v>
      </c>
      <c r="J1928" s="7"/>
      <c r="K1928" s="7" t="str">
        <f>VLOOKUP($E1928,Mapping!$E$11:$I$96,3,0)</f>
        <v>Augmentation</v>
      </c>
      <c r="L1928" s="7" t="str">
        <f>VLOOKUP($G1928,Mapping!$E$140:$K$2771,5,0)</f>
        <v>Labour</v>
      </c>
      <c r="M1928" s="7" t="str">
        <f>VLOOKUP($G1928,Mapping!$E$140:$K$2771,7,0)</f>
        <v>ENDirect</v>
      </c>
      <c r="N1928" s="7" t="str">
        <f>IFERROR(HLOOKUP(L1928,'Calc|Weightings'!$K$5:$M$5,1,0),"Excl")</f>
        <v>Labour</v>
      </c>
      <c r="O1928" s="7" t="str">
        <f>VLOOKUP(E1928,Mapping!$E$11:$I$96,5,0)</f>
        <v>SCS</v>
      </c>
      <c r="Q1928" s="7"/>
      <c r="R1928" s="7"/>
      <c r="S1928" s="7"/>
      <c r="T1928" s="7"/>
      <c r="U1928" s="7"/>
      <c r="V1928" s="7"/>
      <c r="AC1928" s="7"/>
      <c r="AD1928" s="7"/>
      <c r="AE1928" s="7"/>
      <c r="AF1928" s="7"/>
      <c r="AG1928" s="7"/>
      <c r="AO1928" s="7"/>
      <c r="AP1928" s="7"/>
      <c r="AQ1928" s="7"/>
      <c r="AR1928" s="7"/>
      <c r="AS1928" s="7"/>
    </row>
    <row r="1929" spans="1:45" x14ac:dyDescent="0.2">
      <c r="A1929" s="7"/>
      <c r="B1929" s="7"/>
      <c r="C1929" s="7"/>
      <c r="D1929" s="7"/>
      <c r="E1929" s="36">
        <v>162</v>
      </c>
      <c r="F1929" s="36" t="s">
        <v>2172</v>
      </c>
      <c r="G1929" s="36">
        <v>613249</v>
      </c>
      <c r="H1929" s="36" t="s">
        <v>2384</v>
      </c>
      <c r="I1929" s="37">
        <v>11.197340000000001</v>
      </c>
      <c r="J1929" s="7"/>
      <c r="K1929" s="7" t="str">
        <f>VLOOKUP($E1929,Mapping!$E$11:$I$96,3,0)</f>
        <v>Augmentation</v>
      </c>
      <c r="L1929" s="7" t="str">
        <f>VLOOKUP($G1929,Mapping!$E$140:$K$2771,5,0)</f>
        <v>Labour</v>
      </c>
      <c r="M1929" s="7" t="str">
        <f>VLOOKUP($G1929,Mapping!$E$140:$K$2771,7,0)</f>
        <v>ENDirect</v>
      </c>
      <c r="N1929" s="7" t="str">
        <f>IFERROR(HLOOKUP(L1929,'Calc|Weightings'!$K$5:$M$5,1,0),"Excl")</f>
        <v>Labour</v>
      </c>
      <c r="O1929" s="7" t="str">
        <f>VLOOKUP(E1929,Mapping!$E$11:$I$96,5,0)</f>
        <v>SCS</v>
      </c>
      <c r="Q1929" s="7"/>
      <c r="R1929" s="7"/>
      <c r="S1929" s="7"/>
      <c r="T1929" s="7"/>
      <c r="U1929" s="7"/>
      <c r="V1929" s="7"/>
      <c r="AC1929" s="7"/>
      <c r="AD1929" s="7"/>
      <c r="AE1929" s="7"/>
      <c r="AF1929" s="7"/>
      <c r="AG1929" s="7"/>
      <c r="AO1929" s="7"/>
      <c r="AP1929" s="7"/>
      <c r="AQ1929" s="7"/>
      <c r="AR1929" s="7"/>
      <c r="AS1929" s="7"/>
    </row>
    <row r="1930" spans="1:45" x14ac:dyDescent="0.2">
      <c r="A1930" s="7"/>
      <c r="B1930" s="7"/>
      <c r="C1930" s="7"/>
      <c r="D1930" s="7"/>
      <c r="E1930" s="36">
        <v>162</v>
      </c>
      <c r="F1930" s="36" t="s">
        <v>2172</v>
      </c>
      <c r="G1930" s="36">
        <v>613250</v>
      </c>
      <c r="H1930" s="36" t="s">
        <v>2086</v>
      </c>
      <c r="I1930" s="37">
        <v>3.19536</v>
      </c>
      <c r="J1930" s="7"/>
      <c r="K1930" s="7" t="str">
        <f>VLOOKUP($E1930,Mapping!$E$11:$I$96,3,0)</f>
        <v>Augmentation</v>
      </c>
      <c r="L1930" s="7" t="str">
        <f>VLOOKUP($G1930,Mapping!$E$140:$K$2771,5,0)</f>
        <v>Labour</v>
      </c>
      <c r="M1930" s="7" t="str">
        <f>VLOOKUP($G1930,Mapping!$E$140:$K$2771,7,0)</f>
        <v>ENDirect</v>
      </c>
      <c r="N1930" s="7" t="str">
        <f>IFERROR(HLOOKUP(L1930,'Calc|Weightings'!$K$5:$M$5,1,0),"Excl")</f>
        <v>Labour</v>
      </c>
      <c r="O1930" s="7" t="str">
        <f>VLOOKUP(E1930,Mapping!$E$11:$I$96,5,0)</f>
        <v>SCS</v>
      </c>
      <c r="Q1930" s="7"/>
      <c r="R1930" s="7"/>
      <c r="S1930" s="7"/>
      <c r="T1930" s="7"/>
      <c r="U1930" s="7"/>
      <c r="V1930" s="7"/>
      <c r="AC1930" s="7"/>
      <c r="AD1930" s="7"/>
      <c r="AE1930" s="7"/>
      <c r="AF1930" s="7"/>
      <c r="AG1930" s="7"/>
      <c r="AO1930" s="7"/>
      <c r="AP1930" s="7"/>
      <c r="AQ1930" s="7"/>
      <c r="AR1930" s="7"/>
      <c r="AS1930" s="7"/>
    </row>
    <row r="1931" spans="1:45" x14ac:dyDescent="0.2">
      <c r="A1931" s="7"/>
      <c r="B1931" s="7"/>
      <c r="C1931" s="7"/>
      <c r="D1931" s="7"/>
      <c r="E1931" s="36">
        <v>162</v>
      </c>
      <c r="F1931" s="36" t="s">
        <v>2172</v>
      </c>
      <c r="G1931" s="36">
        <v>613258</v>
      </c>
      <c r="H1931" s="36" t="s">
        <v>2356</v>
      </c>
      <c r="I1931" s="37">
        <v>44.069339999999997</v>
      </c>
      <c r="J1931" s="7"/>
      <c r="K1931" s="7" t="str">
        <f>VLOOKUP($E1931,Mapping!$E$11:$I$96,3,0)</f>
        <v>Augmentation</v>
      </c>
      <c r="L1931" s="7" t="str">
        <f>VLOOKUP($G1931,Mapping!$E$140:$K$2771,5,0)</f>
        <v>Labour</v>
      </c>
      <c r="M1931" s="7" t="str">
        <f>VLOOKUP($G1931,Mapping!$E$140:$K$2771,7,0)</f>
        <v>ENDirect</v>
      </c>
      <c r="N1931" s="7" t="str">
        <f>IFERROR(HLOOKUP(L1931,'Calc|Weightings'!$K$5:$M$5,1,0),"Excl")</f>
        <v>Labour</v>
      </c>
      <c r="O1931" s="7" t="str">
        <f>VLOOKUP(E1931,Mapping!$E$11:$I$96,5,0)</f>
        <v>SCS</v>
      </c>
      <c r="Q1931" s="7"/>
      <c r="R1931" s="7"/>
      <c r="S1931" s="7"/>
      <c r="T1931" s="7"/>
      <c r="U1931" s="7"/>
      <c r="V1931" s="7"/>
      <c r="AC1931" s="7"/>
      <c r="AD1931" s="7"/>
      <c r="AE1931" s="7"/>
      <c r="AF1931" s="7"/>
      <c r="AG1931" s="7"/>
      <c r="AO1931" s="7"/>
      <c r="AP1931" s="7"/>
      <c r="AQ1931" s="7"/>
      <c r="AR1931" s="7"/>
      <c r="AS1931" s="7"/>
    </row>
    <row r="1932" spans="1:45" x14ac:dyDescent="0.2">
      <c r="A1932" s="7"/>
      <c r="B1932" s="7"/>
      <c r="C1932" s="7"/>
      <c r="D1932" s="7"/>
      <c r="E1932" s="36">
        <v>162</v>
      </c>
      <c r="F1932" s="36" t="s">
        <v>2172</v>
      </c>
      <c r="G1932" s="36">
        <v>613259</v>
      </c>
      <c r="H1932" s="36" t="s">
        <v>2359</v>
      </c>
      <c r="I1932" s="37">
        <v>6.1910100000000003</v>
      </c>
      <c r="J1932" s="7"/>
      <c r="K1932" s="7" t="str">
        <f>VLOOKUP($E1932,Mapping!$E$11:$I$96,3,0)</f>
        <v>Augmentation</v>
      </c>
      <c r="L1932" s="7" t="str">
        <f>VLOOKUP($G1932,Mapping!$E$140:$K$2771,5,0)</f>
        <v>Labour</v>
      </c>
      <c r="M1932" s="7" t="str">
        <f>VLOOKUP($G1932,Mapping!$E$140:$K$2771,7,0)</f>
        <v>ENDirect</v>
      </c>
      <c r="N1932" s="7" t="str">
        <f>IFERROR(HLOOKUP(L1932,'Calc|Weightings'!$K$5:$M$5,1,0),"Excl")</f>
        <v>Labour</v>
      </c>
      <c r="O1932" s="7" t="str">
        <f>VLOOKUP(E1932,Mapping!$E$11:$I$96,5,0)</f>
        <v>SCS</v>
      </c>
      <c r="Q1932" s="7"/>
      <c r="R1932" s="7"/>
      <c r="S1932" s="7"/>
      <c r="T1932" s="7"/>
      <c r="U1932" s="7"/>
      <c r="V1932" s="7"/>
      <c r="AC1932" s="7"/>
      <c r="AD1932" s="7"/>
      <c r="AE1932" s="7"/>
      <c r="AF1932" s="7"/>
      <c r="AG1932" s="7"/>
      <c r="AO1932" s="7"/>
      <c r="AP1932" s="7"/>
      <c r="AQ1932" s="7"/>
      <c r="AR1932" s="7"/>
      <c r="AS1932" s="7"/>
    </row>
    <row r="1933" spans="1:45" x14ac:dyDescent="0.2">
      <c r="A1933" s="7"/>
      <c r="B1933" s="7"/>
      <c r="C1933" s="7"/>
      <c r="D1933" s="7"/>
      <c r="E1933" s="36">
        <v>162</v>
      </c>
      <c r="F1933" s="36" t="s">
        <v>2172</v>
      </c>
      <c r="G1933" s="36">
        <v>613260</v>
      </c>
      <c r="H1933" s="36" t="s">
        <v>2090</v>
      </c>
      <c r="I1933" s="37">
        <v>543.62212999999997</v>
      </c>
      <c r="J1933" s="7"/>
      <c r="K1933" s="7" t="str">
        <f>VLOOKUP($E1933,Mapping!$E$11:$I$96,3,0)</f>
        <v>Augmentation</v>
      </c>
      <c r="L1933" s="7" t="str">
        <f>VLOOKUP($G1933,Mapping!$E$140:$K$2771,5,0)</f>
        <v>Labour</v>
      </c>
      <c r="M1933" s="7" t="str">
        <f>VLOOKUP($G1933,Mapping!$E$140:$K$2771,7,0)</f>
        <v>ENDirect</v>
      </c>
      <c r="N1933" s="7" t="str">
        <f>IFERROR(HLOOKUP(L1933,'Calc|Weightings'!$K$5:$M$5,1,0),"Excl")</f>
        <v>Labour</v>
      </c>
      <c r="O1933" s="7" t="str">
        <f>VLOOKUP(E1933,Mapping!$E$11:$I$96,5,0)</f>
        <v>SCS</v>
      </c>
      <c r="Q1933" s="7"/>
      <c r="R1933" s="7"/>
      <c r="S1933" s="7"/>
      <c r="T1933" s="7"/>
      <c r="U1933" s="7"/>
      <c r="V1933" s="7"/>
      <c r="AC1933" s="7"/>
      <c r="AD1933" s="7"/>
      <c r="AE1933" s="7"/>
      <c r="AF1933" s="7"/>
      <c r="AG1933" s="7"/>
      <c r="AO1933" s="7"/>
      <c r="AP1933" s="7"/>
      <c r="AQ1933" s="7"/>
      <c r="AR1933" s="7"/>
      <c r="AS1933" s="7"/>
    </row>
    <row r="1934" spans="1:45" x14ac:dyDescent="0.2">
      <c r="A1934" s="7"/>
      <c r="B1934" s="7"/>
      <c r="C1934" s="7"/>
      <c r="D1934" s="7"/>
      <c r="E1934" s="36">
        <v>162</v>
      </c>
      <c r="F1934" s="36" t="s">
        <v>2172</v>
      </c>
      <c r="G1934" s="36">
        <v>613261</v>
      </c>
      <c r="H1934" s="36" t="s">
        <v>2091</v>
      </c>
      <c r="I1934" s="37">
        <v>8.4317499999999992</v>
      </c>
      <c r="J1934" s="7"/>
      <c r="K1934" s="7" t="str">
        <f>VLOOKUP($E1934,Mapping!$E$11:$I$96,3,0)</f>
        <v>Augmentation</v>
      </c>
      <c r="L1934" s="7" t="str">
        <f>VLOOKUP($G1934,Mapping!$E$140:$K$2771,5,0)</f>
        <v>Labour</v>
      </c>
      <c r="M1934" s="7" t="str">
        <f>VLOOKUP($G1934,Mapping!$E$140:$K$2771,7,0)</f>
        <v>ENDirect</v>
      </c>
      <c r="N1934" s="7" t="str">
        <f>IFERROR(HLOOKUP(L1934,'Calc|Weightings'!$K$5:$M$5,1,0),"Excl")</f>
        <v>Labour</v>
      </c>
      <c r="O1934" s="7" t="str">
        <f>VLOOKUP(E1934,Mapping!$E$11:$I$96,5,0)</f>
        <v>SCS</v>
      </c>
      <c r="Q1934" s="7"/>
      <c r="R1934" s="7"/>
      <c r="S1934" s="7"/>
      <c r="T1934" s="7"/>
      <c r="U1934" s="7"/>
      <c r="V1934" s="7"/>
      <c r="AC1934" s="7"/>
      <c r="AD1934" s="7"/>
      <c r="AE1934" s="7"/>
      <c r="AF1934" s="7"/>
      <c r="AG1934" s="7"/>
      <c r="AO1934" s="7"/>
      <c r="AP1934" s="7"/>
      <c r="AQ1934" s="7"/>
      <c r="AR1934" s="7"/>
      <c r="AS1934" s="7"/>
    </row>
    <row r="1935" spans="1:45" x14ac:dyDescent="0.2">
      <c r="A1935" s="7"/>
      <c r="B1935" s="7"/>
      <c r="C1935" s="7"/>
      <c r="D1935" s="7"/>
      <c r="E1935" s="36">
        <v>162</v>
      </c>
      <c r="F1935" s="36" t="s">
        <v>2172</v>
      </c>
      <c r="G1935" s="36">
        <v>613268</v>
      </c>
      <c r="H1935" s="36" t="s">
        <v>1335</v>
      </c>
      <c r="I1935" s="37">
        <v>20.828849999999999</v>
      </c>
      <c r="J1935" s="7"/>
      <c r="K1935" s="7" t="str">
        <f>VLOOKUP($E1935,Mapping!$E$11:$I$96,3,0)</f>
        <v>Augmentation</v>
      </c>
      <c r="L1935" s="7" t="str">
        <f>VLOOKUP($G1935,Mapping!$E$140:$K$2771,5,0)</f>
        <v>Labour</v>
      </c>
      <c r="M1935" s="7" t="str">
        <f>VLOOKUP($G1935,Mapping!$E$140:$K$2771,7,0)</f>
        <v>ENDirect</v>
      </c>
      <c r="N1935" s="7" t="str">
        <f>IFERROR(HLOOKUP(L1935,'Calc|Weightings'!$K$5:$M$5,1,0),"Excl")</f>
        <v>Labour</v>
      </c>
      <c r="O1935" s="7" t="str">
        <f>VLOOKUP(E1935,Mapping!$E$11:$I$96,5,0)</f>
        <v>SCS</v>
      </c>
      <c r="Q1935" s="7"/>
      <c r="R1935" s="7"/>
      <c r="S1935" s="7"/>
      <c r="T1935" s="7"/>
      <c r="U1935" s="7"/>
      <c r="V1935" s="7"/>
      <c r="AC1935" s="7"/>
      <c r="AD1935" s="7"/>
      <c r="AE1935" s="7"/>
      <c r="AF1935" s="7"/>
      <c r="AG1935" s="7"/>
      <c r="AO1935" s="7"/>
      <c r="AP1935" s="7"/>
      <c r="AQ1935" s="7"/>
      <c r="AR1935" s="7"/>
      <c r="AS1935" s="7"/>
    </row>
    <row r="1936" spans="1:45" x14ac:dyDescent="0.2">
      <c r="A1936" s="7"/>
      <c r="B1936" s="7"/>
      <c r="C1936" s="7"/>
      <c r="D1936" s="7"/>
      <c r="E1936" s="36">
        <v>162</v>
      </c>
      <c r="F1936" s="36" t="s">
        <v>2172</v>
      </c>
      <c r="G1936" s="36">
        <v>613269</v>
      </c>
      <c r="H1936" s="36" t="s">
        <v>1336</v>
      </c>
      <c r="I1936" s="37">
        <v>0.29004999999999997</v>
      </c>
      <c r="J1936" s="7"/>
      <c r="K1936" s="7" t="str">
        <f>VLOOKUP($E1936,Mapping!$E$11:$I$96,3,0)</f>
        <v>Augmentation</v>
      </c>
      <c r="L1936" s="7" t="str">
        <f>VLOOKUP($G1936,Mapping!$E$140:$K$2771,5,0)</f>
        <v>Labour</v>
      </c>
      <c r="M1936" s="7" t="str">
        <f>VLOOKUP($G1936,Mapping!$E$140:$K$2771,7,0)</f>
        <v>ENDirect</v>
      </c>
      <c r="N1936" s="7" t="str">
        <f>IFERROR(HLOOKUP(L1936,'Calc|Weightings'!$K$5:$M$5,1,0),"Excl")</f>
        <v>Labour</v>
      </c>
      <c r="O1936" s="7" t="str">
        <f>VLOOKUP(E1936,Mapping!$E$11:$I$96,5,0)</f>
        <v>SCS</v>
      </c>
      <c r="Q1936" s="7"/>
      <c r="R1936" s="7"/>
      <c r="S1936" s="7"/>
      <c r="T1936" s="7"/>
      <c r="U1936" s="7"/>
      <c r="V1936" s="7"/>
      <c r="AC1936" s="7"/>
      <c r="AD1936" s="7"/>
      <c r="AE1936" s="7"/>
      <c r="AF1936" s="7"/>
      <c r="AG1936" s="7"/>
      <c r="AO1936" s="7"/>
      <c r="AP1936" s="7"/>
      <c r="AQ1936" s="7"/>
      <c r="AR1936" s="7"/>
      <c r="AS1936" s="7"/>
    </row>
    <row r="1937" spans="1:45" x14ac:dyDescent="0.2">
      <c r="A1937" s="7"/>
      <c r="B1937" s="7"/>
      <c r="C1937" s="7"/>
      <c r="D1937" s="7"/>
      <c r="E1937" s="36">
        <v>162</v>
      </c>
      <c r="F1937" s="36" t="s">
        <v>2172</v>
      </c>
      <c r="G1937" s="36">
        <v>613270</v>
      </c>
      <c r="H1937" s="36" t="s">
        <v>2092</v>
      </c>
      <c r="I1937" s="37">
        <v>85.43092</v>
      </c>
      <c r="J1937" s="7"/>
      <c r="K1937" s="7" t="str">
        <f>VLOOKUP($E1937,Mapping!$E$11:$I$96,3,0)</f>
        <v>Augmentation</v>
      </c>
      <c r="L1937" s="7" t="str">
        <f>VLOOKUP($G1937,Mapping!$E$140:$K$2771,5,0)</f>
        <v>Labour</v>
      </c>
      <c r="M1937" s="7" t="str">
        <f>VLOOKUP($G1937,Mapping!$E$140:$K$2771,7,0)</f>
        <v>ENDirect</v>
      </c>
      <c r="N1937" s="7" t="str">
        <f>IFERROR(HLOOKUP(L1937,'Calc|Weightings'!$K$5:$M$5,1,0),"Excl")</f>
        <v>Labour</v>
      </c>
      <c r="O1937" s="7" t="str">
        <f>VLOOKUP(E1937,Mapping!$E$11:$I$96,5,0)</f>
        <v>SCS</v>
      </c>
      <c r="Q1937" s="7"/>
      <c r="R1937" s="7"/>
      <c r="S1937" s="7"/>
      <c r="T1937" s="7"/>
      <c r="U1937" s="7"/>
      <c r="V1937" s="7"/>
      <c r="AC1937" s="7"/>
      <c r="AD1937" s="7"/>
      <c r="AE1937" s="7"/>
      <c r="AF1937" s="7"/>
      <c r="AG1937" s="7"/>
      <c r="AO1937" s="7"/>
      <c r="AP1937" s="7"/>
      <c r="AQ1937" s="7"/>
      <c r="AR1937" s="7"/>
      <c r="AS1937" s="7"/>
    </row>
    <row r="1938" spans="1:45" x14ac:dyDescent="0.2">
      <c r="A1938" s="7"/>
      <c r="B1938" s="7"/>
      <c r="C1938" s="7"/>
      <c r="D1938" s="7"/>
      <c r="E1938" s="36">
        <v>162</v>
      </c>
      <c r="F1938" s="36" t="s">
        <v>2172</v>
      </c>
      <c r="G1938" s="36">
        <v>613271</v>
      </c>
      <c r="H1938" s="36" t="s">
        <v>2150</v>
      </c>
      <c r="I1938" s="37">
        <v>13.929080000000001</v>
      </c>
      <c r="J1938" s="7"/>
      <c r="K1938" s="7" t="str">
        <f>VLOOKUP($E1938,Mapping!$E$11:$I$96,3,0)</f>
        <v>Augmentation</v>
      </c>
      <c r="L1938" s="7" t="str">
        <f>VLOOKUP($G1938,Mapping!$E$140:$K$2771,5,0)</f>
        <v>Labour</v>
      </c>
      <c r="M1938" s="7" t="str">
        <f>VLOOKUP($G1938,Mapping!$E$140:$K$2771,7,0)</f>
        <v>ENDirect</v>
      </c>
      <c r="N1938" s="7" t="str">
        <f>IFERROR(HLOOKUP(L1938,'Calc|Weightings'!$K$5:$M$5,1,0),"Excl")</f>
        <v>Labour</v>
      </c>
      <c r="O1938" s="7" t="str">
        <f>VLOOKUP(E1938,Mapping!$E$11:$I$96,5,0)</f>
        <v>SCS</v>
      </c>
      <c r="Q1938" s="7"/>
      <c r="R1938" s="7"/>
      <c r="S1938" s="7"/>
      <c r="T1938" s="7"/>
      <c r="U1938" s="7"/>
      <c r="V1938" s="7"/>
      <c r="AC1938" s="7"/>
      <c r="AD1938" s="7"/>
      <c r="AE1938" s="7"/>
      <c r="AF1938" s="7"/>
      <c r="AG1938" s="7"/>
      <c r="AO1938" s="7"/>
      <c r="AP1938" s="7"/>
      <c r="AQ1938" s="7"/>
      <c r="AR1938" s="7"/>
      <c r="AS1938" s="7"/>
    </row>
    <row r="1939" spans="1:45" x14ac:dyDescent="0.2">
      <c r="A1939" s="7"/>
      <c r="B1939" s="7"/>
      <c r="C1939" s="7"/>
      <c r="D1939" s="7"/>
      <c r="E1939" s="36">
        <v>162</v>
      </c>
      <c r="F1939" s="36" t="s">
        <v>2172</v>
      </c>
      <c r="G1939" s="36">
        <v>613278</v>
      </c>
      <c r="H1939" s="36" t="s">
        <v>2357</v>
      </c>
      <c r="I1939" s="37">
        <v>31.119779999999999</v>
      </c>
      <c r="J1939" s="7"/>
      <c r="K1939" s="7" t="str">
        <f>VLOOKUP($E1939,Mapping!$E$11:$I$96,3,0)</f>
        <v>Augmentation</v>
      </c>
      <c r="L1939" s="7" t="str">
        <f>VLOOKUP($G1939,Mapping!$E$140:$K$2771,5,0)</f>
        <v>Labour</v>
      </c>
      <c r="M1939" s="7" t="str">
        <f>VLOOKUP($G1939,Mapping!$E$140:$K$2771,7,0)</f>
        <v>ENDirect</v>
      </c>
      <c r="N1939" s="7" t="str">
        <f>IFERROR(HLOOKUP(L1939,'Calc|Weightings'!$K$5:$M$5,1,0),"Excl")</f>
        <v>Labour</v>
      </c>
      <c r="O1939" s="7" t="str">
        <f>VLOOKUP(E1939,Mapping!$E$11:$I$96,5,0)</f>
        <v>SCS</v>
      </c>
      <c r="Q1939" s="7"/>
      <c r="R1939" s="7"/>
      <c r="S1939" s="7"/>
      <c r="T1939" s="7"/>
      <c r="U1939" s="7"/>
      <c r="V1939" s="7"/>
      <c r="AC1939" s="7"/>
      <c r="AD1939" s="7"/>
      <c r="AE1939" s="7"/>
      <c r="AF1939" s="7"/>
      <c r="AG1939" s="7"/>
      <c r="AO1939" s="7"/>
      <c r="AP1939" s="7"/>
      <c r="AQ1939" s="7"/>
      <c r="AR1939" s="7"/>
      <c r="AS1939" s="7"/>
    </row>
    <row r="1940" spans="1:45" x14ac:dyDescent="0.2">
      <c r="A1940" s="7"/>
      <c r="B1940" s="7"/>
      <c r="C1940" s="7"/>
      <c r="D1940" s="7"/>
      <c r="E1940" s="36">
        <v>162</v>
      </c>
      <c r="F1940" s="36" t="s">
        <v>2172</v>
      </c>
      <c r="G1940" s="36">
        <v>613279</v>
      </c>
      <c r="H1940" s="36" t="s">
        <v>2360</v>
      </c>
      <c r="I1940" s="37">
        <v>10.84923</v>
      </c>
      <c r="J1940" s="7"/>
      <c r="K1940" s="7" t="str">
        <f>VLOOKUP($E1940,Mapping!$E$11:$I$96,3,0)</f>
        <v>Augmentation</v>
      </c>
      <c r="L1940" s="7" t="str">
        <f>VLOOKUP($G1940,Mapping!$E$140:$K$2771,5,0)</f>
        <v>Labour</v>
      </c>
      <c r="M1940" s="7" t="str">
        <f>VLOOKUP($G1940,Mapping!$E$140:$K$2771,7,0)</f>
        <v>ENDirect</v>
      </c>
      <c r="N1940" s="7" t="str">
        <f>IFERROR(HLOOKUP(L1940,'Calc|Weightings'!$K$5:$M$5,1,0),"Excl")</f>
        <v>Labour</v>
      </c>
      <c r="O1940" s="7" t="str">
        <f>VLOOKUP(E1940,Mapping!$E$11:$I$96,5,0)</f>
        <v>SCS</v>
      </c>
      <c r="Q1940" s="7"/>
      <c r="R1940" s="7"/>
      <c r="S1940" s="7"/>
      <c r="T1940" s="7"/>
      <c r="U1940" s="7"/>
      <c r="V1940" s="7"/>
      <c r="AC1940" s="7"/>
      <c r="AD1940" s="7"/>
      <c r="AE1940" s="7"/>
      <c r="AF1940" s="7"/>
      <c r="AG1940" s="7"/>
      <c r="AO1940" s="7"/>
      <c r="AP1940" s="7"/>
      <c r="AQ1940" s="7"/>
      <c r="AR1940" s="7"/>
      <c r="AS1940" s="7"/>
    </row>
    <row r="1941" spans="1:45" x14ac:dyDescent="0.2">
      <c r="A1941" s="7"/>
      <c r="B1941" s="7"/>
      <c r="C1941" s="7"/>
      <c r="D1941" s="7"/>
      <c r="E1941" s="36">
        <v>162</v>
      </c>
      <c r="F1941" s="36" t="s">
        <v>2172</v>
      </c>
      <c r="G1941" s="36">
        <v>613280</v>
      </c>
      <c r="H1941" s="36" t="s">
        <v>1342</v>
      </c>
      <c r="I1941" s="37">
        <v>50.034399999999998</v>
      </c>
      <c r="J1941" s="7"/>
      <c r="K1941" s="7" t="str">
        <f>VLOOKUP($E1941,Mapping!$E$11:$I$96,3,0)</f>
        <v>Augmentation</v>
      </c>
      <c r="L1941" s="7" t="str">
        <f>VLOOKUP($G1941,Mapping!$E$140:$K$2771,5,0)</f>
        <v>Labour</v>
      </c>
      <c r="M1941" s="7" t="str">
        <f>VLOOKUP($G1941,Mapping!$E$140:$K$2771,7,0)</f>
        <v>ENDirect</v>
      </c>
      <c r="N1941" s="7" t="str">
        <f>IFERROR(HLOOKUP(L1941,'Calc|Weightings'!$K$5:$M$5,1,0),"Excl")</f>
        <v>Labour</v>
      </c>
      <c r="O1941" s="7" t="str">
        <f>VLOOKUP(E1941,Mapping!$E$11:$I$96,5,0)</f>
        <v>SCS</v>
      </c>
      <c r="Q1941" s="7"/>
      <c r="R1941" s="7"/>
      <c r="S1941" s="7"/>
      <c r="T1941" s="7"/>
      <c r="U1941" s="7"/>
      <c r="V1941" s="7"/>
      <c r="AC1941" s="7"/>
      <c r="AD1941" s="7"/>
      <c r="AE1941" s="7"/>
      <c r="AF1941" s="7"/>
      <c r="AG1941" s="7"/>
      <c r="AO1941" s="7"/>
      <c r="AP1941" s="7"/>
      <c r="AQ1941" s="7"/>
      <c r="AR1941" s="7"/>
      <c r="AS1941" s="7"/>
    </row>
    <row r="1942" spans="1:45" x14ac:dyDescent="0.2">
      <c r="A1942" s="7"/>
      <c r="B1942" s="7"/>
      <c r="C1942" s="7"/>
      <c r="D1942" s="7"/>
      <c r="E1942" s="36">
        <v>162</v>
      </c>
      <c r="F1942" s="36" t="s">
        <v>2172</v>
      </c>
      <c r="G1942" s="36">
        <v>613290</v>
      </c>
      <c r="H1942" s="36" t="s">
        <v>2093</v>
      </c>
      <c r="I1942" s="37">
        <v>263.01763999999997</v>
      </c>
      <c r="J1942" s="7"/>
      <c r="K1942" s="7" t="str">
        <f>VLOOKUP($E1942,Mapping!$E$11:$I$96,3,0)</f>
        <v>Augmentation</v>
      </c>
      <c r="L1942" s="7" t="str">
        <f>VLOOKUP($G1942,Mapping!$E$140:$K$2771,5,0)</f>
        <v>Labour</v>
      </c>
      <c r="M1942" s="7" t="str">
        <f>VLOOKUP($G1942,Mapping!$E$140:$K$2771,7,0)</f>
        <v>ENDirect</v>
      </c>
      <c r="N1942" s="7" t="str">
        <f>IFERROR(HLOOKUP(L1942,'Calc|Weightings'!$K$5:$M$5,1,0),"Excl")</f>
        <v>Labour</v>
      </c>
      <c r="O1942" s="7" t="str">
        <f>VLOOKUP(E1942,Mapping!$E$11:$I$96,5,0)</f>
        <v>SCS</v>
      </c>
      <c r="Q1942" s="7"/>
      <c r="R1942" s="7"/>
      <c r="S1942" s="7"/>
      <c r="T1942" s="7"/>
      <c r="U1942" s="7"/>
      <c r="V1942" s="7"/>
      <c r="AC1942" s="7"/>
      <c r="AD1942" s="7"/>
      <c r="AE1942" s="7"/>
      <c r="AF1942" s="7"/>
      <c r="AG1942" s="7"/>
      <c r="AO1942" s="7"/>
      <c r="AP1942" s="7"/>
      <c r="AQ1942" s="7"/>
      <c r="AR1942" s="7"/>
      <c r="AS1942" s="7"/>
    </row>
    <row r="1943" spans="1:45" x14ac:dyDescent="0.2">
      <c r="A1943" s="7"/>
      <c r="B1943" s="7"/>
      <c r="C1943" s="7"/>
      <c r="D1943" s="7"/>
      <c r="E1943" s="36">
        <v>162</v>
      </c>
      <c r="F1943" s="36" t="s">
        <v>2172</v>
      </c>
      <c r="G1943" s="36">
        <v>613298</v>
      </c>
      <c r="H1943" s="36" t="s">
        <v>2122</v>
      </c>
      <c r="I1943" s="37">
        <v>127.00075</v>
      </c>
      <c r="J1943" s="7"/>
      <c r="K1943" s="7" t="str">
        <f>VLOOKUP($E1943,Mapping!$E$11:$I$96,3,0)</f>
        <v>Augmentation</v>
      </c>
      <c r="L1943" s="7" t="str">
        <f>VLOOKUP($G1943,Mapping!$E$140:$K$2771,5,0)</f>
        <v>Labour</v>
      </c>
      <c r="M1943" s="7" t="str">
        <f>VLOOKUP($G1943,Mapping!$E$140:$K$2771,7,0)</f>
        <v>ENDirect</v>
      </c>
      <c r="N1943" s="7" t="str">
        <f>IFERROR(HLOOKUP(L1943,'Calc|Weightings'!$K$5:$M$5,1,0),"Excl")</f>
        <v>Labour</v>
      </c>
      <c r="O1943" s="7" t="str">
        <f>VLOOKUP(E1943,Mapping!$E$11:$I$96,5,0)</f>
        <v>SCS</v>
      </c>
      <c r="Q1943" s="7"/>
      <c r="R1943" s="7"/>
      <c r="S1943" s="7"/>
      <c r="T1943" s="7"/>
      <c r="U1943" s="7"/>
      <c r="V1943" s="7"/>
      <c r="AC1943" s="7"/>
      <c r="AD1943" s="7"/>
      <c r="AE1943" s="7"/>
      <c r="AF1943" s="7"/>
      <c r="AG1943" s="7"/>
      <c r="AO1943" s="7"/>
      <c r="AP1943" s="7"/>
      <c r="AQ1943" s="7"/>
      <c r="AR1943" s="7"/>
      <c r="AS1943" s="7"/>
    </row>
    <row r="1944" spans="1:45" x14ac:dyDescent="0.2">
      <c r="A1944" s="7"/>
      <c r="B1944" s="7"/>
      <c r="C1944" s="7"/>
      <c r="D1944" s="7"/>
      <c r="E1944" s="36">
        <v>162</v>
      </c>
      <c r="F1944" s="36" t="s">
        <v>2172</v>
      </c>
      <c r="G1944" s="36">
        <v>613310</v>
      </c>
      <c r="H1944" s="36" t="s">
        <v>2095</v>
      </c>
      <c r="I1944" s="37">
        <v>500.82949000000002</v>
      </c>
      <c r="J1944" s="7"/>
      <c r="K1944" s="7" t="str">
        <f>VLOOKUP($E1944,Mapping!$E$11:$I$96,3,0)</f>
        <v>Augmentation</v>
      </c>
      <c r="L1944" s="7" t="str">
        <f>VLOOKUP($G1944,Mapping!$E$140:$K$2771,5,0)</f>
        <v>Labour</v>
      </c>
      <c r="M1944" s="7" t="str">
        <f>VLOOKUP($G1944,Mapping!$E$140:$K$2771,7,0)</f>
        <v>ENDirect</v>
      </c>
      <c r="N1944" s="7" t="str">
        <f>IFERROR(HLOOKUP(L1944,'Calc|Weightings'!$K$5:$M$5,1,0),"Excl")</f>
        <v>Labour</v>
      </c>
      <c r="O1944" s="7" t="str">
        <f>VLOOKUP(E1944,Mapping!$E$11:$I$96,5,0)</f>
        <v>SCS</v>
      </c>
      <c r="Q1944" s="7"/>
      <c r="R1944" s="7"/>
      <c r="S1944" s="7"/>
      <c r="T1944" s="7"/>
      <c r="U1944" s="7"/>
      <c r="V1944" s="7"/>
      <c r="AC1944" s="7"/>
      <c r="AD1944" s="7"/>
      <c r="AE1944" s="7"/>
      <c r="AF1944" s="7"/>
      <c r="AG1944" s="7"/>
      <c r="AO1944" s="7"/>
      <c r="AP1944" s="7"/>
      <c r="AQ1944" s="7"/>
      <c r="AR1944" s="7"/>
      <c r="AS1944" s="7"/>
    </row>
    <row r="1945" spans="1:45" x14ac:dyDescent="0.2">
      <c r="A1945" s="7"/>
      <c r="B1945" s="7"/>
      <c r="C1945" s="7"/>
      <c r="D1945" s="7"/>
      <c r="E1945" s="36">
        <v>162</v>
      </c>
      <c r="F1945" s="36" t="s">
        <v>2172</v>
      </c>
      <c r="G1945" s="36">
        <v>613311</v>
      </c>
      <c r="H1945" s="36" t="s">
        <v>2116</v>
      </c>
      <c r="I1945" s="37">
        <v>26.85586</v>
      </c>
      <c r="J1945" s="7"/>
      <c r="K1945" s="7" t="str">
        <f>VLOOKUP($E1945,Mapping!$E$11:$I$96,3,0)</f>
        <v>Augmentation</v>
      </c>
      <c r="L1945" s="7" t="str">
        <f>VLOOKUP($G1945,Mapping!$E$140:$K$2771,5,0)</f>
        <v>Labour</v>
      </c>
      <c r="M1945" s="7" t="str">
        <f>VLOOKUP($G1945,Mapping!$E$140:$K$2771,7,0)</f>
        <v>ENDirect</v>
      </c>
      <c r="N1945" s="7" t="str">
        <f>IFERROR(HLOOKUP(L1945,'Calc|Weightings'!$K$5:$M$5,1,0),"Excl")</f>
        <v>Labour</v>
      </c>
      <c r="O1945" s="7" t="str">
        <f>VLOOKUP(E1945,Mapping!$E$11:$I$96,5,0)</f>
        <v>SCS</v>
      </c>
      <c r="Q1945" s="7"/>
      <c r="R1945" s="7"/>
      <c r="S1945" s="7"/>
      <c r="T1945" s="7"/>
      <c r="U1945" s="7"/>
      <c r="V1945" s="7"/>
      <c r="AC1945" s="7"/>
      <c r="AD1945" s="7"/>
      <c r="AE1945" s="7"/>
      <c r="AF1945" s="7"/>
      <c r="AG1945" s="7"/>
      <c r="AO1945" s="7"/>
      <c r="AP1945" s="7"/>
      <c r="AQ1945" s="7"/>
      <c r="AR1945" s="7"/>
      <c r="AS1945" s="7"/>
    </row>
    <row r="1946" spans="1:45" x14ac:dyDescent="0.2">
      <c r="A1946" s="7"/>
      <c r="B1946" s="7"/>
      <c r="C1946" s="7"/>
      <c r="D1946" s="7"/>
      <c r="E1946" s="36">
        <v>162</v>
      </c>
      <c r="F1946" s="36" t="s">
        <v>2172</v>
      </c>
      <c r="G1946" s="36">
        <v>613318</v>
      </c>
      <c r="H1946" s="36" t="s">
        <v>1360</v>
      </c>
      <c r="I1946" s="37">
        <v>134.71929</v>
      </c>
      <c r="J1946" s="7"/>
      <c r="K1946" s="7" t="str">
        <f>VLOOKUP($E1946,Mapping!$E$11:$I$96,3,0)</f>
        <v>Augmentation</v>
      </c>
      <c r="L1946" s="7" t="str">
        <f>VLOOKUP($G1946,Mapping!$E$140:$K$2771,5,0)</f>
        <v>Labour</v>
      </c>
      <c r="M1946" s="7" t="str">
        <f>VLOOKUP($G1946,Mapping!$E$140:$K$2771,7,0)</f>
        <v>ENDirect</v>
      </c>
      <c r="N1946" s="7" t="str">
        <f>IFERROR(HLOOKUP(L1946,'Calc|Weightings'!$K$5:$M$5,1,0),"Excl")</f>
        <v>Labour</v>
      </c>
      <c r="O1946" s="7" t="str">
        <f>VLOOKUP(E1946,Mapping!$E$11:$I$96,5,0)</f>
        <v>SCS</v>
      </c>
      <c r="Q1946" s="7"/>
      <c r="R1946" s="7"/>
      <c r="S1946" s="7"/>
      <c r="T1946" s="7"/>
      <c r="U1946" s="7"/>
      <c r="V1946" s="7"/>
      <c r="AC1946" s="7"/>
      <c r="AD1946" s="7"/>
      <c r="AE1946" s="7"/>
      <c r="AF1946" s="7"/>
      <c r="AG1946" s="7"/>
      <c r="AO1946" s="7"/>
      <c r="AP1946" s="7"/>
      <c r="AQ1946" s="7"/>
      <c r="AR1946" s="7"/>
      <c r="AS1946" s="7"/>
    </row>
    <row r="1947" spans="1:45" x14ac:dyDescent="0.2">
      <c r="A1947" s="7"/>
      <c r="B1947" s="7"/>
      <c r="C1947" s="7"/>
      <c r="D1947" s="7"/>
      <c r="E1947" s="36">
        <v>162</v>
      </c>
      <c r="F1947" s="36" t="s">
        <v>2172</v>
      </c>
      <c r="G1947" s="36">
        <v>613319</v>
      </c>
      <c r="H1947" s="36" t="s">
        <v>2358</v>
      </c>
      <c r="I1947" s="37">
        <v>4.3937900000000001</v>
      </c>
      <c r="J1947" s="7"/>
      <c r="K1947" s="7" t="str">
        <f>VLOOKUP($E1947,Mapping!$E$11:$I$96,3,0)</f>
        <v>Augmentation</v>
      </c>
      <c r="L1947" s="7" t="str">
        <f>VLOOKUP($G1947,Mapping!$E$140:$K$2771,5,0)</f>
        <v>Labour</v>
      </c>
      <c r="M1947" s="7" t="str">
        <f>VLOOKUP($G1947,Mapping!$E$140:$K$2771,7,0)</f>
        <v>ENDirect</v>
      </c>
      <c r="N1947" s="7" t="str">
        <f>IFERROR(HLOOKUP(L1947,'Calc|Weightings'!$K$5:$M$5,1,0),"Excl")</f>
        <v>Labour</v>
      </c>
      <c r="O1947" s="7" t="str">
        <f>VLOOKUP(E1947,Mapping!$E$11:$I$96,5,0)</f>
        <v>SCS</v>
      </c>
      <c r="Q1947" s="7"/>
      <c r="R1947" s="7"/>
      <c r="S1947" s="7"/>
      <c r="T1947" s="7"/>
      <c r="U1947" s="7"/>
      <c r="V1947" s="7"/>
      <c r="AC1947" s="7"/>
      <c r="AD1947" s="7"/>
      <c r="AE1947" s="7"/>
      <c r="AF1947" s="7"/>
      <c r="AG1947" s="7"/>
      <c r="AO1947" s="7"/>
      <c r="AP1947" s="7"/>
      <c r="AQ1947" s="7"/>
      <c r="AR1947" s="7"/>
      <c r="AS1947" s="7"/>
    </row>
    <row r="1948" spans="1:45" x14ac:dyDescent="0.2">
      <c r="A1948" s="7"/>
      <c r="B1948" s="7"/>
      <c r="C1948" s="7"/>
      <c r="D1948" s="7"/>
      <c r="E1948" s="36">
        <v>162</v>
      </c>
      <c r="F1948" s="36" t="s">
        <v>2172</v>
      </c>
      <c r="G1948" s="36">
        <v>613350</v>
      </c>
      <c r="H1948" s="36" t="s">
        <v>2096</v>
      </c>
      <c r="I1948" s="37">
        <v>16.47531</v>
      </c>
      <c r="J1948" s="7"/>
      <c r="K1948" s="7" t="str">
        <f>VLOOKUP($E1948,Mapping!$E$11:$I$96,3,0)</f>
        <v>Augmentation</v>
      </c>
      <c r="L1948" s="7" t="str">
        <f>VLOOKUP($G1948,Mapping!$E$140:$K$2771,5,0)</f>
        <v>Labour</v>
      </c>
      <c r="M1948" s="7" t="str">
        <f>VLOOKUP($G1948,Mapping!$E$140:$K$2771,7,0)</f>
        <v>ENDirect</v>
      </c>
      <c r="N1948" s="7" t="str">
        <f>IFERROR(HLOOKUP(L1948,'Calc|Weightings'!$K$5:$M$5,1,0),"Excl")</f>
        <v>Labour</v>
      </c>
      <c r="O1948" s="7" t="str">
        <f>VLOOKUP(E1948,Mapping!$E$11:$I$96,5,0)</f>
        <v>SCS</v>
      </c>
      <c r="Q1948" s="7"/>
      <c r="R1948" s="7"/>
      <c r="S1948" s="7"/>
      <c r="T1948" s="7"/>
      <c r="U1948" s="7"/>
      <c r="V1948" s="7"/>
      <c r="AC1948" s="7"/>
      <c r="AD1948" s="7"/>
      <c r="AE1948" s="7"/>
      <c r="AF1948" s="7"/>
      <c r="AG1948" s="7"/>
      <c r="AO1948" s="7"/>
      <c r="AP1948" s="7"/>
      <c r="AQ1948" s="7"/>
      <c r="AR1948" s="7"/>
      <c r="AS1948" s="7"/>
    </row>
    <row r="1949" spans="1:45" x14ac:dyDescent="0.2">
      <c r="A1949" s="7"/>
      <c r="B1949" s="7"/>
      <c r="C1949" s="7"/>
      <c r="D1949" s="7"/>
      <c r="E1949" s="36">
        <v>162</v>
      </c>
      <c r="F1949" s="36" t="s">
        <v>2172</v>
      </c>
      <c r="G1949" s="36">
        <v>613360</v>
      </c>
      <c r="H1949" s="36" t="s">
        <v>2097</v>
      </c>
      <c r="I1949" s="37">
        <v>22.324090000000002</v>
      </c>
      <c r="J1949" s="7"/>
      <c r="K1949" s="7" t="str">
        <f>VLOOKUP($E1949,Mapping!$E$11:$I$96,3,0)</f>
        <v>Augmentation</v>
      </c>
      <c r="L1949" s="7" t="str">
        <f>VLOOKUP($G1949,Mapping!$E$140:$K$2771,5,0)</f>
        <v>Labour</v>
      </c>
      <c r="M1949" s="7" t="str">
        <f>VLOOKUP($G1949,Mapping!$E$140:$K$2771,7,0)</f>
        <v>ENDirect</v>
      </c>
      <c r="N1949" s="7" t="str">
        <f>IFERROR(HLOOKUP(L1949,'Calc|Weightings'!$K$5:$M$5,1,0),"Excl")</f>
        <v>Labour</v>
      </c>
      <c r="O1949" s="7" t="str">
        <f>VLOOKUP(E1949,Mapping!$E$11:$I$96,5,0)</f>
        <v>SCS</v>
      </c>
      <c r="Q1949" s="7"/>
      <c r="R1949" s="7"/>
      <c r="S1949" s="7"/>
      <c r="T1949" s="7"/>
      <c r="U1949" s="7"/>
      <c r="V1949" s="7"/>
      <c r="AC1949" s="7"/>
      <c r="AD1949" s="7"/>
      <c r="AE1949" s="7"/>
      <c r="AF1949" s="7"/>
      <c r="AG1949" s="7"/>
      <c r="AO1949" s="7"/>
      <c r="AP1949" s="7"/>
      <c r="AQ1949" s="7"/>
      <c r="AR1949" s="7"/>
      <c r="AS1949" s="7"/>
    </row>
    <row r="1950" spans="1:45" x14ac:dyDescent="0.2">
      <c r="A1950" s="7"/>
      <c r="B1950" s="7"/>
      <c r="C1950" s="7"/>
      <c r="D1950" s="7"/>
      <c r="E1950" s="36">
        <v>162</v>
      </c>
      <c r="F1950" s="36" t="s">
        <v>2172</v>
      </c>
      <c r="G1950" s="36">
        <v>613361</v>
      </c>
      <c r="H1950" s="36" t="s">
        <v>2098</v>
      </c>
      <c r="I1950" s="37">
        <v>7.9728599999999998</v>
      </c>
      <c r="J1950" s="7"/>
      <c r="K1950" s="7" t="str">
        <f>VLOOKUP($E1950,Mapping!$E$11:$I$96,3,0)</f>
        <v>Augmentation</v>
      </c>
      <c r="L1950" s="7" t="str">
        <f>VLOOKUP($G1950,Mapping!$E$140:$K$2771,5,0)</f>
        <v>Labour</v>
      </c>
      <c r="M1950" s="7" t="str">
        <f>VLOOKUP($G1950,Mapping!$E$140:$K$2771,7,0)</f>
        <v>ENDirect</v>
      </c>
      <c r="N1950" s="7" t="str">
        <f>IFERROR(HLOOKUP(L1950,'Calc|Weightings'!$K$5:$M$5,1,0),"Excl")</f>
        <v>Labour</v>
      </c>
      <c r="O1950" s="7" t="str">
        <f>VLOOKUP(E1950,Mapping!$E$11:$I$96,5,0)</f>
        <v>SCS</v>
      </c>
      <c r="Q1950" s="7"/>
      <c r="R1950" s="7"/>
      <c r="S1950" s="7"/>
      <c r="T1950" s="7"/>
      <c r="U1950" s="7"/>
      <c r="V1950" s="7"/>
      <c r="AC1950" s="7"/>
      <c r="AD1950" s="7"/>
      <c r="AE1950" s="7"/>
      <c r="AF1950" s="7"/>
      <c r="AG1950" s="7"/>
      <c r="AO1950" s="7"/>
      <c r="AP1950" s="7"/>
      <c r="AQ1950" s="7"/>
      <c r="AR1950" s="7"/>
      <c r="AS1950" s="7"/>
    </row>
    <row r="1951" spans="1:45" x14ac:dyDescent="0.2">
      <c r="A1951" s="7"/>
      <c r="B1951" s="7"/>
      <c r="C1951" s="7"/>
      <c r="D1951" s="7"/>
      <c r="E1951" s="36">
        <v>162</v>
      </c>
      <c r="F1951" s="36" t="s">
        <v>2172</v>
      </c>
      <c r="G1951" s="36">
        <v>613370</v>
      </c>
      <c r="H1951" s="36" t="s">
        <v>1402</v>
      </c>
      <c r="I1951" s="37">
        <v>47.561979999999998</v>
      </c>
      <c r="J1951" s="7"/>
      <c r="K1951" s="7" t="str">
        <f>VLOOKUP($E1951,Mapping!$E$11:$I$96,3,0)</f>
        <v>Augmentation</v>
      </c>
      <c r="L1951" s="7" t="str">
        <f>VLOOKUP($G1951,Mapping!$E$140:$K$2771,5,0)</f>
        <v>Labour</v>
      </c>
      <c r="M1951" s="7" t="str">
        <f>VLOOKUP($G1951,Mapping!$E$140:$K$2771,7,0)</f>
        <v>ENDirect</v>
      </c>
      <c r="N1951" s="7" t="str">
        <f>IFERROR(HLOOKUP(L1951,'Calc|Weightings'!$K$5:$M$5,1,0),"Excl")</f>
        <v>Labour</v>
      </c>
      <c r="O1951" s="7" t="str">
        <f>VLOOKUP(E1951,Mapping!$E$11:$I$96,5,0)</f>
        <v>SCS</v>
      </c>
      <c r="Q1951" s="7"/>
      <c r="R1951" s="7"/>
      <c r="S1951" s="7"/>
      <c r="T1951" s="7"/>
      <c r="U1951" s="7"/>
      <c r="V1951" s="7"/>
      <c r="AC1951" s="7"/>
      <c r="AD1951" s="7"/>
      <c r="AE1951" s="7"/>
      <c r="AF1951" s="7"/>
      <c r="AG1951" s="7"/>
      <c r="AO1951" s="7"/>
      <c r="AP1951" s="7"/>
      <c r="AQ1951" s="7"/>
      <c r="AR1951" s="7"/>
      <c r="AS1951" s="7"/>
    </row>
    <row r="1952" spans="1:45" x14ac:dyDescent="0.2">
      <c r="A1952" s="7"/>
      <c r="B1952" s="7"/>
      <c r="C1952" s="7"/>
      <c r="D1952" s="7"/>
      <c r="E1952" s="36">
        <v>162</v>
      </c>
      <c r="F1952" s="36" t="s">
        <v>2172</v>
      </c>
      <c r="G1952" s="36">
        <v>613400</v>
      </c>
      <c r="H1952" s="36" t="s">
        <v>2099</v>
      </c>
      <c r="I1952" s="37">
        <v>0.48683999999999999</v>
      </c>
      <c r="J1952" s="7"/>
      <c r="K1952" s="7" t="str">
        <f>VLOOKUP($E1952,Mapping!$E$11:$I$96,3,0)</f>
        <v>Augmentation</v>
      </c>
      <c r="L1952" s="7" t="str">
        <f>VLOOKUP($G1952,Mapping!$E$140:$K$2771,5,0)</f>
        <v>Labour</v>
      </c>
      <c r="M1952" s="7" t="str">
        <f>VLOOKUP($G1952,Mapping!$E$140:$K$2771,7,0)</f>
        <v>ENDirect</v>
      </c>
      <c r="N1952" s="7" t="str">
        <f>IFERROR(HLOOKUP(L1952,'Calc|Weightings'!$K$5:$M$5,1,0),"Excl")</f>
        <v>Labour</v>
      </c>
      <c r="O1952" s="7" t="str">
        <f>VLOOKUP(E1952,Mapping!$E$11:$I$96,5,0)</f>
        <v>SCS</v>
      </c>
      <c r="Q1952" s="7"/>
      <c r="R1952" s="7"/>
      <c r="S1952" s="7"/>
      <c r="T1952" s="7"/>
      <c r="U1952" s="7"/>
      <c r="V1952" s="7"/>
      <c r="AC1952" s="7"/>
      <c r="AD1952" s="7"/>
      <c r="AE1952" s="7"/>
      <c r="AF1952" s="7"/>
      <c r="AG1952" s="7"/>
      <c r="AO1952" s="7"/>
      <c r="AP1952" s="7"/>
      <c r="AQ1952" s="7"/>
      <c r="AR1952" s="7"/>
      <c r="AS1952" s="7"/>
    </row>
    <row r="1953" spans="1:45" x14ac:dyDescent="0.2">
      <c r="A1953" s="7"/>
      <c r="B1953" s="7"/>
      <c r="C1953" s="7"/>
      <c r="D1953" s="7"/>
      <c r="E1953" s="36">
        <v>162</v>
      </c>
      <c r="F1953" s="36" t="s">
        <v>2172</v>
      </c>
      <c r="G1953" s="36">
        <v>613408</v>
      </c>
      <c r="H1953" s="36" t="s">
        <v>1418</v>
      </c>
      <c r="I1953" s="37">
        <v>53.004710000000003</v>
      </c>
      <c r="J1953" s="7"/>
      <c r="K1953" s="7" t="str">
        <f>VLOOKUP($E1953,Mapping!$E$11:$I$96,3,0)</f>
        <v>Augmentation</v>
      </c>
      <c r="L1953" s="7" t="str">
        <f>VLOOKUP($G1953,Mapping!$E$140:$K$2771,5,0)</f>
        <v>Labour</v>
      </c>
      <c r="M1953" s="7" t="str">
        <f>VLOOKUP($G1953,Mapping!$E$140:$K$2771,7,0)</f>
        <v>ENDirect</v>
      </c>
      <c r="N1953" s="7" t="str">
        <f>IFERROR(HLOOKUP(L1953,'Calc|Weightings'!$K$5:$M$5,1,0),"Excl")</f>
        <v>Labour</v>
      </c>
      <c r="O1953" s="7" t="str">
        <f>VLOOKUP(E1953,Mapping!$E$11:$I$96,5,0)</f>
        <v>SCS</v>
      </c>
      <c r="Q1953" s="7"/>
      <c r="R1953" s="7"/>
      <c r="S1953" s="7"/>
      <c r="T1953" s="7"/>
      <c r="U1953" s="7"/>
      <c r="V1953" s="7"/>
      <c r="AC1953" s="7"/>
      <c r="AD1953" s="7"/>
      <c r="AE1953" s="7"/>
      <c r="AF1953" s="7"/>
      <c r="AG1953" s="7"/>
      <c r="AO1953" s="7"/>
      <c r="AP1953" s="7"/>
      <c r="AQ1953" s="7"/>
      <c r="AR1953" s="7"/>
      <c r="AS1953" s="7"/>
    </row>
    <row r="1954" spans="1:45" x14ac:dyDescent="0.2">
      <c r="A1954" s="7"/>
      <c r="B1954" s="7"/>
      <c r="C1954" s="7"/>
      <c r="D1954" s="7"/>
      <c r="E1954" s="36">
        <v>162</v>
      </c>
      <c r="F1954" s="36" t="s">
        <v>2172</v>
      </c>
      <c r="G1954" s="36">
        <v>613409</v>
      </c>
      <c r="H1954" s="36" t="s">
        <v>1419</v>
      </c>
      <c r="I1954" s="37">
        <v>8.0937300000000008</v>
      </c>
      <c r="J1954" s="7"/>
      <c r="K1954" s="7" t="str">
        <f>VLOOKUP($E1954,Mapping!$E$11:$I$96,3,0)</f>
        <v>Augmentation</v>
      </c>
      <c r="L1954" s="7" t="str">
        <f>VLOOKUP($G1954,Mapping!$E$140:$K$2771,5,0)</f>
        <v>Labour</v>
      </c>
      <c r="M1954" s="7" t="str">
        <f>VLOOKUP($G1954,Mapping!$E$140:$K$2771,7,0)</f>
        <v>ENDirect</v>
      </c>
      <c r="N1954" s="7" t="str">
        <f>IFERROR(HLOOKUP(L1954,'Calc|Weightings'!$K$5:$M$5,1,0),"Excl")</f>
        <v>Labour</v>
      </c>
      <c r="O1954" s="7" t="str">
        <f>VLOOKUP(E1954,Mapping!$E$11:$I$96,5,0)</f>
        <v>SCS</v>
      </c>
      <c r="Q1954" s="7"/>
      <c r="R1954" s="7"/>
      <c r="S1954" s="7"/>
      <c r="T1954" s="7"/>
      <c r="U1954" s="7"/>
      <c r="V1954" s="7"/>
      <c r="AC1954" s="7"/>
      <c r="AD1954" s="7"/>
      <c r="AE1954" s="7"/>
      <c r="AF1954" s="7"/>
      <c r="AG1954" s="7"/>
      <c r="AO1954" s="7"/>
      <c r="AP1954" s="7"/>
      <c r="AQ1954" s="7"/>
      <c r="AR1954" s="7"/>
      <c r="AS1954" s="7"/>
    </row>
    <row r="1955" spans="1:45" x14ac:dyDescent="0.2">
      <c r="A1955" s="7"/>
      <c r="B1955" s="7"/>
      <c r="C1955" s="7"/>
      <c r="D1955" s="7"/>
      <c r="E1955" s="36">
        <v>162</v>
      </c>
      <c r="F1955" s="36" t="s">
        <v>2172</v>
      </c>
      <c r="G1955" s="36">
        <v>613418</v>
      </c>
      <c r="H1955" s="36" t="s">
        <v>1424</v>
      </c>
      <c r="I1955" s="37">
        <v>23.166360000000001</v>
      </c>
      <c r="J1955" s="7"/>
      <c r="K1955" s="7" t="str">
        <f>VLOOKUP($E1955,Mapping!$E$11:$I$96,3,0)</f>
        <v>Augmentation</v>
      </c>
      <c r="L1955" s="7" t="str">
        <f>VLOOKUP($G1955,Mapping!$E$140:$K$2771,5,0)</f>
        <v>Labour</v>
      </c>
      <c r="M1955" s="7" t="str">
        <f>VLOOKUP($G1955,Mapping!$E$140:$K$2771,7,0)</f>
        <v>ENDirect</v>
      </c>
      <c r="N1955" s="7" t="str">
        <f>IFERROR(HLOOKUP(L1955,'Calc|Weightings'!$K$5:$M$5,1,0),"Excl")</f>
        <v>Labour</v>
      </c>
      <c r="O1955" s="7" t="str">
        <f>VLOOKUP(E1955,Mapping!$E$11:$I$96,5,0)</f>
        <v>SCS</v>
      </c>
      <c r="Q1955" s="7"/>
      <c r="R1955" s="7"/>
      <c r="S1955" s="7"/>
      <c r="T1955" s="7"/>
      <c r="U1955" s="7"/>
      <c r="V1955" s="7"/>
      <c r="AC1955" s="7"/>
      <c r="AD1955" s="7"/>
      <c r="AE1955" s="7"/>
      <c r="AF1955" s="7"/>
      <c r="AG1955" s="7"/>
      <c r="AO1955" s="7"/>
      <c r="AP1955" s="7"/>
      <c r="AQ1955" s="7"/>
      <c r="AR1955" s="7"/>
      <c r="AS1955" s="7"/>
    </row>
    <row r="1956" spans="1:45" x14ac:dyDescent="0.2">
      <c r="A1956" s="7"/>
      <c r="B1956" s="7"/>
      <c r="C1956" s="7"/>
      <c r="D1956" s="7"/>
      <c r="E1956" s="36">
        <v>162</v>
      </c>
      <c r="F1956" s="36" t="s">
        <v>2172</v>
      </c>
      <c r="G1956" s="36">
        <v>613419</v>
      </c>
      <c r="H1956" s="36" t="s">
        <v>1425</v>
      </c>
      <c r="I1956" s="37">
        <v>10.18521</v>
      </c>
      <c r="J1956" s="7"/>
      <c r="K1956" s="7" t="str">
        <f>VLOOKUP($E1956,Mapping!$E$11:$I$96,3,0)</f>
        <v>Augmentation</v>
      </c>
      <c r="L1956" s="7" t="str">
        <f>VLOOKUP($G1956,Mapping!$E$140:$K$2771,5,0)</f>
        <v>Labour</v>
      </c>
      <c r="M1956" s="7" t="str">
        <f>VLOOKUP($G1956,Mapping!$E$140:$K$2771,7,0)</f>
        <v>ENDirect</v>
      </c>
      <c r="N1956" s="7" t="str">
        <f>IFERROR(HLOOKUP(L1956,'Calc|Weightings'!$K$5:$M$5,1,0),"Excl")</f>
        <v>Labour</v>
      </c>
      <c r="O1956" s="7" t="str">
        <f>VLOOKUP(E1956,Mapping!$E$11:$I$96,5,0)</f>
        <v>SCS</v>
      </c>
      <c r="Q1956" s="7"/>
      <c r="R1956" s="7"/>
      <c r="S1956" s="7"/>
      <c r="T1956" s="7"/>
      <c r="U1956" s="7"/>
      <c r="V1956" s="7"/>
      <c r="AC1956" s="7"/>
      <c r="AD1956" s="7"/>
      <c r="AE1956" s="7"/>
      <c r="AF1956" s="7"/>
      <c r="AG1956" s="7"/>
      <c r="AO1956" s="7"/>
      <c r="AP1956" s="7"/>
      <c r="AQ1956" s="7"/>
      <c r="AR1956" s="7"/>
      <c r="AS1956" s="7"/>
    </row>
    <row r="1957" spans="1:45" x14ac:dyDescent="0.2">
      <c r="A1957" s="7"/>
      <c r="B1957" s="7"/>
      <c r="C1957" s="7"/>
      <c r="D1957" s="7"/>
      <c r="E1957" s="36">
        <v>162</v>
      </c>
      <c r="F1957" s="36" t="s">
        <v>2172</v>
      </c>
      <c r="G1957" s="36">
        <v>613428</v>
      </c>
      <c r="H1957" s="36" t="s">
        <v>1430</v>
      </c>
      <c r="I1957" s="37">
        <v>35.90896</v>
      </c>
      <c r="J1957" s="7"/>
      <c r="K1957" s="7" t="str">
        <f>VLOOKUP($E1957,Mapping!$E$11:$I$96,3,0)</f>
        <v>Augmentation</v>
      </c>
      <c r="L1957" s="7" t="str">
        <f>VLOOKUP($G1957,Mapping!$E$140:$K$2771,5,0)</f>
        <v>Labour</v>
      </c>
      <c r="M1957" s="7" t="str">
        <f>VLOOKUP($G1957,Mapping!$E$140:$K$2771,7,0)</f>
        <v>ENDirect</v>
      </c>
      <c r="N1957" s="7" t="str">
        <f>IFERROR(HLOOKUP(L1957,'Calc|Weightings'!$K$5:$M$5,1,0),"Excl")</f>
        <v>Labour</v>
      </c>
      <c r="O1957" s="7" t="str">
        <f>VLOOKUP(E1957,Mapping!$E$11:$I$96,5,0)</f>
        <v>SCS</v>
      </c>
      <c r="Q1957" s="7"/>
      <c r="R1957" s="7"/>
      <c r="S1957" s="7"/>
      <c r="T1957" s="7"/>
      <c r="U1957" s="7"/>
      <c r="V1957" s="7"/>
      <c r="AC1957" s="7"/>
      <c r="AD1957" s="7"/>
      <c r="AE1957" s="7"/>
      <c r="AF1957" s="7"/>
      <c r="AG1957" s="7"/>
      <c r="AO1957" s="7"/>
      <c r="AP1957" s="7"/>
      <c r="AQ1957" s="7"/>
      <c r="AR1957" s="7"/>
      <c r="AS1957" s="7"/>
    </row>
    <row r="1958" spans="1:45" x14ac:dyDescent="0.2">
      <c r="A1958" s="7"/>
      <c r="B1958" s="7"/>
      <c r="C1958" s="7"/>
      <c r="D1958" s="7"/>
      <c r="E1958" s="36">
        <v>162</v>
      </c>
      <c r="F1958" s="36" t="s">
        <v>2172</v>
      </c>
      <c r="G1958" s="36">
        <v>613429</v>
      </c>
      <c r="H1958" s="36" t="s">
        <v>1431</v>
      </c>
      <c r="I1958" s="37">
        <v>2.96502</v>
      </c>
      <c r="J1958" s="7"/>
      <c r="K1958" s="7" t="str">
        <f>VLOOKUP($E1958,Mapping!$E$11:$I$96,3,0)</f>
        <v>Augmentation</v>
      </c>
      <c r="L1958" s="7" t="str">
        <f>VLOOKUP($G1958,Mapping!$E$140:$K$2771,5,0)</f>
        <v>Labour</v>
      </c>
      <c r="M1958" s="7" t="str">
        <f>VLOOKUP($G1958,Mapping!$E$140:$K$2771,7,0)</f>
        <v>ENDirect</v>
      </c>
      <c r="N1958" s="7" t="str">
        <f>IFERROR(HLOOKUP(L1958,'Calc|Weightings'!$K$5:$M$5,1,0),"Excl")</f>
        <v>Labour</v>
      </c>
      <c r="O1958" s="7" t="str">
        <f>VLOOKUP(E1958,Mapping!$E$11:$I$96,5,0)</f>
        <v>SCS</v>
      </c>
      <c r="Q1958" s="7"/>
      <c r="R1958" s="7"/>
      <c r="S1958" s="7"/>
      <c r="T1958" s="7"/>
      <c r="U1958" s="7"/>
      <c r="V1958" s="7"/>
      <c r="AC1958" s="7"/>
      <c r="AD1958" s="7"/>
      <c r="AE1958" s="7"/>
      <c r="AF1958" s="7"/>
      <c r="AG1958" s="7"/>
      <c r="AO1958" s="7"/>
      <c r="AP1958" s="7"/>
      <c r="AQ1958" s="7"/>
      <c r="AR1958" s="7"/>
      <c r="AS1958" s="7"/>
    </row>
    <row r="1959" spans="1:45" x14ac:dyDescent="0.2">
      <c r="A1959" s="7"/>
      <c r="B1959" s="7"/>
      <c r="C1959" s="7"/>
      <c r="D1959" s="7"/>
      <c r="E1959" s="36">
        <v>162</v>
      </c>
      <c r="F1959" s="36" t="s">
        <v>2172</v>
      </c>
      <c r="G1959" s="36">
        <v>613566</v>
      </c>
      <c r="H1959" s="36" t="s">
        <v>1482</v>
      </c>
      <c r="I1959" s="37">
        <v>1.3388100000000001</v>
      </c>
      <c r="J1959" s="7"/>
      <c r="K1959" s="7" t="str">
        <f>VLOOKUP($E1959,Mapping!$E$11:$I$96,3,0)</f>
        <v>Augmentation</v>
      </c>
      <c r="L1959" s="7" t="str">
        <f>VLOOKUP($G1959,Mapping!$E$140:$K$2771,5,0)</f>
        <v>Labour</v>
      </c>
      <c r="M1959" s="7" t="str">
        <f>VLOOKUP($G1959,Mapping!$E$140:$K$2771,7,0)</f>
        <v>ENDirect</v>
      </c>
      <c r="N1959" s="7" t="str">
        <f>IFERROR(HLOOKUP(L1959,'Calc|Weightings'!$K$5:$M$5,1,0),"Excl")</f>
        <v>Labour</v>
      </c>
      <c r="O1959" s="7" t="str">
        <f>VLOOKUP(E1959,Mapping!$E$11:$I$96,5,0)</f>
        <v>SCS</v>
      </c>
      <c r="Q1959" s="7"/>
      <c r="R1959" s="7"/>
      <c r="S1959" s="7"/>
      <c r="T1959" s="7"/>
      <c r="U1959" s="7"/>
      <c r="V1959" s="7"/>
      <c r="AC1959" s="7"/>
      <c r="AD1959" s="7"/>
      <c r="AE1959" s="7"/>
      <c r="AF1959" s="7"/>
      <c r="AG1959" s="7"/>
      <c r="AO1959" s="7"/>
      <c r="AP1959" s="7"/>
      <c r="AQ1959" s="7"/>
      <c r="AR1959" s="7"/>
      <c r="AS1959" s="7"/>
    </row>
    <row r="1960" spans="1:45" x14ac:dyDescent="0.2">
      <c r="A1960" s="7"/>
      <c r="B1960" s="7"/>
      <c r="C1960" s="7"/>
      <c r="D1960" s="7"/>
      <c r="E1960" s="36">
        <v>162</v>
      </c>
      <c r="F1960" s="36" t="s">
        <v>2172</v>
      </c>
      <c r="G1960" s="36">
        <v>613570</v>
      </c>
      <c r="H1960" s="36" t="s">
        <v>1484</v>
      </c>
      <c r="I1960" s="37">
        <v>0.48683999999999999</v>
      </c>
      <c r="J1960" s="7"/>
      <c r="K1960" s="7" t="str">
        <f>VLOOKUP($E1960,Mapping!$E$11:$I$96,3,0)</f>
        <v>Augmentation</v>
      </c>
      <c r="L1960" s="7" t="str">
        <f>VLOOKUP($G1960,Mapping!$E$140:$K$2771,5,0)</f>
        <v>Labour</v>
      </c>
      <c r="M1960" s="7" t="str">
        <f>VLOOKUP($G1960,Mapping!$E$140:$K$2771,7,0)</f>
        <v>ENDirect</v>
      </c>
      <c r="N1960" s="7" t="str">
        <f>IFERROR(HLOOKUP(L1960,'Calc|Weightings'!$K$5:$M$5,1,0),"Excl")</f>
        <v>Labour</v>
      </c>
      <c r="O1960" s="7" t="str">
        <f>VLOOKUP(E1960,Mapping!$E$11:$I$96,5,0)</f>
        <v>SCS</v>
      </c>
      <c r="Q1960" s="7"/>
      <c r="R1960" s="7"/>
      <c r="S1960" s="7"/>
      <c r="T1960" s="7"/>
      <c r="U1960" s="7"/>
      <c r="V1960" s="7"/>
      <c r="AC1960" s="7"/>
      <c r="AD1960" s="7"/>
      <c r="AE1960" s="7"/>
      <c r="AF1960" s="7"/>
      <c r="AG1960" s="7"/>
      <c r="AO1960" s="7"/>
      <c r="AP1960" s="7"/>
      <c r="AQ1960" s="7"/>
      <c r="AR1960" s="7"/>
      <c r="AS1960" s="7"/>
    </row>
    <row r="1961" spans="1:45" x14ac:dyDescent="0.2">
      <c r="A1961" s="7"/>
      <c r="B1961" s="7"/>
      <c r="C1961" s="7"/>
      <c r="D1961" s="7"/>
      <c r="E1961" s="36">
        <v>162</v>
      </c>
      <c r="F1961" s="36" t="s">
        <v>2172</v>
      </c>
      <c r="G1961" s="36">
        <v>613574</v>
      </c>
      <c r="H1961" s="36" t="s">
        <v>1488</v>
      </c>
      <c r="I1961" s="37">
        <v>4.8047199999999997</v>
      </c>
      <c r="J1961" s="7"/>
      <c r="K1961" s="7" t="str">
        <f>VLOOKUP($E1961,Mapping!$E$11:$I$96,3,0)</f>
        <v>Augmentation</v>
      </c>
      <c r="L1961" s="7" t="str">
        <f>VLOOKUP($G1961,Mapping!$E$140:$K$2771,5,0)</f>
        <v>Labour</v>
      </c>
      <c r="M1961" s="7" t="str">
        <f>VLOOKUP($G1961,Mapping!$E$140:$K$2771,7,0)</f>
        <v>ENDirect</v>
      </c>
      <c r="N1961" s="7" t="str">
        <f>IFERROR(HLOOKUP(L1961,'Calc|Weightings'!$K$5:$M$5,1,0),"Excl")</f>
        <v>Labour</v>
      </c>
      <c r="O1961" s="7" t="str">
        <f>VLOOKUP(E1961,Mapping!$E$11:$I$96,5,0)</f>
        <v>SCS</v>
      </c>
      <c r="Q1961" s="7"/>
      <c r="R1961" s="7"/>
      <c r="S1961" s="7"/>
      <c r="T1961" s="7"/>
      <c r="U1961" s="7"/>
      <c r="V1961" s="7"/>
      <c r="AC1961" s="7"/>
      <c r="AD1961" s="7"/>
      <c r="AE1961" s="7"/>
      <c r="AF1961" s="7"/>
      <c r="AG1961" s="7"/>
      <c r="AO1961" s="7"/>
      <c r="AP1961" s="7"/>
      <c r="AQ1961" s="7"/>
      <c r="AR1961" s="7"/>
      <c r="AS1961" s="7"/>
    </row>
    <row r="1962" spans="1:45" x14ac:dyDescent="0.2">
      <c r="A1962" s="7"/>
      <c r="B1962" s="7"/>
      <c r="C1962" s="7"/>
      <c r="D1962" s="7"/>
      <c r="E1962" s="36">
        <v>162</v>
      </c>
      <c r="F1962" s="36" t="s">
        <v>2172</v>
      </c>
      <c r="G1962" s="36">
        <v>613575</v>
      </c>
      <c r="H1962" s="36" t="s">
        <v>1489</v>
      </c>
      <c r="I1962" s="37">
        <v>0.94830000000000003</v>
      </c>
      <c r="J1962" s="7"/>
      <c r="K1962" s="7" t="str">
        <f>VLOOKUP($E1962,Mapping!$E$11:$I$96,3,0)</f>
        <v>Augmentation</v>
      </c>
      <c r="L1962" s="7" t="str">
        <f>VLOOKUP($G1962,Mapping!$E$140:$K$2771,5,0)</f>
        <v>Labour</v>
      </c>
      <c r="M1962" s="7" t="str">
        <f>VLOOKUP($G1962,Mapping!$E$140:$K$2771,7,0)</f>
        <v>ENDirect</v>
      </c>
      <c r="N1962" s="7" t="str">
        <f>IFERROR(HLOOKUP(L1962,'Calc|Weightings'!$K$5:$M$5,1,0),"Excl")</f>
        <v>Labour</v>
      </c>
      <c r="O1962" s="7" t="str">
        <f>VLOOKUP(E1962,Mapping!$E$11:$I$96,5,0)</f>
        <v>SCS</v>
      </c>
      <c r="Q1962" s="7"/>
      <c r="R1962" s="7"/>
      <c r="S1962" s="7"/>
      <c r="T1962" s="7"/>
      <c r="U1962" s="7"/>
      <c r="V1962" s="7"/>
      <c r="AC1962" s="7"/>
      <c r="AD1962" s="7"/>
      <c r="AE1962" s="7"/>
      <c r="AF1962" s="7"/>
      <c r="AG1962" s="7"/>
      <c r="AO1962" s="7"/>
      <c r="AP1962" s="7"/>
      <c r="AQ1962" s="7"/>
      <c r="AR1962" s="7"/>
      <c r="AS1962" s="7"/>
    </row>
    <row r="1963" spans="1:45" x14ac:dyDescent="0.2">
      <c r="A1963" s="7"/>
      <c r="B1963" s="7"/>
      <c r="C1963" s="7"/>
      <c r="D1963" s="7"/>
      <c r="E1963" s="36">
        <v>162</v>
      </c>
      <c r="F1963" s="36" t="s">
        <v>2172</v>
      </c>
      <c r="G1963" s="36">
        <v>613630</v>
      </c>
      <c r="H1963" s="36" t="s">
        <v>1498</v>
      </c>
      <c r="I1963" s="37">
        <v>14.7415</v>
      </c>
      <c r="J1963" s="7"/>
      <c r="K1963" s="7" t="str">
        <f>VLOOKUP($E1963,Mapping!$E$11:$I$96,3,0)</f>
        <v>Augmentation</v>
      </c>
      <c r="L1963" s="7" t="str">
        <f>VLOOKUP($G1963,Mapping!$E$140:$K$2771,5,0)</f>
        <v>Labour</v>
      </c>
      <c r="M1963" s="7" t="str">
        <f>VLOOKUP($G1963,Mapping!$E$140:$K$2771,7,0)</f>
        <v>ENDirect</v>
      </c>
      <c r="N1963" s="7" t="str">
        <f>IFERROR(HLOOKUP(L1963,'Calc|Weightings'!$K$5:$M$5,1,0),"Excl")</f>
        <v>Labour</v>
      </c>
      <c r="O1963" s="7" t="str">
        <f>VLOOKUP(E1963,Mapping!$E$11:$I$96,5,0)</f>
        <v>SCS</v>
      </c>
      <c r="Q1963" s="7"/>
      <c r="R1963" s="7"/>
      <c r="S1963" s="7"/>
      <c r="T1963" s="7"/>
      <c r="U1963" s="7"/>
      <c r="V1963" s="7"/>
      <c r="AC1963" s="7"/>
      <c r="AD1963" s="7"/>
      <c r="AE1963" s="7"/>
      <c r="AF1963" s="7"/>
      <c r="AG1963" s="7"/>
      <c r="AO1963" s="7"/>
      <c r="AP1963" s="7"/>
      <c r="AQ1963" s="7"/>
      <c r="AR1963" s="7"/>
      <c r="AS1963" s="7"/>
    </row>
    <row r="1964" spans="1:45" x14ac:dyDescent="0.2">
      <c r="A1964" s="7"/>
      <c r="B1964" s="7"/>
      <c r="C1964" s="7"/>
      <c r="D1964" s="7"/>
      <c r="E1964" s="36">
        <v>162</v>
      </c>
      <c r="F1964" s="36" t="s">
        <v>2172</v>
      </c>
      <c r="G1964" s="36">
        <v>613680</v>
      </c>
      <c r="H1964" s="36" t="s">
        <v>2107</v>
      </c>
      <c r="I1964" s="37">
        <v>49.16086</v>
      </c>
      <c r="J1964" s="7"/>
      <c r="K1964" s="7" t="str">
        <f>VLOOKUP($E1964,Mapping!$E$11:$I$96,3,0)</f>
        <v>Augmentation</v>
      </c>
      <c r="L1964" s="7" t="str">
        <f>VLOOKUP($G1964,Mapping!$E$140:$K$2771,5,0)</f>
        <v>Labour</v>
      </c>
      <c r="M1964" s="7" t="str">
        <f>VLOOKUP($G1964,Mapping!$E$140:$K$2771,7,0)</f>
        <v>ENDirect</v>
      </c>
      <c r="N1964" s="7" t="str">
        <f>IFERROR(HLOOKUP(L1964,'Calc|Weightings'!$K$5:$M$5,1,0),"Excl")</f>
        <v>Labour</v>
      </c>
      <c r="O1964" s="7" t="str">
        <f>VLOOKUP(E1964,Mapping!$E$11:$I$96,5,0)</f>
        <v>SCS</v>
      </c>
      <c r="Q1964" s="7"/>
      <c r="R1964" s="7"/>
      <c r="S1964" s="7"/>
      <c r="T1964" s="7"/>
      <c r="U1964" s="7"/>
      <c r="V1964" s="7"/>
      <c r="AC1964" s="7"/>
      <c r="AD1964" s="7"/>
      <c r="AE1964" s="7"/>
      <c r="AF1964" s="7"/>
      <c r="AG1964" s="7"/>
      <c r="AO1964" s="7"/>
      <c r="AP1964" s="7"/>
      <c r="AQ1964" s="7"/>
      <c r="AR1964" s="7"/>
      <c r="AS1964" s="7"/>
    </row>
    <row r="1965" spans="1:45" x14ac:dyDescent="0.2">
      <c r="A1965" s="7"/>
      <c r="B1965" s="7"/>
      <c r="C1965" s="7"/>
      <c r="D1965" s="7"/>
      <c r="E1965" s="36">
        <v>162</v>
      </c>
      <c r="F1965" s="36" t="s">
        <v>2172</v>
      </c>
      <c r="G1965" s="36">
        <v>615375</v>
      </c>
      <c r="H1965" s="36" t="s">
        <v>1717</v>
      </c>
      <c r="I1965" s="37">
        <v>9.5399999999999991</v>
      </c>
      <c r="J1965" s="7"/>
      <c r="K1965" s="7" t="str">
        <f>VLOOKUP($E1965,Mapping!$E$11:$I$96,3,0)</f>
        <v>Augmentation</v>
      </c>
      <c r="L1965" s="7" t="str">
        <f>VLOOKUP($G1965,Mapping!$E$140:$K$2771,5,0)</f>
        <v>Labour</v>
      </c>
      <c r="M1965" s="7" t="str">
        <f>VLOOKUP($G1965,Mapping!$E$140:$K$2771,7,0)</f>
        <v>ENDirect</v>
      </c>
      <c r="N1965" s="7" t="str">
        <f>IFERROR(HLOOKUP(L1965,'Calc|Weightings'!$K$5:$M$5,1,0),"Excl")</f>
        <v>Labour</v>
      </c>
      <c r="O1965" s="7" t="str">
        <f>VLOOKUP(E1965,Mapping!$E$11:$I$96,5,0)</f>
        <v>SCS</v>
      </c>
      <c r="Q1965" s="7"/>
      <c r="R1965" s="7"/>
      <c r="S1965" s="7"/>
      <c r="T1965" s="7"/>
      <c r="U1965" s="7"/>
      <c r="V1965" s="7"/>
      <c r="AC1965" s="7"/>
      <c r="AD1965" s="7"/>
      <c r="AE1965" s="7"/>
      <c r="AF1965" s="7"/>
      <c r="AG1965" s="7"/>
      <c r="AO1965" s="7"/>
      <c r="AP1965" s="7"/>
      <c r="AQ1965" s="7"/>
      <c r="AR1965" s="7"/>
      <c r="AS1965" s="7"/>
    </row>
    <row r="1966" spans="1:45" x14ac:dyDescent="0.2">
      <c r="A1966" s="7"/>
      <c r="B1966" s="7"/>
      <c r="C1966" s="7"/>
      <c r="D1966" s="7"/>
      <c r="E1966" s="36">
        <v>162</v>
      </c>
      <c r="F1966" s="36" t="s">
        <v>2172</v>
      </c>
      <c r="G1966" s="36">
        <v>615395</v>
      </c>
      <c r="H1966" s="36" t="s">
        <v>2196</v>
      </c>
      <c r="I1966" s="37">
        <v>3.6612</v>
      </c>
      <c r="J1966" s="7"/>
      <c r="K1966" s="7" t="str">
        <f>VLOOKUP($E1966,Mapping!$E$11:$I$96,3,0)</f>
        <v>Augmentation</v>
      </c>
      <c r="L1966" s="7" t="str">
        <f>VLOOKUP($G1966,Mapping!$E$140:$K$2771,5,0)</f>
        <v>Labour</v>
      </c>
      <c r="M1966" s="7" t="str">
        <f>VLOOKUP($G1966,Mapping!$E$140:$K$2771,7,0)</f>
        <v>ENDirect</v>
      </c>
      <c r="N1966" s="7" t="str">
        <f>IFERROR(HLOOKUP(L1966,'Calc|Weightings'!$K$5:$M$5,1,0),"Excl")</f>
        <v>Labour</v>
      </c>
      <c r="O1966" s="7" t="str">
        <f>VLOOKUP(E1966,Mapping!$E$11:$I$96,5,0)</f>
        <v>SCS</v>
      </c>
      <c r="Q1966" s="7"/>
      <c r="R1966" s="7"/>
      <c r="S1966" s="7"/>
      <c r="T1966" s="7"/>
      <c r="U1966" s="7"/>
      <c r="V1966" s="7"/>
      <c r="AC1966" s="7"/>
      <c r="AD1966" s="7"/>
      <c r="AE1966" s="7"/>
      <c r="AF1966" s="7"/>
      <c r="AG1966" s="7"/>
      <c r="AO1966" s="7"/>
      <c r="AP1966" s="7"/>
      <c r="AQ1966" s="7"/>
      <c r="AR1966" s="7"/>
      <c r="AS1966" s="7"/>
    </row>
    <row r="1967" spans="1:45" x14ac:dyDescent="0.2">
      <c r="A1967" s="7"/>
      <c r="B1967" s="7"/>
      <c r="C1967" s="7"/>
      <c r="D1967" s="7"/>
      <c r="E1967" s="36">
        <v>162</v>
      </c>
      <c r="F1967" s="36" t="s">
        <v>2172</v>
      </c>
      <c r="G1967" s="36">
        <v>633000</v>
      </c>
      <c r="H1967" s="36" t="s">
        <v>2202</v>
      </c>
      <c r="I1967" s="37">
        <v>2525.6580199999999</v>
      </c>
      <c r="J1967" s="7"/>
      <c r="K1967" s="7" t="str">
        <f>VLOOKUP($E1967,Mapping!$E$11:$I$96,3,0)</f>
        <v>Augmentation</v>
      </c>
      <c r="L1967" s="7" t="str">
        <f>VLOOKUP($G1967,Mapping!$E$140:$K$2771,5,0)</f>
        <v>Contracts</v>
      </c>
      <c r="M1967" s="7" t="str">
        <f>VLOOKUP($G1967,Mapping!$E$140:$K$2771,7,0)</f>
        <v>OH</v>
      </c>
      <c r="N1967" s="7" t="str">
        <f>IFERROR(HLOOKUP(L1967,'Calc|Weightings'!$K$5:$M$5,1,0),"Excl")</f>
        <v>Contracts</v>
      </c>
      <c r="O1967" s="7" t="str">
        <f>VLOOKUP(E1967,Mapping!$E$11:$I$96,5,0)</f>
        <v>SCS</v>
      </c>
      <c r="Q1967" s="7"/>
      <c r="R1967" s="7"/>
      <c r="S1967" s="7"/>
      <c r="T1967" s="7"/>
      <c r="U1967" s="7"/>
      <c r="V1967" s="7"/>
      <c r="AC1967" s="7"/>
      <c r="AD1967" s="7"/>
      <c r="AE1967" s="7"/>
      <c r="AF1967" s="7"/>
      <c r="AG1967" s="7"/>
      <c r="AO1967" s="7"/>
      <c r="AP1967" s="7"/>
      <c r="AQ1967" s="7"/>
      <c r="AR1967" s="7"/>
      <c r="AS1967" s="7"/>
    </row>
    <row r="1968" spans="1:45" x14ac:dyDescent="0.2">
      <c r="A1968" s="7"/>
      <c r="B1968" s="7"/>
      <c r="C1968" s="7"/>
      <c r="D1968" s="7"/>
      <c r="E1968" s="36">
        <v>162</v>
      </c>
      <c r="F1968" s="36" t="s">
        <v>2172</v>
      </c>
      <c r="G1968" s="36">
        <v>634001</v>
      </c>
      <c r="H1968" s="36" t="s">
        <v>2110</v>
      </c>
      <c r="I1968" s="37">
        <v>1034.45181</v>
      </c>
      <c r="J1968" s="7"/>
      <c r="K1968" s="7" t="str">
        <f>VLOOKUP($E1968,Mapping!$E$11:$I$96,3,0)</f>
        <v>Augmentation</v>
      </c>
      <c r="L1968" s="7" t="str">
        <f>VLOOKUP($G1968,Mapping!$E$140:$K$2771,5,0)</f>
        <v>Local OH</v>
      </c>
      <c r="M1968" s="7" t="str">
        <f>VLOOKUP($G1968,Mapping!$E$140:$K$2771,7,0)</f>
        <v>OH</v>
      </c>
      <c r="N1968" s="7" t="str">
        <f>IFERROR(HLOOKUP(L1968,'Calc|Weightings'!$K$5:$M$5,1,0),"Excl")</f>
        <v>Excl</v>
      </c>
      <c r="O1968" s="7" t="str">
        <f>VLOOKUP(E1968,Mapping!$E$11:$I$96,5,0)</f>
        <v>SCS</v>
      </c>
      <c r="Q1968" s="7"/>
      <c r="R1968" s="7"/>
      <c r="S1968" s="7"/>
      <c r="T1968" s="7"/>
      <c r="U1968" s="7"/>
      <c r="V1968" s="7"/>
      <c r="AC1968" s="7"/>
      <c r="AD1968" s="7"/>
      <c r="AE1968" s="7"/>
      <c r="AF1968" s="7"/>
      <c r="AG1968" s="7"/>
      <c r="AO1968" s="7"/>
      <c r="AP1968" s="7"/>
      <c r="AQ1968" s="7"/>
      <c r="AR1968" s="7"/>
      <c r="AS1968" s="7"/>
    </row>
    <row r="1969" spans="1:45" x14ac:dyDescent="0.2">
      <c r="A1969" s="7"/>
      <c r="B1969" s="7"/>
      <c r="C1969" s="7"/>
      <c r="D1969" s="7"/>
      <c r="E1969" s="36">
        <v>162</v>
      </c>
      <c r="F1969" s="36" t="s">
        <v>2172</v>
      </c>
      <c r="G1969" s="36">
        <v>635000</v>
      </c>
      <c r="H1969" s="36" t="s">
        <v>2128</v>
      </c>
      <c r="I1969" s="37">
        <v>2.07605</v>
      </c>
      <c r="J1969" s="7"/>
      <c r="K1969" s="7" t="str">
        <f>VLOOKUP($E1969,Mapping!$E$11:$I$96,3,0)</f>
        <v>Augmentation</v>
      </c>
      <c r="L1969" s="7" t="str">
        <f>VLOOKUP($G1969,Mapping!$E$140:$K$2771,5,0)</f>
        <v>PNS MG</v>
      </c>
      <c r="M1969" s="7" t="str">
        <f>VLOOKUP($G1969,Mapping!$E$140:$K$2771,7,0)</f>
        <v>ENDirect</v>
      </c>
      <c r="N1969" s="7" t="str">
        <f>IFERROR(HLOOKUP(L1969,'Calc|Weightings'!$K$5:$M$5,1,0),"Excl")</f>
        <v>Excl</v>
      </c>
      <c r="O1969" s="7" t="str">
        <f>VLOOKUP(E1969,Mapping!$E$11:$I$96,5,0)</f>
        <v>SCS</v>
      </c>
      <c r="Q1969" s="7"/>
      <c r="R1969" s="7"/>
      <c r="S1969" s="7"/>
      <c r="T1969" s="7"/>
      <c r="U1969" s="7"/>
      <c r="V1969" s="7"/>
      <c r="AC1969" s="7"/>
      <c r="AD1969" s="7"/>
      <c r="AE1969" s="7"/>
      <c r="AF1969" s="7"/>
      <c r="AG1969" s="7"/>
      <c r="AO1969" s="7"/>
      <c r="AP1969" s="7"/>
      <c r="AQ1969" s="7"/>
      <c r="AR1969" s="7"/>
      <c r="AS1969" s="7"/>
    </row>
    <row r="1970" spans="1:45" x14ac:dyDescent="0.2">
      <c r="A1970" s="7"/>
      <c r="B1970" s="7"/>
      <c r="C1970" s="7"/>
      <c r="D1970" s="7"/>
      <c r="E1970" s="36">
        <v>162</v>
      </c>
      <c r="F1970" s="36" t="s">
        <v>2172</v>
      </c>
      <c r="G1970" s="36">
        <v>635001</v>
      </c>
      <c r="H1970" s="36" t="s">
        <v>1929</v>
      </c>
      <c r="I1970" s="37">
        <v>775.22663</v>
      </c>
      <c r="J1970" s="7"/>
      <c r="K1970" s="7" t="str">
        <f>VLOOKUP($E1970,Mapping!$E$11:$I$96,3,0)</f>
        <v>Augmentation</v>
      </c>
      <c r="L1970" s="7" t="str">
        <f>VLOOKUP($G1970,Mapping!$E$140:$K$2771,5,0)</f>
        <v>PNS MG</v>
      </c>
      <c r="M1970" s="7" t="str">
        <f>VLOOKUP($G1970,Mapping!$E$140:$K$2771,7,0)</f>
        <v>ENDirect</v>
      </c>
      <c r="N1970" s="7" t="str">
        <f>IFERROR(HLOOKUP(L1970,'Calc|Weightings'!$K$5:$M$5,1,0),"Excl")</f>
        <v>Excl</v>
      </c>
      <c r="O1970" s="7" t="str">
        <f>VLOOKUP(E1970,Mapping!$E$11:$I$96,5,0)</f>
        <v>SCS</v>
      </c>
      <c r="Q1970" s="7"/>
      <c r="R1970" s="7"/>
      <c r="S1970" s="7"/>
      <c r="T1970" s="7"/>
      <c r="U1970" s="7"/>
      <c r="V1970" s="7"/>
      <c r="AC1970" s="7"/>
      <c r="AD1970" s="7"/>
      <c r="AE1970" s="7"/>
      <c r="AF1970" s="7"/>
      <c r="AG1970" s="7"/>
      <c r="AO1970" s="7"/>
      <c r="AP1970" s="7"/>
      <c r="AQ1970" s="7"/>
      <c r="AR1970" s="7"/>
      <c r="AS1970" s="7"/>
    </row>
    <row r="1971" spans="1:45" x14ac:dyDescent="0.2">
      <c r="A1971" s="7"/>
      <c r="B1971" s="7"/>
      <c r="C1971" s="7"/>
      <c r="D1971" s="7"/>
      <c r="E1971" s="36">
        <v>162</v>
      </c>
      <c r="F1971" s="36" t="s">
        <v>2172</v>
      </c>
      <c r="G1971" s="36">
        <v>636001</v>
      </c>
      <c r="H1971" s="36" t="s">
        <v>2111</v>
      </c>
      <c r="I1971" s="37">
        <v>319.82123000000001</v>
      </c>
      <c r="J1971" s="7"/>
      <c r="K1971" s="7" t="str">
        <f>VLOOKUP($E1971,Mapping!$E$11:$I$96,3,0)</f>
        <v>Augmentation</v>
      </c>
      <c r="L1971" s="7" t="str">
        <f>VLOOKUP($G1971,Mapping!$E$140:$K$2771,5,0)</f>
        <v>System Control OH</v>
      </c>
      <c r="M1971" s="7" t="str">
        <f>VLOOKUP($G1971,Mapping!$E$140:$K$2771,7,0)</f>
        <v>OH</v>
      </c>
      <c r="N1971" s="7" t="str">
        <f>IFERROR(HLOOKUP(L1971,'Calc|Weightings'!$K$5:$M$5,1,0),"Excl")</f>
        <v>Excl</v>
      </c>
      <c r="O1971" s="7" t="str">
        <f>VLOOKUP(E1971,Mapping!$E$11:$I$96,5,0)</f>
        <v>SCS</v>
      </c>
      <c r="Q1971" s="7"/>
      <c r="R1971" s="7"/>
      <c r="S1971" s="7"/>
      <c r="T1971" s="7"/>
      <c r="U1971" s="7"/>
      <c r="V1971" s="7"/>
      <c r="AC1971" s="7"/>
      <c r="AD1971" s="7"/>
      <c r="AE1971" s="7"/>
      <c r="AF1971" s="7"/>
      <c r="AG1971" s="7"/>
      <c r="AO1971" s="7"/>
      <c r="AP1971" s="7"/>
      <c r="AQ1971" s="7"/>
      <c r="AR1971" s="7"/>
      <c r="AS1971" s="7"/>
    </row>
    <row r="1972" spans="1:45" x14ac:dyDescent="0.2">
      <c r="A1972" s="7"/>
      <c r="B1972" s="7"/>
      <c r="C1972" s="7"/>
      <c r="D1972" s="7"/>
      <c r="E1972" s="36">
        <v>162</v>
      </c>
      <c r="F1972" s="36" t="s">
        <v>2172</v>
      </c>
      <c r="G1972" s="36">
        <v>639000</v>
      </c>
      <c r="H1972" s="36" t="s">
        <v>2112</v>
      </c>
      <c r="I1972" s="37">
        <v>673.47388000000001</v>
      </c>
      <c r="J1972" s="7"/>
      <c r="K1972" s="7" t="str">
        <f>VLOOKUP($E1972,Mapping!$E$11:$I$96,3,0)</f>
        <v>Augmentation</v>
      </c>
      <c r="L1972" s="7" t="str">
        <f>VLOOKUP($G1972,Mapping!$E$140:$K$2771,5,0)</f>
        <v>PNS Corporate OH</v>
      </c>
      <c r="M1972" s="7" t="str">
        <f>VLOOKUP($G1972,Mapping!$E$140:$K$2771,7,0)</f>
        <v>OH</v>
      </c>
      <c r="N1972" s="7" t="str">
        <f>IFERROR(HLOOKUP(L1972,'Calc|Weightings'!$K$5:$M$5,1,0),"Excl")</f>
        <v>Excl</v>
      </c>
      <c r="O1972" s="7" t="str">
        <f>VLOOKUP(E1972,Mapping!$E$11:$I$96,5,0)</f>
        <v>SCS</v>
      </c>
      <c r="Q1972" s="7"/>
      <c r="R1972" s="7"/>
      <c r="S1972" s="7"/>
      <c r="T1972" s="7"/>
      <c r="U1972" s="7"/>
      <c r="V1972" s="7"/>
      <c r="AC1972" s="7"/>
      <c r="AD1972" s="7"/>
      <c r="AE1972" s="7"/>
      <c r="AF1972" s="7"/>
      <c r="AG1972" s="7"/>
      <c r="AO1972" s="7"/>
      <c r="AP1972" s="7"/>
      <c r="AQ1972" s="7"/>
      <c r="AR1972" s="7"/>
      <c r="AS1972" s="7"/>
    </row>
    <row r="1973" spans="1:45" x14ac:dyDescent="0.2">
      <c r="A1973" s="7"/>
      <c r="B1973" s="7"/>
      <c r="C1973" s="7"/>
      <c r="D1973" s="7"/>
      <c r="E1973" s="36">
        <v>162</v>
      </c>
      <c r="F1973" s="36" t="s">
        <v>2172</v>
      </c>
      <c r="G1973" s="36">
        <v>639050</v>
      </c>
      <c r="H1973" s="36" t="s">
        <v>2113</v>
      </c>
      <c r="I1973" s="37">
        <v>97.211380000000005</v>
      </c>
      <c r="J1973" s="7"/>
      <c r="K1973" s="7" t="str">
        <f>VLOOKUP($E1973,Mapping!$E$11:$I$96,3,0)</f>
        <v>Augmentation</v>
      </c>
      <c r="L1973" s="7" t="str">
        <f>VLOOKUP($G1973,Mapping!$E$140:$K$2771,5,0)</f>
        <v>PNS Fleet &amp; Property OH</v>
      </c>
      <c r="M1973" s="7" t="str">
        <f>VLOOKUP($G1973,Mapping!$E$140:$K$2771,7,0)</f>
        <v>OH</v>
      </c>
      <c r="N1973" s="7" t="str">
        <f>IFERROR(HLOOKUP(L1973,'Calc|Weightings'!$K$5:$M$5,1,0),"Excl")</f>
        <v>Excl</v>
      </c>
      <c r="O1973" s="7" t="str">
        <f>VLOOKUP(E1973,Mapping!$E$11:$I$96,5,0)</f>
        <v>SCS</v>
      </c>
      <c r="Q1973" s="7"/>
      <c r="R1973" s="7"/>
      <c r="S1973" s="7"/>
      <c r="T1973" s="7"/>
      <c r="U1973" s="7"/>
      <c r="V1973" s="7"/>
      <c r="AC1973" s="7"/>
      <c r="AD1973" s="7"/>
      <c r="AE1973" s="7"/>
      <c r="AF1973" s="7"/>
      <c r="AG1973" s="7"/>
      <c r="AO1973" s="7"/>
      <c r="AP1973" s="7"/>
      <c r="AQ1973" s="7"/>
      <c r="AR1973" s="7"/>
      <c r="AS1973" s="7"/>
    </row>
    <row r="1974" spans="1:45" x14ac:dyDescent="0.2">
      <c r="A1974" s="7"/>
      <c r="B1974" s="7"/>
      <c r="C1974" s="7"/>
      <c r="D1974" s="7"/>
      <c r="E1974" s="36">
        <v>163</v>
      </c>
      <c r="F1974" s="36" t="s">
        <v>2173</v>
      </c>
      <c r="G1974" s="36">
        <v>520100</v>
      </c>
      <c r="H1974" s="36" t="s">
        <v>2072</v>
      </c>
      <c r="I1974" s="37">
        <v>155.93269000000001</v>
      </c>
      <c r="J1974" s="7"/>
      <c r="K1974" s="7" t="str">
        <f>VLOOKUP($E1974,Mapping!$E$11:$I$96,3,0)</f>
        <v>Replacement</v>
      </c>
      <c r="L1974" s="7" t="str">
        <f>VLOOKUP($G1974,Mapping!$E$140:$K$2771,5,0)</f>
        <v>Materials</v>
      </c>
      <c r="M1974" s="7" t="str">
        <f>VLOOKUP($G1974,Mapping!$E$140:$K$2771,7,0)</f>
        <v>ENDirect</v>
      </c>
      <c r="N1974" s="7" t="str">
        <f>IFERROR(HLOOKUP(L1974,'Calc|Weightings'!$K$5:$M$5,1,0),"Excl")</f>
        <v>Materials</v>
      </c>
      <c r="O1974" s="7" t="str">
        <f>VLOOKUP(E1974,Mapping!$E$11:$I$96,5,0)</f>
        <v>SCS</v>
      </c>
      <c r="Q1974" s="7"/>
      <c r="R1974" s="7"/>
      <c r="S1974" s="7"/>
      <c r="T1974" s="7"/>
      <c r="U1974" s="7"/>
      <c r="V1974" s="7"/>
      <c r="AC1974" s="7"/>
      <c r="AD1974" s="7"/>
      <c r="AE1974" s="7"/>
      <c r="AF1974" s="7"/>
      <c r="AG1974" s="7"/>
      <c r="AO1974" s="7"/>
      <c r="AP1974" s="7"/>
      <c r="AQ1974" s="7"/>
      <c r="AR1974" s="7"/>
      <c r="AS1974" s="7"/>
    </row>
    <row r="1975" spans="1:45" x14ac:dyDescent="0.2">
      <c r="A1975" s="7"/>
      <c r="B1975" s="7"/>
      <c r="C1975" s="7"/>
      <c r="D1975" s="7"/>
      <c r="E1975" s="36">
        <v>163</v>
      </c>
      <c r="F1975" s="36" t="s">
        <v>2173</v>
      </c>
      <c r="G1975" s="36">
        <v>523100</v>
      </c>
      <c r="H1975" s="36" t="s">
        <v>2074</v>
      </c>
      <c r="I1975" s="37">
        <v>1.54894</v>
      </c>
      <c r="J1975" s="7"/>
      <c r="K1975" s="7" t="str">
        <f>VLOOKUP($E1975,Mapping!$E$11:$I$96,3,0)</f>
        <v>Replacement</v>
      </c>
      <c r="L1975" s="7" t="str">
        <f>VLOOKUP($G1975,Mapping!$E$140:$K$2771,5,0)</f>
        <v>Materials</v>
      </c>
      <c r="M1975" s="7" t="str">
        <f>VLOOKUP($G1975,Mapping!$E$140:$K$2771,7,0)</f>
        <v>ENDirect</v>
      </c>
      <c r="N1975" s="7" t="str">
        <f>IFERROR(HLOOKUP(L1975,'Calc|Weightings'!$K$5:$M$5,1,0),"Excl")</f>
        <v>Materials</v>
      </c>
      <c r="O1975" s="7" t="str">
        <f>VLOOKUP(E1975,Mapping!$E$11:$I$96,5,0)</f>
        <v>SCS</v>
      </c>
      <c r="Q1975" s="7"/>
      <c r="R1975" s="7"/>
      <c r="S1975" s="7"/>
      <c r="T1975" s="7"/>
      <c r="U1975" s="7"/>
      <c r="V1975" s="7"/>
      <c r="AC1975" s="7"/>
      <c r="AD1975" s="7"/>
      <c r="AE1975" s="7"/>
      <c r="AF1975" s="7"/>
      <c r="AG1975" s="7"/>
      <c r="AO1975" s="7"/>
      <c r="AP1975" s="7"/>
      <c r="AQ1975" s="7"/>
      <c r="AR1975" s="7"/>
      <c r="AS1975" s="7"/>
    </row>
    <row r="1976" spans="1:45" x14ac:dyDescent="0.2">
      <c r="A1976" s="7"/>
      <c r="B1976" s="7"/>
      <c r="C1976" s="7"/>
      <c r="D1976" s="7"/>
      <c r="E1976" s="36">
        <v>163</v>
      </c>
      <c r="F1976" s="36" t="s">
        <v>2173</v>
      </c>
      <c r="G1976" s="36">
        <v>523300</v>
      </c>
      <c r="H1976" s="36" t="s">
        <v>2075</v>
      </c>
      <c r="I1976" s="37">
        <v>5.663E-2</v>
      </c>
      <c r="J1976" s="7"/>
      <c r="K1976" s="7" t="str">
        <f>VLOOKUP($E1976,Mapping!$E$11:$I$96,3,0)</f>
        <v>Replacement</v>
      </c>
      <c r="L1976" s="7" t="str">
        <f>VLOOKUP($G1976,Mapping!$E$140:$K$2771,5,0)</f>
        <v>Materials</v>
      </c>
      <c r="M1976" s="7" t="str">
        <f>VLOOKUP($G1976,Mapping!$E$140:$K$2771,7,0)</f>
        <v>ENDirect</v>
      </c>
      <c r="N1976" s="7" t="str">
        <f>IFERROR(HLOOKUP(L1976,'Calc|Weightings'!$K$5:$M$5,1,0),"Excl")</f>
        <v>Materials</v>
      </c>
      <c r="O1976" s="7" t="str">
        <f>VLOOKUP(E1976,Mapping!$E$11:$I$96,5,0)</f>
        <v>SCS</v>
      </c>
      <c r="Q1976" s="7"/>
      <c r="R1976" s="7"/>
      <c r="S1976" s="7"/>
      <c r="T1976" s="7"/>
      <c r="U1976" s="7"/>
      <c r="V1976" s="7"/>
      <c r="AC1976" s="7"/>
      <c r="AD1976" s="7"/>
      <c r="AE1976" s="7"/>
      <c r="AF1976" s="7"/>
      <c r="AG1976" s="7"/>
      <c r="AO1976" s="7"/>
      <c r="AP1976" s="7"/>
      <c r="AQ1976" s="7"/>
      <c r="AR1976" s="7"/>
      <c r="AS1976" s="7"/>
    </row>
    <row r="1977" spans="1:45" x14ac:dyDescent="0.2">
      <c r="A1977" s="7"/>
      <c r="B1977" s="7"/>
      <c r="C1977" s="7"/>
      <c r="D1977" s="7"/>
      <c r="E1977" s="36">
        <v>163</v>
      </c>
      <c r="F1977" s="36" t="s">
        <v>2173</v>
      </c>
      <c r="G1977" s="36">
        <v>531000</v>
      </c>
      <c r="H1977" s="36" t="s">
        <v>242</v>
      </c>
      <c r="I1977" s="37">
        <v>1.9750000000000001</v>
      </c>
      <c r="J1977" s="7"/>
      <c r="K1977" s="7" t="str">
        <f>VLOOKUP($E1977,Mapping!$E$11:$I$96,3,0)</f>
        <v>Replacement</v>
      </c>
      <c r="L1977" s="7" t="str">
        <f>VLOOKUP($G1977,Mapping!$E$140:$K$2771,5,0)</f>
        <v>Contracts</v>
      </c>
      <c r="M1977" s="7" t="str">
        <f>VLOOKUP($G1977,Mapping!$E$140:$K$2771,7,0)</f>
        <v>ENDirect</v>
      </c>
      <c r="N1977" s="7" t="str">
        <f>IFERROR(HLOOKUP(L1977,'Calc|Weightings'!$K$5:$M$5,1,0),"Excl")</f>
        <v>Contracts</v>
      </c>
      <c r="O1977" s="7" t="str">
        <f>VLOOKUP(E1977,Mapping!$E$11:$I$96,5,0)</f>
        <v>SCS</v>
      </c>
      <c r="Q1977" s="7"/>
      <c r="R1977" s="7"/>
      <c r="S1977" s="7"/>
      <c r="T1977" s="7"/>
      <c r="U1977" s="7"/>
      <c r="V1977" s="7"/>
      <c r="AC1977" s="7"/>
      <c r="AD1977" s="7"/>
      <c r="AE1977" s="7"/>
      <c r="AF1977" s="7"/>
      <c r="AG1977" s="7"/>
      <c r="AO1977" s="7"/>
      <c r="AP1977" s="7"/>
      <c r="AQ1977" s="7"/>
      <c r="AR1977" s="7"/>
      <c r="AS1977" s="7"/>
    </row>
    <row r="1978" spans="1:45" x14ac:dyDescent="0.2">
      <c r="A1978" s="7"/>
      <c r="B1978" s="7"/>
      <c r="C1978" s="7"/>
      <c r="D1978" s="7"/>
      <c r="E1978" s="36">
        <v>163</v>
      </c>
      <c r="F1978" s="36" t="s">
        <v>2173</v>
      </c>
      <c r="G1978" s="36">
        <v>531200</v>
      </c>
      <c r="H1978" s="36" t="s">
        <v>250</v>
      </c>
      <c r="I1978" s="37">
        <v>41.131749999999997</v>
      </c>
      <c r="J1978" s="7"/>
      <c r="K1978" s="7" t="str">
        <f>VLOOKUP($E1978,Mapping!$E$11:$I$96,3,0)</f>
        <v>Replacement</v>
      </c>
      <c r="L1978" s="7" t="str">
        <f>VLOOKUP($G1978,Mapping!$E$140:$K$2771,5,0)</f>
        <v>Contracts</v>
      </c>
      <c r="M1978" s="7" t="str">
        <f>VLOOKUP($G1978,Mapping!$E$140:$K$2771,7,0)</f>
        <v>ENDirect</v>
      </c>
      <c r="N1978" s="7" t="str">
        <f>IFERROR(HLOOKUP(L1978,'Calc|Weightings'!$K$5:$M$5,1,0),"Excl")</f>
        <v>Contracts</v>
      </c>
      <c r="O1978" s="7" t="str">
        <f>VLOOKUP(E1978,Mapping!$E$11:$I$96,5,0)</f>
        <v>SCS</v>
      </c>
      <c r="Q1978" s="7"/>
      <c r="R1978" s="7"/>
      <c r="S1978" s="7"/>
      <c r="T1978" s="7"/>
      <c r="U1978" s="7"/>
      <c r="V1978" s="7"/>
      <c r="AC1978" s="7"/>
      <c r="AD1978" s="7"/>
      <c r="AE1978" s="7"/>
      <c r="AF1978" s="7"/>
      <c r="AG1978" s="7"/>
      <c r="AO1978" s="7"/>
      <c r="AP1978" s="7"/>
      <c r="AQ1978" s="7"/>
      <c r="AR1978" s="7"/>
      <c r="AS1978" s="7"/>
    </row>
    <row r="1979" spans="1:45" x14ac:dyDescent="0.2">
      <c r="A1979" s="7"/>
      <c r="B1979" s="7"/>
      <c r="C1979" s="7"/>
      <c r="D1979" s="7"/>
      <c r="E1979" s="36">
        <v>163</v>
      </c>
      <c r="F1979" s="36" t="s">
        <v>2173</v>
      </c>
      <c r="G1979" s="36">
        <v>531201</v>
      </c>
      <c r="H1979" s="36" t="s">
        <v>251</v>
      </c>
      <c r="I1979" s="37">
        <v>7.4859999999999996E-2</v>
      </c>
      <c r="J1979" s="7"/>
      <c r="K1979" s="7" t="str">
        <f>VLOOKUP($E1979,Mapping!$E$11:$I$96,3,0)</f>
        <v>Replacement</v>
      </c>
      <c r="L1979" s="7" t="str">
        <f>VLOOKUP($G1979,Mapping!$E$140:$K$2771,5,0)</f>
        <v>Contracts</v>
      </c>
      <c r="M1979" s="7" t="str">
        <f>VLOOKUP($G1979,Mapping!$E$140:$K$2771,7,0)</f>
        <v>ENDirect</v>
      </c>
      <c r="N1979" s="7" t="str">
        <f>IFERROR(HLOOKUP(L1979,'Calc|Weightings'!$K$5:$M$5,1,0),"Excl")</f>
        <v>Contracts</v>
      </c>
      <c r="O1979" s="7" t="str">
        <f>VLOOKUP(E1979,Mapping!$E$11:$I$96,5,0)</f>
        <v>SCS</v>
      </c>
      <c r="Q1979" s="7"/>
      <c r="R1979" s="7"/>
      <c r="S1979" s="7"/>
      <c r="T1979" s="7"/>
      <c r="U1979" s="7"/>
      <c r="V1979" s="7"/>
      <c r="AC1979" s="7"/>
      <c r="AD1979" s="7"/>
      <c r="AE1979" s="7"/>
      <c r="AF1979" s="7"/>
      <c r="AG1979" s="7"/>
      <c r="AO1979" s="7"/>
      <c r="AP1979" s="7"/>
      <c r="AQ1979" s="7"/>
      <c r="AR1979" s="7"/>
      <c r="AS1979" s="7"/>
    </row>
    <row r="1980" spans="1:45" x14ac:dyDescent="0.2">
      <c r="A1980" s="7"/>
      <c r="B1980" s="7"/>
      <c r="C1980" s="7"/>
      <c r="D1980" s="7"/>
      <c r="E1980" s="36">
        <v>163</v>
      </c>
      <c r="F1980" s="36" t="s">
        <v>2173</v>
      </c>
      <c r="G1980" s="36">
        <v>531464</v>
      </c>
      <c r="H1980" s="36" t="s">
        <v>256</v>
      </c>
      <c r="I1980" s="37">
        <v>78.259429999999995</v>
      </c>
      <c r="J1980" s="7"/>
      <c r="K1980" s="7" t="str">
        <f>VLOOKUP($E1980,Mapping!$E$11:$I$96,3,0)</f>
        <v>Replacement</v>
      </c>
      <c r="L1980" s="7" t="str">
        <f>VLOOKUP($G1980,Mapping!$E$140:$K$2771,5,0)</f>
        <v>Contracts</v>
      </c>
      <c r="M1980" s="7" t="str">
        <f>VLOOKUP($G1980,Mapping!$E$140:$K$2771,7,0)</f>
        <v>ENDirect</v>
      </c>
      <c r="N1980" s="7" t="str">
        <f>IFERROR(HLOOKUP(L1980,'Calc|Weightings'!$K$5:$M$5,1,0),"Excl")</f>
        <v>Contracts</v>
      </c>
      <c r="O1980" s="7" t="str">
        <f>VLOOKUP(E1980,Mapping!$E$11:$I$96,5,0)</f>
        <v>SCS</v>
      </c>
      <c r="Q1980" s="7"/>
      <c r="R1980" s="7"/>
      <c r="S1980" s="7"/>
      <c r="T1980" s="7"/>
      <c r="U1980" s="7"/>
      <c r="V1980" s="7"/>
      <c r="AC1980" s="7"/>
      <c r="AD1980" s="7"/>
      <c r="AE1980" s="7"/>
      <c r="AF1980" s="7"/>
      <c r="AG1980" s="7"/>
      <c r="AO1980" s="7"/>
      <c r="AP1980" s="7"/>
      <c r="AQ1980" s="7"/>
      <c r="AR1980" s="7"/>
      <c r="AS1980" s="7"/>
    </row>
    <row r="1981" spans="1:45" x14ac:dyDescent="0.2">
      <c r="A1981" s="7"/>
      <c r="B1981" s="7"/>
      <c r="C1981" s="7"/>
      <c r="D1981" s="7"/>
      <c r="E1981" s="36">
        <v>163</v>
      </c>
      <c r="F1981" s="36" t="s">
        <v>2173</v>
      </c>
      <c r="G1981" s="36">
        <v>531466</v>
      </c>
      <c r="H1981" s="36" t="s">
        <v>258</v>
      </c>
      <c r="I1981" s="37">
        <v>65.270129999999995</v>
      </c>
      <c r="J1981" s="7"/>
      <c r="K1981" s="7" t="str">
        <f>VLOOKUP($E1981,Mapping!$E$11:$I$96,3,0)</f>
        <v>Replacement</v>
      </c>
      <c r="L1981" s="7" t="str">
        <f>VLOOKUP($G1981,Mapping!$E$140:$K$2771,5,0)</f>
        <v>Contracts</v>
      </c>
      <c r="M1981" s="7" t="str">
        <f>VLOOKUP($G1981,Mapping!$E$140:$K$2771,7,0)</f>
        <v>ENDirect</v>
      </c>
      <c r="N1981" s="7" t="str">
        <f>IFERROR(HLOOKUP(L1981,'Calc|Weightings'!$K$5:$M$5,1,0),"Excl")</f>
        <v>Contracts</v>
      </c>
      <c r="O1981" s="7" t="str">
        <f>VLOOKUP(E1981,Mapping!$E$11:$I$96,5,0)</f>
        <v>SCS</v>
      </c>
      <c r="Q1981" s="7"/>
      <c r="R1981" s="7"/>
      <c r="S1981" s="7"/>
      <c r="T1981" s="7"/>
      <c r="U1981" s="7"/>
      <c r="V1981" s="7"/>
      <c r="AC1981" s="7"/>
      <c r="AD1981" s="7"/>
      <c r="AE1981" s="7"/>
      <c r="AF1981" s="7"/>
      <c r="AG1981" s="7"/>
      <c r="AO1981" s="7"/>
      <c r="AP1981" s="7"/>
      <c r="AQ1981" s="7"/>
      <c r="AR1981" s="7"/>
      <c r="AS1981" s="7"/>
    </row>
    <row r="1982" spans="1:45" x14ac:dyDescent="0.2">
      <c r="A1982" s="7"/>
      <c r="B1982" s="7"/>
      <c r="C1982" s="7"/>
      <c r="D1982" s="7"/>
      <c r="E1982" s="36">
        <v>163</v>
      </c>
      <c r="F1982" s="36" t="s">
        <v>2173</v>
      </c>
      <c r="G1982" s="36">
        <v>531467</v>
      </c>
      <c r="H1982" s="36" t="s">
        <v>259</v>
      </c>
      <c r="I1982" s="37">
        <v>5.4337200000000001</v>
      </c>
      <c r="J1982" s="7"/>
      <c r="K1982" s="7" t="str">
        <f>VLOOKUP($E1982,Mapping!$E$11:$I$96,3,0)</f>
        <v>Replacement</v>
      </c>
      <c r="L1982" s="7" t="str">
        <f>VLOOKUP($G1982,Mapping!$E$140:$K$2771,5,0)</f>
        <v>Contracts</v>
      </c>
      <c r="M1982" s="7" t="str">
        <f>VLOOKUP($G1982,Mapping!$E$140:$K$2771,7,0)</f>
        <v>ENDirect</v>
      </c>
      <c r="N1982" s="7" t="str">
        <f>IFERROR(HLOOKUP(L1982,'Calc|Weightings'!$K$5:$M$5,1,0),"Excl")</f>
        <v>Contracts</v>
      </c>
      <c r="O1982" s="7" t="str">
        <f>VLOOKUP(E1982,Mapping!$E$11:$I$96,5,0)</f>
        <v>SCS</v>
      </c>
      <c r="Q1982" s="7"/>
      <c r="R1982" s="7"/>
      <c r="S1982" s="7"/>
      <c r="T1982" s="7"/>
      <c r="U1982" s="7"/>
      <c r="V1982" s="7"/>
      <c r="AC1982" s="7"/>
      <c r="AD1982" s="7"/>
      <c r="AE1982" s="7"/>
      <c r="AF1982" s="7"/>
      <c r="AG1982" s="7"/>
      <c r="AO1982" s="7"/>
      <c r="AP1982" s="7"/>
      <c r="AQ1982" s="7"/>
      <c r="AR1982" s="7"/>
      <c r="AS1982" s="7"/>
    </row>
    <row r="1983" spans="1:45" x14ac:dyDescent="0.2">
      <c r="A1983" s="7"/>
      <c r="B1983" s="7"/>
      <c r="C1983" s="7"/>
      <c r="D1983" s="7"/>
      <c r="E1983" s="36">
        <v>163</v>
      </c>
      <c r="F1983" s="36" t="s">
        <v>2173</v>
      </c>
      <c r="G1983" s="36">
        <v>531468</v>
      </c>
      <c r="H1983" s="36" t="s">
        <v>260</v>
      </c>
      <c r="I1983" s="37">
        <v>3.4275000000000002</v>
      </c>
      <c r="J1983" s="7"/>
      <c r="K1983" s="7" t="str">
        <f>VLOOKUP($E1983,Mapping!$E$11:$I$96,3,0)</f>
        <v>Replacement</v>
      </c>
      <c r="L1983" s="7" t="str">
        <f>VLOOKUP($G1983,Mapping!$E$140:$K$2771,5,0)</f>
        <v>Contracts</v>
      </c>
      <c r="M1983" s="7" t="str">
        <f>VLOOKUP($G1983,Mapping!$E$140:$K$2771,7,0)</f>
        <v>ENDirect</v>
      </c>
      <c r="N1983" s="7" t="str">
        <f>IFERROR(HLOOKUP(L1983,'Calc|Weightings'!$K$5:$M$5,1,0),"Excl")</f>
        <v>Contracts</v>
      </c>
      <c r="O1983" s="7" t="str">
        <f>VLOOKUP(E1983,Mapping!$E$11:$I$96,5,0)</f>
        <v>SCS</v>
      </c>
      <c r="Q1983" s="7"/>
      <c r="R1983" s="7"/>
      <c r="S1983" s="7"/>
      <c r="T1983" s="7"/>
      <c r="U1983" s="7"/>
      <c r="V1983" s="7"/>
      <c r="AC1983" s="7"/>
      <c r="AD1983" s="7"/>
      <c r="AE1983" s="7"/>
      <c r="AF1983" s="7"/>
      <c r="AG1983" s="7"/>
      <c r="AO1983" s="7"/>
      <c r="AP1983" s="7"/>
      <c r="AQ1983" s="7"/>
      <c r="AR1983" s="7"/>
      <c r="AS1983" s="7"/>
    </row>
    <row r="1984" spans="1:45" x14ac:dyDescent="0.2">
      <c r="A1984" s="7"/>
      <c r="B1984" s="7"/>
      <c r="C1984" s="7"/>
      <c r="D1984" s="7"/>
      <c r="E1984" s="36">
        <v>163</v>
      </c>
      <c r="F1984" s="36" t="s">
        <v>2173</v>
      </c>
      <c r="G1984" s="36">
        <v>531485</v>
      </c>
      <c r="H1984" s="36" t="s">
        <v>2350</v>
      </c>
      <c r="I1984" s="37">
        <v>-33.010800000000003</v>
      </c>
      <c r="J1984" s="7"/>
      <c r="K1984" s="7" t="str">
        <f>VLOOKUP($E1984,Mapping!$E$11:$I$96,3,0)</f>
        <v>Replacement</v>
      </c>
      <c r="L1984" s="7" t="str">
        <f>VLOOKUP($G1984,Mapping!$E$140:$K$2771,5,0)</f>
        <v>Contracts</v>
      </c>
      <c r="M1984" s="7" t="str">
        <f>VLOOKUP($G1984,Mapping!$E$140:$K$2771,7,0)</f>
        <v>ENDirect</v>
      </c>
      <c r="N1984" s="7" t="str">
        <f>IFERROR(HLOOKUP(L1984,'Calc|Weightings'!$K$5:$M$5,1,0),"Excl")</f>
        <v>Contracts</v>
      </c>
      <c r="O1984" s="7" t="str">
        <f>VLOOKUP(E1984,Mapping!$E$11:$I$96,5,0)</f>
        <v>SCS</v>
      </c>
      <c r="Q1984" s="7"/>
      <c r="R1984" s="7"/>
      <c r="S1984" s="7"/>
      <c r="T1984" s="7"/>
      <c r="U1984" s="7"/>
      <c r="V1984" s="7"/>
      <c r="AC1984" s="7"/>
      <c r="AD1984" s="7"/>
      <c r="AE1984" s="7"/>
      <c r="AF1984" s="7"/>
      <c r="AG1984" s="7"/>
      <c r="AO1984" s="7"/>
      <c r="AP1984" s="7"/>
      <c r="AQ1984" s="7"/>
      <c r="AR1984" s="7"/>
      <c r="AS1984" s="7"/>
    </row>
    <row r="1985" spans="1:45" x14ac:dyDescent="0.2">
      <c r="A1985" s="7"/>
      <c r="B1985" s="7"/>
      <c r="C1985" s="7"/>
      <c r="D1985" s="7"/>
      <c r="E1985" s="36">
        <v>163</v>
      </c>
      <c r="F1985" s="36" t="s">
        <v>2173</v>
      </c>
      <c r="G1985" s="36">
        <v>531495</v>
      </c>
      <c r="H1985" s="36" t="s">
        <v>2353</v>
      </c>
      <c r="I1985" s="37">
        <v>227.3425</v>
      </c>
      <c r="J1985" s="7"/>
      <c r="K1985" s="7" t="str">
        <f>VLOOKUP($E1985,Mapping!$E$11:$I$96,3,0)</f>
        <v>Replacement</v>
      </c>
      <c r="L1985" s="7" t="str">
        <f>VLOOKUP($G1985,Mapping!$E$140:$K$2771,5,0)</f>
        <v>Contracts</v>
      </c>
      <c r="M1985" s="7" t="str">
        <f>VLOOKUP($G1985,Mapping!$E$140:$K$2771,7,0)</f>
        <v>ENDirect</v>
      </c>
      <c r="N1985" s="7" t="str">
        <f>IFERROR(HLOOKUP(L1985,'Calc|Weightings'!$K$5:$M$5,1,0),"Excl")</f>
        <v>Contracts</v>
      </c>
      <c r="O1985" s="7" t="str">
        <f>VLOOKUP(E1985,Mapping!$E$11:$I$96,5,0)</f>
        <v>SCS</v>
      </c>
      <c r="Q1985" s="7"/>
      <c r="R1985" s="7"/>
      <c r="S1985" s="7"/>
      <c r="T1985" s="7"/>
      <c r="U1985" s="7"/>
      <c r="V1985" s="7"/>
      <c r="AC1985" s="7"/>
      <c r="AD1985" s="7"/>
      <c r="AE1985" s="7"/>
      <c r="AF1985" s="7"/>
      <c r="AG1985" s="7"/>
      <c r="AO1985" s="7"/>
      <c r="AP1985" s="7"/>
      <c r="AQ1985" s="7"/>
      <c r="AR1985" s="7"/>
      <c r="AS1985" s="7"/>
    </row>
    <row r="1986" spans="1:45" x14ac:dyDescent="0.2">
      <c r="A1986" s="7"/>
      <c r="B1986" s="7"/>
      <c r="C1986" s="7"/>
      <c r="D1986" s="7"/>
      <c r="E1986" s="36">
        <v>163</v>
      </c>
      <c r="F1986" s="36" t="s">
        <v>2173</v>
      </c>
      <c r="G1986" s="36">
        <v>532050</v>
      </c>
      <c r="H1986" s="36" t="s">
        <v>279</v>
      </c>
      <c r="I1986" s="37">
        <v>2.3824999999999998</v>
      </c>
      <c r="J1986" s="7"/>
      <c r="K1986" s="7" t="str">
        <f>VLOOKUP($E1986,Mapping!$E$11:$I$96,3,0)</f>
        <v>Replacement</v>
      </c>
      <c r="L1986" s="7" t="str">
        <f>VLOOKUP($G1986,Mapping!$E$140:$K$2771,5,0)</f>
        <v>Contracts</v>
      </c>
      <c r="M1986" s="7" t="str">
        <f>VLOOKUP($G1986,Mapping!$E$140:$K$2771,7,0)</f>
        <v>ENDirect</v>
      </c>
      <c r="N1986" s="7" t="str">
        <f>IFERROR(HLOOKUP(L1986,'Calc|Weightings'!$K$5:$M$5,1,0),"Excl")</f>
        <v>Contracts</v>
      </c>
      <c r="O1986" s="7" t="str">
        <f>VLOOKUP(E1986,Mapping!$E$11:$I$96,5,0)</f>
        <v>SCS</v>
      </c>
      <c r="Q1986" s="7"/>
      <c r="R1986" s="7"/>
      <c r="S1986" s="7"/>
      <c r="T1986" s="7"/>
      <c r="U1986" s="7"/>
      <c r="V1986" s="7"/>
      <c r="AC1986" s="7"/>
      <c r="AD1986" s="7"/>
      <c r="AE1986" s="7"/>
      <c r="AF1986" s="7"/>
      <c r="AG1986" s="7"/>
      <c r="AO1986" s="7"/>
      <c r="AP1986" s="7"/>
      <c r="AQ1986" s="7"/>
      <c r="AR1986" s="7"/>
      <c r="AS1986" s="7"/>
    </row>
    <row r="1987" spans="1:45" x14ac:dyDescent="0.2">
      <c r="A1987" s="7"/>
      <c r="B1987" s="7"/>
      <c r="C1987" s="7"/>
      <c r="D1987" s="7"/>
      <c r="E1987" s="36">
        <v>163</v>
      </c>
      <c r="F1987" s="36" t="s">
        <v>2173</v>
      </c>
      <c r="G1987" s="36">
        <v>591997</v>
      </c>
      <c r="H1987" s="36" t="s">
        <v>2194</v>
      </c>
      <c r="I1987" s="37">
        <v>-0.87887999999999999</v>
      </c>
      <c r="J1987" s="7"/>
      <c r="K1987" s="7" t="str">
        <f>VLOOKUP($E1987,Mapping!$E$11:$I$96,3,0)</f>
        <v>Replacement</v>
      </c>
      <c r="L1987" s="7" t="str">
        <f>VLOOKUP($G1987,Mapping!$E$140:$K$2771,5,0)</f>
        <v>Contracts</v>
      </c>
      <c r="M1987" s="7" t="str">
        <f>VLOOKUP($G1987,Mapping!$E$140:$K$2771,7,0)</f>
        <v>ENDirect</v>
      </c>
      <c r="N1987" s="7" t="str">
        <f>IFERROR(HLOOKUP(L1987,'Calc|Weightings'!$K$5:$M$5,1,0),"Excl")</f>
        <v>Contracts</v>
      </c>
      <c r="O1987" s="7" t="str">
        <f>VLOOKUP(E1987,Mapping!$E$11:$I$96,5,0)</f>
        <v>SCS</v>
      </c>
      <c r="Q1987" s="7"/>
      <c r="R1987" s="7"/>
      <c r="S1987" s="7"/>
      <c r="T1987" s="7"/>
      <c r="U1987" s="7"/>
      <c r="V1987" s="7"/>
      <c r="AC1987" s="7"/>
      <c r="AD1987" s="7"/>
      <c r="AE1987" s="7"/>
      <c r="AF1987" s="7"/>
      <c r="AG1987" s="7"/>
      <c r="AO1987" s="7"/>
      <c r="AP1987" s="7"/>
      <c r="AQ1987" s="7"/>
      <c r="AR1987" s="7"/>
      <c r="AS1987" s="7"/>
    </row>
    <row r="1988" spans="1:45" x14ac:dyDescent="0.2">
      <c r="A1988" s="7"/>
      <c r="B1988" s="7"/>
      <c r="C1988" s="7"/>
      <c r="D1988" s="7"/>
      <c r="E1988" s="36">
        <v>163</v>
      </c>
      <c r="F1988" s="36" t="s">
        <v>2173</v>
      </c>
      <c r="G1988" s="36">
        <v>591998</v>
      </c>
      <c r="H1988" s="36" t="s">
        <v>2077</v>
      </c>
      <c r="I1988" s="37">
        <v>-0.80498999999999998</v>
      </c>
      <c r="J1988" s="7"/>
      <c r="K1988" s="7" t="str">
        <f>VLOOKUP($E1988,Mapping!$E$11:$I$96,3,0)</f>
        <v>Replacement</v>
      </c>
      <c r="L1988" s="7" t="str">
        <f>VLOOKUP($G1988,Mapping!$E$140:$K$2771,5,0)</f>
        <v>Contracts</v>
      </c>
      <c r="M1988" s="7" t="str">
        <f>VLOOKUP($G1988,Mapping!$E$140:$K$2771,7,0)</f>
        <v>ENDirect</v>
      </c>
      <c r="N1988" s="7" t="str">
        <f>IFERROR(HLOOKUP(L1988,'Calc|Weightings'!$K$5:$M$5,1,0),"Excl")</f>
        <v>Contracts</v>
      </c>
      <c r="O1988" s="7" t="str">
        <f>VLOOKUP(E1988,Mapping!$E$11:$I$96,5,0)</f>
        <v>SCS</v>
      </c>
      <c r="Q1988" s="7"/>
      <c r="R1988" s="7"/>
      <c r="S1988" s="7"/>
      <c r="T1988" s="7"/>
      <c r="U1988" s="7"/>
      <c r="V1988" s="7"/>
      <c r="AC1988" s="7"/>
      <c r="AD1988" s="7"/>
      <c r="AE1988" s="7"/>
      <c r="AF1988" s="7"/>
      <c r="AG1988" s="7"/>
      <c r="AO1988" s="7"/>
      <c r="AP1988" s="7"/>
      <c r="AQ1988" s="7"/>
      <c r="AR1988" s="7"/>
      <c r="AS1988" s="7"/>
    </row>
    <row r="1989" spans="1:45" x14ac:dyDescent="0.2">
      <c r="A1989" s="7"/>
      <c r="B1989" s="7"/>
      <c r="C1989" s="7"/>
      <c r="D1989" s="7"/>
      <c r="E1989" s="36">
        <v>163</v>
      </c>
      <c r="F1989" s="36" t="s">
        <v>2173</v>
      </c>
      <c r="G1989" s="36">
        <v>591999</v>
      </c>
      <c r="H1989" s="36" t="s">
        <v>2195</v>
      </c>
      <c r="I1989" s="37">
        <v>-4.35311</v>
      </c>
      <c r="J1989" s="7"/>
      <c r="K1989" s="7" t="str">
        <f>VLOOKUP($E1989,Mapping!$E$11:$I$96,3,0)</f>
        <v>Replacement</v>
      </c>
      <c r="L1989" s="7" t="str">
        <f>VLOOKUP($G1989,Mapping!$E$140:$K$2771,5,0)</f>
        <v>Contracts</v>
      </c>
      <c r="M1989" s="7" t="str">
        <f>VLOOKUP($G1989,Mapping!$E$140:$K$2771,7,0)</f>
        <v>ENDirect</v>
      </c>
      <c r="N1989" s="7" t="str">
        <f>IFERROR(HLOOKUP(L1989,'Calc|Weightings'!$K$5:$M$5,1,0),"Excl")</f>
        <v>Contracts</v>
      </c>
      <c r="O1989" s="7" t="str">
        <f>VLOOKUP(E1989,Mapping!$E$11:$I$96,5,0)</f>
        <v>SCS</v>
      </c>
      <c r="Q1989" s="7"/>
      <c r="R1989" s="7"/>
      <c r="S1989" s="7"/>
      <c r="T1989" s="7"/>
      <c r="U1989" s="7"/>
      <c r="V1989" s="7"/>
      <c r="AC1989" s="7"/>
      <c r="AD1989" s="7"/>
      <c r="AE1989" s="7"/>
      <c r="AF1989" s="7"/>
      <c r="AG1989" s="7"/>
      <c r="AO1989" s="7"/>
      <c r="AP1989" s="7"/>
      <c r="AQ1989" s="7"/>
      <c r="AR1989" s="7"/>
      <c r="AS1989" s="7"/>
    </row>
    <row r="1990" spans="1:45" x14ac:dyDescent="0.2">
      <c r="A1990" s="7"/>
      <c r="B1990" s="7"/>
      <c r="C1990" s="7"/>
      <c r="D1990" s="7"/>
      <c r="E1990" s="36">
        <v>163</v>
      </c>
      <c r="F1990" s="36" t="s">
        <v>2173</v>
      </c>
      <c r="G1990" s="36">
        <v>611900</v>
      </c>
      <c r="H1990" s="36" t="s">
        <v>2079</v>
      </c>
      <c r="I1990" s="37">
        <v>2.0275099999999999</v>
      </c>
      <c r="J1990" s="7"/>
      <c r="K1990" s="7" t="str">
        <f>VLOOKUP($E1990,Mapping!$E$11:$I$96,3,0)</f>
        <v>Replacement</v>
      </c>
      <c r="L1990" s="7" t="str">
        <f>VLOOKUP($G1990,Mapping!$E$140:$K$2771,5,0)</f>
        <v>Contracts</v>
      </c>
      <c r="M1990" s="7" t="str">
        <f>VLOOKUP($G1990,Mapping!$E$140:$K$2771,7,0)</f>
        <v>ENDirect</v>
      </c>
      <c r="N1990" s="7" t="str">
        <f>IFERROR(HLOOKUP(L1990,'Calc|Weightings'!$K$5:$M$5,1,0),"Excl")</f>
        <v>Contracts</v>
      </c>
      <c r="O1990" s="7" t="str">
        <f>VLOOKUP(E1990,Mapping!$E$11:$I$96,5,0)</f>
        <v>SCS</v>
      </c>
      <c r="Q1990" s="7"/>
      <c r="R1990" s="7"/>
      <c r="S1990" s="7"/>
      <c r="T1990" s="7"/>
      <c r="U1990" s="7"/>
      <c r="V1990" s="7"/>
      <c r="AC1990" s="7"/>
      <c r="AD1990" s="7"/>
      <c r="AE1990" s="7"/>
      <c r="AF1990" s="7"/>
      <c r="AG1990" s="7"/>
      <c r="AO1990" s="7"/>
      <c r="AP1990" s="7"/>
      <c r="AQ1990" s="7"/>
      <c r="AR1990" s="7"/>
      <c r="AS1990" s="7"/>
    </row>
    <row r="1991" spans="1:45" x14ac:dyDescent="0.2">
      <c r="A1991" s="7"/>
      <c r="B1991" s="7"/>
      <c r="C1991" s="7"/>
      <c r="D1991" s="7"/>
      <c r="E1991" s="36">
        <v>163</v>
      </c>
      <c r="F1991" s="36" t="s">
        <v>2173</v>
      </c>
      <c r="G1991" s="36">
        <v>611901</v>
      </c>
      <c r="H1991" s="36" t="s">
        <v>2080</v>
      </c>
      <c r="I1991" s="37">
        <v>4.4680200000000001</v>
      </c>
      <c r="J1991" s="7"/>
      <c r="K1991" s="7" t="str">
        <f>VLOOKUP($E1991,Mapping!$E$11:$I$96,3,0)</f>
        <v>Replacement</v>
      </c>
      <c r="L1991" s="7" t="str">
        <f>VLOOKUP($G1991,Mapping!$E$140:$K$2771,5,0)</f>
        <v>Contracts</v>
      </c>
      <c r="M1991" s="7" t="str">
        <f>VLOOKUP($G1991,Mapping!$E$140:$K$2771,7,0)</f>
        <v>ENDirect</v>
      </c>
      <c r="N1991" s="7" t="str">
        <f>IFERROR(HLOOKUP(L1991,'Calc|Weightings'!$K$5:$M$5,1,0),"Excl")</f>
        <v>Contracts</v>
      </c>
      <c r="O1991" s="7" t="str">
        <f>VLOOKUP(E1991,Mapping!$E$11:$I$96,5,0)</f>
        <v>SCS</v>
      </c>
      <c r="Q1991" s="7"/>
      <c r="R1991" s="7"/>
      <c r="S1991" s="7"/>
      <c r="T1991" s="7"/>
      <c r="U1991" s="7"/>
      <c r="V1991" s="7"/>
      <c r="AC1991" s="7"/>
      <c r="AD1991" s="7"/>
      <c r="AE1991" s="7"/>
      <c r="AF1991" s="7"/>
      <c r="AG1991" s="7"/>
      <c r="AO1991" s="7"/>
      <c r="AP1991" s="7"/>
      <c r="AQ1991" s="7"/>
      <c r="AR1991" s="7"/>
      <c r="AS1991" s="7"/>
    </row>
    <row r="1992" spans="1:45" x14ac:dyDescent="0.2">
      <c r="A1992" s="7"/>
      <c r="B1992" s="7"/>
      <c r="C1992" s="7"/>
      <c r="D1992" s="7"/>
      <c r="E1992" s="36">
        <v>163</v>
      </c>
      <c r="F1992" s="36" t="s">
        <v>2173</v>
      </c>
      <c r="G1992" s="36">
        <v>611902</v>
      </c>
      <c r="H1992" s="36" t="s">
        <v>2081</v>
      </c>
      <c r="I1992" s="37">
        <v>1.77955</v>
      </c>
      <c r="J1992" s="7"/>
      <c r="K1992" s="7" t="str">
        <f>VLOOKUP($E1992,Mapping!$E$11:$I$96,3,0)</f>
        <v>Replacement</v>
      </c>
      <c r="L1992" s="7" t="str">
        <f>VLOOKUP($G1992,Mapping!$E$140:$K$2771,5,0)</f>
        <v>Contracts</v>
      </c>
      <c r="M1992" s="7" t="str">
        <f>VLOOKUP($G1992,Mapping!$E$140:$K$2771,7,0)</f>
        <v>ENDirect</v>
      </c>
      <c r="N1992" s="7" t="str">
        <f>IFERROR(HLOOKUP(L1992,'Calc|Weightings'!$K$5:$M$5,1,0),"Excl")</f>
        <v>Contracts</v>
      </c>
      <c r="O1992" s="7" t="str">
        <f>VLOOKUP(E1992,Mapping!$E$11:$I$96,5,0)</f>
        <v>SCS</v>
      </c>
      <c r="Q1992" s="7"/>
      <c r="R1992" s="7"/>
      <c r="S1992" s="7"/>
      <c r="T1992" s="7"/>
      <c r="U1992" s="7"/>
      <c r="V1992" s="7"/>
      <c r="AC1992" s="7"/>
      <c r="AD1992" s="7"/>
      <c r="AE1992" s="7"/>
      <c r="AF1992" s="7"/>
      <c r="AG1992" s="7"/>
      <c r="AO1992" s="7"/>
      <c r="AP1992" s="7"/>
      <c r="AQ1992" s="7"/>
      <c r="AR1992" s="7"/>
      <c r="AS1992" s="7"/>
    </row>
    <row r="1993" spans="1:45" x14ac:dyDescent="0.2">
      <c r="A1993" s="7"/>
      <c r="B1993" s="7"/>
      <c r="C1993" s="7"/>
      <c r="D1993" s="7"/>
      <c r="E1993" s="36">
        <v>163</v>
      </c>
      <c r="F1993" s="36" t="s">
        <v>2173</v>
      </c>
      <c r="G1993" s="36">
        <v>612210</v>
      </c>
      <c r="H1993" s="36" t="s">
        <v>1184</v>
      </c>
      <c r="I1993" s="37">
        <v>0.19911000000000001</v>
      </c>
      <c r="J1993" s="7"/>
      <c r="K1993" s="7" t="str">
        <f>VLOOKUP($E1993,Mapping!$E$11:$I$96,3,0)</f>
        <v>Replacement</v>
      </c>
      <c r="L1993" s="7" t="str">
        <f>VLOOKUP($G1993,Mapping!$E$140:$K$2771,5,0)</f>
        <v>Labour</v>
      </c>
      <c r="M1993" s="7" t="str">
        <f>VLOOKUP($G1993,Mapping!$E$140:$K$2771,7,0)</f>
        <v>ENDirect</v>
      </c>
      <c r="N1993" s="7" t="str">
        <f>IFERROR(HLOOKUP(L1993,'Calc|Weightings'!$K$5:$M$5,1,0),"Excl")</f>
        <v>Labour</v>
      </c>
      <c r="O1993" s="7" t="str">
        <f>VLOOKUP(E1993,Mapping!$E$11:$I$96,5,0)</f>
        <v>SCS</v>
      </c>
      <c r="Q1993" s="7"/>
      <c r="R1993" s="7"/>
      <c r="S1993" s="7"/>
      <c r="T1993" s="7"/>
      <c r="U1993" s="7"/>
      <c r="V1993" s="7"/>
      <c r="AC1993" s="7"/>
      <c r="AD1993" s="7"/>
      <c r="AE1993" s="7"/>
      <c r="AF1993" s="7"/>
      <c r="AG1993" s="7"/>
      <c r="AO1993" s="7"/>
      <c r="AP1993" s="7"/>
      <c r="AQ1993" s="7"/>
      <c r="AR1993" s="7"/>
      <c r="AS1993" s="7"/>
    </row>
    <row r="1994" spans="1:45" x14ac:dyDescent="0.2">
      <c r="A1994" s="7"/>
      <c r="B1994" s="7"/>
      <c r="C1994" s="7"/>
      <c r="D1994" s="7"/>
      <c r="E1994" s="36">
        <v>163</v>
      </c>
      <c r="F1994" s="36" t="s">
        <v>2173</v>
      </c>
      <c r="G1994" s="36">
        <v>612460</v>
      </c>
      <c r="H1994" s="36" t="s">
        <v>1243</v>
      </c>
      <c r="I1994" s="37">
        <v>2.9617399999999998</v>
      </c>
      <c r="J1994" s="7"/>
      <c r="K1994" s="7" t="str">
        <f>VLOOKUP($E1994,Mapping!$E$11:$I$96,3,0)</f>
        <v>Replacement</v>
      </c>
      <c r="L1994" s="7" t="str">
        <f>VLOOKUP($G1994,Mapping!$E$140:$K$2771,5,0)</f>
        <v>Labour</v>
      </c>
      <c r="M1994" s="7" t="str">
        <f>VLOOKUP($G1994,Mapping!$E$140:$K$2771,7,0)</f>
        <v>ENDirect</v>
      </c>
      <c r="N1994" s="7" t="str">
        <f>IFERROR(HLOOKUP(L1994,'Calc|Weightings'!$K$5:$M$5,1,0),"Excl")</f>
        <v>Labour</v>
      </c>
      <c r="O1994" s="7" t="str">
        <f>VLOOKUP(E1994,Mapping!$E$11:$I$96,5,0)</f>
        <v>SCS</v>
      </c>
      <c r="Q1994" s="7"/>
      <c r="R1994" s="7"/>
      <c r="S1994" s="7"/>
      <c r="T1994" s="7"/>
      <c r="U1994" s="7"/>
      <c r="V1994" s="7"/>
      <c r="AC1994" s="7"/>
      <c r="AD1994" s="7"/>
      <c r="AE1994" s="7"/>
      <c r="AF1994" s="7"/>
      <c r="AG1994" s="7"/>
      <c r="AO1994" s="7"/>
      <c r="AP1994" s="7"/>
      <c r="AQ1994" s="7"/>
      <c r="AR1994" s="7"/>
      <c r="AS1994" s="7"/>
    </row>
    <row r="1995" spans="1:45" x14ac:dyDescent="0.2">
      <c r="A1995" s="7"/>
      <c r="B1995" s="7"/>
      <c r="C1995" s="7"/>
      <c r="D1995" s="7"/>
      <c r="E1995" s="36">
        <v>163</v>
      </c>
      <c r="F1995" s="36" t="s">
        <v>2173</v>
      </c>
      <c r="G1995" s="36">
        <v>613248</v>
      </c>
      <c r="H1995" s="36" t="s">
        <v>2383</v>
      </c>
      <c r="I1995" s="37">
        <v>17.28098</v>
      </c>
      <c r="J1995" s="7"/>
      <c r="K1995" s="7" t="str">
        <f>VLOOKUP($E1995,Mapping!$E$11:$I$96,3,0)</f>
        <v>Replacement</v>
      </c>
      <c r="L1995" s="7" t="str">
        <f>VLOOKUP($G1995,Mapping!$E$140:$K$2771,5,0)</f>
        <v>Labour</v>
      </c>
      <c r="M1995" s="7" t="str">
        <f>VLOOKUP($G1995,Mapping!$E$140:$K$2771,7,0)</f>
        <v>ENDirect</v>
      </c>
      <c r="N1995" s="7" t="str">
        <f>IFERROR(HLOOKUP(L1995,'Calc|Weightings'!$K$5:$M$5,1,0),"Excl")</f>
        <v>Labour</v>
      </c>
      <c r="O1995" s="7" t="str">
        <f>VLOOKUP(E1995,Mapping!$E$11:$I$96,5,0)</f>
        <v>SCS</v>
      </c>
      <c r="Q1995" s="7"/>
      <c r="R1995" s="7"/>
      <c r="S1995" s="7"/>
      <c r="T1995" s="7"/>
      <c r="U1995" s="7"/>
      <c r="V1995" s="7"/>
      <c r="AC1995" s="7"/>
      <c r="AD1995" s="7"/>
      <c r="AE1995" s="7"/>
      <c r="AF1995" s="7"/>
      <c r="AG1995" s="7"/>
      <c r="AO1995" s="7"/>
      <c r="AP1995" s="7"/>
      <c r="AQ1995" s="7"/>
      <c r="AR1995" s="7"/>
      <c r="AS1995" s="7"/>
    </row>
    <row r="1996" spans="1:45" x14ac:dyDescent="0.2">
      <c r="A1996" s="7"/>
      <c r="B1996" s="7"/>
      <c r="C1996" s="7"/>
      <c r="D1996" s="7"/>
      <c r="E1996" s="36">
        <v>163</v>
      </c>
      <c r="F1996" s="36" t="s">
        <v>2173</v>
      </c>
      <c r="G1996" s="36">
        <v>613258</v>
      </c>
      <c r="H1996" s="36" t="s">
        <v>2356</v>
      </c>
      <c r="I1996" s="37">
        <v>13.314</v>
      </c>
      <c r="J1996" s="7"/>
      <c r="K1996" s="7" t="str">
        <f>VLOOKUP($E1996,Mapping!$E$11:$I$96,3,0)</f>
        <v>Replacement</v>
      </c>
      <c r="L1996" s="7" t="str">
        <f>VLOOKUP($G1996,Mapping!$E$140:$K$2771,5,0)</f>
        <v>Labour</v>
      </c>
      <c r="M1996" s="7" t="str">
        <f>VLOOKUP($G1996,Mapping!$E$140:$K$2771,7,0)</f>
        <v>ENDirect</v>
      </c>
      <c r="N1996" s="7" t="str">
        <f>IFERROR(HLOOKUP(L1996,'Calc|Weightings'!$K$5:$M$5,1,0),"Excl")</f>
        <v>Labour</v>
      </c>
      <c r="O1996" s="7" t="str">
        <f>VLOOKUP(E1996,Mapping!$E$11:$I$96,5,0)</f>
        <v>SCS</v>
      </c>
      <c r="Q1996" s="7"/>
      <c r="R1996" s="7"/>
      <c r="S1996" s="7"/>
      <c r="T1996" s="7"/>
      <c r="U1996" s="7"/>
      <c r="V1996" s="7"/>
      <c r="AC1996" s="7"/>
      <c r="AD1996" s="7"/>
      <c r="AE1996" s="7"/>
      <c r="AF1996" s="7"/>
      <c r="AG1996" s="7"/>
      <c r="AO1996" s="7"/>
      <c r="AP1996" s="7"/>
      <c r="AQ1996" s="7"/>
      <c r="AR1996" s="7"/>
      <c r="AS1996" s="7"/>
    </row>
    <row r="1997" spans="1:45" x14ac:dyDescent="0.2">
      <c r="A1997" s="7"/>
      <c r="B1997" s="7"/>
      <c r="C1997" s="7"/>
      <c r="D1997" s="7"/>
      <c r="E1997" s="36">
        <v>163</v>
      </c>
      <c r="F1997" s="36" t="s">
        <v>2173</v>
      </c>
      <c r="G1997" s="36">
        <v>613260</v>
      </c>
      <c r="H1997" s="36" t="s">
        <v>2090</v>
      </c>
      <c r="I1997" s="37">
        <v>56.255940000000002</v>
      </c>
      <c r="J1997" s="7"/>
      <c r="K1997" s="7" t="str">
        <f>VLOOKUP($E1997,Mapping!$E$11:$I$96,3,0)</f>
        <v>Replacement</v>
      </c>
      <c r="L1997" s="7" t="str">
        <f>VLOOKUP($G1997,Mapping!$E$140:$K$2771,5,0)</f>
        <v>Labour</v>
      </c>
      <c r="M1997" s="7" t="str">
        <f>VLOOKUP($G1997,Mapping!$E$140:$K$2771,7,0)</f>
        <v>ENDirect</v>
      </c>
      <c r="N1997" s="7" t="str">
        <f>IFERROR(HLOOKUP(L1997,'Calc|Weightings'!$K$5:$M$5,1,0),"Excl")</f>
        <v>Labour</v>
      </c>
      <c r="O1997" s="7" t="str">
        <f>VLOOKUP(E1997,Mapping!$E$11:$I$96,5,0)</f>
        <v>SCS</v>
      </c>
      <c r="Q1997" s="7"/>
      <c r="R1997" s="7"/>
      <c r="S1997" s="7"/>
      <c r="T1997" s="7"/>
      <c r="U1997" s="7"/>
      <c r="V1997" s="7"/>
      <c r="AC1997" s="7"/>
      <c r="AD1997" s="7"/>
      <c r="AE1997" s="7"/>
      <c r="AF1997" s="7"/>
      <c r="AG1997" s="7"/>
      <c r="AO1997" s="7"/>
      <c r="AP1997" s="7"/>
      <c r="AQ1997" s="7"/>
      <c r="AR1997" s="7"/>
      <c r="AS1997" s="7"/>
    </row>
    <row r="1998" spans="1:45" x14ac:dyDescent="0.2">
      <c r="A1998" s="7"/>
      <c r="B1998" s="7"/>
      <c r="C1998" s="7"/>
      <c r="D1998" s="7"/>
      <c r="E1998" s="36">
        <v>163</v>
      </c>
      <c r="F1998" s="36" t="s">
        <v>2173</v>
      </c>
      <c r="G1998" s="36">
        <v>613268</v>
      </c>
      <c r="H1998" s="36" t="s">
        <v>1335</v>
      </c>
      <c r="I1998" s="37">
        <v>6.3964999999999996</v>
      </c>
      <c r="J1998" s="7"/>
      <c r="K1998" s="7" t="str">
        <f>VLOOKUP($E1998,Mapping!$E$11:$I$96,3,0)</f>
        <v>Replacement</v>
      </c>
      <c r="L1998" s="7" t="str">
        <f>VLOOKUP($G1998,Mapping!$E$140:$K$2771,5,0)</f>
        <v>Labour</v>
      </c>
      <c r="M1998" s="7" t="str">
        <f>VLOOKUP($G1998,Mapping!$E$140:$K$2771,7,0)</f>
        <v>ENDirect</v>
      </c>
      <c r="N1998" s="7" t="str">
        <f>IFERROR(HLOOKUP(L1998,'Calc|Weightings'!$K$5:$M$5,1,0),"Excl")</f>
        <v>Labour</v>
      </c>
      <c r="O1998" s="7" t="str">
        <f>VLOOKUP(E1998,Mapping!$E$11:$I$96,5,0)</f>
        <v>SCS</v>
      </c>
      <c r="Q1998" s="7"/>
      <c r="R1998" s="7"/>
      <c r="S1998" s="7"/>
      <c r="T1998" s="7"/>
      <c r="U1998" s="7"/>
      <c r="V1998" s="7"/>
      <c r="AC1998" s="7"/>
      <c r="AD1998" s="7"/>
      <c r="AE1998" s="7"/>
      <c r="AF1998" s="7"/>
      <c r="AG1998" s="7"/>
      <c r="AO1998" s="7"/>
      <c r="AP1998" s="7"/>
      <c r="AQ1998" s="7"/>
      <c r="AR1998" s="7"/>
      <c r="AS1998" s="7"/>
    </row>
    <row r="1999" spans="1:45" x14ac:dyDescent="0.2">
      <c r="A1999" s="7"/>
      <c r="B1999" s="7"/>
      <c r="C1999" s="7"/>
      <c r="D1999" s="7"/>
      <c r="E1999" s="36">
        <v>163</v>
      </c>
      <c r="F1999" s="36" t="s">
        <v>2173</v>
      </c>
      <c r="G1999" s="36">
        <v>613269</v>
      </c>
      <c r="H1999" s="36" t="s">
        <v>1336</v>
      </c>
      <c r="I1999" s="37">
        <v>0.63965000000000005</v>
      </c>
      <c r="J1999" s="7"/>
      <c r="K1999" s="7" t="str">
        <f>VLOOKUP($E1999,Mapping!$E$11:$I$96,3,0)</f>
        <v>Replacement</v>
      </c>
      <c r="L1999" s="7" t="str">
        <f>VLOOKUP($G1999,Mapping!$E$140:$K$2771,5,0)</f>
        <v>Labour</v>
      </c>
      <c r="M1999" s="7" t="str">
        <f>VLOOKUP($G1999,Mapping!$E$140:$K$2771,7,0)</f>
        <v>ENDirect</v>
      </c>
      <c r="N1999" s="7" t="str">
        <f>IFERROR(HLOOKUP(L1999,'Calc|Weightings'!$K$5:$M$5,1,0),"Excl")</f>
        <v>Labour</v>
      </c>
      <c r="O1999" s="7" t="str">
        <f>VLOOKUP(E1999,Mapping!$E$11:$I$96,5,0)</f>
        <v>SCS</v>
      </c>
      <c r="Q1999" s="7"/>
      <c r="R1999" s="7"/>
      <c r="S1999" s="7"/>
      <c r="T1999" s="7"/>
      <c r="U1999" s="7"/>
      <c r="V1999" s="7"/>
      <c r="AC1999" s="7"/>
      <c r="AD1999" s="7"/>
      <c r="AE1999" s="7"/>
      <c r="AF1999" s="7"/>
      <c r="AG1999" s="7"/>
      <c r="AO1999" s="7"/>
      <c r="AP1999" s="7"/>
      <c r="AQ1999" s="7"/>
      <c r="AR1999" s="7"/>
      <c r="AS1999" s="7"/>
    </row>
    <row r="2000" spans="1:45" x14ac:dyDescent="0.2">
      <c r="A2000" s="7"/>
      <c r="B2000" s="7"/>
      <c r="C2000" s="7"/>
      <c r="D2000" s="7"/>
      <c r="E2000" s="36">
        <v>163</v>
      </c>
      <c r="F2000" s="36" t="s">
        <v>2173</v>
      </c>
      <c r="G2000" s="36">
        <v>613270</v>
      </c>
      <c r="H2000" s="36" t="s">
        <v>2092</v>
      </c>
      <c r="I2000" s="37">
        <v>26.878499999999999</v>
      </c>
      <c r="J2000" s="7"/>
      <c r="K2000" s="7" t="str">
        <f>VLOOKUP($E2000,Mapping!$E$11:$I$96,3,0)</f>
        <v>Replacement</v>
      </c>
      <c r="L2000" s="7" t="str">
        <f>VLOOKUP($G2000,Mapping!$E$140:$K$2771,5,0)</f>
        <v>Labour</v>
      </c>
      <c r="M2000" s="7" t="str">
        <f>VLOOKUP($G2000,Mapping!$E$140:$K$2771,7,0)</f>
        <v>ENDirect</v>
      </c>
      <c r="N2000" s="7" t="str">
        <f>IFERROR(HLOOKUP(L2000,'Calc|Weightings'!$K$5:$M$5,1,0),"Excl")</f>
        <v>Labour</v>
      </c>
      <c r="O2000" s="7" t="str">
        <f>VLOOKUP(E2000,Mapping!$E$11:$I$96,5,0)</f>
        <v>SCS</v>
      </c>
      <c r="Q2000" s="7"/>
      <c r="R2000" s="7"/>
      <c r="S2000" s="7"/>
      <c r="T2000" s="7"/>
      <c r="U2000" s="7"/>
      <c r="V2000" s="7"/>
      <c r="AC2000" s="7"/>
      <c r="AD2000" s="7"/>
      <c r="AE2000" s="7"/>
      <c r="AF2000" s="7"/>
      <c r="AG2000" s="7"/>
      <c r="AO2000" s="7"/>
      <c r="AP2000" s="7"/>
      <c r="AQ2000" s="7"/>
      <c r="AR2000" s="7"/>
      <c r="AS2000" s="7"/>
    </row>
    <row r="2001" spans="1:45" x14ac:dyDescent="0.2">
      <c r="A2001" s="7"/>
      <c r="B2001" s="7"/>
      <c r="C2001" s="7"/>
      <c r="D2001" s="7"/>
      <c r="E2001" s="36">
        <v>163</v>
      </c>
      <c r="F2001" s="36" t="s">
        <v>2173</v>
      </c>
      <c r="G2001" s="36">
        <v>613278</v>
      </c>
      <c r="H2001" s="36" t="s">
        <v>2357</v>
      </c>
      <c r="I2001" s="37">
        <v>7.1394900000000003</v>
      </c>
      <c r="J2001" s="7"/>
      <c r="K2001" s="7" t="str">
        <f>VLOOKUP($E2001,Mapping!$E$11:$I$96,3,0)</f>
        <v>Replacement</v>
      </c>
      <c r="L2001" s="7" t="str">
        <f>VLOOKUP($G2001,Mapping!$E$140:$K$2771,5,0)</f>
        <v>Labour</v>
      </c>
      <c r="M2001" s="7" t="str">
        <f>VLOOKUP($G2001,Mapping!$E$140:$K$2771,7,0)</f>
        <v>ENDirect</v>
      </c>
      <c r="N2001" s="7" t="str">
        <f>IFERROR(HLOOKUP(L2001,'Calc|Weightings'!$K$5:$M$5,1,0),"Excl")</f>
        <v>Labour</v>
      </c>
      <c r="O2001" s="7" t="str">
        <f>VLOOKUP(E2001,Mapping!$E$11:$I$96,5,0)</f>
        <v>SCS</v>
      </c>
      <c r="Q2001" s="7"/>
      <c r="R2001" s="7"/>
      <c r="S2001" s="7"/>
      <c r="T2001" s="7"/>
      <c r="U2001" s="7"/>
      <c r="V2001" s="7"/>
      <c r="AC2001" s="7"/>
      <c r="AD2001" s="7"/>
      <c r="AE2001" s="7"/>
      <c r="AF2001" s="7"/>
      <c r="AG2001" s="7"/>
      <c r="AO2001" s="7"/>
      <c r="AP2001" s="7"/>
      <c r="AQ2001" s="7"/>
      <c r="AR2001" s="7"/>
      <c r="AS2001" s="7"/>
    </row>
    <row r="2002" spans="1:45" x14ac:dyDescent="0.2">
      <c r="A2002" s="7"/>
      <c r="B2002" s="7"/>
      <c r="C2002" s="7"/>
      <c r="D2002" s="7"/>
      <c r="E2002" s="36">
        <v>163</v>
      </c>
      <c r="F2002" s="36" t="s">
        <v>2173</v>
      </c>
      <c r="G2002" s="36">
        <v>613280</v>
      </c>
      <c r="H2002" s="36" t="s">
        <v>1342</v>
      </c>
      <c r="I2002" s="37">
        <v>6.5882399999999999</v>
      </c>
      <c r="J2002" s="7"/>
      <c r="K2002" s="7" t="str">
        <f>VLOOKUP($E2002,Mapping!$E$11:$I$96,3,0)</f>
        <v>Replacement</v>
      </c>
      <c r="L2002" s="7" t="str">
        <f>VLOOKUP($G2002,Mapping!$E$140:$K$2771,5,0)</f>
        <v>Labour</v>
      </c>
      <c r="M2002" s="7" t="str">
        <f>VLOOKUP($G2002,Mapping!$E$140:$K$2771,7,0)</f>
        <v>ENDirect</v>
      </c>
      <c r="N2002" s="7" t="str">
        <f>IFERROR(HLOOKUP(L2002,'Calc|Weightings'!$K$5:$M$5,1,0),"Excl")</f>
        <v>Labour</v>
      </c>
      <c r="O2002" s="7" t="str">
        <f>VLOOKUP(E2002,Mapping!$E$11:$I$96,5,0)</f>
        <v>SCS</v>
      </c>
      <c r="Q2002" s="7"/>
      <c r="R2002" s="7"/>
      <c r="S2002" s="7"/>
      <c r="T2002" s="7"/>
      <c r="U2002" s="7"/>
      <c r="V2002" s="7"/>
      <c r="AC2002" s="7"/>
      <c r="AD2002" s="7"/>
      <c r="AE2002" s="7"/>
      <c r="AF2002" s="7"/>
      <c r="AG2002" s="7"/>
      <c r="AO2002" s="7"/>
      <c r="AP2002" s="7"/>
      <c r="AQ2002" s="7"/>
      <c r="AR2002" s="7"/>
      <c r="AS2002" s="7"/>
    </row>
    <row r="2003" spans="1:45" x14ac:dyDescent="0.2">
      <c r="A2003" s="7"/>
      <c r="B2003" s="7"/>
      <c r="C2003" s="7"/>
      <c r="D2003" s="7"/>
      <c r="E2003" s="36">
        <v>163</v>
      </c>
      <c r="F2003" s="36" t="s">
        <v>2173</v>
      </c>
      <c r="G2003" s="36">
        <v>613290</v>
      </c>
      <c r="H2003" s="36" t="s">
        <v>2093</v>
      </c>
      <c r="I2003" s="37">
        <v>21.418949999999999</v>
      </c>
      <c r="J2003" s="7"/>
      <c r="K2003" s="7" t="str">
        <f>VLOOKUP($E2003,Mapping!$E$11:$I$96,3,0)</f>
        <v>Replacement</v>
      </c>
      <c r="L2003" s="7" t="str">
        <f>VLOOKUP($G2003,Mapping!$E$140:$K$2771,5,0)</f>
        <v>Labour</v>
      </c>
      <c r="M2003" s="7" t="str">
        <f>VLOOKUP($G2003,Mapping!$E$140:$K$2771,7,0)</f>
        <v>ENDirect</v>
      </c>
      <c r="N2003" s="7" t="str">
        <f>IFERROR(HLOOKUP(L2003,'Calc|Weightings'!$K$5:$M$5,1,0),"Excl")</f>
        <v>Labour</v>
      </c>
      <c r="O2003" s="7" t="str">
        <f>VLOOKUP(E2003,Mapping!$E$11:$I$96,5,0)</f>
        <v>SCS</v>
      </c>
      <c r="Q2003" s="7"/>
      <c r="R2003" s="7"/>
      <c r="S2003" s="7"/>
      <c r="T2003" s="7"/>
      <c r="U2003" s="7"/>
      <c r="V2003" s="7"/>
      <c r="AC2003" s="7"/>
      <c r="AD2003" s="7"/>
      <c r="AE2003" s="7"/>
      <c r="AF2003" s="7"/>
      <c r="AG2003" s="7"/>
      <c r="AO2003" s="7"/>
      <c r="AP2003" s="7"/>
      <c r="AQ2003" s="7"/>
      <c r="AR2003" s="7"/>
      <c r="AS2003" s="7"/>
    </row>
    <row r="2004" spans="1:45" x14ac:dyDescent="0.2">
      <c r="A2004" s="7"/>
      <c r="B2004" s="7"/>
      <c r="C2004" s="7"/>
      <c r="D2004" s="7"/>
      <c r="E2004" s="36">
        <v>163</v>
      </c>
      <c r="F2004" s="36" t="s">
        <v>2173</v>
      </c>
      <c r="G2004" s="36">
        <v>613298</v>
      </c>
      <c r="H2004" s="36" t="s">
        <v>2122</v>
      </c>
      <c r="I2004" s="37">
        <v>9.8645300000000002</v>
      </c>
      <c r="J2004" s="7"/>
      <c r="K2004" s="7" t="str">
        <f>VLOOKUP($E2004,Mapping!$E$11:$I$96,3,0)</f>
        <v>Replacement</v>
      </c>
      <c r="L2004" s="7" t="str">
        <f>VLOOKUP($G2004,Mapping!$E$140:$K$2771,5,0)</f>
        <v>Labour</v>
      </c>
      <c r="M2004" s="7" t="str">
        <f>VLOOKUP($G2004,Mapping!$E$140:$K$2771,7,0)</f>
        <v>ENDirect</v>
      </c>
      <c r="N2004" s="7" t="str">
        <f>IFERROR(HLOOKUP(L2004,'Calc|Weightings'!$K$5:$M$5,1,0),"Excl")</f>
        <v>Labour</v>
      </c>
      <c r="O2004" s="7" t="str">
        <f>VLOOKUP(E2004,Mapping!$E$11:$I$96,5,0)</f>
        <v>SCS</v>
      </c>
      <c r="Q2004" s="7"/>
      <c r="R2004" s="7"/>
      <c r="S2004" s="7"/>
      <c r="T2004" s="7"/>
      <c r="U2004" s="7"/>
      <c r="V2004" s="7"/>
      <c r="AC2004" s="7"/>
      <c r="AD2004" s="7"/>
      <c r="AE2004" s="7"/>
      <c r="AF2004" s="7"/>
      <c r="AG2004" s="7"/>
      <c r="AO2004" s="7"/>
      <c r="AP2004" s="7"/>
      <c r="AQ2004" s="7"/>
      <c r="AR2004" s="7"/>
      <c r="AS2004" s="7"/>
    </row>
    <row r="2005" spans="1:45" x14ac:dyDescent="0.2">
      <c r="A2005" s="7"/>
      <c r="B2005" s="7"/>
      <c r="C2005" s="7"/>
      <c r="D2005" s="7"/>
      <c r="E2005" s="36">
        <v>163</v>
      </c>
      <c r="F2005" s="36" t="s">
        <v>2173</v>
      </c>
      <c r="G2005" s="36">
        <v>613310</v>
      </c>
      <c r="H2005" s="36" t="s">
        <v>2095</v>
      </c>
      <c r="I2005" s="37">
        <v>10.24164</v>
      </c>
      <c r="J2005" s="7"/>
      <c r="K2005" s="7" t="str">
        <f>VLOOKUP($E2005,Mapping!$E$11:$I$96,3,0)</f>
        <v>Replacement</v>
      </c>
      <c r="L2005" s="7" t="str">
        <f>VLOOKUP($G2005,Mapping!$E$140:$K$2771,5,0)</f>
        <v>Labour</v>
      </c>
      <c r="M2005" s="7" t="str">
        <f>VLOOKUP($G2005,Mapping!$E$140:$K$2771,7,0)</f>
        <v>ENDirect</v>
      </c>
      <c r="N2005" s="7" t="str">
        <f>IFERROR(HLOOKUP(L2005,'Calc|Weightings'!$K$5:$M$5,1,0),"Excl")</f>
        <v>Labour</v>
      </c>
      <c r="O2005" s="7" t="str">
        <f>VLOOKUP(E2005,Mapping!$E$11:$I$96,5,0)</f>
        <v>SCS</v>
      </c>
      <c r="Q2005" s="7"/>
      <c r="R2005" s="7"/>
      <c r="S2005" s="7"/>
      <c r="T2005" s="7"/>
      <c r="U2005" s="7"/>
      <c r="V2005" s="7"/>
      <c r="AC2005" s="7"/>
      <c r="AD2005" s="7"/>
      <c r="AE2005" s="7"/>
      <c r="AF2005" s="7"/>
      <c r="AG2005" s="7"/>
      <c r="AO2005" s="7"/>
      <c r="AP2005" s="7"/>
      <c r="AQ2005" s="7"/>
      <c r="AR2005" s="7"/>
      <c r="AS2005" s="7"/>
    </row>
    <row r="2006" spans="1:45" x14ac:dyDescent="0.2">
      <c r="A2006" s="7"/>
      <c r="B2006" s="7"/>
      <c r="C2006" s="7"/>
      <c r="D2006" s="7"/>
      <c r="E2006" s="36">
        <v>163</v>
      </c>
      <c r="F2006" s="36" t="s">
        <v>2173</v>
      </c>
      <c r="G2006" s="36">
        <v>613311</v>
      </c>
      <c r="H2006" s="36" t="s">
        <v>2116</v>
      </c>
      <c r="I2006" s="37">
        <v>1.3908400000000001</v>
      </c>
      <c r="J2006" s="7"/>
      <c r="K2006" s="7" t="str">
        <f>VLOOKUP($E2006,Mapping!$E$11:$I$96,3,0)</f>
        <v>Replacement</v>
      </c>
      <c r="L2006" s="7" t="str">
        <f>VLOOKUP($G2006,Mapping!$E$140:$K$2771,5,0)</f>
        <v>Labour</v>
      </c>
      <c r="M2006" s="7" t="str">
        <f>VLOOKUP($G2006,Mapping!$E$140:$K$2771,7,0)</f>
        <v>ENDirect</v>
      </c>
      <c r="N2006" s="7" t="str">
        <f>IFERROR(HLOOKUP(L2006,'Calc|Weightings'!$K$5:$M$5,1,0),"Excl")</f>
        <v>Labour</v>
      </c>
      <c r="O2006" s="7" t="str">
        <f>VLOOKUP(E2006,Mapping!$E$11:$I$96,5,0)</f>
        <v>SCS</v>
      </c>
      <c r="Q2006" s="7"/>
      <c r="R2006" s="7"/>
      <c r="S2006" s="7"/>
      <c r="T2006" s="7"/>
      <c r="U2006" s="7"/>
      <c r="V2006" s="7"/>
      <c r="AC2006" s="7"/>
      <c r="AD2006" s="7"/>
      <c r="AE2006" s="7"/>
      <c r="AF2006" s="7"/>
      <c r="AG2006" s="7"/>
      <c r="AO2006" s="7"/>
      <c r="AP2006" s="7"/>
      <c r="AQ2006" s="7"/>
      <c r="AR2006" s="7"/>
      <c r="AS2006" s="7"/>
    </row>
    <row r="2007" spans="1:45" x14ac:dyDescent="0.2">
      <c r="A2007" s="7"/>
      <c r="B2007" s="7"/>
      <c r="C2007" s="7"/>
      <c r="D2007" s="7"/>
      <c r="E2007" s="36">
        <v>163</v>
      </c>
      <c r="F2007" s="36" t="s">
        <v>2173</v>
      </c>
      <c r="G2007" s="36">
        <v>613318</v>
      </c>
      <c r="H2007" s="36" t="s">
        <v>1360</v>
      </c>
      <c r="I2007" s="37">
        <v>6.9794799999999997</v>
      </c>
      <c r="J2007" s="7"/>
      <c r="K2007" s="7" t="str">
        <f>VLOOKUP($E2007,Mapping!$E$11:$I$96,3,0)</f>
        <v>Replacement</v>
      </c>
      <c r="L2007" s="7" t="str">
        <f>VLOOKUP($G2007,Mapping!$E$140:$K$2771,5,0)</f>
        <v>Labour</v>
      </c>
      <c r="M2007" s="7" t="str">
        <f>VLOOKUP($G2007,Mapping!$E$140:$K$2771,7,0)</f>
        <v>ENDirect</v>
      </c>
      <c r="N2007" s="7" t="str">
        <f>IFERROR(HLOOKUP(L2007,'Calc|Weightings'!$K$5:$M$5,1,0),"Excl")</f>
        <v>Labour</v>
      </c>
      <c r="O2007" s="7" t="str">
        <f>VLOOKUP(E2007,Mapping!$E$11:$I$96,5,0)</f>
        <v>SCS</v>
      </c>
      <c r="Q2007" s="7"/>
      <c r="R2007" s="7"/>
      <c r="S2007" s="7"/>
      <c r="T2007" s="7"/>
      <c r="U2007" s="7"/>
      <c r="V2007" s="7"/>
      <c r="AC2007" s="7"/>
      <c r="AD2007" s="7"/>
      <c r="AE2007" s="7"/>
      <c r="AF2007" s="7"/>
      <c r="AG2007" s="7"/>
      <c r="AO2007" s="7"/>
      <c r="AP2007" s="7"/>
      <c r="AQ2007" s="7"/>
      <c r="AR2007" s="7"/>
      <c r="AS2007" s="7"/>
    </row>
    <row r="2008" spans="1:45" x14ac:dyDescent="0.2">
      <c r="A2008" s="7"/>
      <c r="B2008" s="7"/>
      <c r="C2008" s="7"/>
      <c r="D2008" s="7"/>
      <c r="E2008" s="36">
        <v>163</v>
      </c>
      <c r="F2008" s="36" t="s">
        <v>2173</v>
      </c>
      <c r="G2008" s="36">
        <v>613319</v>
      </c>
      <c r="H2008" s="36" t="s">
        <v>2358</v>
      </c>
      <c r="I2008" s="37">
        <v>1.2644</v>
      </c>
      <c r="J2008" s="7"/>
      <c r="K2008" s="7" t="str">
        <f>VLOOKUP($E2008,Mapping!$E$11:$I$96,3,0)</f>
        <v>Replacement</v>
      </c>
      <c r="L2008" s="7" t="str">
        <f>VLOOKUP($G2008,Mapping!$E$140:$K$2771,5,0)</f>
        <v>Labour</v>
      </c>
      <c r="M2008" s="7" t="str">
        <f>VLOOKUP($G2008,Mapping!$E$140:$K$2771,7,0)</f>
        <v>ENDirect</v>
      </c>
      <c r="N2008" s="7" t="str">
        <f>IFERROR(HLOOKUP(L2008,'Calc|Weightings'!$K$5:$M$5,1,0),"Excl")</f>
        <v>Labour</v>
      </c>
      <c r="O2008" s="7" t="str">
        <f>VLOOKUP(E2008,Mapping!$E$11:$I$96,5,0)</f>
        <v>SCS</v>
      </c>
      <c r="Q2008" s="7"/>
      <c r="R2008" s="7"/>
      <c r="S2008" s="7"/>
      <c r="T2008" s="7"/>
      <c r="U2008" s="7"/>
      <c r="V2008" s="7"/>
      <c r="AC2008" s="7"/>
      <c r="AD2008" s="7"/>
      <c r="AE2008" s="7"/>
      <c r="AF2008" s="7"/>
      <c r="AG2008" s="7"/>
      <c r="AO2008" s="7"/>
      <c r="AP2008" s="7"/>
      <c r="AQ2008" s="7"/>
      <c r="AR2008" s="7"/>
      <c r="AS2008" s="7"/>
    </row>
    <row r="2009" spans="1:45" x14ac:dyDescent="0.2">
      <c r="A2009" s="7"/>
      <c r="B2009" s="7"/>
      <c r="C2009" s="7"/>
      <c r="D2009" s="7"/>
      <c r="E2009" s="36">
        <v>163</v>
      </c>
      <c r="F2009" s="36" t="s">
        <v>2173</v>
      </c>
      <c r="G2009" s="36">
        <v>613350</v>
      </c>
      <c r="H2009" s="36" t="s">
        <v>2096</v>
      </c>
      <c r="I2009" s="37">
        <v>11.48086</v>
      </c>
      <c r="J2009" s="7"/>
      <c r="K2009" s="7" t="str">
        <f>VLOOKUP($E2009,Mapping!$E$11:$I$96,3,0)</f>
        <v>Replacement</v>
      </c>
      <c r="L2009" s="7" t="str">
        <f>VLOOKUP($G2009,Mapping!$E$140:$K$2771,5,0)</f>
        <v>Labour</v>
      </c>
      <c r="M2009" s="7" t="str">
        <f>VLOOKUP($G2009,Mapping!$E$140:$K$2771,7,0)</f>
        <v>ENDirect</v>
      </c>
      <c r="N2009" s="7" t="str">
        <f>IFERROR(HLOOKUP(L2009,'Calc|Weightings'!$K$5:$M$5,1,0),"Excl")</f>
        <v>Labour</v>
      </c>
      <c r="O2009" s="7" t="str">
        <f>VLOOKUP(E2009,Mapping!$E$11:$I$96,5,0)</f>
        <v>SCS</v>
      </c>
      <c r="Q2009" s="7"/>
      <c r="R2009" s="7"/>
      <c r="S2009" s="7"/>
      <c r="T2009" s="7"/>
      <c r="U2009" s="7"/>
      <c r="V2009" s="7"/>
      <c r="AC2009" s="7"/>
      <c r="AD2009" s="7"/>
      <c r="AE2009" s="7"/>
      <c r="AF2009" s="7"/>
      <c r="AG2009" s="7"/>
      <c r="AO2009" s="7"/>
      <c r="AP2009" s="7"/>
      <c r="AQ2009" s="7"/>
      <c r="AR2009" s="7"/>
      <c r="AS2009" s="7"/>
    </row>
    <row r="2010" spans="1:45" x14ac:dyDescent="0.2">
      <c r="A2010" s="7"/>
      <c r="B2010" s="7"/>
      <c r="C2010" s="7"/>
      <c r="D2010" s="7"/>
      <c r="E2010" s="36">
        <v>163</v>
      </c>
      <c r="F2010" s="36" t="s">
        <v>2173</v>
      </c>
      <c r="G2010" s="36">
        <v>613360</v>
      </c>
      <c r="H2010" s="36" t="s">
        <v>2097</v>
      </c>
      <c r="I2010" s="37">
        <v>6.02773</v>
      </c>
      <c r="J2010" s="7"/>
      <c r="K2010" s="7" t="str">
        <f>VLOOKUP($E2010,Mapping!$E$11:$I$96,3,0)</f>
        <v>Replacement</v>
      </c>
      <c r="L2010" s="7" t="str">
        <f>VLOOKUP($G2010,Mapping!$E$140:$K$2771,5,0)</f>
        <v>Labour</v>
      </c>
      <c r="M2010" s="7" t="str">
        <f>VLOOKUP($G2010,Mapping!$E$140:$K$2771,7,0)</f>
        <v>ENDirect</v>
      </c>
      <c r="N2010" s="7" t="str">
        <f>IFERROR(HLOOKUP(L2010,'Calc|Weightings'!$K$5:$M$5,1,0),"Excl")</f>
        <v>Labour</v>
      </c>
      <c r="O2010" s="7" t="str">
        <f>VLOOKUP(E2010,Mapping!$E$11:$I$96,5,0)</f>
        <v>SCS</v>
      </c>
      <c r="Q2010" s="7"/>
      <c r="R2010" s="7"/>
      <c r="S2010" s="7"/>
      <c r="T2010" s="7"/>
      <c r="U2010" s="7"/>
      <c r="V2010" s="7"/>
      <c r="AC2010" s="7"/>
      <c r="AD2010" s="7"/>
      <c r="AE2010" s="7"/>
      <c r="AF2010" s="7"/>
      <c r="AG2010" s="7"/>
      <c r="AO2010" s="7"/>
      <c r="AP2010" s="7"/>
      <c r="AQ2010" s="7"/>
      <c r="AR2010" s="7"/>
      <c r="AS2010" s="7"/>
    </row>
    <row r="2011" spans="1:45" x14ac:dyDescent="0.2">
      <c r="A2011" s="7"/>
      <c r="B2011" s="7"/>
      <c r="C2011" s="7"/>
      <c r="D2011" s="7"/>
      <c r="E2011" s="36">
        <v>163</v>
      </c>
      <c r="F2011" s="36" t="s">
        <v>2173</v>
      </c>
      <c r="G2011" s="36">
        <v>613370</v>
      </c>
      <c r="H2011" s="36" t="s">
        <v>1402</v>
      </c>
      <c r="I2011" s="37">
        <v>0.91080000000000005</v>
      </c>
      <c r="J2011" s="7"/>
      <c r="K2011" s="7" t="str">
        <f>VLOOKUP($E2011,Mapping!$E$11:$I$96,3,0)</f>
        <v>Replacement</v>
      </c>
      <c r="L2011" s="7" t="str">
        <f>VLOOKUP($G2011,Mapping!$E$140:$K$2771,5,0)</f>
        <v>Labour</v>
      </c>
      <c r="M2011" s="7" t="str">
        <f>VLOOKUP($G2011,Mapping!$E$140:$K$2771,7,0)</f>
        <v>ENDirect</v>
      </c>
      <c r="N2011" s="7" t="str">
        <f>IFERROR(HLOOKUP(L2011,'Calc|Weightings'!$K$5:$M$5,1,0),"Excl")</f>
        <v>Labour</v>
      </c>
      <c r="O2011" s="7" t="str">
        <f>VLOOKUP(E2011,Mapping!$E$11:$I$96,5,0)</f>
        <v>SCS</v>
      </c>
      <c r="Q2011" s="7"/>
      <c r="R2011" s="7"/>
      <c r="S2011" s="7"/>
      <c r="T2011" s="7"/>
      <c r="U2011" s="7"/>
      <c r="V2011" s="7"/>
      <c r="AC2011" s="7"/>
      <c r="AD2011" s="7"/>
      <c r="AE2011" s="7"/>
      <c r="AF2011" s="7"/>
      <c r="AG2011" s="7"/>
      <c r="AO2011" s="7"/>
      <c r="AP2011" s="7"/>
      <c r="AQ2011" s="7"/>
      <c r="AR2011" s="7"/>
      <c r="AS2011" s="7"/>
    </row>
    <row r="2012" spans="1:45" x14ac:dyDescent="0.2">
      <c r="A2012" s="7"/>
      <c r="B2012" s="7"/>
      <c r="C2012" s="7"/>
      <c r="D2012" s="7"/>
      <c r="E2012" s="36">
        <v>163</v>
      </c>
      <c r="F2012" s="36" t="s">
        <v>2173</v>
      </c>
      <c r="G2012" s="36">
        <v>613408</v>
      </c>
      <c r="H2012" s="36" t="s">
        <v>1418</v>
      </c>
      <c r="I2012" s="37">
        <v>0.97</v>
      </c>
      <c r="J2012" s="7"/>
      <c r="K2012" s="7" t="str">
        <f>VLOOKUP($E2012,Mapping!$E$11:$I$96,3,0)</f>
        <v>Replacement</v>
      </c>
      <c r="L2012" s="7" t="str">
        <f>VLOOKUP($G2012,Mapping!$E$140:$K$2771,5,0)</f>
        <v>Labour</v>
      </c>
      <c r="M2012" s="7" t="str">
        <f>VLOOKUP($G2012,Mapping!$E$140:$K$2771,7,0)</f>
        <v>ENDirect</v>
      </c>
      <c r="N2012" s="7" t="str">
        <f>IFERROR(HLOOKUP(L2012,'Calc|Weightings'!$K$5:$M$5,1,0),"Excl")</f>
        <v>Labour</v>
      </c>
      <c r="O2012" s="7" t="str">
        <f>VLOOKUP(E2012,Mapping!$E$11:$I$96,5,0)</f>
        <v>SCS</v>
      </c>
      <c r="Q2012" s="7"/>
      <c r="R2012" s="7"/>
      <c r="S2012" s="7"/>
      <c r="T2012" s="7"/>
      <c r="U2012" s="7"/>
      <c r="V2012" s="7"/>
      <c r="AC2012" s="7"/>
      <c r="AD2012" s="7"/>
      <c r="AE2012" s="7"/>
      <c r="AF2012" s="7"/>
      <c r="AG2012" s="7"/>
      <c r="AO2012" s="7"/>
      <c r="AP2012" s="7"/>
      <c r="AQ2012" s="7"/>
      <c r="AR2012" s="7"/>
      <c r="AS2012" s="7"/>
    </row>
    <row r="2013" spans="1:45" x14ac:dyDescent="0.2">
      <c r="A2013" s="7"/>
      <c r="B2013" s="7"/>
      <c r="C2013" s="7"/>
      <c r="D2013" s="7"/>
      <c r="E2013" s="36">
        <v>163</v>
      </c>
      <c r="F2013" s="36" t="s">
        <v>2173</v>
      </c>
      <c r="G2013" s="36">
        <v>613409</v>
      </c>
      <c r="H2013" s="36" t="s">
        <v>1419</v>
      </c>
      <c r="I2013" s="37">
        <v>-0.36652000000000001</v>
      </c>
      <c r="J2013" s="7"/>
      <c r="K2013" s="7" t="str">
        <f>VLOOKUP($E2013,Mapping!$E$11:$I$96,3,0)</f>
        <v>Replacement</v>
      </c>
      <c r="L2013" s="7" t="str">
        <f>VLOOKUP($G2013,Mapping!$E$140:$K$2771,5,0)</f>
        <v>Labour</v>
      </c>
      <c r="M2013" s="7" t="str">
        <f>VLOOKUP($G2013,Mapping!$E$140:$K$2771,7,0)</f>
        <v>ENDirect</v>
      </c>
      <c r="N2013" s="7" t="str">
        <f>IFERROR(HLOOKUP(L2013,'Calc|Weightings'!$K$5:$M$5,1,0),"Excl")</f>
        <v>Labour</v>
      </c>
      <c r="O2013" s="7" t="str">
        <f>VLOOKUP(E2013,Mapping!$E$11:$I$96,5,0)</f>
        <v>SCS</v>
      </c>
      <c r="Q2013" s="7"/>
      <c r="R2013" s="7"/>
      <c r="S2013" s="7"/>
      <c r="T2013" s="7"/>
      <c r="U2013" s="7"/>
      <c r="V2013" s="7"/>
      <c r="AC2013" s="7"/>
      <c r="AD2013" s="7"/>
      <c r="AE2013" s="7"/>
      <c r="AF2013" s="7"/>
      <c r="AG2013" s="7"/>
      <c r="AO2013" s="7"/>
      <c r="AP2013" s="7"/>
      <c r="AQ2013" s="7"/>
      <c r="AR2013" s="7"/>
      <c r="AS2013" s="7"/>
    </row>
    <row r="2014" spans="1:45" x14ac:dyDescent="0.2">
      <c r="A2014" s="7"/>
      <c r="B2014" s="7"/>
      <c r="C2014" s="7"/>
      <c r="D2014" s="7"/>
      <c r="E2014" s="36">
        <v>163</v>
      </c>
      <c r="F2014" s="36" t="s">
        <v>2173</v>
      </c>
      <c r="G2014" s="36">
        <v>613418</v>
      </c>
      <c r="H2014" s="36" t="s">
        <v>1424</v>
      </c>
      <c r="I2014" s="37">
        <v>3.6972</v>
      </c>
      <c r="J2014" s="7"/>
      <c r="K2014" s="7" t="str">
        <f>VLOOKUP($E2014,Mapping!$E$11:$I$96,3,0)</f>
        <v>Replacement</v>
      </c>
      <c r="L2014" s="7" t="str">
        <f>VLOOKUP($G2014,Mapping!$E$140:$K$2771,5,0)</f>
        <v>Labour</v>
      </c>
      <c r="M2014" s="7" t="str">
        <f>VLOOKUP($G2014,Mapping!$E$140:$K$2771,7,0)</f>
        <v>ENDirect</v>
      </c>
      <c r="N2014" s="7" t="str">
        <f>IFERROR(HLOOKUP(L2014,'Calc|Weightings'!$K$5:$M$5,1,0),"Excl")</f>
        <v>Labour</v>
      </c>
      <c r="O2014" s="7" t="str">
        <f>VLOOKUP(E2014,Mapping!$E$11:$I$96,5,0)</f>
        <v>SCS</v>
      </c>
      <c r="Q2014" s="7"/>
      <c r="R2014" s="7"/>
      <c r="S2014" s="7"/>
      <c r="T2014" s="7"/>
      <c r="U2014" s="7"/>
      <c r="V2014" s="7"/>
      <c r="AC2014" s="7"/>
      <c r="AD2014" s="7"/>
      <c r="AE2014" s="7"/>
      <c r="AF2014" s="7"/>
      <c r="AG2014" s="7"/>
      <c r="AO2014" s="7"/>
      <c r="AP2014" s="7"/>
      <c r="AQ2014" s="7"/>
      <c r="AR2014" s="7"/>
      <c r="AS2014" s="7"/>
    </row>
    <row r="2015" spans="1:45" x14ac:dyDescent="0.2">
      <c r="A2015" s="7"/>
      <c r="B2015" s="7"/>
      <c r="C2015" s="7"/>
      <c r="D2015" s="7"/>
      <c r="E2015" s="36">
        <v>163</v>
      </c>
      <c r="F2015" s="36" t="s">
        <v>2173</v>
      </c>
      <c r="G2015" s="36">
        <v>613419</v>
      </c>
      <c r="H2015" s="36" t="s">
        <v>1425</v>
      </c>
      <c r="I2015" s="37">
        <v>-0.21123</v>
      </c>
      <c r="J2015" s="7"/>
      <c r="K2015" s="7" t="str">
        <f>VLOOKUP($E2015,Mapping!$E$11:$I$96,3,0)</f>
        <v>Replacement</v>
      </c>
      <c r="L2015" s="7" t="str">
        <f>VLOOKUP($G2015,Mapping!$E$140:$K$2771,5,0)</f>
        <v>Labour</v>
      </c>
      <c r="M2015" s="7" t="str">
        <f>VLOOKUP($G2015,Mapping!$E$140:$K$2771,7,0)</f>
        <v>ENDirect</v>
      </c>
      <c r="N2015" s="7" t="str">
        <f>IFERROR(HLOOKUP(L2015,'Calc|Weightings'!$K$5:$M$5,1,0),"Excl")</f>
        <v>Labour</v>
      </c>
      <c r="O2015" s="7" t="str">
        <f>VLOOKUP(E2015,Mapping!$E$11:$I$96,5,0)</f>
        <v>SCS</v>
      </c>
      <c r="Q2015" s="7"/>
      <c r="R2015" s="7"/>
      <c r="S2015" s="7"/>
      <c r="T2015" s="7"/>
      <c r="U2015" s="7"/>
      <c r="V2015" s="7"/>
      <c r="AC2015" s="7"/>
      <c r="AD2015" s="7"/>
      <c r="AE2015" s="7"/>
      <c r="AF2015" s="7"/>
      <c r="AG2015" s="7"/>
      <c r="AO2015" s="7"/>
      <c r="AP2015" s="7"/>
      <c r="AQ2015" s="7"/>
      <c r="AR2015" s="7"/>
      <c r="AS2015" s="7"/>
    </row>
    <row r="2016" spans="1:45" x14ac:dyDescent="0.2">
      <c r="A2016" s="7"/>
      <c r="B2016" s="7"/>
      <c r="C2016" s="7"/>
      <c r="D2016" s="7"/>
      <c r="E2016" s="36">
        <v>163</v>
      </c>
      <c r="F2016" s="36" t="s">
        <v>2173</v>
      </c>
      <c r="G2016" s="36">
        <v>613428</v>
      </c>
      <c r="H2016" s="36" t="s">
        <v>1430</v>
      </c>
      <c r="I2016" s="37">
        <v>1.51728</v>
      </c>
      <c r="J2016" s="7"/>
      <c r="K2016" s="7" t="str">
        <f>VLOOKUP($E2016,Mapping!$E$11:$I$96,3,0)</f>
        <v>Replacement</v>
      </c>
      <c r="L2016" s="7" t="str">
        <f>VLOOKUP($G2016,Mapping!$E$140:$K$2771,5,0)</f>
        <v>Labour</v>
      </c>
      <c r="M2016" s="7" t="str">
        <f>VLOOKUP($G2016,Mapping!$E$140:$K$2771,7,0)</f>
        <v>ENDirect</v>
      </c>
      <c r="N2016" s="7" t="str">
        <f>IFERROR(HLOOKUP(L2016,'Calc|Weightings'!$K$5:$M$5,1,0),"Excl")</f>
        <v>Labour</v>
      </c>
      <c r="O2016" s="7" t="str">
        <f>VLOOKUP(E2016,Mapping!$E$11:$I$96,5,0)</f>
        <v>SCS</v>
      </c>
      <c r="Q2016" s="7"/>
      <c r="R2016" s="7"/>
      <c r="S2016" s="7"/>
      <c r="T2016" s="7"/>
      <c r="U2016" s="7"/>
      <c r="V2016" s="7"/>
      <c r="AC2016" s="7"/>
      <c r="AD2016" s="7"/>
      <c r="AE2016" s="7"/>
      <c r="AF2016" s="7"/>
      <c r="AG2016" s="7"/>
      <c r="AO2016" s="7"/>
      <c r="AP2016" s="7"/>
      <c r="AQ2016" s="7"/>
      <c r="AR2016" s="7"/>
      <c r="AS2016" s="7"/>
    </row>
    <row r="2017" spans="1:45" x14ac:dyDescent="0.2">
      <c r="A2017" s="7"/>
      <c r="B2017" s="7"/>
      <c r="C2017" s="7"/>
      <c r="D2017" s="7"/>
      <c r="E2017" s="36">
        <v>163</v>
      </c>
      <c r="F2017" s="36" t="s">
        <v>2173</v>
      </c>
      <c r="G2017" s="36">
        <v>613429</v>
      </c>
      <c r="H2017" s="36" t="s">
        <v>1431</v>
      </c>
      <c r="I2017" s="37">
        <v>0.82186000000000003</v>
      </c>
      <c r="J2017" s="7"/>
      <c r="K2017" s="7" t="str">
        <f>VLOOKUP($E2017,Mapping!$E$11:$I$96,3,0)</f>
        <v>Replacement</v>
      </c>
      <c r="L2017" s="7" t="str">
        <f>VLOOKUP($G2017,Mapping!$E$140:$K$2771,5,0)</f>
        <v>Labour</v>
      </c>
      <c r="M2017" s="7" t="str">
        <f>VLOOKUP($G2017,Mapping!$E$140:$K$2771,7,0)</f>
        <v>ENDirect</v>
      </c>
      <c r="N2017" s="7" t="str">
        <f>IFERROR(HLOOKUP(L2017,'Calc|Weightings'!$K$5:$M$5,1,0),"Excl")</f>
        <v>Labour</v>
      </c>
      <c r="O2017" s="7" t="str">
        <f>VLOOKUP(E2017,Mapping!$E$11:$I$96,5,0)</f>
        <v>SCS</v>
      </c>
      <c r="Q2017" s="7"/>
      <c r="R2017" s="7"/>
      <c r="S2017" s="7"/>
      <c r="T2017" s="7"/>
      <c r="U2017" s="7"/>
      <c r="V2017" s="7"/>
      <c r="AC2017" s="7"/>
      <c r="AD2017" s="7"/>
      <c r="AE2017" s="7"/>
      <c r="AF2017" s="7"/>
      <c r="AG2017" s="7"/>
      <c r="AO2017" s="7"/>
      <c r="AP2017" s="7"/>
      <c r="AQ2017" s="7"/>
      <c r="AR2017" s="7"/>
      <c r="AS2017" s="7"/>
    </row>
    <row r="2018" spans="1:45" x14ac:dyDescent="0.2">
      <c r="A2018" s="7"/>
      <c r="B2018" s="7"/>
      <c r="C2018" s="7"/>
      <c r="D2018" s="7"/>
      <c r="E2018" s="36">
        <v>163</v>
      </c>
      <c r="F2018" s="36" t="s">
        <v>2173</v>
      </c>
      <c r="G2018" s="36">
        <v>613630</v>
      </c>
      <c r="H2018" s="36" t="s">
        <v>1498</v>
      </c>
      <c r="I2018" s="37">
        <v>0.44384000000000001</v>
      </c>
      <c r="J2018" s="7"/>
      <c r="K2018" s="7" t="str">
        <f>VLOOKUP($E2018,Mapping!$E$11:$I$96,3,0)</f>
        <v>Replacement</v>
      </c>
      <c r="L2018" s="7" t="str">
        <f>VLOOKUP($G2018,Mapping!$E$140:$K$2771,5,0)</f>
        <v>Labour</v>
      </c>
      <c r="M2018" s="7" t="str">
        <f>VLOOKUP($G2018,Mapping!$E$140:$K$2771,7,0)</f>
        <v>ENDirect</v>
      </c>
      <c r="N2018" s="7" t="str">
        <f>IFERROR(HLOOKUP(L2018,'Calc|Weightings'!$K$5:$M$5,1,0),"Excl")</f>
        <v>Labour</v>
      </c>
      <c r="O2018" s="7" t="str">
        <f>VLOOKUP(E2018,Mapping!$E$11:$I$96,5,0)</f>
        <v>SCS</v>
      </c>
      <c r="Q2018" s="7"/>
      <c r="R2018" s="7"/>
      <c r="S2018" s="7"/>
      <c r="T2018" s="7"/>
      <c r="U2018" s="7"/>
      <c r="V2018" s="7"/>
      <c r="AC2018" s="7"/>
      <c r="AD2018" s="7"/>
      <c r="AE2018" s="7"/>
      <c r="AF2018" s="7"/>
      <c r="AG2018" s="7"/>
      <c r="AO2018" s="7"/>
      <c r="AP2018" s="7"/>
      <c r="AQ2018" s="7"/>
      <c r="AR2018" s="7"/>
      <c r="AS2018" s="7"/>
    </row>
    <row r="2019" spans="1:45" x14ac:dyDescent="0.2">
      <c r="A2019" s="7"/>
      <c r="B2019" s="7"/>
      <c r="C2019" s="7"/>
      <c r="D2019" s="7"/>
      <c r="E2019" s="36">
        <v>163</v>
      </c>
      <c r="F2019" s="36" t="s">
        <v>2173</v>
      </c>
      <c r="G2019" s="36">
        <v>613680</v>
      </c>
      <c r="H2019" s="36" t="s">
        <v>2107</v>
      </c>
      <c r="I2019" s="37">
        <v>4.2174899999999997</v>
      </c>
      <c r="J2019" s="7"/>
      <c r="K2019" s="7" t="str">
        <f>VLOOKUP($E2019,Mapping!$E$11:$I$96,3,0)</f>
        <v>Replacement</v>
      </c>
      <c r="L2019" s="7" t="str">
        <f>VLOOKUP($G2019,Mapping!$E$140:$K$2771,5,0)</f>
        <v>Labour</v>
      </c>
      <c r="M2019" s="7" t="str">
        <f>VLOOKUP($G2019,Mapping!$E$140:$K$2771,7,0)</f>
        <v>ENDirect</v>
      </c>
      <c r="N2019" s="7" t="str">
        <f>IFERROR(HLOOKUP(L2019,'Calc|Weightings'!$K$5:$M$5,1,0),"Excl")</f>
        <v>Labour</v>
      </c>
      <c r="O2019" s="7" t="str">
        <f>VLOOKUP(E2019,Mapping!$E$11:$I$96,5,0)</f>
        <v>SCS</v>
      </c>
      <c r="Q2019" s="7"/>
      <c r="R2019" s="7"/>
      <c r="S2019" s="7"/>
      <c r="T2019" s="7"/>
      <c r="U2019" s="7"/>
      <c r="V2019" s="7"/>
      <c r="AC2019" s="7"/>
      <c r="AD2019" s="7"/>
      <c r="AE2019" s="7"/>
      <c r="AF2019" s="7"/>
      <c r="AG2019" s="7"/>
      <c r="AO2019" s="7"/>
      <c r="AP2019" s="7"/>
      <c r="AQ2019" s="7"/>
      <c r="AR2019" s="7"/>
      <c r="AS2019" s="7"/>
    </row>
    <row r="2020" spans="1:45" x14ac:dyDescent="0.2">
      <c r="A2020" s="7"/>
      <c r="B2020" s="7"/>
      <c r="C2020" s="7"/>
      <c r="D2020" s="7"/>
      <c r="E2020" s="36">
        <v>163</v>
      </c>
      <c r="F2020" s="36" t="s">
        <v>2173</v>
      </c>
      <c r="G2020" s="36">
        <v>615375</v>
      </c>
      <c r="H2020" s="36" t="s">
        <v>1717</v>
      </c>
      <c r="I2020" s="37">
        <v>1.08</v>
      </c>
      <c r="J2020" s="7"/>
      <c r="K2020" s="7" t="str">
        <f>VLOOKUP($E2020,Mapping!$E$11:$I$96,3,0)</f>
        <v>Replacement</v>
      </c>
      <c r="L2020" s="7" t="str">
        <f>VLOOKUP($G2020,Mapping!$E$140:$K$2771,5,0)</f>
        <v>Labour</v>
      </c>
      <c r="M2020" s="7" t="str">
        <f>VLOOKUP($G2020,Mapping!$E$140:$K$2771,7,0)</f>
        <v>ENDirect</v>
      </c>
      <c r="N2020" s="7" t="str">
        <f>IFERROR(HLOOKUP(L2020,'Calc|Weightings'!$K$5:$M$5,1,0),"Excl")</f>
        <v>Labour</v>
      </c>
      <c r="O2020" s="7" t="str">
        <f>VLOOKUP(E2020,Mapping!$E$11:$I$96,5,0)</f>
        <v>SCS</v>
      </c>
      <c r="Q2020" s="7"/>
      <c r="R2020" s="7"/>
      <c r="S2020" s="7"/>
      <c r="T2020" s="7"/>
      <c r="U2020" s="7"/>
      <c r="V2020" s="7"/>
      <c r="AC2020" s="7"/>
      <c r="AD2020" s="7"/>
      <c r="AE2020" s="7"/>
      <c r="AF2020" s="7"/>
      <c r="AG2020" s="7"/>
      <c r="AO2020" s="7"/>
      <c r="AP2020" s="7"/>
      <c r="AQ2020" s="7"/>
      <c r="AR2020" s="7"/>
      <c r="AS2020" s="7"/>
    </row>
    <row r="2021" spans="1:45" x14ac:dyDescent="0.2">
      <c r="A2021" s="7"/>
      <c r="B2021" s="7"/>
      <c r="C2021" s="7"/>
      <c r="D2021" s="7"/>
      <c r="E2021" s="36">
        <v>163</v>
      </c>
      <c r="F2021" s="36" t="s">
        <v>2173</v>
      </c>
      <c r="G2021" s="36">
        <v>633000</v>
      </c>
      <c r="H2021" s="36" t="s">
        <v>2202</v>
      </c>
      <c r="I2021" s="37">
        <v>121.72824</v>
      </c>
      <c r="J2021" s="7"/>
      <c r="K2021" s="7" t="str">
        <f>VLOOKUP($E2021,Mapping!$E$11:$I$96,3,0)</f>
        <v>Replacement</v>
      </c>
      <c r="L2021" s="7" t="str">
        <f>VLOOKUP($G2021,Mapping!$E$140:$K$2771,5,0)</f>
        <v>Contracts</v>
      </c>
      <c r="M2021" s="7" t="str">
        <f>VLOOKUP($G2021,Mapping!$E$140:$K$2771,7,0)</f>
        <v>OH</v>
      </c>
      <c r="N2021" s="7" t="str">
        <f>IFERROR(HLOOKUP(L2021,'Calc|Weightings'!$K$5:$M$5,1,0),"Excl")</f>
        <v>Contracts</v>
      </c>
      <c r="O2021" s="7" t="str">
        <f>VLOOKUP(E2021,Mapping!$E$11:$I$96,5,0)</f>
        <v>SCS</v>
      </c>
      <c r="Q2021" s="7"/>
      <c r="R2021" s="7"/>
      <c r="S2021" s="7"/>
      <c r="T2021" s="7"/>
      <c r="U2021" s="7"/>
      <c r="V2021" s="7"/>
      <c r="AC2021" s="7"/>
      <c r="AD2021" s="7"/>
      <c r="AE2021" s="7"/>
      <c r="AF2021" s="7"/>
      <c r="AG2021" s="7"/>
      <c r="AO2021" s="7"/>
      <c r="AP2021" s="7"/>
      <c r="AQ2021" s="7"/>
      <c r="AR2021" s="7"/>
      <c r="AS2021" s="7"/>
    </row>
    <row r="2022" spans="1:45" x14ac:dyDescent="0.2">
      <c r="A2022" s="7"/>
      <c r="B2022" s="7"/>
      <c r="C2022" s="7"/>
      <c r="D2022" s="7"/>
      <c r="E2022" s="36">
        <v>163</v>
      </c>
      <c r="F2022" s="36" t="s">
        <v>2173</v>
      </c>
      <c r="G2022" s="36">
        <v>634001</v>
      </c>
      <c r="H2022" s="36" t="s">
        <v>2110</v>
      </c>
      <c r="I2022" s="37">
        <v>52.855840000000001</v>
      </c>
      <c r="J2022" s="7"/>
      <c r="K2022" s="7" t="str">
        <f>VLOOKUP($E2022,Mapping!$E$11:$I$96,3,0)</f>
        <v>Replacement</v>
      </c>
      <c r="L2022" s="7" t="str">
        <f>VLOOKUP($G2022,Mapping!$E$140:$K$2771,5,0)</f>
        <v>Local OH</v>
      </c>
      <c r="M2022" s="7" t="str">
        <f>VLOOKUP($G2022,Mapping!$E$140:$K$2771,7,0)</f>
        <v>OH</v>
      </c>
      <c r="N2022" s="7" t="str">
        <f>IFERROR(HLOOKUP(L2022,'Calc|Weightings'!$K$5:$M$5,1,0),"Excl")</f>
        <v>Excl</v>
      </c>
      <c r="O2022" s="7" t="str">
        <f>VLOOKUP(E2022,Mapping!$E$11:$I$96,5,0)</f>
        <v>SCS</v>
      </c>
      <c r="Q2022" s="7"/>
      <c r="R2022" s="7"/>
      <c r="S2022" s="7"/>
      <c r="T2022" s="7"/>
      <c r="U2022" s="7"/>
      <c r="V2022" s="7"/>
      <c r="AC2022" s="7"/>
      <c r="AD2022" s="7"/>
      <c r="AE2022" s="7"/>
      <c r="AF2022" s="7"/>
      <c r="AG2022" s="7"/>
      <c r="AO2022" s="7"/>
      <c r="AP2022" s="7"/>
      <c r="AQ2022" s="7"/>
      <c r="AR2022" s="7"/>
      <c r="AS2022" s="7"/>
    </row>
    <row r="2023" spans="1:45" x14ac:dyDescent="0.2">
      <c r="A2023" s="7"/>
      <c r="B2023" s="7"/>
      <c r="C2023" s="7"/>
      <c r="D2023" s="7"/>
      <c r="E2023" s="36">
        <v>163</v>
      </c>
      <c r="F2023" s="36" t="s">
        <v>2173</v>
      </c>
      <c r="G2023" s="36">
        <v>635001</v>
      </c>
      <c r="H2023" s="36" t="s">
        <v>1929</v>
      </c>
      <c r="I2023" s="37">
        <v>32.175640000000001</v>
      </c>
      <c r="J2023" s="7"/>
      <c r="K2023" s="7" t="str">
        <f>VLOOKUP($E2023,Mapping!$E$11:$I$96,3,0)</f>
        <v>Replacement</v>
      </c>
      <c r="L2023" s="7" t="str">
        <f>VLOOKUP($G2023,Mapping!$E$140:$K$2771,5,0)</f>
        <v>PNS MG</v>
      </c>
      <c r="M2023" s="7" t="str">
        <f>VLOOKUP($G2023,Mapping!$E$140:$K$2771,7,0)</f>
        <v>ENDirect</v>
      </c>
      <c r="N2023" s="7" t="str">
        <f>IFERROR(HLOOKUP(L2023,'Calc|Weightings'!$K$5:$M$5,1,0),"Excl")</f>
        <v>Excl</v>
      </c>
      <c r="O2023" s="7" t="str">
        <f>VLOOKUP(E2023,Mapping!$E$11:$I$96,5,0)</f>
        <v>SCS</v>
      </c>
      <c r="Q2023" s="7"/>
      <c r="R2023" s="7"/>
      <c r="S2023" s="7"/>
      <c r="T2023" s="7"/>
      <c r="U2023" s="7"/>
      <c r="V2023" s="7"/>
      <c r="AC2023" s="7"/>
      <c r="AD2023" s="7"/>
      <c r="AE2023" s="7"/>
      <c r="AF2023" s="7"/>
      <c r="AG2023" s="7"/>
      <c r="AO2023" s="7"/>
      <c r="AP2023" s="7"/>
      <c r="AQ2023" s="7"/>
      <c r="AR2023" s="7"/>
      <c r="AS2023" s="7"/>
    </row>
    <row r="2024" spans="1:45" x14ac:dyDescent="0.2">
      <c r="A2024" s="7"/>
      <c r="B2024" s="7"/>
      <c r="C2024" s="7"/>
      <c r="D2024" s="7"/>
      <c r="E2024" s="36">
        <v>163</v>
      </c>
      <c r="F2024" s="36" t="s">
        <v>2173</v>
      </c>
      <c r="G2024" s="36">
        <v>636001</v>
      </c>
      <c r="H2024" s="36" t="s">
        <v>2111</v>
      </c>
      <c r="I2024" s="37">
        <v>15.95003</v>
      </c>
      <c r="J2024" s="7"/>
      <c r="K2024" s="7" t="str">
        <f>VLOOKUP($E2024,Mapping!$E$11:$I$96,3,0)</f>
        <v>Replacement</v>
      </c>
      <c r="L2024" s="7" t="str">
        <f>VLOOKUP($G2024,Mapping!$E$140:$K$2771,5,0)</f>
        <v>System Control OH</v>
      </c>
      <c r="M2024" s="7" t="str">
        <f>VLOOKUP($G2024,Mapping!$E$140:$K$2771,7,0)</f>
        <v>OH</v>
      </c>
      <c r="N2024" s="7" t="str">
        <f>IFERROR(HLOOKUP(L2024,'Calc|Weightings'!$K$5:$M$5,1,0),"Excl")</f>
        <v>Excl</v>
      </c>
      <c r="O2024" s="7" t="str">
        <f>VLOOKUP(E2024,Mapping!$E$11:$I$96,5,0)</f>
        <v>SCS</v>
      </c>
      <c r="Q2024" s="7"/>
      <c r="R2024" s="7"/>
      <c r="S2024" s="7"/>
      <c r="T2024" s="7"/>
      <c r="U2024" s="7"/>
      <c r="V2024" s="7"/>
      <c r="AC2024" s="7"/>
      <c r="AD2024" s="7"/>
      <c r="AE2024" s="7"/>
      <c r="AF2024" s="7"/>
      <c r="AG2024" s="7"/>
      <c r="AO2024" s="7"/>
      <c r="AP2024" s="7"/>
      <c r="AQ2024" s="7"/>
      <c r="AR2024" s="7"/>
      <c r="AS2024" s="7"/>
    </row>
    <row r="2025" spans="1:45" x14ac:dyDescent="0.2">
      <c r="A2025" s="7"/>
      <c r="B2025" s="7"/>
      <c r="C2025" s="7"/>
      <c r="D2025" s="7"/>
      <c r="E2025" s="36">
        <v>163</v>
      </c>
      <c r="F2025" s="36" t="s">
        <v>2173</v>
      </c>
      <c r="G2025" s="36">
        <v>639000</v>
      </c>
      <c r="H2025" s="36" t="s">
        <v>2112</v>
      </c>
      <c r="I2025" s="37">
        <v>34.084449999999997</v>
      </c>
      <c r="J2025" s="7"/>
      <c r="K2025" s="7" t="str">
        <f>VLOOKUP($E2025,Mapping!$E$11:$I$96,3,0)</f>
        <v>Replacement</v>
      </c>
      <c r="L2025" s="7" t="str">
        <f>VLOOKUP($G2025,Mapping!$E$140:$K$2771,5,0)</f>
        <v>PNS Corporate OH</v>
      </c>
      <c r="M2025" s="7" t="str">
        <f>VLOOKUP($G2025,Mapping!$E$140:$K$2771,7,0)</f>
        <v>OH</v>
      </c>
      <c r="N2025" s="7" t="str">
        <f>IFERROR(HLOOKUP(L2025,'Calc|Weightings'!$K$5:$M$5,1,0),"Excl")</f>
        <v>Excl</v>
      </c>
      <c r="O2025" s="7" t="str">
        <f>VLOOKUP(E2025,Mapping!$E$11:$I$96,5,0)</f>
        <v>SCS</v>
      </c>
      <c r="Q2025" s="7"/>
      <c r="R2025" s="7"/>
      <c r="S2025" s="7"/>
      <c r="T2025" s="7"/>
      <c r="U2025" s="7"/>
      <c r="V2025" s="7"/>
      <c r="AC2025" s="7"/>
      <c r="AD2025" s="7"/>
      <c r="AE2025" s="7"/>
      <c r="AF2025" s="7"/>
      <c r="AG2025" s="7"/>
      <c r="AO2025" s="7"/>
      <c r="AP2025" s="7"/>
      <c r="AQ2025" s="7"/>
      <c r="AR2025" s="7"/>
      <c r="AS2025" s="7"/>
    </row>
    <row r="2026" spans="1:45" x14ac:dyDescent="0.2">
      <c r="A2026" s="7"/>
      <c r="B2026" s="7"/>
      <c r="C2026" s="7"/>
      <c r="D2026" s="7"/>
      <c r="E2026" s="36">
        <v>163</v>
      </c>
      <c r="F2026" s="36" t="s">
        <v>2173</v>
      </c>
      <c r="G2026" s="36">
        <v>639050</v>
      </c>
      <c r="H2026" s="36" t="s">
        <v>2113</v>
      </c>
      <c r="I2026" s="37">
        <v>3.7886299999999999</v>
      </c>
      <c r="J2026" s="7"/>
      <c r="K2026" s="7" t="str">
        <f>VLOOKUP($E2026,Mapping!$E$11:$I$96,3,0)</f>
        <v>Replacement</v>
      </c>
      <c r="L2026" s="7" t="str">
        <f>VLOOKUP($G2026,Mapping!$E$140:$K$2771,5,0)</f>
        <v>PNS Fleet &amp; Property OH</v>
      </c>
      <c r="M2026" s="7" t="str">
        <f>VLOOKUP($G2026,Mapping!$E$140:$K$2771,7,0)</f>
        <v>OH</v>
      </c>
      <c r="N2026" s="7" t="str">
        <f>IFERROR(HLOOKUP(L2026,'Calc|Weightings'!$K$5:$M$5,1,0),"Excl")</f>
        <v>Excl</v>
      </c>
      <c r="O2026" s="7" t="str">
        <f>VLOOKUP(E2026,Mapping!$E$11:$I$96,5,0)</f>
        <v>SCS</v>
      </c>
      <c r="Q2026" s="7"/>
      <c r="R2026" s="7"/>
      <c r="S2026" s="7"/>
      <c r="T2026" s="7"/>
      <c r="U2026" s="7"/>
      <c r="V2026" s="7"/>
      <c r="AC2026" s="7"/>
      <c r="AD2026" s="7"/>
      <c r="AE2026" s="7"/>
      <c r="AF2026" s="7"/>
      <c r="AG2026" s="7"/>
      <c r="AO2026" s="7"/>
      <c r="AP2026" s="7"/>
      <c r="AQ2026" s="7"/>
      <c r="AR2026" s="7"/>
      <c r="AS2026" s="7"/>
    </row>
    <row r="2027" spans="1:45" x14ac:dyDescent="0.2">
      <c r="A2027" s="7"/>
      <c r="B2027" s="7"/>
      <c r="C2027" s="7"/>
      <c r="D2027" s="7"/>
      <c r="E2027" s="36">
        <v>166</v>
      </c>
      <c r="F2027" s="36" t="s">
        <v>2174</v>
      </c>
      <c r="G2027" s="36">
        <v>520100</v>
      </c>
      <c r="H2027" s="36" t="s">
        <v>2072</v>
      </c>
      <c r="I2027" s="37">
        <v>8.8507499999999997</v>
      </c>
      <c r="J2027" s="7"/>
      <c r="K2027" s="7" t="str">
        <f>VLOOKUP($E2027,Mapping!$E$11:$I$96,3,0)</f>
        <v>Augmentation</v>
      </c>
      <c r="L2027" s="7" t="str">
        <f>VLOOKUP($G2027,Mapping!$E$140:$K$2771,5,0)</f>
        <v>Materials</v>
      </c>
      <c r="M2027" s="7" t="str">
        <f>VLOOKUP($G2027,Mapping!$E$140:$K$2771,7,0)</f>
        <v>ENDirect</v>
      </c>
      <c r="N2027" s="7" t="str">
        <f>IFERROR(HLOOKUP(L2027,'Calc|Weightings'!$K$5:$M$5,1,0),"Excl")</f>
        <v>Materials</v>
      </c>
      <c r="O2027" s="7" t="str">
        <f>VLOOKUP(E2027,Mapping!$E$11:$I$96,5,0)</f>
        <v>SCS</v>
      </c>
      <c r="Q2027" s="7"/>
      <c r="R2027" s="7"/>
      <c r="S2027" s="7"/>
      <c r="T2027" s="7"/>
      <c r="U2027" s="7"/>
      <c r="V2027" s="7"/>
      <c r="AC2027" s="7"/>
      <c r="AD2027" s="7"/>
      <c r="AE2027" s="7"/>
      <c r="AF2027" s="7"/>
      <c r="AG2027" s="7"/>
      <c r="AO2027" s="7"/>
      <c r="AP2027" s="7"/>
      <c r="AQ2027" s="7"/>
      <c r="AR2027" s="7"/>
      <c r="AS2027" s="7"/>
    </row>
    <row r="2028" spans="1:45" x14ac:dyDescent="0.2">
      <c r="A2028" s="7"/>
      <c r="B2028" s="7"/>
      <c r="C2028" s="7"/>
      <c r="D2028" s="7"/>
      <c r="E2028" s="36">
        <v>166</v>
      </c>
      <c r="F2028" s="36" t="s">
        <v>2174</v>
      </c>
      <c r="G2028" s="36">
        <v>531467</v>
      </c>
      <c r="H2028" s="36" t="s">
        <v>259</v>
      </c>
      <c r="I2028" s="37">
        <v>0.71099999999999997</v>
      </c>
      <c r="J2028" s="7"/>
      <c r="K2028" s="7" t="str">
        <f>VLOOKUP($E2028,Mapping!$E$11:$I$96,3,0)</f>
        <v>Augmentation</v>
      </c>
      <c r="L2028" s="7" t="str">
        <f>VLOOKUP($G2028,Mapping!$E$140:$K$2771,5,0)</f>
        <v>Contracts</v>
      </c>
      <c r="M2028" s="7" t="str">
        <f>VLOOKUP($G2028,Mapping!$E$140:$K$2771,7,0)</f>
        <v>ENDirect</v>
      </c>
      <c r="N2028" s="7" t="str">
        <f>IFERROR(HLOOKUP(L2028,'Calc|Weightings'!$K$5:$M$5,1,0),"Excl")</f>
        <v>Contracts</v>
      </c>
      <c r="O2028" s="7" t="str">
        <f>VLOOKUP(E2028,Mapping!$E$11:$I$96,5,0)</f>
        <v>SCS</v>
      </c>
      <c r="Q2028" s="7"/>
      <c r="R2028" s="7"/>
      <c r="S2028" s="7"/>
      <c r="T2028" s="7"/>
      <c r="U2028" s="7"/>
      <c r="V2028" s="7"/>
      <c r="AC2028" s="7"/>
      <c r="AD2028" s="7"/>
      <c r="AE2028" s="7"/>
      <c r="AF2028" s="7"/>
      <c r="AG2028" s="7"/>
      <c r="AO2028" s="7"/>
      <c r="AP2028" s="7"/>
      <c r="AQ2028" s="7"/>
      <c r="AR2028" s="7"/>
      <c r="AS2028" s="7"/>
    </row>
    <row r="2029" spans="1:45" x14ac:dyDescent="0.2">
      <c r="A2029" s="7"/>
      <c r="B2029" s="7"/>
      <c r="C2029" s="7"/>
      <c r="D2029" s="7"/>
      <c r="E2029" s="36">
        <v>166</v>
      </c>
      <c r="F2029" s="36" t="s">
        <v>2174</v>
      </c>
      <c r="G2029" s="36">
        <v>531495</v>
      </c>
      <c r="H2029" s="36" t="s">
        <v>2353</v>
      </c>
      <c r="I2029" s="37">
        <v>1.0725</v>
      </c>
      <c r="J2029" s="7"/>
      <c r="K2029" s="7" t="str">
        <f>VLOOKUP($E2029,Mapping!$E$11:$I$96,3,0)</f>
        <v>Augmentation</v>
      </c>
      <c r="L2029" s="7" t="str">
        <f>VLOOKUP($G2029,Mapping!$E$140:$K$2771,5,0)</f>
        <v>Contracts</v>
      </c>
      <c r="M2029" s="7" t="str">
        <f>VLOOKUP($G2029,Mapping!$E$140:$K$2771,7,0)</f>
        <v>ENDirect</v>
      </c>
      <c r="N2029" s="7" t="str">
        <f>IFERROR(HLOOKUP(L2029,'Calc|Weightings'!$K$5:$M$5,1,0),"Excl")</f>
        <v>Contracts</v>
      </c>
      <c r="O2029" s="7" t="str">
        <f>VLOOKUP(E2029,Mapping!$E$11:$I$96,5,0)</f>
        <v>SCS</v>
      </c>
      <c r="Q2029" s="7"/>
      <c r="R2029" s="7"/>
      <c r="S2029" s="7"/>
      <c r="T2029" s="7"/>
      <c r="U2029" s="7"/>
      <c r="V2029" s="7"/>
      <c r="AC2029" s="7"/>
      <c r="AD2029" s="7"/>
      <c r="AE2029" s="7"/>
      <c r="AF2029" s="7"/>
      <c r="AG2029" s="7"/>
      <c r="AO2029" s="7"/>
      <c r="AP2029" s="7"/>
      <c r="AQ2029" s="7"/>
      <c r="AR2029" s="7"/>
      <c r="AS2029" s="7"/>
    </row>
    <row r="2030" spans="1:45" x14ac:dyDescent="0.2">
      <c r="A2030" s="7"/>
      <c r="B2030" s="7"/>
      <c r="C2030" s="7"/>
      <c r="D2030" s="7"/>
      <c r="E2030" s="36">
        <v>166</v>
      </c>
      <c r="F2030" s="36" t="s">
        <v>2174</v>
      </c>
      <c r="G2030" s="36">
        <v>533000</v>
      </c>
      <c r="H2030" s="36" t="s">
        <v>312</v>
      </c>
      <c r="I2030" s="37">
        <v>0.59</v>
      </c>
      <c r="J2030" s="7"/>
      <c r="K2030" s="7" t="str">
        <f>VLOOKUP($E2030,Mapping!$E$11:$I$96,3,0)</f>
        <v>Augmentation</v>
      </c>
      <c r="L2030" s="7" t="str">
        <f>VLOOKUP($G2030,Mapping!$E$140:$K$2771,5,0)</f>
        <v>Contracts</v>
      </c>
      <c r="M2030" s="7" t="str">
        <f>VLOOKUP($G2030,Mapping!$E$140:$K$2771,7,0)</f>
        <v>ENDirect</v>
      </c>
      <c r="N2030" s="7" t="str">
        <f>IFERROR(HLOOKUP(L2030,'Calc|Weightings'!$K$5:$M$5,1,0),"Excl")</f>
        <v>Contracts</v>
      </c>
      <c r="O2030" s="7" t="str">
        <f>VLOOKUP(E2030,Mapping!$E$11:$I$96,5,0)</f>
        <v>SCS</v>
      </c>
      <c r="Q2030" s="7"/>
      <c r="R2030" s="7"/>
      <c r="S2030" s="7"/>
      <c r="T2030" s="7"/>
      <c r="U2030" s="7"/>
      <c r="V2030" s="7"/>
      <c r="AC2030" s="7"/>
      <c r="AD2030" s="7"/>
      <c r="AE2030" s="7"/>
      <c r="AF2030" s="7"/>
      <c r="AG2030" s="7"/>
      <c r="AO2030" s="7"/>
      <c r="AP2030" s="7"/>
      <c r="AQ2030" s="7"/>
      <c r="AR2030" s="7"/>
      <c r="AS2030" s="7"/>
    </row>
    <row r="2031" spans="1:45" x14ac:dyDescent="0.2">
      <c r="A2031" s="7"/>
      <c r="B2031" s="7"/>
      <c r="C2031" s="7"/>
      <c r="D2031" s="7"/>
      <c r="E2031" s="36">
        <v>166</v>
      </c>
      <c r="F2031" s="36" t="s">
        <v>2174</v>
      </c>
      <c r="G2031" s="36">
        <v>611901</v>
      </c>
      <c r="H2031" s="36" t="s">
        <v>2080</v>
      </c>
      <c r="I2031" s="37">
        <v>0.22696</v>
      </c>
      <c r="J2031" s="7"/>
      <c r="K2031" s="7" t="str">
        <f>VLOOKUP($E2031,Mapping!$E$11:$I$96,3,0)</f>
        <v>Augmentation</v>
      </c>
      <c r="L2031" s="7" t="str">
        <f>VLOOKUP($G2031,Mapping!$E$140:$K$2771,5,0)</f>
        <v>Contracts</v>
      </c>
      <c r="M2031" s="7" t="str">
        <f>VLOOKUP($G2031,Mapping!$E$140:$K$2771,7,0)</f>
        <v>ENDirect</v>
      </c>
      <c r="N2031" s="7" t="str">
        <f>IFERROR(HLOOKUP(L2031,'Calc|Weightings'!$K$5:$M$5,1,0),"Excl")</f>
        <v>Contracts</v>
      </c>
      <c r="O2031" s="7" t="str">
        <f>VLOOKUP(E2031,Mapping!$E$11:$I$96,5,0)</f>
        <v>SCS</v>
      </c>
      <c r="Q2031" s="7"/>
      <c r="R2031" s="7"/>
      <c r="S2031" s="7"/>
      <c r="T2031" s="7"/>
      <c r="U2031" s="7"/>
      <c r="V2031" s="7"/>
      <c r="AC2031" s="7"/>
      <c r="AD2031" s="7"/>
      <c r="AE2031" s="7"/>
      <c r="AF2031" s="7"/>
      <c r="AG2031" s="7"/>
      <c r="AO2031" s="7"/>
      <c r="AP2031" s="7"/>
      <c r="AQ2031" s="7"/>
      <c r="AR2031" s="7"/>
      <c r="AS2031" s="7"/>
    </row>
    <row r="2032" spans="1:45" x14ac:dyDescent="0.2">
      <c r="A2032" s="7"/>
      <c r="B2032" s="7"/>
      <c r="C2032" s="7"/>
      <c r="D2032" s="7"/>
      <c r="E2032" s="36">
        <v>166</v>
      </c>
      <c r="F2032" s="36" t="s">
        <v>2174</v>
      </c>
      <c r="G2032" s="36">
        <v>611902</v>
      </c>
      <c r="H2032" s="36" t="s">
        <v>2081</v>
      </c>
      <c r="I2032" s="37">
        <v>0.26818999999999998</v>
      </c>
      <c r="J2032" s="7"/>
      <c r="K2032" s="7" t="str">
        <f>VLOOKUP($E2032,Mapping!$E$11:$I$96,3,0)</f>
        <v>Augmentation</v>
      </c>
      <c r="L2032" s="7" t="str">
        <f>VLOOKUP($G2032,Mapping!$E$140:$K$2771,5,0)</f>
        <v>Contracts</v>
      </c>
      <c r="M2032" s="7" t="str">
        <f>VLOOKUP($G2032,Mapping!$E$140:$K$2771,7,0)</f>
        <v>ENDirect</v>
      </c>
      <c r="N2032" s="7" t="str">
        <f>IFERROR(HLOOKUP(L2032,'Calc|Weightings'!$K$5:$M$5,1,0),"Excl")</f>
        <v>Contracts</v>
      </c>
      <c r="O2032" s="7" t="str">
        <f>VLOOKUP(E2032,Mapping!$E$11:$I$96,5,0)</f>
        <v>SCS</v>
      </c>
      <c r="Q2032" s="7"/>
      <c r="R2032" s="7"/>
      <c r="S2032" s="7"/>
      <c r="T2032" s="7"/>
      <c r="U2032" s="7"/>
      <c r="V2032" s="7"/>
      <c r="AC2032" s="7"/>
      <c r="AD2032" s="7"/>
      <c r="AE2032" s="7"/>
      <c r="AF2032" s="7"/>
      <c r="AG2032" s="7"/>
      <c r="AO2032" s="7"/>
      <c r="AP2032" s="7"/>
      <c r="AQ2032" s="7"/>
      <c r="AR2032" s="7"/>
      <c r="AS2032" s="7"/>
    </row>
    <row r="2033" spans="1:45" x14ac:dyDescent="0.2">
      <c r="A2033" s="7"/>
      <c r="B2033" s="7"/>
      <c r="C2033" s="7"/>
      <c r="D2033" s="7"/>
      <c r="E2033" s="36">
        <v>166</v>
      </c>
      <c r="F2033" s="36" t="s">
        <v>2174</v>
      </c>
      <c r="G2033" s="36">
        <v>612460</v>
      </c>
      <c r="H2033" s="36" t="s">
        <v>1243</v>
      </c>
      <c r="I2033" s="37">
        <v>0.25052999999999997</v>
      </c>
      <c r="J2033" s="7"/>
      <c r="K2033" s="7" t="str">
        <f>VLOOKUP($E2033,Mapping!$E$11:$I$96,3,0)</f>
        <v>Augmentation</v>
      </c>
      <c r="L2033" s="7" t="str">
        <f>VLOOKUP($G2033,Mapping!$E$140:$K$2771,5,0)</f>
        <v>Labour</v>
      </c>
      <c r="M2033" s="7" t="str">
        <f>VLOOKUP($G2033,Mapping!$E$140:$K$2771,7,0)</f>
        <v>ENDirect</v>
      </c>
      <c r="N2033" s="7" t="str">
        <f>IFERROR(HLOOKUP(L2033,'Calc|Weightings'!$K$5:$M$5,1,0),"Excl")</f>
        <v>Labour</v>
      </c>
      <c r="O2033" s="7" t="str">
        <f>VLOOKUP(E2033,Mapping!$E$11:$I$96,5,0)</f>
        <v>SCS</v>
      </c>
      <c r="Q2033" s="7"/>
      <c r="R2033" s="7"/>
      <c r="S2033" s="7"/>
      <c r="T2033" s="7"/>
      <c r="U2033" s="7"/>
      <c r="V2033" s="7"/>
      <c r="AC2033" s="7"/>
      <c r="AD2033" s="7"/>
      <c r="AE2033" s="7"/>
      <c r="AF2033" s="7"/>
      <c r="AG2033" s="7"/>
      <c r="AO2033" s="7"/>
      <c r="AP2033" s="7"/>
      <c r="AQ2033" s="7"/>
      <c r="AR2033" s="7"/>
      <c r="AS2033" s="7"/>
    </row>
    <row r="2034" spans="1:45" x14ac:dyDescent="0.2">
      <c r="A2034" s="7"/>
      <c r="B2034" s="7"/>
      <c r="C2034" s="7"/>
      <c r="D2034" s="7"/>
      <c r="E2034" s="36">
        <v>166</v>
      </c>
      <c r="F2034" s="36" t="s">
        <v>2174</v>
      </c>
      <c r="G2034" s="36">
        <v>613280</v>
      </c>
      <c r="H2034" s="36" t="s">
        <v>1342</v>
      </c>
      <c r="I2034" s="37">
        <v>0.29432000000000003</v>
      </c>
      <c r="J2034" s="7"/>
      <c r="K2034" s="7" t="str">
        <f>VLOOKUP($E2034,Mapping!$E$11:$I$96,3,0)</f>
        <v>Augmentation</v>
      </c>
      <c r="L2034" s="7" t="str">
        <f>VLOOKUP($G2034,Mapping!$E$140:$K$2771,5,0)</f>
        <v>Labour</v>
      </c>
      <c r="M2034" s="7" t="str">
        <f>VLOOKUP($G2034,Mapping!$E$140:$K$2771,7,0)</f>
        <v>ENDirect</v>
      </c>
      <c r="N2034" s="7" t="str">
        <f>IFERROR(HLOOKUP(L2034,'Calc|Weightings'!$K$5:$M$5,1,0),"Excl")</f>
        <v>Labour</v>
      </c>
      <c r="O2034" s="7" t="str">
        <f>VLOOKUP(E2034,Mapping!$E$11:$I$96,5,0)</f>
        <v>SCS</v>
      </c>
      <c r="Q2034" s="7"/>
      <c r="R2034" s="7"/>
      <c r="S2034" s="7"/>
      <c r="T2034" s="7"/>
      <c r="U2034" s="7"/>
      <c r="V2034" s="7"/>
      <c r="AC2034" s="7"/>
      <c r="AD2034" s="7"/>
      <c r="AE2034" s="7"/>
      <c r="AF2034" s="7"/>
      <c r="AG2034" s="7"/>
      <c r="AO2034" s="7"/>
      <c r="AP2034" s="7"/>
      <c r="AQ2034" s="7"/>
      <c r="AR2034" s="7"/>
      <c r="AS2034" s="7"/>
    </row>
    <row r="2035" spans="1:45" x14ac:dyDescent="0.2">
      <c r="A2035" s="7"/>
      <c r="B2035" s="7"/>
      <c r="C2035" s="7"/>
      <c r="D2035" s="7"/>
      <c r="E2035" s="36">
        <v>166</v>
      </c>
      <c r="F2035" s="36" t="s">
        <v>2174</v>
      </c>
      <c r="G2035" s="36">
        <v>613290</v>
      </c>
      <c r="H2035" s="36" t="s">
        <v>2093</v>
      </c>
      <c r="I2035" s="37">
        <v>1.0506599999999999</v>
      </c>
      <c r="J2035" s="7"/>
      <c r="K2035" s="7" t="str">
        <f>VLOOKUP($E2035,Mapping!$E$11:$I$96,3,0)</f>
        <v>Augmentation</v>
      </c>
      <c r="L2035" s="7" t="str">
        <f>VLOOKUP($G2035,Mapping!$E$140:$K$2771,5,0)</f>
        <v>Labour</v>
      </c>
      <c r="M2035" s="7" t="str">
        <f>VLOOKUP($G2035,Mapping!$E$140:$K$2771,7,0)</f>
        <v>ENDirect</v>
      </c>
      <c r="N2035" s="7" t="str">
        <f>IFERROR(HLOOKUP(L2035,'Calc|Weightings'!$K$5:$M$5,1,0),"Excl")</f>
        <v>Labour</v>
      </c>
      <c r="O2035" s="7" t="str">
        <f>VLOOKUP(E2035,Mapping!$E$11:$I$96,5,0)</f>
        <v>SCS</v>
      </c>
      <c r="Q2035" s="7"/>
      <c r="R2035" s="7"/>
      <c r="S2035" s="7"/>
      <c r="T2035" s="7"/>
      <c r="U2035" s="7"/>
      <c r="V2035" s="7"/>
      <c r="AC2035" s="7"/>
      <c r="AD2035" s="7"/>
      <c r="AE2035" s="7"/>
      <c r="AF2035" s="7"/>
      <c r="AG2035" s="7"/>
      <c r="AO2035" s="7"/>
      <c r="AP2035" s="7"/>
      <c r="AQ2035" s="7"/>
      <c r="AR2035" s="7"/>
      <c r="AS2035" s="7"/>
    </row>
    <row r="2036" spans="1:45" x14ac:dyDescent="0.2">
      <c r="A2036" s="7"/>
      <c r="B2036" s="7"/>
      <c r="C2036" s="7"/>
      <c r="D2036" s="7"/>
      <c r="E2036" s="36">
        <v>166</v>
      </c>
      <c r="F2036" s="36" t="s">
        <v>2174</v>
      </c>
      <c r="G2036" s="36">
        <v>613318</v>
      </c>
      <c r="H2036" s="36" t="s">
        <v>1360</v>
      </c>
      <c r="I2036" s="37">
        <v>0.63219999999999998</v>
      </c>
      <c r="J2036" s="7"/>
      <c r="K2036" s="7" t="str">
        <f>VLOOKUP($E2036,Mapping!$E$11:$I$96,3,0)</f>
        <v>Augmentation</v>
      </c>
      <c r="L2036" s="7" t="str">
        <f>VLOOKUP($G2036,Mapping!$E$140:$K$2771,5,0)</f>
        <v>Labour</v>
      </c>
      <c r="M2036" s="7" t="str">
        <f>VLOOKUP($G2036,Mapping!$E$140:$K$2771,7,0)</f>
        <v>ENDirect</v>
      </c>
      <c r="N2036" s="7" t="str">
        <f>IFERROR(HLOOKUP(L2036,'Calc|Weightings'!$K$5:$M$5,1,0),"Excl")</f>
        <v>Labour</v>
      </c>
      <c r="O2036" s="7" t="str">
        <f>VLOOKUP(E2036,Mapping!$E$11:$I$96,5,0)</f>
        <v>SCS</v>
      </c>
      <c r="Q2036" s="7"/>
      <c r="R2036" s="7"/>
      <c r="S2036" s="7"/>
      <c r="T2036" s="7"/>
      <c r="U2036" s="7"/>
      <c r="V2036" s="7"/>
      <c r="AC2036" s="7"/>
      <c r="AD2036" s="7"/>
      <c r="AE2036" s="7"/>
      <c r="AF2036" s="7"/>
      <c r="AG2036" s="7"/>
      <c r="AO2036" s="7"/>
      <c r="AP2036" s="7"/>
      <c r="AQ2036" s="7"/>
      <c r="AR2036" s="7"/>
      <c r="AS2036" s="7"/>
    </row>
    <row r="2037" spans="1:45" x14ac:dyDescent="0.2">
      <c r="A2037" s="7"/>
      <c r="B2037" s="7"/>
      <c r="C2037" s="7"/>
      <c r="D2037" s="7"/>
      <c r="E2037" s="36">
        <v>166</v>
      </c>
      <c r="F2037" s="36" t="s">
        <v>2174</v>
      </c>
      <c r="G2037" s="36">
        <v>613350</v>
      </c>
      <c r="H2037" s="36" t="s">
        <v>2096</v>
      </c>
      <c r="I2037" s="37">
        <v>0.16855000000000001</v>
      </c>
      <c r="J2037" s="7"/>
      <c r="K2037" s="7" t="str">
        <f>VLOOKUP($E2037,Mapping!$E$11:$I$96,3,0)</f>
        <v>Augmentation</v>
      </c>
      <c r="L2037" s="7" t="str">
        <f>VLOOKUP($G2037,Mapping!$E$140:$K$2771,5,0)</f>
        <v>Labour</v>
      </c>
      <c r="M2037" s="7" t="str">
        <f>VLOOKUP($G2037,Mapping!$E$140:$K$2771,7,0)</f>
        <v>ENDirect</v>
      </c>
      <c r="N2037" s="7" t="str">
        <f>IFERROR(HLOOKUP(L2037,'Calc|Weightings'!$K$5:$M$5,1,0),"Excl")</f>
        <v>Labour</v>
      </c>
      <c r="O2037" s="7" t="str">
        <f>VLOOKUP(E2037,Mapping!$E$11:$I$96,5,0)</f>
        <v>SCS</v>
      </c>
      <c r="Q2037" s="7"/>
      <c r="R2037" s="7"/>
      <c r="S2037" s="7"/>
      <c r="T2037" s="7"/>
      <c r="U2037" s="7"/>
      <c r="V2037" s="7"/>
      <c r="AC2037" s="7"/>
      <c r="AD2037" s="7"/>
      <c r="AE2037" s="7"/>
      <c r="AF2037" s="7"/>
      <c r="AG2037" s="7"/>
      <c r="AO2037" s="7"/>
      <c r="AP2037" s="7"/>
      <c r="AQ2037" s="7"/>
      <c r="AR2037" s="7"/>
      <c r="AS2037" s="7"/>
    </row>
    <row r="2038" spans="1:45" x14ac:dyDescent="0.2">
      <c r="A2038" s="7"/>
      <c r="B2038" s="7"/>
      <c r="C2038" s="7"/>
      <c r="D2038" s="7"/>
      <c r="E2038" s="36">
        <v>166</v>
      </c>
      <c r="F2038" s="36" t="s">
        <v>2174</v>
      </c>
      <c r="G2038" s="36">
        <v>613680</v>
      </c>
      <c r="H2038" s="36" t="s">
        <v>2107</v>
      </c>
      <c r="I2038" s="37">
        <v>0.25874000000000003</v>
      </c>
      <c r="J2038" s="7"/>
      <c r="K2038" s="7" t="str">
        <f>VLOOKUP($E2038,Mapping!$E$11:$I$96,3,0)</f>
        <v>Augmentation</v>
      </c>
      <c r="L2038" s="7" t="str">
        <f>VLOOKUP($G2038,Mapping!$E$140:$K$2771,5,0)</f>
        <v>Labour</v>
      </c>
      <c r="M2038" s="7" t="str">
        <f>VLOOKUP($G2038,Mapping!$E$140:$K$2771,7,0)</f>
        <v>ENDirect</v>
      </c>
      <c r="N2038" s="7" t="str">
        <f>IFERROR(HLOOKUP(L2038,'Calc|Weightings'!$K$5:$M$5,1,0),"Excl")</f>
        <v>Labour</v>
      </c>
      <c r="O2038" s="7" t="str">
        <f>VLOOKUP(E2038,Mapping!$E$11:$I$96,5,0)</f>
        <v>SCS</v>
      </c>
      <c r="Q2038" s="7"/>
      <c r="R2038" s="7"/>
      <c r="S2038" s="7"/>
      <c r="T2038" s="7"/>
      <c r="U2038" s="7"/>
      <c r="V2038" s="7"/>
      <c r="AC2038" s="7"/>
      <c r="AD2038" s="7"/>
      <c r="AE2038" s="7"/>
      <c r="AF2038" s="7"/>
      <c r="AG2038" s="7"/>
      <c r="AO2038" s="7"/>
      <c r="AP2038" s="7"/>
      <c r="AQ2038" s="7"/>
      <c r="AR2038" s="7"/>
      <c r="AS2038" s="7"/>
    </row>
    <row r="2039" spans="1:45" x14ac:dyDescent="0.2">
      <c r="A2039" s="7"/>
      <c r="B2039" s="7"/>
      <c r="C2039" s="7"/>
      <c r="D2039" s="7"/>
      <c r="E2039" s="36">
        <v>166</v>
      </c>
      <c r="F2039" s="36" t="s">
        <v>2174</v>
      </c>
      <c r="G2039" s="36">
        <v>615375</v>
      </c>
      <c r="H2039" s="36" t="s">
        <v>1717</v>
      </c>
      <c r="I2039" s="37">
        <v>0.18</v>
      </c>
      <c r="J2039" s="7"/>
      <c r="K2039" s="7" t="str">
        <f>VLOOKUP($E2039,Mapping!$E$11:$I$96,3,0)</f>
        <v>Augmentation</v>
      </c>
      <c r="L2039" s="7" t="str">
        <f>VLOOKUP($G2039,Mapping!$E$140:$K$2771,5,0)</f>
        <v>Labour</v>
      </c>
      <c r="M2039" s="7" t="str">
        <f>VLOOKUP($G2039,Mapping!$E$140:$K$2771,7,0)</f>
        <v>ENDirect</v>
      </c>
      <c r="N2039" s="7" t="str">
        <f>IFERROR(HLOOKUP(L2039,'Calc|Weightings'!$K$5:$M$5,1,0),"Excl")</f>
        <v>Labour</v>
      </c>
      <c r="O2039" s="7" t="str">
        <f>VLOOKUP(E2039,Mapping!$E$11:$I$96,5,0)</f>
        <v>SCS</v>
      </c>
      <c r="Q2039" s="7"/>
      <c r="R2039" s="7"/>
      <c r="S2039" s="7"/>
      <c r="T2039" s="7"/>
      <c r="U2039" s="7"/>
      <c r="V2039" s="7"/>
      <c r="AC2039" s="7"/>
      <c r="AD2039" s="7"/>
      <c r="AE2039" s="7"/>
      <c r="AF2039" s="7"/>
      <c r="AG2039" s="7"/>
      <c r="AO2039" s="7"/>
      <c r="AP2039" s="7"/>
      <c r="AQ2039" s="7"/>
      <c r="AR2039" s="7"/>
      <c r="AS2039" s="7"/>
    </row>
    <row r="2040" spans="1:45" x14ac:dyDescent="0.2">
      <c r="A2040" s="7"/>
      <c r="B2040" s="7"/>
      <c r="C2040" s="7"/>
      <c r="D2040" s="7"/>
      <c r="E2040" s="36">
        <v>166</v>
      </c>
      <c r="F2040" s="36" t="s">
        <v>2174</v>
      </c>
      <c r="G2040" s="36">
        <v>633000</v>
      </c>
      <c r="H2040" s="36" t="s">
        <v>2202</v>
      </c>
      <c r="I2040" s="37">
        <v>2.3319800000000002</v>
      </c>
      <c r="J2040" s="7"/>
      <c r="K2040" s="7" t="str">
        <f>VLOOKUP($E2040,Mapping!$E$11:$I$96,3,0)</f>
        <v>Augmentation</v>
      </c>
      <c r="L2040" s="7" t="str">
        <f>VLOOKUP($G2040,Mapping!$E$140:$K$2771,5,0)</f>
        <v>Contracts</v>
      </c>
      <c r="M2040" s="7" t="str">
        <f>VLOOKUP($G2040,Mapping!$E$140:$K$2771,7,0)</f>
        <v>OH</v>
      </c>
      <c r="N2040" s="7" t="str">
        <f>IFERROR(HLOOKUP(L2040,'Calc|Weightings'!$K$5:$M$5,1,0),"Excl")</f>
        <v>Contracts</v>
      </c>
      <c r="O2040" s="7" t="str">
        <f>VLOOKUP(E2040,Mapping!$E$11:$I$96,5,0)</f>
        <v>SCS</v>
      </c>
      <c r="Q2040" s="7"/>
      <c r="R2040" s="7"/>
      <c r="S2040" s="7"/>
      <c r="T2040" s="7"/>
      <c r="U2040" s="7"/>
      <c r="V2040" s="7"/>
      <c r="AC2040" s="7"/>
      <c r="AD2040" s="7"/>
      <c r="AE2040" s="7"/>
      <c r="AF2040" s="7"/>
      <c r="AG2040" s="7"/>
      <c r="AO2040" s="7"/>
      <c r="AP2040" s="7"/>
      <c r="AQ2040" s="7"/>
      <c r="AR2040" s="7"/>
      <c r="AS2040" s="7"/>
    </row>
    <row r="2041" spans="1:45" x14ac:dyDescent="0.2">
      <c r="A2041" s="7"/>
      <c r="B2041" s="7"/>
      <c r="C2041" s="7"/>
      <c r="D2041" s="7"/>
      <c r="E2041" s="36">
        <v>166</v>
      </c>
      <c r="F2041" s="36" t="s">
        <v>2174</v>
      </c>
      <c r="G2041" s="36">
        <v>634001</v>
      </c>
      <c r="H2041" s="36" t="s">
        <v>2110</v>
      </c>
      <c r="I2041" s="37">
        <v>0.91385000000000005</v>
      </c>
      <c r="J2041" s="7"/>
      <c r="K2041" s="7" t="str">
        <f>VLOOKUP($E2041,Mapping!$E$11:$I$96,3,0)</f>
        <v>Augmentation</v>
      </c>
      <c r="L2041" s="7" t="str">
        <f>VLOOKUP($G2041,Mapping!$E$140:$K$2771,5,0)</f>
        <v>Local OH</v>
      </c>
      <c r="M2041" s="7" t="str">
        <f>VLOOKUP($G2041,Mapping!$E$140:$K$2771,7,0)</f>
        <v>OH</v>
      </c>
      <c r="N2041" s="7" t="str">
        <f>IFERROR(HLOOKUP(L2041,'Calc|Weightings'!$K$5:$M$5,1,0),"Excl")</f>
        <v>Excl</v>
      </c>
      <c r="O2041" s="7" t="str">
        <f>VLOOKUP(E2041,Mapping!$E$11:$I$96,5,0)</f>
        <v>SCS</v>
      </c>
      <c r="Q2041" s="7"/>
      <c r="R2041" s="7"/>
      <c r="S2041" s="7"/>
      <c r="T2041" s="7"/>
      <c r="U2041" s="7"/>
      <c r="V2041" s="7"/>
      <c r="AC2041" s="7"/>
      <c r="AD2041" s="7"/>
      <c r="AE2041" s="7"/>
      <c r="AF2041" s="7"/>
      <c r="AG2041" s="7"/>
      <c r="AO2041" s="7"/>
      <c r="AP2041" s="7"/>
      <c r="AQ2041" s="7"/>
      <c r="AR2041" s="7"/>
      <c r="AS2041" s="7"/>
    </row>
    <row r="2042" spans="1:45" x14ac:dyDescent="0.2">
      <c r="A2042" s="7"/>
      <c r="B2042" s="7"/>
      <c r="C2042" s="7"/>
      <c r="D2042" s="7"/>
      <c r="E2042" s="36">
        <v>166</v>
      </c>
      <c r="F2042" s="36" t="s">
        <v>2174</v>
      </c>
      <c r="G2042" s="36">
        <v>635001</v>
      </c>
      <c r="H2042" s="36" t="s">
        <v>1929</v>
      </c>
      <c r="I2042" s="37">
        <v>0.25407999999999997</v>
      </c>
      <c r="J2042" s="7"/>
      <c r="K2042" s="7" t="str">
        <f>VLOOKUP($E2042,Mapping!$E$11:$I$96,3,0)</f>
        <v>Augmentation</v>
      </c>
      <c r="L2042" s="7" t="str">
        <f>VLOOKUP($G2042,Mapping!$E$140:$K$2771,5,0)</f>
        <v>PNS MG</v>
      </c>
      <c r="M2042" s="7" t="str">
        <f>VLOOKUP($G2042,Mapping!$E$140:$K$2771,7,0)</f>
        <v>ENDirect</v>
      </c>
      <c r="N2042" s="7" t="str">
        <f>IFERROR(HLOOKUP(L2042,'Calc|Weightings'!$K$5:$M$5,1,0),"Excl")</f>
        <v>Excl</v>
      </c>
      <c r="O2042" s="7" t="str">
        <f>VLOOKUP(E2042,Mapping!$E$11:$I$96,5,0)</f>
        <v>SCS</v>
      </c>
      <c r="Q2042" s="7"/>
      <c r="R2042" s="7"/>
      <c r="S2042" s="7"/>
      <c r="T2042" s="7"/>
      <c r="U2042" s="7"/>
      <c r="V2042" s="7"/>
      <c r="AC2042" s="7"/>
      <c r="AD2042" s="7"/>
      <c r="AE2042" s="7"/>
      <c r="AF2042" s="7"/>
      <c r="AG2042" s="7"/>
      <c r="AO2042" s="7"/>
      <c r="AP2042" s="7"/>
      <c r="AQ2042" s="7"/>
      <c r="AR2042" s="7"/>
      <c r="AS2042" s="7"/>
    </row>
    <row r="2043" spans="1:45" x14ac:dyDescent="0.2">
      <c r="A2043" s="7"/>
      <c r="B2043" s="7"/>
      <c r="C2043" s="7"/>
      <c r="D2043" s="7"/>
      <c r="E2043" s="36">
        <v>166</v>
      </c>
      <c r="F2043" s="36" t="s">
        <v>2174</v>
      </c>
      <c r="G2043" s="36">
        <v>636001</v>
      </c>
      <c r="H2043" s="36" t="s">
        <v>2111</v>
      </c>
      <c r="I2043" s="37">
        <v>0.28822999999999999</v>
      </c>
      <c r="J2043" s="7"/>
      <c r="K2043" s="7" t="str">
        <f>VLOOKUP($E2043,Mapping!$E$11:$I$96,3,0)</f>
        <v>Augmentation</v>
      </c>
      <c r="L2043" s="7" t="str">
        <f>VLOOKUP($G2043,Mapping!$E$140:$K$2771,5,0)</f>
        <v>System Control OH</v>
      </c>
      <c r="M2043" s="7" t="str">
        <f>VLOOKUP($G2043,Mapping!$E$140:$K$2771,7,0)</f>
        <v>OH</v>
      </c>
      <c r="N2043" s="7" t="str">
        <f>IFERROR(HLOOKUP(L2043,'Calc|Weightings'!$K$5:$M$5,1,0),"Excl")</f>
        <v>Excl</v>
      </c>
      <c r="O2043" s="7" t="str">
        <f>VLOOKUP(E2043,Mapping!$E$11:$I$96,5,0)</f>
        <v>SCS</v>
      </c>
      <c r="Q2043" s="7"/>
      <c r="R2043" s="7"/>
      <c r="S2043" s="7"/>
      <c r="T2043" s="7"/>
      <c r="U2043" s="7"/>
      <c r="V2043" s="7"/>
      <c r="AC2043" s="7"/>
      <c r="AD2043" s="7"/>
      <c r="AE2043" s="7"/>
      <c r="AF2043" s="7"/>
      <c r="AG2043" s="7"/>
      <c r="AO2043" s="7"/>
      <c r="AP2043" s="7"/>
      <c r="AQ2043" s="7"/>
      <c r="AR2043" s="7"/>
      <c r="AS2043" s="7"/>
    </row>
    <row r="2044" spans="1:45" x14ac:dyDescent="0.2">
      <c r="A2044" s="7"/>
      <c r="B2044" s="7"/>
      <c r="C2044" s="7"/>
      <c r="D2044" s="7"/>
      <c r="E2044" s="36">
        <v>166</v>
      </c>
      <c r="F2044" s="36" t="s">
        <v>2174</v>
      </c>
      <c r="G2044" s="36">
        <v>639000</v>
      </c>
      <c r="H2044" s="36" t="s">
        <v>2112</v>
      </c>
      <c r="I2044" s="37">
        <v>0.60702999999999996</v>
      </c>
      <c r="J2044" s="7"/>
      <c r="K2044" s="7" t="str">
        <f>VLOOKUP($E2044,Mapping!$E$11:$I$96,3,0)</f>
        <v>Augmentation</v>
      </c>
      <c r="L2044" s="7" t="str">
        <f>VLOOKUP($G2044,Mapping!$E$140:$K$2771,5,0)</f>
        <v>PNS Corporate OH</v>
      </c>
      <c r="M2044" s="7" t="str">
        <f>VLOOKUP($G2044,Mapping!$E$140:$K$2771,7,0)</f>
        <v>OH</v>
      </c>
      <c r="N2044" s="7" t="str">
        <f>IFERROR(HLOOKUP(L2044,'Calc|Weightings'!$K$5:$M$5,1,0),"Excl")</f>
        <v>Excl</v>
      </c>
      <c r="O2044" s="7" t="str">
        <f>VLOOKUP(E2044,Mapping!$E$11:$I$96,5,0)</f>
        <v>SCS</v>
      </c>
      <c r="Q2044" s="7"/>
      <c r="R2044" s="7"/>
      <c r="S2044" s="7"/>
      <c r="T2044" s="7"/>
      <c r="U2044" s="7"/>
      <c r="V2044" s="7"/>
      <c r="AC2044" s="7"/>
      <c r="AD2044" s="7"/>
      <c r="AE2044" s="7"/>
      <c r="AF2044" s="7"/>
      <c r="AG2044" s="7"/>
      <c r="AO2044" s="7"/>
      <c r="AP2044" s="7"/>
      <c r="AQ2044" s="7"/>
      <c r="AR2044" s="7"/>
      <c r="AS2044" s="7"/>
    </row>
    <row r="2045" spans="1:45" x14ac:dyDescent="0.2">
      <c r="A2045" s="7"/>
      <c r="B2045" s="7"/>
      <c r="C2045" s="7"/>
      <c r="D2045" s="7"/>
      <c r="E2045" s="36">
        <v>166</v>
      </c>
      <c r="F2045" s="36" t="s">
        <v>2174</v>
      </c>
      <c r="G2045" s="36">
        <v>639050</v>
      </c>
      <c r="H2045" s="36" t="s">
        <v>2113</v>
      </c>
      <c r="I2045" s="37">
        <v>3.0700000000000002E-2</v>
      </c>
      <c r="J2045" s="7"/>
      <c r="K2045" s="7" t="str">
        <f>VLOOKUP($E2045,Mapping!$E$11:$I$96,3,0)</f>
        <v>Augmentation</v>
      </c>
      <c r="L2045" s="7" t="str">
        <f>VLOOKUP($G2045,Mapping!$E$140:$K$2771,5,0)</f>
        <v>PNS Fleet &amp; Property OH</v>
      </c>
      <c r="M2045" s="7" t="str">
        <f>VLOOKUP($G2045,Mapping!$E$140:$K$2771,7,0)</f>
        <v>OH</v>
      </c>
      <c r="N2045" s="7" t="str">
        <f>IFERROR(HLOOKUP(L2045,'Calc|Weightings'!$K$5:$M$5,1,0),"Excl")</f>
        <v>Excl</v>
      </c>
      <c r="O2045" s="7" t="str">
        <f>VLOOKUP(E2045,Mapping!$E$11:$I$96,5,0)</f>
        <v>SCS</v>
      </c>
      <c r="Q2045" s="7"/>
      <c r="R2045" s="7"/>
      <c r="S2045" s="7"/>
      <c r="T2045" s="7"/>
      <c r="U2045" s="7"/>
      <c r="V2045" s="7"/>
      <c r="AC2045" s="7"/>
      <c r="AD2045" s="7"/>
      <c r="AE2045" s="7"/>
      <c r="AF2045" s="7"/>
      <c r="AG2045" s="7"/>
      <c r="AO2045" s="7"/>
      <c r="AP2045" s="7"/>
      <c r="AQ2045" s="7"/>
      <c r="AR2045" s="7"/>
      <c r="AS2045" s="7"/>
    </row>
    <row r="2046" spans="1:45" x14ac:dyDescent="0.2">
      <c r="A2046" s="7"/>
      <c r="B2046" s="7"/>
      <c r="C2046" s="7"/>
      <c r="D2046" s="7"/>
      <c r="E2046" s="36">
        <v>168</v>
      </c>
      <c r="F2046" s="36" t="s">
        <v>2176</v>
      </c>
      <c r="G2046" s="36">
        <v>520100</v>
      </c>
      <c r="H2046" s="36" t="s">
        <v>2072</v>
      </c>
      <c r="I2046" s="37">
        <v>272.19148000000001</v>
      </c>
      <c r="J2046" s="7"/>
      <c r="K2046" s="7" t="str">
        <f>VLOOKUP($E2046,Mapping!$E$11:$I$96,3,0)</f>
        <v>Augmentation</v>
      </c>
      <c r="L2046" s="7" t="str">
        <f>VLOOKUP($G2046,Mapping!$E$140:$K$2771,5,0)</f>
        <v>Materials</v>
      </c>
      <c r="M2046" s="7" t="str">
        <f>VLOOKUP($G2046,Mapping!$E$140:$K$2771,7,0)</f>
        <v>ENDirect</v>
      </c>
      <c r="N2046" s="7" t="str">
        <f>IFERROR(HLOOKUP(L2046,'Calc|Weightings'!$K$5:$M$5,1,0),"Excl")</f>
        <v>Materials</v>
      </c>
      <c r="O2046" s="7" t="str">
        <f>VLOOKUP(E2046,Mapping!$E$11:$I$96,5,0)</f>
        <v>SCS</v>
      </c>
      <c r="Q2046" s="7"/>
      <c r="R2046" s="7"/>
      <c r="S2046" s="7"/>
      <c r="T2046" s="7"/>
      <c r="U2046" s="7"/>
      <c r="V2046" s="7"/>
      <c r="AC2046" s="7"/>
      <c r="AD2046" s="7"/>
      <c r="AE2046" s="7"/>
      <c r="AF2046" s="7"/>
      <c r="AG2046" s="7"/>
      <c r="AO2046" s="7"/>
      <c r="AP2046" s="7"/>
      <c r="AQ2046" s="7"/>
      <c r="AR2046" s="7"/>
      <c r="AS2046" s="7"/>
    </row>
    <row r="2047" spans="1:45" x14ac:dyDescent="0.2">
      <c r="A2047" s="7"/>
      <c r="B2047" s="7"/>
      <c r="C2047" s="7"/>
      <c r="D2047" s="7"/>
      <c r="E2047" s="36">
        <v>168</v>
      </c>
      <c r="F2047" s="36" t="s">
        <v>2176</v>
      </c>
      <c r="G2047" s="36">
        <v>520150</v>
      </c>
      <c r="H2047" s="36" t="s">
        <v>2205</v>
      </c>
      <c r="I2047" s="37">
        <v>2.4391099999999999</v>
      </c>
      <c r="J2047" s="7"/>
      <c r="K2047" s="7" t="str">
        <f>VLOOKUP($E2047,Mapping!$E$11:$I$96,3,0)</f>
        <v>Augmentation</v>
      </c>
      <c r="L2047" s="7" t="str">
        <f>VLOOKUP($G2047,Mapping!$E$140:$K$2771,5,0)</f>
        <v>Materials</v>
      </c>
      <c r="M2047" s="7" t="str">
        <f>VLOOKUP($G2047,Mapping!$E$140:$K$2771,7,0)</f>
        <v>ENDirect</v>
      </c>
      <c r="N2047" s="7" t="str">
        <f>IFERROR(HLOOKUP(L2047,'Calc|Weightings'!$K$5:$M$5,1,0),"Excl")</f>
        <v>Materials</v>
      </c>
      <c r="O2047" s="7" t="str">
        <f>VLOOKUP(E2047,Mapping!$E$11:$I$96,5,0)</f>
        <v>SCS</v>
      </c>
      <c r="Q2047" s="7"/>
      <c r="R2047" s="7"/>
      <c r="S2047" s="7"/>
      <c r="T2047" s="7"/>
      <c r="U2047" s="7"/>
      <c r="V2047" s="7"/>
      <c r="AC2047" s="7"/>
      <c r="AD2047" s="7"/>
      <c r="AE2047" s="7"/>
      <c r="AF2047" s="7"/>
      <c r="AG2047" s="7"/>
      <c r="AO2047" s="7"/>
      <c r="AP2047" s="7"/>
      <c r="AQ2047" s="7"/>
      <c r="AR2047" s="7"/>
      <c r="AS2047" s="7"/>
    </row>
    <row r="2048" spans="1:45" x14ac:dyDescent="0.2">
      <c r="A2048" s="7"/>
      <c r="B2048" s="7"/>
      <c r="C2048" s="7"/>
      <c r="D2048" s="7"/>
      <c r="E2048" s="36">
        <v>168</v>
      </c>
      <c r="F2048" s="36" t="s">
        <v>2176</v>
      </c>
      <c r="G2048" s="36">
        <v>520200</v>
      </c>
      <c r="H2048" s="36" t="s">
        <v>2073</v>
      </c>
      <c r="I2048" s="37">
        <v>77.173100000000005</v>
      </c>
      <c r="J2048" s="7"/>
      <c r="K2048" s="7" t="str">
        <f>VLOOKUP($E2048,Mapping!$E$11:$I$96,3,0)</f>
        <v>Augmentation</v>
      </c>
      <c r="L2048" s="7" t="str">
        <f>VLOOKUP($G2048,Mapping!$E$140:$K$2771,5,0)</f>
        <v>Materials</v>
      </c>
      <c r="M2048" s="7" t="str">
        <f>VLOOKUP($G2048,Mapping!$E$140:$K$2771,7,0)</f>
        <v>ENDirect</v>
      </c>
      <c r="N2048" s="7" t="str">
        <f>IFERROR(HLOOKUP(L2048,'Calc|Weightings'!$K$5:$M$5,1,0),"Excl")</f>
        <v>Materials</v>
      </c>
      <c r="O2048" s="7" t="str">
        <f>VLOOKUP(E2048,Mapping!$E$11:$I$96,5,0)</f>
        <v>SCS</v>
      </c>
      <c r="Q2048" s="7"/>
      <c r="R2048" s="7"/>
      <c r="S2048" s="7"/>
      <c r="T2048" s="7"/>
      <c r="U2048" s="7"/>
      <c r="V2048" s="7"/>
      <c r="AC2048" s="7"/>
      <c r="AD2048" s="7"/>
      <c r="AE2048" s="7"/>
      <c r="AF2048" s="7"/>
      <c r="AG2048" s="7"/>
      <c r="AO2048" s="7"/>
      <c r="AP2048" s="7"/>
      <c r="AQ2048" s="7"/>
      <c r="AR2048" s="7"/>
      <c r="AS2048" s="7"/>
    </row>
    <row r="2049" spans="1:45" x14ac:dyDescent="0.2">
      <c r="A2049" s="7"/>
      <c r="B2049" s="7"/>
      <c r="C2049" s="7"/>
      <c r="D2049" s="7"/>
      <c r="E2049" s="36">
        <v>168</v>
      </c>
      <c r="F2049" s="36" t="s">
        <v>2176</v>
      </c>
      <c r="G2049" s="36">
        <v>523100</v>
      </c>
      <c r="H2049" s="36" t="s">
        <v>2074</v>
      </c>
      <c r="I2049" s="37">
        <v>0.57489000000000001</v>
      </c>
      <c r="J2049" s="7"/>
      <c r="K2049" s="7" t="str">
        <f>VLOOKUP($E2049,Mapping!$E$11:$I$96,3,0)</f>
        <v>Augmentation</v>
      </c>
      <c r="L2049" s="7" t="str">
        <f>VLOOKUP($G2049,Mapping!$E$140:$K$2771,5,0)</f>
        <v>Materials</v>
      </c>
      <c r="M2049" s="7" t="str">
        <f>VLOOKUP($G2049,Mapping!$E$140:$K$2771,7,0)</f>
        <v>ENDirect</v>
      </c>
      <c r="N2049" s="7" t="str">
        <f>IFERROR(HLOOKUP(L2049,'Calc|Weightings'!$K$5:$M$5,1,0),"Excl")</f>
        <v>Materials</v>
      </c>
      <c r="O2049" s="7" t="str">
        <f>VLOOKUP(E2049,Mapping!$E$11:$I$96,5,0)</f>
        <v>SCS</v>
      </c>
      <c r="Q2049" s="7"/>
      <c r="R2049" s="7"/>
      <c r="S2049" s="7"/>
      <c r="T2049" s="7"/>
      <c r="U2049" s="7"/>
      <c r="V2049" s="7"/>
      <c r="AC2049" s="7"/>
      <c r="AD2049" s="7"/>
      <c r="AE2049" s="7"/>
      <c r="AF2049" s="7"/>
      <c r="AG2049" s="7"/>
      <c r="AO2049" s="7"/>
      <c r="AP2049" s="7"/>
      <c r="AQ2049" s="7"/>
      <c r="AR2049" s="7"/>
      <c r="AS2049" s="7"/>
    </row>
    <row r="2050" spans="1:45" x14ac:dyDescent="0.2">
      <c r="A2050" s="7"/>
      <c r="B2050" s="7"/>
      <c r="C2050" s="7"/>
      <c r="D2050" s="7"/>
      <c r="E2050" s="36">
        <v>168</v>
      </c>
      <c r="F2050" s="36" t="s">
        <v>2176</v>
      </c>
      <c r="G2050" s="36">
        <v>523300</v>
      </c>
      <c r="H2050" s="36" t="s">
        <v>2075</v>
      </c>
      <c r="I2050" s="37">
        <v>2.0998000000000001</v>
      </c>
      <c r="J2050" s="7"/>
      <c r="K2050" s="7" t="str">
        <f>VLOOKUP($E2050,Mapping!$E$11:$I$96,3,0)</f>
        <v>Augmentation</v>
      </c>
      <c r="L2050" s="7" t="str">
        <f>VLOOKUP($G2050,Mapping!$E$140:$K$2771,5,0)</f>
        <v>Materials</v>
      </c>
      <c r="M2050" s="7" t="str">
        <f>VLOOKUP($G2050,Mapping!$E$140:$K$2771,7,0)</f>
        <v>ENDirect</v>
      </c>
      <c r="N2050" s="7" t="str">
        <f>IFERROR(HLOOKUP(L2050,'Calc|Weightings'!$K$5:$M$5,1,0),"Excl")</f>
        <v>Materials</v>
      </c>
      <c r="O2050" s="7" t="str">
        <f>VLOOKUP(E2050,Mapping!$E$11:$I$96,5,0)</f>
        <v>SCS</v>
      </c>
      <c r="Q2050" s="7"/>
      <c r="R2050" s="7"/>
      <c r="S2050" s="7"/>
      <c r="T2050" s="7"/>
      <c r="U2050" s="7"/>
      <c r="V2050" s="7"/>
      <c r="AC2050" s="7"/>
      <c r="AD2050" s="7"/>
      <c r="AE2050" s="7"/>
      <c r="AF2050" s="7"/>
      <c r="AG2050" s="7"/>
      <c r="AO2050" s="7"/>
      <c r="AP2050" s="7"/>
      <c r="AQ2050" s="7"/>
      <c r="AR2050" s="7"/>
      <c r="AS2050" s="7"/>
    </row>
    <row r="2051" spans="1:45" x14ac:dyDescent="0.2">
      <c r="A2051" s="7"/>
      <c r="B2051" s="7"/>
      <c r="C2051" s="7"/>
      <c r="D2051" s="7"/>
      <c r="E2051" s="36">
        <v>168</v>
      </c>
      <c r="F2051" s="36" t="s">
        <v>2176</v>
      </c>
      <c r="G2051" s="36">
        <v>525000</v>
      </c>
      <c r="H2051" s="36" t="s">
        <v>2183</v>
      </c>
      <c r="I2051" s="37">
        <v>0.30812</v>
      </c>
      <c r="J2051" s="7"/>
      <c r="K2051" s="7" t="str">
        <f>VLOOKUP($E2051,Mapping!$E$11:$I$96,3,0)</f>
        <v>Augmentation</v>
      </c>
      <c r="L2051" s="7" t="str">
        <f>VLOOKUP($G2051,Mapping!$E$140:$K$2771,5,0)</f>
        <v>Materials</v>
      </c>
      <c r="M2051" s="7" t="str">
        <f>VLOOKUP($G2051,Mapping!$E$140:$K$2771,7,0)</f>
        <v>ENDirect</v>
      </c>
      <c r="N2051" s="7" t="str">
        <f>IFERROR(HLOOKUP(L2051,'Calc|Weightings'!$K$5:$M$5,1,0),"Excl")</f>
        <v>Materials</v>
      </c>
      <c r="O2051" s="7" t="str">
        <f>VLOOKUP(E2051,Mapping!$E$11:$I$96,5,0)</f>
        <v>SCS</v>
      </c>
      <c r="Q2051" s="7"/>
      <c r="R2051" s="7"/>
      <c r="S2051" s="7"/>
      <c r="T2051" s="7"/>
      <c r="U2051" s="7"/>
      <c r="V2051" s="7"/>
      <c r="AC2051" s="7"/>
      <c r="AD2051" s="7"/>
      <c r="AE2051" s="7"/>
      <c r="AF2051" s="7"/>
      <c r="AG2051" s="7"/>
      <c r="AO2051" s="7"/>
      <c r="AP2051" s="7"/>
      <c r="AQ2051" s="7"/>
      <c r="AR2051" s="7"/>
      <c r="AS2051" s="7"/>
    </row>
    <row r="2052" spans="1:45" x14ac:dyDescent="0.2">
      <c r="A2052" s="7"/>
      <c r="B2052" s="7"/>
      <c r="C2052" s="7"/>
      <c r="D2052" s="7"/>
      <c r="E2052" s="36">
        <v>168</v>
      </c>
      <c r="F2052" s="36" t="s">
        <v>2176</v>
      </c>
      <c r="G2052" s="36">
        <v>531000</v>
      </c>
      <c r="H2052" s="36" t="s">
        <v>242</v>
      </c>
      <c r="I2052" s="37">
        <v>0.51283000000000001</v>
      </c>
      <c r="J2052" s="7"/>
      <c r="K2052" s="7" t="str">
        <f>VLOOKUP($E2052,Mapping!$E$11:$I$96,3,0)</f>
        <v>Augmentation</v>
      </c>
      <c r="L2052" s="7" t="str">
        <f>VLOOKUP($G2052,Mapping!$E$140:$K$2771,5,0)</f>
        <v>Contracts</v>
      </c>
      <c r="M2052" s="7" t="str">
        <f>VLOOKUP($G2052,Mapping!$E$140:$K$2771,7,0)</f>
        <v>ENDirect</v>
      </c>
      <c r="N2052" s="7" t="str">
        <f>IFERROR(HLOOKUP(L2052,'Calc|Weightings'!$K$5:$M$5,1,0),"Excl")</f>
        <v>Contracts</v>
      </c>
      <c r="O2052" s="7" t="str">
        <f>VLOOKUP(E2052,Mapping!$E$11:$I$96,5,0)</f>
        <v>SCS</v>
      </c>
      <c r="Q2052" s="7"/>
      <c r="R2052" s="7"/>
      <c r="S2052" s="7"/>
      <c r="T2052" s="7"/>
      <c r="U2052" s="7"/>
      <c r="V2052" s="7"/>
      <c r="AC2052" s="7"/>
      <c r="AD2052" s="7"/>
      <c r="AE2052" s="7"/>
      <c r="AF2052" s="7"/>
      <c r="AG2052" s="7"/>
      <c r="AO2052" s="7"/>
      <c r="AP2052" s="7"/>
      <c r="AQ2052" s="7"/>
      <c r="AR2052" s="7"/>
      <c r="AS2052" s="7"/>
    </row>
    <row r="2053" spans="1:45" x14ac:dyDescent="0.2">
      <c r="A2053" s="7"/>
      <c r="B2053" s="7"/>
      <c r="C2053" s="7"/>
      <c r="D2053" s="7"/>
      <c r="E2053" s="36">
        <v>168</v>
      </c>
      <c r="F2053" s="36" t="s">
        <v>2176</v>
      </c>
      <c r="G2053" s="36">
        <v>531200</v>
      </c>
      <c r="H2053" s="36" t="s">
        <v>250</v>
      </c>
      <c r="I2053" s="37">
        <v>36.945799999999998</v>
      </c>
      <c r="J2053" s="7"/>
      <c r="K2053" s="7" t="str">
        <f>VLOOKUP($E2053,Mapping!$E$11:$I$96,3,0)</f>
        <v>Augmentation</v>
      </c>
      <c r="L2053" s="7" t="str">
        <f>VLOOKUP($G2053,Mapping!$E$140:$K$2771,5,0)</f>
        <v>Contracts</v>
      </c>
      <c r="M2053" s="7" t="str">
        <f>VLOOKUP($G2053,Mapping!$E$140:$K$2771,7,0)</f>
        <v>ENDirect</v>
      </c>
      <c r="N2053" s="7" t="str">
        <f>IFERROR(HLOOKUP(L2053,'Calc|Weightings'!$K$5:$M$5,1,0),"Excl")</f>
        <v>Contracts</v>
      </c>
      <c r="O2053" s="7" t="str">
        <f>VLOOKUP(E2053,Mapping!$E$11:$I$96,5,0)</f>
        <v>SCS</v>
      </c>
      <c r="Q2053" s="7"/>
      <c r="R2053" s="7"/>
      <c r="S2053" s="7"/>
      <c r="T2053" s="7"/>
      <c r="U2053" s="7"/>
      <c r="V2053" s="7"/>
      <c r="AC2053" s="7"/>
      <c r="AD2053" s="7"/>
      <c r="AE2053" s="7"/>
      <c r="AF2053" s="7"/>
      <c r="AG2053" s="7"/>
      <c r="AO2053" s="7"/>
      <c r="AP2053" s="7"/>
      <c r="AQ2053" s="7"/>
      <c r="AR2053" s="7"/>
      <c r="AS2053" s="7"/>
    </row>
    <row r="2054" spans="1:45" x14ac:dyDescent="0.2">
      <c r="A2054" s="7"/>
      <c r="B2054" s="7"/>
      <c r="C2054" s="7"/>
      <c r="D2054" s="7"/>
      <c r="E2054" s="36">
        <v>168</v>
      </c>
      <c r="F2054" s="36" t="s">
        <v>2176</v>
      </c>
      <c r="G2054" s="36">
        <v>531201</v>
      </c>
      <c r="H2054" s="36" t="s">
        <v>251</v>
      </c>
      <c r="I2054" s="37">
        <v>83.693160000000006</v>
      </c>
      <c r="J2054" s="7"/>
      <c r="K2054" s="7" t="str">
        <f>VLOOKUP($E2054,Mapping!$E$11:$I$96,3,0)</f>
        <v>Augmentation</v>
      </c>
      <c r="L2054" s="7" t="str">
        <f>VLOOKUP($G2054,Mapping!$E$140:$K$2771,5,0)</f>
        <v>Contracts</v>
      </c>
      <c r="M2054" s="7" t="str">
        <f>VLOOKUP($G2054,Mapping!$E$140:$K$2771,7,0)</f>
        <v>ENDirect</v>
      </c>
      <c r="N2054" s="7" t="str">
        <f>IFERROR(HLOOKUP(L2054,'Calc|Weightings'!$K$5:$M$5,1,0),"Excl")</f>
        <v>Contracts</v>
      </c>
      <c r="O2054" s="7" t="str">
        <f>VLOOKUP(E2054,Mapping!$E$11:$I$96,5,0)</f>
        <v>SCS</v>
      </c>
      <c r="Q2054" s="7"/>
      <c r="R2054" s="7"/>
      <c r="S2054" s="7"/>
      <c r="T2054" s="7"/>
      <c r="U2054" s="7"/>
      <c r="V2054" s="7"/>
      <c r="AC2054" s="7"/>
      <c r="AD2054" s="7"/>
      <c r="AE2054" s="7"/>
      <c r="AF2054" s="7"/>
      <c r="AG2054" s="7"/>
      <c r="AO2054" s="7"/>
      <c r="AP2054" s="7"/>
      <c r="AQ2054" s="7"/>
      <c r="AR2054" s="7"/>
      <c r="AS2054" s="7"/>
    </row>
    <row r="2055" spans="1:45" x14ac:dyDescent="0.2">
      <c r="A2055" s="7"/>
      <c r="B2055" s="7"/>
      <c r="C2055" s="7"/>
      <c r="D2055" s="7"/>
      <c r="E2055" s="36">
        <v>168</v>
      </c>
      <c r="F2055" s="36" t="s">
        <v>2176</v>
      </c>
      <c r="G2055" s="36">
        <v>531464</v>
      </c>
      <c r="H2055" s="36" t="s">
        <v>256</v>
      </c>
      <c r="I2055" s="37">
        <v>40.247729999999997</v>
      </c>
      <c r="J2055" s="7"/>
      <c r="K2055" s="7" t="str">
        <f>VLOOKUP($E2055,Mapping!$E$11:$I$96,3,0)</f>
        <v>Augmentation</v>
      </c>
      <c r="L2055" s="7" t="str">
        <f>VLOOKUP($G2055,Mapping!$E$140:$K$2771,5,0)</f>
        <v>Contracts</v>
      </c>
      <c r="M2055" s="7" t="str">
        <f>VLOOKUP($G2055,Mapping!$E$140:$K$2771,7,0)</f>
        <v>ENDirect</v>
      </c>
      <c r="N2055" s="7" t="str">
        <f>IFERROR(HLOOKUP(L2055,'Calc|Weightings'!$K$5:$M$5,1,0),"Excl")</f>
        <v>Contracts</v>
      </c>
      <c r="O2055" s="7" t="str">
        <f>VLOOKUP(E2055,Mapping!$E$11:$I$96,5,0)</f>
        <v>SCS</v>
      </c>
      <c r="Q2055" s="7"/>
      <c r="R2055" s="7"/>
      <c r="S2055" s="7"/>
      <c r="T2055" s="7"/>
      <c r="U2055" s="7"/>
      <c r="V2055" s="7"/>
      <c r="AC2055" s="7"/>
      <c r="AD2055" s="7"/>
      <c r="AE2055" s="7"/>
      <c r="AF2055" s="7"/>
      <c r="AG2055" s="7"/>
      <c r="AO2055" s="7"/>
      <c r="AP2055" s="7"/>
      <c r="AQ2055" s="7"/>
      <c r="AR2055" s="7"/>
      <c r="AS2055" s="7"/>
    </row>
    <row r="2056" spans="1:45" x14ac:dyDescent="0.2">
      <c r="A2056" s="7"/>
      <c r="B2056" s="7"/>
      <c r="C2056" s="7"/>
      <c r="D2056" s="7"/>
      <c r="E2056" s="36">
        <v>168</v>
      </c>
      <c r="F2056" s="36" t="s">
        <v>2176</v>
      </c>
      <c r="G2056" s="36">
        <v>531466</v>
      </c>
      <c r="H2056" s="36" t="s">
        <v>258</v>
      </c>
      <c r="I2056" s="37">
        <v>217.73934</v>
      </c>
      <c r="J2056" s="7"/>
      <c r="K2056" s="7" t="str">
        <f>VLOOKUP($E2056,Mapping!$E$11:$I$96,3,0)</f>
        <v>Augmentation</v>
      </c>
      <c r="L2056" s="7" t="str">
        <f>VLOOKUP($G2056,Mapping!$E$140:$K$2771,5,0)</f>
        <v>Contracts</v>
      </c>
      <c r="M2056" s="7" t="str">
        <f>VLOOKUP($G2056,Mapping!$E$140:$K$2771,7,0)</f>
        <v>ENDirect</v>
      </c>
      <c r="N2056" s="7" t="str">
        <f>IFERROR(HLOOKUP(L2056,'Calc|Weightings'!$K$5:$M$5,1,0),"Excl")</f>
        <v>Contracts</v>
      </c>
      <c r="O2056" s="7" t="str">
        <f>VLOOKUP(E2056,Mapping!$E$11:$I$96,5,0)</f>
        <v>SCS</v>
      </c>
      <c r="Q2056" s="7"/>
      <c r="R2056" s="7"/>
      <c r="S2056" s="7"/>
      <c r="T2056" s="7"/>
      <c r="U2056" s="7"/>
      <c r="V2056" s="7"/>
      <c r="AC2056" s="7"/>
      <c r="AD2056" s="7"/>
      <c r="AE2056" s="7"/>
      <c r="AF2056" s="7"/>
      <c r="AG2056" s="7"/>
      <c r="AO2056" s="7"/>
      <c r="AP2056" s="7"/>
      <c r="AQ2056" s="7"/>
      <c r="AR2056" s="7"/>
      <c r="AS2056" s="7"/>
    </row>
    <row r="2057" spans="1:45" x14ac:dyDescent="0.2">
      <c r="A2057" s="7"/>
      <c r="B2057" s="7"/>
      <c r="C2057" s="7"/>
      <c r="D2057" s="7"/>
      <c r="E2057" s="36">
        <v>168</v>
      </c>
      <c r="F2057" s="36" t="s">
        <v>2176</v>
      </c>
      <c r="G2057" s="36">
        <v>531467</v>
      </c>
      <c r="H2057" s="36" t="s">
        <v>259</v>
      </c>
      <c r="I2057" s="37">
        <v>13.31188</v>
      </c>
      <c r="J2057" s="7"/>
      <c r="K2057" s="7" t="str">
        <f>VLOOKUP($E2057,Mapping!$E$11:$I$96,3,0)</f>
        <v>Augmentation</v>
      </c>
      <c r="L2057" s="7" t="str">
        <f>VLOOKUP($G2057,Mapping!$E$140:$K$2771,5,0)</f>
        <v>Contracts</v>
      </c>
      <c r="M2057" s="7" t="str">
        <f>VLOOKUP($G2057,Mapping!$E$140:$K$2771,7,0)</f>
        <v>ENDirect</v>
      </c>
      <c r="N2057" s="7" t="str">
        <f>IFERROR(HLOOKUP(L2057,'Calc|Weightings'!$K$5:$M$5,1,0),"Excl")</f>
        <v>Contracts</v>
      </c>
      <c r="O2057" s="7" t="str">
        <f>VLOOKUP(E2057,Mapping!$E$11:$I$96,5,0)</f>
        <v>SCS</v>
      </c>
      <c r="Q2057" s="7"/>
      <c r="R2057" s="7"/>
      <c r="S2057" s="7"/>
      <c r="T2057" s="7"/>
      <c r="U2057" s="7"/>
      <c r="V2057" s="7"/>
      <c r="AC2057" s="7"/>
      <c r="AD2057" s="7"/>
      <c r="AE2057" s="7"/>
      <c r="AF2057" s="7"/>
      <c r="AG2057" s="7"/>
      <c r="AO2057" s="7"/>
      <c r="AP2057" s="7"/>
      <c r="AQ2057" s="7"/>
      <c r="AR2057" s="7"/>
      <c r="AS2057" s="7"/>
    </row>
    <row r="2058" spans="1:45" x14ac:dyDescent="0.2">
      <c r="A2058" s="7"/>
      <c r="B2058" s="7"/>
      <c r="C2058" s="7"/>
      <c r="D2058" s="7"/>
      <c r="E2058" s="36">
        <v>168</v>
      </c>
      <c r="F2058" s="36" t="s">
        <v>2176</v>
      </c>
      <c r="G2058" s="36">
        <v>531468</v>
      </c>
      <c r="H2058" s="36" t="s">
        <v>260</v>
      </c>
      <c r="I2058" s="37">
        <v>4.7320500000000001</v>
      </c>
      <c r="J2058" s="7"/>
      <c r="K2058" s="7" t="str">
        <f>VLOOKUP($E2058,Mapping!$E$11:$I$96,3,0)</f>
        <v>Augmentation</v>
      </c>
      <c r="L2058" s="7" t="str">
        <f>VLOOKUP($G2058,Mapping!$E$140:$K$2771,5,0)</f>
        <v>Contracts</v>
      </c>
      <c r="M2058" s="7" t="str">
        <f>VLOOKUP($G2058,Mapping!$E$140:$K$2771,7,0)</f>
        <v>ENDirect</v>
      </c>
      <c r="N2058" s="7" t="str">
        <f>IFERROR(HLOOKUP(L2058,'Calc|Weightings'!$K$5:$M$5,1,0),"Excl")</f>
        <v>Contracts</v>
      </c>
      <c r="O2058" s="7" t="str">
        <f>VLOOKUP(E2058,Mapping!$E$11:$I$96,5,0)</f>
        <v>SCS</v>
      </c>
      <c r="Q2058" s="7"/>
      <c r="R2058" s="7"/>
      <c r="S2058" s="7"/>
      <c r="T2058" s="7"/>
      <c r="U2058" s="7"/>
      <c r="V2058" s="7"/>
      <c r="AC2058" s="7"/>
      <c r="AD2058" s="7"/>
      <c r="AE2058" s="7"/>
      <c r="AF2058" s="7"/>
      <c r="AG2058" s="7"/>
      <c r="AO2058" s="7"/>
      <c r="AP2058" s="7"/>
      <c r="AQ2058" s="7"/>
      <c r="AR2058" s="7"/>
      <c r="AS2058" s="7"/>
    </row>
    <row r="2059" spans="1:45" x14ac:dyDescent="0.2">
      <c r="A2059" s="7"/>
      <c r="B2059" s="7"/>
      <c r="C2059" s="7"/>
      <c r="D2059" s="7"/>
      <c r="E2059" s="36">
        <v>168</v>
      </c>
      <c r="F2059" s="36" t="s">
        <v>2176</v>
      </c>
      <c r="G2059" s="36">
        <v>531469</v>
      </c>
      <c r="H2059" s="36" t="s">
        <v>261</v>
      </c>
      <c r="I2059" s="37">
        <v>177.72771</v>
      </c>
      <c r="J2059" s="7"/>
      <c r="K2059" s="7" t="str">
        <f>VLOOKUP($E2059,Mapping!$E$11:$I$96,3,0)</f>
        <v>Augmentation</v>
      </c>
      <c r="L2059" s="7" t="str">
        <f>VLOOKUP($G2059,Mapping!$E$140:$K$2771,5,0)</f>
        <v>Labour</v>
      </c>
      <c r="M2059" s="7" t="str">
        <f>VLOOKUP($G2059,Mapping!$E$140:$K$2771,7,0)</f>
        <v>ENDirect</v>
      </c>
      <c r="N2059" s="7" t="str">
        <f>IFERROR(HLOOKUP(L2059,'Calc|Weightings'!$K$5:$M$5,1,0),"Excl")</f>
        <v>Labour</v>
      </c>
      <c r="O2059" s="7" t="str">
        <f>VLOOKUP(E2059,Mapping!$E$11:$I$96,5,0)</f>
        <v>SCS</v>
      </c>
      <c r="Q2059" s="7"/>
      <c r="R2059" s="7"/>
      <c r="S2059" s="7"/>
      <c r="T2059" s="7"/>
      <c r="U2059" s="7"/>
      <c r="V2059" s="7"/>
      <c r="AC2059" s="7"/>
      <c r="AD2059" s="7"/>
      <c r="AE2059" s="7"/>
      <c r="AF2059" s="7"/>
      <c r="AG2059" s="7"/>
      <c r="AO2059" s="7"/>
      <c r="AP2059" s="7"/>
      <c r="AQ2059" s="7"/>
      <c r="AR2059" s="7"/>
      <c r="AS2059" s="7"/>
    </row>
    <row r="2060" spans="1:45" x14ac:dyDescent="0.2">
      <c r="A2060" s="7"/>
      <c r="B2060" s="7"/>
      <c r="C2060" s="7"/>
      <c r="D2060" s="7"/>
      <c r="E2060" s="36">
        <v>168</v>
      </c>
      <c r="F2060" s="36" t="s">
        <v>2176</v>
      </c>
      <c r="G2060" s="36">
        <v>531495</v>
      </c>
      <c r="H2060" s="36" t="s">
        <v>2353</v>
      </c>
      <c r="I2060" s="37">
        <v>0.59694000000000003</v>
      </c>
      <c r="J2060" s="7"/>
      <c r="K2060" s="7" t="str">
        <f>VLOOKUP($E2060,Mapping!$E$11:$I$96,3,0)</f>
        <v>Augmentation</v>
      </c>
      <c r="L2060" s="7" t="str">
        <f>VLOOKUP($G2060,Mapping!$E$140:$K$2771,5,0)</f>
        <v>Contracts</v>
      </c>
      <c r="M2060" s="7" t="str">
        <f>VLOOKUP($G2060,Mapping!$E$140:$K$2771,7,0)</f>
        <v>ENDirect</v>
      </c>
      <c r="N2060" s="7" t="str">
        <f>IFERROR(HLOOKUP(L2060,'Calc|Weightings'!$K$5:$M$5,1,0),"Excl")</f>
        <v>Contracts</v>
      </c>
      <c r="O2060" s="7" t="str">
        <f>VLOOKUP(E2060,Mapping!$E$11:$I$96,5,0)</f>
        <v>SCS</v>
      </c>
      <c r="Q2060" s="7"/>
      <c r="R2060" s="7"/>
      <c r="S2060" s="7"/>
      <c r="T2060" s="7"/>
      <c r="U2060" s="7"/>
      <c r="V2060" s="7"/>
      <c r="AC2060" s="7"/>
      <c r="AD2060" s="7"/>
      <c r="AE2060" s="7"/>
      <c r="AF2060" s="7"/>
      <c r="AG2060" s="7"/>
      <c r="AO2060" s="7"/>
      <c r="AP2060" s="7"/>
      <c r="AQ2060" s="7"/>
      <c r="AR2060" s="7"/>
      <c r="AS2060" s="7"/>
    </row>
    <row r="2061" spans="1:45" x14ac:dyDescent="0.2">
      <c r="A2061" s="7"/>
      <c r="B2061" s="7"/>
      <c r="C2061" s="7"/>
      <c r="D2061" s="7"/>
      <c r="E2061" s="36">
        <v>168</v>
      </c>
      <c r="F2061" s="36" t="s">
        <v>2176</v>
      </c>
      <c r="G2061" s="36">
        <v>532180</v>
      </c>
      <c r="H2061" s="36" t="s">
        <v>290</v>
      </c>
      <c r="I2061" s="37">
        <v>0.11283</v>
      </c>
      <c r="J2061" s="7"/>
      <c r="K2061" s="7" t="str">
        <f>VLOOKUP($E2061,Mapping!$E$11:$I$96,3,0)</f>
        <v>Augmentation</v>
      </c>
      <c r="L2061" s="7" t="str">
        <f>VLOOKUP($G2061,Mapping!$E$140:$K$2771,5,0)</f>
        <v>Contracts</v>
      </c>
      <c r="M2061" s="7" t="str">
        <f>VLOOKUP($G2061,Mapping!$E$140:$K$2771,7,0)</f>
        <v>ENDirect</v>
      </c>
      <c r="N2061" s="7" t="str">
        <f>IFERROR(HLOOKUP(L2061,'Calc|Weightings'!$K$5:$M$5,1,0),"Excl")</f>
        <v>Contracts</v>
      </c>
      <c r="O2061" s="7" t="str">
        <f>VLOOKUP(E2061,Mapping!$E$11:$I$96,5,0)</f>
        <v>SCS</v>
      </c>
      <c r="Q2061" s="7"/>
      <c r="R2061" s="7"/>
      <c r="S2061" s="7"/>
      <c r="T2061" s="7"/>
      <c r="U2061" s="7"/>
      <c r="V2061" s="7"/>
      <c r="AC2061" s="7"/>
      <c r="AD2061" s="7"/>
      <c r="AE2061" s="7"/>
      <c r="AF2061" s="7"/>
      <c r="AG2061" s="7"/>
      <c r="AO2061" s="7"/>
      <c r="AP2061" s="7"/>
      <c r="AQ2061" s="7"/>
      <c r="AR2061" s="7"/>
      <c r="AS2061" s="7"/>
    </row>
    <row r="2062" spans="1:45" x14ac:dyDescent="0.2">
      <c r="A2062" s="7"/>
      <c r="B2062" s="7"/>
      <c r="C2062" s="7"/>
      <c r="D2062" s="7"/>
      <c r="E2062" s="36">
        <v>168</v>
      </c>
      <c r="F2062" s="36" t="s">
        <v>2176</v>
      </c>
      <c r="G2062" s="36">
        <v>533000</v>
      </c>
      <c r="H2062" s="36" t="s">
        <v>312</v>
      </c>
      <c r="I2062" s="37">
        <v>3.9824999999999999</v>
      </c>
      <c r="J2062" s="7"/>
      <c r="K2062" s="7" t="str">
        <f>VLOOKUP($E2062,Mapping!$E$11:$I$96,3,0)</f>
        <v>Augmentation</v>
      </c>
      <c r="L2062" s="7" t="str">
        <f>VLOOKUP($G2062,Mapping!$E$140:$K$2771,5,0)</f>
        <v>Contracts</v>
      </c>
      <c r="M2062" s="7" t="str">
        <f>VLOOKUP($G2062,Mapping!$E$140:$K$2771,7,0)</f>
        <v>ENDirect</v>
      </c>
      <c r="N2062" s="7" t="str">
        <f>IFERROR(HLOOKUP(L2062,'Calc|Weightings'!$K$5:$M$5,1,0),"Excl")</f>
        <v>Contracts</v>
      </c>
      <c r="O2062" s="7" t="str">
        <f>VLOOKUP(E2062,Mapping!$E$11:$I$96,5,0)</f>
        <v>SCS</v>
      </c>
      <c r="Q2062" s="7"/>
      <c r="R2062" s="7"/>
      <c r="S2062" s="7"/>
      <c r="T2062" s="7"/>
      <c r="U2062" s="7"/>
      <c r="V2062" s="7"/>
      <c r="AC2062" s="7"/>
      <c r="AD2062" s="7"/>
      <c r="AE2062" s="7"/>
      <c r="AF2062" s="7"/>
      <c r="AG2062" s="7"/>
      <c r="AO2062" s="7"/>
      <c r="AP2062" s="7"/>
      <c r="AQ2062" s="7"/>
      <c r="AR2062" s="7"/>
      <c r="AS2062" s="7"/>
    </row>
    <row r="2063" spans="1:45" x14ac:dyDescent="0.2">
      <c r="A2063" s="7"/>
      <c r="B2063" s="7"/>
      <c r="C2063" s="7"/>
      <c r="D2063" s="7"/>
      <c r="E2063" s="36">
        <v>168</v>
      </c>
      <c r="F2063" s="36" t="s">
        <v>2176</v>
      </c>
      <c r="G2063" s="36">
        <v>545150</v>
      </c>
      <c r="H2063" s="36" t="s">
        <v>345</v>
      </c>
      <c r="I2063" s="37">
        <v>0.21815999999999999</v>
      </c>
      <c r="J2063" s="7"/>
      <c r="K2063" s="7" t="str">
        <f>VLOOKUP($E2063,Mapping!$E$11:$I$96,3,0)</f>
        <v>Augmentation</v>
      </c>
      <c r="L2063" s="7" t="str">
        <f>VLOOKUP($G2063,Mapping!$E$140:$K$2771,5,0)</f>
        <v>Contracts</v>
      </c>
      <c r="M2063" s="7" t="str">
        <f>VLOOKUP($G2063,Mapping!$E$140:$K$2771,7,0)</f>
        <v>ENDirect</v>
      </c>
      <c r="N2063" s="7" t="str">
        <f>IFERROR(HLOOKUP(L2063,'Calc|Weightings'!$K$5:$M$5,1,0),"Excl")</f>
        <v>Contracts</v>
      </c>
      <c r="O2063" s="7" t="str">
        <f>VLOOKUP(E2063,Mapping!$E$11:$I$96,5,0)</f>
        <v>SCS</v>
      </c>
      <c r="Q2063" s="7"/>
      <c r="R2063" s="7"/>
      <c r="S2063" s="7"/>
      <c r="T2063" s="7"/>
      <c r="U2063" s="7"/>
      <c r="V2063" s="7"/>
      <c r="AC2063" s="7"/>
      <c r="AD2063" s="7"/>
      <c r="AE2063" s="7"/>
      <c r="AF2063" s="7"/>
      <c r="AG2063" s="7"/>
      <c r="AO2063" s="7"/>
      <c r="AP2063" s="7"/>
      <c r="AQ2063" s="7"/>
      <c r="AR2063" s="7"/>
      <c r="AS2063" s="7"/>
    </row>
    <row r="2064" spans="1:45" x14ac:dyDescent="0.2">
      <c r="A2064" s="7"/>
      <c r="B2064" s="7"/>
      <c r="C2064" s="7"/>
      <c r="D2064" s="7"/>
      <c r="E2064" s="36">
        <v>168</v>
      </c>
      <c r="F2064" s="36" t="s">
        <v>2176</v>
      </c>
      <c r="G2064" s="36">
        <v>582301</v>
      </c>
      <c r="H2064" s="36" t="s">
        <v>382</v>
      </c>
      <c r="I2064" s="37">
        <v>2</v>
      </c>
      <c r="J2064" s="7"/>
      <c r="K2064" s="7" t="str">
        <f>VLOOKUP($E2064,Mapping!$E$11:$I$96,3,0)</f>
        <v>Augmentation</v>
      </c>
      <c r="L2064" s="7" t="str">
        <f>VLOOKUP($G2064,Mapping!$E$140:$K$2771,5,0)</f>
        <v>Contracts</v>
      </c>
      <c r="M2064" s="7" t="str">
        <f>VLOOKUP($G2064,Mapping!$E$140:$K$2771,7,0)</f>
        <v>ENDirect</v>
      </c>
      <c r="N2064" s="7" t="str">
        <f>IFERROR(HLOOKUP(L2064,'Calc|Weightings'!$K$5:$M$5,1,0),"Excl")</f>
        <v>Contracts</v>
      </c>
      <c r="O2064" s="7" t="str">
        <f>VLOOKUP(E2064,Mapping!$E$11:$I$96,5,0)</f>
        <v>SCS</v>
      </c>
      <c r="Q2064" s="7"/>
      <c r="R2064" s="7"/>
      <c r="S2064" s="7"/>
      <c r="T2064" s="7"/>
      <c r="U2064" s="7"/>
      <c r="V2064" s="7"/>
      <c r="AC2064" s="7"/>
      <c r="AD2064" s="7"/>
      <c r="AE2064" s="7"/>
      <c r="AF2064" s="7"/>
      <c r="AG2064" s="7"/>
      <c r="AO2064" s="7"/>
      <c r="AP2064" s="7"/>
      <c r="AQ2064" s="7"/>
      <c r="AR2064" s="7"/>
      <c r="AS2064" s="7"/>
    </row>
    <row r="2065" spans="1:45" x14ac:dyDescent="0.2">
      <c r="A2065" s="7"/>
      <c r="B2065" s="7"/>
      <c r="C2065" s="7"/>
      <c r="D2065" s="7"/>
      <c r="E2065" s="36">
        <v>168</v>
      </c>
      <c r="F2065" s="36" t="s">
        <v>2176</v>
      </c>
      <c r="G2065" s="36">
        <v>591997</v>
      </c>
      <c r="H2065" s="36" t="s">
        <v>2194</v>
      </c>
      <c r="I2065" s="37">
        <v>4.471E-2</v>
      </c>
      <c r="J2065" s="7"/>
      <c r="K2065" s="7" t="str">
        <f>VLOOKUP($E2065,Mapping!$E$11:$I$96,3,0)</f>
        <v>Augmentation</v>
      </c>
      <c r="L2065" s="7" t="str">
        <f>VLOOKUP($G2065,Mapping!$E$140:$K$2771,5,0)</f>
        <v>Contracts</v>
      </c>
      <c r="M2065" s="7" t="str">
        <f>VLOOKUP($G2065,Mapping!$E$140:$K$2771,7,0)</f>
        <v>ENDirect</v>
      </c>
      <c r="N2065" s="7" t="str">
        <f>IFERROR(HLOOKUP(L2065,'Calc|Weightings'!$K$5:$M$5,1,0),"Excl")</f>
        <v>Contracts</v>
      </c>
      <c r="O2065" s="7" t="str">
        <f>VLOOKUP(E2065,Mapping!$E$11:$I$96,5,0)</f>
        <v>SCS</v>
      </c>
      <c r="Q2065" s="7"/>
      <c r="R2065" s="7"/>
      <c r="S2065" s="7"/>
      <c r="T2065" s="7"/>
      <c r="U2065" s="7"/>
      <c r="V2065" s="7"/>
      <c r="AC2065" s="7"/>
      <c r="AD2065" s="7"/>
      <c r="AE2065" s="7"/>
      <c r="AF2065" s="7"/>
      <c r="AG2065" s="7"/>
      <c r="AO2065" s="7"/>
      <c r="AP2065" s="7"/>
      <c r="AQ2065" s="7"/>
      <c r="AR2065" s="7"/>
      <c r="AS2065" s="7"/>
    </row>
    <row r="2066" spans="1:45" x14ac:dyDescent="0.2">
      <c r="A2066" s="7"/>
      <c r="B2066" s="7"/>
      <c r="C2066" s="7"/>
      <c r="D2066" s="7"/>
      <c r="E2066" s="36">
        <v>168</v>
      </c>
      <c r="F2066" s="36" t="s">
        <v>2176</v>
      </c>
      <c r="G2066" s="36">
        <v>591998</v>
      </c>
      <c r="H2066" s="36" t="s">
        <v>2077</v>
      </c>
      <c r="I2066" s="37">
        <v>2.8426200000000001</v>
      </c>
      <c r="J2066" s="7"/>
      <c r="K2066" s="7" t="str">
        <f>VLOOKUP($E2066,Mapping!$E$11:$I$96,3,0)</f>
        <v>Augmentation</v>
      </c>
      <c r="L2066" s="7" t="str">
        <f>VLOOKUP($G2066,Mapping!$E$140:$K$2771,5,0)</f>
        <v>Contracts</v>
      </c>
      <c r="M2066" s="7" t="str">
        <f>VLOOKUP($G2066,Mapping!$E$140:$K$2771,7,0)</f>
        <v>ENDirect</v>
      </c>
      <c r="N2066" s="7" t="str">
        <f>IFERROR(HLOOKUP(L2066,'Calc|Weightings'!$K$5:$M$5,1,0),"Excl")</f>
        <v>Contracts</v>
      </c>
      <c r="O2066" s="7" t="str">
        <f>VLOOKUP(E2066,Mapping!$E$11:$I$96,5,0)</f>
        <v>SCS</v>
      </c>
      <c r="Q2066" s="7"/>
      <c r="R2066" s="7"/>
      <c r="S2066" s="7"/>
      <c r="T2066" s="7"/>
      <c r="U2066" s="7"/>
      <c r="V2066" s="7"/>
      <c r="AC2066" s="7"/>
      <c r="AD2066" s="7"/>
      <c r="AE2066" s="7"/>
      <c r="AF2066" s="7"/>
      <c r="AG2066" s="7"/>
      <c r="AO2066" s="7"/>
      <c r="AP2066" s="7"/>
      <c r="AQ2066" s="7"/>
      <c r="AR2066" s="7"/>
      <c r="AS2066" s="7"/>
    </row>
    <row r="2067" spans="1:45" x14ac:dyDescent="0.2">
      <c r="A2067" s="7"/>
      <c r="B2067" s="7"/>
      <c r="C2067" s="7"/>
      <c r="D2067" s="7"/>
      <c r="E2067" s="36">
        <v>168</v>
      </c>
      <c r="F2067" s="36" t="s">
        <v>2176</v>
      </c>
      <c r="G2067" s="36">
        <v>591999</v>
      </c>
      <c r="H2067" s="36" t="s">
        <v>2195</v>
      </c>
      <c r="I2067" s="37">
        <v>-2.0245299999999999</v>
      </c>
      <c r="J2067" s="7"/>
      <c r="K2067" s="7" t="str">
        <f>VLOOKUP($E2067,Mapping!$E$11:$I$96,3,0)</f>
        <v>Augmentation</v>
      </c>
      <c r="L2067" s="7" t="str">
        <f>VLOOKUP($G2067,Mapping!$E$140:$K$2771,5,0)</f>
        <v>Contracts</v>
      </c>
      <c r="M2067" s="7" t="str">
        <f>VLOOKUP($G2067,Mapping!$E$140:$K$2771,7,0)</f>
        <v>ENDirect</v>
      </c>
      <c r="N2067" s="7" t="str">
        <f>IFERROR(HLOOKUP(L2067,'Calc|Weightings'!$K$5:$M$5,1,0),"Excl")</f>
        <v>Contracts</v>
      </c>
      <c r="O2067" s="7" t="str">
        <f>VLOOKUP(E2067,Mapping!$E$11:$I$96,5,0)</f>
        <v>SCS</v>
      </c>
      <c r="Q2067" s="7"/>
      <c r="R2067" s="7"/>
      <c r="S2067" s="7"/>
      <c r="T2067" s="7"/>
      <c r="U2067" s="7"/>
      <c r="V2067" s="7"/>
      <c r="AC2067" s="7"/>
      <c r="AD2067" s="7"/>
      <c r="AE2067" s="7"/>
      <c r="AF2067" s="7"/>
      <c r="AG2067" s="7"/>
      <c r="AO2067" s="7"/>
      <c r="AP2067" s="7"/>
      <c r="AQ2067" s="7"/>
      <c r="AR2067" s="7"/>
      <c r="AS2067" s="7"/>
    </row>
    <row r="2068" spans="1:45" x14ac:dyDescent="0.2">
      <c r="A2068" s="7"/>
      <c r="B2068" s="7"/>
      <c r="C2068" s="7"/>
      <c r="D2068" s="7"/>
      <c r="E2068" s="36">
        <v>168</v>
      </c>
      <c r="F2068" s="36" t="s">
        <v>2176</v>
      </c>
      <c r="G2068" s="36">
        <v>611900</v>
      </c>
      <c r="H2068" s="36" t="s">
        <v>2079</v>
      </c>
      <c r="I2068" s="37">
        <v>2.12147</v>
      </c>
      <c r="J2068" s="7"/>
      <c r="K2068" s="7" t="str">
        <f>VLOOKUP($E2068,Mapping!$E$11:$I$96,3,0)</f>
        <v>Augmentation</v>
      </c>
      <c r="L2068" s="7" t="str">
        <f>VLOOKUP($G2068,Mapping!$E$140:$K$2771,5,0)</f>
        <v>Contracts</v>
      </c>
      <c r="M2068" s="7" t="str">
        <f>VLOOKUP($G2068,Mapping!$E$140:$K$2771,7,0)</f>
        <v>ENDirect</v>
      </c>
      <c r="N2068" s="7" t="str">
        <f>IFERROR(HLOOKUP(L2068,'Calc|Weightings'!$K$5:$M$5,1,0),"Excl")</f>
        <v>Contracts</v>
      </c>
      <c r="O2068" s="7" t="str">
        <f>VLOOKUP(E2068,Mapping!$E$11:$I$96,5,0)</f>
        <v>SCS</v>
      </c>
      <c r="Q2068" s="7"/>
      <c r="R2068" s="7"/>
      <c r="S2068" s="7"/>
      <c r="T2068" s="7"/>
      <c r="U2068" s="7"/>
      <c r="V2068" s="7"/>
      <c r="AC2068" s="7"/>
      <c r="AD2068" s="7"/>
      <c r="AE2068" s="7"/>
      <c r="AF2068" s="7"/>
      <c r="AG2068" s="7"/>
      <c r="AO2068" s="7"/>
      <c r="AP2068" s="7"/>
      <c r="AQ2068" s="7"/>
      <c r="AR2068" s="7"/>
      <c r="AS2068" s="7"/>
    </row>
    <row r="2069" spans="1:45" x14ac:dyDescent="0.2">
      <c r="A2069" s="7"/>
      <c r="B2069" s="7"/>
      <c r="C2069" s="7"/>
      <c r="D2069" s="7"/>
      <c r="E2069" s="36">
        <v>168</v>
      </c>
      <c r="F2069" s="36" t="s">
        <v>2176</v>
      </c>
      <c r="G2069" s="36">
        <v>611901</v>
      </c>
      <c r="H2069" s="36" t="s">
        <v>2080</v>
      </c>
      <c r="I2069" s="37">
        <v>9.3507999999999996</v>
      </c>
      <c r="J2069" s="7"/>
      <c r="K2069" s="7" t="str">
        <f>VLOOKUP($E2069,Mapping!$E$11:$I$96,3,0)</f>
        <v>Augmentation</v>
      </c>
      <c r="L2069" s="7" t="str">
        <f>VLOOKUP($G2069,Mapping!$E$140:$K$2771,5,0)</f>
        <v>Contracts</v>
      </c>
      <c r="M2069" s="7" t="str">
        <f>VLOOKUP($G2069,Mapping!$E$140:$K$2771,7,0)</f>
        <v>ENDirect</v>
      </c>
      <c r="N2069" s="7" t="str">
        <f>IFERROR(HLOOKUP(L2069,'Calc|Weightings'!$K$5:$M$5,1,0),"Excl")</f>
        <v>Contracts</v>
      </c>
      <c r="O2069" s="7" t="str">
        <f>VLOOKUP(E2069,Mapping!$E$11:$I$96,5,0)</f>
        <v>SCS</v>
      </c>
      <c r="Q2069" s="7"/>
      <c r="R2069" s="7"/>
      <c r="S2069" s="7"/>
      <c r="T2069" s="7"/>
      <c r="U2069" s="7"/>
      <c r="V2069" s="7"/>
      <c r="AC2069" s="7"/>
      <c r="AD2069" s="7"/>
      <c r="AE2069" s="7"/>
      <c r="AF2069" s="7"/>
      <c r="AG2069" s="7"/>
      <c r="AO2069" s="7"/>
      <c r="AP2069" s="7"/>
      <c r="AQ2069" s="7"/>
      <c r="AR2069" s="7"/>
      <c r="AS2069" s="7"/>
    </row>
    <row r="2070" spans="1:45" x14ac:dyDescent="0.2">
      <c r="A2070" s="7"/>
      <c r="B2070" s="7"/>
      <c r="C2070" s="7"/>
      <c r="D2070" s="7"/>
      <c r="E2070" s="36">
        <v>168</v>
      </c>
      <c r="F2070" s="36" t="s">
        <v>2176</v>
      </c>
      <c r="G2070" s="36">
        <v>611902</v>
      </c>
      <c r="H2070" s="36" t="s">
        <v>2081</v>
      </c>
      <c r="I2070" s="37">
        <v>3.4525399999999999</v>
      </c>
      <c r="J2070" s="7"/>
      <c r="K2070" s="7" t="str">
        <f>VLOOKUP($E2070,Mapping!$E$11:$I$96,3,0)</f>
        <v>Augmentation</v>
      </c>
      <c r="L2070" s="7" t="str">
        <f>VLOOKUP($G2070,Mapping!$E$140:$K$2771,5,0)</f>
        <v>Contracts</v>
      </c>
      <c r="M2070" s="7" t="str">
        <f>VLOOKUP($G2070,Mapping!$E$140:$K$2771,7,0)</f>
        <v>ENDirect</v>
      </c>
      <c r="N2070" s="7" t="str">
        <f>IFERROR(HLOOKUP(L2070,'Calc|Weightings'!$K$5:$M$5,1,0),"Excl")</f>
        <v>Contracts</v>
      </c>
      <c r="O2070" s="7" t="str">
        <f>VLOOKUP(E2070,Mapping!$E$11:$I$96,5,0)</f>
        <v>SCS</v>
      </c>
      <c r="Q2070" s="7"/>
      <c r="R2070" s="7"/>
      <c r="S2070" s="7"/>
      <c r="T2070" s="7"/>
      <c r="U2070" s="7"/>
      <c r="V2070" s="7"/>
      <c r="AC2070" s="7"/>
      <c r="AD2070" s="7"/>
      <c r="AE2070" s="7"/>
      <c r="AF2070" s="7"/>
      <c r="AG2070" s="7"/>
      <c r="AO2070" s="7"/>
      <c r="AP2070" s="7"/>
      <c r="AQ2070" s="7"/>
      <c r="AR2070" s="7"/>
      <c r="AS2070" s="7"/>
    </row>
    <row r="2071" spans="1:45" x14ac:dyDescent="0.2">
      <c r="A2071" s="7"/>
      <c r="B2071" s="7"/>
      <c r="C2071" s="7"/>
      <c r="D2071" s="7"/>
      <c r="E2071" s="36">
        <v>168</v>
      </c>
      <c r="F2071" s="36" t="s">
        <v>2176</v>
      </c>
      <c r="G2071" s="36">
        <v>612210</v>
      </c>
      <c r="H2071" s="36" t="s">
        <v>1184</v>
      </c>
      <c r="I2071" s="37">
        <v>12.985889999999999</v>
      </c>
      <c r="J2071" s="7"/>
      <c r="K2071" s="7" t="str">
        <f>VLOOKUP($E2071,Mapping!$E$11:$I$96,3,0)</f>
        <v>Augmentation</v>
      </c>
      <c r="L2071" s="7" t="str">
        <f>VLOOKUP($G2071,Mapping!$E$140:$K$2771,5,0)</f>
        <v>Labour</v>
      </c>
      <c r="M2071" s="7" t="str">
        <f>VLOOKUP($G2071,Mapping!$E$140:$K$2771,7,0)</f>
        <v>ENDirect</v>
      </c>
      <c r="N2071" s="7" t="str">
        <f>IFERROR(HLOOKUP(L2071,'Calc|Weightings'!$K$5:$M$5,1,0),"Excl")</f>
        <v>Labour</v>
      </c>
      <c r="O2071" s="7" t="str">
        <f>VLOOKUP(E2071,Mapping!$E$11:$I$96,5,0)</f>
        <v>SCS</v>
      </c>
      <c r="Q2071" s="7"/>
      <c r="R2071" s="7"/>
      <c r="S2071" s="7"/>
      <c r="T2071" s="7"/>
      <c r="U2071" s="7"/>
      <c r="V2071" s="7"/>
      <c r="AC2071" s="7"/>
      <c r="AD2071" s="7"/>
      <c r="AE2071" s="7"/>
      <c r="AF2071" s="7"/>
      <c r="AG2071" s="7"/>
      <c r="AO2071" s="7"/>
      <c r="AP2071" s="7"/>
      <c r="AQ2071" s="7"/>
      <c r="AR2071" s="7"/>
      <c r="AS2071" s="7"/>
    </row>
    <row r="2072" spans="1:45" x14ac:dyDescent="0.2">
      <c r="A2072" s="7"/>
      <c r="B2072" s="7"/>
      <c r="C2072" s="7"/>
      <c r="D2072" s="7"/>
      <c r="E2072" s="36">
        <v>168</v>
      </c>
      <c r="F2072" s="36" t="s">
        <v>2176</v>
      </c>
      <c r="G2072" s="36">
        <v>612460</v>
      </c>
      <c r="H2072" s="36" t="s">
        <v>1243</v>
      </c>
      <c r="I2072" s="37">
        <v>25.995190000000001</v>
      </c>
      <c r="J2072" s="7"/>
      <c r="K2072" s="7" t="str">
        <f>VLOOKUP($E2072,Mapping!$E$11:$I$96,3,0)</f>
        <v>Augmentation</v>
      </c>
      <c r="L2072" s="7" t="str">
        <f>VLOOKUP($G2072,Mapping!$E$140:$K$2771,5,0)</f>
        <v>Labour</v>
      </c>
      <c r="M2072" s="7" t="str">
        <f>VLOOKUP($G2072,Mapping!$E$140:$K$2771,7,0)</f>
        <v>ENDirect</v>
      </c>
      <c r="N2072" s="7" t="str">
        <f>IFERROR(HLOOKUP(L2072,'Calc|Weightings'!$K$5:$M$5,1,0),"Excl")</f>
        <v>Labour</v>
      </c>
      <c r="O2072" s="7" t="str">
        <f>VLOOKUP(E2072,Mapping!$E$11:$I$96,5,0)</f>
        <v>SCS</v>
      </c>
      <c r="Q2072" s="7"/>
      <c r="R2072" s="7"/>
      <c r="S2072" s="7"/>
      <c r="T2072" s="7"/>
      <c r="U2072" s="7"/>
      <c r="V2072" s="7"/>
      <c r="AC2072" s="7"/>
      <c r="AD2072" s="7"/>
      <c r="AE2072" s="7"/>
      <c r="AF2072" s="7"/>
      <c r="AG2072" s="7"/>
      <c r="AO2072" s="7"/>
      <c r="AP2072" s="7"/>
      <c r="AQ2072" s="7"/>
      <c r="AR2072" s="7"/>
      <c r="AS2072" s="7"/>
    </row>
    <row r="2073" spans="1:45" x14ac:dyDescent="0.2">
      <c r="A2073" s="7"/>
      <c r="B2073" s="7"/>
      <c r="C2073" s="7"/>
      <c r="D2073" s="7"/>
      <c r="E2073" s="36">
        <v>168</v>
      </c>
      <c r="F2073" s="36" t="s">
        <v>2176</v>
      </c>
      <c r="G2073" s="36">
        <v>613244</v>
      </c>
      <c r="H2073" s="36" t="s">
        <v>2084</v>
      </c>
      <c r="I2073" s="37">
        <v>0.97367999999999999</v>
      </c>
      <c r="J2073" s="7"/>
      <c r="K2073" s="7" t="str">
        <f>VLOOKUP($E2073,Mapping!$E$11:$I$96,3,0)</f>
        <v>Augmentation</v>
      </c>
      <c r="L2073" s="7" t="str">
        <f>VLOOKUP($G2073,Mapping!$E$140:$K$2771,5,0)</f>
        <v>Labour</v>
      </c>
      <c r="M2073" s="7" t="str">
        <f>VLOOKUP($G2073,Mapping!$E$140:$K$2771,7,0)</f>
        <v>ENDirect</v>
      </c>
      <c r="N2073" s="7" t="str">
        <f>IFERROR(HLOOKUP(L2073,'Calc|Weightings'!$K$5:$M$5,1,0),"Excl")</f>
        <v>Labour</v>
      </c>
      <c r="O2073" s="7" t="str">
        <f>VLOOKUP(E2073,Mapping!$E$11:$I$96,5,0)</f>
        <v>SCS</v>
      </c>
      <c r="Q2073" s="7"/>
      <c r="R2073" s="7"/>
      <c r="S2073" s="7"/>
      <c r="T2073" s="7"/>
      <c r="U2073" s="7"/>
      <c r="V2073" s="7"/>
      <c r="AC2073" s="7"/>
      <c r="AD2073" s="7"/>
      <c r="AE2073" s="7"/>
      <c r="AF2073" s="7"/>
      <c r="AG2073" s="7"/>
      <c r="AO2073" s="7"/>
      <c r="AP2073" s="7"/>
      <c r="AQ2073" s="7"/>
      <c r="AR2073" s="7"/>
      <c r="AS2073" s="7"/>
    </row>
    <row r="2074" spans="1:45" x14ac:dyDescent="0.2">
      <c r="A2074" s="7"/>
      <c r="B2074" s="7"/>
      <c r="C2074" s="7"/>
      <c r="D2074" s="7"/>
      <c r="E2074" s="36">
        <v>168</v>
      </c>
      <c r="F2074" s="36" t="s">
        <v>2176</v>
      </c>
      <c r="G2074" s="36">
        <v>613245</v>
      </c>
      <c r="H2074" s="36" t="s">
        <v>2085</v>
      </c>
      <c r="I2074" s="37">
        <v>0.12171999999999999</v>
      </c>
      <c r="J2074" s="7"/>
      <c r="K2074" s="7" t="str">
        <f>VLOOKUP($E2074,Mapping!$E$11:$I$96,3,0)</f>
        <v>Augmentation</v>
      </c>
      <c r="L2074" s="7" t="str">
        <f>VLOOKUP($G2074,Mapping!$E$140:$K$2771,5,0)</f>
        <v>Labour</v>
      </c>
      <c r="M2074" s="7" t="str">
        <f>VLOOKUP($G2074,Mapping!$E$140:$K$2771,7,0)</f>
        <v>ENDirect</v>
      </c>
      <c r="N2074" s="7" t="str">
        <f>IFERROR(HLOOKUP(L2074,'Calc|Weightings'!$K$5:$M$5,1,0),"Excl")</f>
        <v>Labour</v>
      </c>
      <c r="O2074" s="7" t="str">
        <f>VLOOKUP(E2074,Mapping!$E$11:$I$96,5,0)</f>
        <v>SCS</v>
      </c>
      <c r="Q2074" s="7"/>
      <c r="R2074" s="7"/>
      <c r="S2074" s="7"/>
      <c r="T2074" s="7"/>
      <c r="U2074" s="7"/>
      <c r="V2074" s="7"/>
      <c r="AC2074" s="7"/>
      <c r="AD2074" s="7"/>
      <c r="AE2074" s="7"/>
      <c r="AF2074" s="7"/>
      <c r="AG2074" s="7"/>
      <c r="AO2074" s="7"/>
      <c r="AP2074" s="7"/>
      <c r="AQ2074" s="7"/>
      <c r="AR2074" s="7"/>
      <c r="AS2074" s="7"/>
    </row>
    <row r="2075" spans="1:45" x14ac:dyDescent="0.2">
      <c r="A2075" s="7"/>
      <c r="B2075" s="7"/>
      <c r="C2075" s="7"/>
      <c r="D2075" s="7"/>
      <c r="E2075" s="36">
        <v>168</v>
      </c>
      <c r="F2075" s="36" t="s">
        <v>2176</v>
      </c>
      <c r="G2075" s="36">
        <v>613248</v>
      </c>
      <c r="H2075" s="36" t="s">
        <v>2383</v>
      </c>
      <c r="I2075" s="37">
        <v>40.894559999999998</v>
      </c>
      <c r="J2075" s="7"/>
      <c r="K2075" s="7" t="str">
        <f>VLOOKUP($E2075,Mapping!$E$11:$I$96,3,0)</f>
        <v>Augmentation</v>
      </c>
      <c r="L2075" s="7" t="str">
        <f>VLOOKUP($G2075,Mapping!$E$140:$K$2771,5,0)</f>
        <v>Labour</v>
      </c>
      <c r="M2075" s="7" t="str">
        <f>VLOOKUP($G2075,Mapping!$E$140:$K$2771,7,0)</f>
        <v>ENDirect</v>
      </c>
      <c r="N2075" s="7" t="str">
        <f>IFERROR(HLOOKUP(L2075,'Calc|Weightings'!$K$5:$M$5,1,0),"Excl")</f>
        <v>Labour</v>
      </c>
      <c r="O2075" s="7" t="str">
        <f>VLOOKUP(E2075,Mapping!$E$11:$I$96,5,0)</f>
        <v>SCS</v>
      </c>
      <c r="Q2075" s="7"/>
      <c r="R2075" s="7"/>
      <c r="S2075" s="7"/>
      <c r="T2075" s="7"/>
      <c r="U2075" s="7"/>
      <c r="V2075" s="7"/>
      <c r="AC2075" s="7"/>
      <c r="AD2075" s="7"/>
      <c r="AE2075" s="7"/>
      <c r="AF2075" s="7"/>
      <c r="AG2075" s="7"/>
      <c r="AO2075" s="7"/>
      <c r="AP2075" s="7"/>
      <c r="AQ2075" s="7"/>
      <c r="AR2075" s="7"/>
      <c r="AS2075" s="7"/>
    </row>
    <row r="2076" spans="1:45" x14ac:dyDescent="0.2">
      <c r="A2076" s="7"/>
      <c r="B2076" s="7"/>
      <c r="C2076" s="7"/>
      <c r="D2076" s="7"/>
      <c r="E2076" s="36">
        <v>168</v>
      </c>
      <c r="F2076" s="36" t="s">
        <v>2176</v>
      </c>
      <c r="G2076" s="36">
        <v>613249</v>
      </c>
      <c r="H2076" s="36" t="s">
        <v>2384</v>
      </c>
      <c r="I2076" s="37">
        <v>1.58223</v>
      </c>
      <c r="J2076" s="7"/>
      <c r="K2076" s="7" t="str">
        <f>VLOOKUP($E2076,Mapping!$E$11:$I$96,3,0)</f>
        <v>Augmentation</v>
      </c>
      <c r="L2076" s="7" t="str">
        <f>VLOOKUP($G2076,Mapping!$E$140:$K$2771,5,0)</f>
        <v>Labour</v>
      </c>
      <c r="M2076" s="7" t="str">
        <f>VLOOKUP($G2076,Mapping!$E$140:$K$2771,7,0)</f>
        <v>ENDirect</v>
      </c>
      <c r="N2076" s="7" t="str">
        <f>IFERROR(HLOOKUP(L2076,'Calc|Weightings'!$K$5:$M$5,1,0),"Excl")</f>
        <v>Labour</v>
      </c>
      <c r="O2076" s="7" t="str">
        <f>VLOOKUP(E2076,Mapping!$E$11:$I$96,5,0)</f>
        <v>SCS</v>
      </c>
      <c r="Q2076" s="7"/>
      <c r="R2076" s="7"/>
      <c r="S2076" s="7"/>
      <c r="T2076" s="7"/>
      <c r="U2076" s="7"/>
      <c r="V2076" s="7"/>
      <c r="AC2076" s="7"/>
      <c r="AD2076" s="7"/>
      <c r="AE2076" s="7"/>
      <c r="AF2076" s="7"/>
      <c r="AG2076" s="7"/>
      <c r="AO2076" s="7"/>
      <c r="AP2076" s="7"/>
      <c r="AQ2076" s="7"/>
      <c r="AR2076" s="7"/>
      <c r="AS2076" s="7"/>
    </row>
    <row r="2077" spans="1:45" x14ac:dyDescent="0.2">
      <c r="A2077" s="7"/>
      <c r="B2077" s="7"/>
      <c r="C2077" s="7"/>
      <c r="D2077" s="7"/>
      <c r="E2077" s="36">
        <v>168</v>
      </c>
      <c r="F2077" s="36" t="s">
        <v>2176</v>
      </c>
      <c r="G2077" s="36">
        <v>613254</v>
      </c>
      <c r="H2077" s="36" t="s">
        <v>2088</v>
      </c>
      <c r="I2077" s="37">
        <v>1.0651200000000001</v>
      </c>
      <c r="J2077" s="7"/>
      <c r="K2077" s="7" t="str">
        <f>VLOOKUP($E2077,Mapping!$E$11:$I$96,3,0)</f>
        <v>Augmentation</v>
      </c>
      <c r="L2077" s="7" t="str">
        <f>VLOOKUP($G2077,Mapping!$E$140:$K$2771,5,0)</f>
        <v>Labour</v>
      </c>
      <c r="M2077" s="7" t="str">
        <f>VLOOKUP($G2077,Mapping!$E$140:$K$2771,7,0)</f>
        <v>ENDirect</v>
      </c>
      <c r="N2077" s="7" t="str">
        <f>IFERROR(HLOOKUP(L2077,'Calc|Weightings'!$K$5:$M$5,1,0),"Excl")</f>
        <v>Labour</v>
      </c>
      <c r="O2077" s="7" t="str">
        <f>VLOOKUP(E2077,Mapping!$E$11:$I$96,5,0)</f>
        <v>SCS</v>
      </c>
      <c r="Q2077" s="7"/>
      <c r="R2077" s="7"/>
      <c r="S2077" s="7"/>
      <c r="T2077" s="7"/>
      <c r="U2077" s="7"/>
      <c r="V2077" s="7"/>
      <c r="AC2077" s="7"/>
      <c r="AD2077" s="7"/>
      <c r="AE2077" s="7"/>
      <c r="AF2077" s="7"/>
      <c r="AG2077" s="7"/>
      <c r="AO2077" s="7"/>
      <c r="AP2077" s="7"/>
      <c r="AQ2077" s="7"/>
      <c r="AR2077" s="7"/>
      <c r="AS2077" s="7"/>
    </row>
    <row r="2078" spans="1:45" x14ac:dyDescent="0.2">
      <c r="A2078" s="7"/>
      <c r="B2078" s="7"/>
      <c r="C2078" s="7"/>
      <c r="D2078" s="7"/>
      <c r="E2078" s="36">
        <v>168</v>
      </c>
      <c r="F2078" s="36" t="s">
        <v>2176</v>
      </c>
      <c r="G2078" s="36">
        <v>613258</v>
      </c>
      <c r="H2078" s="36" t="s">
        <v>2356</v>
      </c>
      <c r="I2078" s="37">
        <v>18.439889999999998</v>
      </c>
      <c r="J2078" s="7"/>
      <c r="K2078" s="7" t="str">
        <f>VLOOKUP($E2078,Mapping!$E$11:$I$96,3,0)</f>
        <v>Augmentation</v>
      </c>
      <c r="L2078" s="7" t="str">
        <f>VLOOKUP($G2078,Mapping!$E$140:$K$2771,5,0)</f>
        <v>Labour</v>
      </c>
      <c r="M2078" s="7" t="str">
        <f>VLOOKUP($G2078,Mapping!$E$140:$K$2771,7,0)</f>
        <v>ENDirect</v>
      </c>
      <c r="N2078" s="7" t="str">
        <f>IFERROR(HLOOKUP(L2078,'Calc|Weightings'!$K$5:$M$5,1,0),"Excl")</f>
        <v>Labour</v>
      </c>
      <c r="O2078" s="7" t="str">
        <f>VLOOKUP(E2078,Mapping!$E$11:$I$96,5,0)</f>
        <v>SCS</v>
      </c>
      <c r="Q2078" s="7"/>
      <c r="R2078" s="7"/>
      <c r="S2078" s="7"/>
      <c r="T2078" s="7"/>
      <c r="U2078" s="7"/>
      <c r="V2078" s="7"/>
      <c r="AC2078" s="7"/>
      <c r="AD2078" s="7"/>
      <c r="AE2078" s="7"/>
      <c r="AF2078" s="7"/>
      <c r="AG2078" s="7"/>
      <c r="AO2078" s="7"/>
      <c r="AP2078" s="7"/>
      <c r="AQ2078" s="7"/>
      <c r="AR2078" s="7"/>
      <c r="AS2078" s="7"/>
    </row>
    <row r="2079" spans="1:45" x14ac:dyDescent="0.2">
      <c r="A2079" s="7"/>
      <c r="B2079" s="7"/>
      <c r="C2079" s="7"/>
      <c r="D2079" s="7"/>
      <c r="E2079" s="36">
        <v>168</v>
      </c>
      <c r="F2079" s="36" t="s">
        <v>2176</v>
      </c>
      <c r="G2079" s="36">
        <v>613259</v>
      </c>
      <c r="H2079" s="36" t="s">
        <v>2359</v>
      </c>
      <c r="I2079" s="37">
        <v>2.3965200000000002</v>
      </c>
      <c r="J2079" s="7"/>
      <c r="K2079" s="7" t="str">
        <f>VLOOKUP($E2079,Mapping!$E$11:$I$96,3,0)</f>
        <v>Augmentation</v>
      </c>
      <c r="L2079" s="7" t="str">
        <f>VLOOKUP($G2079,Mapping!$E$140:$K$2771,5,0)</f>
        <v>Labour</v>
      </c>
      <c r="M2079" s="7" t="str">
        <f>VLOOKUP($G2079,Mapping!$E$140:$K$2771,7,0)</f>
        <v>ENDirect</v>
      </c>
      <c r="N2079" s="7" t="str">
        <f>IFERROR(HLOOKUP(L2079,'Calc|Weightings'!$K$5:$M$5,1,0),"Excl")</f>
        <v>Labour</v>
      </c>
      <c r="O2079" s="7" t="str">
        <f>VLOOKUP(E2079,Mapping!$E$11:$I$96,5,0)</f>
        <v>SCS</v>
      </c>
      <c r="Q2079" s="7"/>
      <c r="R2079" s="7"/>
      <c r="S2079" s="7"/>
      <c r="T2079" s="7"/>
      <c r="U2079" s="7"/>
      <c r="V2079" s="7"/>
      <c r="AC2079" s="7"/>
      <c r="AD2079" s="7"/>
      <c r="AE2079" s="7"/>
      <c r="AF2079" s="7"/>
      <c r="AG2079" s="7"/>
      <c r="AO2079" s="7"/>
      <c r="AP2079" s="7"/>
      <c r="AQ2079" s="7"/>
      <c r="AR2079" s="7"/>
      <c r="AS2079" s="7"/>
    </row>
    <row r="2080" spans="1:45" x14ac:dyDescent="0.2">
      <c r="A2080" s="7"/>
      <c r="B2080" s="7"/>
      <c r="C2080" s="7"/>
      <c r="D2080" s="7"/>
      <c r="E2080" s="36">
        <v>168</v>
      </c>
      <c r="F2080" s="36" t="s">
        <v>2176</v>
      </c>
      <c r="G2080" s="36">
        <v>613260</v>
      </c>
      <c r="H2080" s="36" t="s">
        <v>2090</v>
      </c>
      <c r="I2080" s="37">
        <v>52.683900000000001</v>
      </c>
      <c r="J2080" s="7"/>
      <c r="K2080" s="7" t="str">
        <f>VLOOKUP($E2080,Mapping!$E$11:$I$96,3,0)</f>
        <v>Augmentation</v>
      </c>
      <c r="L2080" s="7" t="str">
        <f>VLOOKUP($G2080,Mapping!$E$140:$K$2771,5,0)</f>
        <v>Labour</v>
      </c>
      <c r="M2080" s="7" t="str">
        <f>VLOOKUP($G2080,Mapping!$E$140:$K$2771,7,0)</f>
        <v>ENDirect</v>
      </c>
      <c r="N2080" s="7" t="str">
        <f>IFERROR(HLOOKUP(L2080,'Calc|Weightings'!$K$5:$M$5,1,0),"Excl")</f>
        <v>Labour</v>
      </c>
      <c r="O2080" s="7" t="str">
        <f>VLOOKUP(E2080,Mapping!$E$11:$I$96,5,0)</f>
        <v>SCS</v>
      </c>
      <c r="Q2080" s="7"/>
      <c r="R2080" s="7"/>
      <c r="S2080" s="7"/>
      <c r="T2080" s="7"/>
      <c r="U2080" s="7"/>
      <c r="V2080" s="7"/>
      <c r="AC2080" s="7"/>
      <c r="AD2080" s="7"/>
      <c r="AE2080" s="7"/>
      <c r="AF2080" s="7"/>
      <c r="AG2080" s="7"/>
      <c r="AO2080" s="7"/>
      <c r="AP2080" s="7"/>
      <c r="AQ2080" s="7"/>
      <c r="AR2080" s="7"/>
      <c r="AS2080" s="7"/>
    </row>
    <row r="2081" spans="1:45" x14ac:dyDescent="0.2">
      <c r="A2081" s="7"/>
      <c r="B2081" s="7"/>
      <c r="C2081" s="7"/>
      <c r="D2081" s="7"/>
      <c r="E2081" s="36">
        <v>168</v>
      </c>
      <c r="F2081" s="36" t="s">
        <v>2176</v>
      </c>
      <c r="G2081" s="36">
        <v>613268</v>
      </c>
      <c r="H2081" s="36" t="s">
        <v>1335</v>
      </c>
      <c r="I2081" s="37">
        <v>16.805350000000001</v>
      </c>
      <c r="J2081" s="7"/>
      <c r="K2081" s="7" t="str">
        <f>VLOOKUP($E2081,Mapping!$E$11:$I$96,3,0)</f>
        <v>Augmentation</v>
      </c>
      <c r="L2081" s="7" t="str">
        <f>VLOOKUP($G2081,Mapping!$E$140:$K$2771,5,0)</f>
        <v>Labour</v>
      </c>
      <c r="M2081" s="7" t="str">
        <f>VLOOKUP($G2081,Mapping!$E$140:$K$2771,7,0)</f>
        <v>ENDirect</v>
      </c>
      <c r="N2081" s="7" t="str">
        <f>IFERROR(HLOOKUP(L2081,'Calc|Weightings'!$K$5:$M$5,1,0),"Excl")</f>
        <v>Labour</v>
      </c>
      <c r="O2081" s="7" t="str">
        <f>VLOOKUP(E2081,Mapping!$E$11:$I$96,5,0)</f>
        <v>SCS</v>
      </c>
      <c r="Q2081" s="7"/>
      <c r="R2081" s="7"/>
      <c r="S2081" s="7"/>
      <c r="T2081" s="7"/>
      <c r="U2081" s="7"/>
      <c r="V2081" s="7"/>
      <c r="AC2081" s="7"/>
      <c r="AD2081" s="7"/>
      <c r="AE2081" s="7"/>
      <c r="AF2081" s="7"/>
      <c r="AG2081" s="7"/>
      <c r="AO2081" s="7"/>
      <c r="AP2081" s="7"/>
      <c r="AQ2081" s="7"/>
      <c r="AR2081" s="7"/>
      <c r="AS2081" s="7"/>
    </row>
    <row r="2082" spans="1:45" x14ac:dyDescent="0.2">
      <c r="A2082" s="7"/>
      <c r="B2082" s="7"/>
      <c r="C2082" s="7"/>
      <c r="D2082" s="7"/>
      <c r="E2082" s="36">
        <v>168</v>
      </c>
      <c r="F2082" s="36" t="s">
        <v>2176</v>
      </c>
      <c r="G2082" s="36">
        <v>613270</v>
      </c>
      <c r="H2082" s="36" t="s">
        <v>2092</v>
      </c>
      <c r="I2082" s="37">
        <v>0.13999</v>
      </c>
      <c r="J2082" s="7"/>
      <c r="K2082" s="7" t="str">
        <f>VLOOKUP($E2082,Mapping!$E$11:$I$96,3,0)</f>
        <v>Augmentation</v>
      </c>
      <c r="L2082" s="7" t="str">
        <f>VLOOKUP($G2082,Mapping!$E$140:$K$2771,5,0)</f>
        <v>Labour</v>
      </c>
      <c r="M2082" s="7" t="str">
        <f>VLOOKUP($G2082,Mapping!$E$140:$K$2771,7,0)</f>
        <v>ENDirect</v>
      </c>
      <c r="N2082" s="7" t="str">
        <f>IFERROR(HLOOKUP(L2082,'Calc|Weightings'!$K$5:$M$5,1,0),"Excl")</f>
        <v>Labour</v>
      </c>
      <c r="O2082" s="7" t="str">
        <f>VLOOKUP(E2082,Mapping!$E$11:$I$96,5,0)</f>
        <v>SCS</v>
      </c>
      <c r="Q2082" s="7"/>
      <c r="R2082" s="7"/>
      <c r="S2082" s="7"/>
      <c r="T2082" s="7"/>
      <c r="U2082" s="7"/>
      <c r="V2082" s="7"/>
      <c r="AC2082" s="7"/>
      <c r="AD2082" s="7"/>
      <c r="AE2082" s="7"/>
      <c r="AF2082" s="7"/>
      <c r="AG2082" s="7"/>
      <c r="AO2082" s="7"/>
      <c r="AP2082" s="7"/>
      <c r="AQ2082" s="7"/>
      <c r="AR2082" s="7"/>
      <c r="AS2082" s="7"/>
    </row>
    <row r="2083" spans="1:45" x14ac:dyDescent="0.2">
      <c r="A2083" s="7"/>
      <c r="B2083" s="7"/>
      <c r="C2083" s="7"/>
      <c r="D2083" s="7"/>
      <c r="E2083" s="36">
        <v>168</v>
      </c>
      <c r="F2083" s="36" t="s">
        <v>2176</v>
      </c>
      <c r="G2083" s="36">
        <v>613278</v>
      </c>
      <c r="H2083" s="36" t="s">
        <v>2357</v>
      </c>
      <c r="I2083" s="37">
        <v>8.2594100000000008</v>
      </c>
      <c r="J2083" s="7"/>
      <c r="K2083" s="7" t="str">
        <f>VLOOKUP($E2083,Mapping!$E$11:$I$96,3,0)</f>
        <v>Augmentation</v>
      </c>
      <c r="L2083" s="7" t="str">
        <f>VLOOKUP($G2083,Mapping!$E$140:$K$2771,5,0)</f>
        <v>Labour</v>
      </c>
      <c r="M2083" s="7" t="str">
        <f>VLOOKUP($G2083,Mapping!$E$140:$K$2771,7,0)</f>
        <v>ENDirect</v>
      </c>
      <c r="N2083" s="7" t="str">
        <f>IFERROR(HLOOKUP(L2083,'Calc|Weightings'!$K$5:$M$5,1,0),"Excl")</f>
        <v>Labour</v>
      </c>
      <c r="O2083" s="7" t="str">
        <f>VLOOKUP(E2083,Mapping!$E$11:$I$96,5,0)</f>
        <v>SCS</v>
      </c>
      <c r="Q2083" s="7"/>
      <c r="R2083" s="7"/>
      <c r="S2083" s="7"/>
      <c r="T2083" s="7"/>
      <c r="U2083" s="7"/>
      <c r="V2083" s="7"/>
      <c r="AC2083" s="7"/>
      <c r="AD2083" s="7"/>
      <c r="AE2083" s="7"/>
      <c r="AF2083" s="7"/>
      <c r="AG2083" s="7"/>
      <c r="AO2083" s="7"/>
      <c r="AP2083" s="7"/>
      <c r="AQ2083" s="7"/>
      <c r="AR2083" s="7"/>
      <c r="AS2083" s="7"/>
    </row>
    <row r="2084" spans="1:45" x14ac:dyDescent="0.2">
      <c r="A2084" s="7"/>
      <c r="B2084" s="7"/>
      <c r="C2084" s="7"/>
      <c r="D2084" s="7"/>
      <c r="E2084" s="36">
        <v>168</v>
      </c>
      <c r="F2084" s="36" t="s">
        <v>2176</v>
      </c>
      <c r="G2084" s="36">
        <v>613279</v>
      </c>
      <c r="H2084" s="36" t="s">
        <v>2360</v>
      </c>
      <c r="I2084" s="37">
        <v>0.34998000000000001</v>
      </c>
      <c r="J2084" s="7"/>
      <c r="K2084" s="7" t="str">
        <f>VLOOKUP($E2084,Mapping!$E$11:$I$96,3,0)</f>
        <v>Augmentation</v>
      </c>
      <c r="L2084" s="7" t="str">
        <f>VLOOKUP($G2084,Mapping!$E$140:$K$2771,5,0)</f>
        <v>Labour</v>
      </c>
      <c r="M2084" s="7" t="str">
        <f>VLOOKUP($G2084,Mapping!$E$140:$K$2771,7,0)</f>
        <v>ENDirect</v>
      </c>
      <c r="N2084" s="7" t="str">
        <f>IFERROR(HLOOKUP(L2084,'Calc|Weightings'!$K$5:$M$5,1,0),"Excl")</f>
        <v>Labour</v>
      </c>
      <c r="O2084" s="7" t="str">
        <f>VLOOKUP(E2084,Mapping!$E$11:$I$96,5,0)</f>
        <v>SCS</v>
      </c>
      <c r="Q2084" s="7"/>
      <c r="R2084" s="7"/>
      <c r="S2084" s="7"/>
      <c r="T2084" s="7"/>
      <c r="U2084" s="7"/>
      <c r="V2084" s="7"/>
      <c r="AC2084" s="7"/>
      <c r="AD2084" s="7"/>
      <c r="AE2084" s="7"/>
      <c r="AF2084" s="7"/>
      <c r="AG2084" s="7"/>
      <c r="AO2084" s="7"/>
      <c r="AP2084" s="7"/>
      <c r="AQ2084" s="7"/>
      <c r="AR2084" s="7"/>
      <c r="AS2084" s="7"/>
    </row>
    <row r="2085" spans="1:45" x14ac:dyDescent="0.2">
      <c r="A2085" s="7"/>
      <c r="B2085" s="7"/>
      <c r="C2085" s="7"/>
      <c r="D2085" s="7"/>
      <c r="E2085" s="36">
        <v>168</v>
      </c>
      <c r="F2085" s="36" t="s">
        <v>2176</v>
      </c>
      <c r="G2085" s="36">
        <v>613280</v>
      </c>
      <c r="H2085" s="36" t="s">
        <v>1342</v>
      </c>
      <c r="I2085" s="37">
        <v>51.304499999999997</v>
      </c>
      <c r="J2085" s="7"/>
      <c r="K2085" s="7" t="str">
        <f>VLOOKUP($E2085,Mapping!$E$11:$I$96,3,0)</f>
        <v>Augmentation</v>
      </c>
      <c r="L2085" s="7" t="str">
        <f>VLOOKUP($G2085,Mapping!$E$140:$K$2771,5,0)</f>
        <v>Labour</v>
      </c>
      <c r="M2085" s="7" t="str">
        <f>VLOOKUP($G2085,Mapping!$E$140:$K$2771,7,0)</f>
        <v>ENDirect</v>
      </c>
      <c r="N2085" s="7" t="str">
        <f>IFERROR(HLOOKUP(L2085,'Calc|Weightings'!$K$5:$M$5,1,0),"Excl")</f>
        <v>Labour</v>
      </c>
      <c r="O2085" s="7" t="str">
        <f>VLOOKUP(E2085,Mapping!$E$11:$I$96,5,0)</f>
        <v>SCS</v>
      </c>
      <c r="Q2085" s="7"/>
      <c r="R2085" s="7"/>
      <c r="S2085" s="7"/>
      <c r="T2085" s="7"/>
      <c r="U2085" s="7"/>
      <c r="V2085" s="7"/>
      <c r="AC2085" s="7"/>
      <c r="AD2085" s="7"/>
      <c r="AE2085" s="7"/>
      <c r="AF2085" s="7"/>
      <c r="AG2085" s="7"/>
      <c r="AO2085" s="7"/>
      <c r="AP2085" s="7"/>
      <c r="AQ2085" s="7"/>
      <c r="AR2085" s="7"/>
      <c r="AS2085" s="7"/>
    </row>
    <row r="2086" spans="1:45" x14ac:dyDescent="0.2">
      <c r="A2086" s="7"/>
      <c r="B2086" s="7"/>
      <c r="C2086" s="7"/>
      <c r="D2086" s="7"/>
      <c r="E2086" s="36">
        <v>168</v>
      </c>
      <c r="F2086" s="36" t="s">
        <v>2176</v>
      </c>
      <c r="G2086" s="36">
        <v>613290</v>
      </c>
      <c r="H2086" s="36" t="s">
        <v>2093</v>
      </c>
      <c r="I2086" s="37">
        <v>236.34188</v>
      </c>
      <c r="J2086" s="7"/>
      <c r="K2086" s="7" t="str">
        <f>VLOOKUP($E2086,Mapping!$E$11:$I$96,3,0)</f>
        <v>Augmentation</v>
      </c>
      <c r="L2086" s="7" t="str">
        <f>VLOOKUP($G2086,Mapping!$E$140:$K$2771,5,0)</f>
        <v>Labour</v>
      </c>
      <c r="M2086" s="7" t="str">
        <f>VLOOKUP($G2086,Mapping!$E$140:$K$2771,7,0)</f>
        <v>ENDirect</v>
      </c>
      <c r="N2086" s="7" t="str">
        <f>IFERROR(HLOOKUP(L2086,'Calc|Weightings'!$K$5:$M$5,1,0),"Excl")</f>
        <v>Labour</v>
      </c>
      <c r="O2086" s="7" t="str">
        <f>VLOOKUP(E2086,Mapping!$E$11:$I$96,5,0)</f>
        <v>SCS</v>
      </c>
      <c r="Q2086" s="7"/>
      <c r="R2086" s="7"/>
      <c r="S2086" s="7"/>
      <c r="T2086" s="7"/>
      <c r="U2086" s="7"/>
      <c r="V2086" s="7"/>
      <c r="AC2086" s="7"/>
      <c r="AD2086" s="7"/>
      <c r="AE2086" s="7"/>
      <c r="AF2086" s="7"/>
      <c r="AG2086" s="7"/>
      <c r="AO2086" s="7"/>
      <c r="AP2086" s="7"/>
      <c r="AQ2086" s="7"/>
      <c r="AR2086" s="7"/>
      <c r="AS2086" s="7"/>
    </row>
    <row r="2087" spans="1:45" x14ac:dyDescent="0.2">
      <c r="A2087" s="7"/>
      <c r="B2087" s="7"/>
      <c r="C2087" s="7"/>
      <c r="D2087" s="7"/>
      <c r="E2087" s="36">
        <v>168</v>
      </c>
      <c r="F2087" s="36" t="s">
        <v>2176</v>
      </c>
      <c r="G2087" s="36">
        <v>613298</v>
      </c>
      <c r="H2087" s="36" t="s">
        <v>2122</v>
      </c>
      <c r="I2087" s="37">
        <v>12.04757</v>
      </c>
      <c r="J2087" s="7"/>
      <c r="K2087" s="7" t="str">
        <f>VLOOKUP($E2087,Mapping!$E$11:$I$96,3,0)</f>
        <v>Augmentation</v>
      </c>
      <c r="L2087" s="7" t="str">
        <f>VLOOKUP($G2087,Mapping!$E$140:$K$2771,5,0)</f>
        <v>Labour</v>
      </c>
      <c r="M2087" s="7" t="str">
        <f>VLOOKUP($G2087,Mapping!$E$140:$K$2771,7,0)</f>
        <v>ENDirect</v>
      </c>
      <c r="N2087" s="7" t="str">
        <f>IFERROR(HLOOKUP(L2087,'Calc|Weightings'!$K$5:$M$5,1,0),"Excl")</f>
        <v>Labour</v>
      </c>
      <c r="O2087" s="7" t="str">
        <f>VLOOKUP(E2087,Mapping!$E$11:$I$96,5,0)</f>
        <v>SCS</v>
      </c>
      <c r="Q2087" s="7"/>
      <c r="R2087" s="7"/>
      <c r="S2087" s="7"/>
      <c r="T2087" s="7"/>
      <c r="U2087" s="7"/>
      <c r="V2087" s="7"/>
      <c r="AC2087" s="7"/>
      <c r="AD2087" s="7"/>
      <c r="AE2087" s="7"/>
      <c r="AF2087" s="7"/>
      <c r="AG2087" s="7"/>
      <c r="AO2087" s="7"/>
      <c r="AP2087" s="7"/>
      <c r="AQ2087" s="7"/>
      <c r="AR2087" s="7"/>
      <c r="AS2087" s="7"/>
    </row>
    <row r="2088" spans="1:45" x14ac:dyDescent="0.2">
      <c r="A2088" s="7"/>
      <c r="B2088" s="7"/>
      <c r="C2088" s="7"/>
      <c r="D2088" s="7"/>
      <c r="E2088" s="36">
        <v>168</v>
      </c>
      <c r="F2088" s="36" t="s">
        <v>2176</v>
      </c>
      <c r="G2088" s="36">
        <v>613310</v>
      </c>
      <c r="H2088" s="36" t="s">
        <v>2095</v>
      </c>
      <c r="I2088" s="37">
        <v>30.959209999999999</v>
      </c>
      <c r="J2088" s="7"/>
      <c r="K2088" s="7" t="str">
        <f>VLOOKUP($E2088,Mapping!$E$11:$I$96,3,0)</f>
        <v>Augmentation</v>
      </c>
      <c r="L2088" s="7" t="str">
        <f>VLOOKUP($G2088,Mapping!$E$140:$K$2771,5,0)</f>
        <v>Labour</v>
      </c>
      <c r="M2088" s="7" t="str">
        <f>VLOOKUP($G2088,Mapping!$E$140:$K$2771,7,0)</f>
        <v>ENDirect</v>
      </c>
      <c r="N2088" s="7" t="str">
        <f>IFERROR(HLOOKUP(L2088,'Calc|Weightings'!$K$5:$M$5,1,0),"Excl")</f>
        <v>Labour</v>
      </c>
      <c r="O2088" s="7" t="str">
        <f>VLOOKUP(E2088,Mapping!$E$11:$I$96,5,0)</f>
        <v>SCS</v>
      </c>
      <c r="Q2088" s="7"/>
      <c r="R2088" s="7"/>
      <c r="S2088" s="7"/>
      <c r="T2088" s="7"/>
      <c r="U2088" s="7"/>
      <c r="V2088" s="7"/>
      <c r="AC2088" s="7"/>
      <c r="AD2088" s="7"/>
      <c r="AE2088" s="7"/>
      <c r="AF2088" s="7"/>
      <c r="AG2088" s="7"/>
      <c r="AO2088" s="7"/>
      <c r="AP2088" s="7"/>
      <c r="AQ2088" s="7"/>
      <c r="AR2088" s="7"/>
      <c r="AS2088" s="7"/>
    </row>
    <row r="2089" spans="1:45" x14ac:dyDescent="0.2">
      <c r="A2089" s="7"/>
      <c r="B2089" s="7"/>
      <c r="C2089" s="7"/>
      <c r="D2089" s="7"/>
      <c r="E2089" s="36">
        <v>168</v>
      </c>
      <c r="F2089" s="36" t="s">
        <v>2176</v>
      </c>
      <c r="G2089" s="36">
        <v>613318</v>
      </c>
      <c r="H2089" s="36" t="s">
        <v>1360</v>
      </c>
      <c r="I2089" s="37">
        <v>87.717749999999995</v>
      </c>
      <c r="J2089" s="7"/>
      <c r="K2089" s="7" t="str">
        <f>VLOOKUP($E2089,Mapping!$E$11:$I$96,3,0)</f>
        <v>Augmentation</v>
      </c>
      <c r="L2089" s="7" t="str">
        <f>VLOOKUP($G2089,Mapping!$E$140:$K$2771,5,0)</f>
        <v>Labour</v>
      </c>
      <c r="M2089" s="7" t="str">
        <f>VLOOKUP($G2089,Mapping!$E$140:$K$2771,7,0)</f>
        <v>ENDirect</v>
      </c>
      <c r="N2089" s="7" t="str">
        <f>IFERROR(HLOOKUP(L2089,'Calc|Weightings'!$K$5:$M$5,1,0),"Excl")</f>
        <v>Labour</v>
      </c>
      <c r="O2089" s="7" t="str">
        <f>VLOOKUP(E2089,Mapping!$E$11:$I$96,5,0)</f>
        <v>SCS</v>
      </c>
      <c r="Q2089" s="7"/>
      <c r="R2089" s="7"/>
      <c r="S2089" s="7"/>
      <c r="T2089" s="7"/>
      <c r="U2089" s="7"/>
      <c r="V2089" s="7"/>
      <c r="AC2089" s="7"/>
      <c r="AD2089" s="7"/>
      <c r="AE2089" s="7"/>
      <c r="AF2089" s="7"/>
      <c r="AG2089" s="7"/>
      <c r="AO2089" s="7"/>
      <c r="AP2089" s="7"/>
      <c r="AQ2089" s="7"/>
      <c r="AR2089" s="7"/>
      <c r="AS2089" s="7"/>
    </row>
    <row r="2090" spans="1:45" x14ac:dyDescent="0.2">
      <c r="A2090" s="7"/>
      <c r="B2090" s="7"/>
      <c r="C2090" s="7"/>
      <c r="D2090" s="7"/>
      <c r="E2090" s="36">
        <v>168</v>
      </c>
      <c r="F2090" s="36" t="s">
        <v>2176</v>
      </c>
      <c r="G2090" s="36">
        <v>613319</v>
      </c>
      <c r="H2090" s="36" t="s">
        <v>2358</v>
      </c>
      <c r="I2090" s="37">
        <v>0.66381000000000001</v>
      </c>
      <c r="J2090" s="7"/>
      <c r="K2090" s="7" t="str">
        <f>VLOOKUP($E2090,Mapping!$E$11:$I$96,3,0)</f>
        <v>Augmentation</v>
      </c>
      <c r="L2090" s="7" t="str">
        <f>VLOOKUP($G2090,Mapping!$E$140:$K$2771,5,0)</f>
        <v>Labour</v>
      </c>
      <c r="M2090" s="7" t="str">
        <f>VLOOKUP($G2090,Mapping!$E$140:$K$2771,7,0)</f>
        <v>ENDirect</v>
      </c>
      <c r="N2090" s="7" t="str">
        <f>IFERROR(HLOOKUP(L2090,'Calc|Weightings'!$K$5:$M$5,1,0),"Excl")</f>
        <v>Labour</v>
      </c>
      <c r="O2090" s="7" t="str">
        <f>VLOOKUP(E2090,Mapping!$E$11:$I$96,5,0)</f>
        <v>SCS</v>
      </c>
      <c r="Q2090" s="7"/>
      <c r="R2090" s="7"/>
      <c r="S2090" s="7"/>
      <c r="T2090" s="7"/>
      <c r="U2090" s="7"/>
      <c r="V2090" s="7"/>
      <c r="AC2090" s="7"/>
      <c r="AD2090" s="7"/>
      <c r="AE2090" s="7"/>
      <c r="AF2090" s="7"/>
      <c r="AG2090" s="7"/>
      <c r="AO2090" s="7"/>
      <c r="AP2090" s="7"/>
      <c r="AQ2090" s="7"/>
      <c r="AR2090" s="7"/>
      <c r="AS2090" s="7"/>
    </row>
    <row r="2091" spans="1:45" x14ac:dyDescent="0.2">
      <c r="A2091" s="7"/>
      <c r="B2091" s="7"/>
      <c r="C2091" s="7"/>
      <c r="D2091" s="7"/>
      <c r="E2091" s="36">
        <v>168</v>
      </c>
      <c r="F2091" s="36" t="s">
        <v>2176</v>
      </c>
      <c r="G2091" s="36">
        <v>613324</v>
      </c>
      <c r="H2091" s="36" t="s">
        <v>2351</v>
      </c>
      <c r="I2091" s="37">
        <v>1.20312</v>
      </c>
      <c r="J2091" s="7"/>
      <c r="K2091" s="7" t="str">
        <f>VLOOKUP($E2091,Mapping!$E$11:$I$96,3,0)</f>
        <v>Augmentation</v>
      </c>
      <c r="L2091" s="7" t="str">
        <f>VLOOKUP($G2091,Mapping!$E$140:$K$2771,5,0)</f>
        <v>Labour</v>
      </c>
      <c r="M2091" s="7" t="str">
        <f>VLOOKUP($G2091,Mapping!$E$140:$K$2771,7,0)</f>
        <v>ENDirect</v>
      </c>
      <c r="N2091" s="7" t="str">
        <f>IFERROR(HLOOKUP(L2091,'Calc|Weightings'!$K$5:$M$5,1,0),"Excl")</f>
        <v>Labour</v>
      </c>
      <c r="O2091" s="7" t="str">
        <f>VLOOKUP(E2091,Mapping!$E$11:$I$96,5,0)</f>
        <v>SCS</v>
      </c>
      <c r="Q2091" s="7"/>
      <c r="R2091" s="7"/>
      <c r="S2091" s="7"/>
      <c r="T2091" s="7"/>
      <c r="U2091" s="7"/>
      <c r="V2091" s="7"/>
      <c r="AC2091" s="7"/>
      <c r="AD2091" s="7"/>
      <c r="AE2091" s="7"/>
      <c r="AF2091" s="7"/>
      <c r="AG2091" s="7"/>
      <c r="AO2091" s="7"/>
      <c r="AP2091" s="7"/>
      <c r="AQ2091" s="7"/>
      <c r="AR2091" s="7"/>
      <c r="AS2091" s="7"/>
    </row>
    <row r="2092" spans="1:45" x14ac:dyDescent="0.2">
      <c r="A2092" s="7"/>
      <c r="B2092" s="7"/>
      <c r="C2092" s="7"/>
      <c r="D2092" s="7"/>
      <c r="E2092" s="36">
        <v>168</v>
      </c>
      <c r="F2092" s="36" t="s">
        <v>2176</v>
      </c>
      <c r="G2092" s="36">
        <v>613325</v>
      </c>
      <c r="H2092" s="36" t="s">
        <v>2352</v>
      </c>
      <c r="I2092" s="37">
        <v>7.5200000000000003E-2</v>
      </c>
      <c r="J2092" s="7"/>
      <c r="K2092" s="7" t="str">
        <f>VLOOKUP($E2092,Mapping!$E$11:$I$96,3,0)</f>
        <v>Augmentation</v>
      </c>
      <c r="L2092" s="7" t="str">
        <f>VLOOKUP($G2092,Mapping!$E$140:$K$2771,5,0)</f>
        <v>Labour</v>
      </c>
      <c r="M2092" s="7" t="str">
        <f>VLOOKUP($G2092,Mapping!$E$140:$K$2771,7,0)</f>
        <v>ENDirect</v>
      </c>
      <c r="N2092" s="7" t="str">
        <f>IFERROR(HLOOKUP(L2092,'Calc|Weightings'!$K$5:$M$5,1,0),"Excl")</f>
        <v>Labour</v>
      </c>
      <c r="O2092" s="7" t="str">
        <f>VLOOKUP(E2092,Mapping!$E$11:$I$96,5,0)</f>
        <v>SCS</v>
      </c>
      <c r="Q2092" s="7"/>
      <c r="R2092" s="7"/>
      <c r="S2092" s="7"/>
      <c r="T2092" s="7"/>
      <c r="U2092" s="7"/>
      <c r="V2092" s="7"/>
      <c r="AC2092" s="7"/>
      <c r="AD2092" s="7"/>
      <c r="AE2092" s="7"/>
      <c r="AF2092" s="7"/>
      <c r="AG2092" s="7"/>
      <c r="AO2092" s="7"/>
      <c r="AP2092" s="7"/>
      <c r="AQ2092" s="7"/>
      <c r="AR2092" s="7"/>
      <c r="AS2092" s="7"/>
    </row>
    <row r="2093" spans="1:45" x14ac:dyDescent="0.2">
      <c r="A2093" s="7"/>
      <c r="B2093" s="7"/>
      <c r="C2093" s="7"/>
      <c r="D2093" s="7"/>
      <c r="E2093" s="36">
        <v>168</v>
      </c>
      <c r="F2093" s="36" t="s">
        <v>2176</v>
      </c>
      <c r="G2093" s="36">
        <v>613350</v>
      </c>
      <c r="H2093" s="36" t="s">
        <v>2096</v>
      </c>
      <c r="I2093" s="37">
        <v>1.72306</v>
      </c>
      <c r="J2093" s="7"/>
      <c r="K2093" s="7" t="str">
        <f>VLOOKUP($E2093,Mapping!$E$11:$I$96,3,0)</f>
        <v>Augmentation</v>
      </c>
      <c r="L2093" s="7" t="str">
        <f>VLOOKUP($G2093,Mapping!$E$140:$K$2771,5,0)</f>
        <v>Labour</v>
      </c>
      <c r="M2093" s="7" t="str">
        <f>VLOOKUP($G2093,Mapping!$E$140:$K$2771,7,0)</f>
        <v>ENDirect</v>
      </c>
      <c r="N2093" s="7" t="str">
        <f>IFERROR(HLOOKUP(L2093,'Calc|Weightings'!$K$5:$M$5,1,0),"Excl")</f>
        <v>Labour</v>
      </c>
      <c r="O2093" s="7" t="str">
        <f>VLOOKUP(E2093,Mapping!$E$11:$I$96,5,0)</f>
        <v>SCS</v>
      </c>
      <c r="Q2093" s="7"/>
      <c r="R2093" s="7"/>
      <c r="S2093" s="7"/>
      <c r="T2093" s="7"/>
      <c r="U2093" s="7"/>
      <c r="V2093" s="7"/>
      <c r="AC2093" s="7"/>
      <c r="AD2093" s="7"/>
      <c r="AE2093" s="7"/>
      <c r="AF2093" s="7"/>
      <c r="AG2093" s="7"/>
      <c r="AO2093" s="7"/>
      <c r="AP2093" s="7"/>
      <c r="AQ2093" s="7"/>
      <c r="AR2093" s="7"/>
      <c r="AS2093" s="7"/>
    </row>
    <row r="2094" spans="1:45" x14ac:dyDescent="0.2">
      <c r="A2094" s="7"/>
      <c r="B2094" s="7"/>
      <c r="C2094" s="7"/>
      <c r="D2094" s="7"/>
      <c r="E2094" s="36">
        <v>168</v>
      </c>
      <c r="F2094" s="36" t="s">
        <v>2176</v>
      </c>
      <c r="G2094" s="36">
        <v>613360</v>
      </c>
      <c r="H2094" s="36" t="s">
        <v>2097</v>
      </c>
      <c r="I2094" s="37">
        <v>15.821350000000001</v>
      </c>
      <c r="J2094" s="7"/>
      <c r="K2094" s="7" t="str">
        <f>VLOOKUP($E2094,Mapping!$E$11:$I$96,3,0)</f>
        <v>Augmentation</v>
      </c>
      <c r="L2094" s="7" t="str">
        <f>VLOOKUP($G2094,Mapping!$E$140:$K$2771,5,0)</f>
        <v>Labour</v>
      </c>
      <c r="M2094" s="7" t="str">
        <f>VLOOKUP($G2094,Mapping!$E$140:$K$2771,7,0)</f>
        <v>ENDirect</v>
      </c>
      <c r="N2094" s="7" t="str">
        <f>IFERROR(HLOOKUP(L2094,'Calc|Weightings'!$K$5:$M$5,1,0),"Excl")</f>
        <v>Labour</v>
      </c>
      <c r="O2094" s="7" t="str">
        <f>VLOOKUP(E2094,Mapping!$E$11:$I$96,5,0)</f>
        <v>SCS</v>
      </c>
      <c r="Q2094" s="7"/>
      <c r="R2094" s="7"/>
      <c r="S2094" s="7"/>
      <c r="T2094" s="7"/>
      <c r="U2094" s="7"/>
      <c r="V2094" s="7"/>
      <c r="AC2094" s="7"/>
      <c r="AD2094" s="7"/>
      <c r="AE2094" s="7"/>
      <c r="AF2094" s="7"/>
      <c r="AG2094" s="7"/>
      <c r="AO2094" s="7"/>
      <c r="AP2094" s="7"/>
      <c r="AQ2094" s="7"/>
      <c r="AR2094" s="7"/>
      <c r="AS2094" s="7"/>
    </row>
    <row r="2095" spans="1:45" x14ac:dyDescent="0.2">
      <c r="A2095" s="7"/>
      <c r="B2095" s="7"/>
      <c r="C2095" s="7"/>
      <c r="D2095" s="7"/>
      <c r="E2095" s="36">
        <v>168</v>
      </c>
      <c r="F2095" s="36" t="s">
        <v>2176</v>
      </c>
      <c r="G2095" s="36">
        <v>613361</v>
      </c>
      <c r="H2095" s="36" t="s">
        <v>2098</v>
      </c>
      <c r="I2095" s="37">
        <v>0.11309</v>
      </c>
      <c r="J2095" s="7"/>
      <c r="K2095" s="7" t="str">
        <f>VLOOKUP($E2095,Mapping!$E$11:$I$96,3,0)</f>
        <v>Augmentation</v>
      </c>
      <c r="L2095" s="7" t="str">
        <f>VLOOKUP($G2095,Mapping!$E$140:$K$2771,5,0)</f>
        <v>Labour</v>
      </c>
      <c r="M2095" s="7" t="str">
        <f>VLOOKUP($G2095,Mapping!$E$140:$K$2771,7,0)</f>
        <v>ENDirect</v>
      </c>
      <c r="N2095" s="7" t="str">
        <f>IFERROR(HLOOKUP(L2095,'Calc|Weightings'!$K$5:$M$5,1,0),"Excl")</f>
        <v>Labour</v>
      </c>
      <c r="O2095" s="7" t="str">
        <f>VLOOKUP(E2095,Mapping!$E$11:$I$96,5,0)</f>
        <v>SCS</v>
      </c>
      <c r="Q2095" s="7"/>
      <c r="R2095" s="7"/>
      <c r="S2095" s="7"/>
      <c r="T2095" s="7"/>
      <c r="U2095" s="7"/>
      <c r="V2095" s="7"/>
      <c r="AC2095" s="7"/>
      <c r="AD2095" s="7"/>
      <c r="AE2095" s="7"/>
      <c r="AF2095" s="7"/>
      <c r="AG2095" s="7"/>
      <c r="AO2095" s="7"/>
      <c r="AP2095" s="7"/>
      <c r="AQ2095" s="7"/>
      <c r="AR2095" s="7"/>
      <c r="AS2095" s="7"/>
    </row>
    <row r="2096" spans="1:45" x14ac:dyDescent="0.2">
      <c r="A2096" s="7"/>
      <c r="B2096" s="7"/>
      <c r="C2096" s="7"/>
      <c r="D2096" s="7"/>
      <c r="E2096" s="36">
        <v>168</v>
      </c>
      <c r="F2096" s="36" t="s">
        <v>2176</v>
      </c>
      <c r="G2096" s="36">
        <v>613362</v>
      </c>
      <c r="H2096" s="36" t="s">
        <v>1396</v>
      </c>
      <c r="I2096" s="37">
        <v>6.2212500000000004</v>
      </c>
      <c r="J2096" s="7"/>
      <c r="K2096" s="7" t="str">
        <f>VLOOKUP($E2096,Mapping!$E$11:$I$96,3,0)</f>
        <v>Augmentation</v>
      </c>
      <c r="L2096" s="7" t="str">
        <f>VLOOKUP($G2096,Mapping!$E$140:$K$2771,5,0)</f>
        <v>Labour</v>
      </c>
      <c r="M2096" s="7" t="str">
        <f>VLOOKUP($G2096,Mapping!$E$140:$K$2771,7,0)</f>
        <v>ENDirect</v>
      </c>
      <c r="N2096" s="7" t="str">
        <f>IFERROR(HLOOKUP(L2096,'Calc|Weightings'!$K$5:$M$5,1,0),"Excl")</f>
        <v>Labour</v>
      </c>
      <c r="O2096" s="7" t="str">
        <f>VLOOKUP(E2096,Mapping!$E$11:$I$96,5,0)</f>
        <v>SCS</v>
      </c>
      <c r="Q2096" s="7"/>
      <c r="R2096" s="7"/>
      <c r="S2096" s="7"/>
      <c r="T2096" s="7"/>
      <c r="U2096" s="7"/>
      <c r="V2096" s="7"/>
      <c r="AC2096" s="7"/>
      <c r="AD2096" s="7"/>
      <c r="AE2096" s="7"/>
      <c r="AF2096" s="7"/>
      <c r="AG2096" s="7"/>
      <c r="AO2096" s="7"/>
      <c r="AP2096" s="7"/>
      <c r="AQ2096" s="7"/>
      <c r="AR2096" s="7"/>
      <c r="AS2096" s="7"/>
    </row>
    <row r="2097" spans="1:45" x14ac:dyDescent="0.2">
      <c r="A2097" s="7"/>
      <c r="B2097" s="7"/>
      <c r="C2097" s="7"/>
      <c r="D2097" s="7"/>
      <c r="E2097" s="36">
        <v>168</v>
      </c>
      <c r="F2097" s="36" t="s">
        <v>2176</v>
      </c>
      <c r="G2097" s="36">
        <v>613370</v>
      </c>
      <c r="H2097" s="36" t="s">
        <v>1402</v>
      </c>
      <c r="I2097" s="37">
        <v>0.21859000000000001</v>
      </c>
      <c r="J2097" s="7"/>
      <c r="K2097" s="7" t="str">
        <f>VLOOKUP($E2097,Mapping!$E$11:$I$96,3,0)</f>
        <v>Augmentation</v>
      </c>
      <c r="L2097" s="7" t="str">
        <f>VLOOKUP($G2097,Mapping!$E$140:$K$2771,5,0)</f>
        <v>Labour</v>
      </c>
      <c r="M2097" s="7" t="str">
        <f>VLOOKUP($G2097,Mapping!$E$140:$K$2771,7,0)</f>
        <v>ENDirect</v>
      </c>
      <c r="N2097" s="7" t="str">
        <f>IFERROR(HLOOKUP(L2097,'Calc|Weightings'!$K$5:$M$5,1,0),"Excl")</f>
        <v>Labour</v>
      </c>
      <c r="O2097" s="7" t="str">
        <f>VLOOKUP(E2097,Mapping!$E$11:$I$96,5,0)</f>
        <v>SCS</v>
      </c>
      <c r="Q2097" s="7"/>
      <c r="R2097" s="7"/>
      <c r="S2097" s="7"/>
      <c r="T2097" s="7"/>
      <c r="U2097" s="7"/>
      <c r="V2097" s="7"/>
      <c r="AC2097" s="7"/>
      <c r="AD2097" s="7"/>
      <c r="AE2097" s="7"/>
      <c r="AF2097" s="7"/>
      <c r="AG2097" s="7"/>
      <c r="AO2097" s="7"/>
      <c r="AP2097" s="7"/>
      <c r="AQ2097" s="7"/>
      <c r="AR2097" s="7"/>
      <c r="AS2097" s="7"/>
    </row>
    <row r="2098" spans="1:45" x14ac:dyDescent="0.2">
      <c r="A2098" s="7"/>
      <c r="B2098" s="7"/>
      <c r="C2098" s="7"/>
      <c r="D2098" s="7"/>
      <c r="E2098" s="36">
        <v>168</v>
      </c>
      <c r="F2098" s="36" t="s">
        <v>2176</v>
      </c>
      <c r="G2098" s="36">
        <v>613408</v>
      </c>
      <c r="H2098" s="36" t="s">
        <v>1418</v>
      </c>
      <c r="I2098" s="37">
        <v>39.190629999999999</v>
      </c>
      <c r="J2098" s="7"/>
      <c r="K2098" s="7" t="str">
        <f>VLOOKUP($E2098,Mapping!$E$11:$I$96,3,0)</f>
        <v>Augmentation</v>
      </c>
      <c r="L2098" s="7" t="str">
        <f>VLOOKUP($G2098,Mapping!$E$140:$K$2771,5,0)</f>
        <v>Labour</v>
      </c>
      <c r="M2098" s="7" t="str">
        <f>VLOOKUP($G2098,Mapping!$E$140:$K$2771,7,0)</f>
        <v>ENDirect</v>
      </c>
      <c r="N2098" s="7" t="str">
        <f>IFERROR(HLOOKUP(L2098,'Calc|Weightings'!$K$5:$M$5,1,0),"Excl")</f>
        <v>Labour</v>
      </c>
      <c r="O2098" s="7" t="str">
        <f>VLOOKUP(E2098,Mapping!$E$11:$I$96,5,0)</f>
        <v>SCS</v>
      </c>
      <c r="Q2098" s="7"/>
      <c r="R2098" s="7"/>
      <c r="S2098" s="7"/>
      <c r="T2098" s="7"/>
      <c r="U2098" s="7"/>
      <c r="V2098" s="7"/>
      <c r="AC2098" s="7"/>
      <c r="AD2098" s="7"/>
      <c r="AE2098" s="7"/>
      <c r="AF2098" s="7"/>
      <c r="AG2098" s="7"/>
      <c r="AO2098" s="7"/>
      <c r="AP2098" s="7"/>
      <c r="AQ2098" s="7"/>
      <c r="AR2098" s="7"/>
      <c r="AS2098" s="7"/>
    </row>
    <row r="2099" spans="1:45" x14ac:dyDescent="0.2">
      <c r="A2099" s="7"/>
      <c r="B2099" s="7"/>
      <c r="C2099" s="7"/>
      <c r="D2099" s="7"/>
      <c r="E2099" s="36">
        <v>168</v>
      </c>
      <c r="F2099" s="36" t="s">
        <v>2176</v>
      </c>
      <c r="G2099" s="36">
        <v>613409</v>
      </c>
      <c r="H2099" s="36" t="s">
        <v>1419</v>
      </c>
      <c r="I2099" s="37">
        <v>3.2253400000000001</v>
      </c>
      <c r="J2099" s="7"/>
      <c r="K2099" s="7" t="str">
        <f>VLOOKUP($E2099,Mapping!$E$11:$I$96,3,0)</f>
        <v>Augmentation</v>
      </c>
      <c r="L2099" s="7" t="str">
        <f>VLOOKUP($G2099,Mapping!$E$140:$K$2771,5,0)</f>
        <v>Labour</v>
      </c>
      <c r="M2099" s="7" t="str">
        <f>VLOOKUP($G2099,Mapping!$E$140:$K$2771,7,0)</f>
        <v>ENDirect</v>
      </c>
      <c r="N2099" s="7" t="str">
        <f>IFERROR(HLOOKUP(L2099,'Calc|Weightings'!$K$5:$M$5,1,0),"Excl")</f>
        <v>Labour</v>
      </c>
      <c r="O2099" s="7" t="str">
        <f>VLOOKUP(E2099,Mapping!$E$11:$I$96,5,0)</f>
        <v>SCS</v>
      </c>
      <c r="Q2099" s="7"/>
      <c r="R2099" s="7"/>
      <c r="S2099" s="7"/>
      <c r="T2099" s="7"/>
      <c r="U2099" s="7"/>
      <c r="V2099" s="7"/>
      <c r="AC2099" s="7"/>
      <c r="AD2099" s="7"/>
      <c r="AE2099" s="7"/>
      <c r="AF2099" s="7"/>
      <c r="AG2099" s="7"/>
      <c r="AO2099" s="7"/>
      <c r="AP2099" s="7"/>
      <c r="AQ2099" s="7"/>
      <c r="AR2099" s="7"/>
      <c r="AS2099" s="7"/>
    </row>
    <row r="2100" spans="1:45" x14ac:dyDescent="0.2">
      <c r="A2100" s="7"/>
      <c r="B2100" s="7"/>
      <c r="C2100" s="7"/>
      <c r="D2100" s="7"/>
      <c r="E2100" s="36">
        <v>168</v>
      </c>
      <c r="F2100" s="36" t="s">
        <v>2176</v>
      </c>
      <c r="G2100" s="36">
        <v>613418</v>
      </c>
      <c r="H2100" s="36" t="s">
        <v>1424</v>
      </c>
      <c r="I2100" s="37">
        <v>1.0651200000000001</v>
      </c>
      <c r="J2100" s="7"/>
      <c r="K2100" s="7" t="str">
        <f>VLOOKUP($E2100,Mapping!$E$11:$I$96,3,0)</f>
        <v>Augmentation</v>
      </c>
      <c r="L2100" s="7" t="str">
        <f>VLOOKUP($G2100,Mapping!$E$140:$K$2771,5,0)</f>
        <v>Labour</v>
      </c>
      <c r="M2100" s="7" t="str">
        <f>VLOOKUP($G2100,Mapping!$E$140:$K$2771,7,0)</f>
        <v>ENDirect</v>
      </c>
      <c r="N2100" s="7" t="str">
        <f>IFERROR(HLOOKUP(L2100,'Calc|Weightings'!$K$5:$M$5,1,0),"Excl")</f>
        <v>Labour</v>
      </c>
      <c r="O2100" s="7" t="str">
        <f>VLOOKUP(E2100,Mapping!$E$11:$I$96,5,0)</f>
        <v>SCS</v>
      </c>
      <c r="Q2100" s="7"/>
      <c r="R2100" s="7"/>
      <c r="S2100" s="7"/>
      <c r="T2100" s="7"/>
      <c r="U2100" s="7"/>
      <c r="V2100" s="7"/>
      <c r="AC2100" s="7"/>
      <c r="AD2100" s="7"/>
      <c r="AE2100" s="7"/>
      <c r="AF2100" s="7"/>
      <c r="AG2100" s="7"/>
      <c r="AO2100" s="7"/>
      <c r="AP2100" s="7"/>
      <c r="AQ2100" s="7"/>
      <c r="AR2100" s="7"/>
      <c r="AS2100" s="7"/>
    </row>
    <row r="2101" spans="1:45" x14ac:dyDescent="0.2">
      <c r="A2101" s="7"/>
      <c r="B2101" s="7"/>
      <c r="C2101" s="7"/>
      <c r="D2101" s="7"/>
      <c r="E2101" s="36">
        <v>168</v>
      </c>
      <c r="F2101" s="36" t="s">
        <v>2176</v>
      </c>
      <c r="G2101" s="36">
        <v>613419</v>
      </c>
      <c r="H2101" s="36" t="s">
        <v>1425</v>
      </c>
      <c r="I2101" s="37">
        <v>0.26628000000000002</v>
      </c>
      <c r="J2101" s="7"/>
      <c r="K2101" s="7" t="str">
        <f>VLOOKUP($E2101,Mapping!$E$11:$I$96,3,0)</f>
        <v>Augmentation</v>
      </c>
      <c r="L2101" s="7" t="str">
        <f>VLOOKUP($G2101,Mapping!$E$140:$K$2771,5,0)</f>
        <v>Labour</v>
      </c>
      <c r="M2101" s="7" t="str">
        <f>VLOOKUP($G2101,Mapping!$E$140:$K$2771,7,0)</f>
        <v>ENDirect</v>
      </c>
      <c r="N2101" s="7" t="str">
        <f>IFERROR(HLOOKUP(L2101,'Calc|Weightings'!$K$5:$M$5,1,0),"Excl")</f>
        <v>Labour</v>
      </c>
      <c r="O2101" s="7" t="str">
        <f>VLOOKUP(E2101,Mapping!$E$11:$I$96,5,0)</f>
        <v>SCS</v>
      </c>
      <c r="Q2101" s="7"/>
      <c r="R2101" s="7"/>
      <c r="S2101" s="7"/>
      <c r="T2101" s="7"/>
      <c r="U2101" s="7"/>
      <c r="V2101" s="7"/>
      <c r="AC2101" s="7"/>
      <c r="AD2101" s="7"/>
      <c r="AE2101" s="7"/>
      <c r="AF2101" s="7"/>
      <c r="AG2101" s="7"/>
      <c r="AO2101" s="7"/>
      <c r="AP2101" s="7"/>
      <c r="AQ2101" s="7"/>
      <c r="AR2101" s="7"/>
      <c r="AS2101" s="7"/>
    </row>
    <row r="2102" spans="1:45" x14ac:dyDescent="0.2">
      <c r="A2102" s="7"/>
      <c r="B2102" s="7"/>
      <c r="C2102" s="7"/>
      <c r="D2102" s="7"/>
      <c r="E2102" s="36">
        <v>168</v>
      </c>
      <c r="F2102" s="36" t="s">
        <v>2176</v>
      </c>
      <c r="G2102" s="36">
        <v>613438</v>
      </c>
      <c r="H2102" s="36" t="s">
        <v>1436</v>
      </c>
      <c r="I2102" s="37">
        <v>7.1394900000000003</v>
      </c>
      <c r="J2102" s="7"/>
      <c r="K2102" s="7" t="str">
        <f>VLOOKUP($E2102,Mapping!$E$11:$I$96,3,0)</f>
        <v>Augmentation</v>
      </c>
      <c r="L2102" s="7" t="str">
        <f>VLOOKUP($G2102,Mapping!$E$140:$K$2771,5,0)</f>
        <v>Labour</v>
      </c>
      <c r="M2102" s="7" t="str">
        <f>VLOOKUP($G2102,Mapping!$E$140:$K$2771,7,0)</f>
        <v>ENDirect</v>
      </c>
      <c r="N2102" s="7" t="str">
        <f>IFERROR(HLOOKUP(L2102,'Calc|Weightings'!$K$5:$M$5,1,0),"Excl")</f>
        <v>Labour</v>
      </c>
      <c r="O2102" s="7" t="str">
        <f>VLOOKUP(E2102,Mapping!$E$11:$I$96,5,0)</f>
        <v>SCS</v>
      </c>
      <c r="Q2102" s="7"/>
      <c r="R2102" s="7"/>
      <c r="S2102" s="7"/>
      <c r="T2102" s="7"/>
      <c r="U2102" s="7"/>
      <c r="V2102" s="7"/>
      <c r="AC2102" s="7"/>
      <c r="AD2102" s="7"/>
      <c r="AE2102" s="7"/>
      <c r="AF2102" s="7"/>
      <c r="AG2102" s="7"/>
      <c r="AO2102" s="7"/>
      <c r="AP2102" s="7"/>
      <c r="AQ2102" s="7"/>
      <c r="AR2102" s="7"/>
      <c r="AS2102" s="7"/>
    </row>
    <row r="2103" spans="1:45" x14ac:dyDescent="0.2">
      <c r="A2103" s="7"/>
      <c r="B2103" s="7"/>
      <c r="C2103" s="7"/>
      <c r="D2103" s="7"/>
      <c r="E2103" s="36">
        <v>168</v>
      </c>
      <c r="F2103" s="36" t="s">
        <v>2176</v>
      </c>
      <c r="G2103" s="36">
        <v>613439</v>
      </c>
      <c r="H2103" s="36" t="s">
        <v>1437</v>
      </c>
      <c r="I2103" s="37">
        <v>0.62995999999999996</v>
      </c>
      <c r="J2103" s="7"/>
      <c r="K2103" s="7" t="str">
        <f>VLOOKUP($E2103,Mapping!$E$11:$I$96,3,0)</f>
        <v>Augmentation</v>
      </c>
      <c r="L2103" s="7" t="str">
        <f>VLOOKUP($G2103,Mapping!$E$140:$K$2771,5,0)</f>
        <v>Labour</v>
      </c>
      <c r="M2103" s="7" t="str">
        <f>VLOOKUP($G2103,Mapping!$E$140:$K$2771,7,0)</f>
        <v>ENDirect</v>
      </c>
      <c r="N2103" s="7" t="str">
        <f>IFERROR(HLOOKUP(L2103,'Calc|Weightings'!$K$5:$M$5,1,0),"Excl")</f>
        <v>Labour</v>
      </c>
      <c r="O2103" s="7" t="str">
        <f>VLOOKUP(E2103,Mapping!$E$11:$I$96,5,0)</f>
        <v>SCS</v>
      </c>
      <c r="Q2103" s="7"/>
      <c r="R2103" s="7"/>
      <c r="S2103" s="7"/>
      <c r="T2103" s="7"/>
      <c r="U2103" s="7"/>
      <c r="V2103" s="7"/>
      <c r="AC2103" s="7"/>
      <c r="AD2103" s="7"/>
      <c r="AE2103" s="7"/>
      <c r="AF2103" s="7"/>
      <c r="AG2103" s="7"/>
      <c r="AO2103" s="7"/>
      <c r="AP2103" s="7"/>
      <c r="AQ2103" s="7"/>
      <c r="AR2103" s="7"/>
      <c r="AS2103" s="7"/>
    </row>
    <row r="2104" spans="1:45" x14ac:dyDescent="0.2">
      <c r="A2104" s="7"/>
      <c r="B2104" s="7"/>
      <c r="C2104" s="7"/>
      <c r="D2104" s="7"/>
      <c r="E2104" s="36">
        <v>168</v>
      </c>
      <c r="F2104" s="36" t="s">
        <v>2176</v>
      </c>
      <c r="G2104" s="36">
        <v>613576</v>
      </c>
      <c r="H2104" s="36" t="s">
        <v>1490</v>
      </c>
      <c r="I2104" s="37">
        <v>2.7911999999999999</v>
      </c>
      <c r="J2104" s="7"/>
      <c r="K2104" s="7" t="str">
        <f>VLOOKUP($E2104,Mapping!$E$11:$I$96,3,0)</f>
        <v>Augmentation</v>
      </c>
      <c r="L2104" s="7" t="str">
        <f>VLOOKUP($G2104,Mapping!$E$140:$K$2771,5,0)</f>
        <v>Labour</v>
      </c>
      <c r="M2104" s="7" t="str">
        <f>VLOOKUP($G2104,Mapping!$E$140:$K$2771,7,0)</f>
        <v>ENDirect</v>
      </c>
      <c r="N2104" s="7" t="str">
        <f>IFERROR(HLOOKUP(L2104,'Calc|Weightings'!$K$5:$M$5,1,0),"Excl")</f>
        <v>Labour</v>
      </c>
      <c r="O2104" s="7" t="str">
        <f>VLOOKUP(E2104,Mapping!$E$11:$I$96,5,0)</f>
        <v>SCS</v>
      </c>
      <c r="Q2104" s="7"/>
      <c r="R2104" s="7"/>
      <c r="S2104" s="7"/>
      <c r="T2104" s="7"/>
      <c r="U2104" s="7"/>
      <c r="V2104" s="7"/>
      <c r="AC2104" s="7"/>
      <c r="AD2104" s="7"/>
      <c r="AE2104" s="7"/>
      <c r="AF2104" s="7"/>
      <c r="AG2104" s="7"/>
      <c r="AO2104" s="7"/>
      <c r="AP2104" s="7"/>
      <c r="AQ2104" s="7"/>
      <c r="AR2104" s="7"/>
      <c r="AS2104" s="7"/>
    </row>
    <row r="2105" spans="1:45" x14ac:dyDescent="0.2">
      <c r="A2105" s="7"/>
      <c r="B2105" s="7"/>
      <c r="C2105" s="7"/>
      <c r="D2105" s="7"/>
      <c r="E2105" s="36">
        <v>168</v>
      </c>
      <c r="F2105" s="36" t="s">
        <v>2176</v>
      </c>
      <c r="G2105" s="36">
        <v>613680</v>
      </c>
      <c r="H2105" s="36" t="s">
        <v>2107</v>
      </c>
      <c r="I2105" s="37">
        <v>29.47063</v>
      </c>
      <c r="J2105" s="7"/>
      <c r="K2105" s="7" t="str">
        <f>VLOOKUP($E2105,Mapping!$E$11:$I$96,3,0)</f>
        <v>Augmentation</v>
      </c>
      <c r="L2105" s="7" t="str">
        <f>VLOOKUP($G2105,Mapping!$E$140:$K$2771,5,0)</f>
        <v>Labour</v>
      </c>
      <c r="M2105" s="7" t="str">
        <f>VLOOKUP($G2105,Mapping!$E$140:$K$2771,7,0)</f>
        <v>ENDirect</v>
      </c>
      <c r="N2105" s="7" t="str">
        <f>IFERROR(HLOOKUP(L2105,'Calc|Weightings'!$K$5:$M$5,1,0),"Excl")</f>
        <v>Labour</v>
      </c>
      <c r="O2105" s="7" t="str">
        <f>VLOOKUP(E2105,Mapping!$E$11:$I$96,5,0)</f>
        <v>SCS</v>
      </c>
      <c r="Q2105" s="7"/>
      <c r="R2105" s="7"/>
      <c r="S2105" s="7"/>
      <c r="T2105" s="7"/>
      <c r="U2105" s="7"/>
      <c r="V2105" s="7"/>
      <c r="AC2105" s="7"/>
      <c r="AD2105" s="7"/>
      <c r="AE2105" s="7"/>
      <c r="AF2105" s="7"/>
      <c r="AG2105" s="7"/>
      <c r="AO2105" s="7"/>
      <c r="AP2105" s="7"/>
      <c r="AQ2105" s="7"/>
      <c r="AR2105" s="7"/>
      <c r="AS2105" s="7"/>
    </row>
    <row r="2106" spans="1:45" x14ac:dyDescent="0.2">
      <c r="A2106" s="7"/>
      <c r="B2106" s="7"/>
      <c r="C2106" s="7"/>
      <c r="D2106" s="7"/>
      <c r="E2106" s="36">
        <v>168</v>
      </c>
      <c r="F2106" s="36" t="s">
        <v>2176</v>
      </c>
      <c r="G2106" s="36">
        <v>615375</v>
      </c>
      <c r="H2106" s="36" t="s">
        <v>1717</v>
      </c>
      <c r="I2106" s="37">
        <v>23.13</v>
      </c>
      <c r="J2106" s="7"/>
      <c r="K2106" s="7" t="str">
        <f>VLOOKUP($E2106,Mapping!$E$11:$I$96,3,0)</f>
        <v>Augmentation</v>
      </c>
      <c r="L2106" s="7" t="str">
        <f>VLOOKUP($G2106,Mapping!$E$140:$K$2771,5,0)</f>
        <v>Labour</v>
      </c>
      <c r="M2106" s="7" t="str">
        <f>VLOOKUP($G2106,Mapping!$E$140:$K$2771,7,0)</f>
        <v>ENDirect</v>
      </c>
      <c r="N2106" s="7" t="str">
        <f>IFERROR(HLOOKUP(L2106,'Calc|Weightings'!$K$5:$M$5,1,0),"Excl")</f>
        <v>Labour</v>
      </c>
      <c r="O2106" s="7" t="str">
        <f>VLOOKUP(E2106,Mapping!$E$11:$I$96,5,0)</f>
        <v>SCS</v>
      </c>
      <c r="Q2106" s="7"/>
      <c r="R2106" s="7"/>
      <c r="S2106" s="7"/>
      <c r="T2106" s="7"/>
      <c r="U2106" s="7"/>
      <c r="V2106" s="7"/>
      <c r="AC2106" s="7"/>
      <c r="AD2106" s="7"/>
      <c r="AE2106" s="7"/>
      <c r="AF2106" s="7"/>
      <c r="AG2106" s="7"/>
      <c r="AO2106" s="7"/>
      <c r="AP2106" s="7"/>
      <c r="AQ2106" s="7"/>
      <c r="AR2106" s="7"/>
      <c r="AS2106" s="7"/>
    </row>
    <row r="2107" spans="1:45" x14ac:dyDescent="0.2">
      <c r="A2107" s="7"/>
      <c r="B2107" s="7"/>
      <c r="C2107" s="7"/>
      <c r="D2107" s="7"/>
      <c r="E2107" s="36">
        <v>168</v>
      </c>
      <c r="F2107" s="36" t="s">
        <v>2176</v>
      </c>
      <c r="G2107" s="36">
        <v>615395</v>
      </c>
      <c r="H2107" s="36" t="s">
        <v>2196</v>
      </c>
      <c r="I2107" s="37">
        <v>11.23785</v>
      </c>
      <c r="J2107" s="7"/>
      <c r="K2107" s="7" t="str">
        <f>VLOOKUP($E2107,Mapping!$E$11:$I$96,3,0)</f>
        <v>Augmentation</v>
      </c>
      <c r="L2107" s="7" t="str">
        <f>VLOOKUP($G2107,Mapping!$E$140:$K$2771,5,0)</f>
        <v>Labour</v>
      </c>
      <c r="M2107" s="7" t="str">
        <f>VLOOKUP($G2107,Mapping!$E$140:$K$2771,7,0)</f>
        <v>ENDirect</v>
      </c>
      <c r="N2107" s="7" t="str">
        <f>IFERROR(HLOOKUP(L2107,'Calc|Weightings'!$K$5:$M$5,1,0),"Excl")</f>
        <v>Labour</v>
      </c>
      <c r="O2107" s="7" t="str">
        <f>VLOOKUP(E2107,Mapping!$E$11:$I$96,5,0)</f>
        <v>SCS</v>
      </c>
      <c r="Q2107" s="7"/>
      <c r="R2107" s="7"/>
      <c r="S2107" s="7"/>
      <c r="T2107" s="7"/>
      <c r="U2107" s="7"/>
      <c r="V2107" s="7"/>
      <c r="AC2107" s="7"/>
      <c r="AD2107" s="7"/>
      <c r="AE2107" s="7"/>
      <c r="AF2107" s="7"/>
      <c r="AG2107" s="7"/>
      <c r="AO2107" s="7"/>
      <c r="AP2107" s="7"/>
      <c r="AQ2107" s="7"/>
      <c r="AR2107" s="7"/>
      <c r="AS2107" s="7"/>
    </row>
    <row r="2108" spans="1:45" x14ac:dyDescent="0.2">
      <c r="A2108" s="7"/>
      <c r="B2108" s="7"/>
      <c r="C2108" s="7"/>
      <c r="D2108" s="7"/>
      <c r="E2108" s="36">
        <v>168</v>
      </c>
      <c r="F2108" s="36" t="s">
        <v>2176</v>
      </c>
      <c r="G2108" s="36">
        <v>633000</v>
      </c>
      <c r="H2108" s="36" t="s">
        <v>2202</v>
      </c>
      <c r="I2108" s="37">
        <v>279.24232000000001</v>
      </c>
      <c r="J2108" s="7"/>
      <c r="K2108" s="7" t="str">
        <f>VLOOKUP($E2108,Mapping!$E$11:$I$96,3,0)</f>
        <v>Augmentation</v>
      </c>
      <c r="L2108" s="7" t="str">
        <f>VLOOKUP($G2108,Mapping!$E$140:$K$2771,5,0)</f>
        <v>Contracts</v>
      </c>
      <c r="M2108" s="7" t="str">
        <f>VLOOKUP($G2108,Mapping!$E$140:$K$2771,7,0)</f>
        <v>OH</v>
      </c>
      <c r="N2108" s="7" t="str">
        <f>IFERROR(HLOOKUP(L2108,'Calc|Weightings'!$K$5:$M$5,1,0),"Excl")</f>
        <v>Contracts</v>
      </c>
      <c r="O2108" s="7" t="str">
        <f>VLOOKUP(E2108,Mapping!$E$11:$I$96,5,0)</f>
        <v>SCS</v>
      </c>
      <c r="Q2108" s="7"/>
      <c r="R2108" s="7"/>
      <c r="S2108" s="7"/>
      <c r="T2108" s="7"/>
      <c r="U2108" s="7"/>
      <c r="V2108" s="7"/>
      <c r="AC2108" s="7"/>
      <c r="AD2108" s="7"/>
      <c r="AE2108" s="7"/>
      <c r="AF2108" s="7"/>
      <c r="AG2108" s="7"/>
      <c r="AO2108" s="7"/>
      <c r="AP2108" s="7"/>
      <c r="AQ2108" s="7"/>
      <c r="AR2108" s="7"/>
      <c r="AS2108" s="7"/>
    </row>
    <row r="2109" spans="1:45" x14ac:dyDescent="0.2">
      <c r="A2109" s="7"/>
      <c r="B2109" s="7"/>
      <c r="C2109" s="7"/>
      <c r="D2109" s="7"/>
      <c r="E2109" s="36">
        <v>168</v>
      </c>
      <c r="F2109" s="36" t="s">
        <v>2176</v>
      </c>
      <c r="G2109" s="36">
        <v>634001</v>
      </c>
      <c r="H2109" s="36" t="s">
        <v>2110</v>
      </c>
      <c r="I2109" s="37">
        <v>114.59645999999999</v>
      </c>
      <c r="J2109" s="7"/>
      <c r="K2109" s="7" t="str">
        <f>VLOOKUP($E2109,Mapping!$E$11:$I$96,3,0)</f>
        <v>Augmentation</v>
      </c>
      <c r="L2109" s="7" t="str">
        <f>VLOOKUP($G2109,Mapping!$E$140:$K$2771,5,0)</f>
        <v>Local OH</v>
      </c>
      <c r="M2109" s="7" t="str">
        <f>VLOOKUP($G2109,Mapping!$E$140:$K$2771,7,0)</f>
        <v>OH</v>
      </c>
      <c r="N2109" s="7" t="str">
        <f>IFERROR(HLOOKUP(L2109,'Calc|Weightings'!$K$5:$M$5,1,0),"Excl")</f>
        <v>Excl</v>
      </c>
      <c r="O2109" s="7" t="str">
        <f>VLOOKUP(E2109,Mapping!$E$11:$I$96,5,0)</f>
        <v>SCS</v>
      </c>
      <c r="Q2109" s="7"/>
      <c r="R2109" s="7"/>
      <c r="S2109" s="7"/>
      <c r="T2109" s="7"/>
      <c r="U2109" s="7"/>
      <c r="V2109" s="7"/>
      <c r="AC2109" s="7"/>
      <c r="AD2109" s="7"/>
      <c r="AE2109" s="7"/>
      <c r="AF2109" s="7"/>
      <c r="AG2109" s="7"/>
      <c r="AO2109" s="7"/>
      <c r="AP2109" s="7"/>
      <c r="AQ2109" s="7"/>
      <c r="AR2109" s="7"/>
      <c r="AS2109" s="7"/>
    </row>
    <row r="2110" spans="1:45" x14ac:dyDescent="0.2">
      <c r="A2110" s="7"/>
      <c r="B2110" s="7"/>
      <c r="C2110" s="7"/>
      <c r="D2110" s="7"/>
      <c r="E2110" s="36">
        <v>168</v>
      </c>
      <c r="F2110" s="36" t="s">
        <v>2176</v>
      </c>
      <c r="G2110" s="36">
        <v>635001</v>
      </c>
      <c r="H2110" s="36" t="s">
        <v>1929</v>
      </c>
      <c r="I2110" s="37">
        <v>63.245170000000002</v>
      </c>
      <c r="J2110" s="7"/>
      <c r="K2110" s="7" t="str">
        <f>VLOOKUP($E2110,Mapping!$E$11:$I$96,3,0)</f>
        <v>Augmentation</v>
      </c>
      <c r="L2110" s="7" t="str">
        <f>VLOOKUP($G2110,Mapping!$E$140:$K$2771,5,0)</f>
        <v>PNS MG</v>
      </c>
      <c r="M2110" s="7" t="str">
        <f>VLOOKUP($G2110,Mapping!$E$140:$K$2771,7,0)</f>
        <v>ENDirect</v>
      </c>
      <c r="N2110" s="7" t="str">
        <f>IFERROR(HLOOKUP(L2110,'Calc|Weightings'!$K$5:$M$5,1,0),"Excl")</f>
        <v>Excl</v>
      </c>
      <c r="O2110" s="7" t="str">
        <f>VLOOKUP(E2110,Mapping!$E$11:$I$96,5,0)</f>
        <v>SCS</v>
      </c>
      <c r="Q2110" s="7"/>
      <c r="R2110" s="7"/>
      <c r="S2110" s="7"/>
      <c r="T2110" s="7"/>
      <c r="U2110" s="7"/>
      <c r="V2110" s="7"/>
      <c r="AC2110" s="7"/>
      <c r="AD2110" s="7"/>
      <c r="AE2110" s="7"/>
      <c r="AF2110" s="7"/>
      <c r="AG2110" s="7"/>
      <c r="AO2110" s="7"/>
      <c r="AP2110" s="7"/>
      <c r="AQ2110" s="7"/>
      <c r="AR2110" s="7"/>
      <c r="AS2110" s="7"/>
    </row>
    <row r="2111" spans="1:45" x14ac:dyDescent="0.2">
      <c r="A2111" s="7"/>
      <c r="B2111" s="7"/>
      <c r="C2111" s="7"/>
      <c r="D2111" s="7"/>
      <c r="E2111" s="36">
        <v>168</v>
      </c>
      <c r="F2111" s="36" t="s">
        <v>2176</v>
      </c>
      <c r="G2111" s="36">
        <v>636001</v>
      </c>
      <c r="H2111" s="36" t="s">
        <v>2111</v>
      </c>
      <c r="I2111" s="37">
        <v>36.231110000000001</v>
      </c>
      <c r="J2111" s="7"/>
      <c r="K2111" s="7" t="str">
        <f>VLOOKUP($E2111,Mapping!$E$11:$I$96,3,0)</f>
        <v>Augmentation</v>
      </c>
      <c r="L2111" s="7" t="str">
        <f>VLOOKUP($G2111,Mapping!$E$140:$K$2771,5,0)</f>
        <v>System Control OH</v>
      </c>
      <c r="M2111" s="7" t="str">
        <f>VLOOKUP($G2111,Mapping!$E$140:$K$2771,7,0)</f>
        <v>OH</v>
      </c>
      <c r="N2111" s="7" t="str">
        <f>IFERROR(HLOOKUP(L2111,'Calc|Weightings'!$K$5:$M$5,1,0),"Excl")</f>
        <v>Excl</v>
      </c>
      <c r="O2111" s="7" t="str">
        <f>VLOOKUP(E2111,Mapping!$E$11:$I$96,5,0)</f>
        <v>SCS</v>
      </c>
      <c r="Q2111" s="7"/>
      <c r="R2111" s="7"/>
      <c r="S2111" s="7"/>
      <c r="T2111" s="7"/>
      <c r="U2111" s="7"/>
      <c r="V2111" s="7"/>
      <c r="AC2111" s="7"/>
      <c r="AD2111" s="7"/>
      <c r="AE2111" s="7"/>
      <c r="AF2111" s="7"/>
      <c r="AG2111" s="7"/>
      <c r="AO2111" s="7"/>
      <c r="AP2111" s="7"/>
      <c r="AQ2111" s="7"/>
      <c r="AR2111" s="7"/>
      <c r="AS2111" s="7"/>
    </row>
    <row r="2112" spans="1:45" x14ac:dyDescent="0.2">
      <c r="A2112" s="7"/>
      <c r="B2112" s="7"/>
      <c r="C2112" s="7"/>
      <c r="D2112" s="7"/>
      <c r="E2112" s="36">
        <v>168</v>
      </c>
      <c r="F2112" s="36" t="s">
        <v>2176</v>
      </c>
      <c r="G2112" s="36">
        <v>639000</v>
      </c>
      <c r="H2112" s="36" t="s">
        <v>2112</v>
      </c>
      <c r="I2112" s="37">
        <v>69.146659999999997</v>
      </c>
      <c r="J2112" s="7"/>
      <c r="K2112" s="7" t="str">
        <f>VLOOKUP($E2112,Mapping!$E$11:$I$96,3,0)</f>
        <v>Augmentation</v>
      </c>
      <c r="L2112" s="7" t="str">
        <f>VLOOKUP($G2112,Mapping!$E$140:$K$2771,5,0)</f>
        <v>PNS Corporate OH</v>
      </c>
      <c r="M2112" s="7" t="str">
        <f>VLOOKUP($G2112,Mapping!$E$140:$K$2771,7,0)</f>
        <v>OH</v>
      </c>
      <c r="N2112" s="7" t="str">
        <f>IFERROR(HLOOKUP(L2112,'Calc|Weightings'!$K$5:$M$5,1,0),"Excl")</f>
        <v>Excl</v>
      </c>
      <c r="O2112" s="7" t="str">
        <f>VLOOKUP(E2112,Mapping!$E$11:$I$96,5,0)</f>
        <v>SCS</v>
      </c>
      <c r="Q2112" s="7"/>
      <c r="R2112" s="7"/>
      <c r="S2112" s="7"/>
      <c r="T2112" s="7"/>
      <c r="U2112" s="7"/>
      <c r="V2112" s="7"/>
      <c r="AC2112" s="7"/>
      <c r="AD2112" s="7"/>
      <c r="AE2112" s="7"/>
      <c r="AF2112" s="7"/>
      <c r="AG2112" s="7"/>
      <c r="AO2112" s="7"/>
      <c r="AP2112" s="7"/>
      <c r="AQ2112" s="7"/>
      <c r="AR2112" s="7"/>
      <c r="AS2112" s="7"/>
    </row>
    <row r="2113" spans="1:45" x14ac:dyDescent="0.2">
      <c r="A2113" s="7"/>
      <c r="B2113" s="7"/>
      <c r="C2113" s="7"/>
      <c r="D2113" s="7"/>
      <c r="E2113" s="36">
        <v>168</v>
      </c>
      <c r="F2113" s="36" t="s">
        <v>2176</v>
      </c>
      <c r="G2113" s="36">
        <v>639050</v>
      </c>
      <c r="H2113" s="36" t="s">
        <v>2113</v>
      </c>
      <c r="I2113" s="37">
        <v>8.5794200000000007</v>
      </c>
      <c r="J2113" s="7"/>
      <c r="K2113" s="7" t="str">
        <f>VLOOKUP($E2113,Mapping!$E$11:$I$96,3,0)</f>
        <v>Augmentation</v>
      </c>
      <c r="L2113" s="7" t="str">
        <f>VLOOKUP($G2113,Mapping!$E$140:$K$2771,5,0)</f>
        <v>PNS Fleet &amp; Property OH</v>
      </c>
      <c r="M2113" s="7" t="str">
        <f>VLOOKUP($G2113,Mapping!$E$140:$K$2771,7,0)</f>
        <v>OH</v>
      </c>
      <c r="N2113" s="7" t="str">
        <f>IFERROR(HLOOKUP(L2113,'Calc|Weightings'!$K$5:$M$5,1,0),"Excl")</f>
        <v>Excl</v>
      </c>
      <c r="O2113" s="7" t="str">
        <f>VLOOKUP(E2113,Mapping!$E$11:$I$96,5,0)</f>
        <v>SCS</v>
      </c>
      <c r="Q2113" s="7"/>
      <c r="R2113" s="7"/>
      <c r="S2113" s="7"/>
      <c r="T2113" s="7"/>
      <c r="U2113" s="7"/>
      <c r="V2113" s="7"/>
      <c r="AC2113" s="7"/>
      <c r="AD2113" s="7"/>
      <c r="AE2113" s="7"/>
      <c r="AF2113" s="7"/>
      <c r="AG2113" s="7"/>
      <c r="AO2113" s="7"/>
      <c r="AP2113" s="7"/>
      <c r="AQ2113" s="7"/>
      <c r="AR2113" s="7"/>
      <c r="AS2113" s="7"/>
    </row>
    <row r="2114" spans="1:45" x14ac:dyDescent="0.2">
      <c r="A2114" s="7"/>
      <c r="B2114" s="7"/>
      <c r="C2114" s="7"/>
      <c r="D2114" s="7"/>
      <c r="E2114" s="36">
        <v>172</v>
      </c>
      <c r="F2114" s="36" t="s">
        <v>2177</v>
      </c>
      <c r="G2114" s="36">
        <v>520100</v>
      </c>
      <c r="H2114" s="36" t="s">
        <v>2072</v>
      </c>
      <c r="I2114" s="37">
        <v>38.025880000000001</v>
      </c>
      <c r="J2114" s="7"/>
      <c r="K2114" s="7" t="str">
        <f>VLOOKUP($E2114,Mapping!$E$11:$I$96,3,0)</f>
        <v>Replacement</v>
      </c>
      <c r="L2114" s="7" t="str">
        <f>VLOOKUP($G2114,Mapping!$E$140:$K$2771,5,0)</f>
        <v>Materials</v>
      </c>
      <c r="M2114" s="7" t="str">
        <f>VLOOKUP($G2114,Mapping!$E$140:$K$2771,7,0)</f>
        <v>ENDirect</v>
      </c>
      <c r="N2114" s="7" t="str">
        <f>IFERROR(HLOOKUP(L2114,'Calc|Weightings'!$K$5:$M$5,1,0),"Excl")</f>
        <v>Materials</v>
      </c>
      <c r="O2114" s="7" t="str">
        <f>VLOOKUP(E2114,Mapping!$E$11:$I$96,5,0)</f>
        <v>SCS</v>
      </c>
      <c r="Q2114" s="7"/>
      <c r="R2114" s="7"/>
      <c r="S2114" s="7"/>
      <c r="T2114" s="7"/>
      <c r="U2114" s="7"/>
      <c r="V2114" s="7"/>
      <c r="AC2114" s="7"/>
      <c r="AD2114" s="7"/>
      <c r="AE2114" s="7"/>
      <c r="AF2114" s="7"/>
      <c r="AG2114" s="7"/>
      <c r="AO2114" s="7"/>
      <c r="AP2114" s="7"/>
      <c r="AQ2114" s="7"/>
      <c r="AR2114" s="7"/>
      <c r="AS2114" s="7"/>
    </row>
    <row r="2115" spans="1:45" x14ac:dyDescent="0.2">
      <c r="A2115" s="7"/>
      <c r="B2115" s="7"/>
      <c r="C2115" s="7"/>
      <c r="D2115" s="7"/>
      <c r="E2115" s="36">
        <v>172</v>
      </c>
      <c r="F2115" s="36" t="s">
        <v>2177</v>
      </c>
      <c r="G2115" s="36">
        <v>531464</v>
      </c>
      <c r="H2115" s="36" t="s">
        <v>256</v>
      </c>
      <c r="I2115" s="37">
        <v>3.31541</v>
      </c>
      <c r="J2115" s="7"/>
      <c r="K2115" s="7" t="str">
        <f>VLOOKUP($E2115,Mapping!$E$11:$I$96,3,0)</f>
        <v>Replacement</v>
      </c>
      <c r="L2115" s="7" t="str">
        <f>VLOOKUP($G2115,Mapping!$E$140:$K$2771,5,0)</f>
        <v>Contracts</v>
      </c>
      <c r="M2115" s="7" t="str">
        <f>VLOOKUP($G2115,Mapping!$E$140:$K$2771,7,0)</f>
        <v>ENDirect</v>
      </c>
      <c r="N2115" s="7" t="str">
        <f>IFERROR(HLOOKUP(L2115,'Calc|Weightings'!$K$5:$M$5,1,0),"Excl")</f>
        <v>Contracts</v>
      </c>
      <c r="O2115" s="7" t="str">
        <f>VLOOKUP(E2115,Mapping!$E$11:$I$96,5,0)</f>
        <v>SCS</v>
      </c>
      <c r="Q2115" s="7"/>
      <c r="R2115" s="7"/>
      <c r="S2115" s="7"/>
      <c r="T2115" s="7"/>
      <c r="U2115" s="7"/>
      <c r="V2115" s="7"/>
      <c r="AC2115" s="7"/>
      <c r="AD2115" s="7"/>
      <c r="AE2115" s="7"/>
      <c r="AF2115" s="7"/>
      <c r="AG2115" s="7"/>
      <c r="AO2115" s="7"/>
      <c r="AP2115" s="7"/>
      <c r="AQ2115" s="7"/>
      <c r="AR2115" s="7"/>
      <c r="AS2115" s="7"/>
    </row>
    <row r="2116" spans="1:45" x14ac:dyDescent="0.2">
      <c r="A2116" s="7"/>
      <c r="B2116" s="7"/>
      <c r="C2116" s="7"/>
      <c r="D2116" s="7"/>
      <c r="E2116" s="36">
        <v>172</v>
      </c>
      <c r="F2116" s="36" t="s">
        <v>2177</v>
      </c>
      <c r="G2116" s="36">
        <v>531467</v>
      </c>
      <c r="H2116" s="36" t="s">
        <v>259</v>
      </c>
      <c r="I2116" s="37">
        <v>18.726320000000001</v>
      </c>
      <c r="J2116" s="7"/>
      <c r="K2116" s="7" t="str">
        <f>VLOOKUP($E2116,Mapping!$E$11:$I$96,3,0)</f>
        <v>Replacement</v>
      </c>
      <c r="L2116" s="7" t="str">
        <f>VLOOKUP($G2116,Mapping!$E$140:$K$2771,5,0)</f>
        <v>Contracts</v>
      </c>
      <c r="M2116" s="7" t="str">
        <f>VLOOKUP($G2116,Mapping!$E$140:$K$2771,7,0)</f>
        <v>ENDirect</v>
      </c>
      <c r="N2116" s="7" t="str">
        <f>IFERROR(HLOOKUP(L2116,'Calc|Weightings'!$K$5:$M$5,1,0),"Excl")</f>
        <v>Contracts</v>
      </c>
      <c r="O2116" s="7" t="str">
        <f>VLOOKUP(E2116,Mapping!$E$11:$I$96,5,0)</f>
        <v>SCS</v>
      </c>
      <c r="Q2116" s="7"/>
      <c r="R2116" s="7"/>
      <c r="S2116" s="7"/>
      <c r="T2116" s="7"/>
      <c r="U2116" s="7"/>
      <c r="V2116" s="7"/>
      <c r="AC2116" s="7"/>
      <c r="AD2116" s="7"/>
      <c r="AE2116" s="7"/>
      <c r="AF2116" s="7"/>
      <c r="AG2116" s="7"/>
      <c r="AO2116" s="7"/>
      <c r="AP2116" s="7"/>
      <c r="AQ2116" s="7"/>
      <c r="AR2116" s="7"/>
      <c r="AS2116" s="7"/>
    </row>
    <row r="2117" spans="1:45" x14ac:dyDescent="0.2">
      <c r="A2117" s="7"/>
      <c r="B2117" s="7"/>
      <c r="C2117" s="7"/>
      <c r="D2117" s="7"/>
      <c r="E2117" s="36">
        <v>172</v>
      </c>
      <c r="F2117" s="36" t="s">
        <v>2177</v>
      </c>
      <c r="G2117" s="36">
        <v>531495</v>
      </c>
      <c r="H2117" s="36" t="s">
        <v>2353</v>
      </c>
      <c r="I2117" s="37">
        <v>0.35487999999999997</v>
      </c>
      <c r="J2117" s="7"/>
      <c r="K2117" s="7" t="str">
        <f>VLOOKUP($E2117,Mapping!$E$11:$I$96,3,0)</f>
        <v>Replacement</v>
      </c>
      <c r="L2117" s="7" t="str">
        <f>VLOOKUP($G2117,Mapping!$E$140:$K$2771,5,0)</f>
        <v>Contracts</v>
      </c>
      <c r="M2117" s="7" t="str">
        <f>VLOOKUP($G2117,Mapping!$E$140:$K$2771,7,0)</f>
        <v>ENDirect</v>
      </c>
      <c r="N2117" s="7" t="str">
        <f>IFERROR(HLOOKUP(L2117,'Calc|Weightings'!$K$5:$M$5,1,0),"Excl")</f>
        <v>Contracts</v>
      </c>
      <c r="O2117" s="7" t="str">
        <f>VLOOKUP(E2117,Mapping!$E$11:$I$96,5,0)</f>
        <v>SCS</v>
      </c>
      <c r="Q2117" s="7"/>
      <c r="R2117" s="7"/>
      <c r="S2117" s="7"/>
      <c r="T2117" s="7"/>
      <c r="U2117" s="7"/>
      <c r="V2117" s="7"/>
      <c r="AC2117" s="7"/>
      <c r="AD2117" s="7"/>
      <c r="AE2117" s="7"/>
      <c r="AF2117" s="7"/>
      <c r="AG2117" s="7"/>
      <c r="AO2117" s="7"/>
      <c r="AP2117" s="7"/>
      <c r="AQ2117" s="7"/>
      <c r="AR2117" s="7"/>
      <c r="AS2117" s="7"/>
    </row>
    <row r="2118" spans="1:45" x14ac:dyDescent="0.2">
      <c r="A2118" s="7"/>
      <c r="B2118" s="7"/>
      <c r="C2118" s="7"/>
      <c r="D2118" s="7"/>
      <c r="E2118" s="36">
        <v>172</v>
      </c>
      <c r="F2118" s="36" t="s">
        <v>2177</v>
      </c>
      <c r="G2118" s="36">
        <v>611900</v>
      </c>
      <c r="H2118" s="36" t="s">
        <v>2079</v>
      </c>
      <c r="I2118" s="37">
        <v>2.88239</v>
      </c>
      <c r="J2118" s="7"/>
      <c r="K2118" s="7" t="str">
        <f>VLOOKUP($E2118,Mapping!$E$11:$I$96,3,0)</f>
        <v>Replacement</v>
      </c>
      <c r="L2118" s="7" t="str">
        <f>VLOOKUP($G2118,Mapping!$E$140:$K$2771,5,0)</f>
        <v>Contracts</v>
      </c>
      <c r="M2118" s="7" t="str">
        <f>VLOOKUP($G2118,Mapping!$E$140:$K$2771,7,0)</f>
        <v>ENDirect</v>
      </c>
      <c r="N2118" s="7" t="str">
        <f>IFERROR(HLOOKUP(L2118,'Calc|Weightings'!$K$5:$M$5,1,0),"Excl")</f>
        <v>Contracts</v>
      </c>
      <c r="O2118" s="7" t="str">
        <f>VLOOKUP(E2118,Mapping!$E$11:$I$96,5,0)</f>
        <v>SCS</v>
      </c>
      <c r="Q2118" s="7"/>
      <c r="R2118" s="7"/>
      <c r="S2118" s="7"/>
      <c r="T2118" s="7"/>
      <c r="U2118" s="7"/>
      <c r="V2118" s="7"/>
      <c r="AC2118" s="7"/>
      <c r="AD2118" s="7"/>
      <c r="AE2118" s="7"/>
      <c r="AF2118" s="7"/>
      <c r="AG2118" s="7"/>
      <c r="AO2118" s="7"/>
      <c r="AP2118" s="7"/>
      <c r="AQ2118" s="7"/>
      <c r="AR2118" s="7"/>
      <c r="AS2118" s="7"/>
    </row>
    <row r="2119" spans="1:45" x14ac:dyDescent="0.2">
      <c r="A2119" s="7"/>
      <c r="B2119" s="7"/>
      <c r="C2119" s="7"/>
      <c r="D2119" s="7"/>
      <c r="E2119" s="36">
        <v>172</v>
      </c>
      <c r="F2119" s="36" t="s">
        <v>2177</v>
      </c>
      <c r="G2119" s="36">
        <v>611901</v>
      </c>
      <c r="H2119" s="36" t="s">
        <v>2080</v>
      </c>
      <c r="I2119" s="37">
        <v>0.52776999999999996</v>
      </c>
      <c r="J2119" s="7"/>
      <c r="K2119" s="7" t="str">
        <f>VLOOKUP($E2119,Mapping!$E$11:$I$96,3,0)</f>
        <v>Replacement</v>
      </c>
      <c r="L2119" s="7" t="str">
        <f>VLOOKUP($G2119,Mapping!$E$140:$K$2771,5,0)</f>
        <v>Contracts</v>
      </c>
      <c r="M2119" s="7" t="str">
        <f>VLOOKUP($G2119,Mapping!$E$140:$K$2771,7,0)</f>
        <v>ENDirect</v>
      </c>
      <c r="N2119" s="7" t="str">
        <f>IFERROR(HLOOKUP(L2119,'Calc|Weightings'!$K$5:$M$5,1,0),"Excl")</f>
        <v>Contracts</v>
      </c>
      <c r="O2119" s="7" t="str">
        <f>VLOOKUP(E2119,Mapping!$E$11:$I$96,5,0)</f>
        <v>SCS</v>
      </c>
      <c r="Q2119" s="7"/>
      <c r="R2119" s="7"/>
      <c r="S2119" s="7"/>
      <c r="T2119" s="7"/>
      <c r="U2119" s="7"/>
      <c r="V2119" s="7"/>
      <c r="AC2119" s="7"/>
      <c r="AD2119" s="7"/>
      <c r="AE2119" s="7"/>
      <c r="AF2119" s="7"/>
      <c r="AG2119" s="7"/>
      <c r="AO2119" s="7"/>
      <c r="AP2119" s="7"/>
      <c r="AQ2119" s="7"/>
      <c r="AR2119" s="7"/>
      <c r="AS2119" s="7"/>
    </row>
    <row r="2120" spans="1:45" x14ac:dyDescent="0.2">
      <c r="A2120" s="7"/>
      <c r="B2120" s="7"/>
      <c r="C2120" s="7"/>
      <c r="D2120" s="7"/>
      <c r="E2120" s="36">
        <v>172</v>
      </c>
      <c r="F2120" s="36" t="s">
        <v>2177</v>
      </c>
      <c r="G2120" s="36">
        <v>612210</v>
      </c>
      <c r="H2120" s="36" t="s">
        <v>1184</v>
      </c>
      <c r="I2120" s="37">
        <v>0.33404</v>
      </c>
      <c r="J2120" s="7"/>
      <c r="K2120" s="7" t="str">
        <f>VLOOKUP($E2120,Mapping!$E$11:$I$96,3,0)</f>
        <v>Replacement</v>
      </c>
      <c r="L2120" s="7" t="str">
        <f>VLOOKUP($G2120,Mapping!$E$140:$K$2771,5,0)</f>
        <v>Labour</v>
      </c>
      <c r="M2120" s="7" t="str">
        <f>VLOOKUP($G2120,Mapping!$E$140:$K$2771,7,0)</f>
        <v>ENDirect</v>
      </c>
      <c r="N2120" s="7" t="str">
        <f>IFERROR(HLOOKUP(L2120,'Calc|Weightings'!$K$5:$M$5,1,0),"Excl")</f>
        <v>Labour</v>
      </c>
      <c r="O2120" s="7" t="str">
        <f>VLOOKUP(E2120,Mapping!$E$11:$I$96,5,0)</f>
        <v>SCS</v>
      </c>
      <c r="Q2120" s="7"/>
      <c r="R2120" s="7"/>
      <c r="S2120" s="7"/>
      <c r="T2120" s="7"/>
      <c r="U2120" s="7"/>
      <c r="V2120" s="7"/>
      <c r="AC2120" s="7"/>
      <c r="AD2120" s="7"/>
      <c r="AE2120" s="7"/>
      <c r="AF2120" s="7"/>
      <c r="AG2120" s="7"/>
      <c r="AO2120" s="7"/>
      <c r="AP2120" s="7"/>
      <c r="AQ2120" s="7"/>
      <c r="AR2120" s="7"/>
      <c r="AS2120" s="7"/>
    </row>
    <row r="2121" spans="1:45" x14ac:dyDescent="0.2">
      <c r="A2121" s="7"/>
      <c r="B2121" s="7"/>
      <c r="C2121" s="7"/>
      <c r="D2121" s="7"/>
      <c r="E2121" s="36">
        <v>172</v>
      </c>
      <c r="F2121" s="36" t="s">
        <v>2177</v>
      </c>
      <c r="G2121" s="36">
        <v>613248</v>
      </c>
      <c r="H2121" s="36" t="s">
        <v>2383</v>
      </c>
      <c r="I2121" s="37">
        <v>20.203859999999999</v>
      </c>
      <c r="J2121" s="7"/>
      <c r="K2121" s="7" t="str">
        <f>VLOOKUP($E2121,Mapping!$E$11:$I$96,3,0)</f>
        <v>Replacement</v>
      </c>
      <c r="L2121" s="7" t="str">
        <f>VLOOKUP($G2121,Mapping!$E$140:$K$2771,5,0)</f>
        <v>Labour</v>
      </c>
      <c r="M2121" s="7" t="str">
        <f>VLOOKUP($G2121,Mapping!$E$140:$K$2771,7,0)</f>
        <v>ENDirect</v>
      </c>
      <c r="N2121" s="7" t="str">
        <f>IFERROR(HLOOKUP(L2121,'Calc|Weightings'!$K$5:$M$5,1,0),"Excl")</f>
        <v>Labour</v>
      </c>
      <c r="O2121" s="7" t="str">
        <f>VLOOKUP(E2121,Mapping!$E$11:$I$96,5,0)</f>
        <v>SCS</v>
      </c>
      <c r="Q2121" s="7"/>
      <c r="R2121" s="7"/>
      <c r="S2121" s="7"/>
      <c r="T2121" s="7"/>
      <c r="U2121" s="7"/>
      <c r="V2121" s="7"/>
      <c r="AC2121" s="7"/>
      <c r="AD2121" s="7"/>
      <c r="AE2121" s="7"/>
      <c r="AF2121" s="7"/>
      <c r="AG2121" s="7"/>
      <c r="AO2121" s="7"/>
      <c r="AP2121" s="7"/>
      <c r="AQ2121" s="7"/>
      <c r="AR2121" s="7"/>
      <c r="AS2121" s="7"/>
    </row>
    <row r="2122" spans="1:45" x14ac:dyDescent="0.2">
      <c r="A2122" s="7"/>
      <c r="B2122" s="7"/>
      <c r="C2122" s="7"/>
      <c r="D2122" s="7"/>
      <c r="E2122" s="36">
        <v>172</v>
      </c>
      <c r="F2122" s="36" t="s">
        <v>2177</v>
      </c>
      <c r="G2122" s="36">
        <v>613249</v>
      </c>
      <c r="H2122" s="36" t="s">
        <v>2384</v>
      </c>
      <c r="I2122" s="37">
        <v>0.97367999999999999</v>
      </c>
      <c r="J2122" s="7"/>
      <c r="K2122" s="7" t="str">
        <f>VLOOKUP($E2122,Mapping!$E$11:$I$96,3,0)</f>
        <v>Replacement</v>
      </c>
      <c r="L2122" s="7" t="str">
        <f>VLOOKUP($G2122,Mapping!$E$140:$K$2771,5,0)</f>
        <v>Labour</v>
      </c>
      <c r="M2122" s="7" t="str">
        <f>VLOOKUP($G2122,Mapping!$E$140:$K$2771,7,0)</f>
        <v>ENDirect</v>
      </c>
      <c r="N2122" s="7" t="str">
        <f>IFERROR(HLOOKUP(L2122,'Calc|Weightings'!$K$5:$M$5,1,0),"Excl")</f>
        <v>Labour</v>
      </c>
      <c r="O2122" s="7" t="str">
        <f>VLOOKUP(E2122,Mapping!$E$11:$I$96,5,0)</f>
        <v>SCS</v>
      </c>
      <c r="Q2122" s="7"/>
      <c r="R2122" s="7"/>
      <c r="S2122" s="7"/>
      <c r="T2122" s="7"/>
      <c r="U2122" s="7"/>
      <c r="V2122" s="7"/>
      <c r="AC2122" s="7"/>
      <c r="AD2122" s="7"/>
      <c r="AE2122" s="7"/>
      <c r="AF2122" s="7"/>
      <c r="AG2122" s="7"/>
      <c r="AO2122" s="7"/>
      <c r="AP2122" s="7"/>
      <c r="AQ2122" s="7"/>
      <c r="AR2122" s="7"/>
      <c r="AS2122" s="7"/>
    </row>
    <row r="2123" spans="1:45" x14ac:dyDescent="0.2">
      <c r="A2123" s="7"/>
      <c r="B2123" s="7"/>
      <c r="C2123" s="7"/>
      <c r="D2123" s="7"/>
      <c r="E2123" s="36">
        <v>172</v>
      </c>
      <c r="F2123" s="36" t="s">
        <v>2177</v>
      </c>
      <c r="G2123" s="36">
        <v>613250</v>
      </c>
      <c r="H2123" s="36" t="s">
        <v>2086</v>
      </c>
      <c r="I2123" s="37">
        <v>3.19536</v>
      </c>
      <c r="J2123" s="7"/>
      <c r="K2123" s="7" t="str">
        <f>VLOOKUP($E2123,Mapping!$E$11:$I$96,3,0)</f>
        <v>Replacement</v>
      </c>
      <c r="L2123" s="7" t="str">
        <f>VLOOKUP($G2123,Mapping!$E$140:$K$2771,5,0)</f>
        <v>Labour</v>
      </c>
      <c r="M2123" s="7" t="str">
        <f>VLOOKUP($G2123,Mapping!$E$140:$K$2771,7,0)</f>
        <v>ENDirect</v>
      </c>
      <c r="N2123" s="7" t="str">
        <f>IFERROR(HLOOKUP(L2123,'Calc|Weightings'!$K$5:$M$5,1,0),"Excl")</f>
        <v>Labour</v>
      </c>
      <c r="O2123" s="7" t="str">
        <f>VLOOKUP(E2123,Mapping!$E$11:$I$96,5,0)</f>
        <v>SCS</v>
      </c>
      <c r="Q2123" s="7"/>
      <c r="R2123" s="7"/>
      <c r="S2123" s="7"/>
      <c r="T2123" s="7"/>
      <c r="U2123" s="7"/>
      <c r="V2123" s="7"/>
      <c r="AC2123" s="7"/>
      <c r="AD2123" s="7"/>
      <c r="AE2123" s="7"/>
      <c r="AF2123" s="7"/>
      <c r="AG2123" s="7"/>
      <c r="AO2123" s="7"/>
      <c r="AP2123" s="7"/>
      <c r="AQ2123" s="7"/>
      <c r="AR2123" s="7"/>
      <c r="AS2123" s="7"/>
    </row>
    <row r="2124" spans="1:45" x14ac:dyDescent="0.2">
      <c r="A2124" s="7"/>
      <c r="B2124" s="7"/>
      <c r="C2124" s="7"/>
      <c r="D2124" s="7"/>
      <c r="E2124" s="36">
        <v>172</v>
      </c>
      <c r="F2124" s="36" t="s">
        <v>2177</v>
      </c>
      <c r="G2124" s="36">
        <v>613258</v>
      </c>
      <c r="H2124" s="36" t="s">
        <v>2356</v>
      </c>
      <c r="I2124" s="37">
        <v>20.969550000000002</v>
      </c>
      <c r="J2124" s="7"/>
      <c r="K2124" s="7" t="str">
        <f>VLOOKUP($E2124,Mapping!$E$11:$I$96,3,0)</f>
        <v>Replacement</v>
      </c>
      <c r="L2124" s="7" t="str">
        <f>VLOOKUP($G2124,Mapping!$E$140:$K$2771,5,0)</f>
        <v>Labour</v>
      </c>
      <c r="M2124" s="7" t="str">
        <f>VLOOKUP($G2124,Mapping!$E$140:$K$2771,7,0)</f>
        <v>ENDirect</v>
      </c>
      <c r="N2124" s="7" t="str">
        <f>IFERROR(HLOOKUP(L2124,'Calc|Weightings'!$K$5:$M$5,1,0),"Excl")</f>
        <v>Labour</v>
      </c>
      <c r="O2124" s="7" t="str">
        <f>VLOOKUP(E2124,Mapping!$E$11:$I$96,5,0)</f>
        <v>SCS</v>
      </c>
      <c r="Q2124" s="7"/>
      <c r="R2124" s="7"/>
      <c r="S2124" s="7"/>
      <c r="T2124" s="7"/>
      <c r="U2124" s="7"/>
      <c r="V2124" s="7"/>
      <c r="AC2124" s="7"/>
      <c r="AD2124" s="7"/>
      <c r="AE2124" s="7"/>
      <c r="AF2124" s="7"/>
      <c r="AG2124" s="7"/>
      <c r="AO2124" s="7"/>
      <c r="AP2124" s="7"/>
      <c r="AQ2124" s="7"/>
      <c r="AR2124" s="7"/>
      <c r="AS2124" s="7"/>
    </row>
    <row r="2125" spans="1:45" x14ac:dyDescent="0.2">
      <c r="A2125" s="7"/>
      <c r="B2125" s="7"/>
      <c r="C2125" s="7"/>
      <c r="D2125" s="7"/>
      <c r="E2125" s="36">
        <v>172</v>
      </c>
      <c r="F2125" s="36" t="s">
        <v>2177</v>
      </c>
      <c r="G2125" s="36">
        <v>613259</v>
      </c>
      <c r="H2125" s="36" t="s">
        <v>2359</v>
      </c>
      <c r="I2125" s="37">
        <v>2.6627999999999998</v>
      </c>
      <c r="J2125" s="7"/>
      <c r="K2125" s="7" t="str">
        <f>VLOOKUP($E2125,Mapping!$E$11:$I$96,3,0)</f>
        <v>Replacement</v>
      </c>
      <c r="L2125" s="7" t="str">
        <f>VLOOKUP($G2125,Mapping!$E$140:$K$2771,5,0)</f>
        <v>Labour</v>
      </c>
      <c r="M2125" s="7" t="str">
        <f>VLOOKUP($G2125,Mapping!$E$140:$K$2771,7,0)</f>
        <v>ENDirect</v>
      </c>
      <c r="N2125" s="7" t="str">
        <f>IFERROR(HLOOKUP(L2125,'Calc|Weightings'!$K$5:$M$5,1,0),"Excl")</f>
        <v>Labour</v>
      </c>
      <c r="O2125" s="7" t="str">
        <f>VLOOKUP(E2125,Mapping!$E$11:$I$96,5,0)</f>
        <v>SCS</v>
      </c>
      <c r="Q2125" s="7"/>
      <c r="R2125" s="7"/>
      <c r="S2125" s="7"/>
      <c r="T2125" s="7"/>
      <c r="U2125" s="7"/>
      <c r="V2125" s="7"/>
      <c r="AC2125" s="7"/>
      <c r="AD2125" s="7"/>
      <c r="AE2125" s="7"/>
      <c r="AF2125" s="7"/>
      <c r="AG2125" s="7"/>
      <c r="AO2125" s="7"/>
      <c r="AP2125" s="7"/>
      <c r="AQ2125" s="7"/>
      <c r="AR2125" s="7"/>
      <c r="AS2125" s="7"/>
    </row>
    <row r="2126" spans="1:45" x14ac:dyDescent="0.2">
      <c r="A2126" s="7"/>
      <c r="B2126" s="7"/>
      <c r="C2126" s="7"/>
      <c r="D2126" s="7"/>
      <c r="E2126" s="36">
        <v>172</v>
      </c>
      <c r="F2126" s="36" t="s">
        <v>2177</v>
      </c>
      <c r="G2126" s="36">
        <v>613268</v>
      </c>
      <c r="H2126" s="36" t="s">
        <v>1335</v>
      </c>
      <c r="I2126" s="37">
        <v>0.29075000000000001</v>
      </c>
      <c r="J2126" s="7"/>
      <c r="K2126" s="7" t="str">
        <f>VLOOKUP($E2126,Mapping!$E$11:$I$96,3,0)</f>
        <v>Replacement</v>
      </c>
      <c r="L2126" s="7" t="str">
        <f>VLOOKUP($G2126,Mapping!$E$140:$K$2771,5,0)</f>
        <v>Labour</v>
      </c>
      <c r="M2126" s="7" t="str">
        <f>VLOOKUP($G2126,Mapping!$E$140:$K$2771,7,0)</f>
        <v>ENDirect</v>
      </c>
      <c r="N2126" s="7" t="str">
        <f>IFERROR(HLOOKUP(L2126,'Calc|Weightings'!$K$5:$M$5,1,0),"Excl")</f>
        <v>Labour</v>
      </c>
      <c r="O2126" s="7" t="str">
        <f>VLOOKUP(E2126,Mapping!$E$11:$I$96,5,0)</f>
        <v>SCS</v>
      </c>
      <c r="Q2126" s="7"/>
      <c r="R2126" s="7"/>
      <c r="S2126" s="7"/>
      <c r="T2126" s="7"/>
      <c r="U2126" s="7"/>
      <c r="V2126" s="7"/>
      <c r="AC2126" s="7"/>
      <c r="AD2126" s="7"/>
      <c r="AE2126" s="7"/>
      <c r="AF2126" s="7"/>
      <c r="AG2126" s="7"/>
      <c r="AO2126" s="7"/>
      <c r="AP2126" s="7"/>
      <c r="AQ2126" s="7"/>
      <c r="AR2126" s="7"/>
      <c r="AS2126" s="7"/>
    </row>
    <row r="2127" spans="1:45" x14ac:dyDescent="0.2">
      <c r="A2127" s="7"/>
      <c r="B2127" s="7"/>
      <c r="C2127" s="7"/>
      <c r="D2127" s="7"/>
      <c r="E2127" s="36">
        <v>172</v>
      </c>
      <c r="F2127" s="36" t="s">
        <v>2177</v>
      </c>
      <c r="G2127" s="36">
        <v>613278</v>
      </c>
      <c r="H2127" s="36" t="s">
        <v>2357</v>
      </c>
      <c r="I2127" s="37">
        <v>10.56925</v>
      </c>
      <c r="J2127" s="7"/>
      <c r="K2127" s="7" t="str">
        <f>VLOOKUP($E2127,Mapping!$E$11:$I$96,3,0)</f>
        <v>Replacement</v>
      </c>
      <c r="L2127" s="7" t="str">
        <f>VLOOKUP($G2127,Mapping!$E$140:$K$2771,5,0)</f>
        <v>Labour</v>
      </c>
      <c r="M2127" s="7" t="str">
        <f>VLOOKUP($G2127,Mapping!$E$140:$K$2771,7,0)</f>
        <v>ENDirect</v>
      </c>
      <c r="N2127" s="7" t="str">
        <f>IFERROR(HLOOKUP(L2127,'Calc|Weightings'!$K$5:$M$5,1,0),"Excl")</f>
        <v>Labour</v>
      </c>
      <c r="O2127" s="7" t="str">
        <f>VLOOKUP(E2127,Mapping!$E$11:$I$96,5,0)</f>
        <v>SCS</v>
      </c>
      <c r="Q2127" s="7"/>
      <c r="R2127" s="7"/>
      <c r="S2127" s="7"/>
      <c r="T2127" s="7"/>
      <c r="U2127" s="7"/>
      <c r="V2127" s="7"/>
      <c r="AC2127" s="7"/>
      <c r="AD2127" s="7"/>
      <c r="AE2127" s="7"/>
      <c r="AF2127" s="7"/>
      <c r="AG2127" s="7"/>
      <c r="AO2127" s="7"/>
      <c r="AP2127" s="7"/>
      <c r="AQ2127" s="7"/>
      <c r="AR2127" s="7"/>
      <c r="AS2127" s="7"/>
    </row>
    <row r="2128" spans="1:45" x14ac:dyDescent="0.2">
      <c r="A2128" s="7"/>
      <c r="B2128" s="7"/>
      <c r="C2128" s="7"/>
      <c r="D2128" s="7"/>
      <c r="E2128" s="36">
        <v>172</v>
      </c>
      <c r="F2128" s="36" t="s">
        <v>2177</v>
      </c>
      <c r="G2128" s="36">
        <v>613279</v>
      </c>
      <c r="H2128" s="36" t="s">
        <v>2360</v>
      </c>
      <c r="I2128" s="37">
        <v>1.9598599999999999</v>
      </c>
      <c r="J2128" s="7"/>
      <c r="K2128" s="7" t="str">
        <f>VLOOKUP($E2128,Mapping!$E$11:$I$96,3,0)</f>
        <v>Replacement</v>
      </c>
      <c r="L2128" s="7" t="str">
        <f>VLOOKUP($G2128,Mapping!$E$140:$K$2771,5,0)</f>
        <v>Labour</v>
      </c>
      <c r="M2128" s="7" t="str">
        <f>VLOOKUP($G2128,Mapping!$E$140:$K$2771,7,0)</f>
        <v>ENDirect</v>
      </c>
      <c r="N2128" s="7" t="str">
        <f>IFERROR(HLOOKUP(L2128,'Calc|Weightings'!$K$5:$M$5,1,0),"Excl")</f>
        <v>Labour</v>
      </c>
      <c r="O2128" s="7" t="str">
        <f>VLOOKUP(E2128,Mapping!$E$11:$I$96,5,0)</f>
        <v>SCS</v>
      </c>
      <c r="Q2128" s="7"/>
      <c r="R2128" s="7"/>
      <c r="S2128" s="7"/>
      <c r="T2128" s="7"/>
      <c r="U2128" s="7"/>
      <c r="V2128" s="7"/>
      <c r="AC2128" s="7"/>
      <c r="AD2128" s="7"/>
      <c r="AE2128" s="7"/>
      <c r="AF2128" s="7"/>
      <c r="AG2128" s="7"/>
      <c r="AO2128" s="7"/>
      <c r="AP2128" s="7"/>
      <c r="AQ2128" s="7"/>
      <c r="AR2128" s="7"/>
      <c r="AS2128" s="7"/>
    </row>
    <row r="2129" spans="1:45" x14ac:dyDescent="0.2">
      <c r="A2129" s="7"/>
      <c r="B2129" s="7"/>
      <c r="C2129" s="7"/>
      <c r="D2129" s="7"/>
      <c r="E2129" s="36">
        <v>172</v>
      </c>
      <c r="F2129" s="36" t="s">
        <v>2177</v>
      </c>
      <c r="G2129" s="36">
        <v>613290</v>
      </c>
      <c r="H2129" s="36" t="s">
        <v>2093</v>
      </c>
      <c r="I2129" s="37">
        <v>5.38171</v>
      </c>
      <c r="J2129" s="7"/>
      <c r="K2129" s="7" t="str">
        <f>VLOOKUP($E2129,Mapping!$E$11:$I$96,3,0)</f>
        <v>Replacement</v>
      </c>
      <c r="L2129" s="7" t="str">
        <f>VLOOKUP($G2129,Mapping!$E$140:$K$2771,5,0)</f>
        <v>Labour</v>
      </c>
      <c r="M2129" s="7" t="str">
        <f>VLOOKUP($G2129,Mapping!$E$140:$K$2771,7,0)</f>
        <v>ENDirect</v>
      </c>
      <c r="N2129" s="7" t="str">
        <f>IFERROR(HLOOKUP(L2129,'Calc|Weightings'!$K$5:$M$5,1,0),"Excl")</f>
        <v>Labour</v>
      </c>
      <c r="O2129" s="7" t="str">
        <f>VLOOKUP(E2129,Mapping!$E$11:$I$96,5,0)</f>
        <v>SCS</v>
      </c>
      <c r="Q2129" s="7"/>
      <c r="R2129" s="7"/>
      <c r="S2129" s="7"/>
      <c r="T2129" s="7"/>
      <c r="U2129" s="7"/>
      <c r="V2129" s="7"/>
      <c r="AC2129" s="7"/>
      <c r="AD2129" s="7"/>
      <c r="AE2129" s="7"/>
      <c r="AF2129" s="7"/>
      <c r="AG2129" s="7"/>
      <c r="AO2129" s="7"/>
      <c r="AP2129" s="7"/>
      <c r="AQ2129" s="7"/>
      <c r="AR2129" s="7"/>
      <c r="AS2129" s="7"/>
    </row>
    <row r="2130" spans="1:45" x14ac:dyDescent="0.2">
      <c r="A2130" s="7"/>
      <c r="B2130" s="7"/>
      <c r="C2130" s="7"/>
      <c r="D2130" s="7"/>
      <c r="E2130" s="36">
        <v>172</v>
      </c>
      <c r="F2130" s="36" t="s">
        <v>2177</v>
      </c>
      <c r="G2130" s="36">
        <v>613318</v>
      </c>
      <c r="H2130" s="36" t="s">
        <v>1360</v>
      </c>
      <c r="I2130" s="37">
        <v>3.7236699999999998</v>
      </c>
      <c r="J2130" s="7"/>
      <c r="K2130" s="7" t="str">
        <f>VLOOKUP($E2130,Mapping!$E$11:$I$96,3,0)</f>
        <v>Replacement</v>
      </c>
      <c r="L2130" s="7" t="str">
        <f>VLOOKUP($G2130,Mapping!$E$140:$K$2771,5,0)</f>
        <v>Labour</v>
      </c>
      <c r="M2130" s="7" t="str">
        <f>VLOOKUP($G2130,Mapping!$E$140:$K$2771,7,0)</f>
        <v>ENDirect</v>
      </c>
      <c r="N2130" s="7" t="str">
        <f>IFERROR(HLOOKUP(L2130,'Calc|Weightings'!$K$5:$M$5,1,0),"Excl")</f>
        <v>Labour</v>
      </c>
      <c r="O2130" s="7" t="str">
        <f>VLOOKUP(E2130,Mapping!$E$11:$I$96,5,0)</f>
        <v>SCS</v>
      </c>
      <c r="Q2130" s="7"/>
      <c r="R2130" s="7"/>
      <c r="S2130" s="7"/>
      <c r="T2130" s="7"/>
      <c r="U2130" s="7"/>
      <c r="V2130" s="7"/>
      <c r="AC2130" s="7"/>
      <c r="AD2130" s="7"/>
      <c r="AE2130" s="7"/>
      <c r="AF2130" s="7"/>
      <c r="AG2130" s="7"/>
      <c r="AO2130" s="7"/>
      <c r="AP2130" s="7"/>
      <c r="AQ2130" s="7"/>
      <c r="AR2130" s="7"/>
      <c r="AS2130" s="7"/>
    </row>
    <row r="2131" spans="1:45" x14ac:dyDescent="0.2">
      <c r="A2131" s="7"/>
      <c r="B2131" s="7"/>
      <c r="C2131" s="7"/>
      <c r="D2131" s="7"/>
      <c r="E2131" s="36">
        <v>172</v>
      </c>
      <c r="F2131" s="36" t="s">
        <v>2177</v>
      </c>
      <c r="G2131" s="36">
        <v>613319</v>
      </c>
      <c r="H2131" s="36" t="s">
        <v>2358</v>
      </c>
      <c r="I2131" s="37">
        <v>2.5920200000000002</v>
      </c>
      <c r="J2131" s="7"/>
      <c r="K2131" s="7" t="str">
        <f>VLOOKUP($E2131,Mapping!$E$11:$I$96,3,0)</f>
        <v>Replacement</v>
      </c>
      <c r="L2131" s="7" t="str">
        <f>VLOOKUP($G2131,Mapping!$E$140:$K$2771,5,0)</f>
        <v>Labour</v>
      </c>
      <c r="M2131" s="7" t="str">
        <f>VLOOKUP($G2131,Mapping!$E$140:$K$2771,7,0)</f>
        <v>ENDirect</v>
      </c>
      <c r="N2131" s="7" t="str">
        <f>IFERROR(HLOOKUP(L2131,'Calc|Weightings'!$K$5:$M$5,1,0),"Excl")</f>
        <v>Labour</v>
      </c>
      <c r="O2131" s="7" t="str">
        <f>VLOOKUP(E2131,Mapping!$E$11:$I$96,5,0)</f>
        <v>SCS</v>
      </c>
      <c r="Q2131" s="7"/>
      <c r="R2131" s="7"/>
      <c r="S2131" s="7"/>
      <c r="T2131" s="7"/>
      <c r="U2131" s="7"/>
      <c r="V2131" s="7"/>
      <c r="AC2131" s="7"/>
      <c r="AD2131" s="7"/>
      <c r="AE2131" s="7"/>
      <c r="AF2131" s="7"/>
      <c r="AG2131" s="7"/>
      <c r="AO2131" s="7"/>
      <c r="AP2131" s="7"/>
      <c r="AQ2131" s="7"/>
      <c r="AR2131" s="7"/>
      <c r="AS2131" s="7"/>
    </row>
    <row r="2132" spans="1:45" x14ac:dyDescent="0.2">
      <c r="A2132" s="7"/>
      <c r="B2132" s="7"/>
      <c r="C2132" s="7"/>
      <c r="D2132" s="7"/>
      <c r="E2132" s="36">
        <v>172</v>
      </c>
      <c r="F2132" s="36" t="s">
        <v>2177</v>
      </c>
      <c r="G2132" s="36">
        <v>613350</v>
      </c>
      <c r="H2132" s="36" t="s">
        <v>2096</v>
      </c>
      <c r="I2132" s="37">
        <v>0.5806</v>
      </c>
      <c r="J2132" s="7"/>
      <c r="K2132" s="7" t="str">
        <f>VLOOKUP($E2132,Mapping!$E$11:$I$96,3,0)</f>
        <v>Replacement</v>
      </c>
      <c r="L2132" s="7" t="str">
        <f>VLOOKUP($G2132,Mapping!$E$140:$K$2771,5,0)</f>
        <v>Labour</v>
      </c>
      <c r="M2132" s="7" t="str">
        <f>VLOOKUP($G2132,Mapping!$E$140:$K$2771,7,0)</f>
        <v>ENDirect</v>
      </c>
      <c r="N2132" s="7" t="str">
        <f>IFERROR(HLOOKUP(L2132,'Calc|Weightings'!$K$5:$M$5,1,0),"Excl")</f>
        <v>Labour</v>
      </c>
      <c r="O2132" s="7" t="str">
        <f>VLOOKUP(E2132,Mapping!$E$11:$I$96,5,0)</f>
        <v>SCS</v>
      </c>
      <c r="Q2132" s="7"/>
      <c r="R2132" s="7"/>
      <c r="S2132" s="7"/>
      <c r="T2132" s="7"/>
      <c r="U2132" s="7"/>
      <c r="V2132" s="7"/>
      <c r="AC2132" s="7"/>
      <c r="AD2132" s="7"/>
      <c r="AE2132" s="7"/>
      <c r="AF2132" s="7"/>
      <c r="AG2132" s="7"/>
      <c r="AO2132" s="7"/>
      <c r="AP2132" s="7"/>
      <c r="AQ2132" s="7"/>
      <c r="AR2132" s="7"/>
      <c r="AS2132" s="7"/>
    </row>
    <row r="2133" spans="1:45" x14ac:dyDescent="0.2">
      <c r="A2133" s="7"/>
      <c r="B2133" s="7"/>
      <c r="C2133" s="7"/>
      <c r="D2133" s="7"/>
      <c r="E2133" s="36">
        <v>172</v>
      </c>
      <c r="F2133" s="36" t="s">
        <v>2177</v>
      </c>
      <c r="G2133" s="36">
        <v>613360</v>
      </c>
      <c r="H2133" s="36" t="s">
        <v>2097</v>
      </c>
      <c r="I2133" s="37">
        <v>1.3457699999999999</v>
      </c>
      <c r="J2133" s="7"/>
      <c r="K2133" s="7" t="str">
        <f>VLOOKUP($E2133,Mapping!$E$11:$I$96,3,0)</f>
        <v>Replacement</v>
      </c>
      <c r="L2133" s="7" t="str">
        <f>VLOOKUP($G2133,Mapping!$E$140:$K$2771,5,0)</f>
        <v>Labour</v>
      </c>
      <c r="M2133" s="7" t="str">
        <f>VLOOKUP($G2133,Mapping!$E$140:$K$2771,7,0)</f>
        <v>ENDirect</v>
      </c>
      <c r="N2133" s="7" t="str">
        <f>IFERROR(HLOOKUP(L2133,'Calc|Weightings'!$K$5:$M$5,1,0),"Excl")</f>
        <v>Labour</v>
      </c>
      <c r="O2133" s="7" t="str">
        <f>VLOOKUP(E2133,Mapping!$E$11:$I$96,5,0)</f>
        <v>SCS</v>
      </c>
      <c r="Q2133" s="7"/>
      <c r="R2133" s="7"/>
      <c r="S2133" s="7"/>
      <c r="T2133" s="7"/>
      <c r="U2133" s="7"/>
      <c r="V2133" s="7"/>
      <c r="AC2133" s="7"/>
      <c r="AD2133" s="7"/>
      <c r="AE2133" s="7"/>
      <c r="AF2133" s="7"/>
      <c r="AG2133" s="7"/>
      <c r="AO2133" s="7"/>
      <c r="AP2133" s="7"/>
      <c r="AQ2133" s="7"/>
      <c r="AR2133" s="7"/>
      <c r="AS2133" s="7"/>
    </row>
    <row r="2134" spans="1:45" x14ac:dyDescent="0.2">
      <c r="A2134" s="7"/>
      <c r="B2134" s="7"/>
      <c r="C2134" s="7"/>
      <c r="D2134" s="7"/>
      <c r="E2134" s="36">
        <v>172</v>
      </c>
      <c r="F2134" s="36" t="s">
        <v>2177</v>
      </c>
      <c r="G2134" s="36">
        <v>613408</v>
      </c>
      <c r="H2134" s="36" t="s">
        <v>1418</v>
      </c>
      <c r="I2134" s="37">
        <v>18.86505</v>
      </c>
      <c r="J2134" s="7"/>
      <c r="K2134" s="7" t="str">
        <f>VLOOKUP($E2134,Mapping!$E$11:$I$96,3,0)</f>
        <v>Replacement</v>
      </c>
      <c r="L2134" s="7" t="str">
        <f>VLOOKUP($G2134,Mapping!$E$140:$K$2771,5,0)</f>
        <v>Labour</v>
      </c>
      <c r="M2134" s="7" t="str">
        <f>VLOOKUP($G2134,Mapping!$E$140:$K$2771,7,0)</f>
        <v>ENDirect</v>
      </c>
      <c r="N2134" s="7" t="str">
        <f>IFERROR(HLOOKUP(L2134,'Calc|Weightings'!$K$5:$M$5,1,0),"Excl")</f>
        <v>Labour</v>
      </c>
      <c r="O2134" s="7" t="str">
        <f>VLOOKUP(E2134,Mapping!$E$11:$I$96,5,0)</f>
        <v>SCS</v>
      </c>
      <c r="Q2134" s="7"/>
      <c r="R2134" s="7"/>
      <c r="S2134" s="7"/>
      <c r="T2134" s="7"/>
      <c r="U2134" s="7"/>
      <c r="V2134" s="7"/>
      <c r="AC2134" s="7"/>
      <c r="AD2134" s="7"/>
      <c r="AE2134" s="7"/>
      <c r="AF2134" s="7"/>
      <c r="AG2134" s="7"/>
      <c r="AO2134" s="7"/>
      <c r="AP2134" s="7"/>
      <c r="AQ2134" s="7"/>
      <c r="AR2134" s="7"/>
      <c r="AS2134" s="7"/>
    </row>
    <row r="2135" spans="1:45" x14ac:dyDescent="0.2">
      <c r="A2135" s="7"/>
      <c r="B2135" s="7"/>
      <c r="C2135" s="7"/>
      <c r="D2135" s="7"/>
      <c r="E2135" s="36">
        <v>172</v>
      </c>
      <c r="F2135" s="36" t="s">
        <v>2177</v>
      </c>
      <c r="G2135" s="36">
        <v>613409</v>
      </c>
      <c r="H2135" s="36" t="s">
        <v>1419</v>
      </c>
      <c r="I2135" s="37">
        <v>2.06907</v>
      </c>
      <c r="J2135" s="7"/>
      <c r="K2135" s="7" t="str">
        <f>VLOOKUP($E2135,Mapping!$E$11:$I$96,3,0)</f>
        <v>Replacement</v>
      </c>
      <c r="L2135" s="7" t="str">
        <f>VLOOKUP($G2135,Mapping!$E$140:$K$2771,5,0)</f>
        <v>Labour</v>
      </c>
      <c r="M2135" s="7" t="str">
        <f>VLOOKUP($G2135,Mapping!$E$140:$K$2771,7,0)</f>
        <v>ENDirect</v>
      </c>
      <c r="N2135" s="7" t="str">
        <f>IFERROR(HLOOKUP(L2135,'Calc|Weightings'!$K$5:$M$5,1,0),"Excl")</f>
        <v>Labour</v>
      </c>
      <c r="O2135" s="7" t="str">
        <f>VLOOKUP(E2135,Mapping!$E$11:$I$96,5,0)</f>
        <v>SCS</v>
      </c>
      <c r="Q2135" s="7"/>
      <c r="R2135" s="7"/>
      <c r="S2135" s="7"/>
      <c r="T2135" s="7"/>
      <c r="U2135" s="7"/>
      <c r="V2135" s="7"/>
      <c r="AC2135" s="7"/>
      <c r="AD2135" s="7"/>
      <c r="AE2135" s="7"/>
      <c r="AF2135" s="7"/>
      <c r="AG2135" s="7"/>
      <c r="AO2135" s="7"/>
      <c r="AP2135" s="7"/>
      <c r="AQ2135" s="7"/>
      <c r="AR2135" s="7"/>
      <c r="AS2135" s="7"/>
    </row>
    <row r="2136" spans="1:45" x14ac:dyDescent="0.2">
      <c r="A2136" s="7"/>
      <c r="B2136" s="7"/>
      <c r="C2136" s="7"/>
      <c r="D2136" s="7"/>
      <c r="E2136" s="36">
        <v>172</v>
      </c>
      <c r="F2136" s="36" t="s">
        <v>2177</v>
      </c>
      <c r="G2136" s="36">
        <v>613410</v>
      </c>
      <c r="H2136" s="36" t="s">
        <v>2100</v>
      </c>
      <c r="I2136" s="37">
        <v>5.1924599999999996</v>
      </c>
      <c r="J2136" s="7"/>
      <c r="K2136" s="7" t="str">
        <f>VLOOKUP($E2136,Mapping!$E$11:$I$96,3,0)</f>
        <v>Replacement</v>
      </c>
      <c r="L2136" s="7" t="str">
        <f>VLOOKUP($G2136,Mapping!$E$140:$K$2771,5,0)</f>
        <v>Labour</v>
      </c>
      <c r="M2136" s="7" t="str">
        <f>VLOOKUP($G2136,Mapping!$E$140:$K$2771,7,0)</f>
        <v>ENDirect</v>
      </c>
      <c r="N2136" s="7" t="str">
        <f>IFERROR(HLOOKUP(L2136,'Calc|Weightings'!$K$5:$M$5,1,0),"Excl")</f>
        <v>Labour</v>
      </c>
      <c r="O2136" s="7" t="str">
        <f>VLOOKUP(E2136,Mapping!$E$11:$I$96,5,0)</f>
        <v>SCS</v>
      </c>
      <c r="Q2136" s="7"/>
      <c r="R2136" s="7"/>
      <c r="S2136" s="7"/>
      <c r="T2136" s="7"/>
      <c r="U2136" s="7"/>
      <c r="V2136" s="7"/>
      <c r="AC2136" s="7"/>
      <c r="AD2136" s="7"/>
      <c r="AE2136" s="7"/>
      <c r="AF2136" s="7"/>
      <c r="AG2136" s="7"/>
      <c r="AO2136" s="7"/>
      <c r="AP2136" s="7"/>
      <c r="AQ2136" s="7"/>
      <c r="AR2136" s="7"/>
      <c r="AS2136" s="7"/>
    </row>
    <row r="2137" spans="1:45" x14ac:dyDescent="0.2">
      <c r="A2137" s="7"/>
      <c r="B2137" s="7"/>
      <c r="C2137" s="7"/>
      <c r="D2137" s="7"/>
      <c r="E2137" s="36">
        <v>172</v>
      </c>
      <c r="F2137" s="36" t="s">
        <v>2177</v>
      </c>
      <c r="G2137" s="36">
        <v>613418</v>
      </c>
      <c r="H2137" s="36" t="s">
        <v>1424</v>
      </c>
      <c r="I2137" s="37">
        <v>15.57738</v>
      </c>
      <c r="J2137" s="7"/>
      <c r="K2137" s="7" t="str">
        <f>VLOOKUP($E2137,Mapping!$E$11:$I$96,3,0)</f>
        <v>Replacement</v>
      </c>
      <c r="L2137" s="7" t="str">
        <f>VLOOKUP($G2137,Mapping!$E$140:$K$2771,5,0)</f>
        <v>Labour</v>
      </c>
      <c r="M2137" s="7" t="str">
        <f>VLOOKUP($G2137,Mapping!$E$140:$K$2771,7,0)</f>
        <v>ENDirect</v>
      </c>
      <c r="N2137" s="7" t="str">
        <f>IFERROR(HLOOKUP(L2137,'Calc|Weightings'!$K$5:$M$5,1,0),"Excl")</f>
        <v>Labour</v>
      </c>
      <c r="O2137" s="7" t="str">
        <f>VLOOKUP(E2137,Mapping!$E$11:$I$96,5,0)</f>
        <v>SCS</v>
      </c>
      <c r="Q2137" s="7"/>
      <c r="R2137" s="7"/>
      <c r="S2137" s="7"/>
      <c r="T2137" s="7"/>
      <c r="U2137" s="7"/>
      <c r="V2137" s="7"/>
      <c r="AC2137" s="7"/>
      <c r="AD2137" s="7"/>
      <c r="AE2137" s="7"/>
      <c r="AF2137" s="7"/>
      <c r="AG2137" s="7"/>
      <c r="AO2137" s="7"/>
      <c r="AP2137" s="7"/>
      <c r="AQ2137" s="7"/>
      <c r="AR2137" s="7"/>
      <c r="AS2137" s="7"/>
    </row>
    <row r="2138" spans="1:45" x14ac:dyDescent="0.2">
      <c r="A2138" s="7"/>
      <c r="B2138" s="7"/>
      <c r="C2138" s="7"/>
      <c r="D2138" s="7"/>
      <c r="E2138" s="36">
        <v>172</v>
      </c>
      <c r="F2138" s="36" t="s">
        <v>2177</v>
      </c>
      <c r="G2138" s="36">
        <v>613428</v>
      </c>
      <c r="H2138" s="36" t="s">
        <v>1430</v>
      </c>
      <c r="I2138" s="37">
        <v>1.01152</v>
      </c>
      <c r="J2138" s="7"/>
      <c r="K2138" s="7" t="str">
        <f>VLOOKUP($E2138,Mapping!$E$11:$I$96,3,0)</f>
        <v>Replacement</v>
      </c>
      <c r="L2138" s="7" t="str">
        <f>VLOOKUP($G2138,Mapping!$E$140:$K$2771,5,0)</f>
        <v>Labour</v>
      </c>
      <c r="M2138" s="7" t="str">
        <f>VLOOKUP($G2138,Mapping!$E$140:$K$2771,7,0)</f>
        <v>ENDirect</v>
      </c>
      <c r="N2138" s="7" t="str">
        <f>IFERROR(HLOOKUP(L2138,'Calc|Weightings'!$K$5:$M$5,1,0),"Excl")</f>
        <v>Labour</v>
      </c>
      <c r="O2138" s="7" t="str">
        <f>VLOOKUP(E2138,Mapping!$E$11:$I$96,5,0)</f>
        <v>SCS</v>
      </c>
      <c r="Q2138" s="7"/>
      <c r="R2138" s="7"/>
      <c r="S2138" s="7"/>
      <c r="T2138" s="7"/>
      <c r="U2138" s="7"/>
      <c r="V2138" s="7"/>
      <c r="AC2138" s="7"/>
      <c r="AD2138" s="7"/>
      <c r="AE2138" s="7"/>
      <c r="AF2138" s="7"/>
      <c r="AG2138" s="7"/>
      <c r="AO2138" s="7"/>
      <c r="AP2138" s="7"/>
      <c r="AQ2138" s="7"/>
      <c r="AR2138" s="7"/>
      <c r="AS2138" s="7"/>
    </row>
    <row r="2139" spans="1:45" x14ac:dyDescent="0.2">
      <c r="A2139" s="7"/>
      <c r="B2139" s="7"/>
      <c r="C2139" s="7"/>
      <c r="D2139" s="7"/>
      <c r="E2139" s="36">
        <v>172</v>
      </c>
      <c r="F2139" s="36" t="s">
        <v>2177</v>
      </c>
      <c r="G2139" s="36">
        <v>613429</v>
      </c>
      <c r="H2139" s="36" t="s">
        <v>1431</v>
      </c>
      <c r="I2139" s="37">
        <v>1.2644</v>
      </c>
      <c r="J2139" s="7"/>
      <c r="K2139" s="7" t="str">
        <f>VLOOKUP($E2139,Mapping!$E$11:$I$96,3,0)</f>
        <v>Replacement</v>
      </c>
      <c r="L2139" s="7" t="str">
        <f>VLOOKUP($G2139,Mapping!$E$140:$K$2771,5,0)</f>
        <v>Labour</v>
      </c>
      <c r="M2139" s="7" t="str">
        <f>VLOOKUP($G2139,Mapping!$E$140:$K$2771,7,0)</f>
        <v>ENDirect</v>
      </c>
      <c r="N2139" s="7" t="str">
        <f>IFERROR(HLOOKUP(L2139,'Calc|Weightings'!$K$5:$M$5,1,0),"Excl")</f>
        <v>Labour</v>
      </c>
      <c r="O2139" s="7" t="str">
        <f>VLOOKUP(E2139,Mapping!$E$11:$I$96,5,0)</f>
        <v>SCS</v>
      </c>
      <c r="Q2139" s="7"/>
      <c r="R2139" s="7"/>
      <c r="S2139" s="7"/>
      <c r="T2139" s="7"/>
      <c r="U2139" s="7"/>
      <c r="V2139" s="7"/>
      <c r="AC2139" s="7"/>
      <c r="AD2139" s="7"/>
      <c r="AE2139" s="7"/>
      <c r="AF2139" s="7"/>
      <c r="AG2139" s="7"/>
      <c r="AO2139" s="7"/>
      <c r="AP2139" s="7"/>
      <c r="AQ2139" s="7"/>
      <c r="AR2139" s="7"/>
      <c r="AS2139" s="7"/>
    </row>
    <row r="2140" spans="1:45" x14ac:dyDescent="0.2">
      <c r="A2140" s="7"/>
      <c r="B2140" s="7"/>
      <c r="C2140" s="7"/>
      <c r="D2140" s="7"/>
      <c r="E2140" s="36">
        <v>172</v>
      </c>
      <c r="F2140" s="36" t="s">
        <v>2177</v>
      </c>
      <c r="G2140" s="36">
        <v>613438</v>
      </c>
      <c r="H2140" s="36" t="s">
        <v>1436</v>
      </c>
      <c r="I2140" s="37">
        <v>4.33969</v>
      </c>
      <c r="J2140" s="7"/>
      <c r="K2140" s="7" t="str">
        <f>VLOOKUP($E2140,Mapping!$E$11:$I$96,3,0)</f>
        <v>Replacement</v>
      </c>
      <c r="L2140" s="7" t="str">
        <f>VLOOKUP($G2140,Mapping!$E$140:$K$2771,5,0)</f>
        <v>Labour</v>
      </c>
      <c r="M2140" s="7" t="str">
        <f>VLOOKUP($G2140,Mapping!$E$140:$K$2771,7,0)</f>
        <v>ENDirect</v>
      </c>
      <c r="N2140" s="7" t="str">
        <f>IFERROR(HLOOKUP(L2140,'Calc|Weightings'!$K$5:$M$5,1,0),"Excl")</f>
        <v>Labour</v>
      </c>
      <c r="O2140" s="7" t="str">
        <f>VLOOKUP(E2140,Mapping!$E$11:$I$96,5,0)</f>
        <v>SCS</v>
      </c>
      <c r="Q2140" s="7"/>
      <c r="R2140" s="7"/>
      <c r="S2140" s="7"/>
      <c r="T2140" s="7"/>
      <c r="U2140" s="7"/>
      <c r="V2140" s="7"/>
      <c r="AC2140" s="7"/>
      <c r="AD2140" s="7"/>
      <c r="AE2140" s="7"/>
      <c r="AF2140" s="7"/>
      <c r="AG2140" s="7"/>
      <c r="AO2140" s="7"/>
      <c r="AP2140" s="7"/>
      <c r="AQ2140" s="7"/>
      <c r="AR2140" s="7"/>
      <c r="AS2140" s="7"/>
    </row>
    <row r="2141" spans="1:45" x14ac:dyDescent="0.2">
      <c r="A2141" s="7"/>
      <c r="B2141" s="7"/>
      <c r="C2141" s="7"/>
      <c r="D2141" s="7"/>
      <c r="E2141" s="36">
        <v>172</v>
      </c>
      <c r="F2141" s="36" t="s">
        <v>2177</v>
      </c>
      <c r="G2141" s="36">
        <v>613439</v>
      </c>
      <c r="H2141" s="36" t="s">
        <v>1437</v>
      </c>
      <c r="I2141" s="37">
        <v>0.55996000000000001</v>
      </c>
      <c r="J2141" s="7"/>
      <c r="K2141" s="7" t="str">
        <f>VLOOKUP($E2141,Mapping!$E$11:$I$96,3,0)</f>
        <v>Replacement</v>
      </c>
      <c r="L2141" s="7" t="str">
        <f>VLOOKUP($G2141,Mapping!$E$140:$K$2771,5,0)</f>
        <v>Labour</v>
      </c>
      <c r="M2141" s="7" t="str">
        <f>VLOOKUP($G2141,Mapping!$E$140:$K$2771,7,0)</f>
        <v>ENDirect</v>
      </c>
      <c r="N2141" s="7" t="str">
        <f>IFERROR(HLOOKUP(L2141,'Calc|Weightings'!$K$5:$M$5,1,0),"Excl")</f>
        <v>Labour</v>
      </c>
      <c r="O2141" s="7" t="str">
        <f>VLOOKUP(E2141,Mapping!$E$11:$I$96,5,0)</f>
        <v>SCS</v>
      </c>
      <c r="Q2141" s="7"/>
      <c r="R2141" s="7"/>
      <c r="S2141" s="7"/>
      <c r="T2141" s="7"/>
      <c r="U2141" s="7"/>
      <c r="V2141" s="7"/>
      <c r="AC2141" s="7"/>
      <c r="AD2141" s="7"/>
      <c r="AE2141" s="7"/>
      <c r="AF2141" s="7"/>
      <c r="AG2141" s="7"/>
      <c r="AO2141" s="7"/>
      <c r="AP2141" s="7"/>
      <c r="AQ2141" s="7"/>
      <c r="AR2141" s="7"/>
      <c r="AS2141" s="7"/>
    </row>
    <row r="2142" spans="1:45" x14ac:dyDescent="0.2">
      <c r="A2142" s="7"/>
      <c r="B2142" s="7"/>
      <c r="C2142" s="7"/>
      <c r="D2142" s="7"/>
      <c r="E2142" s="36">
        <v>172</v>
      </c>
      <c r="F2142" s="36" t="s">
        <v>2177</v>
      </c>
      <c r="G2142" s="36">
        <v>613566</v>
      </c>
      <c r="H2142" s="36" t="s">
        <v>1482</v>
      </c>
      <c r="I2142" s="37">
        <v>1.46052</v>
      </c>
      <c r="J2142" s="7"/>
      <c r="K2142" s="7" t="str">
        <f>VLOOKUP($E2142,Mapping!$E$11:$I$96,3,0)</f>
        <v>Replacement</v>
      </c>
      <c r="L2142" s="7" t="str">
        <f>VLOOKUP($G2142,Mapping!$E$140:$K$2771,5,0)</f>
        <v>Labour</v>
      </c>
      <c r="M2142" s="7" t="str">
        <f>VLOOKUP($G2142,Mapping!$E$140:$K$2771,7,0)</f>
        <v>ENDirect</v>
      </c>
      <c r="N2142" s="7" t="str">
        <f>IFERROR(HLOOKUP(L2142,'Calc|Weightings'!$K$5:$M$5,1,0),"Excl")</f>
        <v>Labour</v>
      </c>
      <c r="O2142" s="7" t="str">
        <f>VLOOKUP(E2142,Mapping!$E$11:$I$96,5,0)</f>
        <v>SCS</v>
      </c>
      <c r="Q2142" s="7"/>
      <c r="R2142" s="7"/>
      <c r="S2142" s="7"/>
      <c r="T2142" s="7"/>
      <c r="U2142" s="7"/>
      <c r="V2142" s="7"/>
      <c r="AC2142" s="7"/>
      <c r="AD2142" s="7"/>
      <c r="AE2142" s="7"/>
      <c r="AF2142" s="7"/>
      <c r="AG2142" s="7"/>
      <c r="AO2142" s="7"/>
      <c r="AP2142" s="7"/>
      <c r="AQ2142" s="7"/>
      <c r="AR2142" s="7"/>
      <c r="AS2142" s="7"/>
    </row>
    <row r="2143" spans="1:45" x14ac:dyDescent="0.2">
      <c r="A2143" s="7"/>
      <c r="B2143" s="7"/>
      <c r="C2143" s="7"/>
      <c r="D2143" s="7"/>
      <c r="E2143" s="36">
        <v>172</v>
      </c>
      <c r="F2143" s="36" t="s">
        <v>2177</v>
      </c>
      <c r="G2143" s="36">
        <v>613680</v>
      </c>
      <c r="H2143" s="36" t="s">
        <v>2107</v>
      </c>
      <c r="I2143" s="37">
        <v>0.33637</v>
      </c>
      <c r="J2143" s="7"/>
      <c r="K2143" s="7" t="str">
        <f>VLOOKUP($E2143,Mapping!$E$11:$I$96,3,0)</f>
        <v>Replacement</v>
      </c>
      <c r="L2143" s="7" t="str">
        <f>VLOOKUP($G2143,Mapping!$E$140:$K$2771,5,0)</f>
        <v>Labour</v>
      </c>
      <c r="M2143" s="7" t="str">
        <f>VLOOKUP($G2143,Mapping!$E$140:$K$2771,7,0)</f>
        <v>ENDirect</v>
      </c>
      <c r="N2143" s="7" t="str">
        <f>IFERROR(HLOOKUP(L2143,'Calc|Weightings'!$K$5:$M$5,1,0),"Excl")</f>
        <v>Labour</v>
      </c>
      <c r="O2143" s="7" t="str">
        <f>VLOOKUP(E2143,Mapping!$E$11:$I$96,5,0)</f>
        <v>SCS</v>
      </c>
      <c r="Q2143" s="7"/>
      <c r="R2143" s="7"/>
      <c r="S2143" s="7"/>
      <c r="T2143" s="7"/>
      <c r="U2143" s="7"/>
      <c r="V2143" s="7"/>
      <c r="AC2143" s="7"/>
      <c r="AD2143" s="7"/>
      <c r="AE2143" s="7"/>
      <c r="AF2143" s="7"/>
      <c r="AG2143" s="7"/>
      <c r="AO2143" s="7"/>
      <c r="AP2143" s="7"/>
      <c r="AQ2143" s="7"/>
      <c r="AR2143" s="7"/>
      <c r="AS2143" s="7"/>
    </row>
    <row r="2144" spans="1:45" x14ac:dyDescent="0.2">
      <c r="A2144" s="7"/>
      <c r="B2144" s="7"/>
      <c r="C2144" s="7"/>
      <c r="D2144" s="7"/>
      <c r="E2144" s="36">
        <v>172</v>
      </c>
      <c r="F2144" s="36" t="s">
        <v>2177</v>
      </c>
      <c r="G2144" s="36">
        <v>633000</v>
      </c>
      <c r="H2144" s="36" t="s">
        <v>2202</v>
      </c>
      <c r="I2144" s="37">
        <v>30.316579999999998</v>
      </c>
      <c r="J2144" s="7"/>
      <c r="K2144" s="7" t="str">
        <f>VLOOKUP($E2144,Mapping!$E$11:$I$96,3,0)</f>
        <v>Replacement</v>
      </c>
      <c r="L2144" s="7" t="str">
        <f>VLOOKUP($G2144,Mapping!$E$140:$K$2771,5,0)</f>
        <v>Contracts</v>
      </c>
      <c r="M2144" s="7" t="str">
        <f>VLOOKUP($G2144,Mapping!$E$140:$K$2771,7,0)</f>
        <v>OH</v>
      </c>
      <c r="N2144" s="7" t="str">
        <f>IFERROR(HLOOKUP(L2144,'Calc|Weightings'!$K$5:$M$5,1,0),"Excl")</f>
        <v>Contracts</v>
      </c>
      <c r="O2144" s="7" t="str">
        <f>VLOOKUP(E2144,Mapping!$E$11:$I$96,5,0)</f>
        <v>SCS</v>
      </c>
      <c r="Q2144" s="7"/>
      <c r="R2144" s="7"/>
      <c r="S2144" s="7"/>
      <c r="T2144" s="7"/>
      <c r="U2144" s="7"/>
      <c r="V2144" s="7"/>
      <c r="AC2144" s="7"/>
      <c r="AD2144" s="7"/>
      <c r="AE2144" s="7"/>
      <c r="AF2144" s="7"/>
      <c r="AG2144" s="7"/>
      <c r="AO2144" s="7"/>
      <c r="AP2144" s="7"/>
      <c r="AQ2144" s="7"/>
      <c r="AR2144" s="7"/>
      <c r="AS2144" s="7"/>
    </row>
    <row r="2145" spans="1:45" x14ac:dyDescent="0.2">
      <c r="A2145" s="7"/>
      <c r="B2145" s="7"/>
      <c r="C2145" s="7"/>
      <c r="D2145" s="7"/>
      <c r="E2145" s="36">
        <v>172</v>
      </c>
      <c r="F2145" s="36" t="s">
        <v>2177</v>
      </c>
      <c r="G2145" s="36">
        <v>634001</v>
      </c>
      <c r="H2145" s="36" t="s">
        <v>2110</v>
      </c>
      <c r="I2145" s="37">
        <v>12.76694</v>
      </c>
      <c r="J2145" s="7"/>
      <c r="K2145" s="7" t="str">
        <f>VLOOKUP($E2145,Mapping!$E$11:$I$96,3,0)</f>
        <v>Replacement</v>
      </c>
      <c r="L2145" s="7" t="str">
        <f>VLOOKUP($G2145,Mapping!$E$140:$K$2771,5,0)</f>
        <v>Local OH</v>
      </c>
      <c r="M2145" s="7" t="str">
        <f>VLOOKUP($G2145,Mapping!$E$140:$K$2771,7,0)</f>
        <v>OH</v>
      </c>
      <c r="N2145" s="7" t="str">
        <f>IFERROR(HLOOKUP(L2145,'Calc|Weightings'!$K$5:$M$5,1,0),"Excl")</f>
        <v>Excl</v>
      </c>
      <c r="O2145" s="7" t="str">
        <f>VLOOKUP(E2145,Mapping!$E$11:$I$96,5,0)</f>
        <v>SCS</v>
      </c>
      <c r="Q2145" s="7"/>
      <c r="R2145" s="7"/>
      <c r="S2145" s="7"/>
      <c r="T2145" s="7"/>
      <c r="U2145" s="7"/>
      <c r="V2145" s="7"/>
      <c r="AC2145" s="7"/>
      <c r="AD2145" s="7"/>
      <c r="AE2145" s="7"/>
      <c r="AF2145" s="7"/>
      <c r="AG2145" s="7"/>
      <c r="AO2145" s="7"/>
      <c r="AP2145" s="7"/>
      <c r="AQ2145" s="7"/>
      <c r="AR2145" s="7"/>
      <c r="AS2145" s="7"/>
    </row>
    <row r="2146" spans="1:45" x14ac:dyDescent="0.2">
      <c r="A2146" s="7"/>
      <c r="B2146" s="7"/>
      <c r="C2146" s="7"/>
      <c r="D2146" s="7"/>
      <c r="E2146" s="36">
        <v>172</v>
      </c>
      <c r="F2146" s="36" t="s">
        <v>2177</v>
      </c>
      <c r="G2146" s="36">
        <v>635001</v>
      </c>
      <c r="H2146" s="36" t="s">
        <v>1929</v>
      </c>
      <c r="I2146" s="37">
        <v>8.0490899999999996</v>
      </c>
      <c r="J2146" s="7"/>
      <c r="K2146" s="7" t="str">
        <f>VLOOKUP($E2146,Mapping!$E$11:$I$96,3,0)</f>
        <v>Replacement</v>
      </c>
      <c r="L2146" s="7" t="str">
        <f>VLOOKUP($G2146,Mapping!$E$140:$K$2771,5,0)</f>
        <v>PNS MG</v>
      </c>
      <c r="M2146" s="7" t="str">
        <f>VLOOKUP($G2146,Mapping!$E$140:$K$2771,7,0)</f>
        <v>ENDirect</v>
      </c>
      <c r="N2146" s="7" t="str">
        <f>IFERROR(HLOOKUP(L2146,'Calc|Weightings'!$K$5:$M$5,1,0),"Excl")</f>
        <v>Excl</v>
      </c>
      <c r="O2146" s="7" t="str">
        <f>VLOOKUP(E2146,Mapping!$E$11:$I$96,5,0)</f>
        <v>SCS</v>
      </c>
      <c r="Q2146" s="7"/>
      <c r="R2146" s="7"/>
      <c r="S2146" s="7"/>
      <c r="T2146" s="7"/>
      <c r="U2146" s="7"/>
      <c r="V2146" s="7"/>
      <c r="AC2146" s="7"/>
      <c r="AD2146" s="7"/>
      <c r="AE2146" s="7"/>
      <c r="AF2146" s="7"/>
      <c r="AG2146" s="7"/>
      <c r="AO2146" s="7"/>
      <c r="AP2146" s="7"/>
      <c r="AQ2146" s="7"/>
      <c r="AR2146" s="7"/>
      <c r="AS2146" s="7"/>
    </row>
    <row r="2147" spans="1:45" x14ac:dyDescent="0.2">
      <c r="A2147" s="7"/>
      <c r="B2147" s="7"/>
      <c r="C2147" s="7"/>
      <c r="D2147" s="7"/>
      <c r="E2147" s="36">
        <v>172</v>
      </c>
      <c r="F2147" s="36" t="s">
        <v>2177</v>
      </c>
      <c r="G2147" s="36">
        <v>636001</v>
      </c>
      <c r="H2147" s="36" t="s">
        <v>2111</v>
      </c>
      <c r="I2147" s="37">
        <v>4.1887100000000004</v>
      </c>
      <c r="J2147" s="7"/>
      <c r="K2147" s="7" t="str">
        <f>VLOOKUP($E2147,Mapping!$E$11:$I$96,3,0)</f>
        <v>Replacement</v>
      </c>
      <c r="L2147" s="7" t="str">
        <f>VLOOKUP($G2147,Mapping!$E$140:$K$2771,5,0)</f>
        <v>System Control OH</v>
      </c>
      <c r="M2147" s="7" t="str">
        <f>VLOOKUP($G2147,Mapping!$E$140:$K$2771,7,0)</f>
        <v>OH</v>
      </c>
      <c r="N2147" s="7" t="str">
        <f>IFERROR(HLOOKUP(L2147,'Calc|Weightings'!$K$5:$M$5,1,0),"Excl")</f>
        <v>Excl</v>
      </c>
      <c r="O2147" s="7" t="str">
        <f>VLOOKUP(E2147,Mapping!$E$11:$I$96,5,0)</f>
        <v>SCS</v>
      </c>
      <c r="Q2147" s="7"/>
      <c r="R2147" s="7"/>
      <c r="S2147" s="7"/>
      <c r="T2147" s="7"/>
      <c r="U2147" s="7"/>
      <c r="V2147" s="7"/>
      <c r="AC2147" s="7"/>
      <c r="AD2147" s="7"/>
      <c r="AE2147" s="7"/>
      <c r="AF2147" s="7"/>
      <c r="AG2147" s="7"/>
      <c r="AO2147" s="7"/>
      <c r="AP2147" s="7"/>
      <c r="AQ2147" s="7"/>
      <c r="AR2147" s="7"/>
      <c r="AS2147" s="7"/>
    </row>
    <row r="2148" spans="1:45" x14ac:dyDescent="0.2">
      <c r="A2148" s="7"/>
      <c r="B2148" s="7"/>
      <c r="C2148" s="7"/>
      <c r="D2148" s="7"/>
      <c r="E2148" s="36">
        <v>172</v>
      </c>
      <c r="F2148" s="36" t="s">
        <v>2177</v>
      </c>
      <c r="G2148" s="36">
        <v>639000</v>
      </c>
      <c r="H2148" s="36" t="s">
        <v>2112</v>
      </c>
      <c r="I2148" s="37">
        <v>8.5771800000000002</v>
      </c>
      <c r="J2148" s="7"/>
      <c r="K2148" s="7" t="str">
        <f>VLOOKUP($E2148,Mapping!$E$11:$I$96,3,0)</f>
        <v>Replacement</v>
      </c>
      <c r="L2148" s="7" t="str">
        <f>VLOOKUP($G2148,Mapping!$E$140:$K$2771,5,0)</f>
        <v>PNS Corporate OH</v>
      </c>
      <c r="M2148" s="7" t="str">
        <f>VLOOKUP($G2148,Mapping!$E$140:$K$2771,7,0)</f>
        <v>OH</v>
      </c>
      <c r="N2148" s="7" t="str">
        <f>IFERROR(HLOOKUP(L2148,'Calc|Weightings'!$K$5:$M$5,1,0),"Excl")</f>
        <v>Excl</v>
      </c>
      <c r="O2148" s="7" t="str">
        <f>VLOOKUP(E2148,Mapping!$E$11:$I$96,5,0)</f>
        <v>SCS</v>
      </c>
      <c r="Q2148" s="7"/>
      <c r="R2148" s="7"/>
      <c r="S2148" s="7"/>
      <c r="T2148" s="7"/>
      <c r="U2148" s="7"/>
      <c r="V2148" s="7"/>
      <c r="AC2148" s="7"/>
      <c r="AD2148" s="7"/>
      <c r="AE2148" s="7"/>
      <c r="AF2148" s="7"/>
      <c r="AG2148" s="7"/>
      <c r="AO2148" s="7"/>
      <c r="AP2148" s="7"/>
      <c r="AQ2148" s="7"/>
      <c r="AR2148" s="7"/>
      <c r="AS2148" s="7"/>
    </row>
    <row r="2149" spans="1:45" x14ac:dyDescent="0.2">
      <c r="A2149" s="7"/>
      <c r="B2149" s="7"/>
      <c r="C2149" s="7"/>
      <c r="D2149" s="7"/>
      <c r="E2149" s="36">
        <v>172</v>
      </c>
      <c r="F2149" s="36" t="s">
        <v>2177</v>
      </c>
      <c r="G2149" s="36">
        <v>639050</v>
      </c>
      <c r="H2149" s="36" t="s">
        <v>2113</v>
      </c>
      <c r="I2149" s="37">
        <v>1.1408400000000001</v>
      </c>
      <c r="J2149" s="7"/>
      <c r="K2149" s="7" t="str">
        <f>VLOOKUP($E2149,Mapping!$E$11:$I$96,3,0)</f>
        <v>Replacement</v>
      </c>
      <c r="L2149" s="7" t="str">
        <f>VLOOKUP($G2149,Mapping!$E$140:$K$2771,5,0)</f>
        <v>PNS Fleet &amp; Property OH</v>
      </c>
      <c r="M2149" s="7" t="str">
        <f>VLOOKUP($G2149,Mapping!$E$140:$K$2771,7,0)</f>
        <v>OH</v>
      </c>
      <c r="N2149" s="7" t="str">
        <f>IFERROR(HLOOKUP(L2149,'Calc|Weightings'!$K$5:$M$5,1,0),"Excl")</f>
        <v>Excl</v>
      </c>
      <c r="O2149" s="7" t="str">
        <f>VLOOKUP(E2149,Mapping!$E$11:$I$96,5,0)</f>
        <v>SCS</v>
      </c>
      <c r="Q2149" s="7"/>
      <c r="R2149" s="7"/>
      <c r="S2149" s="7"/>
      <c r="T2149" s="7"/>
      <c r="U2149" s="7"/>
      <c r="V2149" s="7"/>
      <c r="AC2149" s="7"/>
      <c r="AD2149" s="7"/>
      <c r="AE2149" s="7"/>
      <c r="AF2149" s="7"/>
      <c r="AG2149" s="7"/>
      <c r="AO2149" s="7"/>
      <c r="AP2149" s="7"/>
      <c r="AQ2149" s="7"/>
      <c r="AR2149" s="7"/>
      <c r="AS2149" s="7"/>
    </row>
    <row r="2150" spans="1:45" x14ac:dyDescent="0.2">
      <c r="A2150" s="7"/>
      <c r="B2150" s="7"/>
      <c r="C2150" s="7"/>
      <c r="D2150" s="7"/>
      <c r="E2150" s="36">
        <v>174</v>
      </c>
      <c r="F2150" s="36" t="s">
        <v>2178</v>
      </c>
      <c r="G2150" s="36">
        <v>520100</v>
      </c>
      <c r="H2150" s="36" t="s">
        <v>2072</v>
      </c>
      <c r="I2150" s="37">
        <v>5.95343</v>
      </c>
      <c r="J2150" s="7"/>
      <c r="K2150" s="7" t="str">
        <f>VLOOKUP($E2150,Mapping!$E$11:$I$96,3,0)</f>
        <v>Replacement</v>
      </c>
      <c r="L2150" s="7" t="str">
        <f>VLOOKUP($G2150,Mapping!$E$140:$K$2771,5,0)</f>
        <v>Materials</v>
      </c>
      <c r="M2150" s="7" t="str">
        <f>VLOOKUP($G2150,Mapping!$E$140:$K$2771,7,0)</f>
        <v>ENDirect</v>
      </c>
      <c r="N2150" s="7" t="str">
        <f>IFERROR(HLOOKUP(L2150,'Calc|Weightings'!$K$5:$M$5,1,0),"Excl")</f>
        <v>Materials</v>
      </c>
      <c r="O2150" s="7" t="str">
        <f>VLOOKUP(E2150,Mapping!$E$11:$I$96,5,0)</f>
        <v>SCS</v>
      </c>
      <c r="Q2150" s="7"/>
      <c r="R2150" s="7"/>
      <c r="S2150" s="7"/>
      <c r="T2150" s="7"/>
      <c r="U2150" s="7"/>
      <c r="V2150" s="7"/>
      <c r="AC2150" s="7"/>
      <c r="AD2150" s="7"/>
      <c r="AE2150" s="7"/>
      <c r="AF2150" s="7"/>
      <c r="AG2150" s="7"/>
      <c r="AO2150" s="7"/>
      <c r="AP2150" s="7"/>
      <c r="AQ2150" s="7"/>
      <c r="AR2150" s="7"/>
      <c r="AS2150" s="7"/>
    </row>
    <row r="2151" spans="1:45" x14ac:dyDescent="0.2">
      <c r="A2151" s="7"/>
      <c r="B2151" s="7"/>
      <c r="C2151" s="7"/>
      <c r="D2151" s="7"/>
      <c r="E2151" s="36">
        <v>174</v>
      </c>
      <c r="F2151" s="36" t="s">
        <v>2178</v>
      </c>
      <c r="G2151" s="36">
        <v>531464</v>
      </c>
      <c r="H2151" s="36" t="s">
        <v>256</v>
      </c>
      <c r="I2151" s="37">
        <v>1.1200000000000001</v>
      </c>
      <c r="J2151" s="7"/>
      <c r="K2151" s="7" t="str">
        <f>VLOOKUP($E2151,Mapping!$E$11:$I$96,3,0)</f>
        <v>Replacement</v>
      </c>
      <c r="L2151" s="7" t="str">
        <f>VLOOKUP($G2151,Mapping!$E$140:$K$2771,5,0)</f>
        <v>Contracts</v>
      </c>
      <c r="M2151" s="7" t="str">
        <f>VLOOKUP($G2151,Mapping!$E$140:$K$2771,7,0)</f>
        <v>ENDirect</v>
      </c>
      <c r="N2151" s="7" t="str">
        <f>IFERROR(HLOOKUP(L2151,'Calc|Weightings'!$K$5:$M$5,1,0),"Excl")</f>
        <v>Contracts</v>
      </c>
      <c r="O2151" s="7" t="str">
        <f>VLOOKUP(E2151,Mapping!$E$11:$I$96,5,0)</f>
        <v>SCS</v>
      </c>
      <c r="Q2151" s="7"/>
      <c r="R2151" s="7"/>
      <c r="S2151" s="7"/>
      <c r="T2151" s="7"/>
      <c r="U2151" s="7"/>
      <c r="V2151" s="7"/>
      <c r="AC2151" s="7"/>
      <c r="AD2151" s="7"/>
      <c r="AE2151" s="7"/>
      <c r="AF2151" s="7"/>
      <c r="AG2151" s="7"/>
      <c r="AO2151" s="7"/>
      <c r="AP2151" s="7"/>
      <c r="AQ2151" s="7"/>
      <c r="AR2151" s="7"/>
      <c r="AS2151" s="7"/>
    </row>
    <row r="2152" spans="1:45" x14ac:dyDescent="0.2">
      <c r="A2152" s="7"/>
      <c r="B2152" s="7"/>
      <c r="C2152" s="7"/>
      <c r="D2152" s="7"/>
      <c r="E2152" s="36">
        <v>174</v>
      </c>
      <c r="F2152" s="36" t="s">
        <v>2178</v>
      </c>
      <c r="G2152" s="36">
        <v>531467</v>
      </c>
      <c r="H2152" s="36" t="s">
        <v>259</v>
      </c>
      <c r="I2152" s="37">
        <v>5.1915199999999997</v>
      </c>
      <c r="J2152" s="7"/>
      <c r="K2152" s="7" t="str">
        <f>VLOOKUP($E2152,Mapping!$E$11:$I$96,3,0)</f>
        <v>Replacement</v>
      </c>
      <c r="L2152" s="7" t="str">
        <f>VLOOKUP($G2152,Mapping!$E$140:$K$2771,5,0)</f>
        <v>Contracts</v>
      </c>
      <c r="M2152" s="7" t="str">
        <f>VLOOKUP($G2152,Mapping!$E$140:$K$2771,7,0)</f>
        <v>ENDirect</v>
      </c>
      <c r="N2152" s="7" t="str">
        <f>IFERROR(HLOOKUP(L2152,'Calc|Weightings'!$K$5:$M$5,1,0),"Excl")</f>
        <v>Contracts</v>
      </c>
      <c r="O2152" s="7" t="str">
        <f>VLOOKUP(E2152,Mapping!$E$11:$I$96,5,0)</f>
        <v>SCS</v>
      </c>
      <c r="Q2152" s="7"/>
      <c r="R2152" s="7"/>
      <c r="S2152" s="7"/>
      <c r="T2152" s="7"/>
      <c r="U2152" s="7"/>
      <c r="V2152" s="7"/>
      <c r="AC2152" s="7"/>
      <c r="AD2152" s="7"/>
      <c r="AE2152" s="7"/>
      <c r="AF2152" s="7"/>
      <c r="AG2152" s="7"/>
      <c r="AO2152" s="7"/>
      <c r="AP2152" s="7"/>
      <c r="AQ2152" s="7"/>
      <c r="AR2152" s="7"/>
      <c r="AS2152" s="7"/>
    </row>
    <row r="2153" spans="1:45" x14ac:dyDescent="0.2">
      <c r="A2153" s="7"/>
      <c r="B2153" s="7"/>
      <c r="C2153" s="7"/>
      <c r="D2153" s="7"/>
      <c r="E2153" s="36">
        <v>174</v>
      </c>
      <c r="F2153" s="36" t="s">
        <v>2178</v>
      </c>
      <c r="G2153" s="36">
        <v>531468</v>
      </c>
      <c r="H2153" s="36" t="s">
        <v>260</v>
      </c>
      <c r="I2153" s="37">
        <v>0.15</v>
      </c>
      <c r="J2153" s="7"/>
      <c r="K2153" s="7" t="str">
        <f>VLOOKUP($E2153,Mapping!$E$11:$I$96,3,0)</f>
        <v>Replacement</v>
      </c>
      <c r="L2153" s="7" t="str">
        <f>VLOOKUP($G2153,Mapping!$E$140:$K$2771,5,0)</f>
        <v>Contracts</v>
      </c>
      <c r="M2153" s="7" t="str">
        <f>VLOOKUP($G2153,Mapping!$E$140:$K$2771,7,0)</f>
        <v>ENDirect</v>
      </c>
      <c r="N2153" s="7" t="str">
        <f>IFERROR(HLOOKUP(L2153,'Calc|Weightings'!$K$5:$M$5,1,0),"Excl")</f>
        <v>Contracts</v>
      </c>
      <c r="O2153" s="7" t="str">
        <f>VLOOKUP(E2153,Mapping!$E$11:$I$96,5,0)</f>
        <v>SCS</v>
      </c>
      <c r="Q2153" s="7"/>
      <c r="R2153" s="7"/>
      <c r="S2153" s="7"/>
      <c r="T2153" s="7"/>
      <c r="U2153" s="7"/>
      <c r="V2153" s="7"/>
      <c r="AC2153" s="7"/>
      <c r="AD2153" s="7"/>
      <c r="AE2153" s="7"/>
      <c r="AF2153" s="7"/>
      <c r="AG2153" s="7"/>
      <c r="AO2153" s="7"/>
      <c r="AP2153" s="7"/>
      <c r="AQ2153" s="7"/>
      <c r="AR2153" s="7"/>
      <c r="AS2153" s="7"/>
    </row>
    <row r="2154" spans="1:45" x14ac:dyDescent="0.2">
      <c r="A2154" s="7"/>
      <c r="B2154" s="7"/>
      <c r="C2154" s="7"/>
      <c r="D2154" s="7"/>
      <c r="E2154" s="36">
        <v>174</v>
      </c>
      <c r="F2154" s="36" t="s">
        <v>2178</v>
      </c>
      <c r="G2154" s="36">
        <v>611900</v>
      </c>
      <c r="H2154" s="36" t="s">
        <v>2079</v>
      </c>
      <c r="I2154" s="37">
        <v>0.46294000000000002</v>
      </c>
      <c r="J2154" s="7"/>
      <c r="K2154" s="7" t="str">
        <f>VLOOKUP($E2154,Mapping!$E$11:$I$96,3,0)</f>
        <v>Replacement</v>
      </c>
      <c r="L2154" s="7" t="str">
        <f>VLOOKUP($G2154,Mapping!$E$140:$K$2771,5,0)</f>
        <v>Contracts</v>
      </c>
      <c r="M2154" s="7" t="str">
        <f>VLOOKUP($G2154,Mapping!$E$140:$K$2771,7,0)</f>
        <v>ENDirect</v>
      </c>
      <c r="N2154" s="7" t="str">
        <f>IFERROR(HLOOKUP(L2154,'Calc|Weightings'!$K$5:$M$5,1,0),"Excl")</f>
        <v>Contracts</v>
      </c>
      <c r="O2154" s="7" t="str">
        <f>VLOOKUP(E2154,Mapping!$E$11:$I$96,5,0)</f>
        <v>SCS</v>
      </c>
      <c r="Q2154" s="7"/>
      <c r="R2154" s="7"/>
      <c r="S2154" s="7"/>
      <c r="T2154" s="7"/>
      <c r="U2154" s="7"/>
      <c r="V2154" s="7"/>
      <c r="AC2154" s="7"/>
      <c r="AD2154" s="7"/>
      <c r="AE2154" s="7"/>
      <c r="AF2154" s="7"/>
      <c r="AG2154" s="7"/>
      <c r="AO2154" s="7"/>
      <c r="AP2154" s="7"/>
      <c r="AQ2154" s="7"/>
      <c r="AR2154" s="7"/>
      <c r="AS2154" s="7"/>
    </row>
    <row r="2155" spans="1:45" x14ac:dyDescent="0.2">
      <c r="A2155" s="7"/>
      <c r="B2155" s="7"/>
      <c r="C2155" s="7"/>
      <c r="D2155" s="7"/>
      <c r="E2155" s="36">
        <v>174</v>
      </c>
      <c r="F2155" s="36" t="s">
        <v>2178</v>
      </c>
      <c r="G2155" s="36">
        <v>611901</v>
      </c>
      <c r="H2155" s="36" t="s">
        <v>2080</v>
      </c>
      <c r="I2155" s="37">
        <v>1.515E-2</v>
      </c>
      <c r="J2155" s="7"/>
      <c r="K2155" s="7" t="str">
        <f>VLOOKUP($E2155,Mapping!$E$11:$I$96,3,0)</f>
        <v>Replacement</v>
      </c>
      <c r="L2155" s="7" t="str">
        <f>VLOOKUP($G2155,Mapping!$E$140:$K$2771,5,0)</f>
        <v>Contracts</v>
      </c>
      <c r="M2155" s="7" t="str">
        <f>VLOOKUP($G2155,Mapping!$E$140:$K$2771,7,0)</f>
        <v>ENDirect</v>
      </c>
      <c r="N2155" s="7" t="str">
        <f>IFERROR(HLOOKUP(L2155,'Calc|Weightings'!$K$5:$M$5,1,0),"Excl")</f>
        <v>Contracts</v>
      </c>
      <c r="O2155" s="7" t="str">
        <f>VLOOKUP(E2155,Mapping!$E$11:$I$96,5,0)</f>
        <v>SCS</v>
      </c>
      <c r="Q2155" s="7"/>
      <c r="R2155" s="7"/>
      <c r="S2155" s="7"/>
      <c r="T2155" s="7"/>
      <c r="U2155" s="7"/>
      <c r="V2155" s="7"/>
      <c r="AC2155" s="7"/>
      <c r="AD2155" s="7"/>
      <c r="AE2155" s="7"/>
      <c r="AF2155" s="7"/>
      <c r="AG2155" s="7"/>
      <c r="AO2155" s="7"/>
      <c r="AP2155" s="7"/>
      <c r="AQ2155" s="7"/>
      <c r="AR2155" s="7"/>
      <c r="AS2155" s="7"/>
    </row>
    <row r="2156" spans="1:45" x14ac:dyDescent="0.2">
      <c r="A2156" s="7"/>
      <c r="B2156" s="7"/>
      <c r="C2156" s="7"/>
      <c r="D2156" s="7"/>
      <c r="E2156" s="36">
        <v>174</v>
      </c>
      <c r="F2156" s="36" t="s">
        <v>2178</v>
      </c>
      <c r="G2156" s="36">
        <v>613248</v>
      </c>
      <c r="H2156" s="36" t="s">
        <v>2383</v>
      </c>
      <c r="I2156" s="37">
        <v>17.526240000000001</v>
      </c>
      <c r="J2156" s="7"/>
      <c r="K2156" s="7" t="str">
        <f>VLOOKUP($E2156,Mapping!$E$11:$I$96,3,0)</f>
        <v>Replacement</v>
      </c>
      <c r="L2156" s="7" t="str">
        <f>VLOOKUP($G2156,Mapping!$E$140:$K$2771,5,0)</f>
        <v>Labour</v>
      </c>
      <c r="M2156" s="7" t="str">
        <f>VLOOKUP($G2156,Mapping!$E$140:$K$2771,7,0)</f>
        <v>ENDirect</v>
      </c>
      <c r="N2156" s="7" t="str">
        <f>IFERROR(HLOOKUP(L2156,'Calc|Weightings'!$K$5:$M$5,1,0),"Excl")</f>
        <v>Labour</v>
      </c>
      <c r="O2156" s="7" t="str">
        <f>VLOOKUP(E2156,Mapping!$E$11:$I$96,5,0)</f>
        <v>SCS</v>
      </c>
      <c r="Q2156" s="7"/>
      <c r="R2156" s="7"/>
      <c r="S2156" s="7"/>
      <c r="T2156" s="7"/>
      <c r="U2156" s="7"/>
      <c r="V2156" s="7"/>
      <c r="AC2156" s="7"/>
      <c r="AD2156" s="7"/>
      <c r="AE2156" s="7"/>
      <c r="AF2156" s="7"/>
      <c r="AG2156" s="7"/>
      <c r="AO2156" s="7"/>
      <c r="AP2156" s="7"/>
      <c r="AQ2156" s="7"/>
      <c r="AR2156" s="7"/>
      <c r="AS2156" s="7"/>
    </row>
    <row r="2157" spans="1:45" x14ac:dyDescent="0.2">
      <c r="A2157" s="7"/>
      <c r="B2157" s="7"/>
      <c r="C2157" s="7"/>
      <c r="D2157" s="7"/>
      <c r="E2157" s="36">
        <v>174</v>
      </c>
      <c r="F2157" s="36" t="s">
        <v>2178</v>
      </c>
      <c r="G2157" s="36">
        <v>613258</v>
      </c>
      <c r="H2157" s="36" t="s">
        <v>2356</v>
      </c>
      <c r="I2157" s="37">
        <v>10.118639999999999</v>
      </c>
      <c r="J2157" s="7"/>
      <c r="K2157" s="7" t="str">
        <f>VLOOKUP($E2157,Mapping!$E$11:$I$96,3,0)</f>
        <v>Replacement</v>
      </c>
      <c r="L2157" s="7" t="str">
        <f>VLOOKUP($G2157,Mapping!$E$140:$K$2771,5,0)</f>
        <v>Labour</v>
      </c>
      <c r="M2157" s="7" t="str">
        <f>VLOOKUP($G2157,Mapping!$E$140:$K$2771,7,0)</f>
        <v>ENDirect</v>
      </c>
      <c r="N2157" s="7" t="str">
        <f>IFERROR(HLOOKUP(L2157,'Calc|Weightings'!$K$5:$M$5,1,0),"Excl")</f>
        <v>Labour</v>
      </c>
      <c r="O2157" s="7" t="str">
        <f>VLOOKUP(E2157,Mapping!$E$11:$I$96,5,0)</f>
        <v>SCS</v>
      </c>
      <c r="Q2157" s="7"/>
      <c r="R2157" s="7"/>
      <c r="S2157" s="7"/>
      <c r="T2157" s="7"/>
      <c r="U2157" s="7"/>
      <c r="V2157" s="7"/>
      <c r="AC2157" s="7"/>
      <c r="AD2157" s="7"/>
      <c r="AE2157" s="7"/>
      <c r="AF2157" s="7"/>
      <c r="AG2157" s="7"/>
      <c r="AO2157" s="7"/>
      <c r="AP2157" s="7"/>
      <c r="AQ2157" s="7"/>
      <c r="AR2157" s="7"/>
      <c r="AS2157" s="7"/>
    </row>
    <row r="2158" spans="1:45" x14ac:dyDescent="0.2">
      <c r="A2158" s="7"/>
      <c r="B2158" s="7"/>
      <c r="C2158" s="7"/>
      <c r="D2158" s="7"/>
      <c r="E2158" s="36">
        <v>174</v>
      </c>
      <c r="F2158" s="36" t="s">
        <v>2178</v>
      </c>
      <c r="G2158" s="36">
        <v>613268</v>
      </c>
      <c r="H2158" s="36" t="s">
        <v>1335</v>
      </c>
      <c r="I2158" s="37">
        <v>0.2326</v>
      </c>
      <c r="J2158" s="7"/>
      <c r="K2158" s="7" t="str">
        <f>VLOOKUP($E2158,Mapping!$E$11:$I$96,3,0)</f>
        <v>Replacement</v>
      </c>
      <c r="L2158" s="7" t="str">
        <f>VLOOKUP($G2158,Mapping!$E$140:$K$2771,5,0)</f>
        <v>Labour</v>
      </c>
      <c r="M2158" s="7" t="str">
        <f>VLOOKUP($G2158,Mapping!$E$140:$K$2771,7,0)</f>
        <v>ENDirect</v>
      </c>
      <c r="N2158" s="7" t="str">
        <f>IFERROR(HLOOKUP(L2158,'Calc|Weightings'!$K$5:$M$5,1,0),"Excl")</f>
        <v>Labour</v>
      </c>
      <c r="O2158" s="7" t="str">
        <f>VLOOKUP(E2158,Mapping!$E$11:$I$96,5,0)</f>
        <v>SCS</v>
      </c>
      <c r="Q2158" s="7"/>
      <c r="R2158" s="7"/>
      <c r="S2158" s="7"/>
      <c r="T2158" s="7"/>
      <c r="U2158" s="7"/>
      <c r="V2158" s="7"/>
      <c r="AC2158" s="7"/>
      <c r="AD2158" s="7"/>
      <c r="AE2158" s="7"/>
      <c r="AF2158" s="7"/>
      <c r="AG2158" s="7"/>
      <c r="AO2158" s="7"/>
      <c r="AP2158" s="7"/>
      <c r="AQ2158" s="7"/>
      <c r="AR2158" s="7"/>
      <c r="AS2158" s="7"/>
    </row>
    <row r="2159" spans="1:45" x14ac:dyDescent="0.2">
      <c r="A2159" s="7"/>
      <c r="B2159" s="7"/>
      <c r="C2159" s="7"/>
      <c r="D2159" s="7"/>
      <c r="E2159" s="36">
        <v>174</v>
      </c>
      <c r="F2159" s="36" t="s">
        <v>2178</v>
      </c>
      <c r="G2159" s="36">
        <v>613278</v>
      </c>
      <c r="H2159" s="36" t="s">
        <v>2357</v>
      </c>
      <c r="I2159" s="37">
        <v>3.4297599999999999</v>
      </c>
      <c r="J2159" s="7"/>
      <c r="K2159" s="7" t="str">
        <f>VLOOKUP($E2159,Mapping!$E$11:$I$96,3,0)</f>
        <v>Replacement</v>
      </c>
      <c r="L2159" s="7" t="str">
        <f>VLOOKUP($G2159,Mapping!$E$140:$K$2771,5,0)</f>
        <v>Labour</v>
      </c>
      <c r="M2159" s="7" t="str">
        <f>VLOOKUP($G2159,Mapping!$E$140:$K$2771,7,0)</f>
        <v>ENDirect</v>
      </c>
      <c r="N2159" s="7" t="str">
        <f>IFERROR(HLOOKUP(L2159,'Calc|Weightings'!$K$5:$M$5,1,0),"Excl")</f>
        <v>Labour</v>
      </c>
      <c r="O2159" s="7" t="str">
        <f>VLOOKUP(E2159,Mapping!$E$11:$I$96,5,0)</f>
        <v>SCS</v>
      </c>
      <c r="Q2159" s="7"/>
      <c r="R2159" s="7"/>
      <c r="S2159" s="7"/>
      <c r="T2159" s="7"/>
      <c r="U2159" s="7"/>
      <c r="V2159" s="7"/>
      <c r="AC2159" s="7"/>
      <c r="AD2159" s="7"/>
      <c r="AE2159" s="7"/>
      <c r="AF2159" s="7"/>
      <c r="AG2159" s="7"/>
      <c r="AO2159" s="7"/>
      <c r="AP2159" s="7"/>
      <c r="AQ2159" s="7"/>
      <c r="AR2159" s="7"/>
      <c r="AS2159" s="7"/>
    </row>
    <row r="2160" spans="1:45" x14ac:dyDescent="0.2">
      <c r="A2160" s="7"/>
      <c r="B2160" s="7"/>
      <c r="C2160" s="7"/>
      <c r="D2160" s="7"/>
      <c r="E2160" s="36">
        <v>174</v>
      </c>
      <c r="F2160" s="36" t="s">
        <v>2178</v>
      </c>
      <c r="G2160" s="36">
        <v>613280</v>
      </c>
      <c r="H2160" s="36" t="s">
        <v>1342</v>
      </c>
      <c r="I2160" s="37">
        <v>5.6599999999999998E-2</v>
      </c>
      <c r="J2160" s="7"/>
      <c r="K2160" s="7" t="str">
        <f>VLOOKUP($E2160,Mapping!$E$11:$I$96,3,0)</f>
        <v>Replacement</v>
      </c>
      <c r="L2160" s="7" t="str">
        <f>VLOOKUP($G2160,Mapping!$E$140:$K$2771,5,0)</f>
        <v>Labour</v>
      </c>
      <c r="M2160" s="7" t="str">
        <f>VLOOKUP($G2160,Mapping!$E$140:$K$2771,7,0)</f>
        <v>ENDirect</v>
      </c>
      <c r="N2160" s="7" t="str">
        <f>IFERROR(HLOOKUP(L2160,'Calc|Weightings'!$K$5:$M$5,1,0),"Excl")</f>
        <v>Labour</v>
      </c>
      <c r="O2160" s="7" t="str">
        <f>VLOOKUP(E2160,Mapping!$E$11:$I$96,5,0)</f>
        <v>SCS</v>
      </c>
      <c r="Q2160" s="7"/>
      <c r="R2160" s="7"/>
      <c r="S2160" s="7"/>
      <c r="T2160" s="7"/>
      <c r="U2160" s="7"/>
      <c r="V2160" s="7"/>
      <c r="AC2160" s="7"/>
      <c r="AD2160" s="7"/>
      <c r="AE2160" s="7"/>
      <c r="AF2160" s="7"/>
      <c r="AG2160" s="7"/>
      <c r="AO2160" s="7"/>
      <c r="AP2160" s="7"/>
      <c r="AQ2160" s="7"/>
      <c r="AR2160" s="7"/>
      <c r="AS2160" s="7"/>
    </row>
    <row r="2161" spans="1:45" x14ac:dyDescent="0.2">
      <c r="A2161" s="7"/>
      <c r="B2161" s="7"/>
      <c r="C2161" s="7"/>
      <c r="D2161" s="7"/>
      <c r="E2161" s="36">
        <v>174</v>
      </c>
      <c r="F2161" s="36" t="s">
        <v>2178</v>
      </c>
      <c r="G2161" s="36">
        <v>613290</v>
      </c>
      <c r="H2161" s="36" t="s">
        <v>2093</v>
      </c>
      <c r="I2161" s="37">
        <v>1.48844</v>
      </c>
      <c r="J2161" s="7"/>
      <c r="K2161" s="7" t="str">
        <f>VLOOKUP($E2161,Mapping!$E$11:$I$96,3,0)</f>
        <v>Replacement</v>
      </c>
      <c r="L2161" s="7" t="str">
        <f>VLOOKUP($G2161,Mapping!$E$140:$K$2771,5,0)</f>
        <v>Labour</v>
      </c>
      <c r="M2161" s="7" t="str">
        <f>VLOOKUP($G2161,Mapping!$E$140:$K$2771,7,0)</f>
        <v>ENDirect</v>
      </c>
      <c r="N2161" s="7" t="str">
        <f>IFERROR(HLOOKUP(L2161,'Calc|Weightings'!$K$5:$M$5,1,0),"Excl")</f>
        <v>Labour</v>
      </c>
      <c r="O2161" s="7" t="str">
        <f>VLOOKUP(E2161,Mapping!$E$11:$I$96,5,0)</f>
        <v>SCS</v>
      </c>
      <c r="Q2161" s="7"/>
      <c r="R2161" s="7"/>
      <c r="S2161" s="7"/>
      <c r="T2161" s="7"/>
      <c r="U2161" s="7"/>
      <c r="V2161" s="7"/>
      <c r="AC2161" s="7"/>
      <c r="AD2161" s="7"/>
      <c r="AE2161" s="7"/>
      <c r="AF2161" s="7"/>
      <c r="AG2161" s="7"/>
      <c r="AO2161" s="7"/>
      <c r="AP2161" s="7"/>
      <c r="AQ2161" s="7"/>
      <c r="AR2161" s="7"/>
      <c r="AS2161" s="7"/>
    </row>
    <row r="2162" spans="1:45" x14ac:dyDescent="0.2">
      <c r="A2162" s="7"/>
      <c r="B2162" s="7"/>
      <c r="C2162" s="7"/>
      <c r="D2162" s="7"/>
      <c r="E2162" s="36">
        <v>174</v>
      </c>
      <c r="F2162" s="36" t="s">
        <v>2178</v>
      </c>
      <c r="G2162" s="36">
        <v>613350</v>
      </c>
      <c r="H2162" s="36" t="s">
        <v>2096</v>
      </c>
      <c r="I2162" s="37">
        <v>0.19977</v>
      </c>
      <c r="J2162" s="7"/>
      <c r="K2162" s="7" t="str">
        <f>VLOOKUP($E2162,Mapping!$E$11:$I$96,3,0)</f>
        <v>Replacement</v>
      </c>
      <c r="L2162" s="7" t="str">
        <f>VLOOKUP($G2162,Mapping!$E$140:$K$2771,5,0)</f>
        <v>Labour</v>
      </c>
      <c r="M2162" s="7" t="str">
        <f>VLOOKUP($G2162,Mapping!$E$140:$K$2771,7,0)</f>
        <v>ENDirect</v>
      </c>
      <c r="N2162" s="7" t="str">
        <f>IFERROR(HLOOKUP(L2162,'Calc|Weightings'!$K$5:$M$5,1,0),"Excl")</f>
        <v>Labour</v>
      </c>
      <c r="O2162" s="7" t="str">
        <f>VLOOKUP(E2162,Mapping!$E$11:$I$96,5,0)</f>
        <v>SCS</v>
      </c>
      <c r="Q2162" s="7"/>
      <c r="R2162" s="7"/>
      <c r="S2162" s="7"/>
      <c r="T2162" s="7"/>
      <c r="U2162" s="7"/>
      <c r="V2162" s="7"/>
      <c r="AC2162" s="7"/>
      <c r="AD2162" s="7"/>
      <c r="AE2162" s="7"/>
      <c r="AF2162" s="7"/>
      <c r="AG2162" s="7"/>
      <c r="AO2162" s="7"/>
      <c r="AP2162" s="7"/>
      <c r="AQ2162" s="7"/>
      <c r="AR2162" s="7"/>
      <c r="AS2162" s="7"/>
    </row>
    <row r="2163" spans="1:45" x14ac:dyDescent="0.2">
      <c r="A2163" s="7"/>
      <c r="B2163" s="7"/>
      <c r="C2163" s="7"/>
      <c r="D2163" s="7"/>
      <c r="E2163" s="36">
        <v>174</v>
      </c>
      <c r="F2163" s="36" t="s">
        <v>2178</v>
      </c>
      <c r="G2163" s="36">
        <v>613360</v>
      </c>
      <c r="H2163" s="36" t="s">
        <v>2097</v>
      </c>
      <c r="I2163" s="37">
        <v>6.5479399999999996</v>
      </c>
      <c r="J2163" s="7"/>
      <c r="K2163" s="7" t="str">
        <f>VLOOKUP($E2163,Mapping!$E$11:$I$96,3,0)</f>
        <v>Replacement</v>
      </c>
      <c r="L2163" s="7" t="str">
        <f>VLOOKUP($G2163,Mapping!$E$140:$K$2771,5,0)</f>
        <v>Labour</v>
      </c>
      <c r="M2163" s="7" t="str">
        <f>VLOOKUP($G2163,Mapping!$E$140:$K$2771,7,0)</f>
        <v>ENDirect</v>
      </c>
      <c r="N2163" s="7" t="str">
        <f>IFERROR(HLOOKUP(L2163,'Calc|Weightings'!$K$5:$M$5,1,0),"Excl")</f>
        <v>Labour</v>
      </c>
      <c r="O2163" s="7" t="str">
        <f>VLOOKUP(E2163,Mapping!$E$11:$I$96,5,0)</f>
        <v>SCS</v>
      </c>
      <c r="Q2163" s="7"/>
      <c r="R2163" s="7"/>
      <c r="S2163" s="7"/>
      <c r="T2163" s="7"/>
      <c r="U2163" s="7"/>
      <c r="V2163" s="7"/>
      <c r="AC2163" s="7"/>
      <c r="AD2163" s="7"/>
      <c r="AE2163" s="7"/>
      <c r="AF2163" s="7"/>
      <c r="AG2163" s="7"/>
      <c r="AO2163" s="7"/>
      <c r="AP2163" s="7"/>
      <c r="AQ2163" s="7"/>
      <c r="AR2163" s="7"/>
      <c r="AS2163" s="7"/>
    </row>
    <row r="2164" spans="1:45" x14ac:dyDescent="0.2">
      <c r="A2164" s="7"/>
      <c r="B2164" s="7"/>
      <c r="C2164" s="7"/>
      <c r="D2164" s="7"/>
      <c r="E2164" s="36">
        <v>174</v>
      </c>
      <c r="F2164" s="36" t="s">
        <v>2178</v>
      </c>
      <c r="G2164" s="36">
        <v>613408</v>
      </c>
      <c r="H2164" s="36" t="s">
        <v>1418</v>
      </c>
      <c r="I2164" s="37">
        <v>22.394639999999999</v>
      </c>
      <c r="J2164" s="7"/>
      <c r="K2164" s="7" t="str">
        <f>VLOOKUP($E2164,Mapping!$E$11:$I$96,3,0)</f>
        <v>Replacement</v>
      </c>
      <c r="L2164" s="7" t="str">
        <f>VLOOKUP($G2164,Mapping!$E$140:$K$2771,5,0)</f>
        <v>Labour</v>
      </c>
      <c r="M2164" s="7" t="str">
        <f>VLOOKUP($G2164,Mapping!$E$140:$K$2771,7,0)</f>
        <v>ENDirect</v>
      </c>
      <c r="N2164" s="7" t="str">
        <f>IFERROR(HLOOKUP(L2164,'Calc|Weightings'!$K$5:$M$5,1,0),"Excl")</f>
        <v>Labour</v>
      </c>
      <c r="O2164" s="7" t="str">
        <f>VLOOKUP(E2164,Mapping!$E$11:$I$96,5,0)</f>
        <v>SCS</v>
      </c>
      <c r="Q2164" s="7"/>
      <c r="R2164" s="7"/>
      <c r="S2164" s="7"/>
      <c r="T2164" s="7"/>
      <c r="U2164" s="7"/>
      <c r="V2164" s="7"/>
      <c r="AC2164" s="7"/>
      <c r="AD2164" s="7"/>
      <c r="AE2164" s="7"/>
      <c r="AF2164" s="7"/>
      <c r="AG2164" s="7"/>
      <c r="AO2164" s="7"/>
      <c r="AP2164" s="7"/>
      <c r="AQ2164" s="7"/>
      <c r="AR2164" s="7"/>
      <c r="AS2164" s="7"/>
    </row>
    <row r="2165" spans="1:45" x14ac:dyDescent="0.2">
      <c r="A2165" s="7"/>
      <c r="B2165" s="7"/>
      <c r="C2165" s="7"/>
      <c r="D2165" s="7"/>
      <c r="E2165" s="36">
        <v>174</v>
      </c>
      <c r="F2165" s="36" t="s">
        <v>2178</v>
      </c>
      <c r="G2165" s="36">
        <v>613418</v>
      </c>
      <c r="H2165" s="36" t="s">
        <v>1424</v>
      </c>
      <c r="I2165" s="37">
        <v>3.19536</v>
      </c>
      <c r="J2165" s="7"/>
      <c r="K2165" s="7" t="str">
        <f>VLOOKUP($E2165,Mapping!$E$11:$I$96,3,0)</f>
        <v>Replacement</v>
      </c>
      <c r="L2165" s="7" t="str">
        <f>VLOOKUP($G2165,Mapping!$E$140:$K$2771,5,0)</f>
        <v>Labour</v>
      </c>
      <c r="M2165" s="7" t="str">
        <f>VLOOKUP($G2165,Mapping!$E$140:$K$2771,7,0)</f>
        <v>ENDirect</v>
      </c>
      <c r="N2165" s="7" t="str">
        <f>IFERROR(HLOOKUP(L2165,'Calc|Weightings'!$K$5:$M$5,1,0),"Excl")</f>
        <v>Labour</v>
      </c>
      <c r="O2165" s="7" t="str">
        <f>VLOOKUP(E2165,Mapping!$E$11:$I$96,5,0)</f>
        <v>SCS</v>
      </c>
      <c r="Q2165" s="7"/>
      <c r="R2165" s="7"/>
      <c r="S2165" s="7"/>
      <c r="T2165" s="7"/>
      <c r="U2165" s="7"/>
      <c r="V2165" s="7"/>
      <c r="AC2165" s="7"/>
      <c r="AD2165" s="7"/>
      <c r="AE2165" s="7"/>
      <c r="AF2165" s="7"/>
      <c r="AG2165" s="7"/>
      <c r="AO2165" s="7"/>
      <c r="AP2165" s="7"/>
      <c r="AQ2165" s="7"/>
      <c r="AR2165" s="7"/>
      <c r="AS2165" s="7"/>
    </row>
    <row r="2166" spans="1:45" x14ac:dyDescent="0.2">
      <c r="A2166" s="7"/>
      <c r="B2166" s="7"/>
      <c r="C2166" s="7"/>
      <c r="D2166" s="7"/>
      <c r="E2166" s="36">
        <v>174</v>
      </c>
      <c r="F2166" s="36" t="s">
        <v>2178</v>
      </c>
      <c r="G2166" s="36">
        <v>633000</v>
      </c>
      <c r="H2166" s="36" t="s">
        <v>2202</v>
      </c>
      <c r="I2166" s="37">
        <v>10.953340000000001</v>
      </c>
      <c r="J2166" s="7"/>
      <c r="K2166" s="7" t="str">
        <f>VLOOKUP($E2166,Mapping!$E$11:$I$96,3,0)</f>
        <v>Replacement</v>
      </c>
      <c r="L2166" s="7" t="str">
        <f>VLOOKUP($G2166,Mapping!$E$140:$K$2771,5,0)</f>
        <v>Contracts</v>
      </c>
      <c r="M2166" s="7" t="str">
        <f>VLOOKUP($G2166,Mapping!$E$140:$K$2771,7,0)</f>
        <v>OH</v>
      </c>
      <c r="N2166" s="7" t="str">
        <f>IFERROR(HLOOKUP(L2166,'Calc|Weightings'!$K$5:$M$5,1,0),"Excl")</f>
        <v>Contracts</v>
      </c>
      <c r="O2166" s="7" t="str">
        <f>VLOOKUP(E2166,Mapping!$E$11:$I$96,5,0)</f>
        <v>SCS</v>
      </c>
      <c r="Q2166" s="7"/>
      <c r="R2166" s="7"/>
      <c r="S2166" s="7"/>
      <c r="T2166" s="7"/>
      <c r="U2166" s="7"/>
      <c r="V2166" s="7"/>
      <c r="AC2166" s="7"/>
      <c r="AD2166" s="7"/>
      <c r="AE2166" s="7"/>
      <c r="AF2166" s="7"/>
      <c r="AG2166" s="7"/>
      <c r="AO2166" s="7"/>
      <c r="AP2166" s="7"/>
      <c r="AQ2166" s="7"/>
      <c r="AR2166" s="7"/>
      <c r="AS2166" s="7"/>
    </row>
    <row r="2167" spans="1:45" x14ac:dyDescent="0.2">
      <c r="A2167" s="7"/>
      <c r="B2167" s="7"/>
      <c r="C2167" s="7"/>
      <c r="D2167" s="7"/>
      <c r="E2167" s="36">
        <v>174</v>
      </c>
      <c r="F2167" s="36" t="s">
        <v>2178</v>
      </c>
      <c r="G2167" s="36">
        <v>634001</v>
      </c>
      <c r="H2167" s="36" t="s">
        <v>2110</v>
      </c>
      <c r="I2167" s="37">
        <v>5.6852900000000002</v>
      </c>
      <c r="J2167" s="7"/>
      <c r="K2167" s="7" t="str">
        <f>VLOOKUP($E2167,Mapping!$E$11:$I$96,3,0)</f>
        <v>Replacement</v>
      </c>
      <c r="L2167" s="7" t="str">
        <f>VLOOKUP($G2167,Mapping!$E$140:$K$2771,5,0)</f>
        <v>Local OH</v>
      </c>
      <c r="M2167" s="7" t="str">
        <f>VLOOKUP($G2167,Mapping!$E$140:$K$2771,7,0)</f>
        <v>OH</v>
      </c>
      <c r="N2167" s="7" t="str">
        <f>IFERROR(HLOOKUP(L2167,'Calc|Weightings'!$K$5:$M$5,1,0),"Excl")</f>
        <v>Excl</v>
      </c>
      <c r="O2167" s="7" t="str">
        <f>VLOOKUP(E2167,Mapping!$E$11:$I$96,5,0)</f>
        <v>SCS</v>
      </c>
      <c r="Q2167" s="7"/>
      <c r="R2167" s="7"/>
      <c r="S2167" s="7"/>
      <c r="T2167" s="7"/>
      <c r="U2167" s="7"/>
      <c r="V2167" s="7"/>
      <c r="AC2167" s="7"/>
      <c r="AD2167" s="7"/>
      <c r="AE2167" s="7"/>
      <c r="AF2167" s="7"/>
      <c r="AG2167" s="7"/>
      <c r="AO2167" s="7"/>
      <c r="AP2167" s="7"/>
      <c r="AQ2167" s="7"/>
      <c r="AR2167" s="7"/>
      <c r="AS2167" s="7"/>
    </row>
    <row r="2168" spans="1:45" x14ac:dyDescent="0.2">
      <c r="A2168" s="7"/>
      <c r="B2168" s="7"/>
      <c r="C2168" s="7"/>
      <c r="D2168" s="7"/>
      <c r="E2168" s="36">
        <v>174</v>
      </c>
      <c r="F2168" s="36" t="s">
        <v>2178</v>
      </c>
      <c r="G2168" s="36">
        <v>635001</v>
      </c>
      <c r="H2168" s="36" t="s">
        <v>1929</v>
      </c>
      <c r="I2168" s="37">
        <v>4.1553800000000001</v>
      </c>
      <c r="J2168" s="7"/>
      <c r="K2168" s="7" t="str">
        <f>VLOOKUP($E2168,Mapping!$E$11:$I$96,3,0)</f>
        <v>Replacement</v>
      </c>
      <c r="L2168" s="7" t="str">
        <f>VLOOKUP($G2168,Mapping!$E$140:$K$2771,5,0)</f>
        <v>PNS MG</v>
      </c>
      <c r="M2168" s="7" t="str">
        <f>VLOOKUP($G2168,Mapping!$E$140:$K$2771,7,0)</f>
        <v>ENDirect</v>
      </c>
      <c r="N2168" s="7" t="str">
        <f>IFERROR(HLOOKUP(L2168,'Calc|Weightings'!$K$5:$M$5,1,0),"Excl")</f>
        <v>Excl</v>
      </c>
      <c r="O2168" s="7" t="str">
        <f>VLOOKUP(E2168,Mapping!$E$11:$I$96,5,0)</f>
        <v>SCS</v>
      </c>
      <c r="Q2168" s="7"/>
      <c r="R2168" s="7"/>
      <c r="S2168" s="7"/>
      <c r="T2168" s="7"/>
      <c r="U2168" s="7"/>
      <c r="V2168" s="7"/>
      <c r="AC2168" s="7"/>
      <c r="AD2168" s="7"/>
      <c r="AE2168" s="7"/>
      <c r="AF2168" s="7"/>
      <c r="AG2168" s="7"/>
      <c r="AO2168" s="7"/>
      <c r="AP2168" s="7"/>
      <c r="AQ2168" s="7"/>
      <c r="AR2168" s="7"/>
      <c r="AS2168" s="7"/>
    </row>
    <row r="2169" spans="1:45" x14ac:dyDescent="0.2">
      <c r="A2169" s="7"/>
      <c r="B2169" s="7"/>
      <c r="C2169" s="7"/>
      <c r="D2169" s="7"/>
      <c r="E2169" s="36">
        <v>174</v>
      </c>
      <c r="F2169" s="36" t="s">
        <v>2178</v>
      </c>
      <c r="G2169" s="36">
        <v>636001</v>
      </c>
      <c r="H2169" s="36" t="s">
        <v>2111</v>
      </c>
      <c r="I2169" s="37">
        <v>1.71614</v>
      </c>
      <c r="J2169" s="7"/>
      <c r="K2169" s="7" t="str">
        <f>VLOOKUP($E2169,Mapping!$E$11:$I$96,3,0)</f>
        <v>Replacement</v>
      </c>
      <c r="L2169" s="7" t="str">
        <f>VLOOKUP($G2169,Mapping!$E$140:$K$2771,5,0)</f>
        <v>System Control OH</v>
      </c>
      <c r="M2169" s="7" t="str">
        <f>VLOOKUP($G2169,Mapping!$E$140:$K$2771,7,0)</f>
        <v>OH</v>
      </c>
      <c r="N2169" s="7" t="str">
        <f>IFERROR(HLOOKUP(L2169,'Calc|Weightings'!$K$5:$M$5,1,0),"Excl")</f>
        <v>Excl</v>
      </c>
      <c r="O2169" s="7" t="str">
        <f>VLOOKUP(E2169,Mapping!$E$11:$I$96,5,0)</f>
        <v>SCS</v>
      </c>
      <c r="Q2169" s="7"/>
      <c r="R2169" s="7"/>
      <c r="S2169" s="7"/>
      <c r="T2169" s="7"/>
      <c r="U2169" s="7"/>
      <c r="V2169" s="7"/>
      <c r="AC2169" s="7"/>
      <c r="AD2169" s="7"/>
      <c r="AE2169" s="7"/>
      <c r="AF2169" s="7"/>
      <c r="AG2169" s="7"/>
      <c r="AO2169" s="7"/>
      <c r="AP2169" s="7"/>
      <c r="AQ2169" s="7"/>
      <c r="AR2169" s="7"/>
      <c r="AS2169" s="7"/>
    </row>
    <row r="2170" spans="1:45" x14ac:dyDescent="0.2">
      <c r="A2170" s="7"/>
      <c r="B2170" s="7"/>
      <c r="C2170" s="7"/>
      <c r="D2170" s="7"/>
      <c r="E2170" s="36">
        <v>174</v>
      </c>
      <c r="F2170" s="36" t="s">
        <v>2178</v>
      </c>
      <c r="G2170" s="36">
        <v>639000</v>
      </c>
      <c r="H2170" s="36" t="s">
        <v>2112</v>
      </c>
      <c r="I2170" s="37">
        <v>3.7052200000000002</v>
      </c>
      <c r="J2170" s="7"/>
      <c r="K2170" s="7" t="str">
        <f>VLOOKUP($E2170,Mapping!$E$11:$I$96,3,0)</f>
        <v>Replacement</v>
      </c>
      <c r="L2170" s="7" t="str">
        <f>VLOOKUP($G2170,Mapping!$E$140:$K$2771,5,0)</f>
        <v>PNS Corporate OH</v>
      </c>
      <c r="M2170" s="7" t="str">
        <f>VLOOKUP($G2170,Mapping!$E$140:$K$2771,7,0)</f>
        <v>OH</v>
      </c>
      <c r="N2170" s="7" t="str">
        <f>IFERROR(HLOOKUP(L2170,'Calc|Weightings'!$K$5:$M$5,1,0),"Excl")</f>
        <v>Excl</v>
      </c>
      <c r="O2170" s="7" t="str">
        <f>VLOOKUP(E2170,Mapping!$E$11:$I$96,5,0)</f>
        <v>SCS</v>
      </c>
      <c r="Q2170" s="7"/>
      <c r="R2170" s="7"/>
      <c r="S2170" s="7"/>
      <c r="T2170" s="7"/>
      <c r="U2170" s="7"/>
      <c r="V2170" s="7"/>
      <c r="AC2170" s="7"/>
      <c r="AD2170" s="7"/>
      <c r="AE2170" s="7"/>
      <c r="AF2170" s="7"/>
      <c r="AG2170" s="7"/>
      <c r="AO2170" s="7"/>
      <c r="AP2170" s="7"/>
      <c r="AQ2170" s="7"/>
      <c r="AR2170" s="7"/>
      <c r="AS2170" s="7"/>
    </row>
    <row r="2171" spans="1:45" x14ac:dyDescent="0.2">
      <c r="A2171" s="7"/>
      <c r="B2171" s="7"/>
      <c r="C2171" s="7"/>
      <c r="D2171" s="7"/>
      <c r="E2171" s="36">
        <v>174</v>
      </c>
      <c r="F2171" s="36" t="s">
        <v>2178</v>
      </c>
      <c r="G2171" s="36">
        <v>639050</v>
      </c>
      <c r="H2171" s="36" t="s">
        <v>2113</v>
      </c>
      <c r="I2171" s="37">
        <v>0.51132</v>
      </c>
      <c r="J2171" s="7"/>
      <c r="K2171" s="7" t="str">
        <f>VLOOKUP($E2171,Mapping!$E$11:$I$96,3,0)</f>
        <v>Replacement</v>
      </c>
      <c r="L2171" s="7" t="str">
        <f>VLOOKUP($G2171,Mapping!$E$140:$K$2771,5,0)</f>
        <v>PNS Fleet &amp; Property OH</v>
      </c>
      <c r="M2171" s="7" t="str">
        <f>VLOOKUP($G2171,Mapping!$E$140:$K$2771,7,0)</f>
        <v>OH</v>
      </c>
      <c r="N2171" s="7" t="str">
        <f>IFERROR(HLOOKUP(L2171,'Calc|Weightings'!$K$5:$M$5,1,0),"Excl")</f>
        <v>Excl</v>
      </c>
      <c r="O2171" s="7" t="str">
        <f>VLOOKUP(E2171,Mapping!$E$11:$I$96,5,0)</f>
        <v>SCS</v>
      </c>
      <c r="Q2171" s="7"/>
      <c r="R2171" s="7"/>
      <c r="S2171" s="7"/>
      <c r="T2171" s="7"/>
      <c r="U2171" s="7"/>
      <c r="V2171" s="7"/>
      <c r="AC2171" s="7"/>
      <c r="AD2171" s="7"/>
      <c r="AE2171" s="7"/>
      <c r="AF2171" s="7"/>
      <c r="AG2171" s="7"/>
      <c r="AO2171" s="7"/>
      <c r="AP2171" s="7"/>
      <c r="AQ2171" s="7"/>
      <c r="AR2171" s="7"/>
      <c r="AS2171" s="7"/>
    </row>
    <row r="2172" spans="1:45" x14ac:dyDescent="0.2">
      <c r="A2172" s="7"/>
      <c r="B2172" s="7"/>
      <c r="C2172" s="7"/>
      <c r="D2172" s="7"/>
      <c r="E2172" s="36">
        <v>175</v>
      </c>
      <c r="F2172" s="36" t="s">
        <v>2179</v>
      </c>
      <c r="G2172" s="36">
        <v>624723</v>
      </c>
      <c r="H2172" s="36" t="s">
        <v>1612</v>
      </c>
      <c r="I2172" s="37">
        <v>0.92313000000000001</v>
      </c>
      <c r="J2172" s="7"/>
      <c r="K2172" s="7" t="str">
        <f>VLOOKUP($E2172,Mapping!$E$11:$I$96,3,0)</f>
        <v>Metering Capex</v>
      </c>
      <c r="L2172" s="7" t="str">
        <f>VLOOKUP($G2172,Mapping!$E$140:$K$2771,5,0)</f>
        <v>Materials</v>
      </c>
      <c r="M2172" s="7" t="str">
        <f>VLOOKUP($G2172,Mapping!$E$140:$K$2771,7,0)</f>
        <v>ENDirect</v>
      </c>
      <c r="N2172" s="7" t="str">
        <f>IFERROR(HLOOKUP(L2172,'Calc|Weightings'!$K$5:$M$5,1,0),"Excl")</f>
        <v>Materials</v>
      </c>
      <c r="O2172" s="7" t="str">
        <f>VLOOKUP(E2172,Mapping!$E$11:$I$96,5,0)</f>
        <v>Metering Services</v>
      </c>
      <c r="Q2172" s="7"/>
      <c r="R2172" s="7"/>
      <c r="S2172" s="7"/>
      <c r="T2172" s="7"/>
      <c r="U2172" s="7"/>
      <c r="V2172" s="7"/>
      <c r="AC2172" s="7"/>
      <c r="AD2172" s="7"/>
      <c r="AE2172" s="7"/>
      <c r="AF2172" s="7"/>
      <c r="AG2172" s="7"/>
      <c r="AO2172" s="7"/>
      <c r="AP2172" s="7"/>
      <c r="AQ2172" s="7"/>
      <c r="AR2172" s="7"/>
      <c r="AS2172" s="7"/>
    </row>
    <row r="2173" spans="1:45" x14ac:dyDescent="0.2">
      <c r="A2173" s="7"/>
      <c r="B2173" s="7"/>
      <c r="C2173" s="7"/>
      <c r="D2173" s="7"/>
      <c r="E2173" s="36">
        <v>175</v>
      </c>
      <c r="F2173" s="36" t="s">
        <v>2179</v>
      </c>
      <c r="G2173" s="36">
        <v>624725</v>
      </c>
      <c r="H2173" s="36" t="s">
        <v>1129</v>
      </c>
      <c r="I2173" s="37">
        <v>5.2648200000000003</v>
      </c>
      <c r="J2173" s="7"/>
      <c r="K2173" s="7" t="str">
        <f>VLOOKUP($E2173,Mapping!$E$11:$I$96,3,0)</f>
        <v>Metering Capex</v>
      </c>
      <c r="L2173" s="7" t="str">
        <f>VLOOKUP($G2173,Mapping!$E$140:$K$2771,5,0)</f>
        <v>Materials</v>
      </c>
      <c r="M2173" s="7" t="str">
        <f>VLOOKUP($G2173,Mapping!$E$140:$K$2771,7,0)</f>
        <v>ENDirect</v>
      </c>
      <c r="N2173" s="7" t="str">
        <f>IFERROR(HLOOKUP(L2173,'Calc|Weightings'!$K$5:$M$5,1,0),"Excl")</f>
        <v>Materials</v>
      </c>
      <c r="O2173" s="7" t="str">
        <f>VLOOKUP(E2173,Mapping!$E$11:$I$96,5,0)</f>
        <v>Metering Services</v>
      </c>
      <c r="Q2173" s="7"/>
      <c r="R2173" s="7"/>
      <c r="S2173" s="7"/>
      <c r="T2173" s="7"/>
      <c r="U2173" s="7"/>
      <c r="V2173" s="7"/>
      <c r="AC2173" s="7"/>
      <c r="AD2173" s="7"/>
      <c r="AE2173" s="7"/>
      <c r="AF2173" s="7"/>
      <c r="AG2173" s="7"/>
      <c r="AO2173" s="7"/>
      <c r="AP2173" s="7"/>
      <c r="AQ2173" s="7"/>
      <c r="AR2173" s="7"/>
      <c r="AS2173" s="7"/>
    </row>
    <row r="2174" spans="1:45" x14ac:dyDescent="0.2">
      <c r="A2174" s="7"/>
      <c r="B2174" s="7"/>
      <c r="C2174" s="7"/>
      <c r="D2174" s="7"/>
      <c r="E2174" s="36">
        <v>175</v>
      </c>
      <c r="F2174" s="36" t="s">
        <v>2179</v>
      </c>
      <c r="G2174" s="36">
        <v>624800</v>
      </c>
      <c r="H2174" s="36" t="s">
        <v>815</v>
      </c>
      <c r="I2174" s="37">
        <v>94.506299999999996</v>
      </c>
      <c r="J2174" s="7"/>
      <c r="K2174" s="7" t="str">
        <f>VLOOKUP($E2174,Mapping!$E$11:$I$96,3,0)</f>
        <v>Metering Capex</v>
      </c>
      <c r="L2174" s="7" t="str">
        <f>VLOOKUP($G2174,Mapping!$E$140:$K$2771,5,0)</f>
        <v>Materials</v>
      </c>
      <c r="M2174" s="7" t="str">
        <f>VLOOKUP($G2174,Mapping!$E$140:$K$2771,7,0)</f>
        <v>ENDirect</v>
      </c>
      <c r="N2174" s="7" t="str">
        <f>IFERROR(HLOOKUP(L2174,'Calc|Weightings'!$K$5:$M$5,1,0),"Excl")</f>
        <v>Materials</v>
      </c>
      <c r="O2174" s="7" t="str">
        <f>VLOOKUP(E2174,Mapping!$E$11:$I$96,5,0)</f>
        <v>Metering Services</v>
      </c>
      <c r="Q2174" s="7"/>
      <c r="R2174" s="7"/>
      <c r="S2174" s="7"/>
      <c r="T2174" s="7"/>
      <c r="U2174" s="7"/>
      <c r="V2174" s="7"/>
      <c r="AC2174" s="7"/>
      <c r="AD2174" s="7"/>
      <c r="AE2174" s="7"/>
      <c r="AF2174" s="7"/>
      <c r="AG2174" s="7"/>
      <c r="AO2174" s="7"/>
      <c r="AP2174" s="7"/>
      <c r="AQ2174" s="7"/>
      <c r="AR2174" s="7"/>
      <c r="AS2174" s="7"/>
    </row>
    <row r="2175" spans="1:45" x14ac:dyDescent="0.2">
      <c r="A2175" s="7"/>
      <c r="B2175" s="7"/>
      <c r="C2175" s="7"/>
      <c r="D2175" s="7"/>
      <c r="E2175" s="36">
        <v>175</v>
      </c>
      <c r="F2175" s="36" t="s">
        <v>2179</v>
      </c>
      <c r="G2175" s="36">
        <v>624821</v>
      </c>
      <c r="H2175" s="36" t="s">
        <v>1643</v>
      </c>
      <c r="I2175" s="37">
        <v>22.481560000000002</v>
      </c>
      <c r="J2175" s="7"/>
      <c r="K2175" s="7" t="str">
        <f>VLOOKUP($E2175,Mapping!$E$11:$I$96,3,0)</f>
        <v>Metering Capex</v>
      </c>
      <c r="L2175" s="7" t="str">
        <f>VLOOKUP($G2175,Mapping!$E$140:$K$2771,5,0)</f>
        <v>Materials</v>
      </c>
      <c r="M2175" s="7" t="str">
        <f>VLOOKUP($G2175,Mapping!$E$140:$K$2771,7,0)</f>
        <v>ENDirect</v>
      </c>
      <c r="N2175" s="7" t="str">
        <f>IFERROR(HLOOKUP(L2175,'Calc|Weightings'!$K$5:$M$5,1,0),"Excl")</f>
        <v>Materials</v>
      </c>
      <c r="O2175" s="7" t="str">
        <f>VLOOKUP(E2175,Mapping!$E$11:$I$96,5,0)</f>
        <v>Metering Services</v>
      </c>
      <c r="Q2175" s="7"/>
      <c r="R2175" s="7"/>
      <c r="S2175" s="7"/>
      <c r="T2175" s="7"/>
      <c r="U2175" s="7"/>
      <c r="V2175" s="7"/>
      <c r="AC2175" s="7"/>
      <c r="AD2175" s="7"/>
      <c r="AE2175" s="7"/>
      <c r="AF2175" s="7"/>
      <c r="AG2175" s="7"/>
      <c r="AO2175" s="7"/>
      <c r="AP2175" s="7"/>
      <c r="AQ2175" s="7"/>
      <c r="AR2175" s="7"/>
      <c r="AS2175" s="7"/>
    </row>
    <row r="2176" spans="1:45" x14ac:dyDescent="0.2">
      <c r="A2176" s="7"/>
      <c r="B2176" s="7"/>
      <c r="C2176" s="7"/>
      <c r="D2176" s="7"/>
      <c r="E2176" s="36">
        <v>175</v>
      </c>
      <c r="F2176" s="36" t="s">
        <v>2179</v>
      </c>
      <c r="G2176" s="36">
        <v>633000</v>
      </c>
      <c r="H2176" s="36" t="s">
        <v>2202</v>
      </c>
      <c r="I2176" s="37">
        <v>16.652249999999999</v>
      </c>
      <c r="J2176" s="7"/>
      <c r="K2176" s="7" t="str">
        <f>VLOOKUP($E2176,Mapping!$E$11:$I$96,3,0)</f>
        <v>Metering Capex</v>
      </c>
      <c r="L2176" s="7" t="str">
        <f>VLOOKUP($G2176,Mapping!$E$140:$K$2771,5,0)</f>
        <v>Contracts</v>
      </c>
      <c r="M2176" s="7" t="str">
        <f>VLOOKUP($G2176,Mapping!$E$140:$K$2771,7,0)</f>
        <v>OH</v>
      </c>
      <c r="N2176" s="7" t="str">
        <f>IFERROR(HLOOKUP(L2176,'Calc|Weightings'!$K$5:$M$5,1,0),"Excl")</f>
        <v>Contracts</v>
      </c>
      <c r="O2176" s="7" t="str">
        <f>VLOOKUP(E2176,Mapping!$E$11:$I$96,5,0)</f>
        <v>Metering Services</v>
      </c>
      <c r="Q2176" s="7"/>
      <c r="R2176" s="7"/>
      <c r="S2176" s="7"/>
      <c r="T2176" s="7"/>
      <c r="U2176" s="7"/>
      <c r="V2176" s="7"/>
      <c r="AC2176" s="7"/>
      <c r="AD2176" s="7"/>
      <c r="AE2176" s="7"/>
      <c r="AF2176" s="7"/>
      <c r="AG2176" s="7"/>
      <c r="AO2176" s="7"/>
      <c r="AP2176" s="7"/>
      <c r="AQ2176" s="7"/>
      <c r="AR2176" s="7"/>
      <c r="AS2176" s="7"/>
    </row>
    <row r="2177" spans="1:45" x14ac:dyDescent="0.2">
      <c r="A2177" s="7"/>
      <c r="B2177" s="7"/>
      <c r="C2177" s="7"/>
      <c r="D2177" s="7"/>
      <c r="E2177" s="36">
        <v>175</v>
      </c>
      <c r="F2177" s="36" t="s">
        <v>2179</v>
      </c>
      <c r="G2177" s="36">
        <v>638000</v>
      </c>
      <c r="H2177" s="36" t="s">
        <v>1147</v>
      </c>
      <c r="I2177" s="37">
        <v>2.5951399999999998</v>
      </c>
      <c r="J2177" s="7"/>
      <c r="K2177" s="7" t="str">
        <f>VLOOKUP($E2177,Mapping!$E$11:$I$96,3,0)</f>
        <v>Metering Capex</v>
      </c>
      <c r="L2177" s="7" t="str">
        <f>VLOOKUP($G2177,Mapping!$E$140:$K$2771,5,0)</f>
        <v>CHEDS AMI BAU MG</v>
      </c>
      <c r="M2177" s="7" t="str">
        <f>VLOOKUP($G2177,Mapping!$E$140:$K$2771,7,0)</f>
        <v>ENDirect</v>
      </c>
      <c r="N2177" s="7" t="str">
        <f>IFERROR(HLOOKUP(L2177,'Calc|Weightings'!$K$5:$M$5,1,0),"Excl")</f>
        <v>Excl</v>
      </c>
      <c r="O2177" s="7" t="str">
        <f>VLOOKUP(E2177,Mapping!$E$11:$I$96,5,0)</f>
        <v>Metering Services</v>
      </c>
      <c r="Q2177" s="7"/>
      <c r="R2177" s="7"/>
      <c r="S2177" s="7"/>
      <c r="T2177" s="7"/>
      <c r="U2177" s="7"/>
      <c r="V2177" s="7"/>
      <c r="AC2177" s="7"/>
      <c r="AD2177" s="7"/>
      <c r="AE2177" s="7"/>
      <c r="AF2177" s="7"/>
      <c r="AG2177" s="7"/>
      <c r="AO2177" s="7"/>
      <c r="AP2177" s="7"/>
      <c r="AQ2177" s="7"/>
      <c r="AR2177" s="7"/>
      <c r="AS2177" s="7"/>
    </row>
    <row r="2178" spans="1:45" x14ac:dyDescent="0.2">
      <c r="A2178" s="7"/>
      <c r="B2178" s="7"/>
      <c r="C2178" s="7"/>
      <c r="D2178" s="7"/>
      <c r="E2178" s="36">
        <v>175</v>
      </c>
      <c r="F2178" s="36" t="s">
        <v>2179</v>
      </c>
      <c r="G2178" s="36">
        <v>638005</v>
      </c>
      <c r="H2178" s="36" t="s">
        <v>1148</v>
      </c>
      <c r="I2178" s="37">
        <v>0.28670000000000001</v>
      </c>
      <c r="J2178" s="7"/>
      <c r="K2178" s="7" t="str">
        <f>VLOOKUP($E2178,Mapping!$E$11:$I$96,3,0)</f>
        <v>Metering Capex</v>
      </c>
      <c r="L2178" s="7" t="str">
        <f>VLOOKUP($G2178,Mapping!$E$140:$K$2771,5,0)</f>
        <v>AMI Margin</v>
      </c>
      <c r="M2178" s="7" t="str">
        <f>VLOOKUP($G2178,Mapping!$E$140:$K$2771,7,0)</f>
        <v>ENDirect</v>
      </c>
      <c r="N2178" s="7" t="str">
        <f>IFERROR(HLOOKUP(L2178,'Calc|Weightings'!$K$5:$M$5,1,0),"Excl")</f>
        <v>Excl</v>
      </c>
      <c r="O2178" s="7" t="str">
        <f>VLOOKUP(E2178,Mapping!$E$11:$I$96,5,0)</f>
        <v>Metering Services</v>
      </c>
      <c r="Q2178" s="7"/>
      <c r="R2178" s="7"/>
      <c r="S2178" s="7"/>
      <c r="T2178" s="7"/>
      <c r="U2178" s="7"/>
      <c r="V2178" s="7"/>
      <c r="AC2178" s="7"/>
      <c r="AD2178" s="7"/>
      <c r="AE2178" s="7"/>
      <c r="AF2178" s="7"/>
      <c r="AG2178" s="7"/>
      <c r="AO2178" s="7"/>
      <c r="AP2178" s="7"/>
      <c r="AQ2178" s="7"/>
      <c r="AR2178" s="7"/>
      <c r="AS2178" s="7"/>
    </row>
    <row r="2179" spans="1:45" x14ac:dyDescent="0.2">
      <c r="A2179" s="7"/>
      <c r="B2179" s="7"/>
      <c r="C2179" s="7"/>
      <c r="D2179" s="7"/>
      <c r="E2179" s="36">
        <v>175</v>
      </c>
      <c r="F2179" s="36" t="s">
        <v>2179</v>
      </c>
      <c r="G2179" s="36">
        <v>639050</v>
      </c>
      <c r="H2179" s="36" t="s">
        <v>2113</v>
      </c>
      <c r="I2179" s="37">
        <v>0.68045</v>
      </c>
      <c r="J2179" s="7"/>
      <c r="K2179" s="7" t="str">
        <f>VLOOKUP($E2179,Mapping!$E$11:$I$96,3,0)</f>
        <v>Metering Capex</v>
      </c>
      <c r="L2179" s="7" t="str">
        <f>VLOOKUP($G2179,Mapping!$E$140:$K$2771,5,0)</f>
        <v>PNS Fleet &amp; Property OH</v>
      </c>
      <c r="M2179" s="7" t="str">
        <f>VLOOKUP($G2179,Mapping!$E$140:$K$2771,7,0)</f>
        <v>OH</v>
      </c>
      <c r="N2179" s="7" t="str">
        <f>IFERROR(HLOOKUP(L2179,'Calc|Weightings'!$K$5:$M$5,1,0),"Excl")</f>
        <v>Excl</v>
      </c>
      <c r="O2179" s="7" t="str">
        <f>VLOOKUP(E2179,Mapping!$E$11:$I$96,5,0)</f>
        <v>Metering Services</v>
      </c>
      <c r="Q2179" s="7"/>
      <c r="R2179" s="7"/>
      <c r="S2179" s="7"/>
      <c r="T2179" s="7"/>
      <c r="U2179" s="7"/>
      <c r="V2179" s="7"/>
      <c r="AC2179" s="7"/>
      <c r="AD2179" s="7"/>
      <c r="AE2179" s="7"/>
      <c r="AF2179" s="7"/>
      <c r="AG2179" s="7"/>
      <c r="AO2179" s="7"/>
      <c r="AP2179" s="7"/>
      <c r="AQ2179" s="7"/>
      <c r="AR2179" s="7"/>
      <c r="AS2179" s="7"/>
    </row>
    <row r="2180" spans="1:45" x14ac:dyDescent="0.2">
      <c r="A2180" s="7"/>
      <c r="B2180" s="7"/>
      <c r="C2180" s="7"/>
      <c r="D2180" s="7"/>
      <c r="E2180" s="36">
        <v>176</v>
      </c>
      <c r="F2180" s="36" t="s">
        <v>2180</v>
      </c>
      <c r="G2180" s="36">
        <v>624726</v>
      </c>
      <c r="H2180" s="36" t="s">
        <v>1130</v>
      </c>
      <c r="I2180" s="37">
        <v>3.8717999999999999</v>
      </c>
      <c r="J2180" s="7"/>
      <c r="K2180" s="7" t="str">
        <f>VLOOKUP($E2180,Mapping!$E$11:$I$96,3,0)</f>
        <v>Metering Capex</v>
      </c>
      <c r="L2180" s="7" t="str">
        <f>VLOOKUP($G2180,Mapping!$E$140:$K$2771,5,0)</f>
        <v>Labour</v>
      </c>
      <c r="M2180" s="7" t="str">
        <f>VLOOKUP($G2180,Mapping!$E$140:$K$2771,7,0)</f>
        <v>ENDirect</v>
      </c>
      <c r="N2180" s="7" t="str">
        <f>IFERROR(HLOOKUP(L2180,'Calc|Weightings'!$K$5:$M$5,1,0),"Excl")</f>
        <v>Labour</v>
      </c>
      <c r="O2180" s="7" t="str">
        <f>VLOOKUP(E2180,Mapping!$E$11:$I$96,5,0)</f>
        <v>Metering Services</v>
      </c>
      <c r="Q2180" s="7"/>
      <c r="R2180" s="7"/>
      <c r="S2180" s="7"/>
      <c r="T2180" s="7"/>
      <c r="U2180" s="7"/>
      <c r="V2180" s="7"/>
      <c r="AC2180" s="7"/>
      <c r="AD2180" s="7"/>
      <c r="AE2180" s="7"/>
      <c r="AF2180" s="7"/>
      <c r="AG2180" s="7"/>
      <c r="AO2180" s="7"/>
      <c r="AP2180" s="7"/>
      <c r="AQ2180" s="7"/>
      <c r="AR2180" s="7"/>
      <c r="AS2180" s="7"/>
    </row>
    <row r="2181" spans="1:45" x14ac:dyDescent="0.2">
      <c r="A2181" s="7"/>
      <c r="B2181" s="7"/>
      <c r="C2181" s="7"/>
      <c r="D2181" s="7"/>
      <c r="E2181" s="36">
        <v>176</v>
      </c>
      <c r="F2181" s="36" t="s">
        <v>2180</v>
      </c>
      <c r="G2181" s="36">
        <v>624728</v>
      </c>
      <c r="H2181" s="36" t="s">
        <v>1132</v>
      </c>
      <c r="I2181" s="37">
        <v>7.09863</v>
      </c>
      <c r="J2181" s="7"/>
      <c r="K2181" s="7" t="str">
        <f>VLOOKUP($E2181,Mapping!$E$11:$I$96,3,0)</f>
        <v>Metering Capex</v>
      </c>
      <c r="L2181" s="7" t="str">
        <f>VLOOKUP($G2181,Mapping!$E$140:$K$2771,5,0)</f>
        <v>Labour</v>
      </c>
      <c r="M2181" s="7" t="str">
        <f>VLOOKUP($G2181,Mapping!$E$140:$K$2771,7,0)</f>
        <v>ENDirect</v>
      </c>
      <c r="N2181" s="7" t="str">
        <f>IFERROR(HLOOKUP(L2181,'Calc|Weightings'!$K$5:$M$5,1,0),"Excl")</f>
        <v>Labour</v>
      </c>
      <c r="O2181" s="7" t="str">
        <f>VLOOKUP(E2181,Mapping!$E$11:$I$96,5,0)</f>
        <v>Metering Services</v>
      </c>
      <c r="Q2181" s="7"/>
      <c r="R2181" s="7"/>
      <c r="S2181" s="7"/>
      <c r="T2181" s="7"/>
      <c r="U2181" s="7"/>
      <c r="V2181" s="7"/>
      <c r="AC2181" s="7"/>
      <c r="AD2181" s="7"/>
      <c r="AE2181" s="7"/>
      <c r="AF2181" s="7"/>
      <c r="AG2181" s="7"/>
      <c r="AO2181" s="7"/>
      <c r="AP2181" s="7"/>
      <c r="AQ2181" s="7"/>
      <c r="AR2181" s="7"/>
      <c r="AS2181" s="7"/>
    </row>
    <row r="2182" spans="1:45" x14ac:dyDescent="0.2">
      <c r="A2182" s="7"/>
      <c r="B2182" s="7"/>
      <c r="C2182" s="7"/>
      <c r="D2182" s="7"/>
      <c r="E2182" s="36">
        <v>176</v>
      </c>
      <c r="F2182" s="36" t="s">
        <v>2180</v>
      </c>
      <c r="G2182" s="36">
        <v>624805</v>
      </c>
      <c r="H2182" s="36" t="s">
        <v>820</v>
      </c>
      <c r="I2182" s="37">
        <v>25.159120000000001</v>
      </c>
      <c r="J2182" s="7"/>
      <c r="K2182" s="7" t="str">
        <f>VLOOKUP($E2182,Mapping!$E$11:$I$96,3,0)</f>
        <v>Metering Capex</v>
      </c>
      <c r="L2182" s="7" t="str">
        <f>VLOOKUP($G2182,Mapping!$E$140:$K$2771,5,0)</f>
        <v>Labour</v>
      </c>
      <c r="M2182" s="7" t="str">
        <f>VLOOKUP($G2182,Mapping!$E$140:$K$2771,7,0)</f>
        <v>ENDirect</v>
      </c>
      <c r="N2182" s="7" t="str">
        <f>IFERROR(HLOOKUP(L2182,'Calc|Weightings'!$K$5:$M$5,1,0),"Excl")</f>
        <v>Labour</v>
      </c>
      <c r="O2182" s="7" t="str">
        <f>VLOOKUP(E2182,Mapping!$E$11:$I$96,5,0)</f>
        <v>Metering Services</v>
      </c>
      <c r="Q2182" s="7"/>
      <c r="R2182" s="7"/>
      <c r="S2182" s="7"/>
      <c r="T2182" s="7"/>
      <c r="U2182" s="7"/>
      <c r="V2182" s="7"/>
      <c r="AC2182" s="7"/>
      <c r="AD2182" s="7"/>
      <c r="AE2182" s="7"/>
      <c r="AF2182" s="7"/>
      <c r="AG2182" s="7"/>
      <c r="AO2182" s="7"/>
      <c r="AP2182" s="7"/>
      <c r="AQ2182" s="7"/>
      <c r="AR2182" s="7"/>
      <c r="AS2182" s="7"/>
    </row>
    <row r="2183" spans="1:45" x14ac:dyDescent="0.2">
      <c r="A2183" s="7"/>
      <c r="B2183" s="7"/>
      <c r="C2183" s="7"/>
      <c r="D2183" s="7"/>
      <c r="E2183" s="36">
        <v>176</v>
      </c>
      <c r="F2183" s="36" t="s">
        <v>2180</v>
      </c>
      <c r="G2183" s="36">
        <v>624822</v>
      </c>
      <c r="H2183" s="36" t="s">
        <v>1644</v>
      </c>
      <c r="I2183" s="37">
        <v>28.889500000000002</v>
      </c>
      <c r="J2183" s="7"/>
      <c r="K2183" s="7" t="str">
        <f>VLOOKUP($E2183,Mapping!$E$11:$I$96,3,0)</f>
        <v>Metering Capex</v>
      </c>
      <c r="L2183" s="7" t="str">
        <f>VLOOKUP($G2183,Mapping!$E$140:$K$2771,5,0)</f>
        <v>Contracts</v>
      </c>
      <c r="M2183" s="7" t="str">
        <f>VLOOKUP($G2183,Mapping!$E$140:$K$2771,7,0)</f>
        <v>ENDirect</v>
      </c>
      <c r="N2183" s="7" t="str">
        <f>IFERROR(HLOOKUP(L2183,'Calc|Weightings'!$K$5:$M$5,1,0),"Excl")</f>
        <v>Contracts</v>
      </c>
      <c r="O2183" s="7" t="str">
        <f>VLOOKUP(E2183,Mapping!$E$11:$I$96,5,0)</f>
        <v>Metering Services</v>
      </c>
      <c r="Q2183" s="7"/>
      <c r="R2183" s="7"/>
      <c r="S2183" s="7"/>
      <c r="T2183" s="7"/>
      <c r="U2183" s="7"/>
      <c r="V2183" s="7"/>
      <c r="AC2183" s="7"/>
      <c r="AD2183" s="7"/>
      <c r="AE2183" s="7"/>
      <c r="AF2183" s="7"/>
      <c r="AG2183" s="7"/>
      <c r="AO2183" s="7"/>
      <c r="AP2183" s="7"/>
      <c r="AQ2183" s="7"/>
      <c r="AR2183" s="7"/>
      <c r="AS2183" s="7"/>
    </row>
    <row r="2184" spans="1:45" x14ac:dyDescent="0.2">
      <c r="A2184" s="7"/>
      <c r="B2184" s="7"/>
      <c r="C2184" s="7"/>
      <c r="D2184" s="7"/>
      <c r="E2184" s="36">
        <v>176</v>
      </c>
      <c r="F2184" s="36" t="s">
        <v>2180</v>
      </c>
      <c r="G2184" s="36">
        <v>633000</v>
      </c>
      <c r="H2184" s="36" t="s">
        <v>2202</v>
      </c>
      <c r="I2184" s="37">
        <v>4.4331100000000001</v>
      </c>
      <c r="J2184" s="7"/>
      <c r="K2184" s="7" t="str">
        <f>VLOOKUP($E2184,Mapping!$E$11:$I$96,3,0)</f>
        <v>Metering Capex</v>
      </c>
      <c r="L2184" s="7" t="str">
        <f>VLOOKUP($G2184,Mapping!$E$140:$K$2771,5,0)</f>
        <v>Contracts</v>
      </c>
      <c r="M2184" s="7" t="str">
        <f>VLOOKUP($G2184,Mapping!$E$140:$K$2771,7,0)</f>
        <v>OH</v>
      </c>
      <c r="N2184" s="7" t="str">
        <f>IFERROR(HLOOKUP(L2184,'Calc|Weightings'!$K$5:$M$5,1,0),"Excl")</f>
        <v>Contracts</v>
      </c>
      <c r="O2184" s="7" t="str">
        <f>VLOOKUP(E2184,Mapping!$E$11:$I$96,5,0)</f>
        <v>Metering Services</v>
      </c>
      <c r="Q2184" s="7"/>
      <c r="R2184" s="7"/>
      <c r="S2184" s="7"/>
      <c r="T2184" s="7"/>
      <c r="U2184" s="7"/>
      <c r="V2184" s="7"/>
      <c r="AC2184" s="7"/>
      <c r="AD2184" s="7"/>
      <c r="AE2184" s="7"/>
      <c r="AF2184" s="7"/>
      <c r="AG2184" s="7"/>
      <c r="AO2184" s="7"/>
      <c r="AP2184" s="7"/>
      <c r="AQ2184" s="7"/>
      <c r="AR2184" s="7"/>
      <c r="AS2184" s="7"/>
    </row>
    <row r="2185" spans="1:45" x14ac:dyDescent="0.2">
      <c r="A2185" s="7"/>
      <c r="B2185" s="7"/>
      <c r="C2185" s="7"/>
      <c r="D2185" s="7"/>
      <c r="E2185" s="36">
        <v>176</v>
      </c>
      <c r="F2185" s="36" t="s">
        <v>2180</v>
      </c>
      <c r="G2185" s="36">
        <v>638000</v>
      </c>
      <c r="H2185" s="36" t="s">
        <v>1147</v>
      </c>
      <c r="I2185" s="37">
        <v>0.69086999999999998</v>
      </c>
      <c r="J2185" s="7"/>
      <c r="K2185" s="7" t="str">
        <f>VLOOKUP($E2185,Mapping!$E$11:$I$96,3,0)</f>
        <v>Metering Capex</v>
      </c>
      <c r="L2185" s="7" t="str">
        <f>VLOOKUP($G2185,Mapping!$E$140:$K$2771,5,0)</f>
        <v>CHEDS AMI BAU MG</v>
      </c>
      <c r="M2185" s="7" t="str">
        <f>VLOOKUP($G2185,Mapping!$E$140:$K$2771,7,0)</f>
        <v>ENDirect</v>
      </c>
      <c r="N2185" s="7" t="str">
        <f>IFERROR(HLOOKUP(L2185,'Calc|Weightings'!$K$5:$M$5,1,0),"Excl")</f>
        <v>Excl</v>
      </c>
      <c r="O2185" s="7" t="str">
        <f>VLOOKUP(E2185,Mapping!$E$11:$I$96,5,0)</f>
        <v>Metering Services</v>
      </c>
      <c r="Q2185" s="7"/>
      <c r="R2185" s="7"/>
      <c r="S2185" s="7"/>
      <c r="T2185" s="7"/>
      <c r="U2185" s="7"/>
      <c r="V2185" s="7"/>
      <c r="AC2185" s="7"/>
      <c r="AD2185" s="7"/>
      <c r="AE2185" s="7"/>
      <c r="AF2185" s="7"/>
      <c r="AG2185" s="7"/>
      <c r="AO2185" s="7"/>
      <c r="AP2185" s="7"/>
      <c r="AQ2185" s="7"/>
      <c r="AR2185" s="7"/>
      <c r="AS2185" s="7"/>
    </row>
    <row r="2186" spans="1:45" x14ac:dyDescent="0.2">
      <c r="A2186" s="7"/>
      <c r="B2186" s="7"/>
      <c r="C2186" s="7"/>
      <c r="D2186" s="7"/>
      <c r="E2186" s="36">
        <v>176</v>
      </c>
      <c r="F2186" s="36" t="s">
        <v>2180</v>
      </c>
      <c r="G2186" s="36">
        <v>638005</v>
      </c>
      <c r="H2186" s="36" t="s">
        <v>1148</v>
      </c>
      <c r="I2186" s="37">
        <v>0.39861000000000002</v>
      </c>
      <c r="J2186" s="7"/>
      <c r="K2186" s="7" t="str">
        <f>VLOOKUP($E2186,Mapping!$E$11:$I$96,3,0)</f>
        <v>Metering Capex</v>
      </c>
      <c r="L2186" s="7" t="str">
        <f>VLOOKUP($G2186,Mapping!$E$140:$K$2771,5,0)</f>
        <v>AMI Margin</v>
      </c>
      <c r="M2186" s="7" t="str">
        <f>VLOOKUP($G2186,Mapping!$E$140:$K$2771,7,0)</f>
        <v>ENDirect</v>
      </c>
      <c r="N2186" s="7" t="str">
        <f>IFERROR(HLOOKUP(L2186,'Calc|Weightings'!$K$5:$M$5,1,0),"Excl")</f>
        <v>Excl</v>
      </c>
      <c r="O2186" s="7" t="str">
        <f>VLOOKUP(E2186,Mapping!$E$11:$I$96,5,0)</f>
        <v>Metering Services</v>
      </c>
      <c r="Q2186" s="7"/>
      <c r="R2186" s="7"/>
      <c r="S2186" s="7"/>
      <c r="T2186" s="7"/>
      <c r="U2186" s="7"/>
      <c r="V2186" s="7"/>
      <c r="AC2186" s="7"/>
      <c r="AD2186" s="7"/>
      <c r="AE2186" s="7"/>
      <c r="AF2186" s="7"/>
      <c r="AG2186" s="7"/>
      <c r="AO2186" s="7"/>
      <c r="AP2186" s="7"/>
      <c r="AQ2186" s="7"/>
      <c r="AR2186" s="7"/>
      <c r="AS2186" s="7"/>
    </row>
    <row r="2187" spans="1:45" x14ac:dyDescent="0.2">
      <c r="A2187" s="7"/>
      <c r="B2187" s="7"/>
      <c r="C2187" s="7"/>
      <c r="D2187" s="7"/>
      <c r="E2187" s="36">
        <v>176</v>
      </c>
      <c r="F2187" s="36" t="s">
        <v>2180</v>
      </c>
      <c r="G2187" s="36">
        <v>639050</v>
      </c>
      <c r="H2187" s="36" t="s">
        <v>2113</v>
      </c>
      <c r="I2187" s="37">
        <v>0.18115000000000001</v>
      </c>
      <c r="J2187" s="7"/>
      <c r="K2187" s="7" t="str">
        <f>VLOOKUP($E2187,Mapping!$E$11:$I$96,3,0)</f>
        <v>Metering Capex</v>
      </c>
      <c r="L2187" s="7" t="str">
        <f>VLOOKUP($G2187,Mapping!$E$140:$K$2771,5,0)</f>
        <v>PNS Fleet &amp; Property OH</v>
      </c>
      <c r="M2187" s="7" t="str">
        <f>VLOOKUP($G2187,Mapping!$E$140:$K$2771,7,0)</f>
        <v>OH</v>
      </c>
      <c r="N2187" s="7" t="str">
        <f>IFERROR(HLOOKUP(L2187,'Calc|Weightings'!$K$5:$M$5,1,0),"Excl")</f>
        <v>Excl</v>
      </c>
      <c r="O2187" s="7" t="str">
        <f>VLOOKUP(E2187,Mapping!$E$11:$I$96,5,0)</f>
        <v>Metering Services</v>
      </c>
      <c r="Q2187" s="7"/>
      <c r="R2187" s="7"/>
      <c r="S2187" s="7"/>
      <c r="T2187" s="7"/>
      <c r="U2187" s="7"/>
      <c r="V2187" s="7"/>
      <c r="AC2187" s="7"/>
      <c r="AD2187" s="7"/>
      <c r="AE2187" s="7"/>
      <c r="AF2187" s="7"/>
      <c r="AG2187" s="7"/>
      <c r="AO2187" s="7"/>
      <c r="AP2187" s="7"/>
      <c r="AQ2187" s="7"/>
      <c r="AR2187" s="7"/>
      <c r="AS2187" s="7"/>
    </row>
    <row r="2188" spans="1:45" x14ac:dyDescent="0.2">
      <c r="A2188" s="7"/>
      <c r="B2188" s="7"/>
      <c r="C2188" s="7"/>
      <c r="D2188" s="7"/>
      <c r="E2188" s="36">
        <v>177</v>
      </c>
      <c r="F2188" s="36" t="s">
        <v>2387</v>
      </c>
      <c r="G2188" s="36">
        <v>503281</v>
      </c>
      <c r="H2188" s="36" t="s">
        <v>2198</v>
      </c>
      <c r="I2188" s="37">
        <v>1.4956100000000001</v>
      </c>
      <c r="J2188" s="7"/>
      <c r="K2188" s="7" t="str">
        <f>VLOOKUP($E2188,Mapping!$E$11:$I$96,3,0)</f>
        <v>Augmentation</v>
      </c>
      <c r="L2188" s="7" t="str">
        <f>VLOOKUP($G2188,Mapping!$E$140:$K$2771,5,0)</f>
        <v>Contracts</v>
      </c>
      <c r="M2188" s="7" t="str">
        <f>VLOOKUP($G2188,Mapping!$E$140:$K$2771,7,0)</f>
        <v>ENDirect</v>
      </c>
      <c r="N2188" s="7" t="str">
        <f>IFERROR(HLOOKUP(L2188,'Calc|Weightings'!$K$5:$M$5,1,0),"Excl")</f>
        <v>Contracts</v>
      </c>
      <c r="O2188" s="7" t="str">
        <f>VLOOKUP(E2188,Mapping!$E$11:$I$96,5,0)</f>
        <v>SCS</v>
      </c>
      <c r="Q2188" s="7"/>
      <c r="R2188" s="7"/>
      <c r="S2188" s="7"/>
      <c r="T2188" s="7"/>
      <c r="U2188" s="7"/>
      <c r="V2188" s="7"/>
      <c r="AC2188" s="7"/>
      <c r="AD2188" s="7"/>
      <c r="AE2188" s="7"/>
      <c r="AF2188" s="7"/>
      <c r="AG2188" s="7"/>
      <c r="AO2188" s="7"/>
      <c r="AP2188" s="7"/>
      <c r="AQ2188" s="7"/>
      <c r="AR2188" s="7"/>
      <c r="AS2188" s="7"/>
    </row>
    <row r="2189" spans="1:45" x14ac:dyDescent="0.2">
      <c r="A2189" s="7"/>
      <c r="B2189" s="7"/>
      <c r="C2189" s="7"/>
      <c r="D2189" s="7"/>
      <c r="E2189" s="36">
        <v>177</v>
      </c>
      <c r="F2189" s="36" t="s">
        <v>2387</v>
      </c>
      <c r="G2189" s="36">
        <v>503340</v>
      </c>
      <c r="H2189" s="36" t="s">
        <v>181</v>
      </c>
      <c r="I2189" s="37">
        <v>0.1439</v>
      </c>
      <c r="J2189" s="7"/>
      <c r="K2189" s="7" t="str">
        <f>VLOOKUP($E2189,Mapping!$E$11:$I$96,3,0)</f>
        <v>Augmentation</v>
      </c>
      <c r="L2189" s="7" t="str">
        <f>VLOOKUP($G2189,Mapping!$E$140:$K$2771,5,0)</f>
        <v>Contracts</v>
      </c>
      <c r="M2189" s="7" t="str">
        <f>VLOOKUP($G2189,Mapping!$E$140:$K$2771,7,0)</f>
        <v>ENDirect</v>
      </c>
      <c r="N2189" s="7" t="str">
        <f>IFERROR(HLOOKUP(L2189,'Calc|Weightings'!$K$5:$M$5,1,0),"Excl")</f>
        <v>Contracts</v>
      </c>
      <c r="O2189" s="7" t="str">
        <f>VLOOKUP(E2189,Mapping!$E$11:$I$96,5,0)</f>
        <v>SCS</v>
      </c>
      <c r="Q2189" s="7"/>
      <c r="R2189" s="7"/>
      <c r="S2189" s="7"/>
      <c r="T2189" s="7"/>
      <c r="U2189" s="7"/>
      <c r="V2189" s="7"/>
      <c r="AC2189" s="7"/>
      <c r="AD2189" s="7"/>
      <c r="AE2189" s="7"/>
      <c r="AF2189" s="7"/>
      <c r="AG2189" s="7"/>
      <c r="AO2189" s="7"/>
      <c r="AP2189" s="7"/>
      <c r="AQ2189" s="7"/>
      <c r="AR2189" s="7"/>
      <c r="AS2189" s="7"/>
    </row>
    <row r="2190" spans="1:45" x14ac:dyDescent="0.2">
      <c r="A2190" s="7"/>
      <c r="B2190" s="7"/>
      <c r="C2190" s="7"/>
      <c r="D2190" s="7"/>
      <c r="E2190" s="36">
        <v>177</v>
      </c>
      <c r="F2190" s="36" t="s">
        <v>2387</v>
      </c>
      <c r="G2190" s="36">
        <v>520100</v>
      </c>
      <c r="H2190" s="36" t="s">
        <v>2072</v>
      </c>
      <c r="I2190" s="37">
        <v>871.39346</v>
      </c>
      <c r="J2190" s="7"/>
      <c r="K2190" s="7" t="str">
        <f>VLOOKUP($E2190,Mapping!$E$11:$I$96,3,0)</f>
        <v>Augmentation</v>
      </c>
      <c r="L2190" s="7" t="str">
        <f>VLOOKUP($G2190,Mapping!$E$140:$K$2771,5,0)</f>
        <v>Materials</v>
      </c>
      <c r="M2190" s="7" t="str">
        <f>VLOOKUP($G2190,Mapping!$E$140:$K$2771,7,0)</f>
        <v>ENDirect</v>
      </c>
      <c r="N2190" s="7" t="str">
        <f>IFERROR(HLOOKUP(L2190,'Calc|Weightings'!$K$5:$M$5,1,0),"Excl")</f>
        <v>Materials</v>
      </c>
      <c r="O2190" s="7" t="str">
        <f>VLOOKUP(E2190,Mapping!$E$11:$I$96,5,0)</f>
        <v>SCS</v>
      </c>
      <c r="Q2190" s="7"/>
      <c r="R2190" s="7"/>
      <c r="S2190" s="7"/>
      <c r="T2190" s="7"/>
      <c r="U2190" s="7"/>
      <c r="V2190" s="7"/>
      <c r="AC2190" s="7"/>
      <c r="AD2190" s="7"/>
      <c r="AE2190" s="7"/>
      <c r="AF2190" s="7"/>
      <c r="AG2190" s="7"/>
      <c r="AO2190" s="7"/>
      <c r="AP2190" s="7"/>
      <c r="AQ2190" s="7"/>
      <c r="AR2190" s="7"/>
      <c r="AS2190" s="7"/>
    </row>
    <row r="2191" spans="1:45" x14ac:dyDescent="0.2">
      <c r="A2191" s="7"/>
      <c r="B2191" s="7"/>
      <c r="C2191" s="7"/>
      <c r="D2191" s="7"/>
      <c r="E2191" s="36">
        <v>177</v>
      </c>
      <c r="F2191" s="36" t="s">
        <v>2387</v>
      </c>
      <c r="G2191" s="36">
        <v>520200</v>
      </c>
      <c r="H2191" s="36" t="s">
        <v>2073</v>
      </c>
      <c r="I2191" s="37">
        <v>1.81349</v>
      </c>
      <c r="J2191" s="7"/>
      <c r="K2191" s="7" t="str">
        <f>VLOOKUP($E2191,Mapping!$E$11:$I$96,3,0)</f>
        <v>Augmentation</v>
      </c>
      <c r="L2191" s="7" t="str">
        <f>VLOOKUP($G2191,Mapping!$E$140:$K$2771,5,0)</f>
        <v>Materials</v>
      </c>
      <c r="M2191" s="7" t="str">
        <f>VLOOKUP($G2191,Mapping!$E$140:$K$2771,7,0)</f>
        <v>ENDirect</v>
      </c>
      <c r="N2191" s="7" t="str">
        <f>IFERROR(HLOOKUP(L2191,'Calc|Weightings'!$K$5:$M$5,1,0),"Excl")</f>
        <v>Materials</v>
      </c>
      <c r="O2191" s="7" t="str">
        <f>VLOOKUP(E2191,Mapping!$E$11:$I$96,5,0)</f>
        <v>SCS</v>
      </c>
      <c r="Q2191" s="7"/>
      <c r="R2191" s="7"/>
      <c r="S2191" s="7"/>
      <c r="T2191" s="7"/>
      <c r="U2191" s="7"/>
      <c r="V2191" s="7"/>
      <c r="AC2191" s="7"/>
      <c r="AD2191" s="7"/>
      <c r="AE2191" s="7"/>
      <c r="AF2191" s="7"/>
      <c r="AG2191" s="7"/>
      <c r="AO2191" s="7"/>
      <c r="AP2191" s="7"/>
      <c r="AQ2191" s="7"/>
      <c r="AR2191" s="7"/>
      <c r="AS2191" s="7"/>
    </row>
    <row r="2192" spans="1:45" x14ac:dyDescent="0.2">
      <c r="A2192" s="7"/>
      <c r="B2192" s="7"/>
      <c r="C2192" s="7"/>
      <c r="D2192" s="7"/>
      <c r="E2192" s="36">
        <v>177</v>
      </c>
      <c r="F2192" s="36" t="s">
        <v>2387</v>
      </c>
      <c r="G2192" s="36">
        <v>523100</v>
      </c>
      <c r="H2192" s="36" t="s">
        <v>2074</v>
      </c>
      <c r="I2192" s="37">
        <v>0.60131000000000001</v>
      </c>
      <c r="J2192" s="7"/>
      <c r="K2192" s="7" t="str">
        <f>VLOOKUP($E2192,Mapping!$E$11:$I$96,3,0)</f>
        <v>Augmentation</v>
      </c>
      <c r="L2192" s="7" t="str">
        <f>VLOOKUP($G2192,Mapping!$E$140:$K$2771,5,0)</f>
        <v>Materials</v>
      </c>
      <c r="M2192" s="7" t="str">
        <f>VLOOKUP($G2192,Mapping!$E$140:$K$2771,7,0)</f>
        <v>ENDirect</v>
      </c>
      <c r="N2192" s="7" t="str">
        <f>IFERROR(HLOOKUP(L2192,'Calc|Weightings'!$K$5:$M$5,1,0),"Excl")</f>
        <v>Materials</v>
      </c>
      <c r="O2192" s="7" t="str">
        <f>VLOOKUP(E2192,Mapping!$E$11:$I$96,5,0)</f>
        <v>SCS</v>
      </c>
      <c r="Q2192" s="7"/>
      <c r="R2192" s="7"/>
      <c r="S2192" s="7"/>
      <c r="T2192" s="7"/>
      <c r="U2192" s="7"/>
      <c r="V2192" s="7"/>
      <c r="AC2192" s="7"/>
      <c r="AD2192" s="7"/>
      <c r="AE2192" s="7"/>
      <c r="AF2192" s="7"/>
      <c r="AG2192" s="7"/>
      <c r="AO2192" s="7"/>
      <c r="AP2192" s="7"/>
      <c r="AQ2192" s="7"/>
      <c r="AR2192" s="7"/>
      <c r="AS2192" s="7"/>
    </row>
    <row r="2193" spans="1:45" x14ac:dyDescent="0.2">
      <c r="A2193" s="7"/>
      <c r="B2193" s="7"/>
      <c r="C2193" s="7"/>
      <c r="D2193" s="7"/>
      <c r="E2193" s="36">
        <v>177</v>
      </c>
      <c r="F2193" s="36" t="s">
        <v>2387</v>
      </c>
      <c r="G2193" s="36">
        <v>531020</v>
      </c>
      <c r="H2193" s="36" t="s">
        <v>219</v>
      </c>
      <c r="I2193" s="37">
        <v>1.97993</v>
      </c>
      <c r="J2193" s="7"/>
      <c r="K2193" s="7" t="str">
        <f>VLOOKUP($E2193,Mapping!$E$11:$I$96,3,0)</f>
        <v>Augmentation</v>
      </c>
      <c r="L2193" s="7" t="str">
        <f>VLOOKUP($G2193,Mapping!$E$140:$K$2771,5,0)</f>
        <v>Labour</v>
      </c>
      <c r="M2193" s="7" t="str">
        <f>VLOOKUP($G2193,Mapping!$E$140:$K$2771,7,0)</f>
        <v>ENDirect</v>
      </c>
      <c r="N2193" s="7" t="str">
        <f>IFERROR(HLOOKUP(L2193,'Calc|Weightings'!$K$5:$M$5,1,0),"Excl")</f>
        <v>Labour</v>
      </c>
      <c r="O2193" s="7" t="str">
        <f>VLOOKUP(E2193,Mapping!$E$11:$I$96,5,0)</f>
        <v>SCS</v>
      </c>
      <c r="Q2193" s="7"/>
      <c r="R2193" s="7"/>
      <c r="S2193" s="7"/>
      <c r="T2193" s="7"/>
      <c r="U2193" s="7"/>
      <c r="V2193" s="7"/>
      <c r="AC2193" s="7"/>
      <c r="AD2193" s="7"/>
      <c r="AE2193" s="7"/>
      <c r="AF2193" s="7"/>
      <c r="AG2193" s="7"/>
      <c r="AO2193" s="7"/>
      <c r="AP2193" s="7"/>
      <c r="AQ2193" s="7"/>
      <c r="AR2193" s="7"/>
      <c r="AS2193" s="7"/>
    </row>
    <row r="2194" spans="1:45" x14ac:dyDescent="0.2">
      <c r="A2194" s="7"/>
      <c r="B2194" s="7"/>
      <c r="C2194" s="7"/>
      <c r="D2194" s="7"/>
      <c r="E2194" s="36">
        <v>177</v>
      </c>
      <c r="F2194" s="36" t="s">
        <v>2387</v>
      </c>
      <c r="G2194" s="36">
        <v>531464</v>
      </c>
      <c r="H2194" s="36" t="s">
        <v>256</v>
      </c>
      <c r="I2194" s="37">
        <v>12.16362</v>
      </c>
      <c r="J2194" s="7"/>
      <c r="K2194" s="7" t="str">
        <f>VLOOKUP($E2194,Mapping!$E$11:$I$96,3,0)</f>
        <v>Augmentation</v>
      </c>
      <c r="L2194" s="7" t="str">
        <f>VLOOKUP($G2194,Mapping!$E$140:$K$2771,5,0)</f>
        <v>Contracts</v>
      </c>
      <c r="M2194" s="7" t="str">
        <f>VLOOKUP($G2194,Mapping!$E$140:$K$2771,7,0)</f>
        <v>ENDirect</v>
      </c>
      <c r="N2194" s="7" t="str">
        <f>IFERROR(HLOOKUP(L2194,'Calc|Weightings'!$K$5:$M$5,1,0),"Excl")</f>
        <v>Contracts</v>
      </c>
      <c r="O2194" s="7" t="str">
        <f>VLOOKUP(E2194,Mapping!$E$11:$I$96,5,0)</f>
        <v>SCS</v>
      </c>
      <c r="Q2194" s="7"/>
      <c r="R2194" s="7"/>
      <c r="S2194" s="7"/>
      <c r="T2194" s="7"/>
      <c r="U2194" s="7"/>
      <c r="V2194" s="7"/>
      <c r="AC2194" s="7"/>
      <c r="AD2194" s="7"/>
      <c r="AE2194" s="7"/>
      <c r="AF2194" s="7"/>
      <c r="AG2194" s="7"/>
      <c r="AO2194" s="7"/>
      <c r="AP2194" s="7"/>
      <c r="AQ2194" s="7"/>
      <c r="AR2194" s="7"/>
      <c r="AS2194" s="7"/>
    </row>
    <row r="2195" spans="1:45" x14ac:dyDescent="0.2">
      <c r="A2195" s="7"/>
      <c r="B2195" s="7"/>
      <c r="C2195" s="7"/>
      <c r="D2195" s="7"/>
      <c r="E2195" s="36">
        <v>177</v>
      </c>
      <c r="F2195" s="36" t="s">
        <v>2387</v>
      </c>
      <c r="G2195" s="36">
        <v>531466</v>
      </c>
      <c r="H2195" s="36" t="s">
        <v>258</v>
      </c>
      <c r="I2195" s="37">
        <v>0.26100000000000001</v>
      </c>
      <c r="J2195" s="7"/>
      <c r="K2195" s="7" t="str">
        <f>VLOOKUP($E2195,Mapping!$E$11:$I$96,3,0)</f>
        <v>Augmentation</v>
      </c>
      <c r="L2195" s="7" t="str">
        <f>VLOOKUP($G2195,Mapping!$E$140:$K$2771,5,0)</f>
        <v>Contracts</v>
      </c>
      <c r="M2195" s="7" t="str">
        <f>VLOOKUP($G2195,Mapping!$E$140:$K$2771,7,0)</f>
        <v>ENDirect</v>
      </c>
      <c r="N2195" s="7" t="str">
        <f>IFERROR(HLOOKUP(L2195,'Calc|Weightings'!$K$5:$M$5,1,0),"Excl")</f>
        <v>Contracts</v>
      </c>
      <c r="O2195" s="7" t="str">
        <f>VLOOKUP(E2195,Mapping!$E$11:$I$96,5,0)</f>
        <v>SCS</v>
      </c>
      <c r="Q2195" s="7"/>
      <c r="R2195" s="7"/>
      <c r="S2195" s="7"/>
      <c r="T2195" s="7"/>
      <c r="U2195" s="7"/>
      <c r="V2195" s="7"/>
      <c r="AC2195" s="7"/>
      <c r="AD2195" s="7"/>
      <c r="AE2195" s="7"/>
      <c r="AF2195" s="7"/>
      <c r="AG2195" s="7"/>
      <c r="AO2195" s="7"/>
      <c r="AP2195" s="7"/>
      <c r="AQ2195" s="7"/>
      <c r="AR2195" s="7"/>
      <c r="AS2195" s="7"/>
    </row>
    <row r="2196" spans="1:45" x14ac:dyDescent="0.2">
      <c r="A2196" s="7"/>
      <c r="B2196" s="7"/>
      <c r="C2196" s="7"/>
      <c r="D2196" s="7"/>
      <c r="E2196" s="36">
        <v>177</v>
      </c>
      <c r="F2196" s="36" t="s">
        <v>2387</v>
      </c>
      <c r="G2196" s="36">
        <v>531467</v>
      </c>
      <c r="H2196" s="36" t="s">
        <v>259</v>
      </c>
      <c r="I2196" s="37">
        <v>6.9215799999999996</v>
      </c>
      <c r="J2196" s="7"/>
      <c r="K2196" s="7" t="str">
        <f>VLOOKUP($E2196,Mapping!$E$11:$I$96,3,0)</f>
        <v>Augmentation</v>
      </c>
      <c r="L2196" s="7" t="str">
        <f>VLOOKUP($G2196,Mapping!$E$140:$K$2771,5,0)</f>
        <v>Contracts</v>
      </c>
      <c r="M2196" s="7" t="str">
        <f>VLOOKUP($G2196,Mapping!$E$140:$K$2771,7,0)</f>
        <v>ENDirect</v>
      </c>
      <c r="N2196" s="7" t="str">
        <f>IFERROR(HLOOKUP(L2196,'Calc|Weightings'!$K$5:$M$5,1,0),"Excl")</f>
        <v>Contracts</v>
      </c>
      <c r="O2196" s="7" t="str">
        <f>VLOOKUP(E2196,Mapping!$E$11:$I$96,5,0)</f>
        <v>SCS</v>
      </c>
      <c r="Q2196" s="7"/>
      <c r="R2196" s="7"/>
      <c r="S2196" s="7"/>
      <c r="T2196" s="7"/>
      <c r="U2196" s="7"/>
      <c r="V2196" s="7"/>
      <c r="AC2196" s="7"/>
      <c r="AD2196" s="7"/>
      <c r="AE2196" s="7"/>
      <c r="AF2196" s="7"/>
      <c r="AG2196" s="7"/>
      <c r="AO2196" s="7"/>
      <c r="AP2196" s="7"/>
      <c r="AQ2196" s="7"/>
      <c r="AR2196" s="7"/>
      <c r="AS2196" s="7"/>
    </row>
    <row r="2197" spans="1:45" x14ac:dyDescent="0.2">
      <c r="A2197" s="7"/>
      <c r="B2197" s="7"/>
      <c r="C2197" s="7"/>
      <c r="D2197" s="7"/>
      <c r="E2197" s="36">
        <v>177</v>
      </c>
      <c r="F2197" s="36" t="s">
        <v>2387</v>
      </c>
      <c r="G2197" s="36">
        <v>531469</v>
      </c>
      <c r="H2197" s="36" t="s">
        <v>261</v>
      </c>
      <c r="I2197" s="37">
        <v>355.46364999999997</v>
      </c>
      <c r="J2197" s="7"/>
      <c r="K2197" s="7" t="str">
        <f>VLOOKUP($E2197,Mapping!$E$11:$I$96,3,0)</f>
        <v>Augmentation</v>
      </c>
      <c r="L2197" s="7" t="str">
        <f>VLOOKUP($G2197,Mapping!$E$140:$K$2771,5,0)</f>
        <v>Labour</v>
      </c>
      <c r="M2197" s="7" t="str">
        <f>VLOOKUP($G2197,Mapping!$E$140:$K$2771,7,0)</f>
        <v>ENDirect</v>
      </c>
      <c r="N2197" s="7" t="str">
        <f>IFERROR(HLOOKUP(L2197,'Calc|Weightings'!$K$5:$M$5,1,0),"Excl")</f>
        <v>Labour</v>
      </c>
      <c r="O2197" s="7" t="str">
        <f>VLOOKUP(E2197,Mapping!$E$11:$I$96,5,0)</f>
        <v>SCS</v>
      </c>
      <c r="Q2197" s="7"/>
      <c r="R2197" s="7"/>
      <c r="S2197" s="7"/>
      <c r="T2197" s="7"/>
      <c r="U2197" s="7"/>
      <c r="V2197" s="7"/>
      <c r="AC2197" s="7"/>
      <c r="AD2197" s="7"/>
      <c r="AE2197" s="7"/>
      <c r="AF2197" s="7"/>
      <c r="AG2197" s="7"/>
      <c r="AO2197" s="7"/>
      <c r="AP2197" s="7"/>
      <c r="AQ2197" s="7"/>
      <c r="AR2197" s="7"/>
      <c r="AS2197" s="7"/>
    </row>
    <row r="2198" spans="1:45" x14ac:dyDescent="0.2">
      <c r="A2198" s="7"/>
      <c r="B2198" s="7"/>
      <c r="C2198" s="7"/>
      <c r="D2198" s="7"/>
      <c r="E2198" s="36">
        <v>177</v>
      </c>
      <c r="F2198" s="36" t="s">
        <v>2387</v>
      </c>
      <c r="G2198" s="36">
        <v>531495</v>
      </c>
      <c r="H2198" s="36" t="s">
        <v>2353</v>
      </c>
      <c r="I2198" s="37">
        <v>-51.898789999999998</v>
      </c>
      <c r="J2198" s="7"/>
      <c r="K2198" s="7" t="str">
        <f>VLOOKUP($E2198,Mapping!$E$11:$I$96,3,0)</f>
        <v>Augmentation</v>
      </c>
      <c r="L2198" s="7" t="str">
        <f>VLOOKUP($G2198,Mapping!$E$140:$K$2771,5,0)</f>
        <v>Contracts</v>
      </c>
      <c r="M2198" s="7" t="str">
        <f>VLOOKUP($G2198,Mapping!$E$140:$K$2771,7,0)</f>
        <v>ENDirect</v>
      </c>
      <c r="N2198" s="7" t="str">
        <f>IFERROR(HLOOKUP(L2198,'Calc|Weightings'!$K$5:$M$5,1,0),"Excl")</f>
        <v>Contracts</v>
      </c>
      <c r="O2198" s="7" t="str">
        <f>VLOOKUP(E2198,Mapping!$E$11:$I$96,5,0)</f>
        <v>SCS</v>
      </c>
      <c r="Q2198" s="7"/>
      <c r="R2198" s="7"/>
      <c r="S2198" s="7"/>
      <c r="T2198" s="7"/>
      <c r="U2198" s="7"/>
      <c r="V2198" s="7"/>
      <c r="AC2198" s="7"/>
      <c r="AD2198" s="7"/>
      <c r="AE2198" s="7"/>
      <c r="AF2198" s="7"/>
      <c r="AG2198" s="7"/>
      <c r="AO2198" s="7"/>
      <c r="AP2198" s="7"/>
      <c r="AQ2198" s="7"/>
      <c r="AR2198" s="7"/>
      <c r="AS2198" s="7"/>
    </row>
    <row r="2199" spans="1:45" x14ac:dyDescent="0.2">
      <c r="A2199" s="7"/>
      <c r="B2199" s="7"/>
      <c r="C2199" s="7"/>
      <c r="D2199" s="7"/>
      <c r="E2199" s="36">
        <v>177</v>
      </c>
      <c r="F2199" s="36" t="s">
        <v>2387</v>
      </c>
      <c r="G2199" s="36">
        <v>545150</v>
      </c>
      <c r="H2199" s="36" t="s">
        <v>345</v>
      </c>
      <c r="I2199" s="37">
        <v>0.64336000000000004</v>
      </c>
      <c r="J2199" s="7"/>
      <c r="K2199" s="7" t="str">
        <f>VLOOKUP($E2199,Mapping!$E$11:$I$96,3,0)</f>
        <v>Augmentation</v>
      </c>
      <c r="L2199" s="7" t="str">
        <f>VLOOKUP($G2199,Mapping!$E$140:$K$2771,5,0)</f>
        <v>Contracts</v>
      </c>
      <c r="M2199" s="7" t="str">
        <f>VLOOKUP($G2199,Mapping!$E$140:$K$2771,7,0)</f>
        <v>ENDirect</v>
      </c>
      <c r="N2199" s="7" t="str">
        <f>IFERROR(HLOOKUP(L2199,'Calc|Weightings'!$K$5:$M$5,1,0),"Excl")</f>
        <v>Contracts</v>
      </c>
      <c r="O2199" s="7" t="str">
        <f>VLOOKUP(E2199,Mapping!$E$11:$I$96,5,0)</f>
        <v>SCS</v>
      </c>
      <c r="Q2199" s="7"/>
      <c r="R2199" s="7"/>
      <c r="S2199" s="7"/>
      <c r="T2199" s="7"/>
      <c r="U2199" s="7"/>
      <c r="V2199" s="7"/>
      <c r="AC2199" s="7"/>
      <c r="AD2199" s="7"/>
      <c r="AE2199" s="7"/>
      <c r="AF2199" s="7"/>
      <c r="AG2199" s="7"/>
      <c r="AO2199" s="7"/>
      <c r="AP2199" s="7"/>
      <c r="AQ2199" s="7"/>
      <c r="AR2199" s="7"/>
      <c r="AS2199" s="7"/>
    </row>
    <row r="2200" spans="1:45" x14ac:dyDescent="0.2">
      <c r="A2200" s="7"/>
      <c r="B2200" s="7"/>
      <c r="C2200" s="7"/>
      <c r="D2200" s="7"/>
      <c r="E2200" s="36">
        <v>177</v>
      </c>
      <c r="F2200" s="36" t="s">
        <v>2387</v>
      </c>
      <c r="G2200" s="36">
        <v>591998</v>
      </c>
      <c r="H2200" s="36" t="s">
        <v>2077</v>
      </c>
      <c r="I2200" s="37">
        <v>3.95791</v>
      </c>
      <c r="J2200" s="7"/>
      <c r="K2200" s="7" t="str">
        <f>VLOOKUP($E2200,Mapping!$E$11:$I$96,3,0)</f>
        <v>Augmentation</v>
      </c>
      <c r="L2200" s="7" t="str">
        <f>VLOOKUP($G2200,Mapping!$E$140:$K$2771,5,0)</f>
        <v>Contracts</v>
      </c>
      <c r="M2200" s="7" t="str">
        <f>VLOOKUP($G2200,Mapping!$E$140:$K$2771,7,0)</f>
        <v>ENDirect</v>
      </c>
      <c r="N2200" s="7" t="str">
        <f>IFERROR(HLOOKUP(L2200,'Calc|Weightings'!$K$5:$M$5,1,0),"Excl")</f>
        <v>Contracts</v>
      </c>
      <c r="O2200" s="7" t="str">
        <f>VLOOKUP(E2200,Mapping!$E$11:$I$96,5,0)</f>
        <v>SCS</v>
      </c>
      <c r="Q2200" s="7"/>
      <c r="R2200" s="7"/>
      <c r="S2200" s="7"/>
      <c r="T2200" s="7"/>
      <c r="U2200" s="7"/>
      <c r="V2200" s="7"/>
      <c r="AC2200" s="7"/>
      <c r="AD2200" s="7"/>
      <c r="AE2200" s="7"/>
      <c r="AF2200" s="7"/>
      <c r="AG2200" s="7"/>
      <c r="AO2200" s="7"/>
      <c r="AP2200" s="7"/>
      <c r="AQ2200" s="7"/>
      <c r="AR2200" s="7"/>
      <c r="AS2200" s="7"/>
    </row>
    <row r="2201" spans="1:45" x14ac:dyDescent="0.2">
      <c r="A2201" s="7"/>
      <c r="B2201" s="7"/>
      <c r="C2201" s="7"/>
      <c r="D2201" s="7"/>
      <c r="E2201" s="36">
        <v>177</v>
      </c>
      <c r="F2201" s="36" t="s">
        <v>2387</v>
      </c>
      <c r="G2201" s="36">
        <v>591999</v>
      </c>
      <c r="H2201" s="36" t="s">
        <v>2195</v>
      </c>
      <c r="I2201" s="37">
        <v>-4.2134900000000002</v>
      </c>
      <c r="J2201" s="7"/>
      <c r="K2201" s="7" t="str">
        <f>VLOOKUP($E2201,Mapping!$E$11:$I$96,3,0)</f>
        <v>Augmentation</v>
      </c>
      <c r="L2201" s="7" t="str">
        <f>VLOOKUP($G2201,Mapping!$E$140:$K$2771,5,0)</f>
        <v>Contracts</v>
      </c>
      <c r="M2201" s="7" t="str">
        <f>VLOOKUP($G2201,Mapping!$E$140:$K$2771,7,0)</f>
        <v>ENDirect</v>
      </c>
      <c r="N2201" s="7" t="str">
        <f>IFERROR(HLOOKUP(L2201,'Calc|Weightings'!$K$5:$M$5,1,0),"Excl")</f>
        <v>Contracts</v>
      </c>
      <c r="O2201" s="7" t="str">
        <f>VLOOKUP(E2201,Mapping!$E$11:$I$96,5,0)</f>
        <v>SCS</v>
      </c>
      <c r="Q2201" s="7"/>
      <c r="R2201" s="7"/>
      <c r="S2201" s="7"/>
      <c r="T2201" s="7"/>
      <c r="U2201" s="7"/>
      <c r="V2201" s="7"/>
      <c r="AC2201" s="7"/>
      <c r="AD2201" s="7"/>
      <c r="AE2201" s="7"/>
      <c r="AF2201" s="7"/>
      <c r="AG2201" s="7"/>
      <c r="AO2201" s="7"/>
      <c r="AP2201" s="7"/>
      <c r="AQ2201" s="7"/>
      <c r="AR2201" s="7"/>
      <c r="AS2201" s="7"/>
    </row>
    <row r="2202" spans="1:45" x14ac:dyDescent="0.2">
      <c r="A2202" s="7"/>
      <c r="B2202" s="7"/>
      <c r="C2202" s="7"/>
      <c r="D2202" s="7"/>
      <c r="E2202" s="36">
        <v>177</v>
      </c>
      <c r="F2202" s="36" t="s">
        <v>2387</v>
      </c>
      <c r="G2202" s="36">
        <v>611900</v>
      </c>
      <c r="H2202" s="36" t="s">
        <v>2079</v>
      </c>
      <c r="I2202" s="37">
        <v>9.4310000000000005E-2</v>
      </c>
      <c r="J2202" s="7"/>
      <c r="K2202" s="7" t="str">
        <f>VLOOKUP($E2202,Mapping!$E$11:$I$96,3,0)</f>
        <v>Augmentation</v>
      </c>
      <c r="L2202" s="7" t="str">
        <f>VLOOKUP($G2202,Mapping!$E$140:$K$2771,5,0)</f>
        <v>Contracts</v>
      </c>
      <c r="M2202" s="7" t="str">
        <f>VLOOKUP($G2202,Mapping!$E$140:$K$2771,7,0)</f>
        <v>ENDirect</v>
      </c>
      <c r="N2202" s="7" t="str">
        <f>IFERROR(HLOOKUP(L2202,'Calc|Weightings'!$K$5:$M$5,1,0),"Excl")</f>
        <v>Contracts</v>
      </c>
      <c r="O2202" s="7" t="str">
        <f>VLOOKUP(E2202,Mapping!$E$11:$I$96,5,0)</f>
        <v>SCS</v>
      </c>
      <c r="Q2202" s="7"/>
      <c r="R2202" s="7"/>
      <c r="S2202" s="7"/>
      <c r="T2202" s="7"/>
      <c r="U2202" s="7"/>
      <c r="V2202" s="7"/>
      <c r="AC2202" s="7"/>
      <c r="AD2202" s="7"/>
      <c r="AE2202" s="7"/>
      <c r="AF2202" s="7"/>
      <c r="AG2202" s="7"/>
      <c r="AO2202" s="7"/>
      <c r="AP2202" s="7"/>
      <c r="AQ2202" s="7"/>
      <c r="AR2202" s="7"/>
      <c r="AS2202" s="7"/>
    </row>
    <row r="2203" spans="1:45" x14ac:dyDescent="0.2">
      <c r="A2203" s="7"/>
      <c r="B2203" s="7"/>
      <c r="C2203" s="7"/>
      <c r="D2203" s="7"/>
      <c r="E2203" s="36">
        <v>177</v>
      </c>
      <c r="F2203" s="36" t="s">
        <v>2387</v>
      </c>
      <c r="G2203" s="36">
        <v>611901</v>
      </c>
      <c r="H2203" s="36" t="s">
        <v>2080</v>
      </c>
      <c r="I2203" s="37">
        <v>0.33362000000000003</v>
      </c>
      <c r="J2203" s="7"/>
      <c r="K2203" s="7" t="str">
        <f>VLOOKUP($E2203,Mapping!$E$11:$I$96,3,0)</f>
        <v>Augmentation</v>
      </c>
      <c r="L2203" s="7" t="str">
        <f>VLOOKUP($G2203,Mapping!$E$140:$K$2771,5,0)</f>
        <v>Contracts</v>
      </c>
      <c r="M2203" s="7" t="str">
        <f>VLOOKUP($G2203,Mapping!$E$140:$K$2771,7,0)</f>
        <v>ENDirect</v>
      </c>
      <c r="N2203" s="7" t="str">
        <f>IFERROR(HLOOKUP(L2203,'Calc|Weightings'!$K$5:$M$5,1,0),"Excl")</f>
        <v>Contracts</v>
      </c>
      <c r="O2203" s="7" t="str">
        <f>VLOOKUP(E2203,Mapping!$E$11:$I$96,5,0)</f>
        <v>SCS</v>
      </c>
      <c r="Q2203" s="7"/>
      <c r="R2203" s="7"/>
      <c r="S2203" s="7"/>
      <c r="T2203" s="7"/>
      <c r="U2203" s="7"/>
      <c r="V2203" s="7"/>
      <c r="AC2203" s="7"/>
      <c r="AD2203" s="7"/>
      <c r="AE2203" s="7"/>
      <c r="AF2203" s="7"/>
      <c r="AG2203" s="7"/>
      <c r="AO2203" s="7"/>
      <c r="AP2203" s="7"/>
      <c r="AQ2203" s="7"/>
      <c r="AR2203" s="7"/>
      <c r="AS2203" s="7"/>
    </row>
    <row r="2204" spans="1:45" x14ac:dyDescent="0.2">
      <c r="A2204" s="7"/>
      <c r="B2204" s="7"/>
      <c r="C2204" s="7"/>
      <c r="D2204" s="7"/>
      <c r="E2204" s="36">
        <v>177</v>
      </c>
      <c r="F2204" s="36" t="s">
        <v>2387</v>
      </c>
      <c r="G2204" s="36">
        <v>611902</v>
      </c>
      <c r="H2204" s="36" t="s">
        <v>2081</v>
      </c>
      <c r="I2204" s="37">
        <v>0.15046000000000001</v>
      </c>
      <c r="J2204" s="7"/>
      <c r="K2204" s="7" t="str">
        <f>VLOOKUP($E2204,Mapping!$E$11:$I$96,3,0)</f>
        <v>Augmentation</v>
      </c>
      <c r="L2204" s="7" t="str">
        <f>VLOOKUP($G2204,Mapping!$E$140:$K$2771,5,0)</f>
        <v>Contracts</v>
      </c>
      <c r="M2204" s="7" t="str">
        <f>VLOOKUP($G2204,Mapping!$E$140:$K$2771,7,0)</f>
        <v>ENDirect</v>
      </c>
      <c r="N2204" s="7" t="str">
        <f>IFERROR(HLOOKUP(L2204,'Calc|Weightings'!$K$5:$M$5,1,0),"Excl")</f>
        <v>Contracts</v>
      </c>
      <c r="O2204" s="7" t="str">
        <f>VLOOKUP(E2204,Mapping!$E$11:$I$96,5,0)</f>
        <v>SCS</v>
      </c>
      <c r="Q2204" s="7"/>
      <c r="R2204" s="7"/>
      <c r="S2204" s="7"/>
      <c r="T2204" s="7"/>
      <c r="U2204" s="7"/>
      <c r="V2204" s="7"/>
      <c r="AC2204" s="7"/>
      <c r="AD2204" s="7"/>
      <c r="AE2204" s="7"/>
      <c r="AF2204" s="7"/>
      <c r="AG2204" s="7"/>
      <c r="AO2204" s="7"/>
      <c r="AP2204" s="7"/>
      <c r="AQ2204" s="7"/>
      <c r="AR2204" s="7"/>
      <c r="AS2204" s="7"/>
    </row>
    <row r="2205" spans="1:45" x14ac:dyDescent="0.2">
      <c r="A2205" s="7"/>
      <c r="B2205" s="7"/>
      <c r="C2205" s="7"/>
      <c r="D2205" s="7"/>
      <c r="E2205" s="36">
        <v>177</v>
      </c>
      <c r="F2205" s="36" t="s">
        <v>2387</v>
      </c>
      <c r="G2205" s="36">
        <v>612210</v>
      </c>
      <c r="H2205" s="36" t="s">
        <v>1184</v>
      </c>
      <c r="I2205" s="37">
        <v>1.5783400000000001</v>
      </c>
      <c r="J2205" s="7"/>
      <c r="K2205" s="7" t="str">
        <f>VLOOKUP($E2205,Mapping!$E$11:$I$96,3,0)</f>
        <v>Augmentation</v>
      </c>
      <c r="L2205" s="7" t="str">
        <f>VLOOKUP($G2205,Mapping!$E$140:$K$2771,5,0)</f>
        <v>Labour</v>
      </c>
      <c r="M2205" s="7" t="str">
        <f>VLOOKUP($G2205,Mapping!$E$140:$K$2771,7,0)</f>
        <v>ENDirect</v>
      </c>
      <c r="N2205" s="7" t="str">
        <f>IFERROR(HLOOKUP(L2205,'Calc|Weightings'!$K$5:$M$5,1,0),"Excl")</f>
        <v>Labour</v>
      </c>
      <c r="O2205" s="7" t="str">
        <f>VLOOKUP(E2205,Mapping!$E$11:$I$96,5,0)</f>
        <v>SCS</v>
      </c>
      <c r="Q2205" s="7"/>
      <c r="R2205" s="7"/>
      <c r="S2205" s="7"/>
      <c r="T2205" s="7"/>
      <c r="U2205" s="7"/>
      <c r="V2205" s="7"/>
      <c r="AC2205" s="7"/>
      <c r="AD2205" s="7"/>
      <c r="AE2205" s="7"/>
      <c r="AF2205" s="7"/>
      <c r="AG2205" s="7"/>
      <c r="AO2205" s="7"/>
      <c r="AP2205" s="7"/>
      <c r="AQ2205" s="7"/>
      <c r="AR2205" s="7"/>
      <c r="AS2205" s="7"/>
    </row>
    <row r="2206" spans="1:45" x14ac:dyDescent="0.2">
      <c r="A2206" s="7"/>
      <c r="B2206" s="7"/>
      <c r="C2206" s="7"/>
      <c r="D2206" s="7"/>
      <c r="E2206" s="36">
        <v>177</v>
      </c>
      <c r="F2206" s="36" t="s">
        <v>2387</v>
      </c>
      <c r="G2206" s="36">
        <v>612460</v>
      </c>
      <c r="H2206" s="36" t="s">
        <v>1243</v>
      </c>
      <c r="I2206" s="37">
        <v>0.26305000000000001</v>
      </c>
      <c r="J2206" s="7"/>
      <c r="K2206" s="7" t="str">
        <f>VLOOKUP($E2206,Mapping!$E$11:$I$96,3,0)</f>
        <v>Augmentation</v>
      </c>
      <c r="L2206" s="7" t="str">
        <f>VLOOKUP($G2206,Mapping!$E$140:$K$2771,5,0)</f>
        <v>Labour</v>
      </c>
      <c r="M2206" s="7" t="str">
        <f>VLOOKUP($G2206,Mapping!$E$140:$K$2771,7,0)</f>
        <v>ENDirect</v>
      </c>
      <c r="N2206" s="7" t="str">
        <f>IFERROR(HLOOKUP(L2206,'Calc|Weightings'!$K$5:$M$5,1,0),"Excl")</f>
        <v>Labour</v>
      </c>
      <c r="O2206" s="7" t="str">
        <f>VLOOKUP(E2206,Mapping!$E$11:$I$96,5,0)</f>
        <v>SCS</v>
      </c>
      <c r="Q2206" s="7"/>
      <c r="R2206" s="7"/>
      <c r="S2206" s="7"/>
      <c r="T2206" s="7"/>
      <c r="U2206" s="7"/>
      <c r="V2206" s="7"/>
      <c r="AC2206" s="7"/>
      <c r="AD2206" s="7"/>
      <c r="AE2206" s="7"/>
      <c r="AF2206" s="7"/>
      <c r="AG2206" s="7"/>
      <c r="AO2206" s="7"/>
      <c r="AP2206" s="7"/>
      <c r="AQ2206" s="7"/>
      <c r="AR2206" s="7"/>
      <c r="AS2206" s="7"/>
    </row>
    <row r="2207" spans="1:45" x14ac:dyDescent="0.2">
      <c r="A2207" s="7"/>
      <c r="B2207" s="7"/>
      <c r="C2207" s="7"/>
      <c r="D2207" s="7"/>
      <c r="E2207" s="36">
        <v>177</v>
      </c>
      <c r="F2207" s="36" t="s">
        <v>2387</v>
      </c>
      <c r="G2207" s="36">
        <v>613260</v>
      </c>
      <c r="H2207" s="36" t="s">
        <v>2090</v>
      </c>
      <c r="I2207" s="37">
        <v>42.088970000000003</v>
      </c>
      <c r="J2207" s="7"/>
      <c r="K2207" s="7" t="str">
        <f>VLOOKUP($E2207,Mapping!$E$11:$I$96,3,0)</f>
        <v>Augmentation</v>
      </c>
      <c r="L2207" s="7" t="str">
        <f>VLOOKUP($G2207,Mapping!$E$140:$K$2771,5,0)</f>
        <v>Labour</v>
      </c>
      <c r="M2207" s="7" t="str">
        <f>VLOOKUP($G2207,Mapping!$E$140:$K$2771,7,0)</f>
        <v>ENDirect</v>
      </c>
      <c r="N2207" s="7" t="str">
        <f>IFERROR(HLOOKUP(L2207,'Calc|Weightings'!$K$5:$M$5,1,0),"Excl")</f>
        <v>Labour</v>
      </c>
      <c r="O2207" s="7" t="str">
        <f>VLOOKUP(E2207,Mapping!$E$11:$I$96,5,0)</f>
        <v>SCS</v>
      </c>
      <c r="Q2207" s="7"/>
      <c r="R2207" s="7"/>
      <c r="S2207" s="7"/>
      <c r="T2207" s="7"/>
      <c r="U2207" s="7"/>
      <c r="V2207" s="7"/>
      <c r="AC2207" s="7"/>
      <c r="AD2207" s="7"/>
      <c r="AE2207" s="7"/>
      <c r="AF2207" s="7"/>
      <c r="AG2207" s="7"/>
      <c r="AO2207" s="7"/>
      <c r="AP2207" s="7"/>
      <c r="AQ2207" s="7"/>
      <c r="AR2207" s="7"/>
      <c r="AS2207" s="7"/>
    </row>
    <row r="2208" spans="1:45" x14ac:dyDescent="0.2">
      <c r="A2208" s="7"/>
      <c r="B2208" s="7"/>
      <c r="C2208" s="7"/>
      <c r="D2208" s="7"/>
      <c r="E2208" s="36">
        <v>177</v>
      </c>
      <c r="F2208" s="36" t="s">
        <v>2387</v>
      </c>
      <c r="G2208" s="36">
        <v>613261</v>
      </c>
      <c r="H2208" s="36" t="s">
        <v>2091</v>
      </c>
      <c r="I2208" s="37">
        <v>4.1286500000000004</v>
      </c>
      <c r="J2208" s="7"/>
      <c r="K2208" s="7" t="str">
        <f>VLOOKUP($E2208,Mapping!$E$11:$I$96,3,0)</f>
        <v>Augmentation</v>
      </c>
      <c r="L2208" s="7" t="str">
        <f>VLOOKUP($G2208,Mapping!$E$140:$K$2771,5,0)</f>
        <v>Labour</v>
      </c>
      <c r="M2208" s="7" t="str">
        <f>VLOOKUP($G2208,Mapping!$E$140:$K$2771,7,0)</f>
        <v>ENDirect</v>
      </c>
      <c r="N2208" s="7" t="str">
        <f>IFERROR(HLOOKUP(L2208,'Calc|Weightings'!$K$5:$M$5,1,0),"Excl")</f>
        <v>Labour</v>
      </c>
      <c r="O2208" s="7" t="str">
        <f>VLOOKUP(E2208,Mapping!$E$11:$I$96,5,0)</f>
        <v>SCS</v>
      </c>
      <c r="Q2208" s="7"/>
      <c r="R2208" s="7"/>
      <c r="S2208" s="7"/>
      <c r="T2208" s="7"/>
      <c r="U2208" s="7"/>
      <c r="V2208" s="7"/>
      <c r="AC2208" s="7"/>
      <c r="AD2208" s="7"/>
      <c r="AE2208" s="7"/>
      <c r="AF2208" s="7"/>
      <c r="AG2208" s="7"/>
      <c r="AO2208" s="7"/>
      <c r="AP2208" s="7"/>
      <c r="AQ2208" s="7"/>
      <c r="AR2208" s="7"/>
      <c r="AS2208" s="7"/>
    </row>
    <row r="2209" spans="1:45" x14ac:dyDescent="0.2">
      <c r="A2209" s="7"/>
      <c r="B2209" s="7"/>
      <c r="C2209" s="7"/>
      <c r="D2209" s="7"/>
      <c r="E2209" s="36">
        <v>177</v>
      </c>
      <c r="F2209" s="36" t="s">
        <v>2387</v>
      </c>
      <c r="G2209" s="36">
        <v>613270</v>
      </c>
      <c r="H2209" s="36" t="s">
        <v>2092</v>
      </c>
      <c r="I2209" s="37">
        <v>34.800269999999998</v>
      </c>
      <c r="J2209" s="7"/>
      <c r="K2209" s="7" t="str">
        <f>VLOOKUP($E2209,Mapping!$E$11:$I$96,3,0)</f>
        <v>Augmentation</v>
      </c>
      <c r="L2209" s="7" t="str">
        <f>VLOOKUP($G2209,Mapping!$E$140:$K$2771,5,0)</f>
        <v>Labour</v>
      </c>
      <c r="M2209" s="7" t="str">
        <f>VLOOKUP($G2209,Mapping!$E$140:$K$2771,7,0)</f>
        <v>ENDirect</v>
      </c>
      <c r="N2209" s="7" t="str">
        <f>IFERROR(HLOOKUP(L2209,'Calc|Weightings'!$K$5:$M$5,1,0),"Excl")</f>
        <v>Labour</v>
      </c>
      <c r="O2209" s="7" t="str">
        <f>VLOOKUP(E2209,Mapping!$E$11:$I$96,5,0)</f>
        <v>SCS</v>
      </c>
      <c r="Q2209" s="7"/>
      <c r="R2209" s="7"/>
      <c r="S2209" s="7"/>
      <c r="T2209" s="7"/>
      <c r="U2209" s="7"/>
      <c r="V2209" s="7"/>
      <c r="AC2209" s="7"/>
      <c r="AD2209" s="7"/>
      <c r="AE2209" s="7"/>
      <c r="AF2209" s="7"/>
      <c r="AG2209" s="7"/>
      <c r="AO2209" s="7"/>
      <c r="AP2209" s="7"/>
      <c r="AQ2209" s="7"/>
      <c r="AR2209" s="7"/>
      <c r="AS2209" s="7"/>
    </row>
    <row r="2210" spans="1:45" x14ac:dyDescent="0.2">
      <c r="A2210" s="7"/>
      <c r="B2210" s="7"/>
      <c r="C2210" s="7"/>
      <c r="D2210" s="7"/>
      <c r="E2210" s="36">
        <v>177</v>
      </c>
      <c r="F2210" s="36" t="s">
        <v>2387</v>
      </c>
      <c r="G2210" s="36">
        <v>613271</v>
      </c>
      <c r="H2210" s="36" t="s">
        <v>2150</v>
      </c>
      <c r="I2210" s="37">
        <v>2.3077399999999999</v>
      </c>
      <c r="J2210" s="7"/>
      <c r="K2210" s="7" t="str">
        <f>VLOOKUP($E2210,Mapping!$E$11:$I$96,3,0)</f>
        <v>Augmentation</v>
      </c>
      <c r="L2210" s="7" t="str">
        <f>VLOOKUP($G2210,Mapping!$E$140:$K$2771,5,0)</f>
        <v>Labour</v>
      </c>
      <c r="M2210" s="7" t="str">
        <f>VLOOKUP($G2210,Mapping!$E$140:$K$2771,7,0)</f>
        <v>ENDirect</v>
      </c>
      <c r="N2210" s="7" t="str">
        <f>IFERROR(HLOOKUP(L2210,'Calc|Weightings'!$K$5:$M$5,1,0),"Excl")</f>
        <v>Labour</v>
      </c>
      <c r="O2210" s="7" t="str">
        <f>VLOOKUP(E2210,Mapping!$E$11:$I$96,5,0)</f>
        <v>SCS</v>
      </c>
      <c r="Q2210" s="7"/>
      <c r="R2210" s="7"/>
      <c r="S2210" s="7"/>
      <c r="T2210" s="7"/>
      <c r="U2210" s="7"/>
      <c r="V2210" s="7"/>
      <c r="AC2210" s="7"/>
      <c r="AD2210" s="7"/>
      <c r="AE2210" s="7"/>
      <c r="AF2210" s="7"/>
      <c r="AG2210" s="7"/>
      <c r="AO2210" s="7"/>
      <c r="AP2210" s="7"/>
      <c r="AQ2210" s="7"/>
      <c r="AR2210" s="7"/>
      <c r="AS2210" s="7"/>
    </row>
    <row r="2211" spans="1:45" x14ac:dyDescent="0.2">
      <c r="A2211" s="7"/>
      <c r="B2211" s="7"/>
      <c r="C2211" s="7"/>
      <c r="D2211" s="7"/>
      <c r="E2211" s="36">
        <v>177</v>
      </c>
      <c r="F2211" s="36" t="s">
        <v>2387</v>
      </c>
      <c r="G2211" s="36">
        <v>613280</v>
      </c>
      <c r="H2211" s="36" t="s">
        <v>1342</v>
      </c>
      <c r="I2211" s="37">
        <v>15.83328</v>
      </c>
      <c r="J2211" s="7"/>
      <c r="K2211" s="7" t="str">
        <f>VLOOKUP($E2211,Mapping!$E$11:$I$96,3,0)</f>
        <v>Augmentation</v>
      </c>
      <c r="L2211" s="7" t="str">
        <f>VLOOKUP($G2211,Mapping!$E$140:$K$2771,5,0)</f>
        <v>Labour</v>
      </c>
      <c r="M2211" s="7" t="str">
        <f>VLOOKUP($G2211,Mapping!$E$140:$K$2771,7,0)</f>
        <v>ENDirect</v>
      </c>
      <c r="N2211" s="7" t="str">
        <f>IFERROR(HLOOKUP(L2211,'Calc|Weightings'!$K$5:$M$5,1,0),"Excl")</f>
        <v>Labour</v>
      </c>
      <c r="O2211" s="7" t="str">
        <f>VLOOKUP(E2211,Mapping!$E$11:$I$96,5,0)</f>
        <v>SCS</v>
      </c>
      <c r="Q2211" s="7"/>
      <c r="R2211" s="7"/>
      <c r="S2211" s="7"/>
      <c r="T2211" s="7"/>
      <c r="U2211" s="7"/>
      <c r="V2211" s="7"/>
      <c r="AC2211" s="7"/>
      <c r="AD2211" s="7"/>
      <c r="AE2211" s="7"/>
      <c r="AF2211" s="7"/>
      <c r="AG2211" s="7"/>
      <c r="AO2211" s="7"/>
      <c r="AP2211" s="7"/>
      <c r="AQ2211" s="7"/>
      <c r="AR2211" s="7"/>
      <c r="AS2211" s="7"/>
    </row>
    <row r="2212" spans="1:45" x14ac:dyDescent="0.2">
      <c r="A2212" s="7"/>
      <c r="B2212" s="7"/>
      <c r="C2212" s="7"/>
      <c r="D2212" s="7"/>
      <c r="E2212" s="36">
        <v>177</v>
      </c>
      <c r="F2212" s="36" t="s">
        <v>2387</v>
      </c>
      <c r="G2212" s="36">
        <v>613310</v>
      </c>
      <c r="H2212" s="36" t="s">
        <v>2095</v>
      </c>
      <c r="I2212" s="37">
        <v>15.42568</v>
      </c>
      <c r="J2212" s="7"/>
      <c r="K2212" s="7" t="str">
        <f>VLOOKUP($E2212,Mapping!$E$11:$I$96,3,0)</f>
        <v>Augmentation</v>
      </c>
      <c r="L2212" s="7" t="str">
        <f>VLOOKUP($G2212,Mapping!$E$140:$K$2771,5,0)</f>
        <v>Labour</v>
      </c>
      <c r="M2212" s="7" t="str">
        <f>VLOOKUP($G2212,Mapping!$E$140:$K$2771,7,0)</f>
        <v>ENDirect</v>
      </c>
      <c r="N2212" s="7" t="str">
        <f>IFERROR(HLOOKUP(L2212,'Calc|Weightings'!$K$5:$M$5,1,0),"Excl")</f>
        <v>Labour</v>
      </c>
      <c r="O2212" s="7" t="str">
        <f>VLOOKUP(E2212,Mapping!$E$11:$I$96,5,0)</f>
        <v>SCS</v>
      </c>
      <c r="Q2212" s="7"/>
      <c r="R2212" s="7"/>
      <c r="S2212" s="7"/>
      <c r="T2212" s="7"/>
      <c r="U2212" s="7"/>
      <c r="V2212" s="7"/>
      <c r="AC2212" s="7"/>
      <c r="AD2212" s="7"/>
      <c r="AE2212" s="7"/>
      <c r="AF2212" s="7"/>
      <c r="AG2212" s="7"/>
      <c r="AO2212" s="7"/>
      <c r="AP2212" s="7"/>
      <c r="AQ2212" s="7"/>
      <c r="AR2212" s="7"/>
      <c r="AS2212" s="7"/>
    </row>
    <row r="2213" spans="1:45" x14ac:dyDescent="0.2">
      <c r="A2213" s="7"/>
      <c r="B2213" s="7"/>
      <c r="C2213" s="7"/>
      <c r="D2213" s="7"/>
      <c r="E2213" s="36">
        <v>177</v>
      </c>
      <c r="F2213" s="36" t="s">
        <v>2387</v>
      </c>
      <c r="G2213" s="36">
        <v>613311</v>
      </c>
      <c r="H2213" s="36" t="s">
        <v>2116</v>
      </c>
      <c r="I2213" s="37">
        <v>0.50575999999999999</v>
      </c>
      <c r="J2213" s="7"/>
      <c r="K2213" s="7" t="str">
        <f>VLOOKUP($E2213,Mapping!$E$11:$I$96,3,0)</f>
        <v>Augmentation</v>
      </c>
      <c r="L2213" s="7" t="str">
        <f>VLOOKUP($G2213,Mapping!$E$140:$K$2771,5,0)</f>
        <v>Labour</v>
      </c>
      <c r="M2213" s="7" t="str">
        <f>VLOOKUP($G2213,Mapping!$E$140:$K$2771,7,0)</f>
        <v>ENDirect</v>
      </c>
      <c r="N2213" s="7" t="str">
        <f>IFERROR(HLOOKUP(L2213,'Calc|Weightings'!$K$5:$M$5,1,0),"Excl")</f>
        <v>Labour</v>
      </c>
      <c r="O2213" s="7" t="str">
        <f>VLOOKUP(E2213,Mapping!$E$11:$I$96,5,0)</f>
        <v>SCS</v>
      </c>
      <c r="Q2213" s="7"/>
      <c r="R2213" s="7"/>
      <c r="S2213" s="7"/>
      <c r="T2213" s="7"/>
      <c r="U2213" s="7"/>
      <c r="V2213" s="7"/>
      <c r="AC2213" s="7"/>
      <c r="AD2213" s="7"/>
      <c r="AE2213" s="7"/>
      <c r="AF2213" s="7"/>
      <c r="AG2213" s="7"/>
      <c r="AO2213" s="7"/>
      <c r="AP2213" s="7"/>
      <c r="AQ2213" s="7"/>
      <c r="AR2213" s="7"/>
      <c r="AS2213" s="7"/>
    </row>
    <row r="2214" spans="1:45" x14ac:dyDescent="0.2">
      <c r="A2214" s="7"/>
      <c r="B2214" s="7"/>
      <c r="C2214" s="7"/>
      <c r="D2214" s="7"/>
      <c r="E2214" s="36">
        <v>177</v>
      </c>
      <c r="F2214" s="36" t="s">
        <v>2387</v>
      </c>
      <c r="G2214" s="36">
        <v>613318</v>
      </c>
      <c r="H2214" s="36" t="s">
        <v>1360</v>
      </c>
      <c r="I2214" s="37">
        <v>13.71874</v>
      </c>
      <c r="J2214" s="7"/>
      <c r="K2214" s="7" t="str">
        <f>VLOOKUP($E2214,Mapping!$E$11:$I$96,3,0)</f>
        <v>Augmentation</v>
      </c>
      <c r="L2214" s="7" t="str">
        <f>VLOOKUP($G2214,Mapping!$E$140:$K$2771,5,0)</f>
        <v>Labour</v>
      </c>
      <c r="M2214" s="7" t="str">
        <f>VLOOKUP($G2214,Mapping!$E$140:$K$2771,7,0)</f>
        <v>ENDirect</v>
      </c>
      <c r="N2214" s="7" t="str">
        <f>IFERROR(HLOOKUP(L2214,'Calc|Weightings'!$K$5:$M$5,1,0),"Excl")</f>
        <v>Labour</v>
      </c>
      <c r="O2214" s="7" t="str">
        <f>VLOOKUP(E2214,Mapping!$E$11:$I$96,5,0)</f>
        <v>SCS</v>
      </c>
      <c r="Q2214" s="7"/>
      <c r="R2214" s="7"/>
      <c r="S2214" s="7"/>
      <c r="T2214" s="7"/>
      <c r="U2214" s="7"/>
      <c r="V2214" s="7"/>
      <c r="AC2214" s="7"/>
      <c r="AD2214" s="7"/>
      <c r="AE2214" s="7"/>
      <c r="AF2214" s="7"/>
      <c r="AG2214" s="7"/>
      <c r="AO2214" s="7"/>
      <c r="AP2214" s="7"/>
      <c r="AQ2214" s="7"/>
      <c r="AR2214" s="7"/>
      <c r="AS2214" s="7"/>
    </row>
    <row r="2215" spans="1:45" x14ac:dyDescent="0.2">
      <c r="A2215" s="7"/>
      <c r="B2215" s="7"/>
      <c r="C2215" s="7"/>
      <c r="D2215" s="7"/>
      <c r="E2215" s="36">
        <v>177</v>
      </c>
      <c r="F2215" s="36" t="s">
        <v>2387</v>
      </c>
      <c r="G2215" s="36">
        <v>613319</v>
      </c>
      <c r="H2215" s="36" t="s">
        <v>2358</v>
      </c>
      <c r="I2215" s="37">
        <v>0.50575999999999999</v>
      </c>
      <c r="J2215" s="7"/>
      <c r="K2215" s="7" t="str">
        <f>VLOOKUP($E2215,Mapping!$E$11:$I$96,3,0)</f>
        <v>Augmentation</v>
      </c>
      <c r="L2215" s="7" t="str">
        <f>VLOOKUP($G2215,Mapping!$E$140:$K$2771,5,0)</f>
        <v>Labour</v>
      </c>
      <c r="M2215" s="7" t="str">
        <f>VLOOKUP($G2215,Mapping!$E$140:$K$2771,7,0)</f>
        <v>ENDirect</v>
      </c>
      <c r="N2215" s="7" t="str">
        <f>IFERROR(HLOOKUP(L2215,'Calc|Weightings'!$K$5:$M$5,1,0),"Excl")</f>
        <v>Labour</v>
      </c>
      <c r="O2215" s="7" t="str">
        <f>VLOOKUP(E2215,Mapping!$E$11:$I$96,5,0)</f>
        <v>SCS</v>
      </c>
      <c r="Q2215" s="7"/>
      <c r="R2215" s="7"/>
      <c r="S2215" s="7"/>
      <c r="T2215" s="7"/>
      <c r="U2215" s="7"/>
      <c r="V2215" s="7"/>
      <c r="AC2215" s="7"/>
      <c r="AD2215" s="7"/>
      <c r="AE2215" s="7"/>
      <c r="AF2215" s="7"/>
      <c r="AG2215" s="7"/>
      <c r="AO2215" s="7"/>
      <c r="AP2215" s="7"/>
      <c r="AQ2215" s="7"/>
      <c r="AR2215" s="7"/>
      <c r="AS2215" s="7"/>
    </row>
    <row r="2216" spans="1:45" x14ac:dyDescent="0.2">
      <c r="A2216" s="7"/>
      <c r="B2216" s="7"/>
      <c r="C2216" s="7"/>
      <c r="D2216" s="7"/>
      <c r="E2216" s="36">
        <v>177</v>
      </c>
      <c r="F2216" s="36" t="s">
        <v>2387</v>
      </c>
      <c r="G2216" s="36">
        <v>613350</v>
      </c>
      <c r="H2216" s="36" t="s">
        <v>2096</v>
      </c>
      <c r="I2216" s="37">
        <v>0.63055000000000005</v>
      </c>
      <c r="J2216" s="7"/>
      <c r="K2216" s="7" t="str">
        <f>VLOOKUP($E2216,Mapping!$E$11:$I$96,3,0)</f>
        <v>Augmentation</v>
      </c>
      <c r="L2216" s="7" t="str">
        <f>VLOOKUP($G2216,Mapping!$E$140:$K$2771,5,0)</f>
        <v>Labour</v>
      </c>
      <c r="M2216" s="7" t="str">
        <f>VLOOKUP($G2216,Mapping!$E$140:$K$2771,7,0)</f>
        <v>ENDirect</v>
      </c>
      <c r="N2216" s="7" t="str">
        <f>IFERROR(HLOOKUP(L2216,'Calc|Weightings'!$K$5:$M$5,1,0),"Excl")</f>
        <v>Labour</v>
      </c>
      <c r="O2216" s="7" t="str">
        <f>VLOOKUP(E2216,Mapping!$E$11:$I$96,5,0)</f>
        <v>SCS</v>
      </c>
      <c r="Q2216" s="7"/>
      <c r="R2216" s="7"/>
      <c r="S2216" s="7"/>
      <c r="T2216" s="7"/>
      <c r="U2216" s="7"/>
      <c r="V2216" s="7"/>
      <c r="AC2216" s="7"/>
      <c r="AD2216" s="7"/>
      <c r="AE2216" s="7"/>
      <c r="AF2216" s="7"/>
      <c r="AG2216" s="7"/>
      <c r="AO2216" s="7"/>
      <c r="AP2216" s="7"/>
      <c r="AQ2216" s="7"/>
      <c r="AR2216" s="7"/>
      <c r="AS2216" s="7"/>
    </row>
    <row r="2217" spans="1:45" x14ac:dyDescent="0.2">
      <c r="A2217" s="7"/>
      <c r="B2217" s="7"/>
      <c r="C2217" s="7"/>
      <c r="D2217" s="7"/>
      <c r="E2217" s="36">
        <v>177</v>
      </c>
      <c r="F2217" s="36" t="s">
        <v>2387</v>
      </c>
      <c r="G2217" s="36">
        <v>613360</v>
      </c>
      <c r="H2217" s="36" t="s">
        <v>2097</v>
      </c>
      <c r="I2217" s="37">
        <v>0.96126999999999996</v>
      </c>
      <c r="J2217" s="7"/>
      <c r="K2217" s="7" t="str">
        <f>VLOOKUP($E2217,Mapping!$E$11:$I$96,3,0)</f>
        <v>Augmentation</v>
      </c>
      <c r="L2217" s="7" t="str">
        <f>VLOOKUP($G2217,Mapping!$E$140:$K$2771,5,0)</f>
        <v>Labour</v>
      </c>
      <c r="M2217" s="7" t="str">
        <f>VLOOKUP($G2217,Mapping!$E$140:$K$2771,7,0)</f>
        <v>ENDirect</v>
      </c>
      <c r="N2217" s="7" t="str">
        <f>IFERROR(HLOOKUP(L2217,'Calc|Weightings'!$K$5:$M$5,1,0),"Excl")</f>
        <v>Labour</v>
      </c>
      <c r="O2217" s="7" t="str">
        <f>VLOOKUP(E2217,Mapping!$E$11:$I$96,5,0)</f>
        <v>SCS</v>
      </c>
      <c r="Q2217" s="7"/>
      <c r="R2217" s="7"/>
      <c r="S2217" s="7"/>
      <c r="T2217" s="7"/>
      <c r="U2217" s="7"/>
      <c r="V2217" s="7"/>
      <c r="AC2217" s="7"/>
      <c r="AD2217" s="7"/>
      <c r="AE2217" s="7"/>
      <c r="AF2217" s="7"/>
      <c r="AG2217" s="7"/>
      <c r="AO2217" s="7"/>
      <c r="AP2217" s="7"/>
      <c r="AQ2217" s="7"/>
      <c r="AR2217" s="7"/>
      <c r="AS2217" s="7"/>
    </row>
    <row r="2218" spans="1:45" x14ac:dyDescent="0.2">
      <c r="A2218" s="7"/>
      <c r="B2218" s="7"/>
      <c r="C2218" s="7"/>
      <c r="D2218" s="7"/>
      <c r="E2218" s="36">
        <v>177</v>
      </c>
      <c r="F2218" s="36" t="s">
        <v>2387</v>
      </c>
      <c r="G2218" s="36">
        <v>613428</v>
      </c>
      <c r="H2218" s="36" t="s">
        <v>1430</v>
      </c>
      <c r="I2218" s="37">
        <v>2.4023599999999998</v>
      </c>
      <c r="J2218" s="7"/>
      <c r="K2218" s="7" t="str">
        <f>VLOOKUP($E2218,Mapping!$E$11:$I$96,3,0)</f>
        <v>Augmentation</v>
      </c>
      <c r="L2218" s="7" t="str">
        <f>VLOOKUP($G2218,Mapping!$E$140:$K$2771,5,0)</f>
        <v>Labour</v>
      </c>
      <c r="M2218" s="7" t="str">
        <f>VLOOKUP($G2218,Mapping!$E$140:$K$2771,7,0)</f>
        <v>ENDirect</v>
      </c>
      <c r="N2218" s="7" t="str">
        <f>IFERROR(HLOOKUP(L2218,'Calc|Weightings'!$K$5:$M$5,1,0),"Excl")</f>
        <v>Labour</v>
      </c>
      <c r="O2218" s="7" t="str">
        <f>VLOOKUP(E2218,Mapping!$E$11:$I$96,5,0)</f>
        <v>SCS</v>
      </c>
      <c r="Q2218" s="7"/>
      <c r="R2218" s="7"/>
      <c r="S2218" s="7"/>
      <c r="T2218" s="7"/>
      <c r="U2218" s="7"/>
      <c r="V2218" s="7"/>
      <c r="AC2218" s="7"/>
      <c r="AD2218" s="7"/>
      <c r="AE2218" s="7"/>
      <c r="AF2218" s="7"/>
      <c r="AG2218" s="7"/>
      <c r="AO2218" s="7"/>
      <c r="AP2218" s="7"/>
      <c r="AQ2218" s="7"/>
      <c r="AR2218" s="7"/>
      <c r="AS2218" s="7"/>
    </row>
    <row r="2219" spans="1:45" x14ac:dyDescent="0.2">
      <c r="A2219" s="7"/>
      <c r="B2219" s="7"/>
      <c r="C2219" s="7"/>
      <c r="D2219" s="7"/>
      <c r="E2219" s="36">
        <v>177</v>
      </c>
      <c r="F2219" s="36" t="s">
        <v>2387</v>
      </c>
      <c r="G2219" s="36">
        <v>613680</v>
      </c>
      <c r="H2219" s="36" t="s">
        <v>2107</v>
      </c>
      <c r="I2219" s="37">
        <v>11.565720000000001</v>
      </c>
      <c r="J2219" s="7"/>
      <c r="K2219" s="7" t="str">
        <f>VLOOKUP($E2219,Mapping!$E$11:$I$96,3,0)</f>
        <v>Augmentation</v>
      </c>
      <c r="L2219" s="7" t="str">
        <f>VLOOKUP($G2219,Mapping!$E$140:$K$2771,5,0)</f>
        <v>Labour</v>
      </c>
      <c r="M2219" s="7" t="str">
        <f>VLOOKUP($G2219,Mapping!$E$140:$K$2771,7,0)</f>
        <v>ENDirect</v>
      </c>
      <c r="N2219" s="7" t="str">
        <f>IFERROR(HLOOKUP(L2219,'Calc|Weightings'!$K$5:$M$5,1,0),"Excl")</f>
        <v>Labour</v>
      </c>
      <c r="O2219" s="7" t="str">
        <f>VLOOKUP(E2219,Mapping!$E$11:$I$96,5,0)</f>
        <v>SCS</v>
      </c>
      <c r="Q2219" s="7"/>
      <c r="R2219" s="7"/>
      <c r="S2219" s="7"/>
      <c r="T2219" s="7"/>
      <c r="U2219" s="7"/>
      <c r="V2219" s="7"/>
      <c r="AC2219" s="7"/>
      <c r="AD2219" s="7"/>
      <c r="AE2219" s="7"/>
      <c r="AF2219" s="7"/>
      <c r="AG2219" s="7"/>
      <c r="AO2219" s="7"/>
      <c r="AP2219" s="7"/>
      <c r="AQ2219" s="7"/>
      <c r="AR2219" s="7"/>
      <c r="AS2219" s="7"/>
    </row>
    <row r="2220" spans="1:45" x14ac:dyDescent="0.2">
      <c r="A2220" s="7"/>
      <c r="B2220" s="7"/>
      <c r="C2220" s="7"/>
      <c r="D2220" s="7"/>
      <c r="E2220" s="36">
        <v>177</v>
      </c>
      <c r="F2220" s="36" t="s">
        <v>2387</v>
      </c>
      <c r="G2220" s="36">
        <v>615375</v>
      </c>
      <c r="H2220" s="36" t="s">
        <v>1717</v>
      </c>
      <c r="I2220" s="37">
        <v>1.5318000000000001</v>
      </c>
      <c r="J2220" s="7"/>
      <c r="K2220" s="7" t="str">
        <f>VLOOKUP($E2220,Mapping!$E$11:$I$96,3,0)</f>
        <v>Augmentation</v>
      </c>
      <c r="L2220" s="7" t="str">
        <f>VLOOKUP($G2220,Mapping!$E$140:$K$2771,5,0)</f>
        <v>Labour</v>
      </c>
      <c r="M2220" s="7" t="str">
        <f>VLOOKUP($G2220,Mapping!$E$140:$K$2771,7,0)</f>
        <v>ENDirect</v>
      </c>
      <c r="N2220" s="7" t="str">
        <f>IFERROR(HLOOKUP(L2220,'Calc|Weightings'!$K$5:$M$5,1,0),"Excl")</f>
        <v>Labour</v>
      </c>
      <c r="O2220" s="7" t="str">
        <f>VLOOKUP(E2220,Mapping!$E$11:$I$96,5,0)</f>
        <v>SCS</v>
      </c>
      <c r="Q2220" s="7"/>
      <c r="R2220" s="7"/>
      <c r="S2220" s="7"/>
      <c r="T2220" s="7"/>
      <c r="U2220" s="7"/>
      <c r="V2220" s="7"/>
      <c r="AC2220" s="7"/>
      <c r="AD2220" s="7"/>
      <c r="AE2220" s="7"/>
      <c r="AF2220" s="7"/>
      <c r="AG2220" s="7"/>
      <c r="AO2220" s="7"/>
      <c r="AP2220" s="7"/>
      <c r="AQ2220" s="7"/>
      <c r="AR2220" s="7"/>
      <c r="AS2220" s="7"/>
    </row>
    <row r="2221" spans="1:45" x14ac:dyDescent="0.2">
      <c r="A2221" s="7"/>
      <c r="B2221" s="7"/>
      <c r="C2221" s="7"/>
      <c r="D2221" s="7"/>
      <c r="E2221" s="36">
        <v>177</v>
      </c>
      <c r="F2221" s="36" t="s">
        <v>2387</v>
      </c>
      <c r="G2221" s="36">
        <v>633000</v>
      </c>
      <c r="H2221" s="36" t="s">
        <v>2202</v>
      </c>
      <c r="I2221" s="37">
        <v>224.58574999999999</v>
      </c>
      <c r="J2221" s="7"/>
      <c r="K2221" s="7" t="str">
        <f>VLOOKUP($E2221,Mapping!$E$11:$I$96,3,0)</f>
        <v>Augmentation</v>
      </c>
      <c r="L2221" s="7" t="str">
        <f>VLOOKUP($G2221,Mapping!$E$140:$K$2771,5,0)</f>
        <v>Contracts</v>
      </c>
      <c r="M2221" s="7" t="str">
        <f>VLOOKUP($G2221,Mapping!$E$140:$K$2771,7,0)</f>
        <v>OH</v>
      </c>
      <c r="N2221" s="7" t="str">
        <f>IFERROR(HLOOKUP(L2221,'Calc|Weightings'!$K$5:$M$5,1,0),"Excl")</f>
        <v>Contracts</v>
      </c>
      <c r="O2221" s="7" t="str">
        <f>VLOOKUP(E2221,Mapping!$E$11:$I$96,5,0)</f>
        <v>SCS</v>
      </c>
      <c r="Q2221" s="7"/>
      <c r="R2221" s="7"/>
      <c r="S2221" s="7"/>
      <c r="T2221" s="7"/>
      <c r="U2221" s="7"/>
      <c r="V2221" s="7"/>
      <c r="AC2221" s="7"/>
      <c r="AD2221" s="7"/>
      <c r="AE2221" s="7"/>
      <c r="AF2221" s="7"/>
      <c r="AG2221" s="7"/>
      <c r="AO2221" s="7"/>
      <c r="AP2221" s="7"/>
      <c r="AQ2221" s="7"/>
      <c r="AR2221" s="7"/>
      <c r="AS2221" s="7"/>
    </row>
    <row r="2222" spans="1:45" x14ac:dyDescent="0.2">
      <c r="A2222" s="7"/>
      <c r="B2222" s="7"/>
      <c r="C2222" s="7"/>
      <c r="D2222" s="7"/>
      <c r="E2222" s="36">
        <v>177</v>
      </c>
      <c r="F2222" s="36" t="s">
        <v>2387</v>
      </c>
      <c r="G2222" s="36">
        <v>634001</v>
      </c>
      <c r="H2222" s="36" t="s">
        <v>2110</v>
      </c>
      <c r="I2222" s="37">
        <v>91.170010000000005</v>
      </c>
      <c r="J2222" s="7"/>
      <c r="K2222" s="7" t="str">
        <f>VLOOKUP($E2222,Mapping!$E$11:$I$96,3,0)</f>
        <v>Augmentation</v>
      </c>
      <c r="L2222" s="7" t="str">
        <f>VLOOKUP($G2222,Mapping!$E$140:$K$2771,5,0)</f>
        <v>Local OH</v>
      </c>
      <c r="M2222" s="7" t="str">
        <f>VLOOKUP($G2222,Mapping!$E$140:$K$2771,7,0)</f>
        <v>OH</v>
      </c>
      <c r="N2222" s="7" t="str">
        <f>IFERROR(HLOOKUP(L2222,'Calc|Weightings'!$K$5:$M$5,1,0),"Excl")</f>
        <v>Excl</v>
      </c>
      <c r="O2222" s="7" t="str">
        <f>VLOOKUP(E2222,Mapping!$E$11:$I$96,5,0)</f>
        <v>SCS</v>
      </c>
      <c r="Q2222" s="7"/>
      <c r="R2222" s="7"/>
      <c r="S2222" s="7"/>
      <c r="T2222" s="7"/>
      <c r="U2222" s="7"/>
      <c r="V2222" s="7"/>
      <c r="AC2222" s="7"/>
      <c r="AD2222" s="7"/>
      <c r="AE2222" s="7"/>
      <c r="AF2222" s="7"/>
      <c r="AG2222" s="7"/>
      <c r="AO2222" s="7"/>
      <c r="AP2222" s="7"/>
      <c r="AQ2222" s="7"/>
      <c r="AR2222" s="7"/>
      <c r="AS2222" s="7"/>
    </row>
    <row r="2223" spans="1:45" x14ac:dyDescent="0.2">
      <c r="A2223" s="7"/>
      <c r="B2223" s="7"/>
      <c r="C2223" s="7"/>
      <c r="D2223" s="7"/>
      <c r="E2223" s="36">
        <v>177</v>
      </c>
      <c r="F2223" s="36" t="s">
        <v>2387</v>
      </c>
      <c r="G2223" s="36">
        <v>635000</v>
      </c>
      <c r="H2223" s="36" t="s">
        <v>2128</v>
      </c>
      <c r="I2223" s="37">
        <v>0.13136</v>
      </c>
      <c r="J2223" s="7"/>
      <c r="K2223" s="7" t="str">
        <f>VLOOKUP($E2223,Mapping!$E$11:$I$96,3,0)</f>
        <v>Augmentation</v>
      </c>
      <c r="L2223" s="7" t="str">
        <f>VLOOKUP($G2223,Mapping!$E$140:$K$2771,5,0)</f>
        <v>PNS MG</v>
      </c>
      <c r="M2223" s="7" t="str">
        <f>VLOOKUP($G2223,Mapping!$E$140:$K$2771,7,0)</f>
        <v>ENDirect</v>
      </c>
      <c r="N2223" s="7" t="str">
        <f>IFERROR(HLOOKUP(L2223,'Calc|Weightings'!$K$5:$M$5,1,0),"Excl")</f>
        <v>Excl</v>
      </c>
      <c r="O2223" s="7" t="str">
        <f>VLOOKUP(E2223,Mapping!$E$11:$I$96,5,0)</f>
        <v>SCS</v>
      </c>
      <c r="Q2223" s="7"/>
      <c r="R2223" s="7"/>
      <c r="S2223" s="7"/>
      <c r="T2223" s="7"/>
      <c r="U2223" s="7"/>
      <c r="V2223" s="7"/>
      <c r="AC2223" s="7"/>
      <c r="AD2223" s="7"/>
      <c r="AE2223" s="7"/>
      <c r="AF2223" s="7"/>
      <c r="AG2223" s="7"/>
      <c r="AO2223" s="7"/>
      <c r="AP2223" s="7"/>
      <c r="AQ2223" s="7"/>
      <c r="AR2223" s="7"/>
      <c r="AS2223" s="7"/>
    </row>
    <row r="2224" spans="1:45" x14ac:dyDescent="0.2">
      <c r="A2224" s="7"/>
      <c r="B2224" s="7"/>
      <c r="C2224" s="7"/>
      <c r="D2224" s="7"/>
      <c r="E2224" s="36">
        <v>177</v>
      </c>
      <c r="F2224" s="36" t="s">
        <v>2387</v>
      </c>
      <c r="G2224" s="36">
        <v>635001</v>
      </c>
      <c r="H2224" s="36" t="s">
        <v>1929</v>
      </c>
      <c r="I2224" s="37">
        <v>27.560490000000001</v>
      </c>
      <c r="J2224" s="7"/>
      <c r="K2224" s="7" t="str">
        <f>VLOOKUP($E2224,Mapping!$E$11:$I$96,3,0)</f>
        <v>Augmentation</v>
      </c>
      <c r="L2224" s="7" t="str">
        <f>VLOOKUP($G2224,Mapping!$E$140:$K$2771,5,0)</f>
        <v>PNS MG</v>
      </c>
      <c r="M2224" s="7" t="str">
        <f>VLOOKUP($G2224,Mapping!$E$140:$K$2771,7,0)</f>
        <v>ENDirect</v>
      </c>
      <c r="N2224" s="7" t="str">
        <f>IFERROR(HLOOKUP(L2224,'Calc|Weightings'!$K$5:$M$5,1,0),"Excl")</f>
        <v>Excl</v>
      </c>
      <c r="O2224" s="7" t="str">
        <f>VLOOKUP(E2224,Mapping!$E$11:$I$96,5,0)</f>
        <v>SCS</v>
      </c>
      <c r="Q2224" s="7"/>
      <c r="R2224" s="7"/>
      <c r="S2224" s="7"/>
      <c r="T2224" s="7"/>
      <c r="U2224" s="7"/>
      <c r="V2224" s="7"/>
      <c r="AC2224" s="7"/>
      <c r="AD2224" s="7"/>
      <c r="AE2224" s="7"/>
      <c r="AF2224" s="7"/>
      <c r="AG2224" s="7"/>
      <c r="AO2224" s="7"/>
      <c r="AP2224" s="7"/>
      <c r="AQ2224" s="7"/>
      <c r="AR2224" s="7"/>
      <c r="AS2224" s="7"/>
    </row>
    <row r="2225" spans="1:45" x14ac:dyDescent="0.2">
      <c r="A2225" s="7"/>
      <c r="B2225" s="7"/>
      <c r="C2225" s="7"/>
      <c r="D2225" s="7"/>
      <c r="E2225" s="36">
        <v>177</v>
      </c>
      <c r="F2225" s="36" t="s">
        <v>2387</v>
      </c>
      <c r="G2225" s="36">
        <v>636001</v>
      </c>
      <c r="H2225" s="36" t="s">
        <v>2111</v>
      </c>
      <c r="I2225" s="37">
        <v>28.204889999999999</v>
      </c>
      <c r="J2225" s="7"/>
      <c r="K2225" s="7" t="str">
        <f>VLOOKUP($E2225,Mapping!$E$11:$I$96,3,0)</f>
        <v>Augmentation</v>
      </c>
      <c r="L2225" s="7" t="str">
        <f>VLOOKUP($G2225,Mapping!$E$140:$K$2771,5,0)</f>
        <v>System Control OH</v>
      </c>
      <c r="M2225" s="7" t="str">
        <f>VLOOKUP($G2225,Mapping!$E$140:$K$2771,7,0)</f>
        <v>OH</v>
      </c>
      <c r="N2225" s="7" t="str">
        <f>IFERROR(HLOOKUP(L2225,'Calc|Weightings'!$K$5:$M$5,1,0),"Excl")</f>
        <v>Excl</v>
      </c>
      <c r="O2225" s="7" t="str">
        <f>VLOOKUP(E2225,Mapping!$E$11:$I$96,5,0)</f>
        <v>SCS</v>
      </c>
      <c r="Q2225" s="7"/>
      <c r="R2225" s="7"/>
      <c r="S2225" s="7"/>
      <c r="T2225" s="7"/>
      <c r="U2225" s="7"/>
      <c r="V2225" s="7"/>
      <c r="AC2225" s="7"/>
      <c r="AD2225" s="7"/>
      <c r="AE2225" s="7"/>
      <c r="AF2225" s="7"/>
      <c r="AG2225" s="7"/>
      <c r="AO2225" s="7"/>
      <c r="AP2225" s="7"/>
      <c r="AQ2225" s="7"/>
      <c r="AR2225" s="7"/>
      <c r="AS2225" s="7"/>
    </row>
    <row r="2226" spans="1:45" x14ac:dyDescent="0.2">
      <c r="A2226" s="7"/>
      <c r="B2226" s="7"/>
      <c r="C2226" s="7"/>
      <c r="D2226" s="7"/>
      <c r="E2226" s="36">
        <v>177</v>
      </c>
      <c r="F2226" s="36" t="s">
        <v>2387</v>
      </c>
      <c r="G2226" s="36">
        <v>639000</v>
      </c>
      <c r="H2226" s="36" t="s">
        <v>2112</v>
      </c>
      <c r="I2226" s="37">
        <v>62.24474</v>
      </c>
      <c r="J2226" s="7"/>
      <c r="K2226" s="7" t="str">
        <f>VLOOKUP($E2226,Mapping!$E$11:$I$96,3,0)</f>
        <v>Augmentation</v>
      </c>
      <c r="L2226" s="7" t="str">
        <f>VLOOKUP($G2226,Mapping!$E$140:$K$2771,5,0)</f>
        <v>PNS Corporate OH</v>
      </c>
      <c r="M2226" s="7" t="str">
        <f>VLOOKUP($G2226,Mapping!$E$140:$K$2771,7,0)</f>
        <v>OH</v>
      </c>
      <c r="N2226" s="7" t="str">
        <f>IFERROR(HLOOKUP(L2226,'Calc|Weightings'!$K$5:$M$5,1,0),"Excl")</f>
        <v>Excl</v>
      </c>
      <c r="O2226" s="7" t="str">
        <f>VLOOKUP(E2226,Mapping!$E$11:$I$96,5,0)</f>
        <v>SCS</v>
      </c>
      <c r="Q2226" s="7"/>
      <c r="R2226" s="7"/>
      <c r="S2226" s="7"/>
      <c r="T2226" s="7"/>
      <c r="U2226" s="7"/>
      <c r="V2226" s="7"/>
      <c r="AC2226" s="7"/>
      <c r="AD2226" s="7"/>
      <c r="AE2226" s="7"/>
      <c r="AF2226" s="7"/>
      <c r="AG2226" s="7"/>
      <c r="AO2226" s="7"/>
      <c r="AP2226" s="7"/>
      <c r="AQ2226" s="7"/>
      <c r="AR2226" s="7"/>
      <c r="AS2226" s="7"/>
    </row>
    <row r="2227" spans="1:45" x14ac:dyDescent="0.2">
      <c r="A2227" s="7"/>
      <c r="B2227" s="7"/>
      <c r="C2227" s="7"/>
      <c r="D2227" s="7"/>
      <c r="E2227" s="36">
        <v>177</v>
      </c>
      <c r="F2227" s="36" t="s">
        <v>2387</v>
      </c>
      <c r="G2227" s="36">
        <v>639050</v>
      </c>
      <c r="H2227" s="36" t="s">
        <v>2113</v>
      </c>
      <c r="I2227" s="37">
        <v>3.6367400000000001</v>
      </c>
      <c r="J2227" s="7"/>
      <c r="K2227" s="7" t="str">
        <f>VLOOKUP($E2227,Mapping!$E$11:$I$96,3,0)</f>
        <v>Augmentation</v>
      </c>
      <c r="L2227" s="7" t="str">
        <f>VLOOKUP($G2227,Mapping!$E$140:$K$2771,5,0)</f>
        <v>PNS Fleet &amp; Property OH</v>
      </c>
      <c r="M2227" s="7" t="str">
        <f>VLOOKUP($G2227,Mapping!$E$140:$K$2771,7,0)</f>
        <v>OH</v>
      </c>
      <c r="N2227" s="7" t="str">
        <f>IFERROR(HLOOKUP(L2227,'Calc|Weightings'!$K$5:$M$5,1,0),"Excl")</f>
        <v>Excl</v>
      </c>
      <c r="O2227" s="7" t="str">
        <f>VLOOKUP(E2227,Mapping!$E$11:$I$96,5,0)</f>
        <v>SCS</v>
      </c>
      <c r="Q2227" s="7"/>
      <c r="R2227" s="7"/>
      <c r="S2227" s="7"/>
      <c r="T2227" s="7"/>
      <c r="U2227" s="7"/>
      <c r="V2227" s="7"/>
      <c r="AC2227" s="7"/>
      <c r="AD2227" s="7"/>
      <c r="AE2227" s="7"/>
      <c r="AF2227" s="7"/>
      <c r="AG2227" s="7"/>
      <c r="AO2227" s="7"/>
      <c r="AP2227" s="7"/>
      <c r="AQ2227" s="7"/>
      <c r="AR2227" s="7"/>
      <c r="AS2227" s="7"/>
    </row>
    <row r="2228" spans="1:45" x14ac:dyDescent="0.2">
      <c r="A2228" s="7"/>
      <c r="B2228" s="7"/>
      <c r="C2228" s="7"/>
      <c r="D2228" s="7"/>
      <c r="E2228" s="36">
        <v>200</v>
      </c>
      <c r="F2228" s="36" t="s">
        <v>2181</v>
      </c>
      <c r="G2228" s="36">
        <v>140200</v>
      </c>
      <c r="H2228" s="36" t="s">
        <v>49</v>
      </c>
      <c r="I2228" s="37">
        <v>2095.7302399999999</v>
      </c>
      <c r="J2228" s="7"/>
      <c r="K2228" s="7" t="str">
        <f>VLOOKUP($E2228,Mapping!$E$11:$I$96,3,0)</f>
        <v>Non-network general assets - IT</v>
      </c>
      <c r="L2228" s="7" t="str">
        <f>VLOOKUP($G2228,Mapping!$E$140:$K$2771,5,0)</f>
        <v>Materials</v>
      </c>
      <c r="M2228" s="7" t="str">
        <f>VLOOKUP($G2228,Mapping!$E$140:$K$2771,7,0)</f>
        <v>ENDirect</v>
      </c>
      <c r="N2228" s="7" t="str">
        <f>IFERROR(HLOOKUP(L2228,'Calc|Weightings'!$K$5:$M$5,1,0),"Excl")</f>
        <v>Materials</v>
      </c>
      <c r="O2228" s="7" t="str">
        <f>VLOOKUP(E2228,Mapping!$E$11:$I$96,5,0)</f>
        <v>SCS</v>
      </c>
      <c r="Q2228" s="7"/>
      <c r="R2228" s="7"/>
      <c r="S2228" s="7"/>
      <c r="T2228" s="7"/>
      <c r="U2228" s="7"/>
      <c r="V2228" s="7"/>
      <c r="AC2228" s="7"/>
      <c r="AD2228" s="7"/>
      <c r="AE2228" s="7"/>
      <c r="AF2228" s="7"/>
      <c r="AG2228" s="7"/>
      <c r="AO2228" s="7"/>
      <c r="AP2228" s="7"/>
      <c r="AQ2228" s="7"/>
      <c r="AR2228" s="7"/>
      <c r="AS2228" s="7"/>
    </row>
    <row r="2229" spans="1:45" x14ac:dyDescent="0.2">
      <c r="A2229" s="7"/>
      <c r="B2229" s="7"/>
      <c r="C2229" s="7"/>
      <c r="D2229" s="7"/>
      <c r="E2229" s="36">
        <v>200</v>
      </c>
      <c r="F2229" s="36" t="s">
        <v>2181</v>
      </c>
      <c r="G2229" s="36">
        <v>141111</v>
      </c>
      <c r="H2229" s="36" t="s">
        <v>51</v>
      </c>
      <c r="I2229" s="37">
        <v>975.59987000000001</v>
      </c>
      <c r="J2229" s="7"/>
      <c r="K2229" s="7" t="str">
        <f>VLOOKUP($E2229,Mapping!$E$11:$I$96,3,0)</f>
        <v>Non-network general assets - IT</v>
      </c>
      <c r="L2229" s="7" t="str">
        <f>VLOOKUP($G2229,Mapping!$E$140:$K$2771,5,0)</f>
        <v>Materials</v>
      </c>
      <c r="M2229" s="7" t="str">
        <f>VLOOKUP($G2229,Mapping!$E$140:$K$2771,7,0)</f>
        <v>ENDirect</v>
      </c>
      <c r="N2229" s="7" t="str">
        <f>IFERROR(HLOOKUP(L2229,'Calc|Weightings'!$K$5:$M$5,1,0),"Excl")</f>
        <v>Materials</v>
      </c>
      <c r="O2229" s="7" t="str">
        <f>VLOOKUP(E2229,Mapping!$E$11:$I$96,5,0)</f>
        <v>SCS</v>
      </c>
      <c r="Q2229" s="7"/>
      <c r="R2229" s="7"/>
      <c r="S2229" s="7"/>
      <c r="T2229" s="7"/>
      <c r="U2229" s="7"/>
      <c r="V2229" s="7"/>
      <c r="AC2229" s="7"/>
      <c r="AD2229" s="7"/>
      <c r="AE2229" s="7"/>
      <c r="AF2229" s="7"/>
      <c r="AG2229" s="7"/>
      <c r="AO2229" s="7"/>
      <c r="AP2229" s="7"/>
      <c r="AQ2229" s="7"/>
      <c r="AR2229" s="7"/>
      <c r="AS2229" s="7"/>
    </row>
    <row r="2230" spans="1:45" x14ac:dyDescent="0.2">
      <c r="A2230" s="7"/>
      <c r="B2230" s="7"/>
      <c r="C2230" s="7"/>
      <c r="D2230" s="7"/>
      <c r="E2230" s="36">
        <v>200</v>
      </c>
      <c r="F2230" s="36" t="s">
        <v>2181</v>
      </c>
      <c r="G2230" s="36">
        <v>524100</v>
      </c>
      <c r="H2230" s="36" t="s">
        <v>2188</v>
      </c>
      <c r="I2230" s="37">
        <v>5.8358400000000001</v>
      </c>
      <c r="J2230" s="7"/>
      <c r="K2230" s="7" t="str">
        <f>VLOOKUP($E2230,Mapping!$E$11:$I$96,3,0)</f>
        <v>Non-network general assets - IT</v>
      </c>
      <c r="L2230" s="7" t="str">
        <f>VLOOKUP($G2230,Mapping!$E$140:$K$2771,5,0)</f>
        <v>Materials</v>
      </c>
      <c r="M2230" s="7" t="str">
        <f>VLOOKUP($G2230,Mapping!$E$140:$K$2771,7,0)</f>
        <v>ENDirect</v>
      </c>
      <c r="N2230" s="7" t="str">
        <f>IFERROR(HLOOKUP(L2230,'Calc|Weightings'!$K$5:$M$5,1,0),"Excl")</f>
        <v>Materials</v>
      </c>
      <c r="O2230" s="7" t="str">
        <f>VLOOKUP(E2230,Mapping!$E$11:$I$96,5,0)</f>
        <v>SCS</v>
      </c>
      <c r="Q2230" s="7"/>
      <c r="R2230" s="7"/>
      <c r="S2230" s="7"/>
      <c r="T2230" s="7"/>
      <c r="U2230" s="7"/>
      <c r="V2230" s="7"/>
      <c r="AC2230" s="7"/>
      <c r="AD2230" s="7"/>
      <c r="AE2230" s="7"/>
      <c r="AF2230" s="7"/>
      <c r="AG2230" s="7"/>
      <c r="AO2230" s="7"/>
      <c r="AP2230" s="7"/>
      <c r="AQ2230" s="7"/>
      <c r="AR2230" s="7"/>
      <c r="AS2230" s="7"/>
    </row>
    <row r="2231" spans="1:45" x14ac:dyDescent="0.2">
      <c r="A2231" s="7"/>
      <c r="B2231" s="7"/>
      <c r="C2231" s="7"/>
      <c r="D2231" s="7"/>
      <c r="E2231" s="36">
        <v>200</v>
      </c>
      <c r="F2231" s="36" t="s">
        <v>2181</v>
      </c>
      <c r="G2231" s="36">
        <v>524200</v>
      </c>
      <c r="H2231" s="36" t="s">
        <v>2182</v>
      </c>
      <c r="I2231" s="37">
        <v>929.5</v>
      </c>
      <c r="J2231" s="7"/>
      <c r="K2231" s="7" t="str">
        <f>VLOOKUP($E2231,Mapping!$E$11:$I$96,3,0)</f>
        <v>Non-network general assets - IT</v>
      </c>
      <c r="L2231" s="7" t="str">
        <f>VLOOKUP($G2231,Mapping!$E$140:$K$2771,5,0)</f>
        <v>Materials</v>
      </c>
      <c r="M2231" s="7" t="str">
        <f>VLOOKUP($G2231,Mapping!$E$140:$K$2771,7,0)</f>
        <v>ENDirect</v>
      </c>
      <c r="N2231" s="7" t="str">
        <f>IFERROR(HLOOKUP(L2231,'Calc|Weightings'!$K$5:$M$5,1,0),"Excl")</f>
        <v>Materials</v>
      </c>
      <c r="O2231" s="7" t="str">
        <f>VLOOKUP(E2231,Mapping!$E$11:$I$96,5,0)</f>
        <v>SCS</v>
      </c>
      <c r="Q2231" s="7"/>
      <c r="R2231" s="7"/>
      <c r="S2231" s="7"/>
      <c r="T2231" s="7"/>
      <c r="U2231" s="7"/>
      <c r="V2231" s="7"/>
      <c r="AC2231" s="7"/>
      <c r="AD2231" s="7"/>
      <c r="AE2231" s="7"/>
      <c r="AF2231" s="7"/>
      <c r="AG2231" s="7"/>
      <c r="AO2231" s="7"/>
      <c r="AP2231" s="7"/>
      <c r="AQ2231" s="7"/>
      <c r="AR2231" s="7"/>
      <c r="AS2231" s="7"/>
    </row>
    <row r="2232" spans="1:45" x14ac:dyDescent="0.2">
      <c r="A2232" s="7"/>
      <c r="B2232" s="7"/>
      <c r="C2232" s="7"/>
      <c r="D2232" s="7"/>
      <c r="E2232" s="36">
        <v>200</v>
      </c>
      <c r="F2232" s="36" t="s">
        <v>2181</v>
      </c>
      <c r="G2232" s="36">
        <v>531000</v>
      </c>
      <c r="H2232" s="36" t="s">
        <v>242</v>
      </c>
      <c r="I2232" s="37">
        <v>66</v>
      </c>
      <c r="J2232" s="7"/>
      <c r="K2232" s="7" t="str">
        <f>VLOOKUP($E2232,Mapping!$E$11:$I$96,3,0)</f>
        <v>Non-network general assets - IT</v>
      </c>
      <c r="L2232" s="7" t="str">
        <f>VLOOKUP($G2232,Mapping!$E$140:$K$2771,5,0)</f>
        <v>Contracts</v>
      </c>
      <c r="M2232" s="7" t="str">
        <f>VLOOKUP($G2232,Mapping!$E$140:$K$2771,7,0)</f>
        <v>ENDirect</v>
      </c>
      <c r="N2232" s="7" t="str">
        <f>IFERROR(HLOOKUP(L2232,'Calc|Weightings'!$K$5:$M$5,1,0),"Excl")</f>
        <v>Contracts</v>
      </c>
      <c r="O2232" s="7" t="str">
        <f>VLOOKUP(E2232,Mapping!$E$11:$I$96,5,0)</f>
        <v>SCS</v>
      </c>
      <c r="Q2232" s="7"/>
      <c r="R2232" s="7"/>
      <c r="S2232" s="7"/>
      <c r="T2232" s="7"/>
      <c r="U2232" s="7"/>
      <c r="V2232" s="7"/>
      <c r="AC2232" s="7"/>
      <c r="AD2232" s="7"/>
      <c r="AE2232" s="7"/>
      <c r="AF2232" s="7"/>
      <c r="AG2232" s="7"/>
      <c r="AO2232" s="7"/>
      <c r="AP2232" s="7"/>
      <c r="AQ2232" s="7"/>
      <c r="AR2232" s="7"/>
      <c r="AS2232" s="7"/>
    </row>
    <row r="2233" spans="1:45" x14ac:dyDescent="0.2">
      <c r="A2233" s="7"/>
      <c r="B2233" s="7"/>
      <c r="C2233" s="7"/>
      <c r="D2233" s="7"/>
      <c r="E2233" s="36">
        <v>200</v>
      </c>
      <c r="F2233" s="36" t="s">
        <v>2181</v>
      </c>
      <c r="G2233" s="36">
        <v>533000</v>
      </c>
      <c r="H2233" s="36" t="s">
        <v>312</v>
      </c>
      <c r="I2233" s="37">
        <v>29.19</v>
      </c>
      <c r="J2233" s="7"/>
      <c r="K2233" s="7" t="str">
        <f>VLOOKUP($E2233,Mapping!$E$11:$I$96,3,0)</f>
        <v>Non-network general assets - IT</v>
      </c>
      <c r="L2233" s="7" t="str">
        <f>VLOOKUP($G2233,Mapping!$E$140:$K$2771,5,0)</f>
        <v>Contracts</v>
      </c>
      <c r="M2233" s="7" t="str">
        <f>VLOOKUP($G2233,Mapping!$E$140:$K$2771,7,0)</f>
        <v>ENDirect</v>
      </c>
      <c r="N2233" s="7" t="str">
        <f>IFERROR(HLOOKUP(L2233,'Calc|Weightings'!$K$5:$M$5,1,0),"Excl")</f>
        <v>Contracts</v>
      </c>
      <c r="O2233" s="7" t="str">
        <f>VLOOKUP(E2233,Mapping!$E$11:$I$96,5,0)</f>
        <v>SCS</v>
      </c>
      <c r="Q2233" s="7"/>
      <c r="R2233" s="7"/>
      <c r="S2233" s="7"/>
      <c r="T2233" s="7"/>
      <c r="U2233" s="7"/>
      <c r="V2233" s="7"/>
      <c r="AC2233" s="7"/>
      <c r="AD2233" s="7"/>
      <c r="AE2233" s="7"/>
      <c r="AF2233" s="7"/>
      <c r="AG2233" s="7"/>
      <c r="AO2233" s="7"/>
      <c r="AP2233" s="7"/>
      <c r="AQ2233" s="7"/>
      <c r="AR2233" s="7"/>
      <c r="AS2233" s="7"/>
    </row>
    <row r="2234" spans="1:45" x14ac:dyDescent="0.2">
      <c r="A2234" s="7"/>
      <c r="B2234" s="7"/>
      <c r="C2234" s="7"/>
      <c r="D2234" s="7"/>
      <c r="E2234" s="36">
        <v>200</v>
      </c>
      <c r="F2234" s="36" t="s">
        <v>2181</v>
      </c>
      <c r="G2234" s="36">
        <v>533001</v>
      </c>
      <c r="H2234" s="36" t="s">
        <v>2189</v>
      </c>
      <c r="I2234" s="37">
        <v>0.15</v>
      </c>
      <c r="J2234" s="7"/>
      <c r="K2234" s="7" t="str">
        <f>VLOOKUP($E2234,Mapping!$E$11:$I$96,3,0)</f>
        <v>Non-network general assets - IT</v>
      </c>
      <c r="L2234" s="7" t="str">
        <f>VLOOKUP($G2234,Mapping!$E$140:$K$2771,5,0)</f>
        <v>Contracts</v>
      </c>
      <c r="M2234" s="7" t="str">
        <f>VLOOKUP($G2234,Mapping!$E$140:$K$2771,7,0)</f>
        <v>ENDirect</v>
      </c>
      <c r="N2234" s="7" t="str">
        <f>IFERROR(HLOOKUP(L2234,'Calc|Weightings'!$K$5:$M$5,1,0),"Excl")</f>
        <v>Contracts</v>
      </c>
      <c r="O2234" s="7" t="str">
        <f>VLOOKUP(E2234,Mapping!$E$11:$I$96,5,0)</f>
        <v>SCS</v>
      </c>
      <c r="Q2234" s="7"/>
      <c r="R2234" s="7"/>
      <c r="S2234" s="7"/>
      <c r="T2234" s="7"/>
      <c r="U2234" s="7"/>
      <c r="V2234" s="7"/>
      <c r="AC2234" s="7"/>
      <c r="AD2234" s="7"/>
      <c r="AE2234" s="7"/>
      <c r="AF2234" s="7"/>
      <c r="AG2234" s="7"/>
      <c r="AO2234" s="7"/>
      <c r="AP2234" s="7"/>
      <c r="AQ2234" s="7"/>
      <c r="AR2234" s="7"/>
      <c r="AS2234" s="7"/>
    </row>
    <row r="2235" spans="1:45" x14ac:dyDescent="0.2">
      <c r="A2235" s="7"/>
      <c r="B2235" s="7"/>
      <c r="C2235" s="7"/>
      <c r="D2235" s="7"/>
      <c r="E2235" s="36">
        <v>200</v>
      </c>
      <c r="F2235" s="36" t="s">
        <v>2181</v>
      </c>
      <c r="G2235" s="36">
        <v>601154</v>
      </c>
      <c r="H2235" s="36" t="s">
        <v>406</v>
      </c>
      <c r="I2235" s="37">
        <v>-12.06</v>
      </c>
      <c r="J2235" s="7"/>
      <c r="K2235" s="7" t="str">
        <f>VLOOKUP($E2235,Mapping!$E$11:$I$96,3,0)</f>
        <v>Non-network general assets - IT</v>
      </c>
      <c r="L2235" s="7" t="str">
        <f>VLOOKUP($G2235,Mapping!$E$140:$K$2771,5,0)</f>
        <v>Labour</v>
      </c>
      <c r="M2235" s="7" t="str">
        <f>VLOOKUP($G2235,Mapping!$E$140:$K$2771,7,0)</f>
        <v>ENDirect</v>
      </c>
      <c r="N2235" s="7" t="str">
        <f>IFERROR(HLOOKUP(L2235,'Calc|Weightings'!$K$5:$M$5,1,0),"Excl")</f>
        <v>Labour</v>
      </c>
      <c r="O2235" s="7" t="str">
        <f>VLOOKUP(E2235,Mapping!$E$11:$I$96,5,0)</f>
        <v>SCS</v>
      </c>
      <c r="Q2235" s="7"/>
      <c r="R2235" s="7"/>
      <c r="S2235" s="7"/>
      <c r="T2235" s="7"/>
      <c r="U2235" s="7"/>
      <c r="V2235" s="7"/>
      <c r="AC2235" s="7"/>
      <c r="AD2235" s="7"/>
      <c r="AE2235" s="7"/>
      <c r="AF2235" s="7"/>
      <c r="AG2235" s="7"/>
      <c r="AO2235" s="7"/>
      <c r="AP2235" s="7"/>
      <c r="AQ2235" s="7"/>
      <c r="AR2235" s="7"/>
      <c r="AS2235" s="7"/>
    </row>
    <row r="2236" spans="1:45" x14ac:dyDescent="0.2">
      <c r="A2236" s="7"/>
      <c r="B2236" s="7"/>
      <c r="C2236" s="7"/>
      <c r="D2236" s="7"/>
      <c r="E2236" s="36">
        <v>200</v>
      </c>
      <c r="F2236" s="36" t="s">
        <v>2181</v>
      </c>
      <c r="G2236" s="36">
        <v>601155</v>
      </c>
      <c r="H2236" s="36" t="s">
        <v>407</v>
      </c>
      <c r="I2236" s="37">
        <v>-2.4119999999999999</v>
      </c>
      <c r="J2236" s="7"/>
      <c r="K2236" s="7" t="str">
        <f>VLOOKUP($E2236,Mapping!$E$11:$I$96,3,0)</f>
        <v>Non-network general assets - IT</v>
      </c>
      <c r="L2236" s="7" t="str">
        <f>VLOOKUP($G2236,Mapping!$E$140:$K$2771,5,0)</f>
        <v>IT Project MG</v>
      </c>
      <c r="M2236" s="7" t="str">
        <f>VLOOKUP($G2236,Mapping!$E$140:$K$2771,7,0)</f>
        <v>ENDirect</v>
      </c>
      <c r="N2236" s="7" t="str">
        <f>IFERROR(HLOOKUP(L2236,'Calc|Weightings'!$K$5:$M$5,1,0),"Excl")</f>
        <v>Excl</v>
      </c>
      <c r="O2236" s="7" t="str">
        <f>VLOOKUP(E2236,Mapping!$E$11:$I$96,5,0)</f>
        <v>SCS</v>
      </c>
      <c r="Q2236" s="7"/>
      <c r="R2236" s="7"/>
      <c r="S2236" s="7"/>
      <c r="T2236" s="7"/>
      <c r="U2236" s="7"/>
      <c r="V2236" s="7"/>
      <c r="AC2236" s="7"/>
      <c r="AD2236" s="7"/>
      <c r="AE2236" s="7"/>
      <c r="AF2236" s="7"/>
      <c r="AG2236" s="7"/>
      <c r="AO2236" s="7"/>
      <c r="AP2236" s="7"/>
      <c r="AQ2236" s="7"/>
      <c r="AR2236" s="7"/>
      <c r="AS2236" s="7"/>
    </row>
    <row r="2237" spans="1:45" x14ac:dyDescent="0.2">
      <c r="A2237" s="7"/>
      <c r="B2237" s="7"/>
      <c r="C2237" s="7"/>
      <c r="D2237" s="7"/>
      <c r="E2237" s="36">
        <v>200</v>
      </c>
      <c r="F2237" s="36" t="s">
        <v>2181</v>
      </c>
      <c r="G2237" s="36">
        <v>601156</v>
      </c>
      <c r="H2237" s="36" t="s">
        <v>406</v>
      </c>
      <c r="I2237" s="37">
        <v>13403.06285</v>
      </c>
      <c r="J2237" s="7"/>
      <c r="K2237" s="7" t="str">
        <f>VLOOKUP($E2237,Mapping!$E$11:$I$96,3,0)</f>
        <v>Non-network general assets - IT</v>
      </c>
      <c r="L2237" s="7" t="str">
        <f>VLOOKUP($G2237,Mapping!$E$140:$K$2771,5,0)</f>
        <v>Labour</v>
      </c>
      <c r="M2237" s="7" t="str">
        <f>VLOOKUP($G2237,Mapping!$E$140:$K$2771,7,0)</f>
        <v>ENDirect</v>
      </c>
      <c r="N2237" s="7" t="str">
        <f>IFERROR(HLOOKUP(L2237,'Calc|Weightings'!$K$5:$M$5,1,0),"Excl")</f>
        <v>Labour</v>
      </c>
      <c r="O2237" s="7" t="str">
        <f>VLOOKUP(E2237,Mapping!$E$11:$I$96,5,0)</f>
        <v>SCS</v>
      </c>
      <c r="Q2237" s="7"/>
      <c r="R2237" s="7"/>
      <c r="S2237" s="7"/>
      <c r="T2237" s="7"/>
      <c r="U2237" s="7"/>
      <c r="V2237" s="7"/>
      <c r="AC2237" s="7"/>
      <c r="AD2237" s="7"/>
      <c r="AE2237" s="7"/>
      <c r="AF2237" s="7"/>
      <c r="AG2237" s="7"/>
      <c r="AO2237" s="7"/>
      <c r="AP2237" s="7"/>
      <c r="AQ2237" s="7"/>
      <c r="AR2237" s="7"/>
      <c r="AS2237" s="7"/>
    </row>
    <row r="2238" spans="1:45" x14ac:dyDescent="0.2">
      <c r="A2238" s="7"/>
      <c r="B2238" s="7"/>
      <c r="C2238" s="7"/>
      <c r="D2238" s="7"/>
      <c r="E2238" s="36">
        <v>200</v>
      </c>
      <c r="F2238" s="36" t="s">
        <v>2181</v>
      </c>
      <c r="G2238" s="36">
        <v>601157</v>
      </c>
      <c r="H2238" s="36" t="s">
        <v>407</v>
      </c>
      <c r="I2238" s="37">
        <v>1742.47407</v>
      </c>
      <c r="J2238" s="7"/>
      <c r="K2238" s="7" t="str">
        <f>VLOOKUP($E2238,Mapping!$E$11:$I$96,3,0)</f>
        <v>Non-network general assets - IT</v>
      </c>
      <c r="L2238" s="7" t="str">
        <f>VLOOKUP($G2238,Mapping!$E$140:$K$2771,5,0)</f>
        <v>IT Project MG</v>
      </c>
      <c r="M2238" s="7" t="str">
        <f>VLOOKUP($G2238,Mapping!$E$140:$K$2771,7,0)</f>
        <v>ENDirect</v>
      </c>
      <c r="N2238" s="7" t="str">
        <f>IFERROR(HLOOKUP(L2238,'Calc|Weightings'!$K$5:$M$5,1,0),"Excl")</f>
        <v>Excl</v>
      </c>
      <c r="O2238" s="7" t="str">
        <f>VLOOKUP(E2238,Mapping!$E$11:$I$96,5,0)</f>
        <v>SCS</v>
      </c>
      <c r="Q2238" s="7"/>
      <c r="R2238" s="7"/>
      <c r="S2238" s="7"/>
      <c r="T2238" s="7"/>
      <c r="U2238" s="7"/>
      <c r="V2238" s="7"/>
      <c r="AC2238" s="7"/>
      <c r="AD2238" s="7"/>
      <c r="AE2238" s="7"/>
      <c r="AF2238" s="7"/>
      <c r="AG2238" s="7"/>
      <c r="AO2238" s="7"/>
      <c r="AP2238" s="7"/>
      <c r="AQ2238" s="7"/>
      <c r="AR2238" s="7"/>
      <c r="AS2238" s="7"/>
    </row>
    <row r="2239" spans="1:45" x14ac:dyDescent="0.2">
      <c r="A2239" s="7"/>
      <c r="B2239" s="7"/>
      <c r="C2239" s="7"/>
      <c r="D2239" s="7"/>
      <c r="E2239" s="36">
        <v>200</v>
      </c>
      <c r="F2239" s="36" t="s">
        <v>2181</v>
      </c>
      <c r="G2239" s="36">
        <v>613240</v>
      </c>
      <c r="H2239" s="36" t="s">
        <v>2082</v>
      </c>
      <c r="I2239" s="37">
        <v>17.506769999999999</v>
      </c>
      <c r="J2239" s="7"/>
      <c r="K2239" s="7" t="str">
        <f>VLOOKUP($E2239,Mapping!$E$11:$I$96,3,0)</f>
        <v>Non-network general assets - IT</v>
      </c>
      <c r="L2239" s="7" t="str">
        <f>VLOOKUP($G2239,Mapping!$E$140:$K$2771,5,0)</f>
        <v>Labour</v>
      </c>
      <c r="M2239" s="7" t="str">
        <f>VLOOKUP($G2239,Mapping!$E$140:$K$2771,7,0)</f>
        <v>ENDirect</v>
      </c>
      <c r="N2239" s="7" t="str">
        <f>IFERROR(HLOOKUP(L2239,'Calc|Weightings'!$K$5:$M$5,1,0),"Excl")</f>
        <v>Labour</v>
      </c>
      <c r="O2239" s="7" t="str">
        <f>VLOOKUP(E2239,Mapping!$E$11:$I$96,5,0)</f>
        <v>SCS</v>
      </c>
      <c r="Q2239" s="7"/>
      <c r="R2239" s="7"/>
      <c r="S2239" s="7"/>
      <c r="T2239" s="7"/>
      <c r="U2239" s="7"/>
      <c r="V2239" s="7"/>
      <c r="AC2239" s="7"/>
      <c r="AD2239" s="7"/>
      <c r="AE2239" s="7"/>
      <c r="AF2239" s="7"/>
      <c r="AG2239" s="7"/>
      <c r="AO2239" s="7"/>
      <c r="AP2239" s="7"/>
      <c r="AQ2239" s="7"/>
      <c r="AR2239" s="7"/>
      <c r="AS2239" s="7"/>
    </row>
    <row r="2240" spans="1:45" x14ac:dyDescent="0.2">
      <c r="A2240" s="7"/>
      <c r="B2240" s="7"/>
      <c r="C2240" s="7"/>
      <c r="D2240" s="7"/>
      <c r="E2240" s="36">
        <v>200</v>
      </c>
      <c r="F2240" s="36" t="s">
        <v>2181</v>
      </c>
      <c r="G2240" s="36">
        <v>613241</v>
      </c>
      <c r="H2240" s="36" t="s">
        <v>2083</v>
      </c>
      <c r="I2240" s="37">
        <v>1.5773600000000001</v>
      </c>
      <c r="J2240" s="7"/>
      <c r="K2240" s="7" t="str">
        <f>VLOOKUP($E2240,Mapping!$E$11:$I$96,3,0)</f>
        <v>Non-network general assets - IT</v>
      </c>
      <c r="L2240" s="7" t="str">
        <f>VLOOKUP($G2240,Mapping!$E$140:$K$2771,5,0)</f>
        <v>Labour</v>
      </c>
      <c r="M2240" s="7" t="str">
        <f>VLOOKUP($G2240,Mapping!$E$140:$K$2771,7,0)</f>
        <v>ENDirect</v>
      </c>
      <c r="N2240" s="7" t="str">
        <f>IFERROR(HLOOKUP(L2240,'Calc|Weightings'!$K$5:$M$5,1,0),"Excl")</f>
        <v>Labour</v>
      </c>
      <c r="O2240" s="7" t="str">
        <f>VLOOKUP(E2240,Mapping!$E$11:$I$96,5,0)</f>
        <v>SCS</v>
      </c>
      <c r="Q2240" s="7"/>
      <c r="R2240" s="7"/>
      <c r="S2240" s="7"/>
      <c r="T2240" s="7"/>
      <c r="U2240" s="7"/>
      <c r="V2240" s="7"/>
      <c r="AC2240" s="7"/>
      <c r="AD2240" s="7"/>
      <c r="AE2240" s="7"/>
      <c r="AF2240" s="7"/>
      <c r="AG2240" s="7"/>
      <c r="AO2240" s="7"/>
      <c r="AP2240" s="7"/>
      <c r="AQ2240" s="7"/>
      <c r="AR2240" s="7"/>
      <c r="AS2240" s="7"/>
    </row>
    <row r="2241" spans="1:45" x14ac:dyDescent="0.2">
      <c r="A2241" s="7"/>
      <c r="B2241" s="7"/>
      <c r="C2241" s="7"/>
      <c r="D2241" s="7"/>
      <c r="E2241" s="36">
        <v>200</v>
      </c>
      <c r="F2241" s="36" t="s">
        <v>2181</v>
      </c>
      <c r="G2241" s="36">
        <v>613248</v>
      </c>
      <c r="H2241" s="36" t="s">
        <v>2383</v>
      </c>
      <c r="I2241" s="37">
        <v>1.46052</v>
      </c>
      <c r="J2241" s="7"/>
      <c r="K2241" s="7" t="str">
        <f>VLOOKUP($E2241,Mapping!$E$11:$I$96,3,0)</f>
        <v>Non-network general assets - IT</v>
      </c>
      <c r="L2241" s="7" t="str">
        <f>VLOOKUP($G2241,Mapping!$E$140:$K$2771,5,0)</f>
        <v>Labour</v>
      </c>
      <c r="M2241" s="7" t="str">
        <f>VLOOKUP($G2241,Mapping!$E$140:$K$2771,7,0)</f>
        <v>ENDirect</v>
      </c>
      <c r="N2241" s="7" t="str">
        <f>IFERROR(HLOOKUP(L2241,'Calc|Weightings'!$K$5:$M$5,1,0),"Excl")</f>
        <v>Labour</v>
      </c>
      <c r="O2241" s="7" t="str">
        <f>VLOOKUP(E2241,Mapping!$E$11:$I$96,5,0)</f>
        <v>SCS</v>
      </c>
      <c r="Q2241" s="7"/>
      <c r="R2241" s="7"/>
      <c r="S2241" s="7"/>
      <c r="T2241" s="7"/>
      <c r="U2241" s="7"/>
      <c r="V2241" s="7"/>
      <c r="AC2241" s="7"/>
      <c r="AD2241" s="7"/>
      <c r="AE2241" s="7"/>
      <c r="AF2241" s="7"/>
      <c r="AG2241" s="7"/>
      <c r="AO2241" s="7"/>
      <c r="AP2241" s="7"/>
      <c r="AQ2241" s="7"/>
      <c r="AR2241" s="7"/>
      <c r="AS2241" s="7"/>
    </row>
    <row r="2242" spans="1:45" x14ac:dyDescent="0.2">
      <c r="A2242" s="7"/>
      <c r="B2242" s="7"/>
      <c r="C2242" s="7"/>
      <c r="D2242" s="7"/>
      <c r="E2242" s="36">
        <v>200</v>
      </c>
      <c r="F2242" s="36" t="s">
        <v>2181</v>
      </c>
      <c r="G2242" s="36">
        <v>613250</v>
      </c>
      <c r="H2242" s="36" t="s">
        <v>2086</v>
      </c>
      <c r="I2242" s="37">
        <v>7.6968199999999998</v>
      </c>
      <c r="J2242" s="7"/>
      <c r="K2242" s="7" t="str">
        <f>VLOOKUP($E2242,Mapping!$E$11:$I$96,3,0)</f>
        <v>Non-network general assets - IT</v>
      </c>
      <c r="L2242" s="7" t="str">
        <f>VLOOKUP($G2242,Mapping!$E$140:$K$2771,5,0)</f>
        <v>Labour</v>
      </c>
      <c r="M2242" s="7" t="str">
        <f>VLOOKUP($G2242,Mapping!$E$140:$K$2771,7,0)</f>
        <v>ENDirect</v>
      </c>
      <c r="N2242" s="7" t="str">
        <f>IFERROR(HLOOKUP(L2242,'Calc|Weightings'!$K$5:$M$5,1,0),"Excl")</f>
        <v>Labour</v>
      </c>
      <c r="O2242" s="7" t="str">
        <f>VLOOKUP(E2242,Mapping!$E$11:$I$96,5,0)</f>
        <v>SCS</v>
      </c>
      <c r="Q2242" s="7"/>
      <c r="R2242" s="7"/>
      <c r="S2242" s="7"/>
      <c r="T2242" s="7"/>
      <c r="U2242" s="7"/>
      <c r="V2242" s="7"/>
      <c r="AC2242" s="7"/>
      <c r="AD2242" s="7"/>
      <c r="AE2242" s="7"/>
      <c r="AF2242" s="7"/>
      <c r="AG2242" s="7"/>
      <c r="AO2242" s="7"/>
      <c r="AP2242" s="7"/>
      <c r="AQ2242" s="7"/>
      <c r="AR2242" s="7"/>
      <c r="AS2242" s="7"/>
    </row>
    <row r="2243" spans="1:45" x14ac:dyDescent="0.2">
      <c r="A2243" s="7"/>
      <c r="B2243" s="7"/>
      <c r="C2243" s="7"/>
      <c r="D2243" s="7"/>
      <c r="E2243" s="36">
        <v>200</v>
      </c>
      <c r="F2243" s="36" t="s">
        <v>2181</v>
      </c>
      <c r="G2243" s="36">
        <v>613251</v>
      </c>
      <c r="H2243" s="36" t="s">
        <v>2087</v>
      </c>
      <c r="I2243" s="37">
        <v>0.93864000000000003</v>
      </c>
      <c r="J2243" s="7"/>
      <c r="K2243" s="7" t="str">
        <f>VLOOKUP($E2243,Mapping!$E$11:$I$96,3,0)</f>
        <v>Non-network general assets - IT</v>
      </c>
      <c r="L2243" s="7" t="str">
        <f>VLOOKUP($G2243,Mapping!$E$140:$K$2771,5,0)</f>
        <v>Labour</v>
      </c>
      <c r="M2243" s="7" t="str">
        <f>VLOOKUP($G2243,Mapping!$E$140:$K$2771,7,0)</f>
        <v>ENDirect</v>
      </c>
      <c r="N2243" s="7" t="str">
        <f>IFERROR(HLOOKUP(L2243,'Calc|Weightings'!$K$5:$M$5,1,0),"Excl")</f>
        <v>Labour</v>
      </c>
      <c r="O2243" s="7" t="str">
        <f>VLOOKUP(E2243,Mapping!$E$11:$I$96,5,0)</f>
        <v>SCS</v>
      </c>
      <c r="Q2243" s="7"/>
      <c r="R2243" s="7"/>
      <c r="S2243" s="7"/>
      <c r="T2243" s="7"/>
      <c r="U2243" s="7"/>
      <c r="V2243" s="7"/>
      <c r="AC2243" s="7"/>
      <c r="AD2243" s="7"/>
      <c r="AE2243" s="7"/>
      <c r="AF2243" s="7"/>
      <c r="AG2243" s="7"/>
      <c r="AO2243" s="7"/>
      <c r="AP2243" s="7"/>
      <c r="AQ2243" s="7"/>
      <c r="AR2243" s="7"/>
      <c r="AS2243" s="7"/>
    </row>
    <row r="2244" spans="1:45" x14ac:dyDescent="0.2">
      <c r="A2244" s="7"/>
      <c r="B2244" s="7"/>
      <c r="C2244" s="7"/>
      <c r="D2244" s="7"/>
      <c r="E2244" s="36">
        <v>200</v>
      </c>
      <c r="F2244" s="36" t="s">
        <v>2181</v>
      </c>
      <c r="G2244" s="36">
        <v>613258</v>
      </c>
      <c r="H2244" s="36" t="s">
        <v>2356</v>
      </c>
      <c r="I2244" s="37">
        <v>1.87727</v>
      </c>
      <c r="J2244" s="7"/>
      <c r="K2244" s="7" t="str">
        <f>VLOOKUP($E2244,Mapping!$E$11:$I$96,3,0)</f>
        <v>Non-network general assets - IT</v>
      </c>
      <c r="L2244" s="7" t="str">
        <f>VLOOKUP($G2244,Mapping!$E$140:$K$2771,5,0)</f>
        <v>Labour</v>
      </c>
      <c r="M2244" s="7" t="str">
        <f>VLOOKUP($G2244,Mapping!$E$140:$K$2771,7,0)</f>
        <v>ENDirect</v>
      </c>
      <c r="N2244" s="7" t="str">
        <f>IFERROR(HLOOKUP(L2244,'Calc|Weightings'!$K$5:$M$5,1,0),"Excl")</f>
        <v>Labour</v>
      </c>
      <c r="O2244" s="7" t="str">
        <f>VLOOKUP(E2244,Mapping!$E$11:$I$96,5,0)</f>
        <v>SCS</v>
      </c>
      <c r="Q2244" s="7"/>
      <c r="R2244" s="7"/>
      <c r="S2244" s="7"/>
      <c r="T2244" s="7"/>
      <c r="U2244" s="7"/>
      <c r="V2244" s="7"/>
      <c r="AC2244" s="7"/>
      <c r="AD2244" s="7"/>
      <c r="AE2244" s="7"/>
      <c r="AF2244" s="7"/>
      <c r="AG2244" s="7"/>
      <c r="AO2244" s="7"/>
      <c r="AP2244" s="7"/>
      <c r="AQ2244" s="7"/>
      <c r="AR2244" s="7"/>
      <c r="AS2244" s="7"/>
    </row>
    <row r="2245" spans="1:45" x14ac:dyDescent="0.2">
      <c r="A2245" s="7"/>
      <c r="B2245" s="7"/>
      <c r="C2245" s="7"/>
      <c r="D2245" s="7"/>
      <c r="E2245" s="36">
        <v>200</v>
      </c>
      <c r="F2245" s="36" t="s">
        <v>2181</v>
      </c>
      <c r="G2245" s="36">
        <v>613259</v>
      </c>
      <c r="H2245" s="36" t="s">
        <v>2359</v>
      </c>
      <c r="I2245" s="37">
        <v>9.9860000000000004E-2</v>
      </c>
      <c r="J2245" s="7"/>
      <c r="K2245" s="7" t="str">
        <f>VLOOKUP($E2245,Mapping!$E$11:$I$96,3,0)</f>
        <v>Non-network general assets - IT</v>
      </c>
      <c r="L2245" s="7" t="str">
        <f>VLOOKUP($G2245,Mapping!$E$140:$K$2771,5,0)</f>
        <v>Labour</v>
      </c>
      <c r="M2245" s="7" t="str">
        <f>VLOOKUP($G2245,Mapping!$E$140:$K$2771,7,0)</f>
        <v>ENDirect</v>
      </c>
      <c r="N2245" s="7" t="str">
        <f>IFERROR(HLOOKUP(L2245,'Calc|Weightings'!$K$5:$M$5,1,0),"Excl")</f>
        <v>Labour</v>
      </c>
      <c r="O2245" s="7" t="str">
        <f>VLOOKUP(E2245,Mapping!$E$11:$I$96,5,0)</f>
        <v>SCS</v>
      </c>
      <c r="Q2245" s="7"/>
      <c r="R2245" s="7"/>
      <c r="S2245" s="7"/>
      <c r="T2245" s="7"/>
      <c r="U2245" s="7"/>
      <c r="V2245" s="7"/>
      <c r="AC2245" s="7"/>
      <c r="AD2245" s="7"/>
      <c r="AE2245" s="7"/>
      <c r="AF2245" s="7"/>
      <c r="AG2245" s="7"/>
      <c r="AO2245" s="7"/>
      <c r="AP2245" s="7"/>
      <c r="AQ2245" s="7"/>
      <c r="AR2245" s="7"/>
      <c r="AS2245" s="7"/>
    </row>
    <row r="2246" spans="1:45" x14ac:dyDescent="0.2">
      <c r="A2246" s="7"/>
      <c r="B2246" s="7"/>
      <c r="C2246" s="7"/>
      <c r="D2246" s="7"/>
      <c r="E2246" s="36">
        <v>200</v>
      </c>
      <c r="F2246" s="36" t="s">
        <v>2181</v>
      </c>
      <c r="G2246" s="36">
        <v>613270</v>
      </c>
      <c r="H2246" s="36" t="s">
        <v>2092</v>
      </c>
      <c r="I2246" s="37">
        <v>118.88791000000001</v>
      </c>
      <c r="J2246" s="7"/>
      <c r="K2246" s="7" t="str">
        <f>VLOOKUP($E2246,Mapping!$E$11:$I$96,3,0)</f>
        <v>Non-network general assets - IT</v>
      </c>
      <c r="L2246" s="7" t="str">
        <f>VLOOKUP($G2246,Mapping!$E$140:$K$2771,5,0)</f>
        <v>Labour</v>
      </c>
      <c r="M2246" s="7" t="str">
        <f>VLOOKUP($G2246,Mapping!$E$140:$K$2771,7,0)</f>
        <v>ENDirect</v>
      </c>
      <c r="N2246" s="7" t="str">
        <f>IFERROR(HLOOKUP(L2246,'Calc|Weightings'!$K$5:$M$5,1,0),"Excl")</f>
        <v>Labour</v>
      </c>
      <c r="O2246" s="7" t="str">
        <f>VLOOKUP(E2246,Mapping!$E$11:$I$96,5,0)</f>
        <v>SCS</v>
      </c>
      <c r="Q2246" s="7"/>
      <c r="R2246" s="7"/>
      <c r="S2246" s="7"/>
      <c r="T2246" s="7"/>
      <c r="U2246" s="7"/>
      <c r="V2246" s="7"/>
      <c r="AC2246" s="7"/>
      <c r="AD2246" s="7"/>
      <c r="AE2246" s="7"/>
      <c r="AF2246" s="7"/>
      <c r="AG2246" s="7"/>
      <c r="AO2246" s="7"/>
      <c r="AP2246" s="7"/>
      <c r="AQ2246" s="7"/>
      <c r="AR2246" s="7"/>
      <c r="AS2246" s="7"/>
    </row>
    <row r="2247" spans="1:45" x14ac:dyDescent="0.2">
      <c r="A2247" s="7"/>
      <c r="B2247" s="7"/>
      <c r="C2247" s="7"/>
      <c r="D2247" s="7"/>
      <c r="E2247" s="36">
        <v>200</v>
      </c>
      <c r="F2247" s="36" t="s">
        <v>2181</v>
      </c>
      <c r="G2247" s="36">
        <v>613271</v>
      </c>
      <c r="H2247" s="36" t="s">
        <v>2150</v>
      </c>
      <c r="I2247" s="37">
        <v>10.04988</v>
      </c>
      <c r="J2247" s="7"/>
      <c r="K2247" s="7" t="str">
        <f>VLOOKUP($E2247,Mapping!$E$11:$I$96,3,0)</f>
        <v>Non-network general assets - IT</v>
      </c>
      <c r="L2247" s="7" t="str">
        <f>VLOOKUP($G2247,Mapping!$E$140:$K$2771,5,0)</f>
        <v>Labour</v>
      </c>
      <c r="M2247" s="7" t="str">
        <f>VLOOKUP($G2247,Mapping!$E$140:$K$2771,7,0)</f>
        <v>ENDirect</v>
      </c>
      <c r="N2247" s="7" t="str">
        <f>IFERROR(HLOOKUP(L2247,'Calc|Weightings'!$K$5:$M$5,1,0),"Excl")</f>
        <v>Labour</v>
      </c>
      <c r="O2247" s="7" t="str">
        <f>VLOOKUP(E2247,Mapping!$E$11:$I$96,5,0)</f>
        <v>SCS</v>
      </c>
      <c r="Q2247" s="7"/>
      <c r="R2247" s="7"/>
      <c r="S2247" s="7"/>
      <c r="T2247" s="7"/>
      <c r="U2247" s="7"/>
      <c r="V2247" s="7"/>
      <c r="AC2247" s="7"/>
      <c r="AD2247" s="7"/>
      <c r="AE2247" s="7"/>
      <c r="AF2247" s="7"/>
      <c r="AG2247" s="7"/>
      <c r="AO2247" s="7"/>
      <c r="AP2247" s="7"/>
      <c r="AQ2247" s="7"/>
      <c r="AR2247" s="7"/>
      <c r="AS2247" s="7"/>
    </row>
    <row r="2248" spans="1:45" x14ac:dyDescent="0.2">
      <c r="A2248" s="7"/>
      <c r="B2248" s="7"/>
      <c r="C2248" s="7"/>
      <c r="D2248" s="7"/>
      <c r="E2248" s="36">
        <v>200</v>
      </c>
      <c r="F2248" s="36" t="s">
        <v>2181</v>
      </c>
      <c r="G2248" s="36">
        <v>613280</v>
      </c>
      <c r="H2248" s="36" t="s">
        <v>1342</v>
      </c>
      <c r="I2248" s="37">
        <v>53.719619999999999</v>
      </c>
      <c r="J2248" s="7"/>
      <c r="K2248" s="7" t="str">
        <f>VLOOKUP($E2248,Mapping!$E$11:$I$96,3,0)</f>
        <v>Non-network general assets - IT</v>
      </c>
      <c r="L2248" s="7" t="str">
        <f>VLOOKUP($G2248,Mapping!$E$140:$K$2771,5,0)</f>
        <v>Labour</v>
      </c>
      <c r="M2248" s="7" t="str">
        <f>VLOOKUP($G2248,Mapping!$E$140:$K$2771,7,0)</f>
        <v>ENDirect</v>
      </c>
      <c r="N2248" s="7" t="str">
        <f>IFERROR(HLOOKUP(L2248,'Calc|Weightings'!$K$5:$M$5,1,0),"Excl")</f>
        <v>Labour</v>
      </c>
      <c r="O2248" s="7" t="str">
        <f>VLOOKUP(E2248,Mapping!$E$11:$I$96,5,0)</f>
        <v>SCS</v>
      </c>
      <c r="Q2248" s="7"/>
      <c r="R2248" s="7"/>
      <c r="S2248" s="7"/>
      <c r="T2248" s="7"/>
      <c r="U2248" s="7"/>
      <c r="V2248" s="7"/>
      <c r="AC2248" s="7"/>
      <c r="AD2248" s="7"/>
      <c r="AE2248" s="7"/>
      <c r="AF2248" s="7"/>
      <c r="AG2248" s="7"/>
      <c r="AO2248" s="7"/>
      <c r="AP2248" s="7"/>
      <c r="AQ2248" s="7"/>
      <c r="AR2248" s="7"/>
      <c r="AS2248" s="7"/>
    </row>
    <row r="2249" spans="1:45" x14ac:dyDescent="0.2">
      <c r="A2249" s="7"/>
      <c r="B2249" s="7"/>
      <c r="C2249" s="7"/>
      <c r="D2249" s="7"/>
      <c r="E2249" s="36">
        <v>200</v>
      </c>
      <c r="F2249" s="36" t="s">
        <v>2181</v>
      </c>
      <c r="G2249" s="36">
        <v>613281</v>
      </c>
      <c r="H2249" s="36" t="s">
        <v>1343</v>
      </c>
      <c r="I2249" s="37">
        <v>2.1734399999999998</v>
      </c>
      <c r="J2249" s="7"/>
      <c r="K2249" s="7" t="str">
        <f>VLOOKUP($E2249,Mapping!$E$11:$I$96,3,0)</f>
        <v>Non-network general assets - IT</v>
      </c>
      <c r="L2249" s="7" t="str">
        <f>VLOOKUP($G2249,Mapping!$E$140:$K$2771,5,0)</f>
        <v>Labour</v>
      </c>
      <c r="M2249" s="7" t="str">
        <f>VLOOKUP($G2249,Mapping!$E$140:$K$2771,7,0)</f>
        <v>ENDirect</v>
      </c>
      <c r="N2249" s="7" t="str">
        <f>IFERROR(HLOOKUP(L2249,'Calc|Weightings'!$K$5:$M$5,1,0),"Excl")</f>
        <v>Labour</v>
      </c>
      <c r="O2249" s="7" t="str">
        <f>VLOOKUP(E2249,Mapping!$E$11:$I$96,5,0)</f>
        <v>SCS</v>
      </c>
      <c r="Q2249" s="7"/>
      <c r="R2249" s="7"/>
      <c r="S2249" s="7"/>
      <c r="T2249" s="7"/>
      <c r="U2249" s="7"/>
      <c r="V2249" s="7"/>
      <c r="AC2249" s="7"/>
      <c r="AD2249" s="7"/>
      <c r="AE2249" s="7"/>
      <c r="AF2249" s="7"/>
      <c r="AG2249" s="7"/>
      <c r="AO2249" s="7"/>
      <c r="AP2249" s="7"/>
      <c r="AQ2249" s="7"/>
      <c r="AR2249" s="7"/>
      <c r="AS2249" s="7"/>
    </row>
    <row r="2250" spans="1:45" x14ac:dyDescent="0.2">
      <c r="A2250" s="7"/>
      <c r="B2250" s="7"/>
      <c r="C2250" s="7"/>
      <c r="D2250" s="7"/>
      <c r="E2250" s="36">
        <v>200</v>
      </c>
      <c r="F2250" s="36" t="s">
        <v>2181</v>
      </c>
      <c r="G2250" s="36">
        <v>613290</v>
      </c>
      <c r="H2250" s="36" t="s">
        <v>2093</v>
      </c>
      <c r="I2250" s="37">
        <v>2.0487899999999999</v>
      </c>
      <c r="J2250" s="7"/>
      <c r="K2250" s="7" t="str">
        <f>VLOOKUP($E2250,Mapping!$E$11:$I$96,3,0)</f>
        <v>Non-network general assets - IT</v>
      </c>
      <c r="L2250" s="7" t="str">
        <f>VLOOKUP($G2250,Mapping!$E$140:$K$2771,5,0)</f>
        <v>Labour</v>
      </c>
      <c r="M2250" s="7" t="str">
        <f>VLOOKUP($G2250,Mapping!$E$140:$K$2771,7,0)</f>
        <v>ENDirect</v>
      </c>
      <c r="N2250" s="7" t="str">
        <f>IFERROR(HLOOKUP(L2250,'Calc|Weightings'!$K$5:$M$5,1,0),"Excl")</f>
        <v>Labour</v>
      </c>
      <c r="O2250" s="7" t="str">
        <f>VLOOKUP(E2250,Mapping!$E$11:$I$96,5,0)</f>
        <v>SCS</v>
      </c>
      <c r="Q2250" s="7"/>
      <c r="R2250" s="7"/>
      <c r="S2250" s="7"/>
      <c r="T2250" s="7"/>
      <c r="U2250" s="7"/>
      <c r="V2250" s="7"/>
      <c r="AC2250" s="7"/>
      <c r="AD2250" s="7"/>
      <c r="AE2250" s="7"/>
      <c r="AF2250" s="7"/>
      <c r="AG2250" s="7"/>
      <c r="AO2250" s="7"/>
      <c r="AP2250" s="7"/>
      <c r="AQ2250" s="7"/>
      <c r="AR2250" s="7"/>
      <c r="AS2250" s="7"/>
    </row>
    <row r="2251" spans="1:45" x14ac:dyDescent="0.2">
      <c r="A2251" s="7"/>
      <c r="B2251" s="7"/>
      <c r="C2251" s="7"/>
      <c r="D2251" s="7"/>
      <c r="E2251" s="36">
        <v>200</v>
      </c>
      <c r="F2251" s="36" t="s">
        <v>2181</v>
      </c>
      <c r="G2251" s="36">
        <v>613291</v>
      </c>
      <c r="H2251" s="36" t="s">
        <v>2094</v>
      </c>
      <c r="I2251" s="37">
        <v>1.4008799999999999</v>
      </c>
      <c r="J2251" s="7"/>
      <c r="K2251" s="7" t="str">
        <f>VLOOKUP($E2251,Mapping!$E$11:$I$96,3,0)</f>
        <v>Non-network general assets - IT</v>
      </c>
      <c r="L2251" s="7" t="str">
        <f>VLOOKUP($G2251,Mapping!$E$140:$K$2771,5,0)</f>
        <v>Labour</v>
      </c>
      <c r="M2251" s="7" t="str">
        <f>VLOOKUP($G2251,Mapping!$E$140:$K$2771,7,0)</f>
        <v>ENDirect</v>
      </c>
      <c r="N2251" s="7" t="str">
        <f>IFERROR(HLOOKUP(L2251,'Calc|Weightings'!$K$5:$M$5,1,0),"Excl")</f>
        <v>Labour</v>
      </c>
      <c r="O2251" s="7" t="str">
        <f>VLOOKUP(E2251,Mapping!$E$11:$I$96,5,0)</f>
        <v>SCS</v>
      </c>
      <c r="Q2251" s="7"/>
      <c r="R2251" s="7"/>
      <c r="S2251" s="7"/>
      <c r="T2251" s="7"/>
      <c r="U2251" s="7"/>
      <c r="V2251" s="7"/>
      <c r="AC2251" s="7"/>
      <c r="AD2251" s="7"/>
      <c r="AE2251" s="7"/>
      <c r="AF2251" s="7"/>
      <c r="AG2251" s="7"/>
      <c r="AO2251" s="7"/>
      <c r="AP2251" s="7"/>
      <c r="AQ2251" s="7"/>
      <c r="AR2251" s="7"/>
      <c r="AS2251" s="7"/>
    </row>
    <row r="2252" spans="1:45" x14ac:dyDescent="0.2">
      <c r="A2252" s="7"/>
      <c r="B2252" s="7"/>
      <c r="C2252" s="7"/>
      <c r="D2252" s="7"/>
      <c r="E2252" s="36">
        <v>200</v>
      </c>
      <c r="F2252" s="36" t="s">
        <v>2181</v>
      </c>
      <c r="G2252" s="36">
        <v>613300</v>
      </c>
      <c r="H2252" s="36" t="s">
        <v>2197</v>
      </c>
      <c r="I2252" s="37">
        <v>1.68106</v>
      </c>
      <c r="J2252" s="7"/>
      <c r="K2252" s="7" t="str">
        <f>VLOOKUP($E2252,Mapping!$E$11:$I$96,3,0)</f>
        <v>Non-network general assets - IT</v>
      </c>
      <c r="L2252" s="7" t="str">
        <f>VLOOKUP($G2252,Mapping!$E$140:$K$2771,5,0)</f>
        <v>Labour</v>
      </c>
      <c r="M2252" s="7" t="str">
        <f>VLOOKUP($G2252,Mapping!$E$140:$K$2771,7,0)</f>
        <v>ENDirect</v>
      </c>
      <c r="N2252" s="7" t="str">
        <f>IFERROR(HLOOKUP(L2252,'Calc|Weightings'!$K$5:$M$5,1,0),"Excl")</f>
        <v>Labour</v>
      </c>
      <c r="O2252" s="7" t="str">
        <f>VLOOKUP(E2252,Mapping!$E$11:$I$96,5,0)</f>
        <v>SCS</v>
      </c>
      <c r="Q2252" s="7"/>
      <c r="R2252" s="7"/>
      <c r="S2252" s="7"/>
      <c r="T2252" s="7"/>
      <c r="U2252" s="7"/>
      <c r="V2252" s="7"/>
      <c r="AC2252" s="7"/>
      <c r="AD2252" s="7"/>
      <c r="AE2252" s="7"/>
      <c r="AF2252" s="7"/>
      <c r="AG2252" s="7"/>
      <c r="AO2252" s="7"/>
      <c r="AP2252" s="7"/>
      <c r="AQ2252" s="7"/>
      <c r="AR2252" s="7"/>
      <c r="AS2252" s="7"/>
    </row>
    <row r="2253" spans="1:45" x14ac:dyDescent="0.2">
      <c r="A2253" s="7"/>
      <c r="B2253" s="7"/>
      <c r="C2253" s="7"/>
      <c r="D2253" s="7"/>
      <c r="E2253" s="36">
        <v>200</v>
      </c>
      <c r="F2253" s="36" t="s">
        <v>2181</v>
      </c>
      <c r="G2253" s="36">
        <v>613318</v>
      </c>
      <c r="H2253" s="36" t="s">
        <v>1360</v>
      </c>
      <c r="I2253" s="37">
        <v>6.0982000000000003</v>
      </c>
      <c r="J2253" s="7"/>
      <c r="K2253" s="7" t="str">
        <f>VLOOKUP($E2253,Mapping!$E$11:$I$96,3,0)</f>
        <v>Non-network general assets - IT</v>
      </c>
      <c r="L2253" s="7" t="str">
        <f>VLOOKUP($G2253,Mapping!$E$140:$K$2771,5,0)</f>
        <v>Labour</v>
      </c>
      <c r="M2253" s="7" t="str">
        <f>VLOOKUP($G2253,Mapping!$E$140:$K$2771,7,0)</f>
        <v>ENDirect</v>
      </c>
      <c r="N2253" s="7" t="str">
        <f>IFERROR(HLOOKUP(L2253,'Calc|Weightings'!$K$5:$M$5,1,0),"Excl")</f>
        <v>Labour</v>
      </c>
      <c r="O2253" s="7" t="str">
        <f>VLOOKUP(E2253,Mapping!$E$11:$I$96,5,0)</f>
        <v>SCS</v>
      </c>
      <c r="Q2253" s="7"/>
      <c r="R2253" s="7"/>
      <c r="S2253" s="7"/>
      <c r="T2253" s="7"/>
      <c r="U2253" s="7"/>
      <c r="V2253" s="7"/>
      <c r="AC2253" s="7"/>
      <c r="AD2253" s="7"/>
      <c r="AE2253" s="7"/>
      <c r="AF2253" s="7"/>
      <c r="AG2253" s="7"/>
      <c r="AO2253" s="7"/>
      <c r="AP2253" s="7"/>
      <c r="AQ2253" s="7"/>
      <c r="AR2253" s="7"/>
      <c r="AS2253" s="7"/>
    </row>
    <row r="2254" spans="1:45" x14ac:dyDescent="0.2">
      <c r="A2254" s="7"/>
      <c r="B2254" s="7"/>
      <c r="C2254" s="7"/>
      <c r="D2254" s="7"/>
      <c r="E2254" s="36">
        <v>200</v>
      </c>
      <c r="F2254" s="36" t="s">
        <v>2181</v>
      </c>
      <c r="G2254" s="36">
        <v>613350</v>
      </c>
      <c r="H2254" s="36" t="s">
        <v>2096</v>
      </c>
      <c r="I2254" s="37">
        <v>0.13858999999999999</v>
      </c>
      <c r="J2254" s="7"/>
      <c r="K2254" s="7" t="str">
        <f>VLOOKUP($E2254,Mapping!$E$11:$I$96,3,0)</f>
        <v>Non-network general assets - IT</v>
      </c>
      <c r="L2254" s="7" t="str">
        <f>VLOOKUP($G2254,Mapping!$E$140:$K$2771,5,0)</f>
        <v>Labour</v>
      </c>
      <c r="M2254" s="7" t="str">
        <f>VLOOKUP($G2254,Mapping!$E$140:$K$2771,7,0)</f>
        <v>ENDirect</v>
      </c>
      <c r="N2254" s="7" t="str">
        <f>IFERROR(HLOOKUP(L2254,'Calc|Weightings'!$K$5:$M$5,1,0),"Excl")</f>
        <v>Labour</v>
      </c>
      <c r="O2254" s="7" t="str">
        <f>VLOOKUP(E2254,Mapping!$E$11:$I$96,5,0)</f>
        <v>SCS</v>
      </c>
      <c r="Q2254" s="7"/>
      <c r="R2254" s="7"/>
      <c r="S2254" s="7"/>
      <c r="T2254" s="7"/>
      <c r="U2254" s="7"/>
      <c r="V2254" s="7"/>
      <c r="AC2254" s="7"/>
      <c r="AD2254" s="7"/>
      <c r="AE2254" s="7"/>
      <c r="AF2254" s="7"/>
      <c r="AG2254" s="7"/>
      <c r="AO2254" s="7"/>
      <c r="AP2254" s="7"/>
      <c r="AQ2254" s="7"/>
      <c r="AR2254" s="7"/>
      <c r="AS2254" s="7"/>
    </row>
    <row r="2255" spans="1:45" x14ac:dyDescent="0.2">
      <c r="A2255" s="7"/>
      <c r="B2255" s="7"/>
      <c r="C2255" s="7"/>
      <c r="D2255" s="7"/>
      <c r="E2255" s="36">
        <v>200</v>
      </c>
      <c r="F2255" s="36" t="s">
        <v>2181</v>
      </c>
      <c r="G2255" s="36">
        <v>613351</v>
      </c>
      <c r="H2255" s="36" t="s">
        <v>2151</v>
      </c>
      <c r="I2255" s="37">
        <v>0.16855999999999999</v>
      </c>
      <c r="J2255" s="7"/>
      <c r="K2255" s="7" t="str">
        <f>VLOOKUP($E2255,Mapping!$E$11:$I$96,3,0)</f>
        <v>Non-network general assets - IT</v>
      </c>
      <c r="L2255" s="7" t="str">
        <f>VLOOKUP($G2255,Mapping!$E$140:$K$2771,5,0)</f>
        <v>Labour</v>
      </c>
      <c r="M2255" s="7" t="str">
        <f>VLOOKUP($G2255,Mapping!$E$140:$K$2771,7,0)</f>
        <v>ENDirect</v>
      </c>
      <c r="N2255" s="7" t="str">
        <f>IFERROR(HLOOKUP(L2255,'Calc|Weightings'!$K$5:$M$5,1,0),"Excl")</f>
        <v>Labour</v>
      </c>
      <c r="O2255" s="7" t="str">
        <f>VLOOKUP(E2255,Mapping!$E$11:$I$96,5,0)</f>
        <v>SCS</v>
      </c>
      <c r="Q2255" s="7"/>
      <c r="R2255" s="7"/>
      <c r="S2255" s="7"/>
      <c r="T2255" s="7"/>
      <c r="U2255" s="7"/>
      <c r="V2255" s="7"/>
      <c r="AC2255" s="7"/>
      <c r="AD2255" s="7"/>
      <c r="AE2255" s="7"/>
      <c r="AF2255" s="7"/>
      <c r="AG2255" s="7"/>
      <c r="AO2255" s="7"/>
      <c r="AP2255" s="7"/>
      <c r="AQ2255" s="7"/>
      <c r="AR2255" s="7"/>
      <c r="AS2255" s="7"/>
    </row>
    <row r="2256" spans="1:45" x14ac:dyDescent="0.2">
      <c r="A2256" s="7"/>
      <c r="B2256" s="7"/>
      <c r="C2256" s="7"/>
      <c r="D2256" s="7"/>
      <c r="E2256" s="36">
        <v>200</v>
      </c>
      <c r="F2256" s="36" t="s">
        <v>2181</v>
      </c>
      <c r="G2256" s="36">
        <v>613360</v>
      </c>
      <c r="H2256" s="36" t="s">
        <v>2097</v>
      </c>
      <c r="I2256" s="37">
        <v>0.20355999999999999</v>
      </c>
      <c r="J2256" s="7"/>
      <c r="K2256" s="7" t="str">
        <f>VLOOKUP($E2256,Mapping!$E$11:$I$96,3,0)</f>
        <v>Non-network general assets - IT</v>
      </c>
      <c r="L2256" s="7" t="str">
        <f>VLOOKUP($G2256,Mapping!$E$140:$K$2771,5,0)</f>
        <v>Labour</v>
      </c>
      <c r="M2256" s="7" t="str">
        <f>VLOOKUP($G2256,Mapping!$E$140:$K$2771,7,0)</f>
        <v>ENDirect</v>
      </c>
      <c r="N2256" s="7" t="str">
        <f>IFERROR(HLOOKUP(L2256,'Calc|Weightings'!$K$5:$M$5,1,0),"Excl")</f>
        <v>Labour</v>
      </c>
      <c r="O2256" s="7" t="str">
        <f>VLOOKUP(E2256,Mapping!$E$11:$I$96,5,0)</f>
        <v>SCS</v>
      </c>
      <c r="Q2256" s="7"/>
      <c r="R2256" s="7"/>
      <c r="S2256" s="7"/>
      <c r="T2256" s="7"/>
      <c r="U2256" s="7"/>
      <c r="V2256" s="7"/>
      <c r="AC2256" s="7"/>
      <c r="AD2256" s="7"/>
      <c r="AE2256" s="7"/>
      <c r="AF2256" s="7"/>
      <c r="AG2256" s="7"/>
      <c r="AO2256" s="7"/>
      <c r="AP2256" s="7"/>
      <c r="AQ2256" s="7"/>
      <c r="AR2256" s="7"/>
      <c r="AS2256" s="7"/>
    </row>
    <row r="2257" spans="1:45" x14ac:dyDescent="0.2">
      <c r="A2257" s="7"/>
      <c r="B2257" s="7"/>
      <c r="C2257" s="7"/>
      <c r="D2257" s="7"/>
      <c r="E2257" s="36">
        <v>200</v>
      </c>
      <c r="F2257" s="36" t="s">
        <v>2181</v>
      </c>
      <c r="G2257" s="36">
        <v>613370</v>
      </c>
      <c r="H2257" s="36" t="s">
        <v>1402</v>
      </c>
      <c r="I2257" s="37">
        <v>72.251930000000002</v>
      </c>
      <c r="J2257" s="7"/>
      <c r="K2257" s="7" t="str">
        <f>VLOOKUP($E2257,Mapping!$E$11:$I$96,3,0)</f>
        <v>Non-network general assets - IT</v>
      </c>
      <c r="L2257" s="7" t="str">
        <f>VLOOKUP($G2257,Mapping!$E$140:$K$2771,5,0)</f>
        <v>Labour</v>
      </c>
      <c r="M2257" s="7" t="str">
        <f>VLOOKUP($G2257,Mapping!$E$140:$K$2771,7,0)</f>
        <v>ENDirect</v>
      </c>
      <c r="N2257" s="7" t="str">
        <f>IFERROR(HLOOKUP(L2257,'Calc|Weightings'!$K$5:$M$5,1,0),"Excl")</f>
        <v>Labour</v>
      </c>
      <c r="O2257" s="7" t="str">
        <f>VLOOKUP(E2257,Mapping!$E$11:$I$96,5,0)</f>
        <v>SCS</v>
      </c>
      <c r="Q2257" s="7"/>
      <c r="R2257" s="7"/>
      <c r="S2257" s="7"/>
      <c r="T2257" s="7"/>
      <c r="U2257" s="7"/>
      <c r="V2257" s="7"/>
      <c r="AC2257" s="7"/>
      <c r="AD2257" s="7"/>
      <c r="AE2257" s="7"/>
      <c r="AF2257" s="7"/>
      <c r="AG2257" s="7"/>
      <c r="AO2257" s="7"/>
      <c r="AP2257" s="7"/>
      <c r="AQ2257" s="7"/>
      <c r="AR2257" s="7"/>
      <c r="AS2257" s="7"/>
    </row>
    <row r="2258" spans="1:45" x14ac:dyDescent="0.2">
      <c r="A2258" s="7"/>
      <c r="B2258" s="7"/>
      <c r="C2258" s="7"/>
      <c r="D2258" s="7"/>
      <c r="E2258" s="36">
        <v>200</v>
      </c>
      <c r="F2258" s="36" t="s">
        <v>2181</v>
      </c>
      <c r="G2258" s="36">
        <v>613371</v>
      </c>
      <c r="H2258" s="36" t="s">
        <v>1403</v>
      </c>
      <c r="I2258" s="37">
        <v>7.1425000000000001</v>
      </c>
      <c r="J2258" s="7"/>
      <c r="K2258" s="7" t="str">
        <f>VLOOKUP($E2258,Mapping!$E$11:$I$96,3,0)</f>
        <v>Non-network general assets - IT</v>
      </c>
      <c r="L2258" s="7" t="str">
        <f>VLOOKUP($G2258,Mapping!$E$140:$K$2771,5,0)</f>
        <v>Labour</v>
      </c>
      <c r="M2258" s="7" t="str">
        <f>VLOOKUP($G2258,Mapping!$E$140:$K$2771,7,0)</f>
        <v>ENDirect</v>
      </c>
      <c r="N2258" s="7" t="str">
        <f>IFERROR(HLOOKUP(L2258,'Calc|Weightings'!$K$5:$M$5,1,0),"Excl")</f>
        <v>Labour</v>
      </c>
      <c r="O2258" s="7" t="str">
        <f>VLOOKUP(E2258,Mapping!$E$11:$I$96,5,0)</f>
        <v>SCS</v>
      </c>
      <c r="Q2258" s="7"/>
      <c r="R2258" s="7"/>
      <c r="S2258" s="7"/>
      <c r="T2258" s="7"/>
      <c r="U2258" s="7"/>
      <c r="V2258" s="7"/>
      <c r="AC2258" s="7"/>
      <c r="AD2258" s="7"/>
      <c r="AE2258" s="7"/>
      <c r="AF2258" s="7"/>
      <c r="AG2258" s="7"/>
      <c r="AO2258" s="7"/>
      <c r="AP2258" s="7"/>
      <c r="AQ2258" s="7"/>
      <c r="AR2258" s="7"/>
      <c r="AS2258" s="7"/>
    </row>
    <row r="2259" spans="1:45" x14ac:dyDescent="0.2">
      <c r="A2259" s="7"/>
      <c r="B2259" s="7"/>
      <c r="C2259" s="7"/>
      <c r="D2259" s="7"/>
      <c r="E2259" s="36">
        <v>200</v>
      </c>
      <c r="F2259" s="36" t="s">
        <v>2181</v>
      </c>
      <c r="G2259" s="36">
        <v>613680</v>
      </c>
      <c r="H2259" s="36" t="s">
        <v>2107</v>
      </c>
      <c r="I2259" s="37">
        <v>29.66131</v>
      </c>
      <c r="J2259" s="7"/>
      <c r="K2259" s="7" t="str">
        <f>VLOOKUP($E2259,Mapping!$E$11:$I$96,3,0)</f>
        <v>Non-network general assets - IT</v>
      </c>
      <c r="L2259" s="7" t="str">
        <f>VLOOKUP($G2259,Mapping!$E$140:$K$2771,5,0)</f>
        <v>Labour</v>
      </c>
      <c r="M2259" s="7" t="str">
        <f>VLOOKUP($G2259,Mapping!$E$140:$K$2771,7,0)</f>
        <v>ENDirect</v>
      </c>
      <c r="N2259" s="7" t="str">
        <f>IFERROR(HLOOKUP(L2259,'Calc|Weightings'!$K$5:$M$5,1,0),"Excl")</f>
        <v>Labour</v>
      </c>
      <c r="O2259" s="7" t="str">
        <f>VLOOKUP(E2259,Mapping!$E$11:$I$96,5,0)</f>
        <v>SCS</v>
      </c>
      <c r="Q2259" s="7"/>
      <c r="R2259" s="7"/>
      <c r="S2259" s="7"/>
      <c r="T2259" s="7"/>
      <c r="U2259" s="7"/>
      <c r="V2259" s="7"/>
      <c r="AC2259" s="7"/>
      <c r="AD2259" s="7"/>
      <c r="AE2259" s="7"/>
      <c r="AF2259" s="7"/>
      <c r="AG2259" s="7"/>
      <c r="AO2259" s="7"/>
      <c r="AP2259" s="7"/>
      <c r="AQ2259" s="7"/>
      <c r="AR2259" s="7"/>
      <c r="AS2259" s="7"/>
    </row>
    <row r="2260" spans="1:45" x14ac:dyDescent="0.2">
      <c r="A2260" s="7"/>
      <c r="B2260" s="7"/>
      <c r="C2260" s="7"/>
      <c r="D2260" s="7"/>
      <c r="E2260" s="36">
        <v>200</v>
      </c>
      <c r="F2260" s="36" t="s">
        <v>2181</v>
      </c>
      <c r="G2260" s="36">
        <v>613681</v>
      </c>
      <c r="H2260" s="36" t="s">
        <v>2108</v>
      </c>
      <c r="I2260" s="37">
        <v>1.1255200000000001</v>
      </c>
      <c r="J2260" s="7"/>
      <c r="K2260" s="7" t="str">
        <f>VLOOKUP($E2260,Mapping!$E$11:$I$96,3,0)</f>
        <v>Non-network general assets - IT</v>
      </c>
      <c r="L2260" s="7" t="str">
        <f>VLOOKUP($G2260,Mapping!$E$140:$K$2771,5,0)</f>
        <v>Labour</v>
      </c>
      <c r="M2260" s="7" t="str">
        <f>VLOOKUP($G2260,Mapping!$E$140:$K$2771,7,0)</f>
        <v>ENDirect</v>
      </c>
      <c r="N2260" s="7" t="str">
        <f>IFERROR(HLOOKUP(L2260,'Calc|Weightings'!$K$5:$M$5,1,0),"Excl")</f>
        <v>Labour</v>
      </c>
      <c r="O2260" s="7" t="str">
        <f>VLOOKUP(E2260,Mapping!$E$11:$I$96,5,0)</f>
        <v>SCS</v>
      </c>
      <c r="Q2260" s="7"/>
      <c r="R2260" s="7"/>
      <c r="S2260" s="7"/>
      <c r="T2260" s="7"/>
      <c r="U2260" s="7"/>
      <c r="V2260" s="7"/>
      <c r="AC2260" s="7"/>
      <c r="AD2260" s="7"/>
      <c r="AE2260" s="7"/>
      <c r="AF2260" s="7"/>
      <c r="AG2260" s="7"/>
      <c r="AO2260" s="7"/>
      <c r="AP2260" s="7"/>
      <c r="AQ2260" s="7"/>
      <c r="AR2260" s="7"/>
      <c r="AS2260" s="7"/>
    </row>
    <row r="2261" spans="1:45" x14ac:dyDescent="0.2">
      <c r="A2261" s="7"/>
      <c r="B2261" s="7"/>
      <c r="C2261" s="7"/>
      <c r="D2261" s="7"/>
      <c r="E2261" s="36">
        <v>200</v>
      </c>
      <c r="F2261" s="36" t="s">
        <v>2181</v>
      </c>
      <c r="G2261" s="36">
        <v>615008</v>
      </c>
      <c r="H2261" s="36" t="s">
        <v>1707</v>
      </c>
      <c r="I2261" s="37">
        <v>168.12744000000001</v>
      </c>
      <c r="J2261" s="7"/>
      <c r="K2261" s="7" t="str">
        <f>VLOOKUP($E2261,Mapping!$E$11:$I$96,3,0)</f>
        <v>Non-network general assets - IT</v>
      </c>
      <c r="L2261" s="7" t="str">
        <f>VLOOKUP($G2261,Mapping!$E$140:$K$2771,5,0)</f>
        <v>Labour</v>
      </c>
      <c r="M2261" s="7" t="str">
        <f>VLOOKUP($G2261,Mapping!$E$140:$K$2771,7,0)</f>
        <v>ENDirect</v>
      </c>
      <c r="N2261" s="7" t="str">
        <f>IFERROR(HLOOKUP(L2261,'Calc|Weightings'!$K$5:$M$5,1,0),"Excl")</f>
        <v>Labour</v>
      </c>
      <c r="O2261" s="7" t="str">
        <f>VLOOKUP(E2261,Mapping!$E$11:$I$96,5,0)</f>
        <v>SCS</v>
      </c>
      <c r="Q2261" s="7"/>
      <c r="R2261" s="7"/>
      <c r="S2261" s="7"/>
      <c r="T2261" s="7"/>
      <c r="U2261" s="7"/>
      <c r="V2261" s="7"/>
      <c r="AC2261" s="7"/>
      <c r="AD2261" s="7"/>
      <c r="AE2261" s="7"/>
      <c r="AF2261" s="7"/>
      <c r="AG2261" s="7"/>
      <c r="AO2261" s="7"/>
      <c r="AP2261" s="7"/>
      <c r="AQ2261" s="7"/>
      <c r="AR2261" s="7"/>
      <c r="AS2261" s="7"/>
    </row>
    <row r="2262" spans="1:45" x14ac:dyDescent="0.2">
      <c r="A2262" s="7"/>
      <c r="B2262" s="7"/>
      <c r="C2262" s="7"/>
      <c r="D2262" s="7"/>
      <c r="E2262" s="36">
        <v>200</v>
      </c>
      <c r="F2262" s="36" t="s">
        <v>2181</v>
      </c>
      <c r="G2262" s="36">
        <v>615009</v>
      </c>
      <c r="H2262" s="36" t="s">
        <v>1708</v>
      </c>
      <c r="I2262" s="37">
        <v>157.3425</v>
      </c>
      <c r="J2262" s="7"/>
      <c r="K2262" s="7" t="str">
        <f>VLOOKUP($E2262,Mapping!$E$11:$I$96,3,0)</f>
        <v>Non-network general assets - IT</v>
      </c>
      <c r="L2262" s="7" t="str">
        <f>VLOOKUP($G2262,Mapping!$E$140:$K$2771,5,0)</f>
        <v>Labour</v>
      </c>
      <c r="M2262" s="7" t="str">
        <f>VLOOKUP($G2262,Mapping!$E$140:$K$2771,7,0)</f>
        <v>ENDirect</v>
      </c>
      <c r="N2262" s="7" t="str">
        <f>IFERROR(HLOOKUP(L2262,'Calc|Weightings'!$K$5:$M$5,1,0),"Excl")</f>
        <v>Labour</v>
      </c>
      <c r="O2262" s="7" t="str">
        <f>VLOOKUP(E2262,Mapping!$E$11:$I$96,5,0)</f>
        <v>SCS</v>
      </c>
      <c r="Q2262" s="7"/>
      <c r="R2262" s="7"/>
      <c r="S2262" s="7"/>
      <c r="T2262" s="7"/>
      <c r="U2262" s="7"/>
      <c r="V2262" s="7"/>
      <c r="AC2262" s="7"/>
      <c r="AD2262" s="7"/>
      <c r="AE2262" s="7"/>
      <c r="AF2262" s="7"/>
      <c r="AG2262" s="7"/>
      <c r="AO2262" s="7"/>
      <c r="AP2262" s="7"/>
      <c r="AQ2262" s="7"/>
      <c r="AR2262" s="7"/>
      <c r="AS2262" s="7"/>
    </row>
    <row r="2263" spans="1:45" x14ac:dyDescent="0.2">
      <c r="A2263" s="7"/>
      <c r="B2263" s="7"/>
      <c r="C2263" s="7"/>
      <c r="D2263" s="7"/>
      <c r="E2263" s="36">
        <v>200</v>
      </c>
      <c r="F2263" s="36" t="s">
        <v>2181</v>
      </c>
      <c r="G2263" s="36">
        <v>615062</v>
      </c>
      <c r="H2263" s="36" t="s">
        <v>1710</v>
      </c>
      <c r="I2263" s="37">
        <v>258.02438000000001</v>
      </c>
      <c r="J2263" s="7"/>
      <c r="K2263" s="7" t="str">
        <f>VLOOKUP($E2263,Mapping!$E$11:$I$96,3,0)</f>
        <v>Non-network general assets - IT</v>
      </c>
      <c r="L2263" s="7" t="str">
        <f>VLOOKUP($G2263,Mapping!$E$140:$K$2771,5,0)</f>
        <v>Labour</v>
      </c>
      <c r="M2263" s="7" t="str">
        <f>VLOOKUP($G2263,Mapping!$E$140:$K$2771,7,0)</f>
        <v>ENDirect</v>
      </c>
      <c r="N2263" s="7" t="str">
        <f>IFERROR(HLOOKUP(L2263,'Calc|Weightings'!$K$5:$M$5,1,0),"Excl")</f>
        <v>Labour</v>
      </c>
      <c r="O2263" s="7" t="str">
        <f>VLOOKUP(E2263,Mapping!$E$11:$I$96,5,0)</f>
        <v>SCS</v>
      </c>
      <c r="Q2263" s="7"/>
      <c r="R2263" s="7"/>
      <c r="S2263" s="7"/>
      <c r="T2263" s="7"/>
      <c r="U2263" s="7"/>
      <c r="V2263" s="7"/>
      <c r="AC2263" s="7"/>
      <c r="AD2263" s="7"/>
      <c r="AE2263" s="7"/>
      <c r="AF2263" s="7"/>
      <c r="AG2263" s="7"/>
      <c r="AO2263" s="7"/>
      <c r="AP2263" s="7"/>
      <c r="AQ2263" s="7"/>
      <c r="AR2263" s="7"/>
      <c r="AS2263" s="7"/>
    </row>
    <row r="2264" spans="1:45" x14ac:dyDescent="0.2">
      <c r="A2264" s="7"/>
      <c r="B2264" s="7"/>
      <c r="C2264" s="7"/>
      <c r="D2264" s="7"/>
      <c r="E2264" s="36">
        <v>205</v>
      </c>
      <c r="F2264" s="36" t="s">
        <v>2184</v>
      </c>
      <c r="G2264" s="36">
        <v>140200</v>
      </c>
      <c r="H2264" s="36" t="s">
        <v>49</v>
      </c>
      <c r="I2264" s="37">
        <v>572.12923000000001</v>
      </c>
      <c r="J2264" s="7"/>
      <c r="K2264" s="7" t="str">
        <f>VLOOKUP($E2264,Mapping!$E$11:$I$96,3,0)</f>
        <v>Metering Capex</v>
      </c>
      <c r="L2264" s="7" t="str">
        <f>VLOOKUP($G2264,Mapping!$E$140:$K$2771,5,0)</f>
        <v>Materials</v>
      </c>
      <c r="M2264" s="7" t="str">
        <f>VLOOKUP($G2264,Mapping!$E$140:$K$2771,7,0)</f>
        <v>ENDirect</v>
      </c>
      <c r="N2264" s="7" t="str">
        <f>IFERROR(HLOOKUP(L2264,'Calc|Weightings'!$K$5:$M$5,1,0),"Excl")</f>
        <v>Materials</v>
      </c>
      <c r="O2264" s="7" t="str">
        <f>VLOOKUP(E2264,Mapping!$E$11:$I$96,5,0)</f>
        <v>Metering Services</v>
      </c>
      <c r="Q2264" s="7"/>
      <c r="R2264" s="7"/>
      <c r="S2264" s="7"/>
      <c r="T2264" s="7"/>
      <c r="U2264" s="7"/>
      <c r="V2264" s="7"/>
      <c r="AC2264" s="7"/>
      <c r="AD2264" s="7"/>
      <c r="AE2264" s="7"/>
      <c r="AF2264" s="7"/>
      <c r="AG2264" s="7"/>
      <c r="AO2264" s="7"/>
      <c r="AP2264" s="7"/>
      <c r="AQ2264" s="7"/>
      <c r="AR2264" s="7"/>
      <c r="AS2264" s="7"/>
    </row>
    <row r="2265" spans="1:45" x14ac:dyDescent="0.2">
      <c r="A2265" s="7"/>
      <c r="B2265" s="7"/>
      <c r="C2265" s="7"/>
      <c r="D2265" s="7"/>
      <c r="E2265" s="36">
        <v>205</v>
      </c>
      <c r="F2265" s="36" t="s">
        <v>2184</v>
      </c>
      <c r="G2265" s="36">
        <v>141112</v>
      </c>
      <c r="H2265" s="36" t="s">
        <v>52</v>
      </c>
      <c r="I2265" s="37">
        <v>278.39999999999998</v>
      </c>
      <c r="J2265" s="7"/>
      <c r="K2265" s="7" t="str">
        <f>VLOOKUP($E2265,Mapping!$E$11:$I$96,3,0)</f>
        <v>Metering Capex</v>
      </c>
      <c r="L2265" s="7" t="str">
        <f>VLOOKUP($G2265,Mapping!$E$140:$K$2771,5,0)</f>
        <v>Materials</v>
      </c>
      <c r="M2265" s="7" t="str">
        <f>VLOOKUP($G2265,Mapping!$E$140:$K$2771,7,0)</f>
        <v>ENDirect</v>
      </c>
      <c r="N2265" s="7" t="str">
        <f>IFERROR(HLOOKUP(L2265,'Calc|Weightings'!$K$5:$M$5,1,0),"Excl")</f>
        <v>Materials</v>
      </c>
      <c r="O2265" s="7" t="str">
        <f>VLOOKUP(E2265,Mapping!$E$11:$I$96,5,0)</f>
        <v>Metering Services</v>
      </c>
      <c r="Q2265" s="7"/>
      <c r="R2265" s="7"/>
      <c r="S2265" s="7"/>
      <c r="T2265" s="7"/>
      <c r="U2265" s="7"/>
      <c r="V2265" s="7"/>
      <c r="AC2265" s="7"/>
      <c r="AD2265" s="7"/>
      <c r="AE2265" s="7"/>
      <c r="AF2265" s="7"/>
      <c r="AG2265" s="7"/>
      <c r="AO2265" s="7"/>
      <c r="AP2265" s="7"/>
      <c r="AQ2265" s="7"/>
      <c r="AR2265" s="7"/>
      <c r="AS2265" s="7"/>
    </row>
    <row r="2266" spans="1:45" x14ac:dyDescent="0.2">
      <c r="A2266" s="7"/>
      <c r="B2266" s="7"/>
      <c r="C2266" s="7"/>
      <c r="D2266" s="7"/>
      <c r="E2266" s="36">
        <v>205</v>
      </c>
      <c r="F2266" s="36" t="s">
        <v>2184</v>
      </c>
      <c r="G2266" s="36">
        <v>524100</v>
      </c>
      <c r="H2266" s="36" t="s">
        <v>2188</v>
      </c>
      <c r="I2266" s="37">
        <v>11.03708</v>
      </c>
      <c r="J2266" s="7"/>
      <c r="K2266" s="7" t="str">
        <f>VLOOKUP($E2266,Mapping!$E$11:$I$96,3,0)</f>
        <v>Metering Capex</v>
      </c>
      <c r="L2266" s="7" t="str">
        <f>VLOOKUP($G2266,Mapping!$E$140:$K$2771,5,0)</f>
        <v>Materials</v>
      </c>
      <c r="M2266" s="7" t="str">
        <f>VLOOKUP($G2266,Mapping!$E$140:$K$2771,7,0)</f>
        <v>ENDirect</v>
      </c>
      <c r="N2266" s="7" t="str">
        <f>IFERROR(HLOOKUP(L2266,'Calc|Weightings'!$K$5:$M$5,1,0),"Excl")</f>
        <v>Materials</v>
      </c>
      <c r="O2266" s="7" t="str">
        <f>VLOOKUP(E2266,Mapping!$E$11:$I$96,5,0)</f>
        <v>Metering Services</v>
      </c>
      <c r="Q2266" s="7"/>
      <c r="R2266" s="7"/>
      <c r="S2266" s="7"/>
      <c r="T2266" s="7"/>
      <c r="U2266" s="7"/>
      <c r="V2266" s="7"/>
      <c r="AC2266" s="7"/>
      <c r="AD2266" s="7"/>
      <c r="AE2266" s="7"/>
      <c r="AF2266" s="7"/>
      <c r="AG2266" s="7"/>
      <c r="AO2266" s="7"/>
      <c r="AP2266" s="7"/>
      <c r="AQ2266" s="7"/>
      <c r="AR2266" s="7"/>
      <c r="AS2266" s="7"/>
    </row>
    <row r="2267" spans="1:45" x14ac:dyDescent="0.2">
      <c r="A2267" s="7"/>
      <c r="B2267" s="7"/>
      <c r="C2267" s="7"/>
      <c r="D2267" s="7"/>
      <c r="E2267" s="36">
        <v>205</v>
      </c>
      <c r="F2267" s="36" t="s">
        <v>2184</v>
      </c>
      <c r="G2267" s="36">
        <v>524200</v>
      </c>
      <c r="H2267" s="36" t="s">
        <v>2182</v>
      </c>
      <c r="I2267" s="37">
        <v>10.56559</v>
      </c>
      <c r="J2267" s="7"/>
      <c r="K2267" s="7" t="str">
        <f>VLOOKUP($E2267,Mapping!$E$11:$I$96,3,0)</f>
        <v>Metering Capex</v>
      </c>
      <c r="L2267" s="7" t="str">
        <f>VLOOKUP($G2267,Mapping!$E$140:$K$2771,5,0)</f>
        <v>Materials</v>
      </c>
      <c r="M2267" s="7" t="str">
        <f>VLOOKUP($G2267,Mapping!$E$140:$K$2771,7,0)</f>
        <v>ENDirect</v>
      </c>
      <c r="N2267" s="7" t="str">
        <f>IFERROR(HLOOKUP(L2267,'Calc|Weightings'!$K$5:$M$5,1,0),"Excl")</f>
        <v>Materials</v>
      </c>
      <c r="O2267" s="7" t="str">
        <f>VLOOKUP(E2267,Mapping!$E$11:$I$96,5,0)</f>
        <v>Metering Services</v>
      </c>
      <c r="Q2267" s="7"/>
      <c r="R2267" s="7"/>
      <c r="S2267" s="7"/>
      <c r="T2267" s="7"/>
      <c r="U2267" s="7"/>
      <c r="V2267" s="7"/>
      <c r="AC2267" s="7"/>
      <c r="AD2267" s="7"/>
      <c r="AE2267" s="7"/>
      <c r="AF2267" s="7"/>
      <c r="AG2267" s="7"/>
      <c r="AO2267" s="7"/>
      <c r="AP2267" s="7"/>
      <c r="AQ2267" s="7"/>
      <c r="AR2267" s="7"/>
      <c r="AS2267" s="7"/>
    </row>
    <row r="2268" spans="1:45" x14ac:dyDescent="0.2">
      <c r="A2268" s="7"/>
      <c r="B2268" s="7"/>
      <c r="C2268" s="7"/>
      <c r="D2268" s="7"/>
      <c r="E2268" s="36">
        <v>205</v>
      </c>
      <c r="F2268" s="36" t="s">
        <v>2184</v>
      </c>
      <c r="G2268" s="36">
        <v>601156</v>
      </c>
      <c r="H2268" s="36" t="s">
        <v>406</v>
      </c>
      <c r="I2268" s="37">
        <v>1377.57656</v>
      </c>
      <c r="J2268" s="7"/>
      <c r="K2268" s="7" t="str">
        <f>VLOOKUP($E2268,Mapping!$E$11:$I$96,3,0)</f>
        <v>Metering Capex</v>
      </c>
      <c r="L2268" s="7" t="str">
        <f>VLOOKUP($G2268,Mapping!$E$140:$K$2771,5,0)</f>
        <v>Labour</v>
      </c>
      <c r="M2268" s="7" t="str">
        <f>VLOOKUP($G2268,Mapping!$E$140:$K$2771,7,0)</f>
        <v>ENDirect</v>
      </c>
      <c r="N2268" s="7" t="str">
        <f>IFERROR(HLOOKUP(L2268,'Calc|Weightings'!$K$5:$M$5,1,0),"Excl")</f>
        <v>Labour</v>
      </c>
      <c r="O2268" s="7" t="str">
        <f>VLOOKUP(E2268,Mapping!$E$11:$I$96,5,0)</f>
        <v>Metering Services</v>
      </c>
      <c r="Q2268" s="7"/>
      <c r="R2268" s="7"/>
      <c r="S2268" s="7"/>
      <c r="T2268" s="7"/>
      <c r="U2268" s="7"/>
      <c r="V2268" s="7"/>
      <c r="AC2268" s="7"/>
      <c r="AD2268" s="7"/>
      <c r="AE2268" s="7"/>
      <c r="AF2268" s="7"/>
      <c r="AG2268" s="7"/>
      <c r="AO2268" s="7"/>
      <c r="AP2268" s="7"/>
      <c r="AQ2268" s="7"/>
      <c r="AR2268" s="7"/>
      <c r="AS2268" s="7"/>
    </row>
    <row r="2269" spans="1:45" x14ac:dyDescent="0.2">
      <c r="A2269" s="7"/>
      <c r="B2269" s="7"/>
      <c r="C2269" s="7"/>
      <c r="D2269" s="7"/>
      <c r="E2269" s="36">
        <v>205</v>
      </c>
      <c r="F2269" s="36" t="s">
        <v>2184</v>
      </c>
      <c r="G2269" s="36">
        <v>601157</v>
      </c>
      <c r="H2269" s="36" t="s">
        <v>407</v>
      </c>
      <c r="I2269" s="37">
        <v>179.08494999999999</v>
      </c>
      <c r="J2269" s="7"/>
      <c r="K2269" s="7" t="str">
        <f>VLOOKUP($E2269,Mapping!$E$11:$I$96,3,0)</f>
        <v>Metering Capex</v>
      </c>
      <c r="L2269" s="7" t="str">
        <f>VLOOKUP($G2269,Mapping!$E$140:$K$2771,5,0)</f>
        <v>IT Project MG</v>
      </c>
      <c r="M2269" s="7" t="str">
        <f>VLOOKUP($G2269,Mapping!$E$140:$K$2771,7,0)</f>
        <v>ENDirect</v>
      </c>
      <c r="N2269" s="7" t="str">
        <f>IFERROR(HLOOKUP(L2269,'Calc|Weightings'!$K$5:$M$5,1,0),"Excl")</f>
        <v>Excl</v>
      </c>
      <c r="O2269" s="7" t="str">
        <f>VLOOKUP(E2269,Mapping!$E$11:$I$96,5,0)</f>
        <v>Metering Services</v>
      </c>
      <c r="Q2269" s="7"/>
      <c r="R2269" s="7"/>
      <c r="S2269" s="7"/>
      <c r="T2269" s="7"/>
      <c r="U2269" s="7"/>
      <c r="V2269" s="7"/>
      <c r="AC2269" s="7"/>
      <c r="AD2269" s="7"/>
      <c r="AE2269" s="7"/>
      <c r="AF2269" s="7"/>
      <c r="AG2269" s="7"/>
      <c r="AO2269" s="7"/>
      <c r="AP2269" s="7"/>
      <c r="AQ2269" s="7"/>
      <c r="AR2269" s="7"/>
      <c r="AS2269" s="7"/>
    </row>
    <row r="2270" spans="1:45" x14ac:dyDescent="0.2">
      <c r="A2270" s="7"/>
      <c r="B2270" s="7"/>
      <c r="C2270" s="7"/>
      <c r="D2270" s="7"/>
      <c r="E2270" s="36">
        <v>210</v>
      </c>
      <c r="F2270" s="36" t="s">
        <v>2185</v>
      </c>
      <c r="G2270" s="36">
        <v>140180</v>
      </c>
      <c r="H2270" s="36" t="s">
        <v>48</v>
      </c>
      <c r="I2270" s="37">
        <v>12.414350000000001</v>
      </c>
      <c r="J2270" s="7"/>
      <c r="K2270" s="7" t="str">
        <f>VLOOKUP($E2270,Mapping!$E$11:$I$96,3,0)</f>
        <v>Non-network general assets - Other</v>
      </c>
      <c r="L2270" s="7" t="str">
        <f>VLOOKUP($G2270,Mapping!$E$140:$K$2771,5,0)</f>
        <v>Materials</v>
      </c>
      <c r="M2270" s="7" t="str">
        <f>VLOOKUP($G2270,Mapping!$E$140:$K$2771,7,0)</f>
        <v>ENDirect</v>
      </c>
      <c r="N2270" s="7" t="str">
        <f>IFERROR(HLOOKUP(L2270,'Calc|Weightings'!$K$5:$M$5,1,0),"Excl")</f>
        <v>Materials</v>
      </c>
      <c r="O2270" s="7" t="str">
        <f>VLOOKUP(E2270,Mapping!$E$11:$I$96,5,0)</f>
        <v>SCS</v>
      </c>
      <c r="Q2270" s="7"/>
      <c r="R2270" s="7"/>
      <c r="S2270" s="7"/>
      <c r="T2270" s="7"/>
      <c r="U2270" s="7"/>
      <c r="V2270" s="7"/>
      <c r="AC2270" s="7"/>
      <c r="AD2270" s="7"/>
      <c r="AE2270" s="7"/>
      <c r="AF2270" s="7"/>
      <c r="AG2270" s="7"/>
      <c r="AO2270" s="7"/>
      <c r="AP2270" s="7"/>
      <c r="AQ2270" s="7"/>
      <c r="AR2270" s="7"/>
      <c r="AS2270" s="7"/>
    </row>
    <row r="2271" spans="1:45" x14ac:dyDescent="0.2">
      <c r="A2271" s="7"/>
      <c r="B2271" s="7"/>
      <c r="C2271" s="7"/>
      <c r="D2271" s="7"/>
      <c r="E2271" s="36">
        <v>210</v>
      </c>
      <c r="F2271" s="36" t="s">
        <v>2185</v>
      </c>
      <c r="G2271" s="36">
        <v>140200</v>
      </c>
      <c r="H2271" s="36" t="s">
        <v>49</v>
      </c>
      <c r="I2271" s="37">
        <v>216.43826000000001</v>
      </c>
      <c r="J2271" s="7"/>
      <c r="K2271" s="7" t="str">
        <f>VLOOKUP($E2271,Mapping!$E$11:$I$96,3,0)</f>
        <v>Non-network general assets - Other</v>
      </c>
      <c r="L2271" s="7" t="str">
        <f>VLOOKUP($G2271,Mapping!$E$140:$K$2771,5,0)</f>
        <v>Materials</v>
      </c>
      <c r="M2271" s="7" t="str">
        <f>VLOOKUP($G2271,Mapping!$E$140:$K$2771,7,0)</f>
        <v>ENDirect</v>
      </c>
      <c r="N2271" s="7" t="str">
        <f>IFERROR(HLOOKUP(L2271,'Calc|Weightings'!$K$5:$M$5,1,0),"Excl")</f>
        <v>Materials</v>
      </c>
      <c r="O2271" s="7" t="str">
        <f>VLOOKUP(E2271,Mapping!$E$11:$I$96,5,0)</f>
        <v>SCS</v>
      </c>
      <c r="Q2271" s="7"/>
      <c r="R2271" s="7"/>
      <c r="S2271" s="7"/>
      <c r="T2271" s="7"/>
      <c r="U2271" s="7"/>
      <c r="V2271" s="7"/>
      <c r="AC2271" s="7"/>
      <c r="AD2271" s="7"/>
      <c r="AE2271" s="7"/>
      <c r="AF2271" s="7"/>
      <c r="AG2271" s="7"/>
      <c r="AO2271" s="7"/>
      <c r="AP2271" s="7"/>
      <c r="AQ2271" s="7"/>
      <c r="AR2271" s="7"/>
      <c r="AS2271" s="7"/>
    </row>
    <row r="2272" spans="1:45" x14ac:dyDescent="0.2">
      <c r="A2272" s="7"/>
      <c r="B2272" s="7"/>
      <c r="C2272" s="7"/>
      <c r="D2272" s="7"/>
      <c r="E2272" s="36">
        <v>220</v>
      </c>
      <c r="F2272" s="36" t="s">
        <v>2186</v>
      </c>
      <c r="G2272" s="36">
        <v>140200</v>
      </c>
      <c r="H2272" s="36" t="s">
        <v>49</v>
      </c>
      <c r="I2272" s="37">
        <v>4.0490000000000004</v>
      </c>
      <c r="J2272" s="7"/>
      <c r="K2272" s="7" t="str">
        <f>VLOOKUP($E2272,Mapping!$E$11:$I$96,3,0)</f>
        <v>Non-network general assets - Other</v>
      </c>
      <c r="L2272" s="7" t="str">
        <f>VLOOKUP($G2272,Mapping!$E$140:$K$2771,5,0)</f>
        <v>Materials</v>
      </c>
      <c r="M2272" s="7" t="str">
        <f>VLOOKUP($G2272,Mapping!$E$140:$K$2771,7,0)</f>
        <v>ENDirect</v>
      </c>
      <c r="N2272" s="7" t="str">
        <f>IFERROR(HLOOKUP(L2272,'Calc|Weightings'!$K$5:$M$5,1,0),"Excl")</f>
        <v>Materials</v>
      </c>
      <c r="O2272" s="7" t="str">
        <f>VLOOKUP(E2272,Mapping!$E$11:$I$96,5,0)</f>
        <v>SCS</v>
      </c>
      <c r="Q2272" s="7"/>
      <c r="R2272" s="7"/>
      <c r="S2272" s="7"/>
      <c r="T2272" s="7"/>
      <c r="U2272" s="7"/>
      <c r="V2272" s="7"/>
      <c r="AC2272" s="7"/>
      <c r="AD2272" s="7"/>
      <c r="AE2272" s="7"/>
      <c r="AF2272" s="7"/>
      <c r="AG2272" s="7"/>
      <c r="AO2272" s="7"/>
      <c r="AP2272" s="7"/>
      <c r="AQ2272" s="7"/>
      <c r="AR2272" s="7"/>
      <c r="AS2272" s="7"/>
    </row>
    <row r="2273" spans="1:45" x14ac:dyDescent="0.2">
      <c r="A2273" s="7"/>
      <c r="B2273" s="7"/>
      <c r="C2273" s="7"/>
      <c r="D2273" s="7"/>
      <c r="E2273" s="36">
        <v>220</v>
      </c>
      <c r="F2273" s="36" t="s">
        <v>2186</v>
      </c>
      <c r="G2273" s="36">
        <v>523300</v>
      </c>
      <c r="H2273" s="36" t="s">
        <v>2075</v>
      </c>
      <c r="I2273" s="37">
        <v>4.8719999999999999</v>
      </c>
      <c r="J2273" s="7"/>
      <c r="K2273" s="7" t="str">
        <f>VLOOKUP($E2273,Mapping!$E$11:$I$96,3,0)</f>
        <v>Non-network general assets - Other</v>
      </c>
      <c r="L2273" s="7" t="str">
        <f>VLOOKUP($G2273,Mapping!$E$140:$K$2771,5,0)</f>
        <v>Materials</v>
      </c>
      <c r="M2273" s="7" t="str">
        <f>VLOOKUP($G2273,Mapping!$E$140:$K$2771,7,0)</f>
        <v>ENDirect</v>
      </c>
      <c r="N2273" s="7" t="str">
        <f>IFERROR(HLOOKUP(L2273,'Calc|Weightings'!$K$5:$M$5,1,0),"Excl")</f>
        <v>Materials</v>
      </c>
      <c r="O2273" s="7" t="str">
        <f>VLOOKUP(E2273,Mapping!$E$11:$I$96,5,0)</f>
        <v>SCS</v>
      </c>
      <c r="Q2273" s="7"/>
      <c r="R2273" s="7"/>
      <c r="S2273" s="7"/>
      <c r="T2273" s="7"/>
      <c r="U2273" s="7"/>
      <c r="V2273" s="7"/>
      <c r="AC2273" s="7"/>
      <c r="AD2273" s="7"/>
      <c r="AE2273" s="7"/>
      <c r="AF2273" s="7"/>
      <c r="AG2273" s="7"/>
      <c r="AO2273" s="7"/>
      <c r="AP2273" s="7"/>
      <c r="AQ2273" s="7"/>
      <c r="AR2273" s="7"/>
      <c r="AS2273" s="7"/>
    </row>
    <row r="2274" spans="1:45" x14ac:dyDescent="0.2">
      <c r="A2274" s="7"/>
      <c r="B2274" s="7"/>
      <c r="C2274" s="7"/>
      <c r="D2274" s="7"/>
      <c r="E2274" s="36">
        <v>230</v>
      </c>
      <c r="F2274" s="36" t="s">
        <v>2187</v>
      </c>
      <c r="G2274" s="36">
        <v>140120</v>
      </c>
      <c r="H2274" s="36" t="s">
        <v>46</v>
      </c>
      <c r="I2274" s="37">
        <v>55.31758</v>
      </c>
      <c r="J2274" s="7"/>
      <c r="K2274" s="7" t="str">
        <f>VLOOKUP($E2274,Mapping!$E$11:$I$96,3,0)</f>
        <v>Non-network general assets - Other</v>
      </c>
      <c r="L2274" s="7" t="str">
        <f>VLOOKUP($G2274,Mapping!$E$140:$K$2771,5,0)</f>
        <v>Materials</v>
      </c>
      <c r="M2274" s="7" t="str">
        <f>VLOOKUP($G2274,Mapping!$E$140:$K$2771,7,0)</f>
        <v>ENDirect</v>
      </c>
      <c r="N2274" s="7" t="str">
        <f>IFERROR(HLOOKUP(L2274,'Calc|Weightings'!$K$5:$M$5,1,0),"Excl")</f>
        <v>Materials</v>
      </c>
      <c r="O2274" s="7" t="str">
        <f>VLOOKUP(E2274,Mapping!$E$11:$I$96,5,0)</f>
        <v>SCS</v>
      </c>
      <c r="Q2274" s="7"/>
      <c r="R2274" s="7"/>
      <c r="S2274" s="7"/>
      <c r="T2274" s="7"/>
      <c r="U2274" s="7"/>
      <c r="V2274" s="7"/>
      <c r="AC2274" s="7"/>
      <c r="AD2274" s="7"/>
      <c r="AE2274" s="7"/>
      <c r="AF2274" s="7"/>
      <c r="AG2274" s="7"/>
      <c r="AO2274" s="7"/>
      <c r="AP2274" s="7"/>
      <c r="AQ2274" s="7"/>
      <c r="AR2274" s="7"/>
      <c r="AS2274" s="7"/>
    </row>
    <row r="2275" spans="1:45" x14ac:dyDescent="0.2">
      <c r="A2275" s="7"/>
      <c r="B2275" s="7"/>
      <c r="C2275" s="7"/>
      <c r="D2275" s="7"/>
      <c r="E2275" s="36">
        <v>230</v>
      </c>
      <c r="F2275" s="36" t="s">
        <v>2187</v>
      </c>
      <c r="G2275" s="36">
        <v>140200</v>
      </c>
      <c r="H2275" s="36" t="s">
        <v>49</v>
      </c>
      <c r="I2275" s="37">
        <v>3.4047999999999998</v>
      </c>
      <c r="J2275" s="7"/>
      <c r="K2275" s="7" t="str">
        <f>VLOOKUP($E2275,Mapping!$E$11:$I$96,3,0)</f>
        <v>Non-network general assets - Other</v>
      </c>
      <c r="L2275" s="7" t="str">
        <f>VLOOKUP($G2275,Mapping!$E$140:$K$2771,5,0)</f>
        <v>Materials</v>
      </c>
      <c r="M2275" s="7" t="str">
        <f>VLOOKUP($G2275,Mapping!$E$140:$K$2771,7,0)</f>
        <v>ENDirect</v>
      </c>
      <c r="N2275" s="7" t="str">
        <f>IFERROR(HLOOKUP(L2275,'Calc|Weightings'!$K$5:$M$5,1,0),"Excl")</f>
        <v>Materials</v>
      </c>
      <c r="O2275" s="7" t="str">
        <f>VLOOKUP(E2275,Mapping!$E$11:$I$96,5,0)</f>
        <v>SCS</v>
      </c>
      <c r="Q2275" s="7"/>
      <c r="R2275" s="7"/>
      <c r="S2275" s="7"/>
      <c r="T2275" s="7"/>
      <c r="U2275" s="7"/>
      <c r="V2275" s="7"/>
      <c r="AC2275" s="7"/>
      <c r="AD2275" s="7"/>
      <c r="AE2275" s="7"/>
      <c r="AF2275" s="7"/>
      <c r="AG2275" s="7"/>
      <c r="AO2275" s="7"/>
      <c r="AP2275" s="7"/>
      <c r="AQ2275" s="7"/>
      <c r="AR2275" s="7"/>
      <c r="AS2275" s="7"/>
    </row>
    <row r="2276" spans="1:45" x14ac:dyDescent="0.2">
      <c r="A2276" s="7"/>
      <c r="B2276" s="7"/>
      <c r="C2276" s="7"/>
      <c r="D2276" s="7"/>
      <c r="E2276" s="36">
        <v>230</v>
      </c>
      <c r="F2276" s="36" t="s">
        <v>2187</v>
      </c>
      <c r="G2276" s="36">
        <v>523300</v>
      </c>
      <c r="H2276" s="36" t="s">
        <v>2075</v>
      </c>
      <c r="I2276" s="37">
        <v>-52.60718</v>
      </c>
      <c r="J2276" s="7"/>
      <c r="K2276" s="7" t="str">
        <f>VLOOKUP($E2276,Mapping!$E$11:$I$96,3,0)</f>
        <v>Non-network general assets - Other</v>
      </c>
      <c r="L2276" s="7" t="str">
        <f>VLOOKUP($G2276,Mapping!$E$140:$K$2771,5,0)</f>
        <v>Materials</v>
      </c>
      <c r="M2276" s="7" t="str">
        <f>VLOOKUP($G2276,Mapping!$E$140:$K$2771,7,0)</f>
        <v>ENDirect</v>
      </c>
      <c r="N2276" s="7" t="str">
        <f>IFERROR(HLOOKUP(L2276,'Calc|Weightings'!$K$5:$M$5,1,0),"Excl")</f>
        <v>Materials</v>
      </c>
      <c r="O2276" s="7" t="str">
        <f>VLOOKUP(E2276,Mapping!$E$11:$I$96,5,0)</f>
        <v>SCS</v>
      </c>
      <c r="Q2276" s="7"/>
      <c r="R2276" s="7"/>
      <c r="S2276" s="7"/>
      <c r="T2276" s="7"/>
      <c r="U2276" s="7"/>
      <c r="V2276" s="7"/>
      <c r="AC2276" s="7"/>
      <c r="AD2276" s="7"/>
      <c r="AE2276" s="7"/>
      <c r="AF2276" s="7"/>
      <c r="AG2276" s="7"/>
      <c r="AO2276" s="7"/>
      <c r="AP2276" s="7"/>
      <c r="AQ2276" s="7"/>
      <c r="AR2276" s="7"/>
      <c r="AS2276" s="7"/>
    </row>
    <row r="2277" spans="1:45" x14ac:dyDescent="0.2">
      <c r="A2277" s="7"/>
      <c r="B2277" s="7"/>
      <c r="C2277" s="7"/>
      <c r="D2277" s="7"/>
      <c r="E2277" s="36">
        <v>230</v>
      </c>
      <c r="F2277" s="36" t="s">
        <v>2187</v>
      </c>
      <c r="G2277" s="36">
        <v>532500</v>
      </c>
      <c r="H2277" s="36" t="s">
        <v>308</v>
      </c>
      <c r="I2277" s="37">
        <v>13.70796</v>
      </c>
      <c r="J2277" s="7"/>
      <c r="K2277" s="7" t="str">
        <f>VLOOKUP($E2277,Mapping!$E$11:$I$96,3,0)</f>
        <v>Non-network general assets - Other</v>
      </c>
      <c r="L2277" s="7" t="str">
        <f>VLOOKUP($G2277,Mapping!$E$140:$K$2771,5,0)</f>
        <v>Contracts</v>
      </c>
      <c r="M2277" s="7" t="str">
        <f>VLOOKUP($G2277,Mapping!$E$140:$K$2771,7,0)</f>
        <v>ENDirect</v>
      </c>
      <c r="N2277" s="7" t="str">
        <f>IFERROR(HLOOKUP(L2277,'Calc|Weightings'!$K$5:$M$5,1,0),"Excl")</f>
        <v>Contracts</v>
      </c>
      <c r="O2277" s="7" t="str">
        <f>VLOOKUP(E2277,Mapping!$E$11:$I$96,5,0)</f>
        <v>SCS</v>
      </c>
      <c r="Q2277" s="7"/>
      <c r="R2277" s="7"/>
      <c r="S2277" s="7"/>
      <c r="T2277" s="7"/>
      <c r="U2277" s="7"/>
      <c r="V2277" s="7"/>
      <c r="AC2277" s="7"/>
      <c r="AD2277" s="7"/>
      <c r="AE2277" s="7"/>
      <c r="AF2277" s="7"/>
      <c r="AG2277" s="7"/>
      <c r="AO2277" s="7"/>
      <c r="AP2277" s="7"/>
      <c r="AQ2277" s="7"/>
      <c r="AR2277" s="7"/>
      <c r="AS2277" s="7"/>
    </row>
    <row r="2278" spans="1:45" x14ac:dyDescent="0.2">
      <c r="A2278" s="7"/>
      <c r="B2278" s="7"/>
      <c r="C2278" s="7"/>
      <c r="D2278" s="7"/>
      <c r="E2278" s="36">
        <v>240</v>
      </c>
      <c r="F2278" s="36" t="s">
        <v>2190</v>
      </c>
      <c r="G2278" s="36">
        <v>140180</v>
      </c>
      <c r="H2278" s="36" t="s">
        <v>48</v>
      </c>
      <c r="I2278" s="37">
        <v>229.14574999999999</v>
      </c>
      <c r="J2278" s="7"/>
      <c r="K2278" s="7" t="str">
        <f>VLOOKUP($E2278,Mapping!$E$11:$I$96,3,0)</f>
        <v>Non-network general assets - Other</v>
      </c>
      <c r="L2278" s="7" t="str">
        <f>VLOOKUP($G2278,Mapping!$E$140:$K$2771,5,0)</f>
        <v>Materials</v>
      </c>
      <c r="M2278" s="7" t="str">
        <f>VLOOKUP($G2278,Mapping!$E$140:$K$2771,7,0)</f>
        <v>ENDirect</v>
      </c>
      <c r="N2278" s="7" t="str">
        <f>IFERROR(HLOOKUP(L2278,'Calc|Weightings'!$K$5:$M$5,1,0),"Excl")</f>
        <v>Materials</v>
      </c>
      <c r="O2278" s="7" t="str">
        <f>VLOOKUP(E2278,Mapping!$E$11:$I$96,5,0)</f>
        <v>SCS</v>
      </c>
      <c r="Q2278" s="7"/>
      <c r="R2278" s="7"/>
      <c r="S2278" s="7"/>
      <c r="T2278" s="7"/>
      <c r="U2278" s="7"/>
      <c r="V2278" s="7"/>
      <c r="AC2278" s="7"/>
      <c r="AD2278" s="7"/>
      <c r="AE2278" s="7"/>
      <c r="AF2278" s="7"/>
      <c r="AG2278" s="7"/>
      <c r="AO2278" s="7"/>
      <c r="AP2278" s="7"/>
      <c r="AQ2278" s="7"/>
      <c r="AR2278" s="7"/>
      <c r="AS2278" s="7"/>
    </row>
    <row r="2279" spans="1:45" x14ac:dyDescent="0.2">
      <c r="A2279" s="7"/>
      <c r="B2279" s="7"/>
      <c r="C2279" s="7"/>
      <c r="D2279" s="7"/>
      <c r="E2279" s="36">
        <v>270</v>
      </c>
      <c r="F2279" s="36" t="s">
        <v>2192</v>
      </c>
      <c r="G2279" s="36">
        <v>525000</v>
      </c>
      <c r="H2279" s="36" t="s">
        <v>2183</v>
      </c>
      <c r="I2279" s="37">
        <v>513.35351000000003</v>
      </c>
      <c r="J2279" s="7"/>
      <c r="K2279" s="7" t="str">
        <f>VLOOKUP($E2279,Mapping!$E$11:$I$96,3,0)</f>
        <v>Non-network general assets - IT</v>
      </c>
      <c r="L2279" s="7" t="str">
        <f>VLOOKUP($G2279,Mapping!$E$140:$K$2771,5,0)</f>
        <v>Materials</v>
      </c>
      <c r="M2279" s="7" t="str">
        <f>VLOOKUP($G2279,Mapping!$E$140:$K$2771,7,0)</f>
        <v>ENDirect</v>
      </c>
      <c r="N2279" s="7" t="str">
        <f>IFERROR(HLOOKUP(L2279,'Calc|Weightings'!$K$5:$M$5,1,0),"Excl")</f>
        <v>Materials</v>
      </c>
      <c r="O2279" s="7" t="str">
        <f>VLOOKUP(E2279,Mapping!$E$11:$I$96,5,0)</f>
        <v>SCS</v>
      </c>
      <c r="Q2279" s="7"/>
      <c r="R2279" s="7"/>
      <c r="S2279" s="7"/>
      <c r="T2279" s="7"/>
      <c r="U2279" s="7"/>
      <c r="V2279" s="7"/>
      <c r="AC2279" s="7"/>
      <c r="AD2279" s="7"/>
      <c r="AE2279" s="7"/>
      <c r="AF2279" s="7"/>
      <c r="AG2279" s="7"/>
      <c r="AO2279" s="7"/>
      <c r="AP2279" s="7"/>
      <c r="AQ2279" s="7"/>
      <c r="AR2279" s="7"/>
      <c r="AS2279" s="7"/>
    </row>
    <row r="2280" spans="1:45" x14ac:dyDescent="0.2">
      <c r="A2280" s="7"/>
      <c r="B2280" s="7"/>
      <c r="C2280" s="7"/>
      <c r="D2280" s="7"/>
      <c r="E2280" s="36">
        <v>273</v>
      </c>
      <c r="F2280" s="36" t="s">
        <v>2388</v>
      </c>
      <c r="G2280" s="36">
        <v>520100</v>
      </c>
      <c r="H2280" s="36" t="s">
        <v>2072</v>
      </c>
      <c r="I2280" s="37">
        <v>229.68495999999999</v>
      </c>
      <c r="J2280" s="7"/>
      <c r="K2280" s="7" t="str">
        <f>VLOOKUP($E2280,Mapping!$E$11:$I$96,3,0)</f>
        <v>Non-network general assets - Other</v>
      </c>
      <c r="L2280" s="7" t="str">
        <f>VLOOKUP($G2280,Mapping!$E$140:$K$2771,5,0)</f>
        <v>Materials</v>
      </c>
      <c r="M2280" s="7" t="str">
        <f>VLOOKUP($G2280,Mapping!$E$140:$K$2771,7,0)</f>
        <v>ENDirect</v>
      </c>
      <c r="N2280" s="7" t="str">
        <f>IFERROR(HLOOKUP(L2280,'Calc|Weightings'!$K$5:$M$5,1,0),"Excl")</f>
        <v>Materials</v>
      </c>
      <c r="O2280" s="7" t="s">
        <v>2395</v>
      </c>
      <c r="Q2280" s="7"/>
      <c r="R2280" s="7"/>
      <c r="S2280" s="7"/>
      <c r="T2280" s="7"/>
      <c r="U2280" s="7"/>
      <c r="V2280" s="7"/>
      <c r="AC2280" s="7"/>
      <c r="AD2280" s="7"/>
      <c r="AE2280" s="7"/>
      <c r="AF2280" s="7"/>
      <c r="AG2280" s="7"/>
      <c r="AO2280" s="7"/>
      <c r="AP2280" s="7"/>
      <c r="AQ2280" s="7"/>
      <c r="AR2280" s="7"/>
      <c r="AS2280" s="7"/>
    </row>
    <row r="2281" spans="1:45" x14ac:dyDescent="0.2">
      <c r="A2281" s="7"/>
      <c r="B2281" s="7"/>
      <c r="C2281" s="7"/>
      <c r="D2281" s="7"/>
      <c r="E2281" s="36">
        <v>273</v>
      </c>
      <c r="F2281" s="36" t="s">
        <v>2388</v>
      </c>
      <c r="G2281" s="36">
        <v>523300</v>
      </c>
      <c r="H2281" s="36" t="s">
        <v>2075</v>
      </c>
      <c r="I2281" s="37">
        <v>45</v>
      </c>
      <c r="J2281" s="7"/>
      <c r="K2281" s="7" t="str">
        <f>VLOOKUP($E2281,Mapping!$E$11:$I$96,3,0)</f>
        <v>Non-network general assets - Other</v>
      </c>
      <c r="L2281" s="7" t="str">
        <f>VLOOKUP($G2281,Mapping!$E$140:$K$2771,5,0)</f>
        <v>Materials</v>
      </c>
      <c r="M2281" s="7" t="str">
        <f>VLOOKUP($G2281,Mapping!$E$140:$K$2771,7,0)</f>
        <v>ENDirect</v>
      </c>
      <c r="N2281" s="7" t="str">
        <f>IFERROR(HLOOKUP(L2281,'Calc|Weightings'!$K$5:$M$5,1,0),"Excl")</f>
        <v>Materials</v>
      </c>
      <c r="O2281" s="7" t="s">
        <v>2395</v>
      </c>
      <c r="Q2281" s="7"/>
      <c r="R2281" s="7"/>
      <c r="S2281" s="7"/>
      <c r="T2281" s="7"/>
      <c r="U2281" s="7"/>
      <c r="V2281" s="7"/>
      <c r="AC2281" s="7"/>
      <c r="AD2281" s="7"/>
      <c r="AE2281" s="7"/>
      <c r="AF2281" s="7"/>
      <c r="AG2281" s="7"/>
      <c r="AO2281" s="7"/>
      <c r="AP2281" s="7"/>
      <c r="AQ2281" s="7"/>
      <c r="AR2281" s="7"/>
      <c r="AS2281" s="7"/>
    </row>
    <row r="2282" spans="1:45" x14ac:dyDescent="0.2">
      <c r="A2282" s="7"/>
      <c r="B2282" s="7"/>
      <c r="C2282" s="7"/>
      <c r="D2282" s="7"/>
      <c r="E2282" s="36">
        <v>273</v>
      </c>
      <c r="F2282" s="36" t="s">
        <v>2388</v>
      </c>
      <c r="G2282" s="36">
        <v>531200</v>
      </c>
      <c r="H2282" s="36" t="s">
        <v>250</v>
      </c>
      <c r="I2282" s="37">
        <v>176</v>
      </c>
      <c r="J2282" s="7"/>
      <c r="K2282" s="7" t="str">
        <f>VLOOKUP($E2282,Mapping!$E$11:$I$96,3,0)</f>
        <v>Non-network general assets - Other</v>
      </c>
      <c r="L2282" s="7" t="str">
        <f>VLOOKUP($G2282,Mapping!$E$140:$K$2771,5,0)</f>
        <v>Contracts</v>
      </c>
      <c r="M2282" s="7" t="str">
        <f>VLOOKUP($G2282,Mapping!$E$140:$K$2771,7,0)</f>
        <v>ENDirect</v>
      </c>
      <c r="N2282" s="7" t="str">
        <f>IFERROR(HLOOKUP(L2282,'Calc|Weightings'!$K$5:$M$5,1,0),"Excl")</f>
        <v>Contracts</v>
      </c>
      <c r="O2282" s="7" t="s">
        <v>2395</v>
      </c>
      <c r="Q2282" s="7"/>
      <c r="R2282" s="7"/>
      <c r="S2282" s="7"/>
      <c r="T2282" s="7"/>
      <c r="U2282" s="7"/>
      <c r="V2282" s="7"/>
      <c r="AC2282" s="7"/>
      <c r="AD2282" s="7"/>
      <c r="AE2282" s="7"/>
      <c r="AF2282" s="7"/>
      <c r="AG2282" s="7"/>
      <c r="AO2282" s="7"/>
      <c r="AP2282" s="7"/>
      <c r="AQ2282" s="7"/>
      <c r="AR2282" s="7"/>
      <c r="AS2282" s="7"/>
    </row>
    <row r="2283" spans="1:45" x14ac:dyDescent="0.2">
      <c r="A2283" s="7"/>
      <c r="B2283" s="7"/>
      <c r="C2283" s="7"/>
      <c r="D2283" s="7"/>
      <c r="E2283" s="36">
        <v>273</v>
      </c>
      <c r="F2283" s="36" t="s">
        <v>2388</v>
      </c>
      <c r="G2283" s="36">
        <v>533003</v>
      </c>
      <c r="H2283" s="36" t="s">
        <v>315</v>
      </c>
      <c r="I2283" s="37">
        <v>17.5</v>
      </c>
      <c r="J2283" s="7"/>
      <c r="K2283" s="7" t="str">
        <f>VLOOKUP($E2283,Mapping!$E$11:$I$96,3,0)</f>
        <v>Non-network general assets - Other</v>
      </c>
      <c r="L2283" s="7" t="str">
        <f>VLOOKUP($G2283,Mapping!$E$140:$K$2771,5,0)</f>
        <v>Contracts</v>
      </c>
      <c r="M2283" s="7" t="str">
        <f>VLOOKUP($G2283,Mapping!$E$140:$K$2771,7,0)</f>
        <v>ENDirect</v>
      </c>
      <c r="N2283" s="7" t="str">
        <f>IFERROR(HLOOKUP(L2283,'Calc|Weightings'!$K$5:$M$5,1,0),"Excl")</f>
        <v>Contracts</v>
      </c>
      <c r="O2283" s="7" t="s">
        <v>2395</v>
      </c>
      <c r="Q2283" s="7"/>
      <c r="R2283" s="7"/>
      <c r="S2283" s="7"/>
      <c r="T2283" s="7"/>
      <c r="U2283" s="7"/>
      <c r="V2283" s="7"/>
      <c r="AC2283" s="7"/>
      <c r="AD2283" s="7"/>
      <c r="AE2283" s="7"/>
      <c r="AF2283" s="7"/>
      <c r="AG2283" s="7"/>
      <c r="AO2283" s="7"/>
      <c r="AP2283" s="7"/>
      <c r="AQ2283" s="7"/>
      <c r="AR2283" s="7"/>
      <c r="AS2283" s="7"/>
    </row>
    <row r="2284" spans="1:45" x14ac:dyDescent="0.2">
      <c r="A2284" s="7"/>
      <c r="B2284" s="7"/>
      <c r="C2284" s="7"/>
      <c r="D2284" s="7"/>
      <c r="E2284" s="36">
        <v>273</v>
      </c>
      <c r="F2284" s="36" t="s">
        <v>2388</v>
      </c>
      <c r="G2284" s="36">
        <v>613290</v>
      </c>
      <c r="H2284" s="36" t="s">
        <v>2093</v>
      </c>
      <c r="I2284" s="37">
        <v>0.46695999999999999</v>
      </c>
      <c r="J2284" s="7"/>
      <c r="K2284" s="7" t="str">
        <f>VLOOKUP($E2284,Mapping!$E$11:$I$96,3,0)</f>
        <v>Non-network general assets - Other</v>
      </c>
      <c r="L2284" s="7" t="str">
        <f>VLOOKUP($G2284,Mapping!$E$140:$K$2771,5,0)</f>
        <v>Labour</v>
      </c>
      <c r="M2284" s="7" t="str">
        <f>VLOOKUP($G2284,Mapping!$E$140:$K$2771,7,0)</f>
        <v>ENDirect</v>
      </c>
      <c r="N2284" s="7" t="str">
        <f>IFERROR(HLOOKUP(L2284,'Calc|Weightings'!$K$5:$M$5,1,0),"Excl")</f>
        <v>Labour</v>
      </c>
      <c r="O2284" s="7" t="s">
        <v>2395</v>
      </c>
      <c r="Q2284" s="7"/>
      <c r="R2284" s="7"/>
      <c r="S2284" s="7"/>
      <c r="T2284" s="7"/>
      <c r="U2284" s="7"/>
      <c r="V2284" s="7"/>
      <c r="AC2284" s="7"/>
      <c r="AD2284" s="7"/>
      <c r="AE2284" s="7"/>
      <c r="AF2284" s="7"/>
      <c r="AG2284" s="7"/>
      <c r="AO2284" s="7"/>
      <c r="AP2284" s="7"/>
      <c r="AQ2284" s="7"/>
      <c r="AR2284" s="7"/>
      <c r="AS2284" s="7"/>
    </row>
    <row r="2285" spans="1:45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Q2285" s="7"/>
      <c r="R2285" s="7"/>
      <c r="S2285" s="7"/>
      <c r="T2285" s="7"/>
      <c r="U2285" s="7"/>
      <c r="V2285" s="7"/>
      <c r="AC2285" s="7"/>
      <c r="AD2285" s="7"/>
      <c r="AE2285" s="7"/>
      <c r="AF2285" s="7"/>
      <c r="AG2285" s="7"/>
      <c r="AO2285" s="7"/>
      <c r="AP2285" s="7"/>
      <c r="AQ2285" s="7"/>
      <c r="AR2285" s="7"/>
      <c r="AS2285" s="7"/>
    </row>
    <row r="2286" spans="1:45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Q2286" s="7"/>
      <c r="R2286" s="7"/>
      <c r="S2286" s="7"/>
      <c r="T2286" s="7"/>
      <c r="U2286" s="7"/>
      <c r="V2286" s="7"/>
      <c r="AC2286" s="7"/>
      <c r="AD2286" s="7"/>
      <c r="AE2286" s="7"/>
      <c r="AF2286" s="7"/>
      <c r="AG2286" s="7"/>
      <c r="AO2286" s="7"/>
      <c r="AP2286" s="7"/>
      <c r="AQ2286" s="7"/>
      <c r="AR2286" s="7"/>
      <c r="AS2286" s="7"/>
    </row>
    <row r="2287" spans="1:45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Q2287" s="7"/>
      <c r="R2287" s="7"/>
      <c r="S2287" s="7"/>
      <c r="T2287" s="7"/>
      <c r="U2287" s="7"/>
      <c r="V2287" s="7"/>
      <c r="AC2287" s="7"/>
      <c r="AD2287" s="7"/>
      <c r="AE2287" s="7"/>
      <c r="AF2287" s="7"/>
      <c r="AG2287" s="7"/>
      <c r="AO2287" s="7"/>
      <c r="AP2287" s="7"/>
      <c r="AQ2287" s="7"/>
      <c r="AR2287" s="7"/>
      <c r="AS2287" s="7"/>
    </row>
    <row r="2288" spans="1:45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Q2288" s="7"/>
      <c r="R2288" s="7"/>
      <c r="S2288" s="7"/>
      <c r="T2288" s="7"/>
      <c r="U2288" s="7"/>
      <c r="V2288" s="7"/>
      <c r="AC2288" s="7"/>
      <c r="AD2288" s="7"/>
      <c r="AE2288" s="7"/>
      <c r="AF2288" s="7"/>
      <c r="AG2288" s="7"/>
      <c r="AO2288" s="7"/>
      <c r="AP2288" s="7"/>
      <c r="AQ2288" s="7"/>
      <c r="AR2288" s="7"/>
      <c r="AS2288" s="7"/>
    </row>
    <row r="2289" spans="1:45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Q2289" s="7"/>
      <c r="R2289" s="7"/>
      <c r="S2289" s="7"/>
      <c r="T2289" s="7"/>
      <c r="U2289" s="7"/>
      <c r="V2289" s="7"/>
      <c r="AC2289" s="7"/>
      <c r="AD2289" s="7"/>
      <c r="AE2289" s="7"/>
      <c r="AF2289" s="7"/>
      <c r="AG2289" s="7"/>
      <c r="AO2289" s="7"/>
      <c r="AP2289" s="7"/>
      <c r="AQ2289" s="7"/>
      <c r="AR2289" s="7"/>
      <c r="AS2289" s="7"/>
    </row>
    <row r="2290" spans="1:45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Q2290" s="7"/>
      <c r="R2290" s="7"/>
      <c r="S2290" s="7"/>
      <c r="T2290" s="7"/>
      <c r="U2290" s="7"/>
      <c r="V2290" s="7"/>
      <c r="AC2290" s="7"/>
      <c r="AD2290" s="7"/>
      <c r="AE2290" s="7"/>
      <c r="AF2290" s="7"/>
      <c r="AG2290" s="7"/>
      <c r="AO2290" s="7"/>
      <c r="AP2290" s="7"/>
      <c r="AQ2290" s="7"/>
      <c r="AR2290" s="7"/>
      <c r="AS2290" s="7"/>
    </row>
    <row r="2291" spans="1:45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Q2291" s="7"/>
      <c r="R2291" s="7"/>
      <c r="S2291" s="7"/>
      <c r="T2291" s="7"/>
      <c r="U2291" s="7"/>
      <c r="V2291" s="7"/>
      <c r="AC2291" s="7"/>
      <c r="AD2291" s="7"/>
      <c r="AE2291" s="7"/>
      <c r="AF2291" s="7"/>
      <c r="AG2291" s="7"/>
      <c r="AO2291" s="7"/>
      <c r="AP2291" s="7"/>
      <c r="AQ2291" s="7"/>
      <c r="AR2291" s="7"/>
      <c r="AS2291" s="7"/>
    </row>
    <row r="2292" spans="1:45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Q2292" s="7"/>
      <c r="R2292" s="7"/>
      <c r="S2292" s="7"/>
      <c r="T2292" s="7"/>
      <c r="U2292" s="7"/>
      <c r="V2292" s="7"/>
      <c r="AC2292" s="7"/>
      <c r="AD2292" s="7"/>
      <c r="AE2292" s="7"/>
      <c r="AF2292" s="7"/>
      <c r="AG2292" s="7"/>
      <c r="AO2292" s="7"/>
      <c r="AP2292" s="7"/>
      <c r="AQ2292" s="7"/>
      <c r="AR2292" s="7"/>
      <c r="AS2292" s="7"/>
    </row>
    <row r="2293" spans="1:45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Q2293" s="7"/>
      <c r="R2293" s="7"/>
      <c r="S2293" s="7"/>
      <c r="T2293" s="7"/>
      <c r="U2293" s="7"/>
      <c r="V2293" s="7"/>
      <c r="AC2293" s="7"/>
      <c r="AD2293" s="7"/>
      <c r="AE2293" s="7"/>
      <c r="AF2293" s="7"/>
      <c r="AG2293" s="7"/>
      <c r="AO2293" s="7"/>
      <c r="AP2293" s="7"/>
      <c r="AQ2293" s="7"/>
      <c r="AR2293" s="7"/>
      <c r="AS2293" s="7"/>
    </row>
    <row r="2294" spans="1:45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Q2294" s="7"/>
      <c r="R2294" s="7"/>
      <c r="S2294" s="7"/>
      <c r="T2294" s="7"/>
      <c r="U2294" s="7"/>
      <c r="V2294" s="7"/>
      <c r="AC2294" s="7"/>
      <c r="AD2294" s="7"/>
      <c r="AE2294" s="7"/>
      <c r="AF2294" s="7"/>
      <c r="AG2294" s="7"/>
      <c r="AO2294" s="7"/>
      <c r="AP2294" s="7"/>
      <c r="AQ2294" s="7"/>
      <c r="AR2294" s="7"/>
      <c r="AS2294" s="7"/>
    </row>
    <row r="2295" spans="1:45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Q2295" s="7"/>
      <c r="R2295" s="7"/>
      <c r="S2295" s="7"/>
      <c r="T2295" s="7"/>
      <c r="U2295" s="7"/>
      <c r="V2295" s="7"/>
      <c r="AC2295" s="7"/>
      <c r="AD2295" s="7"/>
      <c r="AE2295" s="7"/>
      <c r="AF2295" s="7"/>
      <c r="AG2295" s="7"/>
      <c r="AO2295" s="7"/>
      <c r="AP2295" s="7"/>
      <c r="AQ2295" s="7"/>
      <c r="AR2295" s="7"/>
      <c r="AS2295" s="7"/>
    </row>
    <row r="2296" spans="1:45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Q2296" s="7"/>
      <c r="R2296" s="7"/>
      <c r="S2296" s="7"/>
      <c r="T2296" s="7"/>
      <c r="U2296" s="7"/>
      <c r="V2296" s="7"/>
      <c r="AC2296" s="7"/>
      <c r="AD2296" s="7"/>
      <c r="AE2296" s="7"/>
      <c r="AF2296" s="7"/>
      <c r="AG2296" s="7"/>
      <c r="AO2296" s="7"/>
      <c r="AP2296" s="7"/>
      <c r="AQ2296" s="7"/>
      <c r="AR2296" s="7"/>
      <c r="AS2296" s="7"/>
    </row>
    <row r="2297" spans="1:45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Q2297" s="7"/>
      <c r="R2297" s="7"/>
      <c r="S2297" s="7"/>
      <c r="T2297" s="7"/>
      <c r="U2297" s="7"/>
      <c r="V2297" s="7"/>
      <c r="AC2297" s="7"/>
      <c r="AD2297" s="7"/>
      <c r="AE2297" s="7"/>
      <c r="AF2297" s="7"/>
      <c r="AG2297" s="7"/>
      <c r="AO2297" s="7"/>
      <c r="AP2297" s="7"/>
      <c r="AQ2297" s="7"/>
      <c r="AR2297" s="7"/>
      <c r="AS2297" s="7"/>
    </row>
    <row r="2298" spans="1:45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Q2298" s="7"/>
      <c r="R2298" s="7"/>
      <c r="S2298" s="7"/>
      <c r="T2298" s="7"/>
      <c r="U2298" s="7"/>
      <c r="V2298" s="7"/>
      <c r="AC2298" s="7"/>
      <c r="AD2298" s="7"/>
      <c r="AE2298" s="7"/>
      <c r="AF2298" s="7"/>
      <c r="AG2298" s="7"/>
      <c r="AO2298" s="7"/>
      <c r="AP2298" s="7"/>
      <c r="AQ2298" s="7"/>
      <c r="AR2298" s="7"/>
      <c r="AS2298" s="7"/>
    </row>
    <row r="2299" spans="1:45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Q2299" s="7"/>
      <c r="R2299" s="7"/>
      <c r="S2299" s="7"/>
      <c r="T2299" s="7"/>
      <c r="U2299" s="7"/>
      <c r="V2299" s="7"/>
      <c r="AC2299" s="7"/>
      <c r="AD2299" s="7"/>
      <c r="AE2299" s="7"/>
      <c r="AF2299" s="7"/>
      <c r="AG2299" s="7"/>
      <c r="AO2299" s="7"/>
      <c r="AP2299" s="7"/>
      <c r="AQ2299" s="7"/>
      <c r="AR2299" s="7"/>
      <c r="AS2299" s="7"/>
    </row>
    <row r="2300" spans="1:45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Q2300" s="7"/>
      <c r="R2300" s="7"/>
      <c r="S2300" s="7"/>
      <c r="T2300" s="7"/>
      <c r="U2300" s="7"/>
      <c r="V2300" s="7"/>
      <c r="AC2300" s="7"/>
      <c r="AD2300" s="7"/>
      <c r="AE2300" s="7"/>
      <c r="AF2300" s="7"/>
      <c r="AG2300" s="7"/>
      <c r="AO2300" s="7"/>
      <c r="AP2300" s="7"/>
      <c r="AQ2300" s="7"/>
      <c r="AR2300" s="7"/>
      <c r="AS2300" s="7"/>
    </row>
    <row r="2301" spans="1:45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Q2301" s="7"/>
      <c r="R2301" s="7"/>
      <c r="S2301" s="7"/>
      <c r="T2301" s="7"/>
      <c r="U2301" s="7"/>
      <c r="V2301" s="7"/>
      <c r="AC2301" s="7"/>
      <c r="AD2301" s="7"/>
      <c r="AE2301" s="7"/>
      <c r="AF2301" s="7"/>
      <c r="AG2301" s="7"/>
      <c r="AO2301" s="7"/>
      <c r="AP2301" s="7"/>
      <c r="AQ2301" s="7"/>
      <c r="AR2301" s="7"/>
      <c r="AS2301" s="7"/>
    </row>
    <row r="2302" spans="1:45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Q2302" s="7"/>
      <c r="R2302" s="7"/>
      <c r="S2302" s="7"/>
      <c r="T2302" s="7"/>
      <c r="U2302" s="7"/>
      <c r="V2302" s="7"/>
      <c r="AC2302" s="7"/>
      <c r="AD2302" s="7"/>
      <c r="AE2302" s="7"/>
      <c r="AF2302" s="7"/>
      <c r="AG2302" s="7"/>
      <c r="AO2302" s="7"/>
      <c r="AP2302" s="7"/>
      <c r="AQ2302" s="7"/>
      <c r="AR2302" s="7"/>
      <c r="AS2302" s="7"/>
    </row>
    <row r="2303" spans="1:45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Q2303" s="7"/>
      <c r="R2303" s="7"/>
      <c r="S2303" s="7"/>
      <c r="T2303" s="7"/>
      <c r="U2303" s="7"/>
      <c r="V2303" s="7"/>
      <c r="AC2303" s="7"/>
      <c r="AD2303" s="7"/>
      <c r="AE2303" s="7"/>
      <c r="AF2303" s="7"/>
      <c r="AG2303" s="7"/>
      <c r="AO2303" s="7"/>
      <c r="AP2303" s="7"/>
      <c r="AQ2303" s="7"/>
      <c r="AR2303" s="7"/>
      <c r="AS2303" s="7"/>
    </row>
    <row r="2304" spans="1:45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Q2304" s="7"/>
      <c r="R2304" s="7"/>
      <c r="S2304" s="7"/>
      <c r="T2304" s="7"/>
      <c r="U2304" s="7"/>
      <c r="V2304" s="7"/>
      <c r="AC2304" s="7"/>
      <c r="AD2304" s="7"/>
      <c r="AE2304" s="7"/>
      <c r="AF2304" s="7"/>
      <c r="AG2304" s="7"/>
      <c r="AO2304" s="7"/>
      <c r="AP2304" s="7"/>
      <c r="AQ2304" s="7"/>
      <c r="AR2304" s="7"/>
      <c r="AS2304" s="7"/>
    </row>
    <row r="2305" spans="1:45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Q2305" s="7"/>
      <c r="R2305" s="7"/>
      <c r="S2305" s="7"/>
      <c r="T2305" s="7"/>
      <c r="U2305" s="7"/>
      <c r="V2305" s="7"/>
      <c r="AC2305" s="7"/>
      <c r="AD2305" s="7"/>
      <c r="AE2305" s="7"/>
      <c r="AF2305" s="7"/>
      <c r="AG2305" s="7"/>
      <c r="AO2305" s="7"/>
      <c r="AP2305" s="7"/>
      <c r="AQ2305" s="7"/>
      <c r="AR2305" s="7"/>
      <c r="AS2305" s="7"/>
    </row>
    <row r="2306" spans="1:45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Q2306" s="7"/>
      <c r="R2306" s="7"/>
      <c r="S2306" s="7"/>
      <c r="T2306" s="7"/>
      <c r="U2306" s="7"/>
      <c r="V2306" s="7"/>
      <c r="AC2306" s="7"/>
      <c r="AD2306" s="7"/>
      <c r="AE2306" s="7"/>
      <c r="AF2306" s="7"/>
      <c r="AG2306" s="7"/>
      <c r="AO2306" s="7"/>
      <c r="AP2306" s="7"/>
      <c r="AQ2306" s="7"/>
      <c r="AR2306" s="7"/>
      <c r="AS2306" s="7"/>
    </row>
    <row r="2307" spans="1:45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Q2307" s="7"/>
      <c r="R2307" s="7"/>
      <c r="S2307" s="7"/>
      <c r="T2307" s="7"/>
      <c r="U2307" s="7"/>
      <c r="V2307" s="7"/>
      <c r="AC2307" s="7"/>
      <c r="AD2307" s="7"/>
      <c r="AE2307" s="7"/>
      <c r="AF2307" s="7"/>
      <c r="AG2307" s="7"/>
      <c r="AO2307" s="7"/>
      <c r="AP2307" s="7"/>
      <c r="AQ2307" s="7"/>
      <c r="AR2307" s="7"/>
      <c r="AS2307" s="7"/>
    </row>
    <row r="2308" spans="1:45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Q2308" s="7"/>
      <c r="R2308" s="7"/>
      <c r="S2308" s="7"/>
      <c r="T2308" s="7"/>
      <c r="U2308" s="7"/>
      <c r="V2308" s="7"/>
      <c r="AC2308" s="7"/>
      <c r="AD2308" s="7"/>
      <c r="AE2308" s="7"/>
      <c r="AF2308" s="7"/>
      <c r="AG2308" s="7"/>
      <c r="AO2308" s="7"/>
      <c r="AP2308" s="7"/>
      <c r="AQ2308" s="7"/>
      <c r="AR2308" s="7"/>
      <c r="AS2308" s="7"/>
    </row>
    <row r="2309" spans="1:45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Q2309" s="7"/>
      <c r="R2309" s="7"/>
      <c r="S2309" s="7"/>
      <c r="T2309" s="7"/>
      <c r="U2309" s="7"/>
      <c r="V2309" s="7"/>
      <c r="AC2309" s="7"/>
      <c r="AD2309" s="7"/>
      <c r="AE2309" s="7"/>
      <c r="AF2309" s="7"/>
      <c r="AG2309" s="7"/>
      <c r="AO2309" s="7"/>
      <c r="AP2309" s="7"/>
      <c r="AQ2309" s="7"/>
      <c r="AR2309" s="7"/>
      <c r="AS2309" s="7"/>
    </row>
    <row r="2310" spans="1:45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Q2310" s="7"/>
      <c r="R2310" s="7"/>
      <c r="S2310" s="7"/>
      <c r="T2310" s="7"/>
      <c r="U2310" s="7"/>
      <c r="V2310" s="7"/>
      <c r="AC2310" s="7"/>
      <c r="AD2310" s="7"/>
      <c r="AE2310" s="7"/>
      <c r="AF2310" s="7"/>
      <c r="AG2310" s="7"/>
      <c r="AO2310" s="7"/>
      <c r="AP2310" s="7"/>
      <c r="AQ2310" s="7"/>
      <c r="AR2310" s="7"/>
      <c r="AS2310" s="7"/>
    </row>
    <row r="2311" spans="1:45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Q2311" s="7"/>
      <c r="R2311" s="7"/>
      <c r="S2311" s="7"/>
      <c r="T2311" s="7"/>
      <c r="U2311" s="7"/>
      <c r="V2311" s="7"/>
      <c r="AC2311" s="7"/>
      <c r="AD2311" s="7"/>
      <c r="AE2311" s="7"/>
      <c r="AF2311" s="7"/>
      <c r="AG2311" s="7"/>
      <c r="AO2311" s="7"/>
      <c r="AP2311" s="7"/>
      <c r="AQ2311" s="7"/>
      <c r="AR2311" s="7"/>
      <c r="AS2311" s="7"/>
    </row>
    <row r="2312" spans="1:45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Q2312" s="7"/>
      <c r="R2312" s="7"/>
      <c r="S2312" s="7"/>
      <c r="T2312" s="7"/>
      <c r="U2312" s="7"/>
      <c r="V2312" s="7"/>
      <c r="AC2312" s="7"/>
      <c r="AD2312" s="7"/>
      <c r="AE2312" s="7"/>
      <c r="AF2312" s="7"/>
      <c r="AG2312" s="7"/>
      <c r="AO2312" s="7"/>
      <c r="AP2312" s="7"/>
      <c r="AQ2312" s="7"/>
      <c r="AR2312" s="7"/>
      <c r="AS2312" s="7"/>
    </row>
    <row r="2313" spans="1:45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Q2313" s="7"/>
      <c r="R2313" s="7"/>
      <c r="S2313" s="7"/>
      <c r="T2313" s="7"/>
      <c r="U2313" s="7"/>
      <c r="V2313" s="7"/>
      <c r="AC2313" s="7"/>
      <c r="AD2313" s="7"/>
      <c r="AE2313" s="7"/>
      <c r="AF2313" s="7"/>
      <c r="AG2313" s="7"/>
      <c r="AO2313" s="7"/>
      <c r="AP2313" s="7"/>
      <c r="AQ2313" s="7"/>
      <c r="AR2313" s="7"/>
      <c r="AS2313" s="7"/>
    </row>
    <row r="2314" spans="1:45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Q2314" s="7"/>
      <c r="R2314" s="7"/>
      <c r="S2314" s="7"/>
      <c r="T2314" s="7"/>
      <c r="U2314" s="7"/>
      <c r="V2314" s="7"/>
      <c r="AC2314" s="7"/>
      <c r="AD2314" s="7"/>
      <c r="AE2314" s="7"/>
      <c r="AF2314" s="7"/>
      <c r="AG2314" s="7"/>
      <c r="AO2314" s="7"/>
      <c r="AP2314" s="7"/>
      <c r="AQ2314" s="7"/>
      <c r="AR2314" s="7"/>
      <c r="AS2314" s="7"/>
    </row>
    <row r="2315" spans="1:45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Q2315" s="7"/>
      <c r="R2315" s="7"/>
      <c r="S2315" s="7"/>
      <c r="T2315" s="7"/>
      <c r="U2315" s="7"/>
      <c r="V2315" s="7"/>
      <c r="AC2315" s="7"/>
      <c r="AD2315" s="7"/>
      <c r="AE2315" s="7"/>
      <c r="AF2315" s="7"/>
      <c r="AG2315" s="7"/>
      <c r="AO2315" s="7"/>
      <c r="AP2315" s="7"/>
      <c r="AQ2315" s="7"/>
      <c r="AR2315" s="7"/>
      <c r="AS2315" s="7"/>
    </row>
    <row r="2316" spans="1:45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Q2316" s="7"/>
      <c r="R2316" s="7"/>
      <c r="S2316" s="7"/>
      <c r="T2316" s="7"/>
      <c r="U2316" s="7"/>
      <c r="V2316" s="7"/>
      <c r="AC2316" s="7"/>
      <c r="AD2316" s="7"/>
      <c r="AE2316" s="7"/>
      <c r="AF2316" s="7"/>
      <c r="AG2316" s="7"/>
      <c r="AO2316" s="7"/>
      <c r="AP2316" s="7"/>
      <c r="AQ2316" s="7"/>
      <c r="AR2316" s="7"/>
      <c r="AS2316" s="7"/>
    </row>
    <row r="2317" spans="1:45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Q2317" s="7"/>
      <c r="R2317" s="7"/>
      <c r="S2317" s="7"/>
      <c r="T2317" s="7"/>
      <c r="U2317" s="7"/>
      <c r="V2317" s="7"/>
      <c r="AC2317" s="7"/>
      <c r="AD2317" s="7"/>
      <c r="AE2317" s="7"/>
      <c r="AF2317" s="7"/>
      <c r="AG2317" s="7"/>
      <c r="AO2317" s="7"/>
      <c r="AP2317" s="7"/>
      <c r="AQ2317" s="7"/>
      <c r="AR2317" s="7"/>
      <c r="AS2317" s="7"/>
    </row>
    <row r="2318" spans="1:45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Q2318" s="7"/>
      <c r="R2318" s="7"/>
      <c r="S2318" s="7"/>
      <c r="T2318" s="7"/>
      <c r="U2318" s="7"/>
      <c r="V2318" s="7"/>
      <c r="AC2318" s="7"/>
      <c r="AD2318" s="7"/>
      <c r="AE2318" s="7"/>
      <c r="AF2318" s="7"/>
      <c r="AG2318" s="7"/>
      <c r="AO2318" s="7"/>
      <c r="AP2318" s="7"/>
      <c r="AQ2318" s="7"/>
      <c r="AR2318" s="7"/>
      <c r="AS2318" s="7"/>
    </row>
    <row r="2319" spans="1:45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Q2319" s="7"/>
      <c r="R2319" s="7"/>
      <c r="S2319" s="7"/>
      <c r="T2319" s="7"/>
      <c r="U2319" s="7"/>
      <c r="V2319" s="7"/>
      <c r="AC2319" s="7"/>
      <c r="AD2319" s="7"/>
      <c r="AE2319" s="7"/>
      <c r="AF2319" s="7"/>
      <c r="AG2319" s="7"/>
      <c r="AO2319" s="7"/>
      <c r="AP2319" s="7"/>
      <c r="AQ2319" s="7"/>
      <c r="AR2319" s="7"/>
      <c r="AS2319" s="7"/>
    </row>
    <row r="2320" spans="1:45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Q2320" s="7"/>
      <c r="R2320" s="7"/>
      <c r="S2320" s="7"/>
      <c r="T2320" s="7"/>
      <c r="U2320" s="7"/>
      <c r="V2320" s="7"/>
      <c r="AC2320" s="7"/>
      <c r="AD2320" s="7"/>
      <c r="AE2320" s="7"/>
      <c r="AF2320" s="7"/>
      <c r="AG2320" s="7"/>
      <c r="AO2320" s="7"/>
      <c r="AP2320" s="7"/>
      <c r="AQ2320" s="7"/>
      <c r="AR2320" s="7"/>
      <c r="AS2320" s="7"/>
    </row>
    <row r="2321" spans="1:45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Q2321" s="7"/>
      <c r="R2321" s="7"/>
      <c r="S2321" s="7"/>
      <c r="T2321" s="7"/>
      <c r="U2321" s="7"/>
      <c r="V2321" s="7"/>
      <c r="AC2321" s="7"/>
      <c r="AD2321" s="7"/>
      <c r="AE2321" s="7"/>
      <c r="AF2321" s="7"/>
      <c r="AG2321" s="7"/>
      <c r="AO2321" s="7"/>
      <c r="AP2321" s="7"/>
      <c r="AQ2321" s="7"/>
      <c r="AR2321" s="7"/>
      <c r="AS2321" s="7"/>
    </row>
    <row r="2322" spans="1:45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Q2322" s="7"/>
      <c r="R2322" s="7"/>
      <c r="S2322" s="7"/>
      <c r="T2322" s="7"/>
      <c r="U2322" s="7"/>
      <c r="V2322" s="7"/>
      <c r="AC2322" s="7"/>
      <c r="AD2322" s="7"/>
      <c r="AE2322" s="7"/>
      <c r="AF2322" s="7"/>
      <c r="AG2322" s="7"/>
      <c r="AO2322" s="7"/>
      <c r="AP2322" s="7"/>
      <c r="AQ2322" s="7"/>
      <c r="AR2322" s="7"/>
      <c r="AS2322" s="7"/>
    </row>
    <row r="2323" spans="1:45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Q2323" s="7"/>
      <c r="R2323" s="7"/>
      <c r="S2323" s="7"/>
      <c r="T2323" s="7"/>
      <c r="U2323" s="7"/>
      <c r="V2323" s="7"/>
      <c r="AC2323" s="7"/>
      <c r="AD2323" s="7"/>
      <c r="AE2323" s="7"/>
      <c r="AF2323" s="7"/>
      <c r="AG2323" s="7"/>
      <c r="AO2323" s="7"/>
      <c r="AP2323" s="7"/>
      <c r="AQ2323" s="7"/>
      <c r="AR2323" s="7"/>
      <c r="AS2323" s="7"/>
    </row>
    <row r="2324" spans="1:45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Q2324" s="7"/>
      <c r="R2324" s="7"/>
      <c r="S2324" s="7"/>
      <c r="T2324" s="7"/>
      <c r="U2324" s="7"/>
      <c r="V2324" s="7"/>
      <c r="AC2324" s="7"/>
      <c r="AD2324" s="7"/>
      <c r="AE2324" s="7"/>
      <c r="AF2324" s="7"/>
      <c r="AG2324" s="7"/>
      <c r="AO2324" s="7"/>
      <c r="AP2324" s="7"/>
      <c r="AQ2324" s="7"/>
      <c r="AR2324" s="7"/>
      <c r="AS2324" s="7"/>
    </row>
    <row r="2325" spans="1:45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Q2325" s="7"/>
      <c r="R2325" s="7"/>
      <c r="S2325" s="7"/>
      <c r="T2325" s="7"/>
      <c r="U2325" s="7"/>
      <c r="V2325" s="7"/>
      <c r="AC2325" s="7"/>
      <c r="AD2325" s="7"/>
      <c r="AE2325" s="7"/>
      <c r="AF2325" s="7"/>
      <c r="AG2325" s="7"/>
      <c r="AO2325" s="7"/>
      <c r="AP2325" s="7"/>
      <c r="AQ2325" s="7"/>
      <c r="AR2325" s="7"/>
      <c r="AS2325" s="7"/>
    </row>
    <row r="2326" spans="1:45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Q2326" s="7"/>
      <c r="R2326" s="7"/>
      <c r="S2326" s="7"/>
      <c r="T2326" s="7"/>
      <c r="U2326" s="7"/>
      <c r="V2326" s="7"/>
      <c r="AC2326" s="7"/>
      <c r="AD2326" s="7"/>
      <c r="AE2326" s="7"/>
      <c r="AF2326" s="7"/>
      <c r="AG2326" s="7"/>
      <c r="AO2326" s="7"/>
      <c r="AP2326" s="7"/>
      <c r="AQ2326" s="7"/>
      <c r="AR2326" s="7"/>
      <c r="AS2326" s="7"/>
    </row>
    <row r="2327" spans="1:45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Q2327" s="7"/>
      <c r="R2327" s="7"/>
      <c r="S2327" s="7"/>
      <c r="T2327" s="7"/>
      <c r="U2327" s="7"/>
      <c r="V2327" s="7"/>
      <c r="AC2327" s="7"/>
      <c r="AD2327" s="7"/>
      <c r="AE2327" s="7"/>
      <c r="AF2327" s="7"/>
      <c r="AG2327" s="7"/>
      <c r="AO2327" s="7"/>
      <c r="AP2327" s="7"/>
      <c r="AQ2327" s="7"/>
      <c r="AR2327" s="7"/>
      <c r="AS2327" s="7"/>
    </row>
    <row r="2328" spans="1:45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Q2328" s="7"/>
      <c r="R2328" s="7"/>
      <c r="S2328" s="7"/>
      <c r="T2328" s="7"/>
      <c r="U2328" s="7"/>
      <c r="V2328" s="7"/>
      <c r="AC2328" s="7"/>
      <c r="AD2328" s="7"/>
      <c r="AE2328" s="7"/>
      <c r="AF2328" s="7"/>
      <c r="AG2328" s="7"/>
      <c r="AO2328" s="7"/>
      <c r="AP2328" s="7"/>
      <c r="AQ2328" s="7"/>
      <c r="AR2328" s="7"/>
      <c r="AS2328" s="7"/>
    </row>
    <row r="2329" spans="1:45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Q2329" s="7"/>
      <c r="R2329" s="7"/>
      <c r="S2329" s="7"/>
      <c r="T2329" s="7"/>
      <c r="U2329" s="7"/>
      <c r="V2329" s="7"/>
      <c r="AC2329" s="7"/>
      <c r="AD2329" s="7"/>
      <c r="AE2329" s="7"/>
      <c r="AF2329" s="7"/>
      <c r="AG2329" s="7"/>
      <c r="AO2329" s="7"/>
      <c r="AP2329" s="7"/>
      <c r="AQ2329" s="7"/>
      <c r="AR2329" s="7"/>
      <c r="AS2329" s="7"/>
    </row>
    <row r="2330" spans="1:45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Q2330" s="7"/>
      <c r="R2330" s="7"/>
      <c r="S2330" s="7"/>
      <c r="T2330" s="7"/>
      <c r="U2330" s="7"/>
      <c r="V2330" s="7"/>
      <c r="AC2330" s="7"/>
      <c r="AD2330" s="7"/>
      <c r="AE2330" s="7"/>
      <c r="AF2330" s="7"/>
      <c r="AG2330" s="7"/>
      <c r="AO2330" s="7"/>
      <c r="AP2330" s="7"/>
      <c r="AQ2330" s="7"/>
      <c r="AR2330" s="7"/>
      <c r="AS2330" s="7"/>
    </row>
    <row r="2331" spans="1:45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Q2331" s="7"/>
      <c r="R2331" s="7"/>
      <c r="S2331" s="7"/>
      <c r="T2331" s="7"/>
      <c r="U2331" s="7"/>
      <c r="V2331" s="7"/>
      <c r="AC2331" s="7"/>
      <c r="AD2331" s="7"/>
      <c r="AE2331" s="7"/>
      <c r="AF2331" s="7"/>
      <c r="AG2331" s="7"/>
      <c r="AO2331" s="7"/>
      <c r="AP2331" s="7"/>
      <c r="AQ2331" s="7"/>
      <c r="AR2331" s="7"/>
      <c r="AS2331" s="7"/>
    </row>
    <row r="2332" spans="1:45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Q2332" s="7"/>
      <c r="R2332" s="7"/>
      <c r="S2332" s="7"/>
      <c r="T2332" s="7"/>
      <c r="U2332" s="7"/>
      <c r="V2332" s="7"/>
      <c r="AC2332" s="7"/>
      <c r="AD2332" s="7"/>
      <c r="AE2332" s="7"/>
      <c r="AF2332" s="7"/>
      <c r="AG2332" s="7"/>
      <c r="AO2332" s="7"/>
      <c r="AP2332" s="7"/>
      <c r="AQ2332" s="7"/>
      <c r="AR2332" s="7"/>
      <c r="AS2332" s="7"/>
    </row>
    <row r="2333" spans="1:45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Q2333" s="7"/>
      <c r="R2333" s="7"/>
      <c r="S2333" s="7"/>
      <c r="T2333" s="7"/>
      <c r="U2333" s="7"/>
      <c r="V2333" s="7"/>
      <c r="AC2333" s="7"/>
      <c r="AD2333" s="7"/>
      <c r="AE2333" s="7"/>
      <c r="AF2333" s="7"/>
      <c r="AG2333" s="7"/>
      <c r="AO2333" s="7"/>
      <c r="AP2333" s="7"/>
      <c r="AQ2333" s="7"/>
      <c r="AR2333" s="7"/>
      <c r="AS2333" s="7"/>
    </row>
    <row r="2334" spans="1:45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Q2334" s="7"/>
      <c r="R2334" s="7"/>
      <c r="S2334" s="7"/>
      <c r="T2334" s="7"/>
      <c r="U2334" s="7"/>
      <c r="V2334" s="7"/>
      <c r="AC2334" s="7"/>
      <c r="AD2334" s="7"/>
      <c r="AE2334" s="7"/>
      <c r="AF2334" s="7"/>
      <c r="AG2334" s="7"/>
      <c r="AO2334" s="7"/>
      <c r="AP2334" s="7"/>
      <c r="AQ2334" s="7"/>
      <c r="AR2334" s="7"/>
      <c r="AS2334" s="7"/>
    </row>
    <row r="2335" spans="1:45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Q2335" s="7"/>
      <c r="R2335" s="7"/>
      <c r="S2335" s="7"/>
      <c r="T2335" s="7"/>
      <c r="U2335" s="7"/>
      <c r="V2335" s="7"/>
      <c r="AC2335" s="7"/>
      <c r="AD2335" s="7"/>
      <c r="AE2335" s="7"/>
      <c r="AF2335" s="7"/>
      <c r="AG2335" s="7"/>
      <c r="AO2335" s="7"/>
      <c r="AP2335" s="7"/>
      <c r="AQ2335" s="7"/>
      <c r="AR2335" s="7"/>
      <c r="AS2335" s="7"/>
    </row>
    <row r="2336" spans="1:45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Q2336" s="7"/>
      <c r="R2336" s="7"/>
      <c r="S2336" s="7"/>
      <c r="T2336" s="7"/>
      <c r="U2336" s="7"/>
      <c r="V2336" s="7"/>
      <c r="AC2336" s="7"/>
      <c r="AD2336" s="7"/>
      <c r="AE2336" s="7"/>
      <c r="AF2336" s="7"/>
      <c r="AG2336" s="7"/>
      <c r="AO2336" s="7"/>
      <c r="AP2336" s="7"/>
      <c r="AQ2336" s="7"/>
      <c r="AR2336" s="7"/>
      <c r="AS2336" s="7"/>
    </row>
    <row r="2337" spans="1:45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Q2337" s="7"/>
      <c r="R2337" s="7"/>
      <c r="S2337" s="7"/>
      <c r="T2337" s="7"/>
      <c r="U2337" s="7"/>
      <c r="V2337" s="7"/>
      <c r="AC2337" s="7"/>
      <c r="AD2337" s="7"/>
      <c r="AE2337" s="7"/>
      <c r="AF2337" s="7"/>
      <c r="AG2337" s="7"/>
      <c r="AO2337" s="7"/>
      <c r="AP2337" s="7"/>
      <c r="AQ2337" s="7"/>
      <c r="AR2337" s="7"/>
      <c r="AS2337" s="7"/>
    </row>
    <row r="2338" spans="1:45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Q2338" s="7"/>
      <c r="R2338" s="7"/>
      <c r="S2338" s="7"/>
      <c r="T2338" s="7"/>
      <c r="U2338" s="7"/>
      <c r="V2338" s="7"/>
      <c r="AC2338" s="7"/>
      <c r="AD2338" s="7"/>
      <c r="AE2338" s="7"/>
      <c r="AF2338" s="7"/>
      <c r="AG2338" s="7"/>
      <c r="AO2338" s="7"/>
      <c r="AP2338" s="7"/>
      <c r="AQ2338" s="7"/>
      <c r="AR2338" s="7"/>
      <c r="AS2338" s="7"/>
    </row>
    <row r="2339" spans="1:45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Q2339" s="7"/>
      <c r="R2339" s="7"/>
      <c r="S2339" s="7"/>
      <c r="T2339" s="7"/>
      <c r="U2339" s="7"/>
      <c r="V2339" s="7"/>
      <c r="AC2339" s="7"/>
      <c r="AD2339" s="7"/>
      <c r="AE2339" s="7"/>
      <c r="AF2339" s="7"/>
      <c r="AG2339" s="7"/>
      <c r="AO2339" s="7"/>
      <c r="AP2339" s="7"/>
      <c r="AQ2339" s="7"/>
      <c r="AR2339" s="7"/>
      <c r="AS2339" s="7"/>
    </row>
    <row r="2340" spans="1:45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Q2340" s="7"/>
      <c r="R2340" s="7"/>
      <c r="S2340" s="7"/>
      <c r="T2340" s="7"/>
      <c r="U2340" s="7"/>
      <c r="V2340" s="7"/>
      <c r="AC2340" s="7"/>
      <c r="AD2340" s="7"/>
      <c r="AE2340" s="7"/>
      <c r="AF2340" s="7"/>
      <c r="AG2340" s="7"/>
      <c r="AO2340" s="7"/>
      <c r="AP2340" s="7"/>
      <c r="AQ2340" s="7"/>
      <c r="AR2340" s="7"/>
      <c r="AS2340" s="7"/>
    </row>
    <row r="2341" spans="1:45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Q2341" s="7"/>
      <c r="R2341" s="7"/>
      <c r="S2341" s="7"/>
      <c r="T2341" s="7"/>
      <c r="U2341" s="7"/>
      <c r="V2341" s="7"/>
      <c r="AC2341" s="7"/>
      <c r="AD2341" s="7"/>
      <c r="AE2341" s="7"/>
      <c r="AF2341" s="7"/>
      <c r="AG2341" s="7"/>
      <c r="AO2341" s="7"/>
      <c r="AP2341" s="7"/>
      <c r="AQ2341" s="7"/>
      <c r="AR2341" s="7"/>
      <c r="AS2341" s="7"/>
    </row>
    <row r="2342" spans="1:45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Q2342" s="7"/>
      <c r="R2342" s="7"/>
      <c r="S2342" s="7"/>
      <c r="T2342" s="7"/>
      <c r="U2342" s="7"/>
      <c r="V2342" s="7"/>
      <c r="AC2342" s="7"/>
      <c r="AD2342" s="7"/>
      <c r="AE2342" s="7"/>
      <c r="AF2342" s="7"/>
      <c r="AG2342" s="7"/>
      <c r="AO2342" s="7"/>
      <c r="AP2342" s="7"/>
      <c r="AQ2342" s="7"/>
      <c r="AR2342" s="7"/>
      <c r="AS2342" s="7"/>
    </row>
    <row r="2343" spans="1:45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Q2343" s="7"/>
      <c r="R2343" s="7"/>
      <c r="S2343" s="7"/>
      <c r="T2343" s="7"/>
      <c r="U2343" s="7"/>
      <c r="V2343" s="7"/>
      <c r="AC2343" s="7"/>
      <c r="AD2343" s="7"/>
      <c r="AE2343" s="7"/>
      <c r="AF2343" s="7"/>
      <c r="AG2343" s="7"/>
      <c r="AO2343" s="7"/>
      <c r="AP2343" s="7"/>
      <c r="AQ2343" s="7"/>
      <c r="AR2343" s="7"/>
      <c r="AS2343" s="7"/>
    </row>
    <row r="2344" spans="1:45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Q2344" s="7"/>
      <c r="R2344" s="7"/>
      <c r="S2344" s="7"/>
      <c r="T2344" s="7"/>
      <c r="U2344" s="7"/>
      <c r="V2344" s="7"/>
      <c r="AC2344" s="7"/>
      <c r="AD2344" s="7"/>
      <c r="AE2344" s="7"/>
      <c r="AF2344" s="7"/>
      <c r="AG2344" s="7"/>
      <c r="AO2344" s="7"/>
      <c r="AP2344" s="7"/>
      <c r="AQ2344" s="7"/>
      <c r="AR2344" s="7"/>
      <c r="AS2344" s="7"/>
    </row>
    <row r="2345" spans="1:45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Q2345" s="7"/>
      <c r="R2345" s="7"/>
      <c r="S2345" s="7"/>
      <c r="T2345" s="7"/>
      <c r="U2345" s="7"/>
      <c r="V2345" s="7"/>
      <c r="AC2345" s="7"/>
      <c r="AD2345" s="7"/>
      <c r="AE2345" s="7"/>
      <c r="AF2345" s="7"/>
      <c r="AG2345" s="7"/>
      <c r="AO2345" s="7"/>
      <c r="AP2345" s="7"/>
      <c r="AQ2345" s="7"/>
      <c r="AR2345" s="7"/>
      <c r="AS2345" s="7"/>
    </row>
    <row r="2346" spans="1:45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Q2346" s="7"/>
      <c r="R2346" s="7"/>
      <c r="S2346" s="7"/>
      <c r="T2346" s="7"/>
      <c r="U2346" s="7"/>
      <c r="V2346" s="7"/>
      <c r="AC2346" s="7"/>
      <c r="AD2346" s="7"/>
      <c r="AE2346" s="7"/>
      <c r="AF2346" s="7"/>
      <c r="AG2346" s="7"/>
      <c r="AO2346" s="7"/>
      <c r="AP2346" s="7"/>
      <c r="AQ2346" s="7"/>
      <c r="AR2346" s="7"/>
      <c r="AS2346" s="7"/>
    </row>
    <row r="2347" spans="1:45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Q2347" s="7"/>
      <c r="R2347" s="7"/>
      <c r="S2347" s="7"/>
      <c r="T2347" s="7"/>
      <c r="U2347" s="7"/>
      <c r="V2347" s="7"/>
      <c r="AC2347" s="7"/>
      <c r="AD2347" s="7"/>
      <c r="AE2347" s="7"/>
      <c r="AF2347" s="7"/>
      <c r="AG2347" s="7"/>
      <c r="AO2347" s="7"/>
      <c r="AP2347" s="7"/>
      <c r="AQ2347" s="7"/>
      <c r="AR2347" s="7"/>
      <c r="AS2347" s="7"/>
    </row>
    <row r="2348" spans="1:45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Q2348" s="7"/>
      <c r="R2348" s="7"/>
      <c r="S2348" s="7"/>
      <c r="T2348" s="7"/>
      <c r="U2348" s="7"/>
      <c r="V2348" s="7"/>
      <c r="AC2348" s="7"/>
      <c r="AD2348" s="7"/>
      <c r="AE2348" s="7"/>
      <c r="AF2348" s="7"/>
      <c r="AG2348" s="7"/>
      <c r="AO2348" s="7"/>
      <c r="AP2348" s="7"/>
      <c r="AQ2348" s="7"/>
      <c r="AR2348" s="7"/>
      <c r="AS2348" s="7"/>
    </row>
    <row r="2349" spans="1:45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Q2349" s="7"/>
      <c r="R2349" s="7"/>
      <c r="S2349" s="7"/>
      <c r="T2349" s="7"/>
      <c r="U2349" s="7"/>
      <c r="V2349" s="7"/>
      <c r="AC2349" s="7"/>
      <c r="AD2349" s="7"/>
      <c r="AE2349" s="7"/>
      <c r="AF2349" s="7"/>
      <c r="AG2349" s="7"/>
      <c r="AO2349" s="7"/>
      <c r="AP2349" s="7"/>
      <c r="AQ2349" s="7"/>
      <c r="AR2349" s="7"/>
      <c r="AS2349" s="7"/>
    </row>
    <row r="2350" spans="1:45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Q2350" s="7"/>
      <c r="R2350" s="7"/>
      <c r="S2350" s="7"/>
      <c r="T2350" s="7"/>
      <c r="U2350" s="7"/>
      <c r="V2350" s="7"/>
      <c r="AC2350" s="7"/>
      <c r="AD2350" s="7"/>
      <c r="AE2350" s="7"/>
      <c r="AF2350" s="7"/>
      <c r="AG2350" s="7"/>
      <c r="AO2350" s="7"/>
      <c r="AP2350" s="7"/>
      <c r="AQ2350" s="7"/>
      <c r="AR2350" s="7"/>
      <c r="AS2350" s="7"/>
    </row>
    <row r="2351" spans="1:45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Q2351" s="7"/>
      <c r="R2351" s="7"/>
      <c r="S2351" s="7"/>
      <c r="T2351" s="7"/>
      <c r="U2351" s="7"/>
      <c r="V2351" s="7"/>
      <c r="AC2351" s="7"/>
      <c r="AD2351" s="7"/>
      <c r="AE2351" s="7"/>
      <c r="AF2351" s="7"/>
      <c r="AG2351" s="7"/>
      <c r="AO2351" s="7"/>
      <c r="AP2351" s="7"/>
      <c r="AQ2351" s="7"/>
      <c r="AR2351" s="7"/>
      <c r="AS2351" s="7"/>
    </row>
    <row r="2352" spans="1:45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Q2352" s="7"/>
      <c r="R2352" s="7"/>
      <c r="S2352" s="7"/>
      <c r="T2352" s="7"/>
      <c r="U2352" s="7"/>
      <c r="V2352" s="7"/>
      <c r="AC2352" s="7"/>
      <c r="AD2352" s="7"/>
      <c r="AE2352" s="7"/>
      <c r="AF2352" s="7"/>
      <c r="AG2352" s="7"/>
      <c r="AO2352" s="7"/>
      <c r="AP2352" s="7"/>
      <c r="AQ2352" s="7"/>
      <c r="AR2352" s="7"/>
      <c r="AS2352" s="7"/>
    </row>
    <row r="2353" spans="1:45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Q2353" s="7"/>
      <c r="R2353" s="7"/>
      <c r="S2353" s="7"/>
      <c r="T2353" s="7"/>
      <c r="U2353" s="7"/>
      <c r="V2353" s="7"/>
      <c r="AC2353" s="7"/>
      <c r="AD2353" s="7"/>
      <c r="AE2353" s="7"/>
      <c r="AF2353" s="7"/>
      <c r="AG2353" s="7"/>
      <c r="AO2353" s="7"/>
      <c r="AP2353" s="7"/>
      <c r="AQ2353" s="7"/>
      <c r="AR2353" s="7"/>
      <c r="AS2353" s="7"/>
    </row>
    <row r="2354" spans="1:45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Q2354" s="7"/>
      <c r="R2354" s="7"/>
      <c r="S2354" s="7"/>
      <c r="T2354" s="7"/>
      <c r="U2354" s="7"/>
      <c r="V2354" s="7"/>
      <c r="AC2354" s="7"/>
      <c r="AD2354" s="7"/>
      <c r="AE2354" s="7"/>
      <c r="AF2354" s="7"/>
      <c r="AG2354" s="7"/>
      <c r="AO2354" s="7"/>
      <c r="AP2354" s="7"/>
      <c r="AQ2354" s="7"/>
      <c r="AR2354" s="7"/>
      <c r="AS2354" s="7"/>
    </row>
    <row r="2355" spans="1:45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Q2355" s="7"/>
      <c r="R2355" s="7"/>
      <c r="S2355" s="7"/>
      <c r="T2355" s="7"/>
      <c r="U2355" s="7"/>
      <c r="V2355" s="7"/>
      <c r="AC2355" s="7"/>
      <c r="AD2355" s="7"/>
      <c r="AE2355" s="7"/>
      <c r="AF2355" s="7"/>
      <c r="AG2355" s="7"/>
      <c r="AO2355" s="7"/>
      <c r="AP2355" s="7"/>
      <c r="AQ2355" s="7"/>
      <c r="AR2355" s="7"/>
      <c r="AS2355" s="7"/>
    </row>
    <row r="2356" spans="1:45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Q2356" s="7"/>
      <c r="R2356" s="7"/>
      <c r="S2356" s="7"/>
      <c r="T2356" s="7"/>
      <c r="U2356" s="7"/>
      <c r="V2356" s="7"/>
      <c r="AC2356" s="7"/>
      <c r="AD2356" s="7"/>
      <c r="AE2356" s="7"/>
      <c r="AF2356" s="7"/>
      <c r="AG2356" s="7"/>
      <c r="AO2356" s="7"/>
      <c r="AP2356" s="7"/>
      <c r="AQ2356" s="7"/>
      <c r="AR2356" s="7"/>
      <c r="AS2356" s="7"/>
    </row>
    <row r="2357" spans="1:45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Q2357" s="7"/>
      <c r="R2357" s="7"/>
      <c r="S2357" s="7"/>
      <c r="T2357" s="7"/>
      <c r="U2357" s="7"/>
      <c r="V2357" s="7"/>
      <c r="AC2357" s="7"/>
      <c r="AD2357" s="7"/>
      <c r="AE2357" s="7"/>
      <c r="AF2357" s="7"/>
      <c r="AG2357" s="7"/>
      <c r="AO2357" s="7"/>
      <c r="AP2357" s="7"/>
      <c r="AQ2357" s="7"/>
      <c r="AR2357" s="7"/>
      <c r="AS2357" s="7"/>
    </row>
    <row r="2358" spans="1:45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Q2358" s="7"/>
      <c r="R2358" s="7"/>
      <c r="S2358" s="7"/>
      <c r="T2358" s="7"/>
      <c r="U2358" s="7"/>
      <c r="V2358" s="7"/>
      <c r="AC2358" s="7"/>
      <c r="AD2358" s="7"/>
      <c r="AE2358" s="7"/>
      <c r="AF2358" s="7"/>
      <c r="AG2358" s="7"/>
      <c r="AO2358" s="7"/>
      <c r="AP2358" s="7"/>
      <c r="AQ2358" s="7"/>
      <c r="AR2358" s="7"/>
      <c r="AS2358" s="7"/>
    </row>
    <row r="2359" spans="1:45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Q2359" s="7"/>
      <c r="R2359" s="7"/>
      <c r="S2359" s="7"/>
      <c r="T2359" s="7"/>
      <c r="U2359" s="7"/>
      <c r="V2359" s="7"/>
      <c r="AC2359" s="7"/>
      <c r="AD2359" s="7"/>
      <c r="AE2359" s="7"/>
      <c r="AF2359" s="7"/>
      <c r="AG2359" s="7"/>
      <c r="AO2359" s="7"/>
      <c r="AP2359" s="7"/>
      <c r="AQ2359" s="7"/>
      <c r="AR2359" s="7"/>
      <c r="AS2359" s="7"/>
    </row>
    <row r="2360" spans="1:45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Q2360" s="7"/>
      <c r="R2360" s="7"/>
      <c r="S2360" s="7"/>
      <c r="T2360" s="7"/>
      <c r="U2360" s="7"/>
      <c r="V2360" s="7"/>
      <c r="AC2360" s="7"/>
      <c r="AD2360" s="7"/>
      <c r="AE2360" s="7"/>
      <c r="AF2360" s="7"/>
      <c r="AG2360" s="7"/>
      <c r="AO2360" s="7"/>
      <c r="AP2360" s="7"/>
      <c r="AQ2360" s="7"/>
      <c r="AR2360" s="7"/>
      <c r="AS2360" s="7"/>
    </row>
    <row r="2361" spans="1:45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Q2361" s="7"/>
      <c r="R2361" s="7"/>
      <c r="S2361" s="7"/>
      <c r="T2361" s="7"/>
      <c r="U2361" s="7"/>
      <c r="V2361" s="7"/>
      <c r="AC2361" s="7"/>
      <c r="AD2361" s="7"/>
      <c r="AE2361" s="7"/>
      <c r="AF2361" s="7"/>
      <c r="AG2361" s="7"/>
      <c r="AO2361" s="7"/>
      <c r="AP2361" s="7"/>
      <c r="AQ2361" s="7"/>
      <c r="AR2361" s="7"/>
      <c r="AS2361" s="7"/>
    </row>
    <row r="2362" spans="1:45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Q2362" s="7"/>
      <c r="R2362" s="7"/>
      <c r="S2362" s="7"/>
      <c r="T2362" s="7"/>
      <c r="U2362" s="7"/>
      <c r="V2362" s="7"/>
      <c r="AC2362" s="7"/>
      <c r="AD2362" s="7"/>
      <c r="AE2362" s="7"/>
      <c r="AF2362" s="7"/>
      <c r="AG2362" s="7"/>
      <c r="AO2362" s="7"/>
      <c r="AP2362" s="7"/>
      <c r="AQ2362" s="7"/>
      <c r="AR2362" s="7"/>
      <c r="AS2362" s="7"/>
    </row>
    <row r="2363" spans="1:45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Q2363" s="7"/>
      <c r="R2363" s="7"/>
      <c r="S2363" s="7"/>
      <c r="T2363" s="7"/>
      <c r="U2363" s="7"/>
      <c r="V2363" s="7"/>
      <c r="AC2363" s="7"/>
      <c r="AD2363" s="7"/>
      <c r="AE2363" s="7"/>
      <c r="AF2363" s="7"/>
      <c r="AG2363" s="7"/>
      <c r="AO2363" s="7"/>
      <c r="AP2363" s="7"/>
      <c r="AQ2363" s="7"/>
      <c r="AR2363" s="7"/>
      <c r="AS2363" s="7"/>
    </row>
    <row r="2364" spans="1:45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Q2364" s="7"/>
      <c r="R2364" s="7"/>
      <c r="S2364" s="7"/>
      <c r="T2364" s="7"/>
      <c r="U2364" s="7"/>
      <c r="V2364" s="7"/>
      <c r="AC2364" s="7"/>
      <c r="AD2364" s="7"/>
      <c r="AE2364" s="7"/>
      <c r="AF2364" s="7"/>
      <c r="AG2364" s="7"/>
      <c r="AO2364" s="7"/>
      <c r="AP2364" s="7"/>
      <c r="AQ2364" s="7"/>
      <c r="AR2364" s="7"/>
      <c r="AS2364" s="7"/>
    </row>
    <row r="2365" spans="1:45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Q2365" s="7"/>
      <c r="R2365" s="7"/>
      <c r="S2365" s="7"/>
      <c r="T2365" s="7"/>
      <c r="U2365" s="7"/>
      <c r="V2365" s="7"/>
      <c r="AC2365" s="7"/>
      <c r="AD2365" s="7"/>
      <c r="AE2365" s="7"/>
      <c r="AF2365" s="7"/>
      <c r="AG2365" s="7"/>
      <c r="AO2365" s="7"/>
      <c r="AP2365" s="7"/>
      <c r="AQ2365" s="7"/>
      <c r="AR2365" s="7"/>
      <c r="AS2365" s="7"/>
    </row>
    <row r="2366" spans="1:45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Q2366" s="7"/>
      <c r="R2366" s="7"/>
      <c r="S2366" s="7"/>
      <c r="T2366" s="7"/>
      <c r="U2366" s="7"/>
      <c r="V2366" s="7"/>
      <c r="AC2366" s="7"/>
      <c r="AD2366" s="7"/>
      <c r="AE2366" s="7"/>
      <c r="AF2366" s="7"/>
      <c r="AG2366" s="7"/>
      <c r="AO2366" s="7"/>
      <c r="AP2366" s="7"/>
      <c r="AQ2366" s="7"/>
      <c r="AR2366" s="7"/>
      <c r="AS2366" s="7"/>
    </row>
    <row r="2367" spans="1:45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Q2367" s="7"/>
      <c r="R2367" s="7"/>
      <c r="S2367" s="7"/>
      <c r="T2367" s="7"/>
      <c r="U2367" s="7"/>
      <c r="V2367" s="7"/>
      <c r="AC2367" s="7"/>
      <c r="AD2367" s="7"/>
      <c r="AE2367" s="7"/>
      <c r="AF2367" s="7"/>
      <c r="AG2367" s="7"/>
      <c r="AO2367" s="7"/>
      <c r="AP2367" s="7"/>
      <c r="AQ2367" s="7"/>
      <c r="AR2367" s="7"/>
      <c r="AS2367" s="7"/>
    </row>
    <row r="2368" spans="1:45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Q2368" s="7"/>
      <c r="R2368" s="7"/>
      <c r="S2368" s="7"/>
      <c r="T2368" s="7"/>
      <c r="U2368" s="7"/>
      <c r="V2368" s="7"/>
      <c r="AC2368" s="7"/>
      <c r="AD2368" s="7"/>
      <c r="AE2368" s="7"/>
      <c r="AF2368" s="7"/>
      <c r="AG2368" s="7"/>
      <c r="AO2368" s="7"/>
      <c r="AP2368" s="7"/>
      <c r="AQ2368" s="7"/>
      <c r="AR2368" s="7"/>
      <c r="AS2368" s="7"/>
    </row>
    <row r="2369" spans="1:45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Q2369" s="7"/>
      <c r="R2369" s="7"/>
      <c r="S2369" s="7"/>
      <c r="T2369" s="7"/>
      <c r="U2369" s="7"/>
      <c r="V2369" s="7"/>
      <c r="AC2369" s="7"/>
      <c r="AD2369" s="7"/>
      <c r="AE2369" s="7"/>
      <c r="AF2369" s="7"/>
      <c r="AG2369" s="7"/>
      <c r="AO2369" s="7"/>
      <c r="AP2369" s="7"/>
      <c r="AQ2369" s="7"/>
      <c r="AR2369" s="7"/>
      <c r="AS2369" s="7"/>
    </row>
    <row r="2370" spans="1:45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Q2370" s="7"/>
      <c r="R2370" s="7"/>
      <c r="S2370" s="7"/>
      <c r="T2370" s="7"/>
      <c r="U2370" s="7"/>
      <c r="V2370" s="7"/>
      <c r="AC2370" s="7"/>
      <c r="AD2370" s="7"/>
      <c r="AE2370" s="7"/>
      <c r="AF2370" s="7"/>
      <c r="AG2370" s="7"/>
      <c r="AO2370" s="7"/>
      <c r="AP2370" s="7"/>
      <c r="AQ2370" s="7"/>
      <c r="AR2370" s="7"/>
      <c r="AS2370" s="7"/>
    </row>
    <row r="2371" spans="1:45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Q2371" s="7"/>
      <c r="R2371" s="7"/>
      <c r="S2371" s="7"/>
      <c r="T2371" s="7"/>
      <c r="U2371" s="7"/>
      <c r="V2371" s="7"/>
      <c r="AC2371" s="7"/>
      <c r="AD2371" s="7"/>
      <c r="AE2371" s="7"/>
      <c r="AF2371" s="7"/>
      <c r="AG2371" s="7"/>
      <c r="AO2371" s="7"/>
      <c r="AP2371" s="7"/>
      <c r="AQ2371" s="7"/>
      <c r="AR2371" s="7"/>
      <c r="AS2371" s="7"/>
    </row>
    <row r="2372" spans="1:45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Q2372" s="7"/>
      <c r="R2372" s="7"/>
      <c r="S2372" s="7"/>
      <c r="T2372" s="7"/>
      <c r="U2372" s="7"/>
      <c r="V2372" s="7"/>
      <c r="AC2372" s="7"/>
      <c r="AD2372" s="7"/>
      <c r="AE2372" s="7"/>
      <c r="AF2372" s="7"/>
      <c r="AG2372" s="7"/>
      <c r="AO2372" s="7"/>
      <c r="AP2372" s="7"/>
      <c r="AQ2372" s="7"/>
      <c r="AR2372" s="7"/>
      <c r="AS2372" s="7"/>
    </row>
    <row r="2373" spans="1:45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Q2373" s="7"/>
      <c r="R2373" s="7"/>
      <c r="S2373" s="7"/>
      <c r="T2373" s="7"/>
      <c r="U2373" s="7"/>
      <c r="V2373" s="7"/>
      <c r="AC2373" s="7"/>
      <c r="AD2373" s="7"/>
      <c r="AE2373" s="7"/>
      <c r="AF2373" s="7"/>
      <c r="AG2373" s="7"/>
      <c r="AO2373" s="7"/>
      <c r="AP2373" s="7"/>
      <c r="AQ2373" s="7"/>
      <c r="AR2373" s="7"/>
      <c r="AS2373" s="7"/>
    </row>
    <row r="2374" spans="1:45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Q2374" s="7"/>
      <c r="R2374" s="7"/>
      <c r="S2374" s="7"/>
      <c r="T2374" s="7"/>
      <c r="U2374" s="7"/>
      <c r="V2374" s="7"/>
      <c r="AC2374" s="7"/>
      <c r="AD2374" s="7"/>
      <c r="AE2374" s="7"/>
      <c r="AF2374" s="7"/>
      <c r="AG2374" s="7"/>
      <c r="AO2374" s="7"/>
      <c r="AP2374" s="7"/>
      <c r="AQ2374" s="7"/>
      <c r="AR2374" s="7"/>
      <c r="AS2374" s="7"/>
    </row>
    <row r="2375" spans="1:45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Q2375" s="7"/>
      <c r="R2375" s="7"/>
      <c r="S2375" s="7"/>
      <c r="T2375" s="7"/>
      <c r="U2375" s="7"/>
      <c r="V2375" s="7"/>
      <c r="AC2375" s="7"/>
      <c r="AD2375" s="7"/>
      <c r="AE2375" s="7"/>
      <c r="AF2375" s="7"/>
      <c r="AG2375" s="7"/>
      <c r="AO2375" s="7"/>
      <c r="AP2375" s="7"/>
      <c r="AQ2375" s="7"/>
      <c r="AR2375" s="7"/>
      <c r="AS2375" s="7"/>
    </row>
    <row r="2376" spans="1:45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Q2376" s="7"/>
      <c r="R2376" s="7"/>
      <c r="S2376" s="7"/>
      <c r="T2376" s="7"/>
      <c r="U2376" s="7"/>
      <c r="V2376" s="7"/>
      <c r="AC2376" s="7"/>
      <c r="AD2376" s="7"/>
      <c r="AE2376" s="7"/>
      <c r="AF2376" s="7"/>
      <c r="AG2376" s="7"/>
      <c r="AO2376" s="7"/>
      <c r="AP2376" s="7"/>
      <c r="AQ2376" s="7"/>
      <c r="AR2376" s="7"/>
      <c r="AS2376" s="7"/>
    </row>
    <row r="2377" spans="1:45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Q2377" s="7"/>
      <c r="R2377" s="7"/>
      <c r="S2377" s="7"/>
      <c r="T2377" s="7"/>
      <c r="U2377" s="7"/>
      <c r="V2377" s="7"/>
      <c r="AC2377" s="7"/>
      <c r="AD2377" s="7"/>
      <c r="AE2377" s="7"/>
      <c r="AF2377" s="7"/>
      <c r="AG2377" s="7"/>
      <c r="AO2377" s="7"/>
      <c r="AP2377" s="7"/>
      <c r="AQ2377" s="7"/>
      <c r="AR2377" s="7"/>
      <c r="AS2377" s="7"/>
    </row>
    <row r="2378" spans="1:45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Q2378" s="7"/>
      <c r="R2378" s="7"/>
      <c r="S2378" s="7"/>
      <c r="T2378" s="7"/>
      <c r="U2378" s="7"/>
      <c r="V2378" s="7"/>
      <c r="AC2378" s="7"/>
      <c r="AD2378" s="7"/>
      <c r="AE2378" s="7"/>
      <c r="AF2378" s="7"/>
      <c r="AG2378" s="7"/>
      <c r="AO2378" s="7"/>
      <c r="AP2378" s="7"/>
      <c r="AQ2378" s="7"/>
      <c r="AR2378" s="7"/>
      <c r="AS2378" s="7"/>
    </row>
    <row r="2379" spans="1:45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Q2379" s="7"/>
      <c r="R2379" s="7"/>
      <c r="S2379" s="7"/>
      <c r="T2379" s="7"/>
      <c r="U2379" s="7"/>
      <c r="V2379" s="7"/>
      <c r="AC2379" s="7"/>
      <c r="AD2379" s="7"/>
      <c r="AE2379" s="7"/>
      <c r="AF2379" s="7"/>
      <c r="AG2379" s="7"/>
      <c r="AO2379" s="7"/>
      <c r="AP2379" s="7"/>
      <c r="AQ2379" s="7"/>
      <c r="AR2379" s="7"/>
      <c r="AS2379" s="7"/>
    </row>
    <row r="2380" spans="1:45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Q2380" s="7"/>
      <c r="R2380" s="7"/>
      <c r="S2380" s="7"/>
      <c r="T2380" s="7"/>
      <c r="U2380" s="7"/>
      <c r="V2380" s="7"/>
      <c r="AC2380" s="7"/>
      <c r="AD2380" s="7"/>
      <c r="AE2380" s="7"/>
      <c r="AF2380" s="7"/>
      <c r="AG2380" s="7"/>
      <c r="AO2380" s="7"/>
      <c r="AP2380" s="7"/>
      <c r="AQ2380" s="7"/>
      <c r="AR2380" s="7"/>
      <c r="AS2380" s="7"/>
    </row>
    <row r="2381" spans="1:45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Q2381" s="7"/>
      <c r="R2381" s="7"/>
      <c r="S2381" s="7"/>
      <c r="T2381" s="7"/>
      <c r="U2381" s="7"/>
      <c r="V2381" s="7"/>
      <c r="AC2381" s="7"/>
      <c r="AD2381" s="7"/>
      <c r="AE2381" s="7"/>
      <c r="AF2381" s="7"/>
      <c r="AG2381" s="7"/>
      <c r="AO2381" s="7"/>
      <c r="AP2381" s="7"/>
      <c r="AQ2381" s="7"/>
      <c r="AR2381" s="7"/>
      <c r="AS2381" s="7"/>
    </row>
    <row r="2382" spans="1:45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Q2382" s="7"/>
      <c r="R2382" s="7"/>
      <c r="S2382" s="7"/>
      <c r="T2382" s="7"/>
      <c r="U2382" s="7"/>
      <c r="V2382" s="7"/>
      <c r="AC2382" s="7"/>
      <c r="AD2382" s="7"/>
      <c r="AE2382" s="7"/>
      <c r="AF2382" s="7"/>
      <c r="AG2382" s="7"/>
      <c r="AO2382" s="7"/>
      <c r="AP2382" s="7"/>
      <c r="AQ2382" s="7"/>
      <c r="AR2382" s="7"/>
      <c r="AS2382" s="7"/>
    </row>
    <row r="2383" spans="1:45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Q2383" s="7"/>
      <c r="R2383" s="7"/>
      <c r="S2383" s="7"/>
      <c r="T2383" s="7"/>
      <c r="U2383" s="7"/>
      <c r="V2383" s="7"/>
      <c r="AC2383" s="7"/>
      <c r="AD2383" s="7"/>
      <c r="AE2383" s="7"/>
      <c r="AF2383" s="7"/>
      <c r="AG2383" s="7"/>
      <c r="AO2383" s="7"/>
      <c r="AP2383" s="7"/>
      <c r="AQ2383" s="7"/>
      <c r="AR2383" s="7"/>
      <c r="AS2383" s="7"/>
    </row>
    <row r="2384" spans="1:45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Q2384" s="7"/>
      <c r="R2384" s="7"/>
      <c r="S2384" s="7"/>
      <c r="T2384" s="7"/>
      <c r="U2384" s="7"/>
      <c r="V2384" s="7"/>
      <c r="AC2384" s="7"/>
      <c r="AD2384" s="7"/>
      <c r="AE2384" s="7"/>
      <c r="AF2384" s="7"/>
      <c r="AG2384" s="7"/>
      <c r="AO2384" s="7"/>
      <c r="AP2384" s="7"/>
      <c r="AQ2384" s="7"/>
      <c r="AR2384" s="7"/>
      <c r="AS2384" s="7"/>
    </row>
    <row r="2385" spans="1:45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Q2385" s="7"/>
      <c r="R2385" s="7"/>
      <c r="S2385" s="7"/>
      <c r="T2385" s="7"/>
      <c r="U2385" s="7"/>
      <c r="V2385" s="7"/>
      <c r="AC2385" s="7"/>
      <c r="AD2385" s="7"/>
      <c r="AE2385" s="7"/>
      <c r="AF2385" s="7"/>
      <c r="AG2385" s="7"/>
      <c r="AO2385" s="7"/>
      <c r="AP2385" s="7"/>
      <c r="AQ2385" s="7"/>
      <c r="AR2385" s="7"/>
      <c r="AS2385" s="7"/>
    </row>
    <row r="2386" spans="1:45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Q2386" s="7"/>
      <c r="R2386" s="7"/>
      <c r="S2386" s="7"/>
      <c r="T2386" s="7"/>
      <c r="U2386" s="7"/>
      <c r="V2386" s="7"/>
      <c r="AC2386" s="7"/>
      <c r="AD2386" s="7"/>
      <c r="AE2386" s="7"/>
      <c r="AF2386" s="7"/>
      <c r="AG2386" s="7"/>
      <c r="AO2386" s="7"/>
      <c r="AP2386" s="7"/>
      <c r="AQ2386" s="7"/>
      <c r="AR2386" s="7"/>
      <c r="AS2386" s="7"/>
    </row>
    <row r="2387" spans="1:45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Q2387" s="7"/>
      <c r="R2387" s="7"/>
      <c r="S2387" s="7"/>
      <c r="T2387" s="7"/>
      <c r="U2387" s="7"/>
      <c r="V2387" s="7"/>
      <c r="AC2387" s="7"/>
      <c r="AD2387" s="7"/>
      <c r="AE2387" s="7"/>
      <c r="AF2387" s="7"/>
      <c r="AG2387" s="7"/>
      <c r="AO2387" s="7"/>
      <c r="AP2387" s="7"/>
      <c r="AQ2387" s="7"/>
      <c r="AR2387" s="7"/>
      <c r="AS2387" s="7"/>
    </row>
    <row r="2388" spans="1:45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Q2388" s="7"/>
      <c r="R2388" s="7"/>
      <c r="S2388" s="7"/>
      <c r="T2388" s="7"/>
      <c r="U2388" s="7"/>
      <c r="V2388" s="7"/>
      <c r="AC2388" s="7"/>
      <c r="AD2388" s="7"/>
      <c r="AE2388" s="7"/>
      <c r="AF2388" s="7"/>
      <c r="AG2388" s="7"/>
      <c r="AO2388" s="7"/>
      <c r="AP2388" s="7"/>
      <c r="AQ2388" s="7"/>
      <c r="AR2388" s="7"/>
      <c r="AS2388" s="7"/>
    </row>
    <row r="2389" spans="1:45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Q2389" s="7"/>
      <c r="R2389" s="7"/>
      <c r="S2389" s="7"/>
      <c r="T2389" s="7"/>
      <c r="U2389" s="7"/>
      <c r="V2389" s="7"/>
      <c r="AC2389" s="7"/>
      <c r="AD2389" s="7"/>
      <c r="AE2389" s="7"/>
      <c r="AF2389" s="7"/>
      <c r="AG2389" s="7"/>
      <c r="AO2389" s="7"/>
      <c r="AP2389" s="7"/>
      <c r="AQ2389" s="7"/>
      <c r="AR2389" s="7"/>
      <c r="AS2389" s="7"/>
    </row>
    <row r="2390" spans="1:45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Q2390" s="7"/>
      <c r="R2390" s="7"/>
      <c r="S2390" s="7"/>
      <c r="T2390" s="7"/>
      <c r="U2390" s="7"/>
      <c r="V2390" s="7"/>
      <c r="AC2390" s="7"/>
      <c r="AD2390" s="7"/>
      <c r="AE2390" s="7"/>
      <c r="AF2390" s="7"/>
      <c r="AG2390" s="7"/>
      <c r="AO2390" s="7"/>
      <c r="AP2390" s="7"/>
      <c r="AQ2390" s="7"/>
      <c r="AR2390" s="7"/>
      <c r="AS2390" s="7"/>
    </row>
    <row r="2391" spans="1:45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Q2391" s="7"/>
      <c r="R2391" s="7"/>
      <c r="S2391" s="7"/>
      <c r="T2391" s="7"/>
      <c r="U2391" s="7"/>
      <c r="V2391" s="7"/>
      <c r="AC2391" s="7"/>
      <c r="AD2391" s="7"/>
      <c r="AE2391" s="7"/>
      <c r="AF2391" s="7"/>
      <c r="AG2391" s="7"/>
      <c r="AO2391" s="7"/>
      <c r="AP2391" s="7"/>
      <c r="AQ2391" s="7"/>
      <c r="AR2391" s="7"/>
      <c r="AS2391" s="7"/>
    </row>
    <row r="2392" spans="1:45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Q2392" s="7"/>
      <c r="R2392" s="7"/>
      <c r="S2392" s="7"/>
      <c r="T2392" s="7"/>
      <c r="U2392" s="7"/>
      <c r="V2392" s="7"/>
      <c r="AC2392" s="7"/>
      <c r="AD2392" s="7"/>
      <c r="AE2392" s="7"/>
      <c r="AF2392" s="7"/>
      <c r="AG2392" s="7"/>
      <c r="AO2392" s="7"/>
      <c r="AP2392" s="7"/>
      <c r="AQ2392" s="7"/>
      <c r="AR2392" s="7"/>
      <c r="AS2392" s="7"/>
    </row>
    <row r="2393" spans="1:45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Q2393" s="7"/>
      <c r="R2393" s="7"/>
      <c r="S2393" s="7"/>
      <c r="T2393" s="7"/>
      <c r="U2393" s="7"/>
      <c r="V2393" s="7"/>
      <c r="AC2393" s="7"/>
      <c r="AD2393" s="7"/>
      <c r="AE2393" s="7"/>
      <c r="AF2393" s="7"/>
      <c r="AG2393" s="7"/>
      <c r="AO2393" s="7"/>
      <c r="AP2393" s="7"/>
      <c r="AQ2393" s="7"/>
      <c r="AR2393" s="7"/>
      <c r="AS2393" s="7"/>
    </row>
    <row r="2394" spans="1:45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Q2394" s="7"/>
      <c r="R2394" s="7"/>
      <c r="S2394" s="7"/>
      <c r="T2394" s="7"/>
      <c r="U2394" s="7"/>
      <c r="V2394" s="7"/>
      <c r="AC2394" s="7"/>
      <c r="AD2394" s="7"/>
      <c r="AE2394" s="7"/>
      <c r="AF2394" s="7"/>
      <c r="AG2394" s="7"/>
      <c r="AO2394" s="7"/>
      <c r="AP2394" s="7"/>
      <c r="AQ2394" s="7"/>
      <c r="AR2394" s="7"/>
      <c r="AS2394" s="7"/>
    </row>
    <row r="2395" spans="1:45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Q2395" s="7"/>
      <c r="R2395" s="7"/>
      <c r="S2395" s="7"/>
      <c r="T2395" s="7"/>
      <c r="U2395" s="7"/>
      <c r="V2395" s="7"/>
      <c r="AC2395" s="7"/>
      <c r="AD2395" s="7"/>
      <c r="AE2395" s="7"/>
      <c r="AF2395" s="7"/>
      <c r="AG2395" s="7"/>
      <c r="AO2395" s="7"/>
      <c r="AP2395" s="7"/>
      <c r="AQ2395" s="7"/>
      <c r="AR2395" s="7"/>
      <c r="AS2395" s="7"/>
    </row>
    <row r="2396" spans="1:45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Q2396" s="7"/>
      <c r="R2396" s="7"/>
      <c r="S2396" s="7"/>
      <c r="T2396" s="7"/>
      <c r="U2396" s="7"/>
      <c r="V2396" s="7"/>
      <c r="AC2396" s="7"/>
      <c r="AD2396" s="7"/>
      <c r="AE2396" s="7"/>
      <c r="AF2396" s="7"/>
      <c r="AG2396" s="7"/>
      <c r="AO2396" s="7"/>
      <c r="AP2396" s="7"/>
      <c r="AQ2396" s="7"/>
      <c r="AR2396" s="7"/>
      <c r="AS2396" s="7"/>
    </row>
    <row r="2397" spans="1:45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Q2397" s="7"/>
      <c r="R2397" s="7"/>
      <c r="S2397" s="7"/>
      <c r="T2397" s="7"/>
      <c r="U2397" s="7"/>
      <c r="V2397" s="7"/>
      <c r="AC2397" s="7"/>
      <c r="AD2397" s="7"/>
      <c r="AE2397" s="7"/>
      <c r="AF2397" s="7"/>
      <c r="AG2397" s="7"/>
      <c r="AO2397" s="7"/>
      <c r="AP2397" s="7"/>
      <c r="AQ2397" s="7"/>
      <c r="AR2397" s="7"/>
      <c r="AS2397" s="7"/>
    </row>
    <row r="2398" spans="1:45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Q2398" s="7"/>
      <c r="R2398" s="7"/>
      <c r="S2398" s="7"/>
      <c r="T2398" s="7"/>
      <c r="U2398" s="7"/>
      <c r="V2398" s="7"/>
      <c r="AC2398" s="7"/>
      <c r="AD2398" s="7"/>
      <c r="AE2398" s="7"/>
      <c r="AF2398" s="7"/>
      <c r="AG2398" s="7"/>
      <c r="AO2398" s="7"/>
      <c r="AP2398" s="7"/>
      <c r="AQ2398" s="7"/>
      <c r="AR2398" s="7"/>
      <c r="AS2398" s="7"/>
    </row>
    <row r="2399" spans="1:45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Q2399" s="7"/>
      <c r="R2399" s="7"/>
      <c r="S2399" s="7"/>
      <c r="T2399" s="7"/>
      <c r="U2399" s="7"/>
      <c r="V2399" s="7"/>
      <c r="AC2399" s="7"/>
      <c r="AD2399" s="7"/>
      <c r="AE2399" s="7"/>
      <c r="AF2399" s="7"/>
      <c r="AG2399" s="7"/>
      <c r="AO2399" s="7"/>
      <c r="AP2399" s="7"/>
      <c r="AQ2399" s="7"/>
      <c r="AR2399" s="7"/>
      <c r="AS2399" s="7"/>
    </row>
    <row r="2400" spans="1:45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Q2400" s="7"/>
      <c r="R2400" s="7"/>
      <c r="S2400" s="7"/>
      <c r="T2400" s="7"/>
      <c r="U2400" s="7"/>
      <c r="V2400" s="7"/>
      <c r="AC2400" s="7"/>
      <c r="AD2400" s="7"/>
      <c r="AE2400" s="7"/>
      <c r="AF2400" s="7"/>
      <c r="AG2400" s="7"/>
      <c r="AO2400" s="7"/>
      <c r="AP2400" s="7"/>
      <c r="AQ2400" s="7"/>
      <c r="AR2400" s="7"/>
      <c r="AS2400" s="7"/>
    </row>
    <row r="2401" spans="1:45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Q2401" s="7"/>
      <c r="R2401" s="7"/>
      <c r="S2401" s="7"/>
      <c r="T2401" s="7"/>
      <c r="U2401" s="7"/>
      <c r="V2401" s="7"/>
      <c r="AC2401" s="7"/>
      <c r="AD2401" s="7"/>
      <c r="AE2401" s="7"/>
      <c r="AF2401" s="7"/>
      <c r="AG2401" s="7"/>
      <c r="AO2401" s="7"/>
      <c r="AP2401" s="7"/>
      <c r="AQ2401" s="7"/>
      <c r="AR2401" s="7"/>
      <c r="AS2401" s="7"/>
    </row>
    <row r="2402" spans="1:45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Q2402" s="7"/>
      <c r="R2402" s="7"/>
      <c r="S2402" s="7"/>
      <c r="T2402" s="7"/>
      <c r="U2402" s="7"/>
      <c r="V2402" s="7"/>
      <c r="AC2402" s="7"/>
      <c r="AD2402" s="7"/>
      <c r="AE2402" s="7"/>
      <c r="AF2402" s="7"/>
      <c r="AG2402" s="7"/>
      <c r="AO2402" s="7"/>
      <c r="AP2402" s="7"/>
      <c r="AQ2402" s="7"/>
      <c r="AR2402" s="7"/>
      <c r="AS2402" s="7"/>
    </row>
    <row r="2403" spans="1:45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Q2403" s="7"/>
      <c r="R2403" s="7"/>
      <c r="S2403" s="7"/>
      <c r="T2403" s="7"/>
      <c r="U2403" s="7"/>
      <c r="V2403" s="7"/>
      <c r="AC2403" s="7"/>
      <c r="AD2403" s="7"/>
      <c r="AE2403" s="7"/>
      <c r="AF2403" s="7"/>
      <c r="AG2403" s="7"/>
      <c r="AO2403" s="7"/>
      <c r="AP2403" s="7"/>
      <c r="AQ2403" s="7"/>
      <c r="AR2403" s="7"/>
      <c r="AS2403" s="7"/>
    </row>
    <row r="2404" spans="1:45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Q2404" s="7"/>
      <c r="R2404" s="7"/>
      <c r="S2404" s="7"/>
      <c r="T2404" s="7"/>
      <c r="U2404" s="7"/>
      <c r="V2404" s="7"/>
      <c r="AC2404" s="7"/>
      <c r="AD2404" s="7"/>
      <c r="AE2404" s="7"/>
      <c r="AF2404" s="7"/>
      <c r="AG2404" s="7"/>
      <c r="AO2404" s="7"/>
      <c r="AP2404" s="7"/>
      <c r="AQ2404" s="7"/>
      <c r="AR2404" s="7"/>
      <c r="AS2404" s="7"/>
    </row>
    <row r="2405" spans="1:45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Q2405" s="7"/>
      <c r="R2405" s="7"/>
      <c r="S2405" s="7"/>
      <c r="T2405" s="7"/>
      <c r="U2405" s="7"/>
      <c r="V2405" s="7"/>
      <c r="AC2405" s="7"/>
      <c r="AD2405" s="7"/>
      <c r="AE2405" s="7"/>
      <c r="AF2405" s="7"/>
      <c r="AG2405" s="7"/>
      <c r="AO2405" s="7"/>
      <c r="AP2405" s="7"/>
      <c r="AQ2405" s="7"/>
      <c r="AR2405" s="7"/>
      <c r="AS2405" s="7"/>
    </row>
    <row r="2406" spans="1:45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Q2406" s="7"/>
      <c r="R2406" s="7"/>
      <c r="S2406" s="7"/>
      <c r="T2406" s="7"/>
      <c r="U2406" s="7"/>
      <c r="V2406" s="7"/>
      <c r="AC2406" s="7"/>
      <c r="AD2406" s="7"/>
      <c r="AE2406" s="7"/>
      <c r="AF2406" s="7"/>
      <c r="AG2406" s="7"/>
      <c r="AO2406" s="7"/>
      <c r="AP2406" s="7"/>
      <c r="AQ2406" s="7"/>
      <c r="AR2406" s="7"/>
      <c r="AS2406" s="7"/>
    </row>
    <row r="2407" spans="1:45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Q2407" s="7"/>
      <c r="R2407" s="7"/>
      <c r="S2407" s="7"/>
      <c r="T2407" s="7"/>
      <c r="U2407" s="7"/>
      <c r="V2407" s="7"/>
      <c r="AC2407" s="7"/>
      <c r="AD2407" s="7"/>
      <c r="AE2407" s="7"/>
      <c r="AF2407" s="7"/>
      <c r="AG2407" s="7"/>
      <c r="AO2407" s="7"/>
      <c r="AP2407" s="7"/>
      <c r="AQ2407" s="7"/>
      <c r="AR2407" s="7"/>
      <c r="AS2407" s="7"/>
    </row>
    <row r="2408" spans="1:45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Q2408" s="7"/>
      <c r="R2408" s="7"/>
      <c r="S2408" s="7"/>
      <c r="T2408" s="7"/>
      <c r="U2408" s="7"/>
      <c r="V2408" s="7"/>
      <c r="AC2408" s="7"/>
      <c r="AD2408" s="7"/>
      <c r="AE2408" s="7"/>
      <c r="AF2408" s="7"/>
      <c r="AG2408" s="7"/>
      <c r="AO2408" s="7"/>
      <c r="AP2408" s="7"/>
      <c r="AQ2408" s="7"/>
      <c r="AR2408" s="7"/>
      <c r="AS2408" s="7"/>
    </row>
    <row r="2409" spans="1:45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Q2409" s="7"/>
      <c r="R2409" s="7"/>
      <c r="S2409" s="7"/>
      <c r="T2409" s="7"/>
      <c r="U2409" s="7"/>
      <c r="V2409" s="7"/>
      <c r="AC2409" s="7"/>
      <c r="AD2409" s="7"/>
      <c r="AE2409" s="7"/>
      <c r="AF2409" s="7"/>
      <c r="AG2409" s="7"/>
      <c r="AO2409" s="7"/>
      <c r="AP2409" s="7"/>
      <c r="AQ2409" s="7"/>
      <c r="AR2409" s="7"/>
      <c r="AS2409" s="7"/>
    </row>
    <row r="2410" spans="1:45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Q2410" s="7"/>
      <c r="R2410" s="7"/>
      <c r="S2410" s="7"/>
      <c r="T2410" s="7"/>
      <c r="U2410" s="7"/>
      <c r="V2410" s="7"/>
      <c r="AC2410" s="7"/>
      <c r="AD2410" s="7"/>
      <c r="AE2410" s="7"/>
      <c r="AF2410" s="7"/>
      <c r="AG2410" s="7"/>
      <c r="AO2410" s="7"/>
      <c r="AP2410" s="7"/>
      <c r="AQ2410" s="7"/>
      <c r="AR2410" s="7"/>
      <c r="AS2410" s="7"/>
    </row>
    <row r="2411" spans="1:45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Q2411" s="7"/>
      <c r="R2411" s="7"/>
      <c r="S2411" s="7"/>
      <c r="T2411" s="7"/>
      <c r="U2411" s="7"/>
      <c r="V2411" s="7"/>
      <c r="AC2411" s="7"/>
      <c r="AD2411" s="7"/>
      <c r="AE2411" s="7"/>
      <c r="AF2411" s="7"/>
      <c r="AG2411" s="7"/>
      <c r="AO2411" s="7"/>
      <c r="AP2411" s="7"/>
      <c r="AQ2411" s="7"/>
      <c r="AR2411" s="7"/>
      <c r="AS2411" s="7"/>
    </row>
    <row r="2412" spans="1:45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Q2412" s="7"/>
      <c r="R2412" s="7"/>
      <c r="S2412" s="7"/>
      <c r="T2412" s="7"/>
      <c r="U2412" s="7"/>
      <c r="V2412" s="7"/>
      <c r="AC2412" s="7"/>
      <c r="AD2412" s="7"/>
      <c r="AE2412" s="7"/>
      <c r="AF2412" s="7"/>
      <c r="AG2412" s="7"/>
      <c r="AO2412" s="7"/>
      <c r="AP2412" s="7"/>
      <c r="AQ2412" s="7"/>
      <c r="AR2412" s="7"/>
      <c r="AS2412" s="7"/>
    </row>
    <row r="2413" spans="1:45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Q2413" s="7"/>
      <c r="R2413" s="7"/>
      <c r="S2413" s="7"/>
      <c r="T2413" s="7"/>
      <c r="U2413" s="7"/>
      <c r="V2413" s="7"/>
      <c r="AC2413" s="7"/>
      <c r="AD2413" s="7"/>
      <c r="AE2413" s="7"/>
      <c r="AF2413" s="7"/>
      <c r="AG2413" s="7"/>
      <c r="AO2413" s="7"/>
      <c r="AP2413" s="7"/>
      <c r="AQ2413" s="7"/>
      <c r="AR2413" s="7"/>
      <c r="AS2413" s="7"/>
    </row>
    <row r="2414" spans="1:45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Q2414" s="7"/>
      <c r="R2414" s="7"/>
      <c r="S2414" s="7"/>
      <c r="T2414" s="7"/>
      <c r="U2414" s="7"/>
      <c r="V2414" s="7"/>
      <c r="AC2414" s="7"/>
      <c r="AD2414" s="7"/>
      <c r="AE2414" s="7"/>
      <c r="AF2414" s="7"/>
      <c r="AG2414" s="7"/>
      <c r="AO2414" s="7"/>
      <c r="AP2414" s="7"/>
      <c r="AQ2414" s="7"/>
      <c r="AR2414" s="7"/>
      <c r="AS2414" s="7"/>
    </row>
    <row r="2415" spans="1:45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Q2415" s="7"/>
      <c r="R2415" s="7"/>
      <c r="S2415" s="7"/>
      <c r="T2415" s="7"/>
      <c r="U2415" s="7"/>
      <c r="V2415" s="7"/>
      <c r="AC2415" s="7"/>
      <c r="AD2415" s="7"/>
      <c r="AE2415" s="7"/>
      <c r="AF2415" s="7"/>
      <c r="AG2415" s="7"/>
      <c r="AO2415" s="7"/>
      <c r="AP2415" s="7"/>
      <c r="AQ2415" s="7"/>
      <c r="AR2415" s="7"/>
      <c r="AS2415" s="7"/>
    </row>
    <row r="2416" spans="1:45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Q2416" s="7"/>
      <c r="R2416" s="7"/>
      <c r="S2416" s="7"/>
      <c r="T2416" s="7"/>
      <c r="U2416" s="7"/>
      <c r="V2416" s="7"/>
      <c r="AC2416" s="7"/>
      <c r="AD2416" s="7"/>
      <c r="AE2416" s="7"/>
      <c r="AF2416" s="7"/>
      <c r="AG2416" s="7"/>
      <c r="AO2416" s="7"/>
      <c r="AP2416" s="7"/>
      <c r="AQ2416" s="7"/>
      <c r="AR2416" s="7"/>
      <c r="AS2416" s="7"/>
    </row>
    <row r="2417" spans="1:45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Q2417" s="7"/>
      <c r="R2417" s="7"/>
      <c r="S2417" s="7"/>
      <c r="T2417" s="7"/>
      <c r="U2417" s="7"/>
      <c r="V2417" s="7"/>
      <c r="AC2417" s="7"/>
      <c r="AD2417" s="7"/>
      <c r="AE2417" s="7"/>
      <c r="AF2417" s="7"/>
      <c r="AG2417" s="7"/>
      <c r="AO2417" s="7"/>
      <c r="AP2417" s="7"/>
      <c r="AQ2417" s="7"/>
      <c r="AR2417" s="7"/>
      <c r="AS2417" s="7"/>
    </row>
    <row r="2418" spans="1:45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Q2418" s="7"/>
      <c r="R2418" s="7"/>
      <c r="S2418" s="7"/>
      <c r="T2418" s="7"/>
      <c r="U2418" s="7"/>
      <c r="V2418" s="7"/>
      <c r="AC2418" s="7"/>
      <c r="AD2418" s="7"/>
      <c r="AE2418" s="7"/>
      <c r="AF2418" s="7"/>
      <c r="AG2418" s="7"/>
      <c r="AO2418" s="7"/>
      <c r="AP2418" s="7"/>
      <c r="AQ2418" s="7"/>
      <c r="AR2418" s="7"/>
      <c r="AS2418" s="7"/>
    </row>
    <row r="2419" spans="1:45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Q2419" s="7"/>
      <c r="R2419" s="7"/>
      <c r="S2419" s="7"/>
      <c r="T2419" s="7"/>
      <c r="U2419" s="7"/>
      <c r="V2419" s="7"/>
      <c r="AC2419" s="7"/>
      <c r="AD2419" s="7"/>
      <c r="AE2419" s="7"/>
      <c r="AF2419" s="7"/>
      <c r="AG2419" s="7"/>
      <c r="AO2419" s="7"/>
      <c r="AP2419" s="7"/>
      <c r="AQ2419" s="7"/>
      <c r="AR2419" s="7"/>
      <c r="AS2419" s="7"/>
    </row>
    <row r="2420" spans="1:45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Q2420" s="7"/>
      <c r="R2420" s="7"/>
      <c r="S2420" s="7"/>
      <c r="T2420" s="7"/>
      <c r="U2420" s="7"/>
      <c r="V2420" s="7"/>
      <c r="AC2420" s="7"/>
      <c r="AD2420" s="7"/>
      <c r="AE2420" s="7"/>
      <c r="AF2420" s="7"/>
      <c r="AG2420" s="7"/>
      <c r="AO2420" s="7"/>
      <c r="AP2420" s="7"/>
      <c r="AQ2420" s="7"/>
      <c r="AR2420" s="7"/>
      <c r="AS2420" s="7"/>
    </row>
    <row r="2421" spans="1:45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Q2421" s="7"/>
      <c r="R2421" s="7"/>
      <c r="S2421" s="7"/>
      <c r="T2421" s="7"/>
      <c r="U2421" s="7"/>
      <c r="V2421" s="7"/>
      <c r="AC2421" s="7"/>
      <c r="AD2421" s="7"/>
      <c r="AE2421" s="7"/>
      <c r="AF2421" s="7"/>
      <c r="AG2421" s="7"/>
      <c r="AO2421" s="7"/>
      <c r="AP2421" s="7"/>
      <c r="AQ2421" s="7"/>
      <c r="AR2421" s="7"/>
      <c r="AS2421" s="7"/>
    </row>
    <row r="2422" spans="1:45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Q2422" s="7"/>
      <c r="R2422" s="7"/>
      <c r="S2422" s="7"/>
      <c r="T2422" s="7"/>
      <c r="U2422" s="7"/>
      <c r="V2422" s="7"/>
      <c r="AC2422" s="7"/>
      <c r="AD2422" s="7"/>
      <c r="AE2422" s="7"/>
      <c r="AF2422" s="7"/>
      <c r="AG2422" s="7"/>
      <c r="AO2422" s="7"/>
      <c r="AP2422" s="7"/>
      <c r="AQ2422" s="7"/>
      <c r="AR2422" s="7"/>
      <c r="AS2422" s="7"/>
    </row>
    <row r="2423" spans="1:45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Q2423" s="7"/>
      <c r="R2423" s="7"/>
      <c r="S2423" s="7"/>
      <c r="T2423" s="7"/>
      <c r="U2423" s="7"/>
      <c r="V2423" s="7"/>
      <c r="AC2423" s="7"/>
      <c r="AD2423" s="7"/>
      <c r="AE2423" s="7"/>
      <c r="AF2423" s="7"/>
      <c r="AG2423" s="7"/>
      <c r="AO2423" s="7"/>
      <c r="AP2423" s="7"/>
      <c r="AQ2423" s="7"/>
      <c r="AR2423" s="7"/>
      <c r="AS2423" s="7"/>
    </row>
    <row r="2424" spans="1:45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Q2424" s="7"/>
      <c r="R2424" s="7"/>
      <c r="S2424" s="7"/>
      <c r="T2424" s="7"/>
      <c r="U2424" s="7"/>
      <c r="V2424" s="7"/>
      <c r="AC2424" s="7"/>
      <c r="AD2424" s="7"/>
      <c r="AE2424" s="7"/>
      <c r="AF2424" s="7"/>
      <c r="AG2424" s="7"/>
      <c r="AO2424" s="7"/>
      <c r="AP2424" s="7"/>
      <c r="AQ2424" s="7"/>
      <c r="AR2424" s="7"/>
      <c r="AS2424" s="7"/>
    </row>
    <row r="2425" spans="1:45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Q2425" s="7"/>
      <c r="R2425" s="7"/>
      <c r="S2425" s="7"/>
      <c r="T2425" s="7"/>
      <c r="U2425" s="7"/>
      <c r="V2425" s="7"/>
      <c r="AC2425" s="7"/>
      <c r="AD2425" s="7"/>
      <c r="AE2425" s="7"/>
      <c r="AF2425" s="7"/>
      <c r="AG2425" s="7"/>
      <c r="AO2425" s="7"/>
      <c r="AP2425" s="7"/>
      <c r="AQ2425" s="7"/>
      <c r="AR2425" s="7"/>
      <c r="AS2425" s="7"/>
    </row>
    <row r="2426" spans="1:45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Q2426" s="7"/>
      <c r="R2426" s="7"/>
      <c r="S2426" s="7"/>
      <c r="T2426" s="7"/>
      <c r="U2426" s="7"/>
      <c r="V2426" s="7"/>
      <c r="AC2426" s="7"/>
      <c r="AD2426" s="7"/>
      <c r="AE2426" s="7"/>
      <c r="AF2426" s="7"/>
      <c r="AG2426" s="7"/>
      <c r="AO2426" s="7"/>
      <c r="AP2426" s="7"/>
      <c r="AQ2426" s="7"/>
      <c r="AR2426" s="7"/>
      <c r="AS2426" s="7"/>
    </row>
    <row r="2427" spans="1:45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Q2427" s="7"/>
      <c r="R2427" s="7"/>
      <c r="S2427" s="7"/>
      <c r="T2427" s="7"/>
      <c r="U2427" s="7"/>
      <c r="V2427" s="7"/>
      <c r="AC2427" s="7"/>
      <c r="AD2427" s="7"/>
      <c r="AE2427" s="7"/>
      <c r="AF2427" s="7"/>
      <c r="AG2427" s="7"/>
      <c r="AO2427" s="7"/>
      <c r="AP2427" s="7"/>
      <c r="AQ2427" s="7"/>
      <c r="AR2427" s="7"/>
      <c r="AS2427" s="7"/>
    </row>
    <row r="2428" spans="1:45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Q2428" s="7"/>
      <c r="R2428" s="7"/>
      <c r="S2428" s="7"/>
      <c r="T2428" s="7"/>
      <c r="U2428" s="7"/>
      <c r="V2428" s="7"/>
      <c r="AC2428" s="7"/>
      <c r="AD2428" s="7"/>
      <c r="AE2428" s="7"/>
      <c r="AF2428" s="7"/>
      <c r="AG2428" s="7"/>
      <c r="AO2428" s="7"/>
      <c r="AP2428" s="7"/>
      <c r="AQ2428" s="7"/>
      <c r="AR2428" s="7"/>
      <c r="AS2428" s="7"/>
    </row>
    <row r="2429" spans="1:45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Q2429" s="7"/>
      <c r="R2429" s="7"/>
      <c r="S2429" s="7"/>
      <c r="T2429" s="7"/>
      <c r="U2429" s="7"/>
      <c r="V2429" s="7"/>
      <c r="AC2429" s="7"/>
      <c r="AD2429" s="7"/>
      <c r="AE2429" s="7"/>
      <c r="AF2429" s="7"/>
      <c r="AG2429" s="7"/>
      <c r="AO2429" s="7"/>
      <c r="AP2429" s="7"/>
      <c r="AQ2429" s="7"/>
      <c r="AR2429" s="7"/>
      <c r="AS2429" s="7"/>
    </row>
    <row r="2430" spans="1:45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Q2430" s="7"/>
      <c r="R2430" s="7"/>
      <c r="S2430" s="7"/>
      <c r="T2430" s="7"/>
      <c r="U2430" s="7"/>
      <c r="V2430" s="7"/>
      <c r="AC2430" s="7"/>
      <c r="AD2430" s="7"/>
      <c r="AE2430" s="7"/>
      <c r="AF2430" s="7"/>
      <c r="AG2430" s="7"/>
      <c r="AO2430" s="7"/>
      <c r="AP2430" s="7"/>
      <c r="AQ2430" s="7"/>
      <c r="AR2430" s="7"/>
      <c r="AS2430" s="7"/>
    </row>
    <row r="2431" spans="1:45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Q2431" s="7"/>
      <c r="R2431" s="7"/>
      <c r="S2431" s="7"/>
      <c r="T2431" s="7"/>
      <c r="U2431" s="7"/>
      <c r="V2431" s="7"/>
      <c r="AC2431" s="7"/>
      <c r="AD2431" s="7"/>
      <c r="AE2431" s="7"/>
      <c r="AF2431" s="7"/>
      <c r="AG2431" s="7"/>
      <c r="AO2431" s="7"/>
      <c r="AP2431" s="7"/>
      <c r="AQ2431" s="7"/>
      <c r="AR2431" s="7"/>
      <c r="AS2431" s="7"/>
    </row>
    <row r="2432" spans="1:45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Q2432" s="7"/>
      <c r="R2432" s="7"/>
      <c r="S2432" s="7"/>
      <c r="T2432" s="7"/>
      <c r="U2432" s="7"/>
      <c r="V2432" s="7"/>
      <c r="AC2432" s="7"/>
      <c r="AD2432" s="7"/>
      <c r="AE2432" s="7"/>
      <c r="AF2432" s="7"/>
      <c r="AG2432" s="7"/>
      <c r="AO2432" s="7"/>
      <c r="AP2432" s="7"/>
      <c r="AQ2432" s="7"/>
      <c r="AR2432" s="7"/>
      <c r="AS2432" s="7"/>
    </row>
    <row r="2433" spans="1:45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Q2433" s="7"/>
      <c r="R2433" s="7"/>
      <c r="S2433" s="7"/>
      <c r="T2433" s="7"/>
      <c r="U2433" s="7"/>
      <c r="V2433" s="7"/>
      <c r="AC2433" s="7"/>
      <c r="AD2433" s="7"/>
      <c r="AE2433" s="7"/>
      <c r="AF2433" s="7"/>
      <c r="AG2433" s="7"/>
      <c r="AO2433" s="7"/>
      <c r="AP2433" s="7"/>
      <c r="AQ2433" s="7"/>
      <c r="AR2433" s="7"/>
      <c r="AS2433" s="7"/>
    </row>
    <row r="2434" spans="1:45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Q2434" s="7"/>
      <c r="R2434" s="7"/>
      <c r="S2434" s="7"/>
      <c r="T2434" s="7"/>
      <c r="U2434" s="7"/>
      <c r="V2434" s="7"/>
      <c r="AC2434" s="7"/>
      <c r="AD2434" s="7"/>
      <c r="AE2434" s="7"/>
      <c r="AF2434" s="7"/>
      <c r="AG2434" s="7"/>
      <c r="AO2434" s="7"/>
      <c r="AP2434" s="7"/>
      <c r="AQ2434" s="7"/>
      <c r="AR2434" s="7"/>
      <c r="AS2434" s="7"/>
    </row>
    <row r="2435" spans="1:45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Q2435" s="7"/>
      <c r="R2435" s="7"/>
      <c r="S2435" s="7"/>
      <c r="T2435" s="7"/>
      <c r="U2435" s="7"/>
      <c r="V2435" s="7"/>
      <c r="AC2435" s="7"/>
      <c r="AD2435" s="7"/>
      <c r="AE2435" s="7"/>
      <c r="AF2435" s="7"/>
      <c r="AG2435" s="7"/>
      <c r="AO2435" s="7"/>
      <c r="AP2435" s="7"/>
      <c r="AQ2435" s="7"/>
      <c r="AR2435" s="7"/>
      <c r="AS2435" s="7"/>
    </row>
    <row r="2436" spans="1:45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Q2436" s="7"/>
      <c r="R2436" s="7"/>
      <c r="S2436" s="7"/>
      <c r="T2436" s="7"/>
      <c r="U2436" s="7"/>
      <c r="V2436" s="7"/>
      <c r="AC2436" s="7"/>
      <c r="AD2436" s="7"/>
      <c r="AE2436" s="7"/>
      <c r="AF2436" s="7"/>
      <c r="AG2436" s="7"/>
      <c r="AO2436" s="7"/>
      <c r="AP2436" s="7"/>
      <c r="AQ2436" s="7"/>
      <c r="AR2436" s="7"/>
      <c r="AS2436" s="7"/>
    </row>
    <row r="2437" spans="1:45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Q2437" s="7"/>
      <c r="R2437" s="7"/>
      <c r="S2437" s="7"/>
      <c r="T2437" s="7"/>
      <c r="U2437" s="7"/>
      <c r="V2437" s="7"/>
      <c r="AC2437" s="7"/>
      <c r="AD2437" s="7"/>
      <c r="AE2437" s="7"/>
      <c r="AF2437" s="7"/>
      <c r="AG2437" s="7"/>
      <c r="AO2437" s="7"/>
      <c r="AP2437" s="7"/>
      <c r="AQ2437" s="7"/>
      <c r="AR2437" s="7"/>
      <c r="AS2437" s="7"/>
    </row>
    <row r="2438" spans="1:45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Q2438" s="7"/>
      <c r="R2438" s="7"/>
      <c r="S2438" s="7"/>
      <c r="T2438" s="7"/>
      <c r="U2438" s="7"/>
      <c r="V2438" s="7"/>
      <c r="AC2438" s="7"/>
      <c r="AD2438" s="7"/>
      <c r="AE2438" s="7"/>
      <c r="AF2438" s="7"/>
      <c r="AG2438" s="7"/>
      <c r="AO2438" s="7"/>
      <c r="AP2438" s="7"/>
      <c r="AQ2438" s="7"/>
      <c r="AR2438" s="7"/>
      <c r="AS2438" s="7"/>
    </row>
    <row r="2439" spans="1:45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Q2439" s="7"/>
      <c r="R2439" s="7"/>
      <c r="S2439" s="7"/>
      <c r="T2439" s="7"/>
      <c r="U2439" s="7"/>
      <c r="V2439" s="7"/>
      <c r="AC2439" s="7"/>
      <c r="AD2439" s="7"/>
      <c r="AE2439" s="7"/>
      <c r="AF2439" s="7"/>
      <c r="AG2439" s="7"/>
      <c r="AO2439" s="7"/>
      <c r="AP2439" s="7"/>
      <c r="AQ2439" s="7"/>
      <c r="AR2439" s="7"/>
      <c r="AS2439" s="7"/>
    </row>
    <row r="2440" spans="1:45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Q2440" s="7"/>
      <c r="R2440" s="7"/>
      <c r="S2440" s="7"/>
      <c r="T2440" s="7"/>
      <c r="U2440" s="7"/>
      <c r="V2440" s="7"/>
      <c r="AC2440" s="7"/>
      <c r="AD2440" s="7"/>
      <c r="AE2440" s="7"/>
      <c r="AF2440" s="7"/>
      <c r="AG2440" s="7"/>
      <c r="AO2440" s="7"/>
      <c r="AP2440" s="7"/>
      <c r="AQ2440" s="7"/>
      <c r="AR2440" s="7"/>
      <c r="AS2440" s="7"/>
    </row>
    <row r="2441" spans="1:45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Q2441" s="7"/>
      <c r="R2441" s="7"/>
      <c r="S2441" s="7"/>
      <c r="T2441" s="7"/>
      <c r="U2441" s="7"/>
      <c r="V2441" s="7"/>
      <c r="AC2441" s="7"/>
      <c r="AD2441" s="7"/>
      <c r="AE2441" s="7"/>
      <c r="AF2441" s="7"/>
      <c r="AG2441" s="7"/>
      <c r="AO2441" s="7"/>
      <c r="AP2441" s="7"/>
      <c r="AQ2441" s="7"/>
      <c r="AR2441" s="7"/>
      <c r="AS2441" s="7"/>
    </row>
    <row r="2442" spans="1:45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Q2442" s="7"/>
      <c r="R2442" s="7"/>
      <c r="S2442" s="7"/>
      <c r="T2442" s="7"/>
      <c r="U2442" s="7"/>
      <c r="V2442" s="7"/>
      <c r="AC2442" s="7"/>
      <c r="AD2442" s="7"/>
      <c r="AE2442" s="7"/>
      <c r="AF2442" s="7"/>
      <c r="AG2442" s="7"/>
      <c r="AO2442" s="7"/>
      <c r="AP2442" s="7"/>
      <c r="AQ2442" s="7"/>
      <c r="AR2442" s="7"/>
      <c r="AS2442" s="7"/>
    </row>
    <row r="2443" spans="1:45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Q2443" s="7"/>
      <c r="R2443" s="7"/>
      <c r="S2443" s="7"/>
      <c r="T2443" s="7"/>
      <c r="U2443" s="7"/>
      <c r="V2443" s="7"/>
      <c r="AC2443" s="7"/>
      <c r="AD2443" s="7"/>
      <c r="AE2443" s="7"/>
      <c r="AF2443" s="7"/>
      <c r="AG2443" s="7"/>
      <c r="AO2443" s="7"/>
      <c r="AP2443" s="7"/>
      <c r="AQ2443" s="7"/>
      <c r="AR2443" s="7"/>
      <c r="AS2443" s="7"/>
    </row>
    <row r="2444" spans="1:45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Q2444" s="7"/>
      <c r="R2444" s="7"/>
      <c r="S2444" s="7"/>
      <c r="T2444" s="7"/>
      <c r="U2444" s="7"/>
      <c r="V2444" s="7"/>
      <c r="AC2444" s="7"/>
      <c r="AD2444" s="7"/>
      <c r="AE2444" s="7"/>
      <c r="AF2444" s="7"/>
      <c r="AG2444" s="7"/>
      <c r="AO2444" s="7"/>
      <c r="AP2444" s="7"/>
      <c r="AQ2444" s="7"/>
      <c r="AR2444" s="7"/>
      <c r="AS2444" s="7"/>
    </row>
    <row r="2445" spans="1:45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Q2445" s="7"/>
      <c r="R2445" s="7"/>
      <c r="S2445" s="7"/>
      <c r="T2445" s="7"/>
      <c r="U2445" s="7"/>
      <c r="V2445" s="7"/>
      <c r="AC2445" s="7"/>
      <c r="AD2445" s="7"/>
      <c r="AE2445" s="7"/>
      <c r="AF2445" s="7"/>
      <c r="AG2445" s="7"/>
      <c r="AO2445" s="7"/>
      <c r="AP2445" s="7"/>
      <c r="AQ2445" s="7"/>
      <c r="AR2445" s="7"/>
      <c r="AS2445" s="7"/>
    </row>
    <row r="2446" spans="1:45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Q2446" s="7"/>
      <c r="R2446" s="7"/>
      <c r="S2446" s="7"/>
      <c r="T2446" s="7"/>
      <c r="U2446" s="7"/>
      <c r="V2446" s="7"/>
      <c r="AC2446" s="7"/>
      <c r="AD2446" s="7"/>
      <c r="AE2446" s="7"/>
      <c r="AF2446" s="7"/>
      <c r="AG2446" s="7"/>
      <c r="AO2446" s="7"/>
      <c r="AP2446" s="7"/>
      <c r="AQ2446" s="7"/>
      <c r="AR2446" s="7"/>
      <c r="AS2446" s="7"/>
    </row>
    <row r="2447" spans="1:45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Q2447" s="7"/>
      <c r="R2447" s="7"/>
      <c r="S2447" s="7"/>
      <c r="T2447" s="7"/>
      <c r="U2447" s="7"/>
      <c r="V2447" s="7"/>
      <c r="AC2447" s="7"/>
      <c r="AD2447" s="7"/>
      <c r="AE2447" s="7"/>
      <c r="AF2447" s="7"/>
      <c r="AG2447" s="7"/>
      <c r="AO2447" s="7"/>
      <c r="AP2447" s="7"/>
      <c r="AQ2447" s="7"/>
      <c r="AR2447" s="7"/>
      <c r="AS2447" s="7"/>
    </row>
    <row r="2448" spans="1:45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Q2448" s="7"/>
      <c r="R2448" s="7"/>
      <c r="S2448" s="7"/>
      <c r="T2448" s="7"/>
      <c r="U2448" s="7"/>
      <c r="V2448" s="7"/>
      <c r="AC2448" s="7"/>
      <c r="AD2448" s="7"/>
      <c r="AE2448" s="7"/>
      <c r="AF2448" s="7"/>
      <c r="AG2448" s="7"/>
      <c r="AO2448" s="7"/>
      <c r="AP2448" s="7"/>
      <c r="AQ2448" s="7"/>
      <c r="AR2448" s="7"/>
      <c r="AS2448" s="7"/>
    </row>
    <row r="2449" spans="1:45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Q2449" s="7"/>
      <c r="R2449" s="7"/>
      <c r="S2449" s="7"/>
      <c r="T2449" s="7"/>
      <c r="U2449" s="7"/>
      <c r="V2449" s="7"/>
      <c r="AC2449" s="7"/>
      <c r="AD2449" s="7"/>
      <c r="AE2449" s="7"/>
      <c r="AF2449" s="7"/>
      <c r="AG2449" s="7"/>
      <c r="AO2449" s="7"/>
      <c r="AP2449" s="7"/>
      <c r="AQ2449" s="7"/>
      <c r="AR2449" s="7"/>
      <c r="AS2449" s="7"/>
    </row>
    <row r="2450" spans="1:45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Q2450" s="7"/>
      <c r="R2450" s="7"/>
      <c r="S2450" s="7"/>
      <c r="T2450" s="7"/>
      <c r="U2450" s="7"/>
      <c r="V2450" s="7"/>
      <c r="AC2450" s="7"/>
      <c r="AD2450" s="7"/>
      <c r="AE2450" s="7"/>
      <c r="AF2450" s="7"/>
      <c r="AG2450" s="7"/>
      <c r="AO2450" s="7"/>
      <c r="AP2450" s="7"/>
      <c r="AQ2450" s="7"/>
      <c r="AR2450" s="7"/>
      <c r="AS2450" s="7"/>
    </row>
    <row r="2451" spans="1:45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Q2451" s="7"/>
      <c r="R2451" s="7"/>
      <c r="S2451" s="7"/>
      <c r="T2451" s="7"/>
      <c r="U2451" s="7"/>
      <c r="V2451" s="7"/>
      <c r="AC2451" s="7"/>
      <c r="AD2451" s="7"/>
      <c r="AE2451" s="7"/>
      <c r="AF2451" s="7"/>
      <c r="AG2451" s="7"/>
      <c r="AO2451" s="7"/>
      <c r="AP2451" s="7"/>
      <c r="AQ2451" s="7"/>
      <c r="AR2451" s="7"/>
      <c r="AS2451" s="7"/>
    </row>
    <row r="2452" spans="1:45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Q2452" s="7"/>
      <c r="R2452" s="7"/>
      <c r="S2452" s="7"/>
      <c r="T2452" s="7"/>
      <c r="U2452" s="7"/>
      <c r="V2452" s="7"/>
      <c r="AC2452" s="7"/>
      <c r="AD2452" s="7"/>
      <c r="AE2452" s="7"/>
      <c r="AF2452" s="7"/>
      <c r="AG2452" s="7"/>
      <c r="AO2452" s="7"/>
      <c r="AP2452" s="7"/>
      <c r="AQ2452" s="7"/>
      <c r="AR2452" s="7"/>
      <c r="AS2452" s="7"/>
    </row>
    <row r="2453" spans="1:45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Q2453" s="7"/>
      <c r="R2453" s="7"/>
      <c r="S2453" s="7"/>
      <c r="T2453" s="7"/>
      <c r="U2453" s="7"/>
      <c r="V2453" s="7"/>
      <c r="AC2453" s="7"/>
      <c r="AD2453" s="7"/>
      <c r="AE2453" s="7"/>
      <c r="AF2453" s="7"/>
      <c r="AG2453" s="7"/>
      <c r="AO2453" s="7"/>
      <c r="AP2453" s="7"/>
      <c r="AQ2453" s="7"/>
      <c r="AR2453" s="7"/>
      <c r="AS2453" s="7"/>
    </row>
    <row r="2454" spans="1:45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Q2454" s="7"/>
      <c r="R2454" s="7"/>
      <c r="S2454" s="7"/>
      <c r="T2454" s="7"/>
      <c r="U2454" s="7"/>
      <c r="V2454" s="7"/>
      <c r="AC2454" s="7"/>
      <c r="AD2454" s="7"/>
      <c r="AE2454" s="7"/>
      <c r="AF2454" s="7"/>
      <c r="AG2454" s="7"/>
      <c r="AO2454" s="7"/>
      <c r="AP2454" s="7"/>
      <c r="AQ2454" s="7"/>
      <c r="AR2454" s="7"/>
      <c r="AS2454" s="7"/>
    </row>
    <row r="2455" spans="1:45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Q2455" s="7"/>
      <c r="R2455" s="7"/>
      <c r="S2455" s="7"/>
      <c r="T2455" s="7"/>
      <c r="U2455" s="7"/>
      <c r="V2455" s="7"/>
      <c r="AC2455" s="7"/>
      <c r="AD2455" s="7"/>
      <c r="AE2455" s="7"/>
      <c r="AF2455" s="7"/>
      <c r="AG2455" s="7"/>
      <c r="AO2455" s="7"/>
      <c r="AP2455" s="7"/>
      <c r="AQ2455" s="7"/>
      <c r="AR2455" s="7"/>
      <c r="AS2455" s="7"/>
    </row>
    <row r="2456" spans="1:45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Q2456" s="7"/>
      <c r="R2456" s="7"/>
      <c r="S2456" s="7"/>
      <c r="T2456" s="7"/>
      <c r="U2456" s="7"/>
      <c r="V2456" s="7"/>
      <c r="AC2456" s="7"/>
      <c r="AD2456" s="7"/>
      <c r="AE2456" s="7"/>
      <c r="AF2456" s="7"/>
      <c r="AG2456" s="7"/>
      <c r="AO2456" s="7"/>
      <c r="AP2456" s="7"/>
      <c r="AQ2456" s="7"/>
      <c r="AR2456" s="7"/>
      <c r="AS2456" s="7"/>
    </row>
    <row r="2457" spans="1:45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Q2457" s="7"/>
      <c r="R2457" s="7"/>
      <c r="S2457" s="7"/>
      <c r="T2457" s="7"/>
      <c r="U2457" s="7"/>
      <c r="V2457" s="7"/>
      <c r="AC2457" s="7"/>
      <c r="AD2457" s="7"/>
      <c r="AE2457" s="7"/>
      <c r="AF2457" s="7"/>
      <c r="AG2457" s="7"/>
      <c r="AO2457" s="7"/>
      <c r="AP2457" s="7"/>
      <c r="AQ2457" s="7"/>
      <c r="AR2457" s="7"/>
      <c r="AS2457" s="7"/>
    </row>
    <row r="2458" spans="1:45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Q2458" s="7"/>
      <c r="R2458" s="7"/>
      <c r="S2458" s="7"/>
      <c r="T2458" s="7"/>
      <c r="U2458" s="7"/>
      <c r="V2458" s="7"/>
      <c r="AC2458" s="7"/>
      <c r="AD2458" s="7"/>
      <c r="AE2458" s="7"/>
      <c r="AF2458" s="7"/>
      <c r="AG2458" s="7"/>
      <c r="AO2458" s="7"/>
      <c r="AP2458" s="7"/>
      <c r="AQ2458" s="7"/>
      <c r="AR2458" s="7"/>
      <c r="AS2458" s="7"/>
    </row>
    <row r="2459" spans="1:45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Q2459" s="7"/>
      <c r="R2459" s="7"/>
      <c r="S2459" s="7"/>
      <c r="T2459" s="7"/>
      <c r="U2459" s="7"/>
      <c r="V2459" s="7"/>
      <c r="AC2459" s="7"/>
      <c r="AD2459" s="7"/>
      <c r="AE2459" s="7"/>
      <c r="AF2459" s="7"/>
      <c r="AG2459" s="7"/>
      <c r="AO2459" s="7"/>
      <c r="AP2459" s="7"/>
      <c r="AQ2459" s="7"/>
      <c r="AR2459" s="7"/>
      <c r="AS2459" s="7"/>
    </row>
    <row r="2460" spans="1:45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Q2460" s="7"/>
      <c r="R2460" s="7"/>
      <c r="S2460" s="7"/>
      <c r="T2460" s="7"/>
      <c r="U2460" s="7"/>
      <c r="V2460" s="7"/>
      <c r="AC2460" s="7"/>
      <c r="AD2460" s="7"/>
      <c r="AE2460" s="7"/>
      <c r="AF2460" s="7"/>
      <c r="AG2460" s="7"/>
      <c r="AO2460" s="7"/>
      <c r="AP2460" s="7"/>
      <c r="AQ2460" s="7"/>
      <c r="AR2460" s="7"/>
      <c r="AS2460" s="7"/>
    </row>
    <row r="2461" spans="1:45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Q2461" s="7"/>
      <c r="R2461" s="7"/>
      <c r="S2461" s="7"/>
      <c r="T2461" s="7"/>
      <c r="U2461" s="7"/>
      <c r="V2461" s="7"/>
      <c r="AC2461" s="7"/>
      <c r="AD2461" s="7"/>
      <c r="AE2461" s="7"/>
      <c r="AF2461" s="7"/>
      <c r="AG2461" s="7"/>
      <c r="AO2461" s="7"/>
      <c r="AP2461" s="7"/>
      <c r="AQ2461" s="7"/>
      <c r="AR2461" s="7"/>
      <c r="AS2461" s="7"/>
    </row>
    <row r="2462" spans="1:45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Q2462" s="7"/>
      <c r="R2462" s="7"/>
      <c r="S2462" s="7"/>
      <c r="T2462" s="7"/>
      <c r="U2462" s="7"/>
      <c r="V2462" s="7"/>
      <c r="AC2462" s="7"/>
      <c r="AD2462" s="7"/>
      <c r="AE2462" s="7"/>
      <c r="AF2462" s="7"/>
      <c r="AG2462" s="7"/>
      <c r="AO2462" s="7"/>
      <c r="AP2462" s="7"/>
      <c r="AQ2462" s="7"/>
      <c r="AR2462" s="7"/>
      <c r="AS2462" s="7"/>
    </row>
    <row r="2463" spans="1:45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Q2463" s="7"/>
      <c r="R2463" s="7"/>
      <c r="S2463" s="7"/>
      <c r="T2463" s="7"/>
      <c r="U2463" s="7"/>
      <c r="V2463" s="7"/>
      <c r="AC2463" s="7"/>
      <c r="AD2463" s="7"/>
      <c r="AE2463" s="7"/>
      <c r="AF2463" s="7"/>
      <c r="AG2463" s="7"/>
      <c r="AO2463" s="7"/>
      <c r="AP2463" s="7"/>
      <c r="AQ2463" s="7"/>
      <c r="AR2463" s="7"/>
      <c r="AS2463" s="7"/>
    </row>
    <row r="2464" spans="1:45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Q2464" s="7"/>
      <c r="R2464" s="7"/>
      <c r="S2464" s="7"/>
      <c r="T2464" s="7"/>
      <c r="U2464" s="7"/>
      <c r="V2464" s="7"/>
      <c r="AC2464" s="7"/>
      <c r="AD2464" s="7"/>
      <c r="AE2464" s="7"/>
      <c r="AF2464" s="7"/>
      <c r="AG2464" s="7"/>
      <c r="AO2464" s="7"/>
      <c r="AP2464" s="7"/>
      <c r="AQ2464" s="7"/>
      <c r="AR2464" s="7"/>
      <c r="AS2464" s="7"/>
    </row>
    <row r="2465" spans="1:45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Q2465" s="7"/>
      <c r="R2465" s="7"/>
      <c r="S2465" s="7"/>
      <c r="T2465" s="7"/>
      <c r="U2465" s="7"/>
      <c r="V2465" s="7"/>
      <c r="AC2465" s="7"/>
      <c r="AD2465" s="7"/>
      <c r="AE2465" s="7"/>
      <c r="AF2465" s="7"/>
      <c r="AG2465" s="7"/>
      <c r="AO2465" s="7"/>
      <c r="AP2465" s="7"/>
      <c r="AQ2465" s="7"/>
      <c r="AR2465" s="7"/>
      <c r="AS2465" s="7"/>
    </row>
    <row r="2466" spans="1:45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Q2466" s="7"/>
      <c r="R2466" s="7"/>
      <c r="S2466" s="7"/>
      <c r="T2466" s="7"/>
      <c r="U2466" s="7"/>
      <c r="V2466" s="7"/>
      <c r="AC2466" s="7"/>
      <c r="AD2466" s="7"/>
      <c r="AE2466" s="7"/>
      <c r="AF2466" s="7"/>
      <c r="AG2466" s="7"/>
      <c r="AO2466" s="7"/>
      <c r="AP2466" s="7"/>
      <c r="AQ2466" s="7"/>
      <c r="AR2466" s="7"/>
      <c r="AS2466" s="7"/>
    </row>
    <row r="2467" spans="1:45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Q2467" s="7"/>
      <c r="R2467" s="7"/>
      <c r="S2467" s="7"/>
      <c r="T2467" s="7"/>
      <c r="U2467" s="7"/>
      <c r="V2467" s="7"/>
      <c r="AC2467" s="7"/>
      <c r="AD2467" s="7"/>
      <c r="AE2467" s="7"/>
      <c r="AF2467" s="7"/>
      <c r="AG2467" s="7"/>
      <c r="AO2467" s="7"/>
      <c r="AP2467" s="7"/>
      <c r="AQ2467" s="7"/>
      <c r="AR2467" s="7"/>
      <c r="AS2467" s="7"/>
    </row>
    <row r="2468" spans="1:45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Q2468" s="7"/>
      <c r="R2468" s="7"/>
      <c r="S2468" s="7"/>
      <c r="T2468" s="7"/>
      <c r="U2468" s="7"/>
      <c r="V2468" s="7"/>
      <c r="AC2468" s="7"/>
      <c r="AD2468" s="7"/>
      <c r="AE2468" s="7"/>
      <c r="AF2468" s="7"/>
      <c r="AG2468" s="7"/>
      <c r="AO2468" s="7"/>
      <c r="AP2468" s="7"/>
      <c r="AQ2468" s="7"/>
      <c r="AR2468" s="7"/>
      <c r="AS2468" s="7"/>
    </row>
    <row r="2469" spans="1:45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Q2469" s="7"/>
      <c r="R2469" s="7"/>
      <c r="S2469" s="7"/>
      <c r="T2469" s="7"/>
      <c r="U2469" s="7"/>
      <c r="V2469" s="7"/>
      <c r="AC2469" s="7"/>
      <c r="AD2469" s="7"/>
      <c r="AE2469" s="7"/>
      <c r="AF2469" s="7"/>
      <c r="AG2469" s="7"/>
      <c r="AO2469" s="7"/>
      <c r="AP2469" s="7"/>
      <c r="AQ2469" s="7"/>
      <c r="AR2469" s="7"/>
      <c r="AS2469" s="7"/>
    </row>
    <row r="2470" spans="1:45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Q2470" s="7"/>
      <c r="R2470" s="7"/>
      <c r="S2470" s="7"/>
      <c r="T2470" s="7"/>
      <c r="U2470" s="7"/>
      <c r="V2470" s="7"/>
      <c r="AC2470" s="7"/>
      <c r="AD2470" s="7"/>
      <c r="AE2470" s="7"/>
      <c r="AF2470" s="7"/>
      <c r="AG2470" s="7"/>
      <c r="AO2470" s="7"/>
      <c r="AP2470" s="7"/>
      <c r="AQ2470" s="7"/>
      <c r="AR2470" s="7"/>
      <c r="AS2470" s="7"/>
    </row>
    <row r="2471" spans="1:45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Q2471" s="7"/>
      <c r="R2471" s="7"/>
      <c r="S2471" s="7"/>
      <c r="T2471" s="7"/>
      <c r="U2471" s="7"/>
      <c r="V2471" s="7"/>
      <c r="AC2471" s="7"/>
      <c r="AD2471" s="7"/>
      <c r="AE2471" s="7"/>
      <c r="AF2471" s="7"/>
      <c r="AG2471" s="7"/>
      <c r="AO2471" s="7"/>
      <c r="AP2471" s="7"/>
      <c r="AQ2471" s="7"/>
      <c r="AR2471" s="7"/>
      <c r="AS2471" s="7"/>
    </row>
    <row r="2472" spans="1:45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Q2472" s="7"/>
      <c r="R2472" s="7"/>
      <c r="S2472" s="7"/>
      <c r="T2472" s="7"/>
      <c r="U2472" s="7"/>
      <c r="V2472" s="7"/>
      <c r="AC2472" s="7"/>
      <c r="AD2472" s="7"/>
      <c r="AE2472" s="7"/>
      <c r="AF2472" s="7"/>
      <c r="AG2472" s="7"/>
      <c r="AO2472" s="7"/>
      <c r="AP2472" s="7"/>
      <c r="AQ2472" s="7"/>
      <c r="AR2472" s="7"/>
      <c r="AS2472" s="7"/>
    </row>
    <row r="2473" spans="1:45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Q2473" s="7"/>
      <c r="R2473" s="7"/>
      <c r="S2473" s="7"/>
      <c r="T2473" s="7"/>
      <c r="U2473" s="7"/>
      <c r="V2473" s="7"/>
      <c r="AC2473" s="7"/>
      <c r="AD2473" s="7"/>
      <c r="AE2473" s="7"/>
      <c r="AF2473" s="7"/>
      <c r="AG2473" s="7"/>
      <c r="AO2473" s="7"/>
      <c r="AP2473" s="7"/>
      <c r="AQ2473" s="7"/>
      <c r="AR2473" s="7"/>
      <c r="AS2473" s="7"/>
    </row>
    <row r="2474" spans="1:45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Q2474" s="7"/>
      <c r="R2474" s="7"/>
      <c r="S2474" s="7"/>
      <c r="T2474" s="7"/>
      <c r="U2474" s="7"/>
      <c r="V2474" s="7"/>
      <c r="AC2474" s="7"/>
      <c r="AD2474" s="7"/>
      <c r="AE2474" s="7"/>
      <c r="AF2474" s="7"/>
      <c r="AG2474" s="7"/>
      <c r="AO2474" s="7"/>
      <c r="AP2474" s="7"/>
      <c r="AQ2474" s="7"/>
      <c r="AR2474" s="7"/>
      <c r="AS2474" s="7"/>
    </row>
    <row r="2475" spans="1:45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Q2475" s="7"/>
      <c r="R2475" s="7"/>
      <c r="S2475" s="7"/>
      <c r="T2475" s="7"/>
      <c r="U2475" s="7"/>
      <c r="V2475" s="7"/>
      <c r="AC2475" s="7"/>
      <c r="AD2475" s="7"/>
      <c r="AE2475" s="7"/>
      <c r="AF2475" s="7"/>
      <c r="AG2475" s="7"/>
      <c r="AO2475" s="7"/>
      <c r="AP2475" s="7"/>
      <c r="AQ2475" s="7"/>
      <c r="AR2475" s="7"/>
      <c r="AS2475" s="7"/>
    </row>
    <row r="2476" spans="1:45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Q2476" s="7"/>
      <c r="R2476" s="7"/>
      <c r="S2476" s="7"/>
      <c r="T2476" s="7"/>
      <c r="U2476" s="7"/>
      <c r="V2476" s="7"/>
      <c r="AC2476" s="7"/>
      <c r="AD2476" s="7"/>
      <c r="AE2476" s="7"/>
      <c r="AF2476" s="7"/>
      <c r="AG2476" s="7"/>
      <c r="AO2476" s="7"/>
      <c r="AP2476" s="7"/>
      <c r="AQ2476" s="7"/>
      <c r="AR2476" s="7"/>
      <c r="AS2476" s="7"/>
    </row>
    <row r="2477" spans="1:45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Q2477" s="7"/>
      <c r="R2477" s="7"/>
      <c r="S2477" s="7"/>
      <c r="T2477" s="7"/>
      <c r="U2477" s="7"/>
      <c r="V2477" s="7"/>
      <c r="AC2477" s="7"/>
      <c r="AD2477" s="7"/>
      <c r="AE2477" s="7"/>
      <c r="AF2477" s="7"/>
      <c r="AG2477" s="7"/>
      <c r="AO2477" s="7"/>
      <c r="AP2477" s="7"/>
      <c r="AQ2477" s="7"/>
      <c r="AR2477" s="7"/>
      <c r="AS2477" s="7"/>
    </row>
    <row r="2478" spans="1:45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Q2478" s="7"/>
      <c r="R2478" s="7"/>
      <c r="S2478" s="7"/>
      <c r="T2478" s="7"/>
      <c r="U2478" s="7"/>
      <c r="V2478" s="7"/>
      <c r="AC2478" s="7"/>
      <c r="AD2478" s="7"/>
      <c r="AE2478" s="7"/>
      <c r="AF2478" s="7"/>
      <c r="AG2478" s="7"/>
      <c r="AO2478" s="7"/>
      <c r="AP2478" s="7"/>
      <c r="AQ2478" s="7"/>
      <c r="AR2478" s="7"/>
      <c r="AS2478" s="7"/>
    </row>
    <row r="2479" spans="1:45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Q2479" s="7"/>
      <c r="R2479" s="7"/>
      <c r="S2479" s="7"/>
      <c r="T2479" s="7"/>
      <c r="U2479" s="7"/>
      <c r="V2479" s="7"/>
      <c r="AC2479" s="7"/>
      <c r="AD2479" s="7"/>
      <c r="AE2479" s="7"/>
      <c r="AF2479" s="7"/>
      <c r="AG2479" s="7"/>
      <c r="AO2479" s="7"/>
      <c r="AP2479" s="7"/>
      <c r="AQ2479" s="7"/>
      <c r="AR2479" s="7"/>
      <c r="AS2479" s="7"/>
    </row>
    <row r="2480" spans="1:45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Q2480" s="7"/>
      <c r="R2480" s="7"/>
      <c r="S2480" s="7"/>
      <c r="T2480" s="7"/>
      <c r="U2480" s="7"/>
      <c r="V2480" s="7"/>
      <c r="AC2480" s="7"/>
      <c r="AD2480" s="7"/>
      <c r="AE2480" s="7"/>
      <c r="AF2480" s="7"/>
      <c r="AG2480" s="7"/>
      <c r="AO2480" s="7"/>
      <c r="AP2480" s="7"/>
      <c r="AQ2480" s="7"/>
      <c r="AR2480" s="7"/>
      <c r="AS2480" s="7"/>
    </row>
    <row r="2481" spans="1:45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Q2481" s="7"/>
      <c r="R2481" s="7"/>
      <c r="S2481" s="7"/>
      <c r="T2481" s="7"/>
      <c r="U2481" s="7"/>
      <c r="V2481" s="7"/>
      <c r="AC2481" s="7"/>
      <c r="AD2481" s="7"/>
      <c r="AE2481" s="7"/>
      <c r="AF2481" s="7"/>
      <c r="AG2481" s="7"/>
      <c r="AO2481" s="7"/>
      <c r="AP2481" s="7"/>
      <c r="AQ2481" s="7"/>
      <c r="AR2481" s="7"/>
      <c r="AS2481" s="7"/>
    </row>
    <row r="2482" spans="1:45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Q2482" s="7"/>
      <c r="R2482" s="7"/>
      <c r="S2482" s="7"/>
      <c r="T2482" s="7"/>
      <c r="U2482" s="7"/>
      <c r="V2482" s="7"/>
      <c r="AC2482" s="7"/>
      <c r="AD2482" s="7"/>
      <c r="AE2482" s="7"/>
      <c r="AF2482" s="7"/>
      <c r="AG2482" s="7"/>
      <c r="AO2482" s="7"/>
      <c r="AP2482" s="7"/>
      <c r="AQ2482" s="7"/>
      <c r="AR2482" s="7"/>
      <c r="AS2482" s="7"/>
    </row>
    <row r="2483" spans="1:45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Q2483" s="7"/>
      <c r="R2483" s="7"/>
      <c r="S2483" s="7"/>
      <c r="T2483" s="7"/>
      <c r="U2483" s="7"/>
      <c r="V2483" s="7"/>
      <c r="AC2483" s="7"/>
      <c r="AD2483" s="7"/>
      <c r="AE2483" s="7"/>
      <c r="AF2483" s="7"/>
      <c r="AG2483" s="7"/>
      <c r="AO2483" s="7"/>
      <c r="AP2483" s="7"/>
      <c r="AQ2483" s="7"/>
      <c r="AR2483" s="7"/>
      <c r="AS2483" s="7"/>
    </row>
    <row r="2484" spans="1:45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Q2484" s="7"/>
      <c r="R2484" s="7"/>
      <c r="S2484" s="7"/>
      <c r="T2484" s="7"/>
      <c r="U2484" s="7"/>
      <c r="V2484" s="7"/>
      <c r="AC2484" s="7"/>
      <c r="AD2484" s="7"/>
      <c r="AE2484" s="7"/>
      <c r="AF2484" s="7"/>
      <c r="AG2484" s="7"/>
      <c r="AO2484" s="7"/>
      <c r="AP2484" s="7"/>
      <c r="AQ2484" s="7"/>
      <c r="AR2484" s="7"/>
      <c r="AS2484" s="7"/>
    </row>
    <row r="2485" spans="1:45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Q2485" s="7"/>
      <c r="R2485" s="7"/>
      <c r="S2485" s="7"/>
      <c r="T2485" s="7"/>
      <c r="U2485" s="7"/>
      <c r="V2485" s="7"/>
      <c r="AC2485" s="7"/>
      <c r="AD2485" s="7"/>
      <c r="AE2485" s="7"/>
      <c r="AF2485" s="7"/>
      <c r="AG2485" s="7"/>
      <c r="AO2485" s="7"/>
      <c r="AP2485" s="7"/>
      <c r="AQ2485" s="7"/>
      <c r="AR2485" s="7"/>
      <c r="AS2485" s="7"/>
    </row>
    <row r="2486" spans="1:45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Q2486" s="7"/>
      <c r="R2486" s="7"/>
      <c r="S2486" s="7"/>
      <c r="T2486" s="7"/>
      <c r="U2486" s="7"/>
      <c r="V2486" s="7"/>
      <c r="AC2486" s="7"/>
      <c r="AD2486" s="7"/>
      <c r="AE2486" s="7"/>
      <c r="AF2486" s="7"/>
      <c r="AG2486" s="7"/>
      <c r="AO2486" s="7"/>
      <c r="AP2486" s="7"/>
      <c r="AQ2486" s="7"/>
      <c r="AR2486" s="7"/>
      <c r="AS2486" s="7"/>
    </row>
    <row r="2487" spans="1:45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Q2487" s="7"/>
      <c r="R2487" s="7"/>
      <c r="S2487" s="7"/>
      <c r="T2487" s="7"/>
      <c r="U2487" s="7"/>
      <c r="V2487" s="7"/>
      <c r="AC2487" s="7"/>
      <c r="AD2487" s="7"/>
      <c r="AE2487" s="7"/>
      <c r="AF2487" s="7"/>
      <c r="AG2487" s="7"/>
      <c r="AO2487" s="7"/>
      <c r="AP2487" s="7"/>
      <c r="AQ2487" s="7"/>
      <c r="AR2487" s="7"/>
      <c r="AS2487" s="7"/>
    </row>
    <row r="2488" spans="1:45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Q2488" s="7"/>
      <c r="R2488" s="7"/>
      <c r="S2488" s="7"/>
      <c r="T2488" s="7"/>
      <c r="U2488" s="7"/>
      <c r="V2488" s="7"/>
      <c r="AC2488" s="7"/>
      <c r="AD2488" s="7"/>
      <c r="AE2488" s="7"/>
      <c r="AF2488" s="7"/>
      <c r="AG2488" s="7"/>
      <c r="AO2488" s="7"/>
      <c r="AP2488" s="7"/>
      <c r="AQ2488" s="7"/>
      <c r="AR2488" s="7"/>
      <c r="AS2488" s="7"/>
    </row>
    <row r="2489" spans="1:45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Q2489" s="7"/>
      <c r="R2489" s="7"/>
      <c r="S2489" s="7"/>
      <c r="T2489" s="7"/>
      <c r="U2489" s="7"/>
      <c r="V2489" s="7"/>
      <c r="AC2489" s="7"/>
      <c r="AD2489" s="7"/>
      <c r="AE2489" s="7"/>
      <c r="AF2489" s="7"/>
      <c r="AG2489" s="7"/>
      <c r="AO2489" s="7"/>
      <c r="AP2489" s="7"/>
      <c r="AQ2489" s="7"/>
      <c r="AR2489" s="7"/>
      <c r="AS2489" s="7"/>
    </row>
    <row r="2490" spans="1:45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Q2490" s="7"/>
      <c r="R2490" s="7"/>
      <c r="S2490" s="7"/>
      <c r="T2490" s="7"/>
      <c r="U2490" s="7"/>
      <c r="V2490" s="7"/>
      <c r="AC2490" s="7"/>
      <c r="AD2490" s="7"/>
      <c r="AE2490" s="7"/>
      <c r="AF2490" s="7"/>
      <c r="AG2490" s="7"/>
      <c r="AO2490" s="7"/>
      <c r="AP2490" s="7"/>
      <c r="AQ2490" s="7"/>
      <c r="AR2490" s="7"/>
      <c r="AS2490" s="7"/>
    </row>
    <row r="2491" spans="1:45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Q2491" s="7"/>
      <c r="R2491" s="7"/>
      <c r="S2491" s="7"/>
      <c r="T2491" s="7"/>
      <c r="U2491" s="7"/>
      <c r="V2491" s="7"/>
      <c r="AC2491" s="7"/>
      <c r="AD2491" s="7"/>
      <c r="AE2491" s="7"/>
      <c r="AF2491" s="7"/>
      <c r="AG2491" s="7"/>
      <c r="AO2491" s="7"/>
      <c r="AP2491" s="7"/>
      <c r="AQ2491" s="7"/>
      <c r="AR2491" s="7"/>
      <c r="AS2491" s="7"/>
    </row>
    <row r="2492" spans="1:45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Q2492" s="7"/>
      <c r="R2492" s="7"/>
      <c r="S2492" s="7"/>
      <c r="T2492" s="7"/>
      <c r="U2492" s="7"/>
      <c r="V2492" s="7"/>
      <c r="AC2492" s="7"/>
      <c r="AD2492" s="7"/>
      <c r="AE2492" s="7"/>
      <c r="AF2492" s="7"/>
      <c r="AG2492" s="7"/>
      <c r="AO2492" s="7"/>
      <c r="AP2492" s="7"/>
      <c r="AQ2492" s="7"/>
      <c r="AR2492" s="7"/>
      <c r="AS2492" s="7"/>
    </row>
    <row r="2493" spans="1:45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Q2493" s="7"/>
      <c r="R2493" s="7"/>
      <c r="S2493" s="7"/>
      <c r="T2493" s="7"/>
      <c r="U2493" s="7"/>
      <c r="V2493" s="7"/>
      <c r="AC2493" s="7"/>
      <c r="AD2493" s="7"/>
      <c r="AE2493" s="7"/>
      <c r="AF2493" s="7"/>
      <c r="AG2493" s="7"/>
      <c r="AO2493" s="7"/>
      <c r="AP2493" s="7"/>
      <c r="AQ2493" s="7"/>
      <c r="AR2493" s="7"/>
      <c r="AS2493" s="7"/>
    </row>
    <row r="2494" spans="1:45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Q2494" s="7"/>
      <c r="R2494" s="7"/>
      <c r="S2494" s="7"/>
      <c r="T2494" s="7"/>
      <c r="U2494" s="7"/>
      <c r="V2494" s="7"/>
      <c r="AC2494" s="7"/>
      <c r="AD2494" s="7"/>
      <c r="AE2494" s="7"/>
      <c r="AF2494" s="7"/>
      <c r="AG2494" s="7"/>
      <c r="AO2494" s="7"/>
      <c r="AP2494" s="7"/>
      <c r="AQ2494" s="7"/>
      <c r="AR2494" s="7"/>
      <c r="AS2494" s="7"/>
    </row>
    <row r="2495" spans="1:45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Q2495" s="7"/>
      <c r="R2495" s="7"/>
      <c r="S2495" s="7"/>
      <c r="T2495" s="7"/>
      <c r="U2495" s="7"/>
      <c r="V2495" s="7"/>
      <c r="AC2495" s="7"/>
      <c r="AD2495" s="7"/>
      <c r="AE2495" s="7"/>
      <c r="AF2495" s="7"/>
      <c r="AG2495" s="7"/>
      <c r="AO2495" s="7"/>
      <c r="AP2495" s="7"/>
      <c r="AQ2495" s="7"/>
      <c r="AR2495" s="7"/>
      <c r="AS2495" s="7"/>
    </row>
    <row r="2496" spans="1:45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Q2496" s="7"/>
      <c r="R2496" s="7"/>
      <c r="S2496" s="7"/>
      <c r="T2496" s="7"/>
      <c r="U2496" s="7"/>
      <c r="V2496" s="7"/>
      <c r="AC2496" s="7"/>
      <c r="AD2496" s="7"/>
      <c r="AE2496" s="7"/>
      <c r="AF2496" s="7"/>
      <c r="AG2496" s="7"/>
      <c r="AO2496" s="7"/>
      <c r="AP2496" s="7"/>
      <c r="AQ2496" s="7"/>
      <c r="AR2496" s="7"/>
      <c r="AS2496" s="7"/>
    </row>
    <row r="2497" spans="1:45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Q2497" s="7"/>
      <c r="R2497" s="7"/>
      <c r="S2497" s="7"/>
      <c r="T2497" s="7"/>
      <c r="U2497" s="7"/>
      <c r="V2497" s="7"/>
      <c r="AC2497" s="7"/>
      <c r="AD2497" s="7"/>
      <c r="AE2497" s="7"/>
      <c r="AF2497" s="7"/>
      <c r="AG2497" s="7"/>
      <c r="AO2497" s="7"/>
      <c r="AP2497" s="7"/>
      <c r="AQ2497" s="7"/>
      <c r="AR2497" s="7"/>
      <c r="AS2497" s="7"/>
    </row>
    <row r="2498" spans="1:45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Q2498" s="7"/>
      <c r="R2498" s="7"/>
      <c r="S2498" s="7"/>
      <c r="T2498" s="7"/>
      <c r="U2498" s="7"/>
      <c r="V2498" s="7"/>
      <c r="AC2498" s="7"/>
      <c r="AD2498" s="7"/>
      <c r="AE2498" s="7"/>
      <c r="AF2498" s="7"/>
      <c r="AG2498" s="7"/>
      <c r="AO2498" s="7"/>
      <c r="AP2498" s="7"/>
      <c r="AQ2498" s="7"/>
      <c r="AR2498" s="7"/>
      <c r="AS2498" s="7"/>
    </row>
    <row r="2499" spans="1:45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Q2499" s="7"/>
      <c r="R2499" s="7"/>
      <c r="S2499" s="7"/>
      <c r="T2499" s="7"/>
      <c r="U2499" s="7"/>
      <c r="V2499" s="7"/>
      <c r="AC2499" s="7"/>
      <c r="AD2499" s="7"/>
      <c r="AE2499" s="7"/>
      <c r="AF2499" s="7"/>
      <c r="AG2499" s="7"/>
      <c r="AO2499" s="7"/>
      <c r="AP2499" s="7"/>
      <c r="AQ2499" s="7"/>
      <c r="AR2499" s="7"/>
      <c r="AS2499" s="7"/>
    </row>
    <row r="2500" spans="1:45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Q2500" s="7"/>
      <c r="R2500" s="7"/>
      <c r="S2500" s="7"/>
      <c r="T2500" s="7"/>
      <c r="U2500" s="7"/>
      <c r="V2500" s="7"/>
      <c r="AC2500" s="7"/>
      <c r="AD2500" s="7"/>
      <c r="AE2500" s="7"/>
      <c r="AF2500" s="7"/>
      <c r="AG2500" s="7"/>
      <c r="AO2500" s="7"/>
      <c r="AP2500" s="7"/>
      <c r="AQ2500" s="7"/>
      <c r="AR2500" s="7"/>
      <c r="AS2500" s="7"/>
    </row>
    <row r="2501" spans="1:45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Q2501" s="7"/>
      <c r="R2501" s="7"/>
      <c r="S2501" s="7"/>
      <c r="T2501" s="7"/>
      <c r="U2501" s="7"/>
      <c r="V2501" s="7"/>
      <c r="AC2501" s="7"/>
      <c r="AD2501" s="7"/>
      <c r="AE2501" s="7"/>
      <c r="AF2501" s="7"/>
      <c r="AG2501" s="7"/>
      <c r="AO2501" s="7"/>
      <c r="AP2501" s="7"/>
      <c r="AQ2501" s="7"/>
      <c r="AR2501" s="7"/>
      <c r="AS2501" s="7"/>
    </row>
    <row r="2502" spans="1:45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Q2502" s="7"/>
      <c r="R2502" s="7"/>
      <c r="S2502" s="7"/>
      <c r="T2502" s="7"/>
      <c r="U2502" s="7"/>
      <c r="V2502" s="7"/>
      <c r="AC2502" s="7"/>
      <c r="AD2502" s="7"/>
      <c r="AE2502" s="7"/>
      <c r="AF2502" s="7"/>
      <c r="AG2502" s="7"/>
      <c r="AO2502" s="7"/>
      <c r="AP2502" s="7"/>
      <c r="AQ2502" s="7"/>
      <c r="AR2502" s="7"/>
      <c r="AS2502" s="7"/>
    </row>
    <row r="2503" spans="1:45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Q2503" s="7"/>
      <c r="R2503" s="7"/>
      <c r="S2503" s="7"/>
      <c r="T2503" s="7"/>
      <c r="U2503" s="7"/>
      <c r="V2503" s="7"/>
      <c r="AC2503" s="7"/>
      <c r="AD2503" s="7"/>
      <c r="AE2503" s="7"/>
      <c r="AF2503" s="7"/>
      <c r="AG2503" s="7"/>
      <c r="AO2503" s="7"/>
      <c r="AP2503" s="7"/>
      <c r="AQ2503" s="7"/>
      <c r="AR2503" s="7"/>
      <c r="AS2503" s="7"/>
    </row>
    <row r="2504" spans="1:45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Q2504" s="7"/>
      <c r="R2504" s="7"/>
      <c r="S2504" s="7"/>
      <c r="T2504" s="7"/>
      <c r="U2504" s="7"/>
      <c r="V2504" s="7"/>
      <c r="AC2504" s="7"/>
      <c r="AD2504" s="7"/>
      <c r="AE2504" s="7"/>
      <c r="AF2504" s="7"/>
      <c r="AG2504" s="7"/>
      <c r="AO2504" s="7"/>
      <c r="AP2504" s="7"/>
      <c r="AQ2504" s="7"/>
      <c r="AR2504" s="7"/>
      <c r="AS2504" s="7"/>
    </row>
    <row r="2505" spans="1:45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Q2505" s="7"/>
      <c r="R2505" s="7"/>
      <c r="S2505" s="7"/>
      <c r="T2505" s="7"/>
      <c r="U2505" s="7"/>
      <c r="V2505" s="7"/>
      <c r="AC2505" s="7"/>
      <c r="AD2505" s="7"/>
      <c r="AE2505" s="7"/>
      <c r="AF2505" s="7"/>
      <c r="AG2505" s="7"/>
      <c r="AO2505" s="7"/>
      <c r="AP2505" s="7"/>
      <c r="AQ2505" s="7"/>
      <c r="AR2505" s="7"/>
      <c r="AS2505" s="7"/>
    </row>
    <row r="2506" spans="1:45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Q2506" s="7"/>
      <c r="R2506" s="7"/>
      <c r="S2506" s="7"/>
      <c r="T2506" s="7"/>
      <c r="U2506" s="7"/>
      <c r="V2506" s="7"/>
      <c r="AC2506" s="7"/>
      <c r="AD2506" s="7"/>
      <c r="AE2506" s="7"/>
      <c r="AF2506" s="7"/>
      <c r="AG2506" s="7"/>
      <c r="AO2506" s="7"/>
      <c r="AP2506" s="7"/>
      <c r="AQ2506" s="7"/>
      <c r="AR2506" s="7"/>
      <c r="AS2506" s="7"/>
    </row>
    <row r="2507" spans="1:45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Q2507" s="7"/>
      <c r="R2507" s="7"/>
      <c r="S2507" s="7"/>
      <c r="T2507" s="7"/>
      <c r="U2507" s="7"/>
      <c r="V2507" s="7"/>
      <c r="AC2507" s="7"/>
      <c r="AD2507" s="7"/>
      <c r="AE2507" s="7"/>
      <c r="AF2507" s="7"/>
      <c r="AG2507" s="7"/>
      <c r="AO2507" s="7"/>
      <c r="AP2507" s="7"/>
      <c r="AQ2507" s="7"/>
      <c r="AR2507" s="7"/>
      <c r="AS2507" s="7"/>
    </row>
    <row r="2508" spans="1:45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Q2508" s="7"/>
      <c r="R2508" s="7"/>
      <c r="S2508" s="7"/>
      <c r="T2508" s="7"/>
      <c r="U2508" s="7"/>
      <c r="V2508" s="7"/>
      <c r="AC2508" s="7"/>
      <c r="AD2508" s="7"/>
      <c r="AE2508" s="7"/>
      <c r="AF2508" s="7"/>
      <c r="AG2508" s="7"/>
      <c r="AO2508" s="7"/>
      <c r="AP2508" s="7"/>
      <c r="AQ2508" s="7"/>
      <c r="AR2508" s="7"/>
      <c r="AS2508" s="7"/>
    </row>
    <row r="2509" spans="1:45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Q2509" s="7"/>
      <c r="R2509" s="7"/>
      <c r="S2509" s="7"/>
      <c r="T2509" s="7"/>
      <c r="U2509" s="7"/>
      <c r="V2509" s="7"/>
      <c r="AC2509" s="7"/>
      <c r="AD2509" s="7"/>
      <c r="AE2509" s="7"/>
      <c r="AF2509" s="7"/>
      <c r="AG2509" s="7"/>
      <c r="AO2509" s="7"/>
      <c r="AP2509" s="7"/>
      <c r="AQ2509" s="7"/>
      <c r="AR2509" s="7"/>
      <c r="AS2509" s="7"/>
    </row>
    <row r="2510" spans="1:45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Q2510" s="7"/>
      <c r="R2510" s="7"/>
      <c r="S2510" s="7"/>
      <c r="T2510" s="7"/>
      <c r="U2510" s="7"/>
      <c r="V2510" s="7"/>
      <c r="AC2510" s="7"/>
      <c r="AD2510" s="7"/>
      <c r="AE2510" s="7"/>
      <c r="AF2510" s="7"/>
      <c r="AG2510" s="7"/>
      <c r="AO2510" s="7"/>
      <c r="AP2510" s="7"/>
      <c r="AQ2510" s="7"/>
      <c r="AR2510" s="7"/>
      <c r="AS2510" s="7"/>
    </row>
    <row r="2511" spans="1:45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Q2511" s="7"/>
      <c r="R2511" s="7"/>
      <c r="S2511" s="7"/>
      <c r="T2511" s="7"/>
      <c r="U2511" s="7"/>
      <c r="V2511" s="7"/>
      <c r="AC2511" s="7"/>
      <c r="AD2511" s="7"/>
      <c r="AE2511" s="7"/>
      <c r="AF2511" s="7"/>
      <c r="AG2511" s="7"/>
      <c r="AO2511" s="7"/>
      <c r="AP2511" s="7"/>
      <c r="AQ2511" s="7"/>
      <c r="AR2511" s="7"/>
      <c r="AS2511" s="7"/>
    </row>
    <row r="2512" spans="1:45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Q2512" s="7"/>
      <c r="R2512" s="7"/>
      <c r="S2512" s="7"/>
      <c r="T2512" s="7"/>
      <c r="U2512" s="7"/>
      <c r="V2512" s="7"/>
      <c r="AC2512" s="7"/>
      <c r="AD2512" s="7"/>
      <c r="AE2512" s="7"/>
      <c r="AF2512" s="7"/>
      <c r="AG2512" s="7"/>
      <c r="AO2512" s="7"/>
      <c r="AP2512" s="7"/>
      <c r="AQ2512" s="7"/>
      <c r="AR2512" s="7"/>
      <c r="AS2512" s="7"/>
    </row>
    <row r="2513" spans="1:45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Q2513" s="7"/>
      <c r="R2513" s="7"/>
      <c r="S2513" s="7"/>
      <c r="T2513" s="7"/>
      <c r="U2513" s="7"/>
      <c r="V2513" s="7"/>
      <c r="AC2513" s="7"/>
      <c r="AD2513" s="7"/>
      <c r="AE2513" s="7"/>
      <c r="AF2513" s="7"/>
      <c r="AG2513" s="7"/>
      <c r="AO2513" s="7"/>
      <c r="AP2513" s="7"/>
      <c r="AQ2513" s="7"/>
      <c r="AR2513" s="7"/>
      <c r="AS2513" s="7"/>
    </row>
    <row r="2514" spans="1:45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Q2514" s="7"/>
      <c r="R2514" s="7"/>
      <c r="S2514" s="7"/>
      <c r="T2514" s="7"/>
      <c r="U2514" s="7"/>
      <c r="V2514" s="7"/>
      <c r="AC2514" s="7"/>
      <c r="AD2514" s="7"/>
      <c r="AE2514" s="7"/>
      <c r="AF2514" s="7"/>
      <c r="AG2514" s="7"/>
      <c r="AO2514" s="7"/>
      <c r="AP2514" s="7"/>
      <c r="AQ2514" s="7"/>
      <c r="AR2514" s="7"/>
      <c r="AS2514" s="7"/>
    </row>
    <row r="2515" spans="1:45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Q2515" s="7"/>
      <c r="R2515" s="7"/>
      <c r="S2515" s="7"/>
      <c r="T2515" s="7"/>
      <c r="U2515" s="7"/>
      <c r="V2515" s="7"/>
      <c r="AC2515" s="7"/>
      <c r="AD2515" s="7"/>
      <c r="AE2515" s="7"/>
      <c r="AF2515" s="7"/>
      <c r="AG2515" s="7"/>
      <c r="AO2515" s="7"/>
      <c r="AP2515" s="7"/>
      <c r="AQ2515" s="7"/>
      <c r="AR2515" s="7"/>
      <c r="AS2515" s="7"/>
    </row>
    <row r="2516" spans="1:45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Q2516" s="7"/>
      <c r="R2516" s="7"/>
      <c r="S2516" s="7"/>
      <c r="T2516" s="7"/>
      <c r="U2516" s="7"/>
      <c r="V2516" s="7"/>
      <c r="AC2516" s="7"/>
      <c r="AD2516" s="7"/>
      <c r="AE2516" s="7"/>
      <c r="AF2516" s="7"/>
      <c r="AG2516" s="7"/>
      <c r="AO2516" s="7"/>
      <c r="AP2516" s="7"/>
      <c r="AQ2516" s="7"/>
      <c r="AR2516" s="7"/>
      <c r="AS2516" s="7"/>
    </row>
    <row r="2517" spans="1:45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Q2517" s="7"/>
      <c r="R2517" s="7"/>
      <c r="S2517" s="7"/>
      <c r="T2517" s="7"/>
      <c r="U2517" s="7"/>
      <c r="V2517" s="7"/>
      <c r="AC2517" s="7"/>
      <c r="AD2517" s="7"/>
      <c r="AE2517" s="7"/>
      <c r="AF2517" s="7"/>
      <c r="AG2517" s="7"/>
      <c r="AO2517" s="7"/>
      <c r="AP2517" s="7"/>
      <c r="AQ2517" s="7"/>
      <c r="AR2517" s="7"/>
      <c r="AS2517" s="7"/>
    </row>
    <row r="2518" spans="1:45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Q2518" s="7"/>
      <c r="R2518" s="7"/>
      <c r="S2518" s="7"/>
      <c r="T2518" s="7"/>
      <c r="U2518" s="7"/>
      <c r="V2518" s="7"/>
      <c r="AC2518" s="7"/>
      <c r="AD2518" s="7"/>
      <c r="AE2518" s="7"/>
      <c r="AF2518" s="7"/>
      <c r="AG2518" s="7"/>
      <c r="AO2518" s="7"/>
      <c r="AP2518" s="7"/>
      <c r="AQ2518" s="7"/>
      <c r="AR2518" s="7"/>
      <c r="AS2518" s="7"/>
    </row>
    <row r="2519" spans="1:45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Q2519" s="7"/>
      <c r="R2519" s="7"/>
      <c r="S2519" s="7"/>
      <c r="T2519" s="7"/>
      <c r="U2519" s="7"/>
      <c r="V2519" s="7"/>
      <c r="AC2519" s="7"/>
      <c r="AD2519" s="7"/>
      <c r="AE2519" s="7"/>
      <c r="AF2519" s="7"/>
      <c r="AG2519" s="7"/>
      <c r="AO2519" s="7"/>
      <c r="AP2519" s="7"/>
      <c r="AQ2519" s="7"/>
      <c r="AR2519" s="7"/>
      <c r="AS2519" s="7"/>
    </row>
    <row r="2520" spans="1:45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Q2520" s="7"/>
      <c r="R2520" s="7"/>
      <c r="S2520" s="7"/>
      <c r="T2520" s="7"/>
      <c r="U2520" s="7"/>
      <c r="V2520" s="7"/>
      <c r="AC2520" s="7"/>
      <c r="AD2520" s="7"/>
      <c r="AE2520" s="7"/>
      <c r="AF2520" s="7"/>
      <c r="AG2520" s="7"/>
      <c r="AO2520" s="7"/>
      <c r="AP2520" s="7"/>
      <c r="AQ2520" s="7"/>
      <c r="AR2520" s="7"/>
      <c r="AS2520" s="7"/>
    </row>
    <row r="2521" spans="1:45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Q2521" s="7"/>
      <c r="R2521" s="7"/>
      <c r="S2521" s="7"/>
      <c r="T2521" s="7"/>
      <c r="U2521" s="7"/>
      <c r="V2521" s="7"/>
      <c r="AC2521" s="7"/>
      <c r="AD2521" s="7"/>
      <c r="AE2521" s="7"/>
      <c r="AF2521" s="7"/>
      <c r="AG2521" s="7"/>
      <c r="AO2521" s="7"/>
      <c r="AP2521" s="7"/>
      <c r="AQ2521" s="7"/>
      <c r="AR2521" s="7"/>
      <c r="AS2521" s="7"/>
    </row>
    <row r="2522" spans="1:45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Q2522" s="7"/>
      <c r="R2522" s="7"/>
      <c r="S2522" s="7"/>
      <c r="T2522" s="7"/>
      <c r="U2522" s="7"/>
      <c r="V2522" s="7"/>
      <c r="AC2522" s="7"/>
      <c r="AD2522" s="7"/>
      <c r="AE2522" s="7"/>
      <c r="AF2522" s="7"/>
      <c r="AG2522" s="7"/>
      <c r="AO2522" s="7"/>
      <c r="AP2522" s="7"/>
      <c r="AQ2522" s="7"/>
      <c r="AR2522" s="7"/>
      <c r="AS2522" s="7"/>
    </row>
    <row r="2523" spans="1:45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Q2523" s="7"/>
      <c r="R2523" s="7"/>
      <c r="S2523" s="7"/>
      <c r="T2523" s="7"/>
      <c r="U2523" s="7"/>
      <c r="V2523" s="7"/>
      <c r="AC2523" s="7"/>
      <c r="AD2523" s="7"/>
      <c r="AE2523" s="7"/>
      <c r="AF2523" s="7"/>
      <c r="AG2523" s="7"/>
      <c r="AO2523" s="7"/>
      <c r="AP2523" s="7"/>
      <c r="AQ2523" s="7"/>
      <c r="AR2523" s="7"/>
      <c r="AS2523" s="7"/>
    </row>
    <row r="2524" spans="1:45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Q2524" s="7"/>
      <c r="R2524" s="7"/>
      <c r="S2524" s="7"/>
      <c r="T2524" s="7"/>
      <c r="U2524" s="7"/>
      <c r="V2524" s="7"/>
      <c r="AC2524" s="7"/>
      <c r="AD2524" s="7"/>
      <c r="AE2524" s="7"/>
      <c r="AF2524" s="7"/>
      <c r="AG2524" s="7"/>
      <c r="AO2524" s="7"/>
      <c r="AP2524" s="7"/>
      <c r="AQ2524" s="7"/>
      <c r="AR2524" s="7"/>
      <c r="AS2524" s="7"/>
    </row>
    <row r="2525" spans="1:45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Q2525" s="7"/>
      <c r="R2525" s="7"/>
      <c r="S2525" s="7"/>
      <c r="T2525" s="7"/>
      <c r="U2525" s="7"/>
      <c r="V2525" s="7"/>
      <c r="AC2525" s="7"/>
      <c r="AD2525" s="7"/>
      <c r="AE2525" s="7"/>
      <c r="AF2525" s="7"/>
      <c r="AG2525" s="7"/>
      <c r="AO2525" s="7"/>
      <c r="AP2525" s="7"/>
      <c r="AQ2525" s="7"/>
      <c r="AR2525" s="7"/>
      <c r="AS2525" s="7"/>
    </row>
    <row r="2526" spans="1:45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Q2526" s="7"/>
      <c r="R2526" s="7"/>
      <c r="S2526" s="7"/>
      <c r="T2526" s="7"/>
      <c r="U2526" s="7"/>
      <c r="V2526" s="7"/>
      <c r="AC2526" s="7"/>
      <c r="AD2526" s="7"/>
      <c r="AE2526" s="7"/>
      <c r="AF2526" s="7"/>
      <c r="AG2526" s="7"/>
      <c r="AO2526" s="7"/>
      <c r="AP2526" s="7"/>
      <c r="AQ2526" s="7"/>
      <c r="AR2526" s="7"/>
      <c r="AS2526" s="7"/>
    </row>
    <row r="2527" spans="1:45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Q2527" s="7"/>
      <c r="R2527" s="7"/>
      <c r="S2527" s="7"/>
      <c r="T2527" s="7"/>
      <c r="U2527" s="7"/>
      <c r="V2527" s="7"/>
      <c r="AC2527" s="7"/>
      <c r="AD2527" s="7"/>
      <c r="AE2527" s="7"/>
      <c r="AF2527" s="7"/>
      <c r="AG2527" s="7"/>
      <c r="AO2527" s="7"/>
      <c r="AP2527" s="7"/>
      <c r="AQ2527" s="7"/>
      <c r="AR2527" s="7"/>
      <c r="AS2527" s="7"/>
    </row>
    <row r="2528" spans="1:45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Q2528" s="7"/>
      <c r="R2528" s="7"/>
      <c r="S2528" s="7"/>
      <c r="T2528" s="7"/>
      <c r="U2528" s="7"/>
      <c r="V2528" s="7"/>
      <c r="AC2528" s="7"/>
      <c r="AD2528" s="7"/>
      <c r="AE2528" s="7"/>
      <c r="AF2528" s="7"/>
      <c r="AG2528" s="7"/>
      <c r="AO2528" s="7"/>
      <c r="AP2528" s="7"/>
      <c r="AQ2528" s="7"/>
      <c r="AR2528" s="7"/>
      <c r="AS2528" s="7"/>
    </row>
    <row r="2529" spans="1:45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Q2529" s="7"/>
      <c r="R2529" s="7"/>
      <c r="S2529" s="7"/>
      <c r="T2529" s="7"/>
      <c r="U2529" s="7"/>
      <c r="V2529" s="7"/>
      <c r="AC2529" s="7"/>
      <c r="AD2529" s="7"/>
      <c r="AE2529" s="7"/>
      <c r="AF2529" s="7"/>
      <c r="AG2529" s="7"/>
      <c r="AO2529" s="7"/>
      <c r="AP2529" s="7"/>
      <c r="AQ2529" s="7"/>
      <c r="AR2529" s="7"/>
      <c r="AS2529" s="7"/>
    </row>
    <row r="2530" spans="1:45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Q2530" s="7"/>
      <c r="R2530" s="7"/>
      <c r="S2530" s="7"/>
      <c r="T2530" s="7"/>
      <c r="U2530" s="7"/>
      <c r="V2530" s="7"/>
      <c r="AC2530" s="7"/>
      <c r="AD2530" s="7"/>
      <c r="AE2530" s="7"/>
      <c r="AF2530" s="7"/>
      <c r="AG2530" s="7"/>
      <c r="AO2530" s="7"/>
      <c r="AP2530" s="7"/>
      <c r="AQ2530" s="7"/>
      <c r="AR2530" s="7"/>
      <c r="AS2530" s="7"/>
    </row>
    <row r="2531" spans="1:45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Q2531" s="7"/>
      <c r="R2531" s="7"/>
      <c r="S2531" s="7"/>
      <c r="T2531" s="7"/>
      <c r="U2531" s="7"/>
      <c r="V2531" s="7"/>
      <c r="AC2531" s="7"/>
      <c r="AD2531" s="7"/>
      <c r="AE2531" s="7"/>
      <c r="AF2531" s="7"/>
      <c r="AG2531" s="7"/>
      <c r="AO2531" s="7"/>
      <c r="AP2531" s="7"/>
      <c r="AQ2531" s="7"/>
      <c r="AR2531" s="7"/>
      <c r="AS2531" s="7"/>
    </row>
    <row r="2532" spans="1:45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Q2532" s="7"/>
      <c r="R2532" s="7"/>
      <c r="S2532" s="7"/>
      <c r="T2532" s="7"/>
      <c r="U2532" s="7"/>
      <c r="V2532" s="7"/>
      <c r="AC2532" s="7"/>
      <c r="AD2532" s="7"/>
      <c r="AE2532" s="7"/>
      <c r="AF2532" s="7"/>
      <c r="AG2532" s="7"/>
      <c r="AO2532" s="7"/>
      <c r="AP2532" s="7"/>
      <c r="AQ2532" s="7"/>
      <c r="AR2532" s="7"/>
      <c r="AS2532" s="7"/>
    </row>
    <row r="2533" spans="1:45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Q2533" s="7"/>
      <c r="R2533" s="7"/>
      <c r="S2533" s="7"/>
      <c r="T2533" s="7"/>
      <c r="U2533" s="7"/>
      <c r="V2533" s="7"/>
      <c r="AC2533" s="7"/>
      <c r="AD2533" s="7"/>
      <c r="AE2533" s="7"/>
      <c r="AF2533" s="7"/>
      <c r="AG2533" s="7"/>
      <c r="AO2533" s="7"/>
      <c r="AP2533" s="7"/>
      <c r="AQ2533" s="7"/>
      <c r="AR2533" s="7"/>
      <c r="AS2533" s="7"/>
    </row>
    <row r="2534" spans="1:45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Q2534" s="7"/>
      <c r="R2534" s="7"/>
      <c r="S2534" s="7"/>
      <c r="T2534" s="7"/>
      <c r="U2534" s="7"/>
      <c r="V2534" s="7"/>
      <c r="AC2534" s="7"/>
      <c r="AD2534" s="7"/>
      <c r="AE2534" s="7"/>
      <c r="AF2534" s="7"/>
      <c r="AG2534" s="7"/>
      <c r="AO2534" s="7"/>
      <c r="AP2534" s="7"/>
      <c r="AQ2534" s="7"/>
      <c r="AR2534" s="7"/>
      <c r="AS2534" s="7"/>
    </row>
    <row r="2535" spans="1:45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Q2535" s="7"/>
      <c r="R2535" s="7"/>
      <c r="S2535" s="7"/>
      <c r="T2535" s="7"/>
      <c r="U2535" s="7"/>
      <c r="V2535" s="7"/>
      <c r="AC2535" s="7"/>
      <c r="AD2535" s="7"/>
      <c r="AE2535" s="7"/>
      <c r="AF2535" s="7"/>
      <c r="AG2535" s="7"/>
      <c r="AO2535" s="7"/>
      <c r="AP2535" s="7"/>
      <c r="AQ2535" s="7"/>
      <c r="AR2535" s="7"/>
      <c r="AS2535" s="7"/>
    </row>
    <row r="2536" spans="1:45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Q2536" s="7"/>
      <c r="R2536" s="7"/>
      <c r="S2536" s="7"/>
      <c r="T2536" s="7"/>
      <c r="U2536" s="7"/>
      <c r="V2536" s="7"/>
      <c r="AC2536" s="7"/>
      <c r="AD2536" s="7"/>
      <c r="AE2536" s="7"/>
      <c r="AF2536" s="7"/>
      <c r="AG2536" s="7"/>
      <c r="AO2536" s="7"/>
      <c r="AP2536" s="7"/>
      <c r="AQ2536" s="7"/>
      <c r="AR2536" s="7"/>
      <c r="AS2536" s="7"/>
    </row>
    <row r="2537" spans="1:45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Q2537" s="7"/>
      <c r="R2537" s="7"/>
      <c r="S2537" s="7"/>
      <c r="T2537" s="7"/>
      <c r="U2537" s="7"/>
      <c r="V2537" s="7"/>
      <c r="AC2537" s="7"/>
      <c r="AD2537" s="7"/>
      <c r="AE2537" s="7"/>
      <c r="AF2537" s="7"/>
      <c r="AG2537" s="7"/>
      <c r="AO2537" s="7"/>
      <c r="AP2537" s="7"/>
      <c r="AQ2537" s="7"/>
      <c r="AR2537" s="7"/>
      <c r="AS2537" s="7"/>
    </row>
    <row r="2538" spans="1:45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Q2538" s="7"/>
      <c r="R2538" s="7"/>
      <c r="S2538" s="7"/>
      <c r="T2538" s="7"/>
      <c r="U2538" s="7"/>
      <c r="V2538" s="7"/>
      <c r="AC2538" s="7"/>
      <c r="AD2538" s="7"/>
      <c r="AE2538" s="7"/>
      <c r="AF2538" s="7"/>
      <c r="AG2538" s="7"/>
      <c r="AO2538" s="7"/>
      <c r="AP2538" s="7"/>
      <c r="AQ2538" s="7"/>
      <c r="AR2538" s="7"/>
      <c r="AS2538" s="7"/>
    </row>
    <row r="2539" spans="1:45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Q2539" s="7"/>
      <c r="R2539" s="7"/>
      <c r="S2539" s="7"/>
      <c r="T2539" s="7"/>
      <c r="U2539" s="7"/>
      <c r="V2539" s="7"/>
      <c r="AC2539" s="7"/>
      <c r="AD2539" s="7"/>
      <c r="AE2539" s="7"/>
      <c r="AF2539" s="7"/>
      <c r="AG2539" s="7"/>
      <c r="AO2539" s="7"/>
      <c r="AP2539" s="7"/>
      <c r="AQ2539" s="7"/>
      <c r="AR2539" s="7"/>
      <c r="AS2539" s="7"/>
    </row>
    <row r="2540" spans="1:45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Q2540" s="7"/>
      <c r="R2540" s="7"/>
      <c r="S2540" s="7"/>
      <c r="T2540" s="7"/>
      <c r="U2540" s="7"/>
      <c r="V2540" s="7"/>
      <c r="AC2540" s="7"/>
      <c r="AD2540" s="7"/>
      <c r="AE2540" s="7"/>
      <c r="AF2540" s="7"/>
      <c r="AG2540" s="7"/>
      <c r="AO2540" s="7"/>
      <c r="AP2540" s="7"/>
      <c r="AQ2540" s="7"/>
      <c r="AR2540" s="7"/>
      <c r="AS2540" s="7"/>
    </row>
    <row r="2541" spans="1:45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Q2541" s="7"/>
      <c r="R2541" s="7"/>
      <c r="S2541" s="7"/>
      <c r="T2541" s="7"/>
      <c r="U2541" s="7"/>
      <c r="V2541" s="7"/>
      <c r="AC2541" s="7"/>
      <c r="AD2541" s="7"/>
      <c r="AE2541" s="7"/>
      <c r="AF2541" s="7"/>
      <c r="AG2541" s="7"/>
      <c r="AO2541" s="7"/>
      <c r="AP2541" s="7"/>
      <c r="AQ2541" s="7"/>
      <c r="AR2541" s="7"/>
      <c r="AS2541" s="7"/>
    </row>
    <row r="2542" spans="1:45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Q2542" s="7"/>
      <c r="R2542" s="7"/>
      <c r="S2542" s="7"/>
      <c r="T2542" s="7"/>
      <c r="U2542" s="7"/>
      <c r="V2542" s="7"/>
      <c r="AC2542" s="7"/>
      <c r="AD2542" s="7"/>
      <c r="AE2542" s="7"/>
      <c r="AF2542" s="7"/>
      <c r="AG2542" s="7"/>
      <c r="AO2542" s="7"/>
      <c r="AP2542" s="7"/>
      <c r="AQ2542" s="7"/>
      <c r="AR2542" s="7"/>
      <c r="AS2542" s="7"/>
    </row>
    <row r="2543" spans="1:45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Q2543" s="7"/>
      <c r="R2543" s="7"/>
      <c r="S2543" s="7"/>
      <c r="T2543" s="7"/>
      <c r="U2543" s="7"/>
      <c r="V2543" s="7"/>
      <c r="AC2543" s="7"/>
      <c r="AD2543" s="7"/>
      <c r="AE2543" s="7"/>
      <c r="AF2543" s="7"/>
      <c r="AG2543" s="7"/>
      <c r="AO2543" s="7"/>
      <c r="AP2543" s="7"/>
      <c r="AQ2543" s="7"/>
      <c r="AR2543" s="7"/>
      <c r="AS2543" s="7"/>
    </row>
    <row r="2544" spans="1:45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Q2544" s="7"/>
      <c r="R2544" s="7"/>
      <c r="S2544" s="7"/>
      <c r="T2544" s="7"/>
      <c r="U2544" s="7"/>
      <c r="V2544" s="7"/>
      <c r="AC2544" s="7"/>
      <c r="AD2544" s="7"/>
      <c r="AE2544" s="7"/>
      <c r="AF2544" s="7"/>
      <c r="AG2544" s="7"/>
      <c r="AO2544" s="7"/>
      <c r="AP2544" s="7"/>
      <c r="AQ2544" s="7"/>
      <c r="AR2544" s="7"/>
      <c r="AS2544" s="7"/>
    </row>
    <row r="2545" spans="1:45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Q2545" s="7"/>
      <c r="R2545" s="7"/>
      <c r="S2545" s="7"/>
      <c r="T2545" s="7"/>
      <c r="U2545" s="7"/>
      <c r="V2545" s="7"/>
      <c r="AC2545" s="7"/>
      <c r="AD2545" s="7"/>
      <c r="AE2545" s="7"/>
      <c r="AF2545" s="7"/>
      <c r="AG2545" s="7"/>
      <c r="AO2545" s="7"/>
      <c r="AP2545" s="7"/>
      <c r="AQ2545" s="7"/>
      <c r="AR2545" s="7"/>
      <c r="AS2545" s="7"/>
    </row>
    <row r="2546" spans="1:45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Q2546" s="7"/>
      <c r="R2546" s="7"/>
      <c r="S2546" s="7"/>
      <c r="T2546" s="7"/>
      <c r="U2546" s="7"/>
      <c r="V2546" s="7"/>
      <c r="AC2546" s="7"/>
      <c r="AD2546" s="7"/>
      <c r="AE2546" s="7"/>
      <c r="AF2546" s="7"/>
      <c r="AG2546" s="7"/>
      <c r="AO2546" s="7"/>
      <c r="AP2546" s="7"/>
      <c r="AQ2546" s="7"/>
      <c r="AR2546" s="7"/>
      <c r="AS2546" s="7"/>
    </row>
    <row r="2547" spans="1:45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Q2547" s="7"/>
      <c r="R2547" s="7"/>
      <c r="S2547" s="7"/>
      <c r="T2547" s="7"/>
      <c r="U2547" s="7"/>
      <c r="V2547" s="7"/>
      <c r="AC2547" s="7"/>
      <c r="AD2547" s="7"/>
      <c r="AE2547" s="7"/>
      <c r="AF2547" s="7"/>
      <c r="AG2547" s="7"/>
      <c r="AO2547" s="7"/>
      <c r="AP2547" s="7"/>
      <c r="AQ2547" s="7"/>
      <c r="AR2547" s="7"/>
      <c r="AS2547" s="7"/>
    </row>
    <row r="2548" spans="1:45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Q2548" s="7"/>
      <c r="R2548" s="7"/>
      <c r="S2548" s="7"/>
      <c r="T2548" s="7"/>
      <c r="U2548" s="7"/>
      <c r="V2548" s="7"/>
      <c r="AC2548" s="7"/>
      <c r="AD2548" s="7"/>
      <c r="AE2548" s="7"/>
      <c r="AF2548" s="7"/>
      <c r="AG2548" s="7"/>
      <c r="AO2548" s="7"/>
      <c r="AP2548" s="7"/>
      <c r="AQ2548" s="7"/>
      <c r="AR2548" s="7"/>
      <c r="AS2548" s="7"/>
    </row>
    <row r="2549" spans="1:45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Q2549" s="7"/>
      <c r="R2549" s="7"/>
      <c r="S2549" s="7"/>
      <c r="T2549" s="7"/>
      <c r="U2549" s="7"/>
      <c r="V2549" s="7"/>
      <c r="AC2549" s="7"/>
      <c r="AD2549" s="7"/>
      <c r="AE2549" s="7"/>
      <c r="AF2549" s="7"/>
      <c r="AG2549" s="7"/>
      <c r="AO2549" s="7"/>
      <c r="AP2549" s="7"/>
      <c r="AQ2549" s="7"/>
      <c r="AR2549" s="7"/>
      <c r="AS2549" s="7"/>
    </row>
    <row r="2550" spans="1:45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Q2550" s="7"/>
      <c r="R2550" s="7"/>
      <c r="S2550" s="7"/>
      <c r="T2550" s="7"/>
      <c r="U2550" s="7"/>
      <c r="V2550" s="7"/>
      <c r="AC2550" s="7"/>
      <c r="AD2550" s="7"/>
      <c r="AE2550" s="7"/>
      <c r="AF2550" s="7"/>
      <c r="AG2550" s="7"/>
      <c r="AO2550" s="7"/>
      <c r="AP2550" s="7"/>
      <c r="AQ2550" s="7"/>
      <c r="AR2550" s="7"/>
      <c r="AS2550" s="7"/>
    </row>
    <row r="2551" spans="1:45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Q2551" s="7"/>
      <c r="R2551" s="7"/>
      <c r="S2551" s="7"/>
      <c r="T2551" s="7"/>
      <c r="U2551" s="7"/>
      <c r="V2551" s="7"/>
      <c r="AC2551" s="7"/>
      <c r="AD2551" s="7"/>
      <c r="AE2551" s="7"/>
      <c r="AF2551" s="7"/>
      <c r="AG2551" s="7"/>
      <c r="AO2551" s="7"/>
      <c r="AP2551" s="7"/>
      <c r="AQ2551" s="7"/>
      <c r="AR2551" s="7"/>
      <c r="AS2551" s="7"/>
    </row>
    <row r="2552" spans="1:45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Q2552" s="7"/>
      <c r="R2552" s="7"/>
      <c r="S2552" s="7"/>
      <c r="T2552" s="7"/>
      <c r="U2552" s="7"/>
      <c r="V2552" s="7"/>
      <c r="AC2552" s="7"/>
      <c r="AD2552" s="7"/>
      <c r="AE2552" s="7"/>
      <c r="AF2552" s="7"/>
      <c r="AG2552" s="7"/>
      <c r="AO2552" s="7"/>
      <c r="AP2552" s="7"/>
      <c r="AQ2552" s="7"/>
      <c r="AR2552" s="7"/>
      <c r="AS2552" s="7"/>
    </row>
    <row r="2553" spans="1:45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Q2553" s="7"/>
      <c r="R2553" s="7"/>
      <c r="S2553" s="7"/>
      <c r="T2553" s="7"/>
      <c r="U2553" s="7"/>
      <c r="V2553" s="7"/>
      <c r="AC2553" s="7"/>
      <c r="AD2553" s="7"/>
      <c r="AE2553" s="7"/>
      <c r="AF2553" s="7"/>
      <c r="AG2553" s="7"/>
      <c r="AO2553" s="7"/>
      <c r="AP2553" s="7"/>
      <c r="AQ2553" s="7"/>
      <c r="AR2553" s="7"/>
      <c r="AS2553" s="7"/>
    </row>
    <row r="2554" spans="1:45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Q2554" s="7"/>
      <c r="R2554" s="7"/>
      <c r="S2554" s="7"/>
      <c r="T2554" s="7"/>
      <c r="U2554" s="7"/>
      <c r="V2554" s="7"/>
      <c r="AC2554" s="7"/>
      <c r="AD2554" s="7"/>
      <c r="AE2554" s="7"/>
      <c r="AF2554" s="7"/>
      <c r="AG2554" s="7"/>
      <c r="AO2554" s="7"/>
      <c r="AP2554" s="7"/>
      <c r="AQ2554" s="7"/>
      <c r="AR2554" s="7"/>
      <c r="AS2554" s="7"/>
    </row>
    <row r="2555" spans="1:45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Q2555" s="7"/>
      <c r="R2555" s="7"/>
      <c r="S2555" s="7"/>
      <c r="T2555" s="7"/>
      <c r="U2555" s="7"/>
      <c r="V2555" s="7"/>
      <c r="AC2555" s="7"/>
      <c r="AD2555" s="7"/>
      <c r="AE2555" s="7"/>
      <c r="AF2555" s="7"/>
      <c r="AG2555" s="7"/>
      <c r="AO2555" s="7"/>
      <c r="AP2555" s="7"/>
      <c r="AQ2555" s="7"/>
      <c r="AR2555" s="7"/>
      <c r="AS2555" s="7"/>
    </row>
    <row r="2556" spans="1:45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Q2556" s="7"/>
      <c r="R2556" s="7"/>
      <c r="S2556" s="7"/>
      <c r="T2556" s="7"/>
      <c r="U2556" s="7"/>
      <c r="V2556" s="7"/>
      <c r="AC2556" s="7"/>
      <c r="AD2556" s="7"/>
      <c r="AE2556" s="7"/>
      <c r="AF2556" s="7"/>
      <c r="AG2556" s="7"/>
      <c r="AO2556" s="7"/>
      <c r="AP2556" s="7"/>
      <c r="AQ2556" s="7"/>
      <c r="AR2556" s="7"/>
      <c r="AS2556" s="7"/>
    </row>
    <row r="2557" spans="1:45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Q2557" s="7"/>
      <c r="R2557" s="7"/>
      <c r="S2557" s="7"/>
      <c r="T2557" s="7"/>
      <c r="U2557" s="7"/>
      <c r="V2557" s="7"/>
      <c r="AC2557" s="7"/>
      <c r="AD2557" s="7"/>
      <c r="AE2557" s="7"/>
      <c r="AF2557" s="7"/>
      <c r="AG2557" s="7"/>
      <c r="AO2557" s="7"/>
      <c r="AP2557" s="7"/>
      <c r="AQ2557" s="7"/>
      <c r="AR2557" s="7"/>
      <c r="AS2557" s="7"/>
    </row>
    <row r="2558" spans="1:45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Q2558" s="7"/>
      <c r="R2558" s="7"/>
      <c r="S2558" s="7"/>
      <c r="T2558" s="7"/>
      <c r="U2558" s="7"/>
      <c r="V2558" s="7"/>
      <c r="AC2558" s="7"/>
      <c r="AD2558" s="7"/>
      <c r="AE2558" s="7"/>
      <c r="AF2558" s="7"/>
      <c r="AG2558" s="7"/>
      <c r="AO2558" s="7"/>
      <c r="AP2558" s="7"/>
      <c r="AQ2558" s="7"/>
      <c r="AR2558" s="7"/>
      <c r="AS2558" s="7"/>
    </row>
    <row r="2559" spans="1:45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Q2559" s="7"/>
      <c r="R2559" s="7"/>
      <c r="S2559" s="7"/>
      <c r="T2559" s="7"/>
      <c r="U2559" s="7"/>
      <c r="V2559" s="7"/>
      <c r="AC2559" s="7"/>
      <c r="AD2559" s="7"/>
      <c r="AE2559" s="7"/>
      <c r="AF2559" s="7"/>
      <c r="AG2559" s="7"/>
      <c r="AO2559" s="7"/>
      <c r="AP2559" s="7"/>
      <c r="AQ2559" s="7"/>
      <c r="AR2559" s="7"/>
      <c r="AS2559" s="7"/>
    </row>
    <row r="2560" spans="1:45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Q2560" s="7"/>
      <c r="R2560" s="7"/>
      <c r="S2560" s="7"/>
      <c r="T2560" s="7"/>
      <c r="U2560" s="7"/>
      <c r="V2560" s="7"/>
      <c r="AC2560" s="7"/>
      <c r="AD2560" s="7"/>
      <c r="AE2560" s="7"/>
      <c r="AF2560" s="7"/>
      <c r="AG2560" s="7"/>
      <c r="AO2560" s="7"/>
      <c r="AP2560" s="7"/>
      <c r="AQ2560" s="7"/>
      <c r="AR2560" s="7"/>
      <c r="AS2560" s="7"/>
    </row>
    <row r="2561" spans="1:45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Q2561" s="7"/>
      <c r="R2561" s="7"/>
      <c r="S2561" s="7"/>
      <c r="T2561" s="7"/>
      <c r="U2561" s="7"/>
      <c r="V2561" s="7"/>
      <c r="AC2561" s="7"/>
      <c r="AD2561" s="7"/>
      <c r="AE2561" s="7"/>
      <c r="AF2561" s="7"/>
      <c r="AG2561" s="7"/>
      <c r="AO2561" s="7"/>
      <c r="AP2561" s="7"/>
      <c r="AQ2561" s="7"/>
      <c r="AR2561" s="7"/>
      <c r="AS2561" s="7"/>
    </row>
    <row r="2562" spans="1:45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Q2562" s="7"/>
      <c r="R2562" s="7"/>
      <c r="S2562" s="7"/>
      <c r="T2562" s="7"/>
      <c r="U2562" s="7"/>
      <c r="V2562" s="7"/>
      <c r="AC2562" s="7"/>
      <c r="AD2562" s="7"/>
      <c r="AE2562" s="7"/>
      <c r="AF2562" s="7"/>
      <c r="AG2562" s="7"/>
      <c r="AO2562" s="7"/>
      <c r="AP2562" s="7"/>
      <c r="AQ2562" s="7"/>
      <c r="AR2562" s="7"/>
      <c r="AS2562" s="7"/>
    </row>
    <row r="2563" spans="1:45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Q2563" s="7"/>
      <c r="R2563" s="7"/>
      <c r="S2563" s="7"/>
      <c r="T2563" s="7"/>
      <c r="U2563" s="7"/>
      <c r="V2563" s="7"/>
      <c r="AC2563" s="7"/>
      <c r="AD2563" s="7"/>
      <c r="AE2563" s="7"/>
      <c r="AF2563" s="7"/>
      <c r="AG2563" s="7"/>
      <c r="AO2563" s="7"/>
      <c r="AP2563" s="7"/>
      <c r="AQ2563" s="7"/>
      <c r="AR2563" s="7"/>
      <c r="AS2563" s="7"/>
    </row>
    <row r="2564" spans="1:45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Q2564" s="7"/>
      <c r="R2564" s="7"/>
      <c r="S2564" s="7"/>
      <c r="T2564" s="7"/>
      <c r="U2564" s="7"/>
      <c r="V2564" s="7"/>
      <c r="AC2564" s="7"/>
      <c r="AD2564" s="7"/>
      <c r="AE2564" s="7"/>
      <c r="AF2564" s="7"/>
      <c r="AG2564" s="7"/>
      <c r="AO2564" s="7"/>
      <c r="AP2564" s="7"/>
      <c r="AQ2564" s="7"/>
      <c r="AR2564" s="7"/>
      <c r="AS2564" s="7"/>
    </row>
    <row r="2565" spans="1:45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Q2565" s="7"/>
      <c r="R2565" s="7"/>
      <c r="S2565" s="7"/>
      <c r="T2565" s="7"/>
      <c r="U2565" s="7"/>
      <c r="V2565" s="7"/>
      <c r="AC2565" s="7"/>
      <c r="AD2565" s="7"/>
      <c r="AE2565" s="7"/>
      <c r="AF2565" s="7"/>
      <c r="AG2565" s="7"/>
      <c r="AO2565" s="7"/>
      <c r="AP2565" s="7"/>
      <c r="AQ2565" s="7"/>
      <c r="AR2565" s="7"/>
      <c r="AS2565" s="7"/>
    </row>
    <row r="2566" spans="1:45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Q2566" s="7"/>
      <c r="R2566" s="7"/>
      <c r="S2566" s="7"/>
      <c r="T2566" s="7"/>
      <c r="U2566" s="7"/>
      <c r="V2566" s="7"/>
      <c r="AC2566" s="7"/>
      <c r="AD2566" s="7"/>
      <c r="AE2566" s="7"/>
      <c r="AF2566" s="7"/>
      <c r="AG2566" s="7"/>
      <c r="AO2566" s="7"/>
      <c r="AP2566" s="7"/>
      <c r="AQ2566" s="7"/>
      <c r="AR2566" s="7"/>
      <c r="AS2566" s="7"/>
    </row>
    <row r="2567" spans="1:45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Q2567" s="7"/>
      <c r="R2567" s="7"/>
      <c r="S2567" s="7"/>
      <c r="T2567" s="7"/>
      <c r="U2567" s="7"/>
      <c r="V2567" s="7"/>
      <c r="AC2567" s="7"/>
      <c r="AD2567" s="7"/>
      <c r="AE2567" s="7"/>
      <c r="AF2567" s="7"/>
      <c r="AG2567" s="7"/>
      <c r="AO2567" s="7"/>
      <c r="AP2567" s="7"/>
      <c r="AQ2567" s="7"/>
      <c r="AR2567" s="7"/>
      <c r="AS2567" s="7"/>
    </row>
    <row r="2568" spans="1:45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Q2568" s="7"/>
      <c r="R2568" s="7"/>
      <c r="S2568" s="7"/>
      <c r="T2568" s="7"/>
      <c r="U2568" s="7"/>
      <c r="V2568" s="7"/>
      <c r="AC2568" s="7"/>
      <c r="AD2568" s="7"/>
      <c r="AE2568" s="7"/>
      <c r="AF2568" s="7"/>
      <c r="AG2568" s="7"/>
      <c r="AO2568" s="7"/>
      <c r="AP2568" s="7"/>
      <c r="AQ2568" s="7"/>
      <c r="AR2568" s="7"/>
      <c r="AS2568" s="7"/>
    </row>
    <row r="2569" spans="1:45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Q2569" s="7"/>
      <c r="R2569" s="7"/>
      <c r="S2569" s="7"/>
      <c r="T2569" s="7"/>
      <c r="U2569" s="7"/>
      <c r="V2569" s="7"/>
      <c r="AC2569" s="7"/>
      <c r="AD2569" s="7"/>
      <c r="AE2569" s="7"/>
      <c r="AF2569" s="7"/>
      <c r="AG2569" s="7"/>
      <c r="AO2569" s="7"/>
      <c r="AP2569" s="7"/>
      <c r="AQ2569" s="7"/>
      <c r="AR2569" s="7"/>
      <c r="AS2569" s="7"/>
    </row>
    <row r="2570" spans="1:45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Q2570" s="7"/>
      <c r="R2570" s="7"/>
      <c r="S2570" s="7"/>
      <c r="T2570" s="7"/>
      <c r="U2570" s="7"/>
      <c r="V2570" s="7"/>
      <c r="AC2570" s="7"/>
      <c r="AD2570" s="7"/>
      <c r="AE2570" s="7"/>
      <c r="AF2570" s="7"/>
      <c r="AG2570" s="7"/>
      <c r="AO2570" s="7"/>
      <c r="AP2570" s="7"/>
      <c r="AQ2570" s="7"/>
      <c r="AR2570" s="7"/>
      <c r="AS2570" s="7"/>
    </row>
    <row r="2571" spans="1:45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Q2571" s="7"/>
      <c r="R2571" s="7"/>
      <c r="S2571" s="7"/>
      <c r="T2571" s="7"/>
      <c r="U2571" s="7"/>
      <c r="V2571" s="7"/>
      <c r="AC2571" s="7"/>
      <c r="AD2571" s="7"/>
      <c r="AE2571" s="7"/>
      <c r="AF2571" s="7"/>
      <c r="AG2571" s="7"/>
      <c r="AO2571" s="7"/>
      <c r="AP2571" s="7"/>
      <c r="AQ2571" s="7"/>
      <c r="AR2571" s="7"/>
      <c r="AS2571" s="7"/>
    </row>
    <row r="2572" spans="1:45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Q2572" s="7"/>
      <c r="R2572" s="7"/>
      <c r="S2572" s="7"/>
      <c r="T2572" s="7"/>
      <c r="U2572" s="7"/>
      <c r="V2572" s="7"/>
      <c r="AC2572" s="7"/>
      <c r="AD2572" s="7"/>
      <c r="AE2572" s="7"/>
      <c r="AF2572" s="7"/>
      <c r="AG2572" s="7"/>
      <c r="AO2572" s="7"/>
      <c r="AP2572" s="7"/>
      <c r="AQ2572" s="7"/>
      <c r="AR2572" s="7"/>
      <c r="AS2572" s="7"/>
    </row>
    <row r="2573" spans="1:45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Q2573" s="7"/>
      <c r="R2573" s="7"/>
      <c r="S2573" s="7"/>
      <c r="T2573" s="7"/>
      <c r="U2573" s="7"/>
      <c r="V2573" s="7"/>
      <c r="AC2573" s="7"/>
      <c r="AD2573" s="7"/>
      <c r="AE2573" s="7"/>
      <c r="AF2573" s="7"/>
      <c r="AG2573" s="7"/>
      <c r="AO2573" s="7"/>
      <c r="AP2573" s="7"/>
      <c r="AQ2573" s="7"/>
      <c r="AR2573" s="7"/>
      <c r="AS2573" s="7"/>
    </row>
    <row r="2574" spans="1:45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Q2574" s="7"/>
      <c r="R2574" s="7"/>
      <c r="S2574" s="7"/>
      <c r="T2574" s="7"/>
      <c r="U2574" s="7"/>
      <c r="V2574" s="7"/>
      <c r="AC2574" s="7"/>
      <c r="AD2574" s="7"/>
      <c r="AE2574" s="7"/>
      <c r="AF2574" s="7"/>
      <c r="AG2574" s="7"/>
      <c r="AO2574" s="7"/>
      <c r="AP2574" s="7"/>
      <c r="AQ2574" s="7"/>
      <c r="AR2574" s="7"/>
      <c r="AS2574" s="7"/>
    </row>
    <row r="2575" spans="1:45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Q2575" s="7"/>
      <c r="R2575" s="7"/>
      <c r="S2575" s="7"/>
      <c r="T2575" s="7"/>
      <c r="U2575" s="7"/>
      <c r="V2575" s="7"/>
      <c r="AC2575" s="7"/>
      <c r="AD2575" s="7"/>
      <c r="AE2575" s="7"/>
      <c r="AF2575" s="7"/>
      <c r="AG2575" s="7"/>
      <c r="AO2575" s="7"/>
      <c r="AP2575" s="7"/>
      <c r="AQ2575" s="7"/>
      <c r="AR2575" s="7"/>
      <c r="AS2575" s="7"/>
    </row>
    <row r="2576" spans="1:45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Q2576" s="7"/>
      <c r="R2576" s="7"/>
      <c r="S2576" s="7"/>
      <c r="T2576" s="7"/>
      <c r="U2576" s="7"/>
      <c r="V2576" s="7"/>
      <c r="AC2576" s="7"/>
      <c r="AD2576" s="7"/>
      <c r="AE2576" s="7"/>
      <c r="AF2576" s="7"/>
      <c r="AG2576" s="7"/>
      <c r="AO2576" s="7"/>
      <c r="AP2576" s="7"/>
      <c r="AQ2576" s="7"/>
      <c r="AR2576" s="7"/>
      <c r="AS2576" s="7"/>
    </row>
    <row r="2577" spans="1:45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Q2577" s="7"/>
      <c r="R2577" s="7"/>
      <c r="S2577" s="7"/>
      <c r="T2577" s="7"/>
      <c r="U2577" s="7"/>
      <c r="V2577" s="7"/>
      <c r="AC2577" s="7"/>
      <c r="AD2577" s="7"/>
      <c r="AE2577" s="7"/>
      <c r="AF2577" s="7"/>
      <c r="AG2577" s="7"/>
      <c r="AO2577" s="7"/>
      <c r="AP2577" s="7"/>
      <c r="AQ2577" s="7"/>
      <c r="AR2577" s="7"/>
      <c r="AS2577" s="7"/>
    </row>
    <row r="2578" spans="1:45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Q2578" s="7"/>
      <c r="R2578" s="7"/>
      <c r="S2578" s="7"/>
      <c r="T2578" s="7"/>
      <c r="U2578" s="7"/>
      <c r="V2578" s="7"/>
      <c r="AC2578" s="7"/>
      <c r="AD2578" s="7"/>
      <c r="AE2578" s="7"/>
      <c r="AF2578" s="7"/>
      <c r="AG2578" s="7"/>
      <c r="AO2578" s="7"/>
      <c r="AP2578" s="7"/>
      <c r="AQ2578" s="7"/>
      <c r="AR2578" s="7"/>
      <c r="AS2578" s="7"/>
    </row>
    <row r="2579" spans="1:45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Q2579" s="7"/>
      <c r="R2579" s="7"/>
      <c r="S2579" s="7"/>
      <c r="T2579" s="7"/>
      <c r="U2579" s="7"/>
      <c r="V2579" s="7"/>
      <c r="AC2579" s="7"/>
      <c r="AD2579" s="7"/>
      <c r="AE2579" s="7"/>
      <c r="AF2579" s="7"/>
      <c r="AG2579" s="7"/>
      <c r="AO2579" s="7"/>
      <c r="AP2579" s="7"/>
      <c r="AQ2579" s="7"/>
      <c r="AR2579" s="7"/>
      <c r="AS2579" s="7"/>
    </row>
    <row r="2580" spans="1:45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Q2580" s="7"/>
      <c r="R2580" s="7"/>
      <c r="S2580" s="7"/>
      <c r="T2580" s="7"/>
      <c r="U2580" s="7"/>
      <c r="V2580" s="7"/>
      <c r="AC2580" s="7"/>
      <c r="AD2580" s="7"/>
      <c r="AE2580" s="7"/>
      <c r="AF2580" s="7"/>
      <c r="AG2580" s="7"/>
      <c r="AO2580" s="7"/>
      <c r="AP2580" s="7"/>
      <c r="AQ2580" s="7"/>
      <c r="AR2580" s="7"/>
      <c r="AS2580" s="7"/>
    </row>
    <row r="2581" spans="1:45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Q2581" s="7"/>
      <c r="R2581" s="7"/>
      <c r="S2581" s="7"/>
      <c r="T2581" s="7"/>
      <c r="U2581" s="7"/>
      <c r="V2581" s="7"/>
      <c r="AC2581" s="7"/>
      <c r="AD2581" s="7"/>
      <c r="AE2581" s="7"/>
      <c r="AF2581" s="7"/>
      <c r="AG2581" s="7"/>
      <c r="AO2581" s="7"/>
      <c r="AP2581" s="7"/>
      <c r="AQ2581" s="7"/>
      <c r="AR2581" s="7"/>
      <c r="AS2581" s="7"/>
    </row>
    <row r="2582" spans="1:45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Q2582" s="7"/>
      <c r="R2582" s="7"/>
      <c r="S2582" s="7"/>
      <c r="T2582" s="7"/>
      <c r="U2582" s="7"/>
      <c r="V2582" s="7"/>
      <c r="AC2582" s="7"/>
      <c r="AD2582" s="7"/>
      <c r="AE2582" s="7"/>
      <c r="AF2582" s="7"/>
      <c r="AG2582" s="7"/>
      <c r="AO2582" s="7"/>
      <c r="AP2582" s="7"/>
      <c r="AQ2582" s="7"/>
      <c r="AR2582" s="7"/>
      <c r="AS2582" s="7"/>
    </row>
    <row r="2583" spans="1:45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Q2583" s="7"/>
      <c r="R2583" s="7"/>
      <c r="S2583" s="7"/>
      <c r="T2583" s="7"/>
      <c r="U2583" s="7"/>
      <c r="V2583" s="7"/>
      <c r="AC2583" s="7"/>
      <c r="AD2583" s="7"/>
      <c r="AE2583" s="7"/>
      <c r="AF2583" s="7"/>
      <c r="AG2583" s="7"/>
      <c r="AO2583" s="7"/>
      <c r="AP2583" s="7"/>
      <c r="AQ2583" s="7"/>
      <c r="AR2583" s="7"/>
      <c r="AS2583" s="7"/>
    </row>
    <row r="2584" spans="1:45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Q2584" s="7"/>
      <c r="R2584" s="7"/>
      <c r="S2584" s="7"/>
      <c r="T2584" s="7"/>
      <c r="U2584" s="7"/>
      <c r="V2584" s="7"/>
      <c r="AC2584" s="7"/>
      <c r="AD2584" s="7"/>
      <c r="AE2584" s="7"/>
      <c r="AF2584" s="7"/>
      <c r="AG2584" s="7"/>
      <c r="AO2584" s="7"/>
      <c r="AP2584" s="7"/>
      <c r="AQ2584" s="7"/>
      <c r="AR2584" s="7"/>
      <c r="AS2584" s="7"/>
    </row>
    <row r="2585" spans="1:45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Q2585" s="7"/>
      <c r="R2585" s="7"/>
      <c r="S2585" s="7"/>
      <c r="T2585" s="7"/>
      <c r="U2585" s="7"/>
      <c r="V2585" s="7"/>
      <c r="AC2585" s="7"/>
      <c r="AD2585" s="7"/>
      <c r="AE2585" s="7"/>
      <c r="AF2585" s="7"/>
      <c r="AG2585" s="7"/>
      <c r="AO2585" s="7"/>
      <c r="AP2585" s="7"/>
      <c r="AQ2585" s="7"/>
      <c r="AR2585" s="7"/>
      <c r="AS2585" s="7"/>
    </row>
    <row r="2586" spans="1:45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Q2586" s="7"/>
      <c r="R2586" s="7"/>
      <c r="S2586" s="7"/>
      <c r="T2586" s="7"/>
      <c r="U2586" s="7"/>
      <c r="V2586" s="7"/>
      <c r="AC2586" s="7"/>
      <c r="AD2586" s="7"/>
      <c r="AE2586" s="7"/>
      <c r="AF2586" s="7"/>
      <c r="AG2586" s="7"/>
      <c r="AO2586" s="7"/>
      <c r="AP2586" s="7"/>
      <c r="AQ2586" s="7"/>
      <c r="AR2586" s="7"/>
      <c r="AS2586" s="7"/>
    </row>
    <row r="2587" spans="1:45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Q2587" s="7"/>
      <c r="R2587" s="7"/>
      <c r="S2587" s="7"/>
      <c r="T2587" s="7"/>
      <c r="U2587" s="7"/>
      <c r="V2587" s="7"/>
      <c r="AC2587" s="7"/>
      <c r="AD2587" s="7"/>
      <c r="AE2587" s="7"/>
      <c r="AF2587" s="7"/>
      <c r="AG2587" s="7"/>
      <c r="AO2587" s="7"/>
      <c r="AP2587" s="7"/>
      <c r="AQ2587" s="7"/>
      <c r="AR2587" s="7"/>
      <c r="AS2587" s="7"/>
    </row>
    <row r="2588" spans="1:45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Q2588" s="7"/>
      <c r="R2588" s="7"/>
      <c r="S2588" s="7"/>
      <c r="T2588" s="7"/>
      <c r="U2588" s="7"/>
      <c r="V2588" s="7"/>
      <c r="AC2588" s="7"/>
      <c r="AD2588" s="7"/>
      <c r="AE2588" s="7"/>
      <c r="AF2588" s="7"/>
      <c r="AG2588" s="7"/>
      <c r="AO2588" s="7"/>
      <c r="AP2588" s="7"/>
      <c r="AQ2588" s="7"/>
      <c r="AR2588" s="7"/>
      <c r="AS2588" s="7"/>
    </row>
    <row r="2589" spans="1:45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Q2589" s="7"/>
      <c r="R2589" s="7"/>
      <c r="S2589" s="7"/>
      <c r="T2589" s="7"/>
      <c r="U2589" s="7"/>
      <c r="V2589" s="7"/>
      <c r="AC2589" s="7"/>
      <c r="AD2589" s="7"/>
      <c r="AE2589" s="7"/>
      <c r="AF2589" s="7"/>
      <c r="AG2589" s="7"/>
      <c r="AO2589" s="7"/>
      <c r="AP2589" s="7"/>
      <c r="AQ2589" s="7"/>
      <c r="AR2589" s="7"/>
      <c r="AS2589" s="7"/>
    </row>
    <row r="2590" spans="1:45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Q2590" s="7"/>
      <c r="R2590" s="7"/>
      <c r="S2590" s="7"/>
      <c r="T2590" s="7"/>
      <c r="U2590" s="7"/>
      <c r="V2590" s="7"/>
      <c r="AC2590" s="7"/>
      <c r="AD2590" s="7"/>
      <c r="AE2590" s="7"/>
      <c r="AF2590" s="7"/>
      <c r="AG2590" s="7"/>
      <c r="AO2590" s="7"/>
      <c r="AP2590" s="7"/>
      <c r="AQ2590" s="7"/>
      <c r="AR2590" s="7"/>
      <c r="AS2590" s="7"/>
    </row>
    <row r="2591" spans="1:45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Q2591" s="7"/>
      <c r="R2591" s="7"/>
      <c r="S2591" s="7"/>
      <c r="T2591" s="7"/>
      <c r="U2591" s="7"/>
      <c r="V2591" s="7"/>
      <c r="AC2591" s="7"/>
      <c r="AD2591" s="7"/>
      <c r="AE2591" s="7"/>
      <c r="AF2591" s="7"/>
      <c r="AG2591" s="7"/>
      <c r="AO2591" s="7"/>
      <c r="AP2591" s="7"/>
      <c r="AQ2591" s="7"/>
      <c r="AR2591" s="7"/>
      <c r="AS2591" s="7"/>
    </row>
    <row r="2592" spans="1:45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Q2592" s="7"/>
      <c r="R2592" s="7"/>
      <c r="S2592" s="7"/>
      <c r="T2592" s="7"/>
      <c r="U2592" s="7"/>
      <c r="V2592" s="7"/>
      <c r="AC2592" s="7"/>
      <c r="AD2592" s="7"/>
      <c r="AE2592" s="7"/>
      <c r="AF2592" s="7"/>
      <c r="AG2592" s="7"/>
      <c r="AO2592" s="7"/>
      <c r="AP2592" s="7"/>
      <c r="AQ2592" s="7"/>
      <c r="AR2592" s="7"/>
      <c r="AS2592" s="7"/>
    </row>
    <row r="2593" spans="1:45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Q2593" s="7"/>
      <c r="R2593" s="7"/>
      <c r="S2593" s="7"/>
      <c r="T2593" s="7"/>
      <c r="U2593" s="7"/>
      <c r="V2593" s="7"/>
      <c r="AC2593" s="7"/>
      <c r="AD2593" s="7"/>
      <c r="AE2593" s="7"/>
      <c r="AF2593" s="7"/>
      <c r="AG2593" s="7"/>
      <c r="AO2593" s="7"/>
      <c r="AP2593" s="7"/>
      <c r="AQ2593" s="7"/>
      <c r="AR2593" s="7"/>
      <c r="AS2593" s="7"/>
    </row>
    <row r="2594" spans="1:45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Q2594" s="7"/>
      <c r="R2594" s="7"/>
      <c r="S2594" s="7"/>
      <c r="T2594" s="7"/>
      <c r="U2594" s="7"/>
      <c r="V2594" s="7"/>
      <c r="AC2594" s="7"/>
      <c r="AD2594" s="7"/>
      <c r="AE2594" s="7"/>
      <c r="AF2594" s="7"/>
      <c r="AG2594" s="7"/>
      <c r="AO2594" s="7"/>
      <c r="AP2594" s="7"/>
      <c r="AQ2594" s="7"/>
      <c r="AR2594" s="7"/>
      <c r="AS2594" s="7"/>
    </row>
    <row r="2595" spans="1:45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Q2595" s="7"/>
      <c r="R2595" s="7"/>
      <c r="S2595" s="7"/>
      <c r="T2595" s="7"/>
      <c r="U2595" s="7"/>
      <c r="V2595" s="7"/>
      <c r="AC2595" s="7"/>
      <c r="AD2595" s="7"/>
      <c r="AE2595" s="7"/>
      <c r="AF2595" s="7"/>
      <c r="AG2595" s="7"/>
      <c r="AO2595" s="7"/>
      <c r="AP2595" s="7"/>
      <c r="AQ2595" s="7"/>
      <c r="AR2595" s="7"/>
      <c r="AS2595" s="7"/>
    </row>
    <row r="2596" spans="1:45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Q2596" s="7"/>
      <c r="R2596" s="7"/>
      <c r="S2596" s="7"/>
      <c r="T2596" s="7"/>
      <c r="U2596" s="7"/>
      <c r="V2596" s="7"/>
      <c r="AC2596" s="7"/>
      <c r="AD2596" s="7"/>
      <c r="AE2596" s="7"/>
      <c r="AF2596" s="7"/>
      <c r="AG2596" s="7"/>
      <c r="AO2596" s="7"/>
      <c r="AP2596" s="7"/>
      <c r="AQ2596" s="7"/>
      <c r="AR2596" s="7"/>
      <c r="AS2596" s="7"/>
    </row>
    <row r="2597" spans="1:45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Q2597" s="7"/>
      <c r="R2597" s="7"/>
      <c r="S2597" s="7"/>
      <c r="T2597" s="7"/>
      <c r="U2597" s="7"/>
      <c r="V2597" s="7"/>
      <c r="AC2597" s="7"/>
      <c r="AD2597" s="7"/>
      <c r="AE2597" s="7"/>
      <c r="AF2597" s="7"/>
      <c r="AG2597" s="7"/>
      <c r="AO2597" s="7"/>
      <c r="AP2597" s="7"/>
      <c r="AQ2597" s="7"/>
      <c r="AR2597" s="7"/>
      <c r="AS2597" s="7"/>
    </row>
    <row r="2598" spans="1:45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Q2598" s="7"/>
      <c r="R2598" s="7"/>
      <c r="S2598" s="7"/>
      <c r="T2598" s="7"/>
      <c r="U2598" s="7"/>
      <c r="V2598" s="7"/>
      <c r="AC2598" s="7"/>
      <c r="AD2598" s="7"/>
      <c r="AE2598" s="7"/>
      <c r="AF2598" s="7"/>
      <c r="AG2598" s="7"/>
      <c r="AO2598" s="7"/>
      <c r="AP2598" s="7"/>
      <c r="AQ2598" s="7"/>
      <c r="AR2598" s="7"/>
      <c r="AS2598" s="7"/>
    </row>
    <row r="2599" spans="1:45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Q2599" s="7"/>
      <c r="R2599" s="7"/>
      <c r="S2599" s="7"/>
      <c r="T2599" s="7"/>
      <c r="U2599" s="7"/>
      <c r="V2599" s="7"/>
      <c r="AC2599" s="7"/>
      <c r="AD2599" s="7"/>
      <c r="AE2599" s="7"/>
      <c r="AF2599" s="7"/>
      <c r="AG2599" s="7"/>
      <c r="AO2599" s="7"/>
      <c r="AP2599" s="7"/>
      <c r="AQ2599" s="7"/>
      <c r="AR2599" s="7"/>
      <c r="AS2599" s="7"/>
    </row>
    <row r="2600" spans="1:45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Q2600" s="7"/>
      <c r="R2600" s="7"/>
      <c r="S2600" s="7"/>
      <c r="T2600" s="7"/>
      <c r="U2600" s="7"/>
      <c r="V2600" s="7"/>
      <c r="AC2600" s="7"/>
      <c r="AD2600" s="7"/>
      <c r="AE2600" s="7"/>
      <c r="AF2600" s="7"/>
      <c r="AG2600" s="7"/>
      <c r="AO2600" s="7"/>
      <c r="AP2600" s="7"/>
      <c r="AQ2600" s="7"/>
      <c r="AR2600" s="7"/>
      <c r="AS2600" s="7"/>
    </row>
    <row r="2601" spans="1:45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Q2601" s="7"/>
      <c r="R2601" s="7"/>
      <c r="S2601" s="7"/>
      <c r="T2601" s="7"/>
      <c r="U2601" s="7"/>
      <c r="V2601" s="7"/>
      <c r="AC2601" s="7"/>
      <c r="AD2601" s="7"/>
      <c r="AE2601" s="7"/>
      <c r="AF2601" s="7"/>
      <c r="AG2601" s="7"/>
      <c r="AO2601" s="7"/>
      <c r="AP2601" s="7"/>
      <c r="AQ2601" s="7"/>
      <c r="AR2601" s="7"/>
      <c r="AS2601" s="7"/>
    </row>
    <row r="2602" spans="1:45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Q2602" s="7"/>
      <c r="R2602" s="7"/>
      <c r="S2602" s="7"/>
      <c r="T2602" s="7"/>
      <c r="U2602" s="7"/>
      <c r="V2602" s="7"/>
      <c r="AC2602" s="7"/>
      <c r="AD2602" s="7"/>
      <c r="AE2602" s="7"/>
      <c r="AF2602" s="7"/>
      <c r="AG2602" s="7"/>
      <c r="AO2602" s="7"/>
      <c r="AP2602" s="7"/>
      <c r="AQ2602" s="7"/>
      <c r="AR2602" s="7"/>
      <c r="AS2602" s="7"/>
    </row>
    <row r="2603" spans="1:45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Q2603" s="7"/>
      <c r="R2603" s="7"/>
      <c r="S2603" s="7"/>
      <c r="T2603" s="7"/>
      <c r="U2603" s="7"/>
      <c r="V2603" s="7"/>
      <c r="AC2603" s="7"/>
      <c r="AD2603" s="7"/>
      <c r="AE2603" s="7"/>
      <c r="AF2603" s="7"/>
      <c r="AG2603" s="7"/>
      <c r="AO2603" s="7"/>
      <c r="AP2603" s="7"/>
      <c r="AQ2603" s="7"/>
      <c r="AR2603" s="7"/>
      <c r="AS2603" s="7"/>
    </row>
    <row r="2604" spans="1:45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Q2604" s="7"/>
      <c r="R2604" s="7"/>
      <c r="S2604" s="7"/>
      <c r="T2604" s="7"/>
      <c r="U2604" s="7"/>
      <c r="V2604" s="7"/>
      <c r="AC2604" s="7"/>
      <c r="AD2604" s="7"/>
      <c r="AE2604" s="7"/>
      <c r="AF2604" s="7"/>
      <c r="AG2604" s="7"/>
      <c r="AO2604" s="7"/>
      <c r="AP2604" s="7"/>
      <c r="AQ2604" s="7"/>
      <c r="AR2604" s="7"/>
      <c r="AS2604" s="7"/>
    </row>
    <row r="2605" spans="1:45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Q2605" s="7"/>
      <c r="R2605" s="7"/>
      <c r="S2605" s="7"/>
      <c r="T2605" s="7"/>
      <c r="U2605" s="7"/>
      <c r="V2605" s="7"/>
      <c r="AC2605" s="7"/>
      <c r="AD2605" s="7"/>
      <c r="AE2605" s="7"/>
      <c r="AF2605" s="7"/>
      <c r="AG2605" s="7"/>
      <c r="AO2605" s="7"/>
      <c r="AP2605" s="7"/>
      <c r="AQ2605" s="7"/>
      <c r="AR2605" s="7"/>
      <c r="AS2605" s="7"/>
    </row>
    <row r="2606" spans="1:45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Q2606" s="7"/>
      <c r="R2606" s="7"/>
      <c r="S2606" s="7"/>
      <c r="T2606" s="7"/>
      <c r="U2606" s="7"/>
      <c r="V2606" s="7"/>
      <c r="AC2606" s="7"/>
      <c r="AD2606" s="7"/>
      <c r="AE2606" s="7"/>
      <c r="AF2606" s="7"/>
      <c r="AG2606" s="7"/>
      <c r="AO2606" s="7"/>
      <c r="AP2606" s="7"/>
      <c r="AQ2606" s="7"/>
      <c r="AR2606" s="7"/>
      <c r="AS2606" s="7"/>
    </row>
    <row r="2607" spans="1:45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Q2607" s="7"/>
      <c r="R2607" s="7"/>
      <c r="S2607" s="7"/>
      <c r="T2607" s="7"/>
      <c r="U2607" s="7"/>
      <c r="V2607" s="7"/>
      <c r="AC2607" s="7"/>
      <c r="AD2607" s="7"/>
      <c r="AE2607" s="7"/>
      <c r="AF2607" s="7"/>
      <c r="AG2607" s="7"/>
      <c r="AO2607" s="7"/>
      <c r="AP2607" s="7"/>
      <c r="AQ2607" s="7"/>
      <c r="AR2607" s="7"/>
      <c r="AS2607" s="7"/>
    </row>
    <row r="2608" spans="1:45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Q2608" s="7"/>
      <c r="R2608" s="7"/>
      <c r="S2608" s="7"/>
      <c r="T2608" s="7"/>
      <c r="U2608" s="7"/>
      <c r="V2608" s="7"/>
      <c r="AC2608" s="7"/>
      <c r="AD2608" s="7"/>
      <c r="AE2608" s="7"/>
      <c r="AF2608" s="7"/>
      <c r="AG2608" s="7"/>
      <c r="AO2608" s="7"/>
      <c r="AP2608" s="7"/>
      <c r="AQ2608" s="7"/>
      <c r="AR2608" s="7"/>
      <c r="AS2608" s="7"/>
    </row>
    <row r="2609" spans="1:45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Q2609" s="7"/>
      <c r="R2609" s="7"/>
      <c r="S2609" s="7"/>
      <c r="T2609" s="7"/>
      <c r="U2609" s="7"/>
      <c r="V2609" s="7"/>
      <c r="AC2609" s="7"/>
      <c r="AD2609" s="7"/>
      <c r="AE2609" s="7"/>
      <c r="AF2609" s="7"/>
      <c r="AG2609" s="7"/>
      <c r="AO2609" s="7"/>
      <c r="AP2609" s="7"/>
      <c r="AQ2609" s="7"/>
      <c r="AR2609" s="7"/>
      <c r="AS2609" s="7"/>
    </row>
    <row r="2610" spans="1:45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Q2610" s="7"/>
      <c r="R2610" s="7"/>
      <c r="S2610" s="7"/>
      <c r="T2610" s="7"/>
      <c r="U2610" s="7"/>
      <c r="V2610" s="7"/>
      <c r="AC2610" s="7"/>
      <c r="AD2610" s="7"/>
      <c r="AE2610" s="7"/>
      <c r="AF2610" s="7"/>
      <c r="AG2610" s="7"/>
      <c r="AO2610" s="7"/>
      <c r="AP2610" s="7"/>
      <c r="AQ2610" s="7"/>
      <c r="AR2610" s="7"/>
      <c r="AS2610" s="7"/>
    </row>
    <row r="2611" spans="1:45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Q2611" s="7"/>
      <c r="R2611" s="7"/>
      <c r="S2611" s="7"/>
      <c r="T2611" s="7"/>
      <c r="U2611" s="7"/>
      <c r="V2611" s="7"/>
      <c r="AC2611" s="7"/>
      <c r="AD2611" s="7"/>
      <c r="AE2611" s="7"/>
      <c r="AF2611" s="7"/>
      <c r="AG2611" s="7"/>
      <c r="AO2611" s="7"/>
      <c r="AP2611" s="7"/>
      <c r="AQ2611" s="7"/>
      <c r="AR2611" s="7"/>
      <c r="AS2611" s="7"/>
    </row>
    <row r="2612" spans="1:45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Q2612" s="7"/>
      <c r="R2612" s="7"/>
      <c r="S2612" s="7"/>
      <c r="T2612" s="7"/>
      <c r="U2612" s="7"/>
      <c r="V2612" s="7"/>
      <c r="AC2612" s="7"/>
      <c r="AD2612" s="7"/>
      <c r="AE2612" s="7"/>
      <c r="AF2612" s="7"/>
      <c r="AG2612" s="7"/>
      <c r="AO2612" s="7"/>
      <c r="AP2612" s="7"/>
      <c r="AQ2612" s="7"/>
      <c r="AR2612" s="7"/>
      <c r="AS2612" s="7"/>
    </row>
    <row r="2613" spans="1:45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Q2613" s="7"/>
      <c r="R2613" s="7"/>
      <c r="S2613" s="7"/>
      <c r="T2613" s="7"/>
      <c r="U2613" s="7"/>
      <c r="V2613" s="7"/>
      <c r="AC2613" s="7"/>
      <c r="AD2613" s="7"/>
      <c r="AE2613" s="7"/>
      <c r="AF2613" s="7"/>
      <c r="AG2613" s="7"/>
      <c r="AO2613" s="7"/>
      <c r="AP2613" s="7"/>
      <c r="AQ2613" s="7"/>
      <c r="AR2613" s="7"/>
      <c r="AS2613" s="7"/>
    </row>
    <row r="2614" spans="1:45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Q2614" s="7"/>
      <c r="R2614" s="7"/>
      <c r="S2614" s="7"/>
      <c r="T2614" s="7"/>
      <c r="U2614" s="7"/>
      <c r="V2614" s="7"/>
      <c r="AC2614" s="7"/>
      <c r="AD2614" s="7"/>
      <c r="AE2614" s="7"/>
      <c r="AF2614" s="7"/>
      <c r="AG2614" s="7"/>
      <c r="AO2614" s="7"/>
      <c r="AP2614" s="7"/>
      <c r="AQ2614" s="7"/>
      <c r="AR2614" s="7"/>
      <c r="AS2614" s="7"/>
    </row>
    <row r="2615" spans="1:45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Q2615" s="7"/>
      <c r="R2615" s="7"/>
      <c r="S2615" s="7"/>
      <c r="T2615" s="7"/>
      <c r="U2615" s="7"/>
      <c r="V2615" s="7"/>
      <c r="AC2615" s="7"/>
      <c r="AD2615" s="7"/>
      <c r="AE2615" s="7"/>
      <c r="AF2615" s="7"/>
      <c r="AG2615" s="7"/>
      <c r="AO2615" s="7"/>
      <c r="AP2615" s="7"/>
      <c r="AQ2615" s="7"/>
      <c r="AR2615" s="7"/>
      <c r="AS2615" s="7"/>
    </row>
    <row r="2616" spans="1:45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Q2616" s="7"/>
      <c r="R2616" s="7"/>
      <c r="S2616" s="7"/>
      <c r="T2616" s="7"/>
      <c r="U2616" s="7"/>
      <c r="V2616" s="7"/>
      <c r="AC2616" s="7"/>
      <c r="AD2616" s="7"/>
      <c r="AE2616" s="7"/>
      <c r="AF2616" s="7"/>
      <c r="AG2616" s="7"/>
      <c r="AO2616" s="7"/>
      <c r="AP2616" s="7"/>
      <c r="AQ2616" s="7"/>
      <c r="AR2616" s="7"/>
      <c r="AS2616" s="7"/>
    </row>
    <row r="2617" spans="1:45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Q2617" s="7"/>
      <c r="R2617" s="7"/>
      <c r="S2617" s="7"/>
      <c r="T2617" s="7"/>
      <c r="U2617" s="7"/>
      <c r="V2617" s="7"/>
      <c r="AC2617" s="7"/>
      <c r="AD2617" s="7"/>
      <c r="AE2617" s="7"/>
      <c r="AF2617" s="7"/>
      <c r="AG2617" s="7"/>
      <c r="AO2617" s="7"/>
      <c r="AP2617" s="7"/>
      <c r="AQ2617" s="7"/>
      <c r="AR2617" s="7"/>
      <c r="AS2617" s="7"/>
    </row>
    <row r="2618" spans="1:45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Q2618" s="7"/>
      <c r="R2618" s="7"/>
      <c r="S2618" s="7"/>
      <c r="T2618" s="7"/>
      <c r="U2618" s="7"/>
      <c r="V2618" s="7"/>
      <c r="AC2618" s="7"/>
      <c r="AD2618" s="7"/>
      <c r="AE2618" s="7"/>
      <c r="AF2618" s="7"/>
      <c r="AG2618" s="7"/>
      <c r="AO2618" s="7"/>
      <c r="AP2618" s="7"/>
      <c r="AQ2618" s="7"/>
      <c r="AR2618" s="7"/>
      <c r="AS2618" s="7"/>
    </row>
    <row r="2619" spans="1:45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Q2619" s="7"/>
      <c r="R2619" s="7"/>
      <c r="S2619" s="7"/>
      <c r="T2619" s="7"/>
      <c r="U2619" s="7"/>
      <c r="V2619" s="7"/>
      <c r="AC2619" s="7"/>
      <c r="AD2619" s="7"/>
      <c r="AE2619" s="7"/>
      <c r="AF2619" s="7"/>
      <c r="AG2619" s="7"/>
      <c r="AO2619" s="7"/>
      <c r="AP2619" s="7"/>
      <c r="AQ2619" s="7"/>
      <c r="AR2619" s="7"/>
      <c r="AS2619" s="7"/>
    </row>
    <row r="2620" spans="1:45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Q2620" s="7"/>
      <c r="R2620" s="7"/>
      <c r="S2620" s="7"/>
      <c r="T2620" s="7"/>
      <c r="U2620" s="7"/>
      <c r="V2620" s="7"/>
      <c r="AC2620" s="7"/>
      <c r="AD2620" s="7"/>
      <c r="AE2620" s="7"/>
      <c r="AF2620" s="7"/>
      <c r="AG2620" s="7"/>
      <c r="AO2620" s="7"/>
      <c r="AP2620" s="7"/>
      <c r="AQ2620" s="7"/>
      <c r="AR2620" s="7"/>
      <c r="AS2620" s="7"/>
    </row>
    <row r="2621" spans="1:45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Q2621" s="7"/>
      <c r="R2621" s="7"/>
      <c r="S2621" s="7"/>
      <c r="T2621" s="7"/>
      <c r="U2621" s="7"/>
      <c r="V2621" s="7"/>
      <c r="AC2621" s="7"/>
      <c r="AD2621" s="7"/>
      <c r="AE2621" s="7"/>
      <c r="AF2621" s="7"/>
      <c r="AG2621" s="7"/>
      <c r="AO2621" s="7"/>
      <c r="AP2621" s="7"/>
      <c r="AQ2621" s="7"/>
      <c r="AR2621" s="7"/>
      <c r="AS2621" s="7"/>
    </row>
    <row r="2622" spans="1:45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Q2622" s="7"/>
      <c r="R2622" s="7"/>
      <c r="S2622" s="7"/>
      <c r="T2622" s="7"/>
      <c r="U2622" s="7"/>
      <c r="V2622" s="7"/>
      <c r="AC2622" s="7"/>
      <c r="AD2622" s="7"/>
      <c r="AE2622" s="7"/>
      <c r="AF2622" s="7"/>
      <c r="AG2622" s="7"/>
      <c r="AO2622" s="7"/>
      <c r="AP2622" s="7"/>
      <c r="AQ2622" s="7"/>
      <c r="AR2622" s="7"/>
      <c r="AS2622" s="7"/>
    </row>
    <row r="2623" spans="1:45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Q2623" s="7"/>
      <c r="R2623" s="7"/>
      <c r="S2623" s="7"/>
      <c r="T2623" s="7"/>
      <c r="U2623" s="7"/>
      <c r="V2623" s="7"/>
      <c r="AC2623" s="7"/>
      <c r="AD2623" s="7"/>
      <c r="AE2623" s="7"/>
      <c r="AF2623" s="7"/>
      <c r="AG2623" s="7"/>
      <c r="AO2623" s="7"/>
      <c r="AP2623" s="7"/>
      <c r="AQ2623" s="7"/>
      <c r="AR2623" s="7"/>
      <c r="AS2623" s="7"/>
    </row>
    <row r="2624" spans="1:45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Q2624" s="7"/>
      <c r="R2624" s="7"/>
      <c r="S2624" s="7"/>
      <c r="T2624" s="7"/>
      <c r="U2624" s="7"/>
      <c r="V2624" s="7"/>
      <c r="AC2624" s="7"/>
      <c r="AD2624" s="7"/>
      <c r="AE2624" s="7"/>
      <c r="AF2624" s="7"/>
      <c r="AG2624" s="7"/>
      <c r="AO2624" s="7"/>
      <c r="AP2624" s="7"/>
      <c r="AQ2624" s="7"/>
      <c r="AR2624" s="7"/>
      <c r="AS2624" s="7"/>
    </row>
    <row r="2625" spans="1:45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Q2625" s="7"/>
      <c r="R2625" s="7"/>
      <c r="S2625" s="7"/>
      <c r="T2625" s="7"/>
      <c r="U2625" s="7"/>
      <c r="V2625" s="7"/>
      <c r="AC2625" s="7"/>
      <c r="AD2625" s="7"/>
      <c r="AE2625" s="7"/>
      <c r="AF2625" s="7"/>
      <c r="AG2625" s="7"/>
      <c r="AO2625" s="7"/>
      <c r="AP2625" s="7"/>
      <c r="AQ2625" s="7"/>
      <c r="AR2625" s="7"/>
      <c r="AS2625" s="7"/>
    </row>
    <row r="2626" spans="1:45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Q2626" s="7"/>
      <c r="R2626" s="7"/>
      <c r="S2626" s="7"/>
      <c r="T2626" s="7"/>
      <c r="U2626" s="7"/>
      <c r="V2626" s="7"/>
      <c r="AC2626" s="7"/>
      <c r="AD2626" s="7"/>
      <c r="AE2626" s="7"/>
      <c r="AF2626" s="7"/>
      <c r="AG2626" s="7"/>
      <c r="AO2626" s="7"/>
      <c r="AP2626" s="7"/>
      <c r="AQ2626" s="7"/>
      <c r="AR2626" s="7"/>
      <c r="AS2626" s="7"/>
    </row>
    <row r="2627" spans="1:45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Q2627" s="7"/>
      <c r="R2627" s="7"/>
      <c r="S2627" s="7"/>
      <c r="T2627" s="7"/>
      <c r="U2627" s="7"/>
      <c r="V2627" s="7"/>
      <c r="AC2627" s="7"/>
      <c r="AD2627" s="7"/>
      <c r="AE2627" s="7"/>
      <c r="AF2627" s="7"/>
      <c r="AG2627" s="7"/>
      <c r="AO2627" s="7"/>
      <c r="AP2627" s="7"/>
      <c r="AQ2627" s="7"/>
      <c r="AR2627" s="7"/>
      <c r="AS2627" s="7"/>
    </row>
    <row r="2628" spans="1:45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Q2628" s="7"/>
      <c r="R2628" s="7"/>
      <c r="S2628" s="7"/>
      <c r="T2628" s="7"/>
      <c r="U2628" s="7"/>
      <c r="V2628" s="7"/>
      <c r="AC2628" s="7"/>
      <c r="AD2628" s="7"/>
      <c r="AE2628" s="7"/>
      <c r="AF2628" s="7"/>
      <c r="AG2628" s="7"/>
      <c r="AO2628" s="7"/>
      <c r="AP2628" s="7"/>
      <c r="AQ2628" s="7"/>
      <c r="AR2628" s="7"/>
      <c r="AS2628" s="7"/>
    </row>
    <row r="2629" spans="1:45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Q2629" s="7"/>
      <c r="R2629" s="7"/>
      <c r="S2629" s="7"/>
      <c r="T2629" s="7"/>
      <c r="U2629" s="7"/>
      <c r="V2629" s="7"/>
      <c r="AC2629" s="7"/>
      <c r="AD2629" s="7"/>
      <c r="AE2629" s="7"/>
      <c r="AF2629" s="7"/>
      <c r="AG2629" s="7"/>
      <c r="AO2629" s="7"/>
      <c r="AP2629" s="7"/>
      <c r="AQ2629" s="7"/>
      <c r="AR2629" s="7"/>
      <c r="AS2629" s="7"/>
    </row>
    <row r="2630" spans="1:45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Q2630" s="7"/>
      <c r="R2630" s="7"/>
      <c r="S2630" s="7"/>
      <c r="T2630" s="7"/>
      <c r="U2630" s="7"/>
      <c r="V2630" s="7"/>
      <c r="AC2630" s="7"/>
      <c r="AD2630" s="7"/>
      <c r="AE2630" s="7"/>
      <c r="AF2630" s="7"/>
      <c r="AG2630" s="7"/>
      <c r="AO2630" s="7"/>
      <c r="AP2630" s="7"/>
      <c r="AQ2630" s="7"/>
      <c r="AR2630" s="7"/>
      <c r="AS2630" s="7"/>
    </row>
    <row r="2631" spans="1:45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Q2631" s="7"/>
      <c r="R2631" s="7"/>
      <c r="S2631" s="7"/>
      <c r="T2631" s="7"/>
      <c r="U2631" s="7"/>
      <c r="V2631" s="7"/>
      <c r="AC2631" s="7"/>
      <c r="AD2631" s="7"/>
      <c r="AE2631" s="7"/>
      <c r="AF2631" s="7"/>
      <c r="AG2631" s="7"/>
      <c r="AO2631" s="7"/>
      <c r="AP2631" s="7"/>
      <c r="AQ2631" s="7"/>
      <c r="AR2631" s="7"/>
      <c r="AS2631" s="7"/>
    </row>
    <row r="2632" spans="1:45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Q2632" s="7"/>
      <c r="R2632" s="7"/>
      <c r="S2632" s="7"/>
      <c r="T2632" s="7"/>
      <c r="U2632" s="7"/>
      <c r="V2632" s="7"/>
      <c r="AC2632" s="7"/>
      <c r="AD2632" s="7"/>
      <c r="AE2632" s="7"/>
      <c r="AF2632" s="7"/>
      <c r="AG2632" s="7"/>
      <c r="AO2632" s="7"/>
      <c r="AP2632" s="7"/>
      <c r="AQ2632" s="7"/>
      <c r="AR2632" s="7"/>
      <c r="AS2632" s="7"/>
    </row>
    <row r="2633" spans="1:45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Q2633" s="7"/>
      <c r="R2633" s="7"/>
      <c r="S2633" s="7"/>
      <c r="T2633" s="7"/>
      <c r="U2633" s="7"/>
      <c r="V2633" s="7"/>
      <c r="AC2633" s="7"/>
      <c r="AD2633" s="7"/>
      <c r="AE2633" s="7"/>
      <c r="AF2633" s="7"/>
      <c r="AG2633" s="7"/>
      <c r="AO2633" s="7"/>
      <c r="AP2633" s="7"/>
      <c r="AQ2633" s="7"/>
      <c r="AR2633" s="7"/>
      <c r="AS2633" s="7"/>
    </row>
    <row r="2634" spans="1:45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Q2634" s="7"/>
      <c r="R2634" s="7"/>
      <c r="S2634" s="7"/>
      <c r="T2634" s="7"/>
      <c r="U2634" s="7"/>
      <c r="V2634" s="7"/>
      <c r="AC2634" s="7"/>
      <c r="AD2634" s="7"/>
      <c r="AE2634" s="7"/>
      <c r="AF2634" s="7"/>
      <c r="AG2634" s="7"/>
      <c r="AO2634" s="7"/>
      <c r="AP2634" s="7"/>
      <c r="AQ2634" s="7"/>
      <c r="AR2634" s="7"/>
      <c r="AS2634" s="7"/>
    </row>
    <row r="2635" spans="1:45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Q2635" s="7"/>
      <c r="R2635" s="7"/>
      <c r="S2635" s="7"/>
      <c r="T2635" s="7"/>
      <c r="U2635" s="7"/>
      <c r="V2635" s="7"/>
      <c r="AC2635" s="7"/>
      <c r="AD2635" s="7"/>
      <c r="AE2635" s="7"/>
      <c r="AF2635" s="7"/>
      <c r="AG2635" s="7"/>
      <c r="AO2635" s="7"/>
      <c r="AP2635" s="7"/>
      <c r="AQ2635" s="7"/>
      <c r="AR2635" s="7"/>
      <c r="AS2635" s="7"/>
    </row>
    <row r="2636" spans="1:45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Q2636" s="7"/>
      <c r="R2636" s="7"/>
      <c r="S2636" s="7"/>
      <c r="T2636" s="7"/>
      <c r="U2636" s="7"/>
      <c r="V2636" s="7"/>
      <c r="AC2636" s="7"/>
      <c r="AD2636" s="7"/>
      <c r="AE2636" s="7"/>
      <c r="AF2636" s="7"/>
      <c r="AG2636" s="7"/>
      <c r="AO2636" s="7"/>
      <c r="AP2636" s="7"/>
      <c r="AQ2636" s="7"/>
      <c r="AR2636" s="7"/>
      <c r="AS2636" s="7"/>
    </row>
    <row r="2637" spans="1:45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Q2637" s="7"/>
      <c r="R2637" s="7"/>
      <c r="S2637" s="7"/>
      <c r="T2637" s="7"/>
      <c r="U2637" s="7"/>
      <c r="V2637" s="7"/>
      <c r="AC2637" s="7"/>
      <c r="AD2637" s="7"/>
      <c r="AE2637" s="7"/>
      <c r="AF2637" s="7"/>
      <c r="AG2637" s="7"/>
      <c r="AO2637" s="7"/>
      <c r="AP2637" s="7"/>
      <c r="AQ2637" s="7"/>
      <c r="AR2637" s="7"/>
      <c r="AS2637" s="7"/>
    </row>
    <row r="2638" spans="1:45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Q2638" s="7"/>
      <c r="R2638" s="7"/>
      <c r="S2638" s="7"/>
      <c r="T2638" s="7"/>
      <c r="U2638" s="7"/>
      <c r="V2638" s="7"/>
      <c r="AC2638" s="7"/>
      <c r="AD2638" s="7"/>
      <c r="AE2638" s="7"/>
      <c r="AF2638" s="7"/>
      <c r="AG2638" s="7"/>
      <c r="AO2638" s="7"/>
      <c r="AP2638" s="7"/>
      <c r="AQ2638" s="7"/>
      <c r="AR2638" s="7"/>
      <c r="AS2638" s="7"/>
    </row>
    <row r="2639" spans="1:45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Q2639" s="7"/>
      <c r="R2639" s="7"/>
      <c r="S2639" s="7"/>
      <c r="T2639" s="7"/>
      <c r="U2639" s="7"/>
      <c r="V2639" s="7"/>
      <c r="AC2639" s="7"/>
      <c r="AD2639" s="7"/>
      <c r="AE2639" s="7"/>
      <c r="AF2639" s="7"/>
      <c r="AG2639" s="7"/>
      <c r="AO2639" s="7"/>
      <c r="AP2639" s="7"/>
      <c r="AQ2639" s="7"/>
      <c r="AR2639" s="7"/>
      <c r="AS2639" s="7"/>
    </row>
    <row r="2640" spans="1:45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Q2640" s="7"/>
      <c r="R2640" s="7"/>
      <c r="S2640" s="7"/>
      <c r="T2640" s="7"/>
      <c r="U2640" s="7"/>
      <c r="V2640" s="7"/>
      <c r="AC2640" s="7"/>
      <c r="AD2640" s="7"/>
      <c r="AE2640" s="7"/>
      <c r="AF2640" s="7"/>
      <c r="AG2640" s="7"/>
      <c r="AO2640" s="7"/>
      <c r="AP2640" s="7"/>
      <c r="AQ2640" s="7"/>
      <c r="AR2640" s="7"/>
      <c r="AS2640" s="7"/>
    </row>
    <row r="2641" spans="1:45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Q2641" s="7"/>
      <c r="R2641" s="7"/>
      <c r="S2641" s="7"/>
      <c r="T2641" s="7"/>
      <c r="U2641" s="7"/>
      <c r="V2641" s="7"/>
      <c r="AC2641" s="7"/>
      <c r="AD2641" s="7"/>
      <c r="AE2641" s="7"/>
      <c r="AF2641" s="7"/>
      <c r="AG2641" s="7"/>
      <c r="AO2641" s="7"/>
      <c r="AP2641" s="7"/>
      <c r="AQ2641" s="7"/>
      <c r="AR2641" s="7"/>
      <c r="AS2641" s="7"/>
    </row>
    <row r="2642" spans="1:45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Q2642" s="7"/>
      <c r="R2642" s="7"/>
      <c r="S2642" s="7"/>
      <c r="T2642" s="7"/>
      <c r="U2642" s="7"/>
      <c r="V2642" s="7"/>
      <c r="AC2642" s="7"/>
      <c r="AD2642" s="7"/>
      <c r="AE2642" s="7"/>
      <c r="AF2642" s="7"/>
      <c r="AG2642" s="7"/>
      <c r="AO2642" s="7"/>
      <c r="AP2642" s="7"/>
      <c r="AQ2642" s="7"/>
      <c r="AR2642" s="7"/>
      <c r="AS2642" s="7"/>
    </row>
    <row r="2643" spans="1:45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Q2643" s="7"/>
      <c r="R2643" s="7"/>
      <c r="S2643" s="7"/>
      <c r="T2643" s="7"/>
      <c r="U2643" s="7"/>
      <c r="V2643" s="7"/>
      <c r="AC2643" s="7"/>
      <c r="AD2643" s="7"/>
      <c r="AE2643" s="7"/>
      <c r="AF2643" s="7"/>
      <c r="AG2643" s="7"/>
      <c r="AO2643" s="7"/>
      <c r="AP2643" s="7"/>
      <c r="AQ2643" s="7"/>
      <c r="AR2643" s="7"/>
      <c r="AS2643" s="7"/>
    </row>
    <row r="2644" spans="1:45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Q2644" s="7"/>
      <c r="R2644" s="7"/>
      <c r="S2644" s="7"/>
      <c r="T2644" s="7"/>
      <c r="U2644" s="7"/>
      <c r="V2644" s="7"/>
      <c r="AC2644" s="7"/>
      <c r="AD2644" s="7"/>
      <c r="AE2644" s="7"/>
      <c r="AF2644" s="7"/>
      <c r="AG2644" s="7"/>
      <c r="AO2644" s="7"/>
      <c r="AP2644" s="7"/>
      <c r="AQ2644" s="7"/>
      <c r="AR2644" s="7"/>
      <c r="AS2644" s="7"/>
    </row>
    <row r="2645" spans="1:45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Q2645" s="7"/>
      <c r="R2645" s="7"/>
      <c r="S2645" s="7"/>
      <c r="T2645" s="7"/>
      <c r="U2645" s="7"/>
      <c r="V2645" s="7"/>
      <c r="AC2645" s="7"/>
      <c r="AD2645" s="7"/>
      <c r="AE2645" s="7"/>
      <c r="AF2645" s="7"/>
      <c r="AG2645" s="7"/>
      <c r="AO2645" s="7"/>
      <c r="AP2645" s="7"/>
      <c r="AQ2645" s="7"/>
      <c r="AR2645" s="7"/>
      <c r="AS2645" s="7"/>
    </row>
    <row r="2646" spans="1:45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Q2646" s="7"/>
      <c r="R2646" s="7"/>
      <c r="S2646" s="7"/>
      <c r="T2646" s="7"/>
      <c r="U2646" s="7"/>
      <c r="V2646" s="7"/>
      <c r="AC2646" s="7"/>
      <c r="AD2646" s="7"/>
      <c r="AE2646" s="7"/>
      <c r="AF2646" s="7"/>
      <c r="AG2646" s="7"/>
      <c r="AO2646" s="7"/>
      <c r="AP2646" s="7"/>
      <c r="AQ2646" s="7"/>
      <c r="AR2646" s="7"/>
      <c r="AS2646" s="7"/>
    </row>
    <row r="2647" spans="1:45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Q2647" s="7"/>
      <c r="R2647" s="7"/>
      <c r="S2647" s="7"/>
      <c r="T2647" s="7"/>
      <c r="U2647" s="7"/>
      <c r="V2647" s="7"/>
      <c r="AC2647" s="7"/>
      <c r="AD2647" s="7"/>
      <c r="AE2647" s="7"/>
      <c r="AF2647" s="7"/>
      <c r="AG2647" s="7"/>
      <c r="AO2647" s="7"/>
      <c r="AP2647" s="7"/>
      <c r="AQ2647" s="7"/>
      <c r="AR2647" s="7"/>
      <c r="AS2647" s="7"/>
    </row>
    <row r="2648" spans="1:45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Q2648" s="7"/>
      <c r="R2648" s="7"/>
      <c r="S2648" s="7"/>
      <c r="T2648" s="7"/>
      <c r="U2648" s="7"/>
      <c r="V2648" s="7"/>
      <c r="AC2648" s="7"/>
      <c r="AD2648" s="7"/>
      <c r="AE2648" s="7"/>
      <c r="AF2648" s="7"/>
      <c r="AG2648" s="7"/>
      <c r="AO2648" s="7"/>
      <c r="AP2648" s="7"/>
      <c r="AQ2648" s="7"/>
      <c r="AR2648" s="7"/>
      <c r="AS2648" s="7"/>
    </row>
    <row r="2649" spans="1:45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Q2649" s="7"/>
      <c r="R2649" s="7"/>
      <c r="S2649" s="7"/>
      <c r="T2649" s="7"/>
      <c r="U2649" s="7"/>
      <c r="V2649" s="7"/>
      <c r="AC2649" s="7"/>
      <c r="AD2649" s="7"/>
      <c r="AE2649" s="7"/>
      <c r="AF2649" s="7"/>
      <c r="AG2649" s="7"/>
      <c r="AO2649" s="7"/>
      <c r="AP2649" s="7"/>
      <c r="AQ2649" s="7"/>
      <c r="AR2649" s="7"/>
      <c r="AS2649" s="7"/>
    </row>
    <row r="2650" spans="1:45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Q2650" s="7"/>
      <c r="R2650" s="7"/>
      <c r="S2650" s="7"/>
      <c r="T2650" s="7"/>
      <c r="U2650" s="7"/>
      <c r="V2650" s="7"/>
      <c r="AC2650" s="7"/>
      <c r="AD2650" s="7"/>
      <c r="AE2650" s="7"/>
      <c r="AF2650" s="7"/>
      <c r="AG2650" s="7"/>
      <c r="AO2650" s="7"/>
      <c r="AP2650" s="7"/>
      <c r="AQ2650" s="7"/>
      <c r="AR2650" s="7"/>
      <c r="AS2650" s="7"/>
    </row>
    <row r="2651" spans="1:45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Q2651" s="7"/>
      <c r="R2651" s="7"/>
      <c r="S2651" s="7"/>
      <c r="T2651" s="7"/>
      <c r="U2651" s="7"/>
      <c r="V2651" s="7"/>
      <c r="AC2651" s="7"/>
      <c r="AD2651" s="7"/>
      <c r="AE2651" s="7"/>
      <c r="AF2651" s="7"/>
      <c r="AG2651" s="7"/>
      <c r="AO2651" s="7"/>
      <c r="AP2651" s="7"/>
      <c r="AQ2651" s="7"/>
      <c r="AR2651" s="7"/>
      <c r="AS2651" s="7"/>
    </row>
    <row r="2652" spans="1:45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Q2652" s="7"/>
      <c r="R2652" s="7"/>
      <c r="S2652" s="7"/>
      <c r="T2652" s="7"/>
      <c r="U2652" s="7"/>
      <c r="V2652" s="7"/>
      <c r="AC2652" s="7"/>
      <c r="AD2652" s="7"/>
      <c r="AE2652" s="7"/>
      <c r="AF2652" s="7"/>
      <c r="AG2652" s="7"/>
      <c r="AO2652" s="7"/>
      <c r="AP2652" s="7"/>
      <c r="AQ2652" s="7"/>
      <c r="AR2652" s="7"/>
      <c r="AS2652" s="7"/>
    </row>
    <row r="2653" spans="1:45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Q2653" s="7"/>
      <c r="R2653" s="7"/>
      <c r="S2653" s="7"/>
      <c r="T2653" s="7"/>
      <c r="U2653" s="7"/>
      <c r="V2653" s="7"/>
      <c r="AC2653" s="7"/>
      <c r="AD2653" s="7"/>
      <c r="AE2653" s="7"/>
      <c r="AF2653" s="7"/>
      <c r="AG2653" s="7"/>
      <c r="AO2653" s="7"/>
      <c r="AP2653" s="7"/>
      <c r="AQ2653" s="7"/>
      <c r="AR2653" s="7"/>
      <c r="AS2653" s="7"/>
    </row>
    <row r="2654" spans="1:45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Q2654" s="7"/>
      <c r="R2654" s="7"/>
      <c r="S2654" s="7"/>
      <c r="T2654" s="7"/>
      <c r="U2654" s="7"/>
      <c r="V2654" s="7"/>
      <c r="AC2654" s="7"/>
      <c r="AD2654" s="7"/>
      <c r="AE2654" s="7"/>
      <c r="AF2654" s="7"/>
      <c r="AG2654" s="7"/>
      <c r="AO2654" s="7"/>
      <c r="AP2654" s="7"/>
      <c r="AQ2654" s="7"/>
      <c r="AR2654" s="7"/>
      <c r="AS2654" s="7"/>
    </row>
    <row r="2655" spans="1:45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Q2655" s="7"/>
      <c r="R2655" s="7"/>
      <c r="S2655" s="7"/>
      <c r="T2655" s="7"/>
      <c r="U2655" s="7"/>
      <c r="V2655" s="7"/>
      <c r="AC2655" s="7"/>
      <c r="AD2655" s="7"/>
      <c r="AE2655" s="7"/>
      <c r="AF2655" s="7"/>
      <c r="AG2655" s="7"/>
      <c r="AO2655" s="7"/>
      <c r="AP2655" s="7"/>
      <c r="AQ2655" s="7"/>
      <c r="AR2655" s="7"/>
      <c r="AS2655" s="7"/>
    </row>
    <row r="2656" spans="1:45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Q2656" s="7"/>
      <c r="R2656" s="7"/>
      <c r="S2656" s="7"/>
      <c r="T2656" s="7"/>
      <c r="U2656" s="7"/>
      <c r="V2656" s="7"/>
      <c r="AC2656" s="7"/>
      <c r="AD2656" s="7"/>
      <c r="AE2656" s="7"/>
      <c r="AF2656" s="7"/>
      <c r="AG2656" s="7"/>
      <c r="AO2656" s="7"/>
      <c r="AP2656" s="7"/>
      <c r="AQ2656" s="7"/>
      <c r="AR2656" s="7"/>
      <c r="AS2656" s="7"/>
    </row>
    <row r="2657" spans="1:45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Q2657" s="7"/>
      <c r="R2657" s="7"/>
      <c r="S2657" s="7"/>
      <c r="T2657" s="7"/>
      <c r="U2657" s="7"/>
      <c r="V2657" s="7"/>
      <c r="AC2657" s="7"/>
      <c r="AD2657" s="7"/>
      <c r="AE2657" s="7"/>
      <c r="AF2657" s="7"/>
      <c r="AG2657" s="7"/>
      <c r="AO2657" s="7"/>
      <c r="AP2657" s="7"/>
      <c r="AQ2657" s="7"/>
      <c r="AR2657" s="7"/>
      <c r="AS2657" s="7"/>
    </row>
    <row r="2658" spans="1:45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Q2658" s="7"/>
      <c r="R2658" s="7"/>
      <c r="S2658" s="7"/>
      <c r="T2658" s="7"/>
      <c r="U2658" s="7"/>
      <c r="V2658" s="7"/>
      <c r="AC2658" s="7"/>
      <c r="AD2658" s="7"/>
      <c r="AE2658" s="7"/>
      <c r="AF2658" s="7"/>
      <c r="AG2658" s="7"/>
      <c r="AO2658" s="7"/>
      <c r="AP2658" s="7"/>
      <c r="AQ2658" s="7"/>
      <c r="AR2658" s="7"/>
      <c r="AS2658" s="7"/>
    </row>
    <row r="2659" spans="1:45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Q2659" s="7"/>
      <c r="R2659" s="7"/>
      <c r="S2659" s="7"/>
      <c r="T2659" s="7"/>
      <c r="U2659" s="7"/>
      <c r="V2659" s="7"/>
      <c r="AC2659" s="7"/>
      <c r="AD2659" s="7"/>
      <c r="AE2659" s="7"/>
      <c r="AF2659" s="7"/>
      <c r="AG2659" s="7"/>
      <c r="AO2659" s="7"/>
      <c r="AP2659" s="7"/>
      <c r="AQ2659" s="7"/>
      <c r="AR2659" s="7"/>
      <c r="AS2659" s="7"/>
    </row>
    <row r="2660" spans="1:45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Q2660" s="7"/>
      <c r="R2660" s="7"/>
      <c r="S2660" s="7"/>
      <c r="T2660" s="7"/>
      <c r="U2660" s="7"/>
      <c r="V2660" s="7"/>
      <c r="AC2660" s="7"/>
      <c r="AD2660" s="7"/>
      <c r="AE2660" s="7"/>
      <c r="AF2660" s="7"/>
      <c r="AG2660" s="7"/>
      <c r="AO2660" s="7"/>
      <c r="AP2660" s="7"/>
      <c r="AQ2660" s="7"/>
      <c r="AR2660" s="7"/>
      <c r="AS2660" s="7"/>
    </row>
    <row r="2661" spans="1:45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Q2661" s="7"/>
      <c r="R2661" s="7"/>
      <c r="S2661" s="7"/>
      <c r="T2661" s="7"/>
      <c r="U2661" s="7"/>
      <c r="V2661" s="7"/>
      <c r="AC2661" s="7"/>
      <c r="AD2661" s="7"/>
      <c r="AE2661" s="7"/>
      <c r="AF2661" s="7"/>
      <c r="AG2661" s="7"/>
      <c r="AO2661" s="7"/>
      <c r="AP2661" s="7"/>
      <c r="AQ2661" s="7"/>
      <c r="AR2661" s="7"/>
      <c r="AS2661" s="7"/>
    </row>
    <row r="2662" spans="1:45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Q2662" s="7"/>
      <c r="R2662" s="7"/>
      <c r="S2662" s="7"/>
      <c r="T2662" s="7"/>
      <c r="U2662" s="7"/>
      <c r="V2662" s="7"/>
      <c r="AC2662" s="7"/>
      <c r="AD2662" s="7"/>
      <c r="AE2662" s="7"/>
      <c r="AF2662" s="7"/>
      <c r="AG2662" s="7"/>
      <c r="AO2662" s="7"/>
      <c r="AP2662" s="7"/>
      <c r="AQ2662" s="7"/>
      <c r="AR2662" s="7"/>
      <c r="AS2662" s="7"/>
    </row>
    <row r="2663" spans="1:45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Q2663" s="7"/>
      <c r="R2663" s="7"/>
      <c r="S2663" s="7"/>
      <c r="T2663" s="7"/>
      <c r="U2663" s="7"/>
      <c r="V2663" s="7"/>
      <c r="AC2663" s="7"/>
      <c r="AD2663" s="7"/>
      <c r="AE2663" s="7"/>
      <c r="AF2663" s="7"/>
      <c r="AG2663" s="7"/>
      <c r="AO2663" s="7"/>
      <c r="AP2663" s="7"/>
      <c r="AQ2663" s="7"/>
      <c r="AR2663" s="7"/>
      <c r="AS2663" s="7"/>
    </row>
    <row r="2664" spans="1:45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Q2664" s="7"/>
      <c r="R2664" s="7"/>
      <c r="S2664" s="7"/>
      <c r="T2664" s="7"/>
      <c r="U2664" s="7"/>
      <c r="V2664" s="7"/>
      <c r="AC2664" s="7"/>
      <c r="AD2664" s="7"/>
      <c r="AE2664" s="7"/>
      <c r="AF2664" s="7"/>
      <c r="AG2664" s="7"/>
      <c r="AO2664" s="7"/>
      <c r="AP2664" s="7"/>
      <c r="AQ2664" s="7"/>
      <c r="AR2664" s="7"/>
      <c r="AS2664" s="7"/>
    </row>
    <row r="2665" spans="1:45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Q2665" s="7"/>
      <c r="R2665" s="7"/>
      <c r="S2665" s="7"/>
      <c r="T2665" s="7"/>
      <c r="U2665" s="7"/>
      <c r="V2665" s="7"/>
      <c r="AC2665" s="7"/>
      <c r="AD2665" s="7"/>
      <c r="AE2665" s="7"/>
      <c r="AF2665" s="7"/>
      <c r="AG2665" s="7"/>
      <c r="AO2665" s="7"/>
      <c r="AP2665" s="7"/>
      <c r="AQ2665" s="7"/>
      <c r="AR2665" s="7"/>
      <c r="AS2665" s="7"/>
    </row>
    <row r="2666" spans="1:45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Q2666" s="7"/>
      <c r="R2666" s="7"/>
      <c r="S2666" s="7"/>
      <c r="T2666" s="7"/>
      <c r="U2666" s="7"/>
      <c r="V2666" s="7"/>
      <c r="AC2666" s="7"/>
      <c r="AD2666" s="7"/>
      <c r="AE2666" s="7"/>
      <c r="AF2666" s="7"/>
      <c r="AG2666" s="7"/>
      <c r="AO2666" s="7"/>
      <c r="AP2666" s="7"/>
      <c r="AQ2666" s="7"/>
      <c r="AR2666" s="7"/>
      <c r="AS2666" s="7"/>
    </row>
    <row r="2667" spans="1:45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Q2667" s="7"/>
      <c r="R2667" s="7"/>
      <c r="S2667" s="7"/>
      <c r="T2667" s="7"/>
      <c r="U2667" s="7"/>
      <c r="V2667" s="7"/>
      <c r="AC2667" s="7"/>
      <c r="AD2667" s="7"/>
      <c r="AE2667" s="7"/>
      <c r="AF2667" s="7"/>
      <c r="AG2667" s="7"/>
      <c r="AO2667" s="7"/>
      <c r="AP2667" s="7"/>
      <c r="AQ2667" s="7"/>
      <c r="AR2667" s="7"/>
      <c r="AS2667" s="7"/>
    </row>
    <row r="2668" spans="1:45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Q2668" s="7"/>
      <c r="R2668" s="7"/>
      <c r="S2668" s="7"/>
      <c r="T2668" s="7"/>
      <c r="U2668" s="7"/>
      <c r="V2668" s="7"/>
      <c r="AC2668" s="7"/>
      <c r="AD2668" s="7"/>
      <c r="AE2668" s="7"/>
      <c r="AF2668" s="7"/>
      <c r="AG2668" s="7"/>
      <c r="AO2668" s="7"/>
      <c r="AP2668" s="7"/>
      <c r="AQ2668" s="7"/>
      <c r="AR2668" s="7"/>
      <c r="AS2668" s="7"/>
    </row>
    <row r="2669" spans="1:45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Q2669" s="7"/>
      <c r="R2669" s="7"/>
      <c r="S2669" s="7"/>
      <c r="T2669" s="7"/>
      <c r="U2669" s="7"/>
      <c r="V2669" s="7"/>
      <c r="AC2669" s="7"/>
      <c r="AD2669" s="7"/>
      <c r="AE2669" s="7"/>
      <c r="AF2669" s="7"/>
      <c r="AG2669" s="7"/>
      <c r="AO2669" s="7"/>
      <c r="AP2669" s="7"/>
      <c r="AQ2669" s="7"/>
      <c r="AR2669" s="7"/>
      <c r="AS2669" s="7"/>
    </row>
    <row r="2670" spans="1:45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Q2670" s="7"/>
      <c r="R2670" s="7"/>
      <c r="S2670" s="7"/>
      <c r="T2670" s="7"/>
      <c r="U2670" s="7"/>
      <c r="V2670" s="7"/>
      <c r="AC2670" s="7"/>
      <c r="AD2670" s="7"/>
      <c r="AE2670" s="7"/>
      <c r="AF2670" s="7"/>
      <c r="AG2670" s="7"/>
      <c r="AO2670" s="7"/>
      <c r="AP2670" s="7"/>
      <c r="AQ2670" s="7"/>
      <c r="AR2670" s="7"/>
      <c r="AS2670" s="7"/>
    </row>
    <row r="2671" spans="1:45" s="7" customFormat="1" x14ac:dyDescent="0.2"/>
    <row r="2672" spans="1:45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pans="1:51" s="7" customFormat="1" x14ac:dyDescent="0.2"/>
    <row r="3298" spans="1:51" s="7" customFormat="1" x14ac:dyDescent="0.2"/>
    <row r="3299" spans="1:51" s="7" customFormat="1" x14ac:dyDescent="0.2"/>
    <row r="3300" spans="1:51" s="21" customFormat="1" x14ac:dyDescent="0.2">
      <c r="A3300" s="22" t="s">
        <v>9</v>
      </c>
      <c r="B3300" s="22"/>
      <c r="C3300" s="15"/>
      <c r="D3300" s="24"/>
      <c r="E3300" s="25"/>
      <c r="F3300" s="25"/>
      <c r="G3300" s="25"/>
      <c r="H3300" s="26"/>
      <c r="I3300" s="20"/>
      <c r="J3300" s="20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C3300" s="25"/>
      <c r="AD3300" s="25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</row>
    <row r="3301" spans="1:51" s="7" customFormat="1" x14ac:dyDescent="0.2">
      <c r="Q3301" s="25"/>
      <c r="R3301" s="25"/>
      <c r="S3301" s="25"/>
      <c r="T3301" s="26"/>
      <c r="U3301" s="20"/>
      <c r="V3301" s="20"/>
      <c r="W3301" s="21"/>
      <c r="X3301" s="21"/>
      <c r="Y3301" s="21"/>
      <c r="Z3301" s="21"/>
      <c r="AA3301" s="21"/>
    </row>
    <row r="3302" spans="1:51" s="7" customFormat="1" x14ac:dyDescent="0.2"/>
    <row r="3303" spans="1:51" hidden="1" x14ac:dyDescent="0.2">
      <c r="Q3303" s="7"/>
      <c r="R3303" s="7"/>
      <c r="S3303" s="7"/>
      <c r="T3303" s="7"/>
      <c r="U3303" s="7"/>
      <c r="V3303" s="7"/>
      <c r="AO3303" s="7"/>
      <c r="AP3303" s="7"/>
      <c r="AQ3303" s="7"/>
      <c r="AR3303" s="7"/>
      <c r="AS3303" s="7"/>
    </row>
    <row r="3304" spans="1:51" hidden="1" x14ac:dyDescent="0.2">
      <c r="AO3304" s="7"/>
      <c r="AP3304" s="7"/>
      <c r="AQ3304" s="7"/>
      <c r="AR3304" s="7"/>
      <c r="AS3304" s="7"/>
    </row>
    <row r="3305" spans="1:51" hidden="1" x14ac:dyDescent="0.2">
      <c r="AO3305" s="7"/>
      <c r="AP3305" s="7"/>
      <c r="AQ3305" s="7"/>
      <c r="AR3305" s="7"/>
      <c r="AS3305" s="7"/>
    </row>
    <row r="3306" spans="1:51" hidden="1" x14ac:dyDescent="0.2">
      <c r="AO3306" s="7"/>
      <c r="AP3306" s="7"/>
      <c r="AQ3306" s="7"/>
      <c r="AR3306" s="7"/>
      <c r="AS3306" s="7"/>
    </row>
    <row r="3307" spans="1:51" hidden="1" x14ac:dyDescent="0.2">
      <c r="AO3307" s="7"/>
      <c r="AP3307" s="7"/>
      <c r="AQ3307" s="7"/>
      <c r="AR3307" s="7"/>
      <c r="AS3307" s="7"/>
    </row>
    <row r="3308" spans="1:51" hidden="1" x14ac:dyDescent="0.2">
      <c r="AO3308" s="7"/>
      <c r="AP3308" s="7"/>
      <c r="AQ3308" s="7"/>
      <c r="AR3308" s="7"/>
      <c r="AS3308" s="7"/>
    </row>
    <row r="3309" spans="1:51" hidden="1" x14ac:dyDescent="0.2">
      <c r="AO3309" s="7"/>
      <c r="AP3309" s="7"/>
      <c r="AQ3309" s="7"/>
      <c r="AR3309" s="7"/>
      <c r="AS3309" s="7"/>
    </row>
    <row r="3310" spans="1:51" hidden="1" x14ac:dyDescent="0.2">
      <c r="AO3310" s="7"/>
      <c r="AP3310" s="7"/>
      <c r="AQ3310" s="7"/>
      <c r="AR3310" s="7"/>
      <c r="AS3310" s="7"/>
    </row>
    <row r="3311" spans="1:51" hidden="1" x14ac:dyDescent="0.2">
      <c r="AO3311" s="7"/>
      <c r="AP3311" s="7"/>
      <c r="AQ3311" s="7"/>
      <c r="AR3311" s="7"/>
      <c r="AS3311" s="7"/>
    </row>
    <row r="3312" spans="1:51" hidden="1" x14ac:dyDescent="0.2">
      <c r="AO3312" s="25"/>
      <c r="AP3312" s="25"/>
      <c r="AQ3312" s="21"/>
      <c r="AR3312" s="21"/>
      <c r="AS3312" s="21"/>
      <c r="AT3312" s="21"/>
      <c r="AU3312" s="21"/>
      <c r="AV3312" s="21"/>
      <c r="AW3312" s="21"/>
      <c r="AX3312" s="21"/>
      <c r="AY3312" s="21"/>
    </row>
    <row r="3313" spans="41:45" hidden="1" x14ac:dyDescent="0.2">
      <c r="AO3313" s="7"/>
      <c r="AP3313" s="7"/>
      <c r="AQ3313" s="7"/>
      <c r="AR3313" s="7"/>
      <c r="AS3313" s="7"/>
    </row>
    <row r="3314" spans="41:45" hidden="1" x14ac:dyDescent="0.2">
      <c r="AO3314" s="7"/>
      <c r="AP3314" s="7"/>
      <c r="AQ3314" s="7"/>
      <c r="AR3314" s="7"/>
      <c r="AS3314" s="7"/>
    </row>
    <row r="3315" spans="41:45" hidden="1" x14ac:dyDescent="0.2"/>
  </sheetData>
  <autoFilter ref="AU8:AY1725"/>
  <mergeCells count="4">
    <mergeCell ref="W4:AA4"/>
    <mergeCell ref="AI4:AM4"/>
    <mergeCell ref="K4:O4"/>
    <mergeCell ref="AU4:AY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BN107"/>
  <sheetViews>
    <sheetView topLeftCell="AM1" zoomScale="70" zoomScaleNormal="70" workbookViewId="0">
      <pane ySplit="7" topLeftCell="A35" activePane="bottomLeft" state="frozen"/>
      <selection activeCell="E48" sqref="E48"/>
      <selection pane="bottomLeft" activeCell="O76" sqref="O76"/>
    </sheetView>
  </sheetViews>
  <sheetFormatPr defaultColWidth="9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7" width="12.5" bestFit="1" customWidth="1"/>
    <col min="18" max="18" width="29.625" customWidth="1"/>
    <col min="19" max="19" width="4.25" customWidth="1"/>
    <col min="20" max="24" width="12.625" customWidth="1"/>
    <col min="25" max="25" width="6.125" customWidth="1"/>
    <col min="26" max="30" width="12.625" customWidth="1"/>
    <col min="31" max="31" width="6.125" customWidth="1"/>
    <col min="32" max="36" width="12.625" customWidth="1"/>
    <col min="37" max="37" width="6.125" customWidth="1"/>
    <col min="38" max="42" width="12.625" customWidth="1"/>
    <col min="43" max="43" width="6.125" customWidth="1"/>
    <col min="44" max="48" width="12.625" customWidth="1"/>
    <col min="49" max="49" width="6.125" customWidth="1"/>
    <col min="50" max="54" width="12.625" customWidth="1"/>
    <col min="55" max="55" width="6.125" customWidth="1"/>
    <col min="56" max="60" width="12.625" customWidth="1"/>
    <col min="61" max="61" width="6.125" customWidth="1"/>
    <col min="62" max="66" width="12.625" customWidth="1"/>
    <col min="16377" max="16384" width="8" customWidth="1"/>
  </cols>
  <sheetData>
    <row r="1" spans="1:66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8"/>
      <c r="I1" s="19"/>
      <c r="J1" s="20"/>
      <c r="K1" s="20"/>
      <c r="L1" s="17"/>
      <c r="M1" s="17"/>
      <c r="N1" s="17"/>
      <c r="O1" s="17"/>
      <c r="P1" s="17"/>
      <c r="Q1" s="17"/>
      <c r="R1" s="17"/>
    </row>
    <row r="2" spans="1:66" x14ac:dyDescent="0.2">
      <c r="A2" s="22" t="str">
        <f ca="1" xml:space="preserve"> "Sheet: " &amp; RIGHT(CELL("filename", $A$1), LEN(CELL("filename", $A$1)) - SEARCH("]", CELL("filename", $A$1)))</f>
        <v>Sheet: Input|Forecast Data</v>
      </c>
      <c r="B2" s="22"/>
      <c r="C2" s="15"/>
      <c r="D2" s="16"/>
      <c r="E2" s="17"/>
      <c r="F2" s="17"/>
      <c r="G2" s="17"/>
      <c r="H2" s="17"/>
      <c r="I2" s="23"/>
      <c r="J2" s="20"/>
      <c r="K2" s="20"/>
      <c r="L2" s="17"/>
      <c r="M2" s="17"/>
      <c r="N2" s="17"/>
      <c r="O2" s="17"/>
      <c r="P2" s="17"/>
      <c r="Q2" s="17"/>
      <c r="R2" s="17"/>
    </row>
    <row r="3" spans="1:66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6"/>
      <c r="K3" s="20"/>
      <c r="L3" s="17"/>
      <c r="M3" s="17"/>
      <c r="N3" s="17"/>
      <c r="O3" s="17"/>
      <c r="P3" s="17"/>
      <c r="Q3" s="17"/>
      <c r="R3" s="17"/>
    </row>
    <row r="4" spans="1:66" x14ac:dyDescent="0.2">
      <c r="A4" s="22"/>
      <c r="B4" s="22"/>
      <c r="C4" s="15"/>
      <c r="D4" s="16"/>
      <c r="E4" s="17"/>
      <c r="F4" s="17"/>
      <c r="G4" s="17"/>
      <c r="H4" s="17"/>
      <c r="I4" s="23"/>
      <c r="J4" s="20"/>
      <c r="K4" s="20"/>
      <c r="L4" s="17"/>
      <c r="M4" s="17"/>
      <c r="N4" s="17"/>
      <c r="O4" s="17"/>
      <c r="P4" s="17"/>
      <c r="Q4" s="17"/>
      <c r="R4" s="17"/>
      <c r="T4" s="162" t="s">
        <v>2518</v>
      </c>
      <c r="U4" s="159"/>
      <c r="V4" s="159"/>
      <c r="W4" s="159"/>
      <c r="X4" s="159"/>
      <c r="Z4" s="162" t="s">
        <v>2517</v>
      </c>
      <c r="AA4" s="159"/>
      <c r="AB4" s="159"/>
      <c r="AC4" s="159"/>
      <c r="AD4" s="159"/>
      <c r="AF4" s="162" t="s">
        <v>2516</v>
      </c>
      <c r="AG4" s="159"/>
      <c r="AH4" s="159"/>
      <c r="AI4" s="159"/>
      <c r="AJ4" s="159"/>
      <c r="AL4" s="162" t="s">
        <v>2515</v>
      </c>
      <c r="AM4" s="159"/>
      <c r="AN4" s="159"/>
      <c r="AO4" s="159"/>
      <c r="AP4" s="159"/>
      <c r="AR4" s="162" t="s">
        <v>2514</v>
      </c>
      <c r="AS4" s="159"/>
      <c r="AT4" s="159"/>
      <c r="AU4" s="159"/>
      <c r="AV4" s="159"/>
      <c r="AX4" s="162" t="s">
        <v>2513</v>
      </c>
      <c r="AY4" s="159"/>
      <c r="AZ4" s="159"/>
      <c r="BA4" s="159"/>
      <c r="BB4" s="159"/>
      <c r="BD4" s="162" t="s">
        <v>2512</v>
      </c>
      <c r="BE4" s="159"/>
      <c r="BF4" s="159"/>
      <c r="BG4" s="159"/>
      <c r="BH4" s="159"/>
      <c r="BJ4" s="162" t="s">
        <v>2511</v>
      </c>
      <c r="BK4" s="159"/>
      <c r="BL4" s="159"/>
      <c r="BM4" s="159"/>
      <c r="BN4" s="159"/>
    </row>
    <row r="5" spans="1:66" x14ac:dyDescent="0.2">
      <c r="A5" s="22"/>
      <c r="B5" s="22"/>
      <c r="C5" s="22"/>
      <c r="D5" s="22"/>
      <c r="E5" s="32" t="s">
        <v>2068</v>
      </c>
      <c r="F5" s="29"/>
      <c r="G5" s="31">
        <v>2015</v>
      </c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31" t="s">
        <v>2432</v>
      </c>
      <c r="N5" s="31" t="s">
        <v>2433</v>
      </c>
      <c r="O5" s="31" t="s">
        <v>2434</v>
      </c>
      <c r="P5" s="31" t="s">
        <v>2435</v>
      </c>
      <c r="Q5" s="31" t="s">
        <v>2436</v>
      </c>
      <c r="R5" s="17"/>
      <c r="T5" s="31" t="s">
        <v>2432</v>
      </c>
      <c r="U5" s="31" t="s">
        <v>2433</v>
      </c>
      <c r="V5" s="31" t="s">
        <v>2434</v>
      </c>
      <c r="W5" s="31" t="s">
        <v>2435</v>
      </c>
      <c r="X5" s="31" t="s">
        <v>2436</v>
      </c>
      <c r="Z5" s="31" t="s">
        <v>2432</v>
      </c>
      <c r="AA5" s="31" t="s">
        <v>2433</v>
      </c>
      <c r="AB5" s="31" t="s">
        <v>2434</v>
      </c>
      <c r="AC5" s="31" t="s">
        <v>2435</v>
      </c>
      <c r="AD5" s="31" t="s">
        <v>2436</v>
      </c>
      <c r="AF5" s="31" t="s">
        <v>2432</v>
      </c>
      <c r="AG5" s="31" t="s">
        <v>2433</v>
      </c>
      <c r="AH5" s="31" t="s">
        <v>2434</v>
      </c>
      <c r="AI5" s="31" t="s">
        <v>2435</v>
      </c>
      <c r="AJ5" s="31" t="s">
        <v>2436</v>
      </c>
      <c r="AL5" s="31" t="s">
        <v>2432</v>
      </c>
      <c r="AM5" s="31" t="s">
        <v>2433</v>
      </c>
      <c r="AN5" s="31" t="s">
        <v>2434</v>
      </c>
      <c r="AO5" s="31" t="s">
        <v>2435</v>
      </c>
      <c r="AP5" s="31" t="s">
        <v>2436</v>
      </c>
      <c r="AR5" s="31" t="s">
        <v>2432</v>
      </c>
      <c r="AS5" s="31" t="s">
        <v>2433</v>
      </c>
      <c r="AT5" s="31" t="s">
        <v>2434</v>
      </c>
      <c r="AU5" s="31" t="s">
        <v>2435</v>
      </c>
      <c r="AV5" s="31" t="s">
        <v>2436</v>
      </c>
      <c r="AX5" s="31" t="s">
        <v>2432</v>
      </c>
      <c r="AY5" s="31" t="s">
        <v>2433</v>
      </c>
      <c r="AZ5" s="31" t="s">
        <v>2434</v>
      </c>
      <c r="BA5" s="31" t="s">
        <v>2435</v>
      </c>
      <c r="BB5" s="31" t="s">
        <v>2436</v>
      </c>
      <c r="BD5" s="31" t="s">
        <v>2432</v>
      </c>
      <c r="BE5" s="31" t="s">
        <v>2433</v>
      </c>
      <c r="BF5" s="31" t="s">
        <v>2434</v>
      </c>
      <c r="BG5" s="31" t="s">
        <v>2435</v>
      </c>
      <c r="BH5" s="31" t="s">
        <v>2436</v>
      </c>
      <c r="BJ5" s="31" t="s">
        <v>2432</v>
      </c>
      <c r="BK5" s="31" t="s">
        <v>2433</v>
      </c>
      <c r="BL5" s="31" t="s">
        <v>2434</v>
      </c>
      <c r="BM5" s="31" t="s">
        <v>2435</v>
      </c>
      <c r="BN5" s="31" t="s">
        <v>2436</v>
      </c>
    </row>
    <row r="6" spans="1:66" x14ac:dyDescent="0.2">
      <c r="A6" s="1"/>
      <c r="B6" s="1"/>
      <c r="C6" s="2"/>
      <c r="D6" s="3"/>
      <c r="E6" s="4"/>
      <c r="F6" s="4"/>
      <c r="G6" s="4"/>
      <c r="H6" s="4"/>
      <c r="I6" s="5"/>
      <c r="J6" s="6"/>
      <c r="K6" s="6"/>
      <c r="L6" s="4"/>
      <c r="M6" s="4"/>
      <c r="N6" s="4"/>
      <c r="O6" s="4"/>
      <c r="P6" s="4"/>
      <c r="Q6" s="4"/>
      <c r="R6" s="4"/>
      <c r="T6" s="4"/>
      <c r="U6" s="4"/>
      <c r="V6" s="4"/>
      <c r="W6" s="4"/>
      <c r="X6" s="4"/>
      <c r="Z6" s="4"/>
      <c r="AA6" s="4"/>
      <c r="AB6" s="4"/>
      <c r="AC6" s="4"/>
      <c r="AD6" s="4"/>
      <c r="AF6" s="4"/>
      <c r="AG6" s="4"/>
      <c r="AH6" s="4"/>
      <c r="AI6" s="4"/>
      <c r="AJ6" s="4"/>
      <c r="AL6" s="4"/>
      <c r="AM6" s="4"/>
      <c r="AN6" s="4"/>
      <c r="AO6" s="4"/>
      <c r="AP6" s="4"/>
      <c r="AR6" s="4"/>
      <c r="AS6" s="4"/>
      <c r="AT6" s="4"/>
      <c r="AU6" s="4"/>
      <c r="AV6" s="4"/>
      <c r="AX6" s="4"/>
      <c r="AY6" s="4"/>
      <c r="AZ6" s="4"/>
      <c r="BA6" s="4"/>
      <c r="BB6" s="4"/>
      <c r="BD6" s="4"/>
      <c r="BE6" s="4"/>
      <c r="BF6" s="4"/>
      <c r="BG6" s="4"/>
      <c r="BH6" s="4"/>
      <c r="BJ6" s="4"/>
      <c r="BK6" s="4"/>
      <c r="BL6" s="4"/>
      <c r="BM6" s="4"/>
      <c r="BN6" s="4"/>
    </row>
    <row r="7" spans="1:66" x14ac:dyDescent="0.2">
      <c r="A7" s="22" t="s">
        <v>2303</v>
      </c>
      <c r="B7" s="22"/>
      <c r="C7" s="15"/>
      <c r="D7" s="24"/>
      <c r="E7" s="25"/>
      <c r="F7" s="25"/>
      <c r="G7" s="35" t="s">
        <v>2296</v>
      </c>
      <c r="H7" s="35" t="s">
        <v>2296</v>
      </c>
      <c r="I7" s="35" t="s">
        <v>2296</v>
      </c>
      <c r="J7" s="35" t="s">
        <v>2296</v>
      </c>
      <c r="K7" s="35" t="s">
        <v>2428</v>
      </c>
      <c r="L7" s="35" t="s">
        <v>2428</v>
      </c>
      <c r="M7" s="35" t="s">
        <v>2428</v>
      </c>
      <c r="N7" s="35" t="s">
        <v>2428</v>
      </c>
      <c r="O7" s="35" t="s">
        <v>2428</v>
      </c>
      <c r="P7" s="35" t="s">
        <v>2428</v>
      </c>
      <c r="Q7" s="35" t="s">
        <v>2428</v>
      </c>
      <c r="R7" s="25"/>
      <c r="T7" s="35" t="s">
        <v>2428</v>
      </c>
      <c r="U7" s="35" t="s">
        <v>2428</v>
      </c>
      <c r="V7" s="35" t="s">
        <v>2428</v>
      </c>
      <c r="W7" s="35" t="s">
        <v>2428</v>
      </c>
      <c r="X7" s="35" t="s">
        <v>2428</v>
      </c>
      <c r="Z7" s="35" t="s">
        <v>2428</v>
      </c>
      <c r="AA7" s="35" t="s">
        <v>2428</v>
      </c>
      <c r="AB7" s="35" t="s">
        <v>2428</v>
      </c>
      <c r="AC7" s="35" t="s">
        <v>2428</v>
      </c>
      <c r="AD7" s="35" t="s">
        <v>2428</v>
      </c>
      <c r="AF7" s="35" t="s">
        <v>2428</v>
      </c>
      <c r="AG7" s="35" t="s">
        <v>2428</v>
      </c>
      <c r="AH7" s="35" t="s">
        <v>2428</v>
      </c>
      <c r="AI7" s="35" t="s">
        <v>2428</v>
      </c>
      <c r="AJ7" s="35" t="s">
        <v>2428</v>
      </c>
      <c r="AL7" s="35" t="s">
        <v>2428</v>
      </c>
      <c r="AM7" s="35" t="s">
        <v>2428</v>
      </c>
      <c r="AN7" s="35" t="s">
        <v>2428</v>
      </c>
      <c r="AO7" s="35" t="s">
        <v>2428</v>
      </c>
      <c r="AP7" s="35" t="s">
        <v>2428</v>
      </c>
      <c r="AR7" s="35" t="s">
        <v>2428</v>
      </c>
      <c r="AS7" s="35" t="s">
        <v>2428</v>
      </c>
      <c r="AT7" s="35" t="s">
        <v>2428</v>
      </c>
      <c r="AU7" s="35" t="s">
        <v>2428</v>
      </c>
      <c r="AV7" s="35" t="s">
        <v>2428</v>
      </c>
      <c r="AX7" s="35" t="s">
        <v>2428</v>
      </c>
      <c r="AY7" s="35" t="s">
        <v>2428</v>
      </c>
      <c r="AZ7" s="35" t="s">
        <v>2428</v>
      </c>
      <c r="BA7" s="35" t="s">
        <v>2428</v>
      </c>
      <c r="BB7" s="35" t="s">
        <v>2428</v>
      </c>
      <c r="BD7" s="35" t="s">
        <v>2428</v>
      </c>
      <c r="BE7" s="35" t="s">
        <v>2428</v>
      </c>
      <c r="BF7" s="35" t="s">
        <v>2428</v>
      </c>
      <c r="BG7" s="35" t="s">
        <v>2428</v>
      </c>
      <c r="BH7" s="35" t="s">
        <v>2428</v>
      </c>
      <c r="BJ7" s="35" t="s">
        <v>2428</v>
      </c>
      <c r="BK7" s="35" t="s">
        <v>2428</v>
      </c>
      <c r="BL7" s="35" t="s">
        <v>2428</v>
      </c>
      <c r="BM7" s="35" t="s">
        <v>2428</v>
      </c>
      <c r="BN7" s="35" t="s">
        <v>2428</v>
      </c>
    </row>
    <row r="8" spans="1:66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66" x14ac:dyDescent="0.2">
      <c r="A9" s="7"/>
      <c r="B9" s="7"/>
      <c r="C9" s="7"/>
      <c r="D9" s="7"/>
      <c r="E9" s="39">
        <v>102</v>
      </c>
      <c r="F9" s="39" t="s">
        <v>2214</v>
      </c>
      <c r="G9" s="54">
        <f>SUMPRODUCT(--('Input|Historical Data'!$E$9:$E$3279=$E9),--('Input|Historical Data'!$M$9:$M$3279="ENDirect"),--('Input|Historical Data'!$O$9:$O$3279="SCS"),'Input|Historical Data'!$I$9:$I$3279)</f>
        <v>957.72400000000016</v>
      </c>
      <c r="H9" s="54">
        <f>'Calc|Weightings'!J9</f>
        <v>1297.3281499999998</v>
      </c>
      <c r="I9" s="54">
        <f>'Calc|Weightings'!T9</f>
        <v>1993.3969599999996</v>
      </c>
      <c r="J9" s="54">
        <f>'Calc|Weightings'!AD9</f>
        <v>3169.1645999999987</v>
      </c>
      <c r="K9" s="131">
        <v>3757.4310035411058</v>
      </c>
      <c r="L9" s="41">
        <v>3351.7407197355074</v>
      </c>
      <c r="M9" s="163">
        <f>SUM(T9,Z9,AF9,AL9,AR9,AX9,BD9,BJ9)</f>
        <v>1367.4870886318886</v>
      </c>
      <c r="N9" s="163">
        <f t="shared" ref="N9:N65" si="0">SUM(U9,AA9,AG9,AM9,AS9,AY9,BE9,BK9)</f>
        <v>2426.3265023351778</v>
      </c>
      <c r="O9" s="163">
        <f t="shared" ref="O9:O65" si="1">SUM(V9,AB9,AH9,AN9,AT9,AZ9,BF9,BL9)</f>
        <v>2467.0889031608358</v>
      </c>
      <c r="P9" s="163">
        <f t="shared" ref="P9:P65" si="2">SUM(W9,AC9,AI9,AO9,AU9,BA9,BG9,BM9)</f>
        <v>2480.4735720886642</v>
      </c>
      <c r="Q9" s="163">
        <f t="shared" ref="Q9:Q65" si="3">SUM(X9,AD9,AJ9,AP9,AV9,BB9,BH9,BN9)</f>
        <v>2495.3792261219273</v>
      </c>
      <c r="R9" s="133" t="str">
        <f>VLOOKUP(E9,Mapping!$E$11:$G$96,3,0)</f>
        <v>Connections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F9" s="160">
        <v>1367.4870886318886</v>
      </c>
      <c r="AG9" s="160">
        <v>2426.3265023351778</v>
      </c>
      <c r="AH9" s="160">
        <v>2467.0889031608358</v>
      </c>
      <c r="AI9" s="160">
        <v>2480.4735720886642</v>
      </c>
      <c r="AJ9" s="160">
        <v>2495.3792261219273</v>
      </c>
      <c r="AL9" s="160">
        <v>0</v>
      </c>
      <c r="AM9" s="160">
        <v>0</v>
      </c>
      <c r="AN9" s="160">
        <v>0</v>
      </c>
      <c r="AO9" s="160">
        <v>0</v>
      </c>
      <c r="AP9" s="160">
        <v>0</v>
      </c>
      <c r="AR9" s="160">
        <v>0</v>
      </c>
      <c r="AS9" s="160">
        <v>0</v>
      </c>
      <c r="AT9" s="160">
        <v>0</v>
      </c>
      <c r="AU9" s="160">
        <v>0</v>
      </c>
      <c r="AV9" s="160">
        <v>0</v>
      </c>
      <c r="AX9" s="160">
        <v>0</v>
      </c>
      <c r="AY9" s="160">
        <v>0</v>
      </c>
      <c r="AZ9" s="160">
        <v>0</v>
      </c>
      <c r="BA9" s="160">
        <v>0</v>
      </c>
      <c r="BB9" s="160">
        <v>0</v>
      </c>
      <c r="BD9" s="160">
        <v>0</v>
      </c>
      <c r="BE9" s="160">
        <v>0</v>
      </c>
      <c r="BF9" s="160">
        <v>0</v>
      </c>
      <c r="BG9" s="160">
        <v>0</v>
      </c>
      <c r="BH9" s="160">
        <v>0</v>
      </c>
      <c r="BJ9" s="160">
        <v>0</v>
      </c>
      <c r="BK9" s="160">
        <v>0</v>
      </c>
      <c r="BL9" s="160">
        <v>0</v>
      </c>
      <c r="BM9" s="160">
        <v>0</v>
      </c>
      <c r="BN9" s="160">
        <v>0</v>
      </c>
    </row>
    <row r="10" spans="1:66" x14ac:dyDescent="0.2">
      <c r="A10" s="7"/>
      <c r="B10" s="7"/>
      <c r="C10" s="7"/>
      <c r="D10" s="7"/>
      <c r="E10" s="39">
        <v>103</v>
      </c>
      <c r="F10" s="39" t="s">
        <v>2215</v>
      </c>
      <c r="G10" s="54">
        <f>SUMPRODUCT(--('Input|Historical Data'!$E$9:$E$3279=$E10),--('Input|Historical Data'!$M$9:$M$3279="ENDirect"),--('Input|Historical Data'!$O$9:$O$3279="SCS"),'Input|Historical Data'!$I$9:$I$3279)</f>
        <v>0</v>
      </c>
      <c r="H10" s="54">
        <f>'Calc|Weightings'!J10</f>
        <v>0</v>
      </c>
      <c r="I10" s="54">
        <f>'Calc|Weightings'!T10</f>
        <v>0</v>
      </c>
      <c r="J10" s="54">
        <f>'Calc|Weightings'!AD10</f>
        <v>0</v>
      </c>
      <c r="K10" s="41">
        <v>0</v>
      </c>
      <c r="L10" s="41">
        <v>0</v>
      </c>
      <c r="M10" s="163">
        <f t="shared" ref="M10:M65" si="4">SUM(T10,Z10,AF10,AL10,AR10,AX10,BD10,BJ10)</f>
        <v>0</v>
      </c>
      <c r="N10" s="163">
        <f t="shared" si="0"/>
        <v>0</v>
      </c>
      <c r="O10" s="163">
        <f t="shared" si="1"/>
        <v>0</v>
      </c>
      <c r="P10" s="163">
        <f t="shared" si="2"/>
        <v>0</v>
      </c>
      <c r="Q10" s="163">
        <f t="shared" si="3"/>
        <v>0</v>
      </c>
      <c r="R10" s="133" t="str">
        <f>VLOOKUP(E10,Mapping!$E$11:$G$96,3,0)</f>
        <v>Connections</v>
      </c>
      <c r="T10" s="160">
        <v>0</v>
      </c>
      <c r="U10" s="160">
        <v>0</v>
      </c>
      <c r="V10" s="160">
        <v>0</v>
      </c>
      <c r="W10" s="160">
        <v>0</v>
      </c>
      <c r="X10" s="160">
        <v>0</v>
      </c>
      <c r="Z10" s="160">
        <v>0</v>
      </c>
      <c r="AA10" s="160">
        <v>0</v>
      </c>
      <c r="AB10" s="160">
        <v>0</v>
      </c>
      <c r="AC10" s="160">
        <v>0</v>
      </c>
      <c r="AD10" s="160">
        <v>0</v>
      </c>
      <c r="AF10" s="160">
        <v>0</v>
      </c>
      <c r="AG10" s="160">
        <v>0</v>
      </c>
      <c r="AH10" s="160">
        <v>0</v>
      </c>
      <c r="AI10" s="160">
        <v>0</v>
      </c>
      <c r="AJ10" s="160">
        <v>0</v>
      </c>
      <c r="AL10" s="160">
        <v>0</v>
      </c>
      <c r="AM10" s="160">
        <v>0</v>
      </c>
      <c r="AN10" s="160">
        <v>0</v>
      </c>
      <c r="AO10" s="160">
        <v>0</v>
      </c>
      <c r="AP10" s="160">
        <v>0</v>
      </c>
      <c r="AR10" s="160">
        <v>0</v>
      </c>
      <c r="AS10" s="160">
        <v>0</v>
      </c>
      <c r="AT10" s="160">
        <v>0</v>
      </c>
      <c r="AU10" s="160">
        <v>0</v>
      </c>
      <c r="AV10" s="160">
        <v>0</v>
      </c>
      <c r="AX10" s="160">
        <v>0</v>
      </c>
      <c r="AY10" s="160">
        <v>0</v>
      </c>
      <c r="AZ10" s="160">
        <v>0</v>
      </c>
      <c r="BA10" s="160">
        <v>0</v>
      </c>
      <c r="BB10" s="160">
        <v>0</v>
      </c>
      <c r="BD10" s="160">
        <v>0</v>
      </c>
      <c r="BE10" s="160">
        <v>0</v>
      </c>
      <c r="BF10" s="160">
        <v>0</v>
      </c>
      <c r="BG10" s="160">
        <v>0</v>
      </c>
      <c r="BH10" s="160">
        <v>0</v>
      </c>
      <c r="BJ10" s="160">
        <v>0</v>
      </c>
      <c r="BK10" s="160">
        <v>0</v>
      </c>
      <c r="BL10" s="160">
        <v>0</v>
      </c>
      <c r="BM10" s="160">
        <v>0</v>
      </c>
      <c r="BN10" s="160">
        <v>0</v>
      </c>
    </row>
    <row r="11" spans="1:66" x14ac:dyDescent="0.2">
      <c r="A11" s="7"/>
      <c r="B11" s="7"/>
      <c r="C11" s="7"/>
      <c r="D11" s="7"/>
      <c r="E11" s="39">
        <v>104</v>
      </c>
      <c r="F11" s="39" t="s">
        <v>2216</v>
      </c>
      <c r="G11" s="54">
        <f>SUMPRODUCT(--('Input|Historical Data'!$E$9:$E$3279=$E11),--('Input|Historical Data'!$M$9:$M$3279="ENDirect"),--('Input|Historical Data'!$O$9:$O$3279="SCS"),'Input|Historical Data'!$I$9:$I$3279)</f>
        <v>0</v>
      </c>
      <c r="H11" s="54">
        <f>'Calc|Weightings'!J11</f>
        <v>0.26301999999999998</v>
      </c>
      <c r="I11" s="54">
        <f>'Calc|Weightings'!T11</f>
        <v>137.68698999999998</v>
      </c>
      <c r="J11" s="54">
        <f>'Calc|Weightings'!AD11</f>
        <v>12.947660000000001</v>
      </c>
      <c r="K11" s="41">
        <v>0</v>
      </c>
      <c r="L11" s="41">
        <v>0</v>
      </c>
      <c r="M11" s="163">
        <f t="shared" si="4"/>
        <v>26.370159260008307</v>
      </c>
      <c r="N11" s="163">
        <f t="shared" si="0"/>
        <v>45.515531895046088</v>
      </c>
      <c r="O11" s="163">
        <f t="shared" si="1"/>
        <v>45.515531895046088</v>
      </c>
      <c r="P11" s="163">
        <f t="shared" si="2"/>
        <v>45.515531895046088</v>
      </c>
      <c r="Q11" s="163">
        <f t="shared" si="3"/>
        <v>45.515531895046088</v>
      </c>
      <c r="R11" s="133" t="str">
        <f>VLOOKUP(E11,Mapping!$E$11:$G$96,3,0)</f>
        <v>Connections</v>
      </c>
      <c r="T11" s="160">
        <v>0</v>
      </c>
      <c r="U11" s="160">
        <v>0</v>
      </c>
      <c r="V11" s="160">
        <v>0</v>
      </c>
      <c r="W11" s="160">
        <v>0</v>
      </c>
      <c r="X11" s="160">
        <v>0</v>
      </c>
      <c r="Z11" s="160">
        <v>0</v>
      </c>
      <c r="AA11" s="160">
        <v>0</v>
      </c>
      <c r="AB11" s="160">
        <v>0</v>
      </c>
      <c r="AC11" s="160">
        <v>0</v>
      </c>
      <c r="AD11" s="160">
        <v>0</v>
      </c>
      <c r="AF11" s="160">
        <v>26.370159260008307</v>
      </c>
      <c r="AG11" s="160">
        <v>45.515531895046088</v>
      </c>
      <c r="AH11" s="160">
        <v>45.515531895046088</v>
      </c>
      <c r="AI11" s="160">
        <v>45.515531895046088</v>
      </c>
      <c r="AJ11" s="160">
        <v>45.515531895046088</v>
      </c>
      <c r="AL11" s="160">
        <v>0</v>
      </c>
      <c r="AM11" s="160">
        <v>0</v>
      </c>
      <c r="AN11" s="160">
        <v>0</v>
      </c>
      <c r="AO11" s="160">
        <v>0</v>
      </c>
      <c r="AP11" s="160">
        <v>0</v>
      </c>
      <c r="AR11" s="160">
        <v>0</v>
      </c>
      <c r="AS11" s="160">
        <v>0</v>
      </c>
      <c r="AT11" s="160">
        <v>0</v>
      </c>
      <c r="AU11" s="160">
        <v>0</v>
      </c>
      <c r="AV11" s="160">
        <v>0</v>
      </c>
      <c r="AX11" s="160">
        <v>0</v>
      </c>
      <c r="AY11" s="160">
        <v>0</v>
      </c>
      <c r="AZ11" s="160">
        <v>0</v>
      </c>
      <c r="BA11" s="160">
        <v>0</v>
      </c>
      <c r="BB11" s="160">
        <v>0</v>
      </c>
      <c r="BD11" s="160">
        <v>0</v>
      </c>
      <c r="BE11" s="160">
        <v>0</v>
      </c>
      <c r="BF11" s="160">
        <v>0</v>
      </c>
      <c r="BG11" s="160">
        <v>0</v>
      </c>
      <c r="BH11" s="160">
        <v>0</v>
      </c>
      <c r="BJ11" s="160">
        <v>0</v>
      </c>
      <c r="BK11" s="160">
        <v>0</v>
      </c>
      <c r="BL11" s="160">
        <v>0</v>
      </c>
      <c r="BM11" s="160">
        <v>0</v>
      </c>
      <c r="BN11" s="160">
        <v>0</v>
      </c>
    </row>
    <row r="12" spans="1:66" x14ac:dyDescent="0.2">
      <c r="A12" s="7"/>
      <c r="B12" s="7"/>
      <c r="C12" s="7"/>
      <c r="D12" s="7"/>
      <c r="E12" s="39">
        <v>105</v>
      </c>
      <c r="F12" s="39" t="s">
        <v>2217</v>
      </c>
      <c r="G12" s="54">
        <f>SUMPRODUCT(--('Input|Historical Data'!$E$9:$E$3279=$E12),--('Input|Historical Data'!$M$9:$M$3279="ENDirect"),--('Input|Historical Data'!$O$9:$O$3279="SCS"),'Input|Historical Data'!$I$9:$I$3279)</f>
        <v>6082.5284899999979</v>
      </c>
      <c r="H12" s="54">
        <f>'Calc|Weightings'!J12</f>
        <v>5962.4112999999998</v>
      </c>
      <c r="I12" s="54">
        <f>'Calc|Weightings'!T12</f>
        <v>6666.4311699999989</v>
      </c>
      <c r="J12" s="54">
        <f>'Calc|Weightings'!AD12</f>
        <v>6770.0460099999991</v>
      </c>
      <c r="K12" s="131">
        <v>8959.7660082729763</v>
      </c>
      <c r="L12" s="41">
        <v>7029.9334086516856</v>
      </c>
      <c r="M12" s="163">
        <f t="shared" si="4"/>
        <v>3971.3153033602152</v>
      </c>
      <c r="N12" s="163">
        <f t="shared" si="0"/>
        <v>5457.2716424701557</v>
      </c>
      <c r="O12" s="163">
        <f t="shared" si="1"/>
        <v>5487.6480447405156</v>
      </c>
      <c r="P12" s="163">
        <f t="shared" si="2"/>
        <v>6095.1760901477119</v>
      </c>
      <c r="Q12" s="163">
        <f t="shared" si="3"/>
        <v>6224.9661725756123</v>
      </c>
      <c r="R12" s="133" t="str">
        <f>VLOOKUP(E12,Mapping!$E$11:$G$96,3,0)</f>
        <v>Connections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F12" s="160">
        <v>3971.3153033602152</v>
      </c>
      <c r="AG12" s="160">
        <v>5457.2716424701557</v>
      </c>
      <c r="AH12" s="160">
        <v>5487.6480447405156</v>
      </c>
      <c r="AI12" s="160">
        <v>6095.1760901477119</v>
      </c>
      <c r="AJ12" s="160">
        <v>6224.9661725756123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R12" s="160">
        <v>0</v>
      </c>
      <c r="AS12" s="160">
        <v>0</v>
      </c>
      <c r="AT12" s="160">
        <v>0</v>
      </c>
      <c r="AU12" s="160">
        <v>0</v>
      </c>
      <c r="AV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D12" s="160">
        <v>0</v>
      </c>
      <c r="BE12" s="160">
        <v>0</v>
      </c>
      <c r="BF12" s="160">
        <v>0</v>
      </c>
      <c r="BG12" s="160">
        <v>0</v>
      </c>
      <c r="BH12" s="160">
        <v>0</v>
      </c>
      <c r="BJ12" s="160">
        <v>0</v>
      </c>
      <c r="BK12" s="160">
        <v>0</v>
      </c>
      <c r="BL12" s="160">
        <v>0</v>
      </c>
      <c r="BM12" s="160">
        <v>0</v>
      </c>
      <c r="BN12" s="160">
        <v>0</v>
      </c>
    </row>
    <row r="13" spans="1:66" x14ac:dyDescent="0.2">
      <c r="A13" s="7"/>
      <c r="B13" s="7"/>
      <c r="C13" s="7"/>
      <c r="D13" s="7"/>
      <c r="E13" s="39">
        <v>106</v>
      </c>
      <c r="F13" s="39" t="s">
        <v>2218</v>
      </c>
      <c r="G13" s="54">
        <f>SUMPRODUCT(--('Input|Historical Data'!$E$9:$E$3279=$E13),--('Input|Historical Data'!$M$9:$M$3279="ENDirect"),--('Input|Historical Data'!$O$9:$O$3279="SCS"),'Input|Historical Data'!$I$9:$I$3279)</f>
        <v>10049.609850000006</v>
      </c>
      <c r="H13" s="54">
        <f>'Calc|Weightings'!J13</f>
        <v>8676.2001000000055</v>
      </c>
      <c r="I13" s="54">
        <f>'Calc|Weightings'!T13</f>
        <v>7419.8683900000024</v>
      </c>
      <c r="J13" s="54">
        <f>'Calc|Weightings'!AD13</f>
        <v>10110.601899999998</v>
      </c>
      <c r="K13" s="41">
        <v>8619.3123827221716</v>
      </c>
      <c r="L13" s="41">
        <v>8331.6886503207807</v>
      </c>
      <c r="M13" s="163">
        <f t="shared" si="4"/>
        <v>5868.2026315313569</v>
      </c>
      <c r="N13" s="163">
        <f t="shared" si="0"/>
        <v>9532.0115401908679</v>
      </c>
      <c r="O13" s="163">
        <f t="shared" si="1"/>
        <v>9351.9421116039885</v>
      </c>
      <c r="P13" s="163">
        <f t="shared" si="2"/>
        <v>9656.9850988369872</v>
      </c>
      <c r="Q13" s="163">
        <f t="shared" si="3"/>
        <v>9814.2098984240401</v>
      </c>
      <c r="R13" s="133" t="str">
        <f>VLOOKUP(E13,Mapping!$E$11:$G$96,3,0)</f>
        <v>Connections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Z13" s="160">
        <v>0</v>
      </c>
      <c r="AA13" s="160">
        <v>0</v>
      </c>
      <c r="AB13" s="160">
        <v>0</v>
      </c>
      <c r="AC13" s="160">
        <v>0</v>
      </c>
      <c r="AD13" s="160">
        <v>0</v>
      </c>
      <c r="AF13" s="160">
        <v>5868.2026315313569</v>
      </c>
      <c r="AG13" s="160">
        <v>9532.0115401908679</v>
      </c>
      <c r="AH13" s="160">
        <v>9351.9421116039885</v>
      </c>
      <c r="AI13" s="160">
        <v>9656.9850988369872</v>
      </c>
      <c r="AJ13" s="160">
        <v>9814.2098984240401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R13" s="160">
        <v>0</v>
      </c>
      <c r="AS13" s="160">
        <v>0</v>
      </c>
      <c r="AT13" s="160">
        <v>0</v>
      </c>
      <c r="AU13" s="160">
        <v>0</v>
      </c>
      <c r="AV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D13" s="160">
        <v>0</v>
      </c>
      <c r="BE13" s="160">
        <v>0</v>
      </c>
      <c r="BF13" s="160">
        <v>0</v>
      </c>
      <c r="BG13" s="160">
        <v>0</v>
      </c>
      <c r="BH13" s="160">
        <v>0</v>
      </c>
      <c r="BJ13" s="160">
        <v>0</v>
      </c>
      <c r="BK13" s="160">
        <v>0</v>
      </c>
      <c r="BL13" s="160">
        <v>0</v>
      </c>
      <c r="BM13" s="160">
        <v>0</v>
      </c>
      <c r="BN13" s="160">
        <v>0</v>
      </c>
    </row>
    <row r="14" spans="1:66" x14ac:dyDescent="0.2">
      <c r="A14" s="7"/>
      <c r="B14" s="7"/>
      <c r="C14" s="7"/>
      <c r="D14" s="7"/>
      <c r="E14" s="39">
        <v>107</v>
      </c>
      <c r="F14" s="39" t="s">
        <v>2219</v>
      </c>
      <c r="G14" s="54">
        <f>SUMPRODUCT(--('Input|Historical Data'!$E$9:$E$3279=$E14),--('Input|Historical Data'!$M$9:$M$3279="ENDirect"),--('Input|Historical Data'!$O$9:$O$3279="SCS"),'Input|Historical Data'!$I$9:$I$3279)</f>
        <v>1656.8574200000003</v>
      </c>
      <c r="H14" s="54">
        <f>'Calc|Weightings'!J14</f>
        <v>4049.0620100000006</v>
      </c>
      <c r="I14" s="54">
        <f>'Calc|Weightings'!T14</f>
        <v>2428.190399999999</v>
      </c>
      <c r="J14" s="54">
        <f>'Calc|Weightings'!AD14</f>
        <v>1369.54179</v>
      </c>
      <c r="K14" s="41">
        <v>4223.8363610045035</v>
      </c>
      <c r="L14" s="41">
        <v>3342.9343153276272</v>
      </c>
      <c r="M14" s="163">
        <f t="shared" si="4"/>
        <v>4055.3654408326506</v>
      </c>
      <c r="N14" s="163">
        <f t="shared" si="0"/>
        <v>5222.1136193134189</v>
      </c>
      <c r="O14" s="163">
        <f t="shared" si="1"/>
        <v>7489.8662850884839</v>
      </c>
      <c r="P14" s="163">
        <f t="shared" si="2"/>
        <v>2954.3609535383525</v>
      </c>
      <c r="Q14" s="163">
        <f t="shared" si="3"/>
        <v>2954.3609535383525</v>
      </c>
      <c r="R14" s="133" t="str">
        <f>VLOOKUP(E14,Mapping!$E$11:$G$96,3,0)</f>
        <v>Connections</v>
      </c>
      <c r="T14" s="160">
        <v>0</v>
      </c>
      <c r="U14" s="160">
        <v>0</v>
      </c>
      <c r="V14" s="160">
        <v>0</v>
      </c>
      <c r="W14" s="160">
        <v>0</v>
      </c>
      <c r="X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F14" s="160">
        <v>4055.3654408326506</v>
      </c>
      <c r="AG14" s="160">
        <v>5222.1136193134189</v>
      </c>
      <c r="AH14" s="160">
        <v>7489.8662850884839</v>
      </c>
      <c r="AI14" s="160">
        <v>2954.3609535383525</v>
      </c>
      <c r="AJ14" s="160">
        <v>2954.3609535383525</v>
      </c>
      <c r="AL14" s="160">
        <v>0</v>
      </c>
      <c r="AM14" s="160">
        <v>0</v>
      </c>
      <c r="AN14" s="160">
        <v>0</v>
      </c>
      <c r="AO14" s="160">
        <v>0</v>
      </c>
      <c r="AP14" s="160">
        <v>0</v>
      </c>
      <c r="AR14" s="160">
        <v>0</v>
      </c>
      <c r="AS14" s="160">
        <v>0</v>
      </c>
      <c r="AT14" s="160">
        <v>0</v>
      </c>
      <c r="AU14" s="160">
        <v>0</v>
      </c>
      <c r="AV14" s="160">
        <v>0</v>
      </c>
      <c r="AX14" s="160">
        <v>0</v>
      </c>
      <c r="AY14" s="160">
        <v>0</v>
      </c>
      <c r="AZ14" s="160">
        <v>0</v>
      </c>
      <c r="BA14" s="160">
        <v>0</v>
      </c>
      <c r="BB14" s="160">
        <v>0</v>
      </c>
      <c r="BD14" s="160">
        <v>0</v>
      </c>
      <c r="BE14" s="160">
        <v>0</v>
      </c>
      <c r="BF14" s="160">
        <v>0</v>
      </c>
      <c r="BG14" s="160">
        <v>0</v>
      </c>
      <c r="BH14" s="160">
        <v>0</v>
      </c>
      <c r="BJ14" s="160">
        <v>0</v>
      </c>
      <c r="BK14" s="160">
        <v>0</v>
      </c>
      <c r="BL14" s="160">
        <v>0</v>
      </c>
      <c r="BM14" s="160">
        <v>0</v>
      </c>
      <c r="BN14" s="160">
        <v>0</v>
      </c>
    </row>
    <row r="15" spans="1:66" x14ac:dyDescent="0.2">
      <c r="A15" s="7"/>
      <c r="B15" s="7"/>
      <c r="C15" s="7"/>
      <c r="D15" s="7"/>
      <c r="E15" s="39">
        <v>108</v>
      </c>
      <c r="F15" s="39" t="s">
        <v>2220</v>
      </c>
      <c r="G15" s="54">
        <f>SUMPRODUCT(--('Input|Historical Data'!$E$9:$E$3279=$E15),--('Input|Historical Data'!$M$9:$M$3279="ENDirect"),--('Input|Historical Data'!$O$9:$O$3279="SCS"),'Input|Historical Data'!$I$9:$I$3279)</f>
        <v>-30.408400000000004</v>
      </c>
      <c r="H15" s="54">
        <f>'Calc|Weightings'!J15</f>
        <v>0</v>
      </c>
      <c r="I15" s="54">
        <f>'Calc|Weightings'!T15</f>
        <v>0</v>
      </c>
      <c r="J15" s="54">
        <f>'Calc|Weightings'!AD15</f>
        <v>0</v>
      </c>
      <c r="K15" s="41">
        <v>0</v>
      </c>
      <c r="L15" s="41">
        <v>0</v>
      </c>
      <c r="M15" s="163">
        <f t="shared" si="4"/>
        <v>0</v>
      </c>
      <c r="N15" s="163">
        <f t="shared" si="0"/>
        <v>0</v>
      </c>
      <c r="O15" s="163">
        <f t="shared" si="1"/>
        <v>0</v>
      </c>
      <c r="P15" s="163">
        <f t="shared" si="2"/>
        <v>0</v>
      </c>
      <c r="Q15" s="163">
        <f t="shared" si="3"/>
        <v>0</v>
      </c>
      <c r="R15" s="133" t="str">
        <f>VLOOKUP(E15,Mapping!$E$11:$G$96,3,0)</f>
        <v>Connections</v>
      </c>
      <c r="T15" s="160">
        <v>0</v>
      </c>
      <c r="U15" s="160">
        <v>0</v>
      </c>
      <c r="V15" s="160">
        <v>0</v>
      </c>
      <c r="W15" s="160">
        <v>0</v>
      </c>
      <c r="X15" s="160">
        <v>0</v>
      </c>
      <c r="Z15" s="160">
        <v>0</v>
      </c>
      <c r="AA15" s="160">
        <v>0</v>
      </c>
      <c r="AB15" s="160">
        <v>0</v>
      </c>
      <c r="AC15" s="160">
        <v>0</v>
      </c>
      <c r="AD15" s="160">
        <v>0</v>
      </c>
      <c r="AF15" s="160">
        <v>0</v>
      </c>
      <c r="AG15" s="160">
        <v>0</v>
      </c>
      <c r="AH15" s="160">
        <v>0</v>
      </c>
      <c r="AI15" s="160">
        <v>0</v>
      </c>
      <c r="AJ15" s="160">
        <v>0</v>
      </c>
      <c r="AL15" s="160">
        <v>0</v>
      </c>
      <c r="AM15" s="160">
        <v>0</v>
      </c>
      <c r="AN15" s="160">
        <v>0</v>
      </c>
      <c r="AO15" s="160">
        <v>0</v>
      </c>
      <c r="AP15" s="160">
        <v>0</v>
      </c>
      <c r="AR15" s="160">
        <v>0</v>
      </c>
      <c r="AS15" s="160">
        <v>0</v>
      </c>
      <c r="AT15" s="160">
        <v>0</v>
      </c>
      <c r="AU15" s="160">
        <v>0</v>
      </c>
      <c r="AV15" s="160">
        <v>0</v>
      </c>
      <c r="AX15" s="160">
        <v>0</v>
      </c>
      <c r="AY15" s="160">
        <v>0</v>
      </c>
      <c r="AZ15" s="160">
        <v>0</v>
      </c>
      <c r="BA15" s="160">
        <v>0</v>
      </c>
      <c r="BB15" s="160">
        <v>0</v>
      </c>
      <c r="BD15" s="160">
        <v>0</v>
      </c>
      <c r="BE15" s="160">
        <v>0</v>
      </c>
      <c r="BF15" s="160">
        <v>0</v>
      </c>
      <c r="BG15" s="160">
        <v>0</v>
      </c>
      <c r="BH15" s="160">
        <v>0</v>
      </c>
      <c r="BJ15" s="160">
        <v>0</v>
      </c>
      <c r="BK15" s="160">
        <v>0</v>
      </c>
      <c r="BL15" s="160">
        <v>0</v>
      </c>
      <c r="BM15" s="160">
        <v>0</v>
      </c>
      <c r="BN15" s="160">
        <v>0</v>
      </c>
    </row>
    <row r="16" spans="1:66" x14ac:dyDescent="0.2">
      <c r="A16" s="7"/>
      <c r="B16" s="7"/>
      <c r="C16" s="7"/>
      <c r="D16" s="7"/>
      <c r="E16" s="39">
        <v>109</v>
      </c>
      <c r="F16" s="39" t="s">
        <v>2221</v>
      </c>
      <c r="G16" s="54">
        <f>SUMPRODUCT(--('Input|Historical Data'!$E$9:$E$3279=$E16),--('Input|Historical Data'!$M$9:$M$3279="ENDirect"),--('Input|Historical Data'!$O$9:$O$3279="SCS"),'Input|Historical Data'!$I$9:$I$3279)</f>
        <v>565.21763999999985</v>
      </c>
      <c r="H16" s="54">
        <f>'Calc|Weightings'!J16</f>
        <v>3597.7309499999997</v>
      </c>
      <c r="I16" s="54">
        <f>'Calc|Weightings'!T16</f>
        <v>5853.801550000001</v>
      </c>
      <c r="J16" s="54">
        <f>'Calc|Weightings'!AD16</f>
        <v>5093.4909600000001</v>
      </c>
      <c r="K16" s="41">
        <v>8366.5271491589683</v>
      </c>
      <c r="L16" s="41">
        <v>7111.4136848595044</v>
      </c>
      <c r="M16" s="163">
        <f t="shared" si="4"/>
        <v>3473.5509609433361</v>
      </c>
      <c r="N16" s="163">
        <f t="shared" si="0"/>
        <v>6163.3266516296353</v>
      </c>
      <c r="O16" s="163">
        <f t="shared" si="1"/>
        <v>6267.0029975144416</v>
      </c>
      <c r="P16" s="163">
        <f t="shared" si="2"/>
        <v>6301.0459767601997</v>
      </c>
      <c r="Q16" s="163">
        <f t="shared" si="3"/>
        <v>6338.9574763747933</v>
      </c>
      <c r="R16" s="133" t="str">
        <f>VLOOKUP(E16,Mapping!$E$11:$G$96,3,0)</f>
        <v>Connections</v>
      </c>
      <c r="T16" s="160">
        <v>0</v>
      </c>
      <c r="U16" s="160">
        <v>0</v>
      </c>
      <c r="V16" s="160">
        <v>0</v>
      </c>
      <c r="W16" s="160">
        <v>0</v>
      </c>
      <c r="X16" s="160">
        <v>0</v>
      </c>
      <c r="Z16" s="160">
        <v>0</v>
      </c>
      <c r="AA16" s="160">
        <v>0</v>
      </c>
      <c r="AB16" s="160">
        <v>0</v>
      </c>
      <c r="AC16" s="160">
        <v>0</v>
      </c>
      <c r="AD16" s="160">
        <v>0</v>
      </c>
      <c r="AF16" s="160">
        <v>3473.5509609433361</v>
      </c>
      <c r="AG16" s="160">
        <v>6163.3266516296353</v>
      </c>
      <c r="AH16" s="160">
        <v>6267.0029975144416</v>
      </c>
      <c r="AI16" s="160">
        <v>6301.0459767601997</v>
      </c>
      <c r="AJ16" s="160">
        <v>6338.9574763747933</v>
      </c>
      <c r="AL16" s="160">
        <v>0</v>
      </c>
      <c r="AM16" s="160">
        <v>0</v>
      </c>
      <c r="AN16" s="160">
        <v>0</v>
      </c>
      <c r="AO16" s="160">
        <v>0</v>
      </c>
      <c r="AP16" s="160">
        <v>0</v>
      </c>
      <c r="AR16" s="160">
        <v>0</v>
      </c>
      <c r="AS16" s="160">
        <v>0</v>
      </c>
      <c r="AT16" s="160">
        <v>0</v>
      </c>
      <c r="AU16" s="160">
        <v>0</v>
      </c>
      <c r="AV16" s="160">
        <v>0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D16" s="160">
        <v>0</v>
      </c>
      <c r="BE16" s="160">
        <v>0</v>
      </c>
      <c r="BF16" s="160">
        <v>0</v>
      </c>
      <c r="BG16" s="160">
        <v>0</v>
      </c>
      <c r="BH16" s="160">
        <v>0</v>
      </c>
      <c r="BJ16" s="160">
        <v>0</v>
      </c>
      <c r="BK16" s="160">
        <v>0</v>
      </c>
      <c r="BL16" s="160">
        <v>0</v>
      </c>
      <c r="BM16" s="160">
        <v>0</v>
      </c>
      <c r="BN16" s="160">
        <v>0</v>
      </c>
    </row>
    <row r="17" spans="1:66" x14ac:dyDescent="0.2">
      <c r="A17" s="7"/>
      <c r="B17" s="7"/>
      <c r="C17" s="7"/>
      <c r="D17" s="7"/>
      <c r="E17" s="39">
        <v>110</v>
      </c>
      <c r="F17" s="39" t="s">
        <v>2222</v>
      </c>
      <c r="G17" s="54">
        <f>SUMPRODUCT(--('Input|Historical Data'!$E$9:$E$3279=$E17),--('Input|Historical Data'!$M$9:$M$3279="ENDirect"),--('Input|Historical Data'!$O$9:$O$3279="SCS"),'Input|Historical Data'!$I$9:$I$3279)</f>
        <v>0</v>
      </c>
      <c r="H17" s="54">
        <f>'Calc|Weightings'!J17</f>
        <v>0</v>
      </c>
      <c r="I17" s="54">
        <f>'Calc|Weightings'!T17</f>
        <v>0</v>
      </c>
      <c r="J17" s="54">
        <f>'Calc|Weightings'!AD17</f>
        <v>0</v>
      </c>
      <c r="K17" s="41">
        <v>0</v>
      </c>
      <c r="L17" s="41">
        <v>0</v>
      </c>
      <c r="M17" s="163">
        <f t="shared" si="4"/>
        <v>0</v>
      </c>
      <c r="N17" s="163">
        <f t="shared" si="0"/>
        <v>0</v>
      </c>
      <c r="O17" s="163">
        <f t="shared" si="1"/>
        <v>0</v>
      </c>
      <c r="P17" s="163">
        <f t="shared" si="2"/>
        <v>0</v>
      </c>
      <c r="Q17" s="163">
        <f t="shared" si="3"/>
        <v>0</v>
      </c>
      <c r="R17" s="133" t="str">
        <f>VLOOKUP(E17,Mapping!$E$11:$G$96,3,0)</f>
        <v>Connections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Z17" s="160">
        <v>0</v>
      </c>
      <c r="AA17" s="160">
        <v>0</v>
      </c>
      <c r="AB17" s="160">
        <v>0</v>
      </c>
      <c r="AC17" s="160">
        <v>0</v>
      </c>
      <c r="AD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R17" s="160">
        <v>0</v>
      </c>
      <c r="AS17" s="160">
        <v>0</v>
      </c>
      <c r="AT17" s="160">
        <v>0</v>
      </c>
      <c r="AU17" s="160">
        <v>0</v>
      </c>
      <c r="AV17" s="160">
        <v>0</v>
      </c>
      <c r="AX17" s="160">
        <v>0</v>
      </c>
      <c r="AY17" s="160">
        <v>0</v>
      </c>
      <c r="AZ17" s="160">
        <v>0</v>
      </c>
      <c r="BA17" s="160">
        <v>0</v>
      </c>
      <c r="BB17" s="160">
        <v>0</v>
      </c>
      <c r="BD17" s="160">
        <v>0</v>
      </c>
      <c r="BE17" s="160">
        <v>0</v>
      </c>
      <c r="BF17" s="160">
        <v>0</v>
      </c>
      <c r="BG17" s="160">
        <v>0</v>
      </c>
      <c r="BH17" s="160">
        <v>0</v>
      </c>
      <c r="BJ17" s="160">
        <v>0</v>
      </c>
      <c r="BK17" s="160">
        <v>0</v>
      </c>
      <c r="BL17" s="160">
        <v>0</v>
      </c>
      <c r="BM17" s="160">
        <v>0</v>
      </c>
      <c r="BN17" s="160">
        <v>0</v>
      </c>
    </row>
    <row r="18" spans="1:66" x14ac:dyDescent="0.2">
      <c r="A18" s="7"/>
      <c r="B18" s="7"/>
      <c r="C18" s="7"/>
      <c r="D18" s="7"/>
      <c r="E18" s="39">
        <v>111</v>
      </c>
      <c r="F18" s="39" t="s">
        <v>2223</v>
      </c>
      <c r="G18" s="54">
        <f>SUMPRODUCT(--('Input|Historical Data'!$E$9:$E$3279=$E18),--('Input|Historical Data'!$M$9:$M$3279="ENDirect"),--('Input|Historical Data'!$O$9:$O$3279="SCS"),'Input|Historical Data'!$I$9:$I$3279)</f>
        <v>24194.85474000001</v>
      </c>
      <c r="H18" s="54">
        <f>'Calc|Weightings'!J18</f>
        <v>18503.858509999991</v>
      </c>
      <c r="I18" s="54">
        <f>'Calc|Weightings'!T18</f>
        <v>18161.944850000003</v>
      </c>
      <c r="J18" s="54">
        <f>'Calc|Weightings'!AD18</f>
        <v>25022.054329999999</v>
      </c>
      <c r="K18" s="41">
        <v>28183.592757468006</v>
      </c>
      <c r="L18" s="41">
        <v>24664.831461410435</v>
      </c>
      <c r="M18" s="163">
        <f t="shared" si="4"/>
        <v>12143.093194167786</v>
      </c>
      <c r="N18" s="163">
        <f t="shared" si="0"/>
        <v>20192.886493663747</v>
      </c>
      <c r="O18" s="163">
        <f t="shared" si="1"/>
        <v>21969.507877064556</v>
      </c>
      <c r="P18" s="163">
        <f t="shared" si="2"/>
        <v>23047.479675053935</v>
      </c>
      <c r="Q18" s="163">
        <f t="shared" si="3"/>
        <v>23264.235225098477</v>
      </c>
      <c r="R18" s="133" t="str">
        <f>VLOOKUP(E18,Mapping!$E$11:$G$96,3,0)</f>
        <v>Connections</v>
      </c>
      <c r="T18" s="160">
        <v>0</v>
      </c>
      <c r="U18" s="160">
        <v>0</v>
      </c>
      <c r="V18" s="160">
        <v>0</v>
      </c>
      <c r="W18" s="160">
        <v>0</v>
      </c>
      <c r="X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F18" s="160">
        <v>12143.093194167786</v>
      </c>
      <c r="AG18" s="160">
        <v>20192.886493663747</v>
      </c>
      <c r="AH18" s="160">
        <v>21969.507877064556</v>
      </c>
      <c r="AI18" s="160">
        <v>23047.479675053935</v>
      </c>
      <c r="AJ18" s="160">
        <v>23264.235225098477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R18" s="160">
        <v>0</v>
      </c>
      <c r="AS18" s="160">
        <v>0</v>
      </c>
      <c r="AT18" s="160">
        <v>0</v>
      </c>
      <c r="AU18" s="160">
        <v>0</v>
      </c>
      <c r="AV18" s="160">
        <v>0</v>
      </c>
      <c r="AX18" s="160">
        <v>0</v>
      </c>
      <c r="AY18" s="160">
        <v>0</v>
      </c>
      <c r="AZ18" s="160">
        <v>0</v>
      </c>
      <c r="BA18" s="160">
        <v>0</v>
      </c>
      <c r="BB18" s="16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J18" s="160">
        <v>0</v>
      </c>
      <c r="BK18" s="160">
        <v>0</v>
      </c>
      <c r="BL18" s="160">
        <v>0</v>
      </c>
      <c r="BM18" s="160">
        <v>0</v>
      </c>
      <c r="BN18" s="160">
        <v>0</v>
      </c>
    </row>
    <row r="19" spans="1:66" x14ac:dyDescent="0.2">
      <c r="A19" s="7"/>
      <c r="B19" s="7"/>
      <c r="C19" s="7"/>
      <c r="D19" s="7"/>
      <c r="E19" s="39">
        <v>112</v>
      </c>
      <c r="F19" s="39" t="s">
        <v>2224</v>
      </c>
      <c r="G19" s="54">
        <f>SUMPRODUCT(--('Input|Historical Data'!$E$9:$E$3279=$E19),--('Input|Historical Data'!$M$9:$M$3279="ENDirect"),--('Input|Historical Data'!$O$9:$O$3279="SCS"),'Input|Historical Data'!$I$9:$I$3279)</f>
        <v>0</v>
      </c>
      <c r="H19" s="54">
        <f>'Calc|Weightings'!J19</f>
        <v>0</v>
      </c>
      <c r="I19" s="54">
        <f>'Calc|Weightings'!T19</f>
        <v>0</v>
      </c>
      <c r="J19" s="54">
        <f>'Calc|Weightings'!AD19</f>
        <v>0</v>
      </c>
      <c r="K19" s="41">
        <v>0</v>
      </c>
      <c r="L19" s="41">
        <v>0</v>
      </c>
      <c r="M19" s="163">
        <f t="shared" si="4"/>
        <v>0</v>
      </c>
      <c r="N19" s="163">
        <f t="shared" si="0"/>
        <v>0</v>
      </c>
      <c r="O19" s="163">
        <f t="shared" si="1"/>
        <v>0</v>
      </c>
      <c r="P19" s="163">
        <f t="shared" si="2"/>
        <v>0</v>
      </c>
      <c r="Q19" s="163">
        <f t="shared" si="3"/>
        <v>0</v>
      </c>
      <c r="R19" s="133" t="str">
        <f>VLOOKUP(E19,Mapping!$E$11:$G$96,3,0)</f>
        <v>Metering Capex</v>
      </c>
      <c r="T19" s="160">
        <v>0</v>
      </c>
      <c r="U19" s="160">
        <v>0</v>
      </c>
      <c r="V19" s="160">
        <v>0</v>
      </c>
      <c r="W19" s="160">
        <v>0</v>
      </c>
      <c r="X19" s="160">
        <v>0</v>
      </c>
      <c r="Z19" s="160">
        <v>0</v>
      </c>
      <c r="AA19" s="160">
        <v>0</v>
      </c>
      <c r="AB19" s="160">
        <v>0</v>
      </c>
      <c r="AC19" s="160">
        <v>0</v>
      </c>
      <c r="AD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L19" s="160">
        <v>0</v>
      </c>
      <c r="AM19" s="160">
        <v>0</v>
      </c>
      <c r="AN19" s="160">
        <v>0</v>
      </c>
      <c r="AO19" s="160">
        <v>0</v>
      </c>
      <c r="AP19" s="160">
        <v>0</v>
      </c>
      <c r="AR19" s="160">
        <v>0</v>
      </c>
      <c r="AS19" s="160">
        <v>0</v>
      </c>
      <c r="AT19" s="160">
        <v>0</v>
      </c>
      <c r="AU19" s="160">
        <v>0</v>
      </c>
      <c r="AV19" s="160">
        <v>0</v>
      </c>
      <c r="AX19" s="160">
        <v>0</v>
      </c>
      <c r="AY19" s="160">
        <v>0</v>
      </c>
      <c r="AZ19" s="160">
        <v>0</v>
      </c>
      <c r="BA19" s="160">
        <v>0</v>
      </c>
      <c r="BB19" s="160">
        <v>0</v>
      </c>
      <c r="BD19" s="160">
        <v>0</v>
      </c>
      <c r="BE19" s="160">
        <v>0</v>
      </c>
      <c r="BF19" s="160">
        <v>0</v>
      </c>
      <c r="BG19" s="160">
        <v>0</v>
      </c>
      <c r="BH19" s="160">
        <v>0</v>
      </c>
      <c r="BJ19" s="160">
        <v>0</v>
      </c>
      <c r="BK19" s="160">
        <v>0</v>
      </c>
      <c r="BL19" s="160">
        <v>0</v>
      </c>
      <c r="BM19" s="160">
        <v>0</v>
      </c>
      <c r="BN19" s="160">
        <v>0</v>
      </c>
    </row>
    <row r="20" spans="1:66" x14ac:dyDescent="0.2">
      <c r="A20" s="7"/>
      <c r="B20" s="7"/>
      <c r="C20" s="7"/>
      <c r="D20" s="7"/>
      <c r="E20" s="39">
        <v>113</v>
      </c>
      <c r="F20" s="39" t="s">
        <v>2225</v>
      </c>
      <c r="G20" s="54">
        <f>SUMPRODUCT(--('Input|Historical Data'!$E$9:$E$3279=$E20),--('Input|Historical Data'!$M$9:$M$3279="ENDirect"),--('Input|Historical Data'!$O$9:$O$3279="SCS"),'Input|Historical Data'!$I$9:$I$3279)</f>
        <v>0</v>
      </c>
      <c r="H20" s="54">
        <f>'Calc|Weightings'!J20</f>
        <v>0</v>
      </c>
      <c r="I20" s="54">
        <f>'Calc|Weightings'!T20</f>
        <v>0</v>
      </c>
      <c r="J20" s="54">
        <f>'Calc|Weightings'!AD20</f>
        <v>0</v>
      </c>
      <c r="K20" s="41">
        <v>0</v>
      </c>
      <c r="L20" s="41">
        <v>0</v>
      </c>
      <c r="M20" s="163">
        <f t="shared" si="4"/>
        <v>0</v>
      </c>
      <c r="N20" s="163">
        <f t="shared" si="0"/>
        <v>0</v>
      </c>
      <c r="O20" s="163">
        <f t="shared" si="1"/>
        <v>0</v>
      </c>
      <c r="P20" s="163">
        <f t="shared" si="2"/>
        <v>0</v>
      </c>
      <c r="Q20" s="163">
        <f t="shared" si="3"/>
        <v>0</v>
      </c>
      <c r="R20" s="133" t="str">
        <f>VLOOKUP(E20,Mapping!$E$11:$G$96,3,0)</f>
        <v>Metering Capex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</row>
    <row r="21" spans="1:66" x14ac:dyDescent="0.2">
      <c r="A21" s="7"/>
      <c r="B21" s="7"/>
      <c r="C21" s="7"/>
      <c r="D21" s="7"/>
      <c r="E21" s="39">
        <v>114</v>
      </c>
      <c r="F21" s="39" t="s">
        <v>2226</v>
      </c>
      <c r="G21" s="54">
        <f>SUMPRODUCT(--('Input|Historical Data'!$E$9:$E$3279=$E21),--('Input|Historical Data'!$M$9:$M$3279="ENDirect"),--('Input|Historical Data'!$O$9:$O$3279="SCS"),'Input|Historical Data'!$I$9:$I$3279)</f>
        <v>273.04369999999994</v>
      </c>
      <c r="H21" s="54">
        <f>'Calc|Weightings'!J21</f>
        <v>0</v>
      </c>
      <c r="I21" s="54">
        <f>'Calc|Weightings'!T21</f>
        <v>0</v>
      </c>
      <c r="J21" s="54">
        <f>'Calc|Weightings'!AD21</f>
        <v>0</v>
      </c>
      <c r="K21" s="41">
        <v>0</v>
      </c>
      <c r="L21" s="41">
        <v>0</v>
      </c>
      <c r="M21" s="163">
        <f t="shared" si="4"/>
        <v>0</v>
      </c>
      <c r="N21" s="163">
        <f t="shared" si="0"/>
        <v>0</v>
      </c>
      <c r="O21" s="163">
        <f t="shared" si="1"/>
        <v>0</v>
      </c>
      <c r="P21" s="163">
        <f t="shared" si="2"/>
        <v>0</v>
      </c>
      <c r="Q21" s="163">
        <f t="shared" si="3"/>
        <v>0</v>
      </c>
      <c r="R21" s="133" t="str">
        <f>VLOOKUP(E21,Mapping!$E$11:$G$96,3,0)</f>
        <v>Metering Opex</v>
      </c>
      <c r="T21" s="160">
        <v>0</v>
      </c>
      <c r="U21" s="160">
        <v>0</v>
      </c>
      <c r="V21" s="160">
        <v>0</v>
      </c>
      <c r="W21" s="160">
        <v>0</v>
      </c>
      <c r="X21" s="160">
        <v>0</v>
      </c>
      <c r="Z21" s="160">
        <v>0</v>
      </c>
      <c r="AA21" s="160">
        <v>0</v>
      </c>
      <c r="AB21" s="160">
        <v>0</v>
      </c>
      <c r="AC21" s="160">
        <v>0</v>
      </c>
      <c r="AD21" s="160">
        <v>0</v>
      </c>
      <c r="AF21" s="160">
        <v>0</v>
      </c>
      <c r="AG21" s="160">
        <v>0</v>
      </c>
      <c r="AH21" s="160">
        <v>0</v>
      </c>
      <c r="AI21" s="160">
        <v>0</v>
      </c>
      <c r="AJ21" s="160">
        <v>0</v>
      </c>
      <c r="AL21" s="160">
        <v>0</v>
      </c>
      <c r="AM21" s="160">
        <v>0</v>
      </c>
      <c r="AN21" s="160">
        <v>0</v>
      </c>
      <c r="AO21" s="160">
        <v>0</v>
      </c>
      <c r="AP21" s="160">
        <v>0</v>
      </c>
      <c r="AR21" s="160">
        <v>0</v>
      </c>
      <c r="AS21" s="160">
        <v>0</v>
      </c>
      <c r="AT21" s="160">
        <v>0</v>
      </c>
      <c r="AU21" s="160">
        <v>0</v>
      </c>
      <c r="AV21" s="160">
        <v>0</v>
      </c>
      <c r="AX21" s="160">
        <v>0</v>
      </c>
      <c r="AY21" s="160">
        <v>0</v>
      </c>
      <c r="AZ21" s="160">
        <v>0</v>
      </c>
      <c r="BA21" s="160">
        <v>0</v>
      </c>
      <c r="BB21" s="160">
        <v>0</v>
      </c>
      <c r="BD21" s="160">
        <v>0</v>
      </c>
      <c r="BE21" s="160">
        <v>0</v>
      </c>
      <c r="BF21" s="160">
        <v>0</v>
      </c>
      <c r="BG21" s="160">
        <v>0</v>
      </c>
      <c r="BH21" s="160">
        <v>0</v>
      </c>
      <c r="BJ21" s="160">
        <v>0</v>
      </c>
      <c r="BK21" s="160">
        <v>0</v>
      </c>
      <c r="BL21" s="160">
        <v>0</v>
      </c>
      <c r="BM21" s="160">
        <v>0</v>
      </c>
      <c r="BN21" s="160">
        <v>0</v>
      </c>
    </row>
    <row r="22" spans="1:66" x14ac:dyDescent="0.2">
      <c r="A22" s="7"/>
      <c r="B22" s="7"/>
      <c r="C22" s="7"/>
      <c r="D22" s="7"/>
      <c r="E22" s="39">
        <v>115</v>
      </c>
      <c r="F22" s="39" t="s">
        <v>2227</v>
      </c>
      <c r="G22" s="54">
        <f>SUMPRODUCT(--('Input|Historical Data'!$E$9:$E$3279=$E22),--('Input|Historical Data'!$M$9:$M$3279="ENDirect"),--('Input|Historical Data'!$O$9:$O$3279="SCS"),'Input|Historical Data'!$I$9:$I$3279)</f>
        <v>2014.0708999999999</v>
      </c>
      <c r="H22" s="54">
        <f>'Calc|Weightings'!J22</f>
        <v>0</v>
      </c>
      <c r="I22" s="54">
        <f>'Calc|Weightings'!T22</f>
        <v>0</v>
      </c>
      <c r="J22" s="54">
        <f>'Calc|Weightings'!AD22</f>
        <v>0</v>
      </c>
      <c r="K22" s="41">
        <v>0</v>
      </c>
      <c r="L22" s="41">
        <v>0</v>
      </c>
      <c r="M22" s="163">
        <f t="shared" si="4"/>
        <v>0</v>
      </c>
      <c r="N22" s="163">
        <f t="shared" si="0"/>
        <v>0</v>
      </c>
      <c r="O22" s="163">
        <f t="shared" si="1"/>
        <v>0</v>
      </c>
      <c r="P22" s="163">
        <f t="shared" si="2"/>
        <v>0</v>
      </c>
      <c r="Q22" s="163">
        <f t="shared" si="3"/>
        <v>0</v>
      </c>
      <c r="R22" s="133" t="str">
        <f>VLOOKUP(E22,Mapping!$E$11:$G$96,3,0)</f>
        <v>Metering Opex</v>
      </c>
      <c r="T22" s="160">
        <v>0</v>
      </c>
      <c r="U22" s="160">
        <v>0</v>
      </c>
      <c r="V22" s="160">
        <v>0</v>
      </c>
      <c r="W22" s="160">
        <v>0</v>
      </c>
      <c r="X22" s="160">
        <v>0</v>
      </c>
      <c r="Z22" s="160">
        <v>0</v>
      </c>
      <c r="AA22" s="160">
        <v>0</v>
      </c>
      <c r="AB22" s="160">
        <v>0</v>
      </c>
      <c r="AC22" s="160">
        <v>0</v>
      </c>
      <c r="AD22" s="160">
        <v>0</v>
      </c>
      <c r="AF22" s="160">
        <v>0</v>
      </c>
      <c r="AG22" s="160">
        <v>0</v>
      </c>
      <c r="AH22" s="160">
        <v>0</v>
      </c>
      <c r="AI22" s="160">
        <v>0</v>
      </c>
      <c r="AJ22" s="160">
        <v>0</v>
      </c>
      <c r="AL22" s="160">
        <v>0</v>
      </c>
      <c r="AM22" s="160">
        <v>0</v>
      </c>
      <c r="AN22" s="160">
        <v>0</v>
      </c>
      <c r="AO22" s="160">
        <v>0</v>
      </c>
      <c r="AP22" s="160">
        <v>0</v>
      </c>
      <c r="AR22" s="160">
        <v>0</v>
      </c>
      <c r="AS22" s="160">
        <v>0</v>
      </c>
      <c r="AT22" s="160">
        <v>0</v>
      </c>
      <c r="AU22" s="160">
        <v>0</v>
      </c>
      <c r="AV22" s="160">
        <v>0</v>
      </c>
      <c r="AX22" s="160">
        <v>0</v>
      </c>
      <c r="AY22" s="160">
        <v>0</v>
      </c>
      <c r="AZ22" s="160">
        <v>0</v>
      </c>
      <c r="BA22" s="160">
        <v>0</v>
      </c>
      <c r="BB22" s="160">
        <v>0</v>
      </c>
      <c r="BD22" s="160">
        <v>0</v>
      </c>
      <c r="BE22" s="160">
        <v>0</v>
      </c>
      <c r="BF22" s="160">
        <v>0</v>
      </c>
      <c r="BG22" s="160">
        <v>0</v>
      </c>
      <c r="BH22" s="160">
        <v>0</v>
      </c>
      <c r="BJ22" s="160">
        <v>0</v>
      </c>
      <c r="BK22" s="160">
        <v>0</v>
      </c>
      <c r="BL22" s="160">
        <v>0</v>
      </c>
      <c r="BM22" s="160">
        <v>0</v>
      </c>
      <c r="BN22" s="160">
        <v>0</v>
      </c>
    </row>
    <row r="23" spans="1:66" x14ac:dyDescent="0.2">
      <c r="A23" s="7"/>
      <c r="B23" s="7"/>
      <c r="C23" s="7"/>
      <c r="D23" s="7"/>
      <c r="E23" s="39">
        <v>116</v>
      </c>
      <c r="F23" s="39" t="s">
        <v>2228</v>
      </c>
      <c r="G23" s="54">
        <f>SUMPRODUCT(--('Input|Historical Data'!$E$9:$E$3279=$E23),--('Input|Historical Data'!$M$9:$M$3279="ENDirect"),--('Input|Historical Data'!$O$9:$O$3279="SCS"),'Input|Historical Data'!$I$9:$I$3279)</f>
        <v>11726.810309999997</v>
      </c>
      <c r="H23" s="54">
        <f>'Calc|Weightings'!J23</f>
        <v>20145.680699999986</v>
      </c>
      <c r="I23" s="54">
        <f>'Calc|Weightings'!T23</f>
        <v>23331.175219999986</v>
      </c>
      <c r="J23" s="54">
        <f>'Calc|Weightings'!AD23</f>
        <v>25563.996109999996</v>
      </c>
      <c r="K23" s="41">
        <v>23778.630561688118</v>
      </c>
      <c r="L23" s="41">
        <v>34146.458777759988</v>
      </c>
      <c r="M23" s="163">
        <f t="shared" si="4"/>
        <v>23032.248364328738</v>
      </c>
      <c r="N23" s="163">
        <f t="shared" si="0"/>
        <v>37195.538461352298</v>
      </c>
      <c r="O23" s="163">
        <f t="shared" si="1"/>
        <v>26869.597576667802</v>
      </c>
      <c r="P23" s="163">
        <f t="shared" si="2"/>
        <v>27048.263058110198</v>
      </c>
      <c r="Q23" s="163">
        <f t="shared" si="3"/>
        <v>27125.943702215587</v>
      </c>
      <c r="R23" s="133" t="str">
        <f>VLOOKUP(E23,Mapping!$E$11:$G$96,3,0)</f>
        <v>Connections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F23" s="160">
        <v>23032.248364328738</v>
      </c>
      <c r="AG23" s="160">
        <v>37195.538461352298</v>
      </c>
      <c r="AH23" s="160">
        <v>26869.597576667802</v>
      </c>
      <c r="AI23" s="160">
        <v>27048.263058110198</v>
      </c>
      <c r="AJ23" s="160">
        <v>27125.943702215587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R23" s="160">
        <v>0</v>
      </c>
      <c r="AS23" s="160">
        <v>0</v>
      </c>
      <c r="AT23" s="160">
        <v>0</v>
      </c>
      <c r="AU23" s="160">
        <v>0</v>
      </c>
      <c r="AV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J23" s="160">
        <v>0</v>
      </c>
      <c r="BK23" s="160">
        <v>0</v>
      </c>
      <c r="BL23" s="160">
        <v>0</v>
      </c>
      <c r="BM23" s="160">
        <v>0</v>
      </c>
      <c r="BN23" s="160">
        <v>0</v>
      </c>
    </row>
    <row r="24" spans="1:66" x14ac:dyDescent="0.2">
      <c r="A24" s="7"/>
      <c r="B24" s="7"/>
      <c r="C24" s="7"/>
      <c r="D24" s="7"/>
      <c r="E24" s="39">
        <v>118</v>
      </c>
      <c r="F24" s="39" t="s">
        <v>2229</v>
      </c>
      <c r="G24" s="54">
        <f>SUMPRODUCT(--('Input|Historical Data'!$E$9:$E$3279=$E24),--('Input|Historical Data'!$M$9:$M$3279="ENDirect"),--('Input|Historical Data'!$O$9:$O$3279="SCS"),'Input|Historical Data'!$I$9:$I$3279)</f>
        <v>65.333929999999995</v>
      </c>
      <c r="H24" s="54">
        <f>'Calc|Weightings'!J24</f>
        <v>21.381309999999996</v>
      </c>
      <c r="I24" s="54">
        <f>'Calc|Weightings'!T24</f>
        <v>40.859830000000002</v>
      </c>
      <c r="J24" s="54">
        <f>'Calc|Weightings'!AD24</f>
        <v>8.8829499999999992</v>
      </c>
      <c r="K24" s="41">
        <v>5.7184396570512295</v>
      </c>
      <c r="L24" s="41">
        <v>7.4473236503452549</v>
      </c>
      <c r="M24" s="163">
        <f t="shared" si="4"/>
        <v>17.07404786840943</v>
      </c>
      <c r="N24" s="163">
        <f t="shared" si="0"/>
        <v>29.470219071095901</v>
      </c>
      <c r="O24" s="163">
        <f t="shared" si="1"/>
        <v>29.470219071095901</v>
      </c>
      <c r="P24" s="163">
        <f t="shared" si="2"/>
        <v>29.470219071095901</v>
      </c>
      <c r="Q24" s="163">
        <f t="shared" si="3"/>
        <v>29.470219071095901</v>
      </c>
      <c r="R24" s="133" t="str">
        <f>VLOOKUP(E24,Mapping!$E$11:$G$96,3,0)</f>
        <v>Connections</v>
      </c>
      <c r="T24" s="160">
        <v>0</v>
      </c>
      <c r="U24" s="160">
        <v>0</v>
      </c>
      <c r="V24" s="160">
        <v>0</v>
      </c>
      <c r="W24" s="160">
        <v>0</v>
      </c>
      <c r="X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F24" s="160">
        <v>17.07404786840943</v>
      </c>
      <c r="AG24" s="160">
        <v>29.470219071095901</v>
      </c>
      <c r="AH24" s="160">
        <v>29.470219071095901</v>
      </c>
      <c r="AI24" s="160">
        <v>29.470219071095901</v>
      </c>
      <c r="AJ24" s="160">
        <v>29.470219071095901</v>
      </c>
      <c r="AL24" s="160">
        <v>0</v>
      </c>
      <c r="AM24" s="160">
        <v>0</v>
      </c>
      <c r="AN24" s="160">
        <v>0</v>
      </c>
      <c r="AO24" s="160">
        <v>0</v>
      </c>
      <c r="AP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X24" s="160">
        <v>0</v>
      </c>
      <c r="AY24" s="160">
        <v>0</v>
      </c>
      <c r="AZ24" s="160">
        <v>0</v>
      </c>
      <c r="BA24" s="160">
        <v>0</v>
      </c>
      <c r="BB24" s="160">
        <v>0</v>
      </c>
      <c r="BD24" s="160">
        <v>0</v>
      </c>
      <c r="BE24" s="160">
        <v>0</v>
      </c>
      <c r="BF24" s="160">
        <v>0</v>
      </c>
      <c r="BG24" s="160">
        <v>0</v>
      </c>
      <c r="BH24" s="160">
        <v>0</v>
      </c>
      <c r="BJ24" s="160">
        <v>0</v>
      </c>
      <c r="BK24" s="160">
        <v>0</v>
      </c>
      <c r="BL24" s="160">
        <v>0</v>
      </c>
      <c r="BM24" s="160">
        <v>0</v>
      </c>
      <c r="BN24" s="160">
        <v>0</v>
      </c>
    </row>
    <row r="25" spans="1:66" x14ac:dyDescent="0.2">
      <c r="A25" s="7"/>
      <c r="B25" s="7"/>
      <c r="C25" s="7"/>
      <c r="D25" s="7"/>
      <c r="E25" s="39">
        <v>119</v>
      </c>
      <c r="F25" s="39" t="s">
        <v>2230</v>
      </c>
      <c r="G25" s="54">
        <f>SUMPRODUCT(--('Input|Historical Data'!$E$9:$E$3279=$E25),--('Input|Historical Data'!$M$9:$M$3279="ENDirect"),--('Input|Historical Data'!$O$9:$O$3279="SCS"),'Input|Historical Data'!$I$9:$I$3279)</f>
        <v>0</v>
      </c>
      <c r="H25" s="54">
        <f>'Calc|Weightings'!J25</f>
        <v>0</v>
      </c>
      <c r="I25" s="54">
        <f>'Calc|Weightings'!T25</f>
        <v>0</v>
      </c>
      <c r="J25" s="54">
        <f>'Calc|Weightings'!AD25</f>
        <v>0</v>
      </c>
      <c r="K25" s="41">
        <v>0</v>
      </c>
      <c r="L25" s="41">
        <v>0</v>
      </c>
      <c r="M25" s="163">
        <f t="shared" si="4"/>
        <v>0</v>
      </c>
      <c r="N25" s="163">
        <f t="shared" si="0"/>
        <v>0</v>
      </c>
      <c r="O25" s="163">
        <f t="shared" si="1"/>
        <v>0</v>
      </c>
      <c r="P25" s="163">
        <f t="shared" si="2"/>
        <v>0</v>
      </c>
      <c r="Q25" s="163">
        <f t="shared" si="3"/>
        <v>0</v>
      </c>
      <c r="R25" s="133" t="str">
        <f>VLOOKUP(E25,Mapping!$E$11:$G$96,3,0)</f>
        <v>Negotiated Capex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0</v>
      </c>
      <c r="AL25" s="160">
        <v>0</v>
      </c>
      <c r="AM25" s="160">
        <v>0</v>
      </c>
      <c r="AN25" s="160">
        <v>0</v>
      </c>
      <c r="AO25" s="160">
        <v>0</v>
      </c>
      <c r="AP25" s="160">
        <v>0</v>
      </c>
      <c r="AR25" s="160">
        <v>0</v>
      </c>
      <c r="AS25" s="160">
        <v>0</v>
      </c>
      <c r="AT25" s="160">
        <v>0</v>
      </c>
      <c r="AU25" s="160">
        <v>0</v>
      </c>
      <c r="AV25" s="160">
        <v>0</v>
      </c>
      <c r="AX25" s="160">
        <v>0</v>
      </c>
      <c r="AY25" s="160">
        <v>0</v>
      </c>
      <c r="AZ25" s="160">
        <v>0</v>
      </c>
      <c r="BA25" s="160">
        <v>0</v>
      </c>
      <c r="BB25" s="160">
        <v>0</v>
      </c>
      <c r="BD25" s="160">
        <v>0</v>
      </c>
      <c r="BE25" s="160">
        <v>0</v>
      </c>
      <c r="BF25" s="160">
        <v>0</v>
      </c>
      <c r="BG25" s="160">
        <v>0</v>
      </c>
      <c r="BH25" s="160">
        <v>0</v>
      </c>
      <c r="BJ25" s="160">
        <v>0</v>
      </c>
      <c r="BK25" s="160">
        <v>0</v>
      </c>
      <c r="BL25" s="160">
        <v>0</v>
      </c>
      <c r="BM25" s="160">
        <v>0</v>
      </c>
      <c r="BN25" s="160">
        <v>0</v>
      </c>
    </row>
    <row r="26" spans="1:66" x14ac:dyDescent="0.2">
      <c r="A26" s="7"/>
      <c r="B26" s="7"/>
      <c r="C26" s="7"/>
      <c r="D26" s="7"/>
      <c r="E26" s="39">
        <v>120</v>
      </c>
      <c r="F26" s="39" t="s">
        <v>2231</v>
      </c>
      <c r="G26" s="54">
        <f>SUMPRODUCT(--('Input|Historical Data'!$E$9:$E$3279=$E26),--('Input|Historical Data'!$M$9:$M$3279="ENDirect"),--('Input|Historical Data'!$O$9:$O$3279="SCS"),'Input|Historical Data'!$I$9:$I$3279)</f>
        <v>0</v>
      </c>
      <c r="H26" s="54">
        <f>'Calc|Weightings'!J26</f>
        <v>0</v>
      </c>
      <c r="I26" s="54">
        <f>'Calc|Weightings'!T26</f>
        <v>0</v>
      </c>
      <c r="J26" s="54">
        <f>'Calc|Weightings'!AD26</f>
        <v>0</v>
      </c>
      <c r="K26" s="41">
        <v>0</v>
      </c>
      <c r="L26" s="41">
        <v>0</v>
      </c>
      <c r="M26" s="163">
        <f t="shared" si="4"/>
        <v>0</v>
      </c>
      <c r="N26" s="163">
        <f t="shared" si="0"/>
        <v>0</v>
      </c>
      <c r="O26" s="163">
        <f t="shared" si="1"/>
        <v>0</v>
      </c>
      <c r="P26" s="163">
        <f t="shared" si="2"/>
        <v>0</v>
      </c>
      <c r="Q26" s="163">
        <f t="shared" si="3"/>
        <v>0</v>
      </c>
      <c r="R26" s="133" t="str">
        <f>VLOOKUP(E26,Mapping!$E$11:$G$96,3,0)</f>
        <v>Negotiated Capex</v>
      </c>
      <c r="T26" s="160">
        <v>0</v>
      </c>
      <c r="U26" s="160">
        <v>0</v>
      </c>
      <c r="V26" s="160">
        <v>0</v>
      </c>
      <c r="W26" s="160">
        <v>0</v>
      </c>
      <c r="X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R26" s="160">
        <v>0</v>
      </c>
      <c r="AS26" s="160">
        <v>0</v>
      </c>
      <c r="AT26" s="160">
        <v>0</v>
      </c>
      <c r="AU26" s="160">
        <v>0</v>
      </c>
      <c r="AV26" s="160">
        <v>0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D26" s="160">
        <v>0</v>
      </c>
      <c r="BE26" s="160">
        <v>0</v>
      </c>
      <c r="BF26" s="160">
        <v>0</v>
      </c>
      <c r="BG26" s="160">
        <v>0</v>
      </c>
      <c r="BH26" s="160">
        <v>0</v>
      </c>
      <c r="BJ26" s="160">
        <v>0</v>
      </c>
      <c r="BK26" s="160">
        <v>0</v>
      </c>
      <c r="BL26" s="160">
        <v>0</v>
      </c>
      <c r="BM26" s="160">
        <v>0</v>
      </c>
      <c r="BN26" s="160">
        <v>0</v>
      </c>
    </row>
    <row r="27" spans="1:66" x14ac:dyDescent="0.2">
      <c r="A27" s="7"/>
      <c r="B27" s="7"/>
      <c r="C27" s="7"/>
      <c r="D27" s="7"/>
      <c r="E27" s="39">
        <v>121</v>
      </c>
      <c r="F27" s="39" t="s">
        <v>2232</v>
      </c>
      <c r="G27" s="54">
        <f>SUMPRODUCT(--('Input|Historical Data'!$E$9:$E$3279=$E27),--('Input|Historical Data'!$M$9:$M$3279="ENDirect"),--('Input|Historical Data'!$O$9:$O$3279="SCS"),'Input|Historical Data'!$I$9:$I$3279)</f>
        <v>0</v>
      </c>
      <c r="H27" s="54">
        <f>'Calc|Weightings'!J27</f>
        <v>18.751659999999998</v>
      </c>
      <c r="I27" s="54">
        <f>'Calc|Weightings'!T27</f>
        <v>554.65237000000002</v>
      </c>
      <c r="J27" s="54">
        <f>'Calc|Weightings'!AD27</f>
        <v>10.46959</v>
      </c>
      <c r="K27" s="41">
        <v>-561.19158424975728</v>
      </c>
      <c r="L27" s="41">
        <v>0</v>
      </c>
      <c r="M27" s="163">
        <f t="shared" si="4"/>
        <v>0</v>
      </c>
      <c r="N27" s="163">
        <f t="shared" si="0"/>
        <v>0</v>
      </c>
      <c r="O27" s="163">
        <f t="shared" si="1"/>
        <v>0</v>
      </c>
      <c r="P27" s="163">
        <f t="shared" si="2"/>
        <v>0</v>
      </c>
      <c r="Q27" s="163">
        <f t="shared" si="3"/>
        <v>0</v>
      </c>
      <c r="R27" s="133" t="str">
        <f>VLOOKUP(E27,Mapping!$E$11:$G$96,3,0)</f>
        <v>Connections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R27" s="160">
        <v>0</v>
      </c>
      <c r="AS27" s="160">
        <v>0</v>
      </c>
      <c r="AT27" s="160">
        <v>0</v>
      </c>
      <c r="AU27" s="160">
        <v>0</v>
      </c>
      <c r="AV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D27" s="160">
        <v>0</v>
      </c>
      <c r="BE27" s="160">
        <v>0</v>
      </c>
      <c r="BF27" s="160">
        <v>0</v>
      </c>
      <c r="BG27" s="160">
        <v>0</v>
      </c>
      <c r="BH27" s="160">
        <v>0</v>
      </c>
      <c r="BJ27" s="160">
        <v>0</v>
      </c>
      <c r="BK27" s="160">
        <v>0</v>
      </c>
      <c r="BL27" s="160">
        <v>0</v>
      </c>
      <c r="BM27" s="160">
        <v>0</v>
      </c>
      <c r="BN27" s="160">
        <v>0</v>
      </c>
    </row>
    <row r="28" spans="1:66" x14ac:dyDescent="0.2">
      <c r="A28" s="7"/>
      <c r="B28" s="7"/>
      <c r="C28" s="7"/>
      <c r="D28" s="7"/>
      <c r="E28" s="39">
        <v>122</v>
      </c>
      <c r="F28" s="39" t="s">
        <v>2233</v>
      </c>
      <c r="G28" s="54">
        <f>SUMPRODUCT(--('Input|Historical Data'!$E$9:$E$3279=$E28),--('Input|Historical Data'!$M$9:$M$3279="ENDirect"),--('Input|Historical Data'!$O$9:$O$3279="SCS"),'Input|Historical Data'!$I$9:$I$3279)</f>
        <v>0</v>
      </c>
      <c r="H28" s="54">
        <f>'Calc|Weightings'!J28</f>
        <v>0</v>
      </c>
      <c r="I28" s="54">
        <f>'Calc|Weightings'!T28</f>
        <v>0</v>
      </c>
      <c r="J28" s="54">
        <f>'Calc|Weightings'!AD28</f>
        <v>0</v>
      </c>
      <c r="K28" s="41">
        <v>0</v>
      </c>
      <c r="L28" s="41">
        <v>0</v>
      </c>
      <c r="M28" s="163">
        <f t="shared" si="4"/>
        <v>0</v>
      </c>
      <c r="N28" s="163">
        <f t="shared" si="0"/>
        <v>0</v>
      </c>
      <c r="O28" s="163">
        <f t="shared" si="1"/>
        <v>0</v>
      </c>
      <c r="P28" s="163">
        <f t="shared" si="2"/>
        <v>0</v>
      </c>
      <c r="Q28" s="163">
        <f t="shared" si="3"/>
        <v>0</v>
      </c>
      <c r="R28" s="133" t="str">
        <f>VLOOKUP(E28,Mapping!$E$11:$G$96,3,0)</f>
        <v>Connections</v>
      </c>
      <c r="T28" s="160">
        <v>0</v>
      </c>
      <c r="U28" s="160">
        <v>0</v>
      </c>
      <c r="V28" s="160">
        <v>0</v>
      </c>
      <c r="W28" s="160">
        <v>0</v>
      </c>
      <c r="X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F28" s="160">
        <v>0</v>
      </c>
      <c r="AG28" s="160">
        <v>0</v>
      </c>
      <c r="AH28" s="160">
        <v>0</v>
      </c>
      <c r="AI28" s="160">
        <v>0</v>
      </c>
      <c r="AJ28" s="160">
        <v>0</v>
      </c>
      <c r="AL28" s="160">
        <v>0</v>
      </c>
      <c r="AM28" s="160">
        <v>0</v>
      </c>
      <c r="AN28" s="160">
        <v>0</v>
      </c>
      <c r="AO28" s="160">
        <v>0</v>
      </c>
      <c r="AP28" s="160">
        <v>0</v>
      </c>
      <c r="AR28" s="160">
        <v>0</v>
      </c>
      <c r="AS28" s="160">
        <v>0</v>
      </c>
      <c r="AT28" s="160">
        <v>0</v>
      </c>
      <c r="AU28" s="160">
        <v>0</v>
      </c>
      <c r="AV28" s="160">
        <v>0</v>
      </c>
      <c r="AX28" s="160">
        <v>0</v>
      </c>
      <c r="AY28" s="160">
        <v>0</v>
      </c>
      <c r="AZ28" s="160">
        <v>0</v>
      </c>
      <c r="BA28" s="160">
        <v>0</v>
      </c>
      <c r="BB28" s="160">
        <v>0</v>
      </c>
      <c r="BD28" s="160">
        <v>0</v>
      </c>
      <c r="BE28" s="160">
        <v>0</v>
      </c>
      <c r="BF28" s="160">
        <v>0</v>
      </c>
      <c r="BG28" s="160">
        <v>0</v>
      </c>
      <c r="BH28" s="160">
        <v>0</v>
      </c>
      <c r="BJ28" s="160">
        <v>0</v>
      </c>
      <c r="BK28" s="160">
        <v>0</v>
      </c>
      <c r="BL28" s="160">
        <v>0</v>
      </c>
      <c r="BM28" s="160">
        <v>0</v>
      </c>
      <c r="BN28" s="160">
        <v>0</v>
      </c>
    </row>
    <row r="29" spans="1:66" x14ac:dyDescent="0.2">
      <c r="A29" s="7"/>
      <c r="B29" s="7"/>
      <c r="C29" s="7"/>
      <c r="D29" s="7"/>
      <c r="E29" s="39">
        <v>123</v>
      </c>
      <c r="F29" s="39" t="s">
        <v>2234</v>
      </c>
      <c r="G29" s="54">
        <f>SUMPRODUCT(--('Input|Historical Data'!$E$9:$E$3279=$E29),--('Input|Historical Data'!$M$9:$M$3279="ENDirect"),--('Input|Historical Data'!$O$9:$O$3279="SCS"),'Input|Historical Data'!$I$9:$I$3279)</f>
        <v>0</v>
      </c>
      <c r="H29" s="54">
        <f>'Calc|Weightings'!J29</f>
        <v>0</v>
      </c>
      <c r="I29" s="54">
        <f>'Calc|Weightings'!T29</f>
        <v>0</v>
      </c>
      <c r="J29" s="54">
        <f>'Calc|Weightings'!AD29</f>
        <v>0</v>
      </c>
      <c r="K29" s="41">
        <v>0</v>
      </c>
      <c r="L29" s="41">
        <v>0</v>
      </c>
      <c r="M29" s="163">
        <f t="shared" si="4"/>
        <v>0</v>
      </c>
      <c r="N29" s="163">
        <f t="shared" si="0"/>
        <v>0</v>
      </c>
      <c r="O29" s="163">
        <f t="shared" si="1"/>
        <v>0</v>
      </c>
      <c r="P29" s="163">
        <f t="shared" si="2"/>
        <v>0</v>
      </c>
      <c r="Q29" s="163">
        <f t="shared" si="3"/>
        <v>0</v>
      </c>
      <c r="R29" s="133" t="str">
        <f>VLOOKUP(E29,Mapping!$E$11:$G$96,3,0)</f>
        <v>Metering Opex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R29" s="160">
        <v>0</v>
      </c>
      <c r="AS29" s="160">
        <v>0</v>
      </c>
      <c r="AT29" s="160">
        <v>0</v>
      </c>
      <c r="AU29" s="160">
        <v>0</v>
      </c>
      <c r="AV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D29" s="160">
        <v>0</v>
      </c>
      <c r="BE29" s="160">
        <v>0</v>
      </c>
      <c r="BF29" s="160">
        <v>0</v>
      </c>
      <c r="BG29" s="160">
        <v>0</v>
      </c>
      <c r="BH29" s="160">
        <v>0</v>
      </c>
      <c r="BJ29" s="160">
        <v>0</v>
      </c>
      <c r="BK29" s="160">
        <v>0</v>
      </c>
      <c r="BL29" s="160">
        <v>0</v>
      </c>
      <c r="BM29" s="160">
        <v>0</v>
      </c>
      <c r="BN29" s="160">
        <v>0</v>
      </c>
    </row>
    <row r="30" spans="1:66" x14ac:dyDescent="0.2">
      <c r="A30" s="7"/>
      <c r="B30" s="7"/>
      <c r="C30" s="7"/>
      <c r="D30" s="7"/>
      <c r="E30" s="39">
        <v>124</v>
      </c>
      <c r="F30" s="39" t="s">
        <v>2235</v>
      </c>
      <c r="G30" s="54">
        <f>SUMPRODUCT(--('Input|Historical Data'!$E$9:$E$3279=$E30),--('Input|Historical Data'!$M$9:$M$3279="ENDirect"),--('Input|Historical Data'!$O$9:$O$3279="SCS"),'Input|Historical Data'!$I$9:$I$3279)</f>
        <v>0</v>
      </c>
      <c r="H30" s="54">
        <f>'Calc|Weightings'!J30</f>
        <v>0</v>
      </c>
      <c r="I30" s="54">
        <f>'Calc|Weightings'!T30</f>
        <v>0</v>
      </c>
      <c r="J30" s="54">
        <f>'Calc|Weightings'!AD30</f>
        <v>0</v>
      </c>
      <c r="K30" s="41">
        <v>0</v>
      </c>
      <c r="L30" s="41">
        <v>0</v>
      </c>
      <c r="M30" s="163">
        <f t="shared" si="4"/>
        <v>0</v>
      </c>
      <c r="N30" s="163">
        <f t="shared" si="0"/>
        <v>0</v>
      </c>
      <c r="O30" s="163">
        <f t="shared" si="1"/>
        <v>0</v>
      </c>
      <c r="P30" s="163">
        <f t="shared" si="2"/>
        <v>0</v>
      </c>
      <c r="Q30" s="163">
        <f t="shared" si="3"/>
        <v>0</v>
      </c>
      <c r="R30" s="133" t="str">
        <f>VLOOKUP(E30,Mapping!$E$11:$G$96,3,0)</f>
        <v>Metering Opex</v>
      </c>
      <c r="T30" s="160">
        <v>0</v>
      </c>
      <c r="U30" s="160">
        <v>0</v>
      </c>
      <c r="V30" s="160">
        <v>0</v>
      </c>
      <c r="W30" s="160">
        <v>0</v>
      </c>
      <c r="X30" s="160">
        <v>0</v>
      </c>
      <c r="Z30" s="160">
        <v>0</v>
      </c>
      <c r="AA30" s="160">
        <v>0</v>
      </c>
      <c r="AB30" s="160">
        <v>0</v>
      </c>
      <c r="AC30" s="160">
        <v>0</v>
      </c>
      <c r="AD30" s="160">
        <v>0</v>
      </c>
      <c r="AF30" s="160">
        <v>0</v>
      </c>
      <c r="AG30" s="160">
        <v>0</v>
      </c>
      <c r="AH30" s="160">
        <v>0</v>
      </c>
      <c r="AI30" s="160">
        <v>0</v>
      </c>
      <c r="AJ30" s="160">
        <v>0</v>
      </c>
      <c r="AL30" s="160">
        <v>0</v>
      </c>
      <c r="AM30" s="160">
        <v>0</v>
      </c>
      <c r="AN30" s="160">
        <v>0</v>
      </c>
      <c r="AO30" s="160">
        <v>0</v>
      </c>
      <c r="AP30" s="160">
        <v>0</v>
      </c>
      <c r="AR30" s="160">
        <v>0</v>
      </c>
      <c r="AS30" s="160">
        <v>0</v>
      </c>
      <c r="AT30" s="160">
        <v>0</v>
      </c>
      <c r="AU30" s="160">
        <v>0</v>
      </c>
      <c r="AV30" s="160">
        <v>0</v>
      </c>
      <c r="AX30" s="160">
        <v>0</v>
      </c>
      <c r="AY30" s="160">
        <v>0</v>
      </c>
      <c r="AZ30" s="160">
        <v>0</v>
      </c>
      <c r="BA30" s="160">
        <v>0</v>
      </c>
      <c r="BB30" s="160">
        <v>0</v>
      </c>
      <c r="BD30" s="160">
        <v>0</v>
      </c>
      <c r="BE30" s="160">
        <v>0</v>
      </c>
      <c r="BF30" s="160">
        <v>0</v>
      </c>
      <c r="BG30" s="160">
        <v>0</v>
      </c>
      <c r="BH30" s="160">
        <v>0</v>
      </c>
      <c r="BJ30" s="160">
        <v>0</v>
      </c>
      <c r="BK30" s="160">
        <v>0</v>
      </c>
      <c r="BL30" s="160">
        <v>0</v>
      </c>
      <c r="BM30" s="160">
        <v>0</v>
      </c>
      <c r="BN30" s="160">
        <v>0</v>
      </c>
    </row>
    <row r="31" spans="1:66" x14ac:dyDescent="0.2">
      <c r="A31" s="7"/>
      <c r="B31" s="7"/>
      <c r="C31" s="7"/>
      <c r="D31" s="7"/>
      <c r="E31" s="39">
        <v>125</v>
      </c>
      <c r="F31" s="39" t="s">
        <v>2236</v>
      </c>
      <c r="G31" s="54">
        <f>SUMPRODUCT(--('Input|Historical Data'!$E$9:$E$3279=$E31),--('Input|Historical Data'!$M$9:$M$3279="ENDirect"),--('Input|Historical Data'!$O$9:$O$3279="SCS"),'Input|Historical Data'!$I$9:$I$3279)</f>
        <v>0</v>
      </c>
      <c r="H31" s="54">
        <f>'Calc|Weightings'!J31</f>
        <v>0</v>
      </c>
      <c r="I31" s="54">
        <f>'Calc|Weightings'!T31</f>
        <v>0</v>
      </c>
      <c r="J31" s="54">
        <f>'Calc|Weightings'!AD31</f>
        <v>0</v>
      </c>
      <c r="K31" s="41">
        <v>0</v>
      </c>
      <c r="L31" s="41">
        <v>0</v>
      </c>
      <c r="M31" s="163">
        <f t="shared" si="4"/>
        <v>0</v>
      </c>
      <c r="N31" s="163">
        <f t="shared" si="0"/>
        <v>0</v>
      </c>
      <c r="O31" s="163">
        <f t="shared" si="1"/>
        <v>0</v>
      </c>
      <c r="P31" s="163">
        <f t="shared" si="2"/>
        <v>0</v>
      </c>
      <c r="Q31" s="163">
        <f t="shared" si="3"/>
        <v>0</v>
      </c>
      <c r="R31" s="133" t="str">
        <f>VLOOKUP(E31,Mapping!$E$11:$G$96,3,0)</f>
        <v>Metering Capex</v>
      </c>
      <c r="T31" s="160">
        <v>0</v>
      </c>
      <c r="U31" s="160">
        <v>0</v>
      </c>
      <c r="V31" s="160">
        <v>0</v>
      </c>
      <c r="W31" s="160">
        <v>0</v>
      </c>
      <c r="X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</row>
    <row r="32" spans="1:66" x14ac:dyDescent="0.2">
      <c r="A32" s="7"/>
      <c r="B32" s="7"/>
      <c r="C32" s="7"/>
      <c r="D32" s="7"/>
      <c r="E32" s="39">
        <v>126</v>
      </c>
      <c r="F32" s="39" t="s">
        <v>2237</v>
      </c>
      <c r="G32" s="54">
        <f>SUMPRODUCT(--('Input|Historical Data'!$E$9:$E$3279=$E32),--('Input|Historical Data'!$M$9:$M$3279="ENDirect"),--('Input|Historical Data'!$O$9:$O$3279="SCS"),'Input|Historical Data'!$I$9:$I$3279)</f>
        <v>0</v>
      </c>
      <c r="H32" s="54">
        <f>'Calc|Weightings'!J32</f>
        <v>0</v>
      </c>
      <c r="I32" s="54">
        <f>'Calc|Weightings'!T32</f>
        <v>0</v>
      </c>
      <c r="J32" s="54">
        <f>'Calc|Weightings'!AD32</f>
        <v>0</v>
      </c>
      <c r="K32" s="41">
        <v>0</v>
      </c>
      <c r="L32" s="41">
        <v>0</v>
      </c>
      <c r="M32" s="163">
        <f t="shared" si="4"/>
        <v>0</v>
      </c>
      <c r="N32" s="163">
        <f t="shared" si="0"/>
        <v>0</v>
      </c>
      <c r="O32" s="163">
        <f t="shared" si="1"/>
        <v>0</v>
      </c>
      <c r="P32" s="163">
        <f t="shared" si="2"/>
        <v>0</v>
      </c>
      <c r="Q32" s="163">
        <f t="shared" si="3"/>
        <v>0</v>
      </c>
      <c r="R32" s="133" t="str">
        <f>VLOOKUP(E32,Mapping!$E$11:$G$96,3,0)</f>
        <v>Metering Opex</v>
      </c>
      <c r="T32" s="160">
        <v>0</v>
      </c>
      <c r="U32" s="160">
        <v>0</v>
      </c>
      <c r="V32" s="160">
        <v>0</v>
      </c>
      <c r="W32" s="160">
        <v>0</v>
      </c>
      <c r="X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D32" s="160">
        <v>0</v>
      </c>
      <c r="BE32" s="160">
        <v>0</v>
      </c>
      <c r="BF32" s="160">
        <v>0</v>
      </c>
      <c r="BG32" s="160">
        <v>0</v>
      </c>
      <c r="BH32" s="160">
        <v>0</v>
      </c>
      <c r="BJ32" s="160">
        <v>0</v>
      </c>
      <c r="BK32" s="160">
        <v>0</v>
      </c>
      <c r="BL32" s="160">
        <v>0</v>
      </c>
      <c r="BM32" s="160">
        <v>0</v>
      </c>
      <c r="BN32" s="160">
        <v>0</v>
      </c>
    </row>
    <row r="33" spans="1:66" x14ac:dyDescent="0.2">
      <c r="A33" s="7"/>
      <c r="B33" s="7"/>
      <c r="C33" s="7"/>
      <c r="D33" s="7"/>
      <c r="E33" s="39">
        <v>130</v>
      </c>
      <c r="F33" s="39" t="s">
        <v>2238</v>
      </c>
      <c r="G33" s="54">
        <f>SUMPRODUCT(--('Input|Historical Data'!$E$9:$E$3279=$E33),--('Input|Historical Data'!$M$9:$M$3279="ENDirect"),--('Input|Historical Data'!$O$9:$O$3279="SCS"),'Input|Historical Data'!$I$9:$I$3279)</f>
        <v>0</v>
      </c>
      <c r="H33" s="54">
        <f>'Calc|Weightings'!J33</f>
        <v>0</v>
      </c>
      <c r="I33" s="54">
        <f>'Calc|Weightings'!T33</f>
        <v>0</v>
      </c>
      <c r="J33" s="54">
        <f>'Calc|Weightings'!AD33</f>
        <v>0</v>
      </c>
      <c r="K33" s="41">
        <v>0</v>
      </c>
      <c r="L33" s="41">
        <v>0</v>
      </c>
      <c r="M33" s="163">
        <f t="shared" si="4"/>
        <v>0</v>
      </c>
      <c r="N33" s="163">
        <f t="shared" si="0"/>
        <v>0</v>
      </c>
      <c r="O33" s="163">
        <f t="shared" si="1"/>
        <v>0</v>
      </c>
      <c r="P33" s="163">
        <f t="shared" si="2"/>
        <v>0</v>
      </c>
      <c r="Q33" s="163">
        <f t="shared" si="3"/>
        <v>0</v>
      </c>
      <c r="R33" s="133" t="str">
        <f>VLOOKUP(E33,Mapping!$E$11:$G$96,3,0)</f>
        <v>Fee Based Opex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Z33" s="160">
        <v>0</v>
      </c>
      <c r="AA33" s="160">
        <v>0</v>
      </c>
      <c r="AB33" s="160">
        <v>0</v>
      </c>
      <c r="AC33" s="160">
        <v>0</v>
      </c>
      <c r="AD33" s="160">
        <v>0</v>
      </c>
      <c r="AF33" s="160">
        <v>0</v>
      </c>
      <c r="AG33" s="160">
        <v>0</v>
      </c>
      <c r="AH33" s="160">
        <v>0</v>
      </c>
      <c r="AI33" s="160">
        <v>0</v>
      </c>
      <c r="AJ33" s="160">
        <v>0</v>
      </c>
      <c r="AL33" s="160">
        <v>0</v>
      </c>
      <c r="AM33" s="160">
        <v>0</v>
      </c>
      <c r="AN33" s="160">
        <v>0</v>
      </c>
      <c r="AO33" s="160">
        <v>0</v>
      </c>
      <c r="AP33" s="160">
        <v>0</v>
      </c>
      <c r="AR33" s="160">
        <v>0</v>
      </c>
      <c r="AS33" s="160">
        <v>0</v>
      </c>
      <c r="AT33" s="160">
        <v>0</v>
      </c>
      <c r="AU33" s="160">
        <v>0</v>
      </c>
      <c r="AV33" s="160">
        <v>0</v>
      </c>
      <c r="AX33" s="160">
        <v>0</v>
      </c>
      <c r="AY33" s="160">
        <v>0</v>
      </c>
      <c r="AZ33" s="160">
        <v>0</v>
      </c>
      <c r="BA33" s="160">
        <v>0</v>
      </c>
      <c r="BB33" s="160">
        <v>0</v>
      </c>
      <c r="BD33" s="160">
        <v>0</v>
      </c>
      <c r="BE33" s="160">
        <v>0</v>
      </c>
      <c r="BF33" s="160">
        <v>0</v>
      </c>
      <c r="BG33" s="160">
        <v>0</v>
      </c>
      <c r="BH33" s="160">
        <v>0</v>
      </c>
      <c r="BJ33" s="160">
        <v>0</v>
      </c>
      <c r="BK33" s="160">
        <v>0</v>
      </c>
      <c r="BL33" s="160">
        <v>0</v>
      </c>
      <c r="BM33" s="160">
        <v>0</v>
      </c>
      <c r="BN33" s="160">
        <v>0</v>
      </c>
    </row>
    <row r="34" spans="1:66" x14ac:dyDescent="0.2">
      <c r="A34" s="7"/>
      <c r="B34" s="7"/>
      <c r="C34" s="7"/>
      <c r="D34" s="7"/>
      <c r="E34" s="39">
        <v>131</v>
      </c>
      <c r="F34" s="39" t="s">
        <v>2239</v>
      </c>
      <c r="G34" s="54">
        <f>SUMPRODUCT(--('Input|Historical Data'!$E$9:$E$3279=$E34),--('Input|Historical Data'!$M$9:$M$3279="ENDirect"),--('Input|Historical Data'!$O$9:$O$3279="SCS"),'Input|Historical Data'!$I$9:$I$3279)</f>
        <v>3209.2826800000003</v>
      </c>
      <c r="H34" s="54">
        <f>'Calc|Weightings'!J34</f>
        <v>4883.8012400000016</v>
      </c>
      <c r="I34" s="54">
        <f>'Calc|Weightings'!T34</f>
        <v>4460.6827700000003</v>
      </c>
      <c r="J34" s="54">
        <f>'Calc|Weightings'!AD34</f>
        <v>3004.6051466049935</v>
      </c>
      <c r="K34" s="41">
        <v>3589.672577359534</v>
      </c>
      <c r="L34" s="41">
        <v>5690.8708982572298</v>
      </c>
      <c r="M34" s="163">
        <f t="shared" si="4"/>
        <v>0</v>
      </c>
      <c r="N34" s="163">
        <f t="shared" si="0"/>
        <v>0</v>
      </c>
      <c r="O34" s="163">
        <f t="shared" si="1"/>
        <v>0</v>
      </c>
      <c r="P34" s="163">
        <f t="shared" si="2"/>
        <v>0</v>
      </c>
      <c r="Q34" s="163">
        <f t="shared" si="3"/>
        <v>0</v>
      </c>
      <c r="R34" s="133" t="str">
        <f>VLOOKUP(E34,Mapping!$E$11:$G$96,3,0)</f>
        <v>Replacement</v>
      </c>
      <c r="T34" s="160">
        <v>0</v>
      </c>
      <c r="U34" s="160">
        <v>0</v>
      </c>
      <c r="V34" s="160">
        <v>0</v>
      </c>
      <c r="W34" s="160">
        <v>0</v>
      </c>
      <c r="X34" s="160">
        <v>0</v>
      </c>
      <c r="Z34" s="160">
        <v>0</v>
      </c>
      <c r="AA34" s="160">
        <v>0</v>
      </c>
      <c r="AB34" s="160">
        <v>0</v>
      </c>
      <c r="AC34" s="160">
        <v>0</v>
      </c>
      <c r="AD34" s="160">
        <v>0</v>
      </c>
      <c r="AF34" s="160">
        <v>0</v>
      </c>
      <c r="AG34" s="160">
        <v>0</v>
      </c>
      <c r="AH34" s="160">
        <v>0</v>
      </c>
      <c r="AI34" s="160">
        <v>0</v>
      </c>
      <c r="AJ34" s="160">
        <v>0</v>
      </c>
      <c r="AL34" s="160">
        <v>0</v>
      </c>
      <c r="AM34" s="160">
        <v>0</v>
      </c>
      <c r="AN34" s="160">
        <v>0</v>
      </c>
      <c r="AO34" s="160">
        <v>0</v>
      </c>
      <c r="AP34" s="160">
        <v>0</v>
      </c>
      <c r="AR34" s="160">
        <v>0</v>
      </c>
      <c r="AS34" s="160">
        <v>0</v>
      </c>
      <c r="AT34" s="160">
        <v>0</v>
      </c>
      <c r="AU34" s="160">
        <v>0</v>
      </c>
      <c r="AV34" s="160">
        <v>0</v>
      </c>
      <c r="AX34" s="160">
        <v>0</v>
      </c>
      <c r="AY34" s="160">
        <v>0</v>
      </c>
      <c r="AZ34" s="160">
        <v>0</v>
      </c>
      <c r="BA34" s="160">
        <v>0</v>
      </c>
      <c r="BB34" s="160">
        <v>0</v>
      </c>
      <c r="BD34" s="160">
        <v>0</v>
      </c>
      <c r="BE34" s="160">
        <v>0</v>
      </c>
      <c r="BF34" s="160">
        <v>0</v>
      </c>
      <c r="BG34" s="160">
        <v>0</v>
      </c>
      <c r="BH34" s="160">
        <v>0</v>
      </c>
      <c r="BJ34" s="160">
        <v>0</v>
      </c>
      <c r="BK34" s="160">
        <v>0</v>
      </c>
      <c r="BL34" s="160">
        <v>0</v>
      </c>
      <c r="BM34" s="160">
        <v>0</v>
      </c>
      <c r="BN34" s="160">
        <v>0</v>
      </c>
    </row>
    <row r="35" spans="1:66" x14ac:dyDescent="0.2">
      <c r="A35" s="7"/>
      <c r="B35" s="7"/>
      <c r="C35" s="7"/>
      <c r="D35" s="7"/>
      <c r="E35" s="39">
        <v>132</v>
      </c>
      <c r="F35" s="39" t="s">
        <v>2240</v>
      </c>
      <c r="G35" s="54">
        <f>SUMPRODUCT(--('Input|Historical Data'!$E$9:$E$3279=$E35),--('Input|Historical Data'!$M$9:$M$3279="ENDirect"),--('Input|Historical Data'!$O$9:$O$3279="SCS"),'Input|Historical Data'!$I$9:$I$3279)</f>
        <v>0</v>
      </c>
      <c r="H35" s="54">
        <f>'Calc|Weightings'!J35</f>
        <v>0</v>
      </c>
      <c r="I35" s="54">
        <f>'Calc|Weightings'!T35</f>
        <v>0</v>
      </c>
      <c r="J35" s="54">
        <f>'Calc|Weightings'!AD35</f>
        <v>0</v>
      </c>
      <c r="K35" s="41">
        <v>0</v>
      </c>
      <c r="L35" s="41">
        <v>0</v>
      </c>
      <c r="M35" s="163">
        <f t="shared" si="4"/>
        <v>0</v>
      </c>
      <c r="N35" s="163">
        <f t="shared" si="0"/>
        <v>0</v>
      </c>
      <c r="O35" s="163">
        <f t="shared" si="1"/>
        <v>0</v>
      </c>
      <c r="P35" s="163">
        <f t="shared" si="2"/>
        <v>0</v>
      </c>
      <c r="Q35" s="163">
        <f t="shared" si="3"/>
        <v>0</v>
      </c>
      <c r="R35" s="133" t="str">
        <f>VLOOKUP(E35,Mapping!$E$11:$G$96,3,0)</f>
        <v>Metering Capex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Z35" s="160">
        <v>0</v>
      </c>
      <c r="AA35" s="160">
        <v>0</v>
      </c>
      <c r="AB35" s="160">
        <v>0</v>
      </c>
      <c r="AC35" s="160">
        <v>0</v>
      </c>
      <c r="AD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L35" s="160">
        <v>0</v>
      </c>
      <c r="AM35" s="160">
        <v>0</v>
      </c>
      <c r="AN35" s="160">
        <v>0</v>
      </c>
      <c r="AO35" s="160">
        <v>0</v>
      </c>
      <c r="AP35" s="160">
        <v>0</v>
      </c>
      <c r="AR35" s="160">
        <v>0</v>
      </c>
      <c r="AS35" s="160">
        <v>0</v>
      </c>
      <c r="AT35" s="160">
        <v>0</v>
      </c>
      <c r="AU35" s="160">
        <v>0</v>
      </c>
      <c r="AV35" s="160">
        <v>0</v>
      </c>
      <c r="AX35" s="160">
        <v>0</v>
      </c>
      <c r="AY35" s="160">
        <v>0</v>
      </c>
      <c r="AZ35" s="160">
        <v>0</v>
      </c>
      <c r="BA35" s="160">
        <v>0</v>
      </c>
      <c r="BB35" s="160">
        <v>0</v>
      </c>
      <c r="BD35" s="160">
        <v>0</v>
      </c>
      <c r="BE35" s="160">
        <v>0</v>
      </c>
      <c r="BF35" s="160">
        <v>0</v>
      </c>
      <c r="BG35" s="160">
        <v>0</v>
      </c>
      <c r="BH35" s="160">
        <v>0</v>
      </c>
      <c r="BJ35" s="160">
        <v>0</v>
      </c>
      <c r="BK35" s="160">
        <v>0</v>
      </c>
      <c r="BL35" s="160">
        <v>0</v>
      </c>
      <c r="BM35" s="160">
        <v>0</v>
      </c>
      <c r="BN35" s="160">
        <v>0</v>
      </c>
    </row>
    <row r="36" spans="1:66" x14ac:dyDescent="0.2">
      <c r="A36" s="7"/>
      <c r="B36" s="7"/>
      <c r="C36" s="7"/>
      <c r="D36" s="7"/>
      <c r="E36" s="39">
        <v>133</v>
      </c>
      <c r="F36" s="39" t="s">
        <v>2241</v>
      </c>
      <c r="G36" s="54">
        <f>SUMPRODUCT(--('Input|Historical Data'!$E$9:$E$3279=$E36),--('Input|Historical Data'!$M$9:$M$3279="ENDirect"),--('Input|Historical Data'!$O$9:$O$3279="SCS"),'Input|Historical Data'!$I$9:$I$3279)</f>
        <v>0</v>
      </c>
      <c r="H36" s="54">
        <f>'Calc|Weightings'!J36</f>
        <v>0</v>
      </c>
      <c r="I36" s="54">
        <f>'Calc|Weightings'!T36</f>
        <v>0</v>
      </c>
      <c r="J36" s="54">
        <f>'Calc|Weightings'!AD36</f>
        <v>0</v>
      </c>
      <c r="K36" s="41">
        <v>0</v>
      </c>
      <c r="L36" s="41">
        <v>0</v>
      </c>
      <c r="M36" s="163">
        <f t="shared" si="4"/>
        <v>0</v>
      </c>
      <c r="N36" s="163">
        <f t="shared" si="0"/>
        <v>0</v>
      </c>
      <c r="O36" s="163">
        <f t="shared" si="1"/>
        <v>0</v>
      </c>
      <c r="P36" s="163">
        <f t="shared" si="2"/>
        <v>0</v>
      </c>
      <c r="Q36" s="163">
        <f t="shared" si="3"/>
        <v>0</v>
      </c>
      <c r="R36" s="133" t="str">
        <f>VLOOKUP(E36,Mapping!$E$11:$G$96,3,0)</f>
        <v>Metering Capex</v>
      </c>
      <c r="T36" s="160">
        <v>0</v>
      </c>
      <c r="U36" s="160">
        <v>0</v>
      </c>
      <c r="V36" s="160">
        <v>0</v>
      </c>
      <c r="W36" s="160">
        <v>0</v>
      </c>
      <c r="X36" s="160">
        <v>0</v>
      </c>
      <c r="Z36" s="160">
        <v>0</v>
      </c>
      <c r="AA36" s="160">
        <v>0</v>
      </c>
      <c r="AB36" s="160">
        <v>0</v>
      </c>
      <c r="AC36" s="160">
        <v>0</v>
      </c>
      <c r="AD36" s="160">
        <v>0</v>
      </c>
      <c r="AF36" s="160">
        <v>0</v>
      </c>
      <c r="AG36" s="160">
        <v>0</v>
      </c>
      <c r="AH36" s="160">
        <v>0</v>
      </c>
      <c r="AI36" s="160">
        <v>0</v>
      </c>
      <c r="AJ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R36" s="160">
        <v>0</v>
      </c>
      <c r="AS36" s="160">
        <v>0</v>
      </c>
      <c r="AT36" s="160">
        <v>0</v>
      </c>
      <c r="AU36" s="160">
        <v>0</v>
      </c>
      <c r="AV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D36" s="160">
        <v>0</v>
      </c>
      <c r="BE36" s="160">
        <v>0</v>
      </c>
      <c r="BF36" s="160">
        <v>0</v>
      </c>
      <c r="BG36" s="160">
        <v>0</v>
      </c>
      <c r="BH36" s="160">
        <v>0</v>
      </c>
      <c r="BJ36" s="160">
        <v>0</v>
      </c>
      <c r="BK36" s="160">
        <v>0</v>
      </c>
      <c r="BL36" s="160">
        <v>0</v>
      </c>
      <c r="BM36" s="160">
        <v>0</v>
      </c>
      <c r="BN36" s="160">
        <v>0</v>
      </c>
    </row>
    <row r="37" spans="1:66" x14ac:dyDescent="0.2">
      <c r="A37" s="7"/>
      <c r="B37" s="7"/>
      <c r="C37" s="7"/>
      <c r="D37" s="7"/>
      <c r="E37" s="39">
        <v>134</v>
      </c>
      <c r="F37" s="39" t="s">
        <v>2242</v>
      </c>
      <c r="G37" s="54">
        <f>SUMPRODUCT(--('Input|Historical Data'!$E$9:$E$3279=$E37),--('Input|Historical Data'!$M$9:$M$3279="ENDirect"),--('Input|Historical Data'!$O$9:$O$3279="SCS"),'Input|Historical Data'!$I$9:$I$3279)</f>
        <v>0</v>
      </c>
      <c r="H37" s="54">
        <f>'Calc|Weightings'!J37</f>
        <v>0</v>
      </c>
      <c r="I37" s="54">
        <f>'Calc|Weightings'!T37</f>
        <v>0</v>
      </c>
      <c r="J37" s="54">
        <f>'Calc|Weightings'!AD37</f>
        <v>0</v>
      </c>
      <c r="K37" s="41">
        <v>0</v>
      </c>
      <c r="L37" s="41">
        <v>0</v>
      </c>
      <c r="M37" s="163">
        <f t="shared" si="4"/>
        <v>0</v>
      </c>
      <c r="N37" s="163">
        <f t="shared" si="0"/>
        <v>0</v>
      </c>
      <c r="O37" s="163">
        <f t="shared" si="1"/>
        <v>0</v>
      </c>
      <c r="P37" s="163">
        <f t="shared" si="2"/>
        <v>0</v>
      </c>
      <c r="Q37" s="163">
        <f t="shared" si="3"/>
        <v>0</v>
      </c>
      <c r="R37" s="133" t="str">
        <f>VLOOKUP(E37,Mapping!$E$11:$G$96,3,0)</f>
        <v>Metering Capex</v>
      </c>
      <c r="T37" s="160">
        <v>0</v>
      </c>
      <c r="U37" s="160">
        <v>0</v>
      </c>
      <c r="V37" s="160">
        <v>0</v>
      </c>
      <c r="W37" s="160">
        <v>0</v>
      </c>
      <c r="X37" s="160">
        <v>0</v>
      </c>
      <c r="Z37" s="160">
        <v>0</v>
      </c>
      <c r="AA37" s="160">
        <v>0</v>
      </c>
      <c r="AB37" s="160">
        <v>0</v>
      </c>
      <c r="AC37" s="160">
        <v>0</v>
      </c>
      <c r="AD37" s="160">
        <v>0</v>
      </c>
      <c r="AF37" s="160">
        <v>0</v>
      </c>
      <c r="AG37" s="160">
        <v>0</v>
      </c>
      <c r="AH37" s="160">
        <v>0</v>
      </c>
      <c r="AI37" s="160">
        <v>0</v>
      </c>
      <c r="AJ37" s="160">
        <v>0</v>
      </c>
      <c r="AL37" s="160">
        <v>0</v>
      </c>
      <c r="AM37" s="160">
        <v>0</v>
      </c>
      <c r="AN37" s="160">
        <v>0</v>
      </c>
      <c r="AO37" s="160">
        <v>0</v>
      </c>
      <c r="AP37" s="160">
        <v>0</v>
      </c>
      <c r="AR37" s="160">
        <v>0</v>
      </c>
      <c r="AS37" s="160">
        <v>0</v>
      </c>
      <c r="AT37" s="160">
        <v>0</v>
      </c>
      <c r="AU37" s="160">
        <v>0</v>
      </c>
      <c r="AV37" s="160">
        <v>0</v>
      </c>
      <c r="AX37" s="160">
        <v>0</v>
      </c>
      <c r="AY37" s="160">
        <v>0</v>
      </c>
      <c r="AZ37" s="160">
        <v>0</v>
      </c>
      <c r="BA37" s="160">
        <v>0</v>
      </c>
      <c r="BB37" s="160">
        <v>0</v>
      </c>
      <c r="BD37" s="160">
        <v>0</v>
      </c>
      <c r="BE37" s="160">
        <v>0</v>
      </c>
      <c r="BF37" s="160">
        <v>0</v>
      </c>
      <c r="BG37" s="160">
        <v>0</v>
      </c>
      <c r="BH37" s="160">
        <v>0</v>
      </c>
      <c r="BJ37" s="160">
        <v>0</v>
      </c>
      <c r="BK37" s="160">
        <v>0</v>
      </c>
      <c r="BL37" s="160">
        <v>0</v>
      </c>
      <c r="BM37" s="160">
        <v>0</v>
      </c>
      <c r="BN37" s="160">
        <v>0</v>
      </c>
    </row>
    <row r="38" spans="1:66" x14ac:dyDescent="0.2">
      <c r="A38" s="7"/>
      <c r="B38" s="7"/>
      <c r="C38" s="7"/>
      <c r="D38" s="7"/>
      <c r="E38" s="39">
        <v>135</v>
      </c>
      <c r="F38" s="39" t="s">
        <v>2243</v>
      </c>
      <c r="G38" s="54">
        <f>SUMPRODUCT(--('Input|Historical Data'!$E$9:$E$3279=$E38),--('Input|Historical Data'!$M$9:$M$3279="ENDirect"),--('Input|Historical Data'!$O$9:$O$3279="SCS"),'Input|Historical Data'!$I$9:$I$3279)</f>
        <v>0</v>
      </c>
      <c r="H38" s="54">
        <f>'Calc|Weightings'!J38</f>
        <v>0</v>
      </c>
      <c r="I38" s="54">
        <f>'Calc|Weightings'!T38</f>
        <v>0</v>
      </c>
      <c r="J38" s="54">
        <f>'Calc|Weightings'!AD38</f>
        <v>0</v>
      </c>
      <c r="K38" s="41">
        <v>0</v>
      </c>
      <c r="L38" s="41">
        <v>0</v>
      </c>
      <c r="M38" s="163">
        <f t="shared" si="4"/>
        <v>0</v>
      </c>
      <c r="N38" s="163">
        <f t="shared" si="0"/>
        <v>0</v>
      </c>
      <c r="O38" s="163">
        <f t="shared" si="1"/>
        <v>0</v>
      </c>
      <c r="P38" s="163">
        <f t="shared" si="2"/>
        <v>0</v>
      </c>
      <c r="Q38" s="163">
        <f t="shared" si="3"/>
        <v>0</v>
      </c>
      <c r="R38" s="133" t="str">
        <f>VLOOKUP(E38,Mapping!$E$11:$G$96,3,0)</f>
        <v>Metering Capex</v>
      </c>
      <c r="T38" s="160">
        <v>0</v>
      </c>
      <c r="U38" s="160">
        <v>0</v>
      </c>
      <c r="V38" s="160">
        <v>0</v>
      </c>
      <c r="W38" s="160">
        <v>0</v>
      </c>
      <c r="X38" s="160">
        <v>0</v>
      </c>
      <c r="Z38" s="160">
        <v>0</v>
      </c>
      <c r="AA38" s="160">
        <v>0</v>
      </c>
      <c r="AB38" s="160">
        <v>0</v>
      </c>
      <c r="AC38" s="160">
        <v>0</v>
      </c>
      <c r="AD38" s="160">
        <v>0</v>
      </c>
      <c r="AF38" s="160">
        <v>0</v>
      </c>
      <c r="AG38" s="160">
        <v>0</v>
      </c>
      <c r="AH38" s="160">
        <v>0</v>
      </c>
      <c r="AI38" s="160">
        <v>0</v>
      </c>
      <c r="AJ38" s="160">
        <v>0</v>
      </c>
      <c r="AL38" s="160">
        <v>0</v>
      </c>
      <c r="AM38" s="160">
        <v>0</v>
      </c>
      <c r="AN38" s="160">
        <v>0</v>
      </c>
      <c r="AO38" s="160">
        <v>0</v>
      </c>
      <c r="AP38" s="160">
        <v>0</v>
      </c>
      <c r="AR38" s="160">
        <v>0</v>
      </c>
      <c r="AS38" s="160">
        <v>0</v>
      </c>
      <c r="AT38" s="160">
        <v>0</v>
      </c>
      <c r="AU38" s="160">
        <v>0</v>
      </c>
      <c r="AV38" s="160">
        <v>0</v>
      </c>
      <c r="AX38" s="160">
        <v>0</v>
      </c>
      <c r="AY38" s="160">
        <v>0</v>
      </c>
      <c r="AZ38" s="160">
        <v>0</v>
      </c>
      <c r="BA38" s="160">
        <v>0</v>
      </c>
      <c r="BB38" s="160">
        <v>0</v>
      </c>
      <c r="BD38" s="160">
        <v>0</v>
      </c>
      <c r="BE38" s="160">
        <v>0</v>
      </c>
      <c r="BF38" s="160">
        <v>0</v>
      </c>
      <c r="BG38" s="160">
        <v>0</v>
      </c>
      <c r="BH38" s="160">
        <v>0</v>
      </c>
      <c r="BJ38" s="160">
        <v>0</v>
      </c>
      <c r="BK38" s="160">
        <v>0</v>
      </c>
      <c r="BL38" s="160">
        <v>0</v>
      </c>
      <c r="BM38" s="160">
        <v>0</v>
      </c>
      <c r="BN38" s="160">
        <v>0</v>
      </c>
    </row>
    <row r="39" spans="1:66" x14ac:dyDescent="0.2">
      <c r="A39" s="7"/>
      <c r="B39" s="7"/>
      <c r="C39" s="7"/>
      <c r="D39" s="7"/>
      <c r="E39" s="39">
        <v>136</v>
      </c>
      <c r="F39" s="39" t="s">
        <v>2244</v>
      </c>
      <c r="G39" s="54">
        <f>SUMPRODUCT(--('Input|Historical Data'!$E$9:$E$3279=$E39),--('Input|Historical Data'!$M$9:$M$3279="ENDirect"),--('Input|Historical Data'!$O$9:$O$3279="SCS"),'Input|Historical Data'!$I$9:$I$3279)</f>
        <v>0</v>
      </c>
      <c r="H39" s="54">
        <f>'Calc|Weightings'!J39</f>
        <v>0</v>
      </c>
      <c r="I39" s="54">
        <f>'Calc|Weightings'!T39</f>
        <v>0</v>
      </c>
      <c r="J39" s="54">
        <f>'Calc|Weightings'!AD39</f>
        <v>0</v>
      </c>
      <c r="K39" s="41">
        <v>0</v>
      </c>
      <c r="L39" s="41">
        <v>0</v>
      </c>
      <c r="M39" s="163">
        <f t="shared" si="4"/>
        <v>0</v>
      </c>
      <c r="N39" s="163">
        <f t="shared" si="0"/>
        <v>0</v>
      </c>
      <c r="O39" s="163">
        <f t="shared" si="1"/>
        <v>0</v>
      </c>
      <c r="P39" s="163">
        <f t="shared" si="2"/>
        <v>0</v>
      </c>
      <c r="Q39" s="163">
        <f t="shared" si="3"/>
        <v>0</v>
      </c>
      <c r="R39" s="133" t="str">
        <f>VLOOKUP(E39,Mapping!$E$11:$G$96,3,0)</f>
        <v>Metering Capex</v>
      </c>
      <c r="T39" s="160">
        <v>0</v>
      </c>
      <c r="U39" s="160">
        <v>0</v>
      </c>
      <c r="V39" s="160">
        <v>0</v>
      </c>
      <c r="W39" s="160">
        <v>0</v>
      </c>
      <c r="X39" s="160">
        <v>0</v>
      </c>
      <c r="Z39" s="160">
        <v>0</v>
      </c>
      <c r="AA39" s="160">
        <v>0</v>
      </c>
      <c r="AB39" s="160">
        <v>0</v>
      </c>
      <c r="AC39" s="160">
        <v>0</v>
      </c>
      <c r="AD39" s="160">
        <v>0</v>
      </c>
      <c r="AF39" s="160">
        <v>0</v>
      </c>
      <c r="AG39" s="160">
        <v>0</v>
      </c>
      <c r="AH39" s="160">
        <v>0</v>
      </c>
      <c r="AI39" s="160">
        <v>0</v>
      </c>
      <c r="AJ39" s="160">
        <v>0</v>
      </c>
      <c r="AL39" s="160">
        <v>0</v>
      </c>
      <c r="AM39" s="160">
        <v>0</v>
      </c>
      <c r="AN39" s="160">
        <v>0</v>
      </c>
      <c r="AO39" s="160">
        <v>0</v>
      </c>
      <c r="AP39" s="160">
        <v>0</v>
      </c>
      <c r="AR39" s="160">
        <v>0</v>
      </c>
      <c r="AS39" s="160">
        <v>0</v>
      </c>
      <c r="AT39" s="160">
        <v>0</v>
      </c>
      <c r="AU39" s="160">
        <v>0</v>
      </c>
      <c r="AV39" s="160">
        <v>0</v>
      </c>
      <c r="AX39" s="160">
        <v>0</v>
      </c>
      <c r="AY39" s="160">
        <v>0</v>
      </c>
      <c r="AZ39" s="160">
        <v>0</v>
      </c>
      <c r="BA39" s="160">
        <v>0</v>
      </c>
      <c r="BB39" s="160">
        <v>0</v>
      </c>
      <c r="BD39" s="160">
        <v>0</v>
      </c>
      <c r="BE39" s="160">
        <v>0</v>
      </c>
      <c r="BF39" s="160">
        <v>0</v>
      </c>
      <c r="BG39" s="160">
        <v>0</v>
      </c>
      <c r="BH39" s="160">
        <v>0</v>
      </c>
      <c r="BJ39" s="160">
        <v>0</v>
      </c>
      <c r="BK39" s="160">
        <v>0</v>
      </c>
      <c r="BL39" s="160">
        <v>0</v>
      </c>
      <c r="BM39" s="160">
        <v>0</v>
      </c>
      <c r="BN39" s="160">
        <v>0</v>
      </c>
    </row>
    <row r="40" spans="1:66" x14ac:dyDescent="0.2">
      <c r="A40" s="7"/>
      <c r="B40" s="7"/>
      <c r="C40" s="7"/>
      <c r="D40" s="7"/>
      <c r="E40" s="39">
        <v>137</v>
      </c>
      <c r="F40" s="39" t="s">
        <v>2245</v>
      </c>
      <c r="G40" s="54">
        <f>SUMPRODUCT(--('Input|Historical Data'!$E$9:$E$3279=$E40),--('Input|Historical Data'!$M$9:$M$3279="ENDirect"),--('Input|Historical Data'!$O$9:$O$3279="SCS"),'Input|Historical Data'!$I$9:$I$3279)</f>
        <v>0</v>
      </c>
      <c r="H40" s="54">
        <f>'Calc|Weightings'!J40</f>
        <v>0</v>
      </c>
      <c r="I40" s="54">
        <f>'Calc|Weightings'!T40</f>
        <v>0</v>
      </c>
      <c r="J40" s="54">
        <f>'Calc|Weightings'!AD40</f>
        <v>0</v>
      </c>
      <c r="K40" s="41">
        <v>0</v>
      </c>
      <c r="L40" s="41">
        <v>0</v>
      </c>
      <c r="M40" s="163">
        <f t="shared" si="4"/>
        <v>0</v>
      </c>
      <c r="N40" s="163">
        <f t="shared" si="0"/>
        <v>0</v>
      </c>
      <c r="O40" s="163">
        <f t="shared" si="1"/>
        <v>0</v>
      </c>
      <c r="P40" s="163">
        <f t="shared" si="2"/>
        <v>0</v>
      </c>
      <c r="Q40" s="163">
        <f t="shared" si="3"/>
        <v>0</v>
      </c>
      <c r="R40" s="133" t="str">
        <f>VLOOKUP(E40,Mapping!$E$11:$G$96,3,0)</f>
        <v>Metering Capex</v>
      </c>
      <c r="T40" s="160">
        <v>0</v>
      </c>
      <c r="U40" s="160">
        <v>0</v>
      </c>
      <c r="V40" s="160">
        <v>0</v>
      </c>
      <c r="W40" s="160">
        <v>0</v>
      </c>
      <c r="X40" s="160">
        <v>0</v>
      </c>
      <c r="Z40" s="160">
        <v>0</v>
      </c>
      <c r="AA40" s="160">
        <v>0</v>
      </c>
      <c r="AB40" s="160">
        <v>0</v>
      </c>
      <c r="AC40" s="160">
        <v>0</v>
      </c>
      <c r="AD40" s="160">
        <v>0</v>
      </c>
      <c r="AF40" s="160">
        <v>0</v>
      </c>
      <c r="AG40" s="160">
        <v>0</v>
      </c>
      <c r="AH40" s="160">
        <v>0</v>
      </c>
      <c r="AI40" s="160">
        <v>0</v>
      </c>
      <c r="AJ40" s="160">
        <v>0</v>
      </c>
      <c r="AL40" s="160">
        <v>0</v>
      </c>
      <c r="AM40" s="160">
        <v>0</v>
      </c>
      <c r="AN40" s="160">
        <v>0</v>
      </c>
      <c r="AO40" s="160">
        <v>0</v>
      </c>
      <c r="AP40" s="160">
        <v>0</v>
      </c>
      <c r="AR40" s="160">
        <v>0</v>
      </c>
      <c r="AS40" s="160">
        <v>0</v>
      </c>
      <c r="AT40" s="160">
        <v>0</v>
      </c>
      <c r="AU40" s="160">
        <v>0</v>
      </c>
      <c r="AV40" s="160">
        <v>0</v>
      </c>
      <c r="AX40" s="160">
        <v>0</v>
      </c>
      <c r="AY40" s="160">
        <v>0</v>
      </c>
      <c r="AZ40" s="160">
        <v>0</v>
      </c>
      <c r="BA40" s="160">
        <v>0</v>
      </c>
      <c r="BB40" s="160">
        <v>0</v>
      </c>
      <c r="BD40" s="160">
        <v>0</v>
      </c>
      <c r="BE40" s="160">
        <v>0</v>
      </c>
      <c r="BF40" s="160">
        <v>0</v>
      </c>
      <c r="BG40" s="160">
        <v>0</v>
      </c>
      <c r="BH40" s="160">
        <v>0</v>
      </c>
      <c r="BJ40" s="160">
        <v>0</v>
      </c>
      <c r="BK40" s="160">
        <v>0</v>
      </c>
      <c r="BL40" s="160">
        <v>0</v>
      </c>
      <c r="BM40" s="160">
        <v>0</v>
      </c>
      <c r="BN40" s="160">
        <v>0</v>
      </c>
    </row>
    <row r="41" spans="1:66" x14ac:dyDescent="0.2">
      <c r="A41" s="7"/>
      <c r="B41" s="7"/>
      <c r="C41" s="7"/>
      <c r="D41" s="7"/>
      <c r="E41" s="39">
        <v>138</v>
      </c>
      <c r="F41" s="39" t="s">
        <v>2246</v>
      </c>
      <c r="G41" s="54">
        <f>SUMPRODUCT(--('Input|Historical Data'!$E$9:$E$3279=$E41),--('Input|Historical Data'!$M$9:$M$3279="ENDirect"),--('Input|Historical Data'!$O$9:$O$3279="SCS"),'Input|Historical Data'!$I$9:$I$3279)</f>
        <v>0</v>
      </c>
      <c r="H41" s="54">
        <f>'Calc|Weightings'!J41</f>
        <v>0</v>
      </c>
      <c r="I41" s="54">
        <f>'Calc|Weightings'!T41</f>
        <v>0</v>
      </c>
      <c r="J41" s="54">
        <f>'Calc|Weightings'!AD41</f>
        <v>0</v>
      </c>
      <c r="K41" s="41">
        <v>0</v>
      </c>
      <c r="L41" s="41">
        <v>0</v>
      </c>
      <c r="M41" s="163">
        <f t="shared" si="4"/>
        <v>0</v>
      </c>
      <c r="N41" s="163">
        <f t="shared" si="0"/>
        <v>0</v>
      </c>
      <c r="O41" s="163">
        <f t="shared" si="1"/>
        <v>0</v>
      </c>
      <c r="P41" s="163">
        <f t="shared" si="2"/>
        <v>0</v>
      </c>
      <c r="Q41" s="163">
        <f t="shared" si="3"/>
        <v>0</v>
      </c>
      <c r="R41" s="133" t="str">
        <f>VLOOKUP(E41,Mapping!$E$11:$G$96,3,0)</f>
        <v>Metering Capex</v>
      </c>
      <c r="T41" s="160">
        <v>0</v>
      </c>
      <c r="U41" s="160">
        <v>0</v>
      </c>
      <c r="V41" s="160">
        <v>0</v>
      </c>
      <c r="W41" s="160">
        <v>0</v>
      </c>
      <c r="X41" s="160">
        <v>0</v>
      </c>
      <c r="Z41" s="160">
        <v>0</v>
      </c>
      <c r="AA41" s="160">
        <v>0</v>
      </c>
      <c r="AB41" s="160">
        <v>0</v>
      </c>
      <c r="AC41" s="160">
        <v>0</v>
      </c>
      <c r="AD41" s="160">
        <v>0</v>
      </c>
      <c r="AF41" s="160">
        <v>0</v>
      </c>
      <c r="AG41" s="160">
        <v>0</v>
      </c>
      <c r="AH41" s="160">
        <v>0</v>
      </c>
      <c r="AI41" s="160">
        <v>0</v>
      </c>
      <c r="AJ41" s="160">
        <v>0</v>
      </c>
      <c r="AL41" s="160">
        <v>0</v>
      </c>
      <c r="AM41" s="160">
        <v>0</v>
      </c>
      <c r="AN41" s="160">
        <v>0</v>
      </c>
      <c r="AO41" s="160">
        <v>0</v>
      </c>
      <c r="AP41" s="160">
        <v>0</v>
      </c>
      <c r="AR41" s="160">
        <v>0</v>
      </c>
      <c r="AS41" s="160">
        <v>0</v>
      </c>
      <c r="AT41" s="160">
        <v>0</v>
      </c>
      <c r="AU41" s="160">
        <v>0</v>
      </c>
      <c r="AV41" s="160">
        <v>0</v>
      </c>
      <c r="AX41" s="160">
        <v>0</v>
      </c>
      <c r="AY41" s="160">
        <v>0</v>
      </c>
      <c r="AZ41" s="160">
        <v>0</v>
      </c>
      <c r="BA41" s="160">
        <v>0</v>
      </c>
      <c r="BB41" s="160">
        <v>0</v>
      </c>
      <c r="BD41" s="160">
        <v>0</v>
      </c>
      <c r="BE41" s="160">
        <v>0</v>
      </c>
      <c r="BF41" s="160">
        <v>0</v>
      </c>
      <c r="BG41" s="160">
        <v>0</v>
      </c>
      <c r="BH41" s="160">
        <v>0</v>
      </c>
      <c r="BJ41" s="160">
        <v>0</v>
      </c>
      <c r="BK41" s="160">
        <v>0</v>
      </c>
      <c r="BL41" s="160">
        <v>0</v>
      </c>
      <c r="BM41" s="160">
        <v>0</v>
      </c>
      <c r="BN41" s="160">
        <v>0</v>
      </c>
    </row>
    <row r="42" spans="1:66" x14ac:dyDescent="0.2">
      <c r="A42" s="7"/>
      <c r="B42" s="7"/>
      <c r="C42" s="7"/>
      <c r="D42" s="7"/>
      <c r="E42" s="39">
        <v>139</v>
      </c>
      <c r="F42" s="39" t="s">
        <v>2247</v>
      </c>
      <c r="G42" s="54">
        <f>SUMPRODUCT(--('Input|Historical Data'!$E$9:$E$3279=$E42),--('Input|Historical Data'!$M$9:$M$3279="ENDirect"),--('Input|Historical Data'!$O$9:$O$3279="SCS"),'Input|Historical Data'!$I$9:$I$3279)</f>
        <v>462.90568999999977</v>
      </c>
      <c r="H42" s="54">
        <f>'Calc|Weightings'!J42</f>
        <v>37.071459999999995</v>
      </c>
      <c r="I42" s="54">
        <f>'Calc|Weightings'!T42</f>
        <v>-2375.8502201834858</v>
      </c>
      <c r="J42" s="54">
        <f>'Calc|Weightings'!AD42</f>
        <v>0</v>
      </c>
      <c r="K42" s="41">
        <v>0</v>
      </c>
      <c r="L42" s="41">
        <v>0</v>
      </c>
      <c r="M42" s="163">
        <f t="shared" si="4"/>
        <v>0</v>
      </c>
      <c r="N42" s="163">
        <f t="shared" si="0"/>
        <v>0</v>
      </c>
      <c r="O42" s="163">
        <f t="shared" si="1"/>
        <v>0</v>
      </c>
      <c r="P42" s="163">
        <f t="shared" si="2"/>
        <v>0</v>
      </c>
      <c r="Q42" s="163">
        <f t="shared" si="3"/>
        <v>0</v>
      </c>
      <c r="R42" s="133" t="str">
        <f>VLOOKUP(E42,Mapping!$E$11:$G$96,3,0)</f>
        <v>Replacement</v>
      </c>
      <c r="T42" s="160">
        <v>0</v>
      </c>
      <c r="U42" s="160">
        <v>0</v>
      </c>
      <c r="V42" s="160">
        <v>0</v>
      </c>
      <c r="W42" s="160">
        <v>0</v>
      </c>
      <c r="X42" s="160">
        <v>0</v>
      </c>
      <c r="Z42" s="160">
        <v>0</v>
      </c>
      <c r="AA42" s="160">
        <v>0</v>
      </c>
      <c r="AB42" s="160">
        <v>0</v>
      </c>
      <c r="AC42" s="160">
        <v>0</v>
      </c>
      <c r="AD42" s="160">
        <v>0</v>
      </c>
      <c r="AF42" s="160">
        <v>0</v>
      </c>
      <c r="AG42" s="160">
        <v>0</v>
      </c>
      <c r="AH42" s="160">
        <v>0</v>
      </c>
      <c r="AI42" s="160">
        <v>0</v>
      </c>
      <c r="AJ42" s="160">
        <v>0</v>
      </c>
      <c r="AL42" s="160">
        <v>0</v>
      </c>
      <c r="AM42" s="160">
        <v>0</v>
      </c>
      <c r="AN42" s="160">
        <v>0</v>
      </c>
      <c r="AO42" s="160">
        <v>0</v>
      </c>
      <c r="AP42" s="160">
        <v>0</v>
      </c>
      <c r="AR42" s="160">
        <v>0</v>
      </c>
      <c r="AS42" s="160">
        <v>0</v>
      </c>
      <c r="AT42" s="160">
        <v>0</v>
      </c>
      <c r="AU42" s="160">
        <v>0</v>
      </c>
      <c r="AV42" s="160">
        <v>0</v>
      </c>
      <c r="AX42" s="160">
        <v>0</v>
      </c>
      <c r="AY42" s="160">
        <v>0</v>
      </c>
      <c r="AZ42" s="160">
        <v>0</v>
      </c>
      <c r="BA42" s="160">
        <v>0</v>
      </c>
      <c r="BB42" s="160">
        <v>0</v>
      </c>
      <c r="BD42" s="160">
        <v>0</v>
      </c>
      <c r="BE42" s="160">
        <v>0</v>
      </c>
      <c r="BF42" s="160">
        <v>0</v>
      </c>
      <c r="BG42" s="160">
        <v>0</v>
      </c>
      <c r="BH42" s="160">
        <v>0</v>
      </c>
      <c r="BJ42" s="160">
        <v>0</v>
      </c>
      <c r="BK42" s="160">
        <v>0</v>
      </c>
      <c r="BL42" s="160">
        <v>0</v>
      </c>
      <c r="BM42" s="160">
        <v>0</v>
      </c>
      <c r="BN42" s="160">
        <v>0</v>
      </c>
    </row>
    <row r="43" spans="1:66" x14ac:dyDescent="0.2">
      <c r="A43" s="7"/>
      <c r="B43" s="7"/>
      <c r="C43" s="7"/>
      <c r="D43" s="7"/>
      <c r="E43" s="39">
        <v>140</v>
      </c>
      <c r="F43" s="39" t="s">
        <v>2248</v>
      </c>
      <c r="G43" s="54">
        <f>SUMPRODUCT(--('Input|Historical Data'!$E$9:$E$3279=$E43),--('Input|Historical Data'!$M$9:$M$3279="ENDirect"),--('Input|Historical Data'!$O$9:$O$3279="SCS"),'Input|Historical Data'!$I$9:$I$3279)</f>
        <v>0</v>
      </c>
      <c r="H43" s="54">
        <f>'Calc|Weightings'!J43</f>
        <v>0</v>
      </c>
      <c r="I43" s="54">
        <f>'Calc|Weightings'!T43</f>
        <v>0</v>
      </c>
      <c r="J43" s="54">
        <f>'Calc|Weightings'!AD43</f>
        <v>0</v>
      </c>
      <c r="K43" s="41">
        <v>0</v>
      </c>
      <c r="L43" s="41">
        <v>0</v>
      </c>
      <c r="M43" s="163">
        <f t="shared" si="4"/>
        <v>0</v>
      </c>
      <c r="N43" s="163">
        <f t="shared" si="0"/>
        <v>0</v>
      </c>
      <c r="O43" s="163">
        <f t="shared" si="1"/>
        <v>0</v>
      </c>
      <c r="P43" s="163">
        <f t="shared" si="2"/>
        <v>0</v>
      </c>
      <c r="Q43" s="163">
        <f t="shared" si="3"/>
        <v>0</v>
      </c>
      <c r="R43" s="133" t="str">
        <f>VLOOKUP(E43,Mapping!$E$11:$G$96,3,0)</f>
        <v>Public lighting Capex</v>
      </c>
      <c r="T43" s="160">
        <v>0</v>
      </c>
      <c r="U43" s="160">
        <v>0</v>
      </c>
      <c r="V43" s="160">
        <v>0</v>
      </c>
      <c r="W43" s="160">
        <v>0</v>
      </c>
      <c r="X43" s="160">
        <v>0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F43" s="160">
        <v>0</v>
      </c>
      <c r="AG43" s="160">
        <v>0</v>
      </c>
      <c r="AH43" s="160">
        <v>0</v>
      </c>
      <c r="AI43" s="160">
        <v>0</v>
      </c>
      <c r="AJ43" s="160">
        <v>0</v>
      </c>
      <c r="AL43" s="160">
        <v>0</v>
      </c>
      <c r="AM43" s="160">
        <v>0</v>
      </c>
      <c r="AN43" s="160">
        <v>0</v>
      </c>
      <c r="AO43" s="160">
        <v>0</v>
      </c>
      <c r="AP43" s="160">
        <v>0</v>
      </c>
      <c r="AR43" s="160">
        <v>0</v>
      </c>
      <c r="AS43" s="160">
        <v>0</v>
      </c>
      <c r="AT43" s="160">
        <v>0</v>
      </c>
      <c r="AU43" s="160">
        <v>0</v>
      </c>
      <c r="AV43" s="160">
        <v>0</v>
      </c>
      <c r="AX43" s="160">
        <v>0</v>
      </c>
      <c r="AY43" s="160">
        <v>0</v>
      </c>
      <c r="AZ43" s="160">
        <v>0</v>
      </c>
      <c r="BA43" s="160">
        <v>0</v>
      </c>
      <c r="BB43" s="160">
        <v>0</v>
      </c>
      <c r="BD43" s="160">
        <v>0</v>
      </c>
      <c r="BE43" s="160">
        <v>0</v>
      </c>
      <c r="BF43" s="160">
        <v>0</v>
      </c>
      <c r="BG43" s="160">
        <v>0</v>
      </c>
      <c r="BH43" s="160">
        <v>0</v>
      </c>
      <c r="BJ43" s="160">
        <v>0</v>
      </c>
      <c r="BK43" s="160">
        <v>0</v>
      </c>
      <c r="BL43" s="160">
        <v>0</v>
      </c>
      <c r="BM43" s="160">
        <v>0</v>
      </c>
      <c r="BN43" s="160">
        <v>0</v>
      </c>
    </row>
    <row r="44" spans="1:66" x14ac:dyDescent="0.2">
      <c r="A44" s="7"/>
      <c r="B44" s="7"/>
      <c r="C44" s="7"/>
      <c r="D44" s="7"/>
      <c r="E44" s="39">
        <v>141</v>
      </c>
      <c r="F44" s="39" t="s">
        <v>2249</v>
      </c>
      <c r="G44" s="54">
        <f>SUMPRODUCT(--('Input|Historical Data'!$E$9:$E$3279=$E44),--('Input|Historical Data'!$M$9:$M$3279="ENDirect"),--('Input|Historical Data'!$O$9:$O$3279="SCS"),'Input|Historical Data'!$I$9:$I$3279)</f>
        <v>2057.8829400000004</v>
      </c>
      <c r="H44" s="54">
        <f>'Calc|Weightings'!J44</f>
        <v>3516.778710000001</v>
      </c>
      <c r="I44" s="54">
        <f>'Calc|Weightings'!T44</f>
        <v>5251.1993300000013</v>
      </c>
      <c r="J44" s="54">
        <f>'Calc|Weightings'!AD44</f>
        <v>5590.7185400000008</v>
      </c>
      <c r="K44" s="41">
        <v>4188.9959291634214</v>
      </c>
      <c r="L44" s="41">
        <v>4600.4330962610702</v>
      </c>
      <c r="M44" s="163">
        <f t="shared" si="4"/>
        <v>4538.3253517703688</v>
      </c>
      <c r="N44" s="163">
        <f t="shared" si="0"/>
        <v>4538.3253517703688</v>
      </c>
      <c r="O44" s="163">
        <f t="shared" si="1"/>
        <v>4538.3253517703688</v>
      </c>
      <c r="P44" s="163">
        <f t="shared" si="2"/>
        <v>4538.3253517703688</v>
      </c>
      <c r="Q44" s="163">
        <f t="shared" si="3"/>
        <v>4538.3253517703688</v>
      </c>
      <c r="R44" s="133" t="str">
        <f>VLOOKUP(E44,Mapping!$E$11:$G$96,3,0)</f>
        <v>Replacement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F44" s="160">
        <v>0</v>
      </c>
      <c r="AG44" s="160">
        <v>0</v>
      </c>
      <c r="AH44" s="160">
        <v>0</v>
      </c>
      <c r="AI44" s="160">
        <v>0</v>
      </c>
      <c r="AJ44" s="160">
        <v>0</v>
      </c>
      <c r="AL44" s="160">
        <v>4538.3253517703688</v>
      </c>
      <c r="AM44" s="160">
        <v>4538.3253517703688</v>
      </c>
      <c r="AN44" s="160">
        <v>4538.3253517703688</v>
      </c>
      <c r="AO44" s="160">
        <v>4538.3253517703688</v>
      </c>
      <c r="AP44" s="160">
        <v>4538.3253517703688</v>
      </c>
      <c r="AR44" s="160">
        <v>0</v>
      </c>
      <c r="AS44" s="160">
        <v>0</v>
      </c>
      <c r="AT44" s="160">
        <v>0</v>
      </c>
      <c r="AU44" s="160">
        <v>0</v>
      </c>
      <c r="AV44" s="160">
        <v>0</v>
      </c>
      <c r="AX44" s="160">
        <v>0</v>
      </c>
      <c r="AY44" s="160">
        <v>0</v>
      </c>
      <c r="AZ44" s="160">
        <v>0</v>
      </c>
      <c r="BA44" s="160">
        <v>0</v>
      </c>
      <c r="BB44" s="160">
        <v>0</v>
      </c>
      <c r="BD44" s="160">
        <v>0</v>
      </c>
      <c r="BE44" s="160">
        <v>0</v>
      </c>
      <c r="BF44" s="160">
        <v>0</v>
      </c>
      <c r="BG44" s="160">
        <v>0</v>
      </c>
      <c r="BH44" s="160">
        <v>0</v>
      </c>
      <c r="BJ44" s="160">
        <v>0</v>
      </c>
      <c r="BK44" s="160">
        <v>0</v>
      </c>
      <c r="BL44" s="160">
        <v>0</v>
      </c>
      <c r="BM44" s="160">
        <v>0</v>
      </c>
      <c r="BN44" s="160">
        <v>0</v>
      </c>
    </row>
    <row r="45" spans="1:66" x14ac:dyDescent="0.2">
      <c r="A45" s="7"/>
      <c r="B45" s="7"/>
      <c r="C45" s="7"/>
      <c r="D45" s="7"/>
      <c r="E45" s="39">
        <v>142</v>
      </c>
      <c r="F45" s="39" t="s">
        <v>2250</v>
      </c>
      <c r="G45" s="54">
        <f>SUMPRODUCT(--('Input|Historical Data'!$E$9:$E$3279=$E45),--('Input|Historical Data'!$M$9:$M$3279="ENDirect"),--('Input|Historical Data'!$O$9:$O$3279="SCS"),'Input|Historical Data'!$I$9:$I$3279)</f>
        <v>139.81308999999999</v>
      </c>
      <c r="H45" s="54">
        <f>'Calc|Weightings'!J45</f>
        <v>15.124810000000002</v>
      </c>
      <c r="I45" s="54">
        <f>'Calc|Weightings'!T45</f>
        <v>-23.824540000000002</v>
      </c>
      <c r="J45" s="54">
        <f>'Calc|Weightings'!AD45</f>
        <v>0</v>
      </c>
      <c r="K45" s="41">
        <v>0</v>
      </c>
      <c r="L45" s="41">
        <v>0</v>
      </c>
      <c r="M45" s="163">
        <f t="shared" si="4"/>
        <v>0</v>
      </c>
      <c r="N45" s="163">
        <f t="shared" si="0"/>
        <v>0</v>
      </c>
      <c r="O45" s="163">
        <f t="shared" si="1"/>
        <v>0</v>
      </c>
      <c r="P45" s="163">
        <f t="shared" si="2"/>
        <v>0</v>
      </c>
      <c r="Q45" s="163">
        <f t="shared" si="3"/>
        <v>0</v>
      </c>
      <c r="R45" s="133" t="str">
        <f>VLOOKUP(E45,Mapping!$E$11:$G$96,3,0)</f>
        <v>Replacement</v>
      </c>
      <c r="T45" s="160">
        <v>0</v>
      </c>
      <c r="U45" s="160">
        <v>0</v>
      </c>
      <c r="V45" s="160">
        <v>0</v>
      </c>
      <c r="W45" s="160">
        <v>0</v>
      </c>
      <c r="X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J45" s="160">
        <v>0</v>
      </c>
      <c r="BK45" s="160">
        <v>0</v>
      </c>
      <c r="BL45" s="160">
        <v>0</v>
      </c>
      <c r="BM45" s="160">
        <v>0</v>
      </c>
      <c r="BN45" s="160">
        <v>0</v>
      </c>
    </row>
    <row r="46" spans="1:66" x14ac:dyDescent="0.2">
      <c r="A46" s="7"/>
      <c r="B46" s="7"/>
      <c r="C46" s="7"/>
      <c r="D46" s="7"/>
      <c r="E46" s="39">
        <v>143</v>
      </c>
      <c r="F46" s="39" t="s">
        <v>2251</v>
      </c>
      <c r="G46" s="54">
        <f>SUMPRODUCT(--('Input|Historical Data'!$E$9:$E$3279=$E46),--('Input|Historical Data'!$M$9:$M$3279="ENDirect"),--('Input|Historical Data'!$O$9:$O$3279="SCS"),'Input|Historical Data'!$I$9:$I$3279)</f>
        <v>1855.4487099999999</v>
      </c>
      <c r="H46" s="54">
        <f>'Calc|Weightings'!J46</f>
        <v>1614.537250000001</v>
      </c>
      <c r="I46" s="54">
        <f>'Calc|Weightings'!T46</f>
        <v>776.28256999999974</v>
      </c>
      <c r="J46" s="54">
        <f>'Calc|Weightings'!AD46</f>
        <v>700.48606000000029</v>
      </c>
      <c r="K46" s="41">
        <v>1613.9814917424519</v>
      </c>
      <c r="L46" s="41">
        <v>1991.5775517032278</v>
      </c>
      <c r="M46" s="163">
        <f t="shared" si="4"/>
        <v>2549.3726358985382</v>
      </c>
      <c r="N46" s="163">
        <f t="shared" si="0"/>
        <v>2873.5238778469011</v>
      </c>
      <c r="O46" s="163">
        <f t="shared" si="1"/>
        <v>2660.8962473230995</v>
      </c>
      <c r="P46" s="163">
        <f t="shared" si="2"/>
        <v>2298.6603512846691</v>
      </c>
      <c r="Q46" s="163">
        <f t="shared" si="3"/>
        <v>2298.6603512846691</v>
      </c>
      <c r="R46" s="133" t="str">
        <f>VLOOKUP(E46,Mapping!$E$11:$G$96,3,0)</f>
        <v>Replacement</v>
      </c>
      <c r="T46" s="160">
        <v>0</v>
      </c>
      <c r="U46" s="160">
        <v>0</v>
      </c>
      <c r="V46" s="160">
        <v>0</v>
      </c>
      <c r="W46" s="160">
        <v>0</v>
      </c>
      <c r="X46" s="160">
        <v>0</v>
      </c>
      <c r="Z46" s="160">
        <v>0</v>
      </c>
      <c r="AA46" s="160">
        <v>0</v>
      </c>
      <c r="AB46" s="160">
        <v>0</v>
      </c>
      <c r="AC46" s="160">
        <v>0</v>
      </c>
      <c r="AD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R46" s="160">
        <v>0</v>
      </c>
      <c r="AS46" s="160">
        <v>0</v>
      </c>
      <c r="AT46" s="160">
        <v>0</v>
      </c>
      <c r="AU46" s="160">
        <v>0</v>
      </c>
      <c r="AV46" s="160">
        <v>0</v>
      </c>
      <c r="AX46" s="160">
        <v>2549.3726358985382</v>
      </c>
      <c r="AY46" s="160">
        <v>2873.5238778469011</v>
      </c>
      <c r="AZ46" s="160">
        <v>2660.8962473230995</v>
      </c>
      <c r="BA46" s="160">
        <v>2298.6603512846691</v>
      </c>
      <c r="BB46" s="160">
        <v>2298.6603512846691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J46" s="160">
        <v>0</v>
      </c>
      <c r="BK46" s="160">
        <v>0</v>
      </c>
      <c r="BL46" s="160">
        <v>0</v>
      </c>
      <c r="BM46" s="160">
        <v>0</v>
      </c>
      <c r="BN46" s="160">
        <v>0</v>
      </c>
    </row>
    <row r="47" spans="1:66" x14ac:dyDescent="0.2">
      <c r="A47" s="7"/>
      <c r="B47" s="7"/>
      <c r="C47" s="7"/>
      <c r="D47" s="7"/>
      <c r="E47" s="39">
        <v>144</v>
      </c>
      <c r="F47" s="39" t="s">
        <v>2252</v>
      </c>
      <c r="G47" s="54">
        <f>SUMPRODUCT(--('Input|Historical Data'!$E$9:$E$3279=$E47),--('Input|Historical Data'!$M$9:$M$3279="ENDirect"),--('Input|Historical Data'!$O$9:$O$3279="SCS"),'Input|Historical Data'!$I$9:$I$3279)</f>
        <v>403.32813999999996</v>
      </c>
      <c r="H47" s="54">
        <f>'Calc|Weightings'!J47</f>
        <v>258.86517000000003</v>
      </c>
      <c r="I47" s="54">
        <f>'Calc|Weightings'!T47</f>
        <v>200.50545</v>
      </c>
      <c r="J47" s="54">
        <f>'Calc|Weightings'!AD47</f>
        <v>644.84803999999974</v>
      </c>
      <c r="K47" s="41">
        <v>679.10431475909058</v>
      </c>
      <c r="L47" s="41">
        <v>588.32282997194397</v>
      </c>
      <c r="M47" s="163">
        <f t="shared" si="4"/>
        <v>353.06719504421784</v>
      </c>
      <c r="N47" s="163">
        <f t="shared" si="0"/>
        <v>353.06719504421784</v>
      </c>
      <c r="O47" s="163">
        <f t="shared" si="1"/>
        <v>353.06719504421784</v>
      </c>
      <c r="P47" s="163">
        <f t="shared" si="2"/>
        <v>353.06719504421784</v>
      </c>
      <c r="Q47" s="163">
        <f t="shared" si="3"/>
        <v>403.97556317072349</v>
      </c>
      <c r="R47" s="133" t="str">
        <f>VLOOKUP(E47,Mapping!$E$11:$G$96,3,0)</f>
        <v>Replacement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X47" s="160">
        <v>353.06719504421784</v>
      </c>
      <c r="AY47" s="160">
        <v>353.06719504421784</v>
      </c>
      <c r="AZ47" s="160">
        <v>353.06719504421784</v>
      </c>
      <c r="BA47" s="160">
        <v>353.06719504421784</v>
      </c>
      <c r="BB47" s="160">
        <v>403.97556317072349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</row>
    <row r="48" spans="1:66" x14ac:dyDescent="0.2">
      <c r="A48" s="7"/>
      <c r="B48" s="7"/>
      <c r="C48" s="7"/>
      <c r="D48" s="7"/>
      <c r="E48" s="39">
        <v>145</v>
      </c>
      <c r="F48" s="39" t="s">
        <v>2253</v>
      </c>
      <c r="G48" s="54">
        <f>SUMPRODUCT(--('Input|Historical Data'!$E$9:$E$3279=$E48),--('Input|Historical Data'!$M$9:$M$3279="ENDirect"),--('Input|Historical Data'!$O$9:$O$3279="SCS"),'Input|Historical Data'!$I$9:$I$3279)</f>
        <v>620.84910999999988</v>
      </c>
      <c r="H48" s="54">
        <f>'Calc|Weightings'!J48</f>
        <v>301.12913000000003</v>
      </c>
      <c r="I48" s="54">
        <f>'Calc|Weightings'!T48</f>
        <v>309.70606000000004</v>
      </c>
      <c r="J48" s="54">
        <f>'Calc|Weightings'!AD48</f>
        <v>617.54866000000004</v>
      </c>
      <c r="K48" s="41">
        <v>935.66059660903818</v>
      </c>
      <c r="L48" s="41">
        <v>591.59854872763788</v>
      </c>
      <c r="M48" s="163">
        <f t="shared" si="4"/>
        <v>712.75415639092228</v>
      </c>
      <c r="N48" s="163">
        <f t="shared" si="0"/>
        <v>712.75415639092228</v>
      </c>
      <c r="O48" s="163">
        <f t="shared" si="1"/>
        <v>712.75415639092228</v>
      </c>
      <c r="P48" s="163">
        <f t="shared" si="2"/>
        <v>712.75415639092228</v>
      </c>
      <c r="Q48" s="163">
        <f t="shared" si="3"/>
        <v>712.75415639092228</v>
      </c>
      <c r="R48" s="133" t="str">
        <f>VLOOKUP(E48,Mapping!$E$11:$G$96,3,0)</f>
        <v>Replacement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D48" s="160">
        <v>0</v>
      </c>
      <c r="BE48" s="160">
        <v>0</v>
      </c>
      <c r="BF48" s="160">
        <v>0</v>
      </c>
      <c r="BG48" s="160">
        <v>0</v>
      </c>
      <c r="BH48" s="160">
        <v>0</v>
      </c>
      <c r="BJ48" s="160">
        <v>712.75415639092228</v>
      </c>
      <c r="BK48" s="160">
        <v>712.75415639092228</v>
      </c>
      <c r="BL48" s="160">
        <v>712.75415639092228</v>
      </c>
      <c r="BM48" s="160">
        <v>712.75415639092228</v>
      </c>
      <c r="BN48" s="160">
        <v>712.75415639092228</v>
      </c>
    </row>
    <row r="49" spans="1:66" x14ac:dyDescent="0.2">
      <c r="A49" s="7"/>
      <c r="B49" s="7"/>
      <c r="C49" s="7"/>
      <c r="D49" s="7"/>
      <c r="E49" s="39">
        <v>146</v>
      </c>
      <c r="F49" s="39" t="s">
        <v>2254</v>
      </c>
      <c r="G49" s="54">
        <f>SUMPRODUCT(--('Input|Historical Data'!$E$9:$E$3279=$E49),--('Input|Historical Data'!$M$9:$M$3279="ENDirect"),--('Input|Historical Data'!$O$9:$O$3279="SCS"),'Input|Historical Data'!$I$9:$I$3279)</f>
        <v>0</v>
      </c>
      <c r="H49" s="54">
        <f>'Calc|Weightings'!J49</f>
        <v>0</v>
      </c>
      <c r="I49" s="54">
        <f>'Calc|Weightings'!T49</f>
        <v>0</v>
      </c>
      <c r="J49" s="54">
        <f>'Calc|Weightings'!AD49</f>
        <v>0</v>
      </c>
      <c r="K49" s="41">
        <v>0</v>
      </c>
      <c r="L49" s="41">
        <v>0</v>
      </c>
      <c r="M49" s="163">
        <f t="shared" si="4"/>
        <v>0</v>
      </c>
      <c r="N49" s="163">
        <f t="shared" si="0"/>
        <v>0</v>
      </c>
      <c r="O49" s="163">
        <f t="shared" si="1"/>
        <v>0</v>
      </c>
      <c r="P49" s="163">
        <f t="shared" si="2"/>
        <v>0</v>
      </c>
      <c r="Q49" s="163">
        <f t="shared" si="3"/>
        <v>0</v>
      </c>
      <c r="R49" s="133" t="str">
        <f>VLOOKUP(E49,Mapping!$E$11:$G$96,3,0)</f>
        <v>Quoted Opex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D49" s="160">
        <v>0</v>
      </c>
      <c r="BE49" s="160">
        <v>0</v>
      </c>
      <c r="BF49" s="160">
        <v>0</v>
      </c>
      <c r="BG49" s="160">
        <v>0</v>
      </c>
      <c r="BH49" s="160">
        <v>0</v>
      </c>
      <c r="BJ49" s="160">
        <v>0</v>
      </c>
      <c r="BK49" s="160">
        <v>0</v>
      </c>
      <c r="BL49" s="160">
        <v>0</v>
      </c>
      <c r="BM49" s="160">
        <v>0</v>
      </c>
      <c r="BN49" s="160">
        <v>0</v>
      </c>
    </row>
    <row r="50" spans="1:66" x14ac:dyDescent="0.2">
      <c r="A50" s="7"/>
      <c r="B50" s="7"/>
      <c r="C50" s="7"/>
      <c r="D50" s="7"/>
      <c r="E50" s="39">
        <v>147</v>
      </c>
      <c r="F50" s="39" t="s">
        <v>2255</v>
      </c>
      <c r="G50" s="54">
        <f>SUMPRODUCT(--('Input|Historical Data'!$E$9:$E$3279=$E50),--('Input|Historical Data'!$M$9:$M$3279="ENDirect"),--('Input|Historical Data'!$O$9:$O$3279="SCS"),'Input|Historical Data'!$I$9:$I$3279)</f>
        <v>210.43187</v>
      </c>
      <c r="H50" s="54">
        <f>'Calc|Weightings'!J50</f>
        <v>0</v>
      </c>
      <c r="I50" s="54">
        <f>'Calc|Weightings'!T50</f>
        <v>0</v>
      </c>
      <c r="J50" s="54">
        <f>'Calc|Weightings'!AD50</f>
        <v>0</v>
      </c>
      <c r="K50" s="41">
        <v>0</v>
      </c>
      <c r="L50" s="41">
        <v>0</v>
      </c>
      <c r="M50" s="163">
        <f t="shared" si="4"/>
        <v>191.34883361146728</v>
      </c>
      <c r="N50" s="163">
        <f t="shared" si="0"/>
        <v>191.34883361146728</v>
      </c>
      <c r="O50" s="163">
        <f t="shared" si="1"/>
        <v>191.34883361146728</v>
      </c>
      <c r="P50" s="163">
        <f t="shared" si="2"/>
        <v>191.34883361146728</v>
      </c>
      <c r="Q50" s="163">
        <f t="shared" si="3"/>
        <v>191.34883361146728</v>
      </c>
      <c r="R50" s="133" t="str">
        <f>VLOOKUP(E50,Mapping!$E$11:$G$96,3,0)</f>
        <v>Replacement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R50" s="160">
        <v>0</v>
      </c>
      <c r="AS50" s="160">
        <v>0</v>
      </c>
      <c r="AT50" s="160">
        <v>0</v>
      </c>
      <c r="AU50" s="160">
        <v>0</v>
      </c>
      <c r="AV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J50" s="160">
        <v>191.34883361146728</v>
      </c>
      <c r="BK50" s="160">
        <v>191.34883361146728</v>
      </c>
      <c r="BL50" s="160">
        <v>191.34883361146728</v>
      </c>
      <c r="BM50" s="160">
        <v>191.34883361146728</v>
      </c>
      <c r="BN50" s="160">
        <v>191.34883361146728</v>
      </c>
    </row>
    <row r="51" spans="1:66" x14ac:dyDescent="0.2">
      <c r="A51" s="7"/>
      <c r="B51" s="7"/>
      <c r="C51" s="7"/>
      <c r="D51" s="7"/>
      <c r="E51" s="39">
        <v>148</v>
      </c>
      <c r="F51" s="39" t="s">
        <v>2256</v>
      </c>
      <c r="G51" s="54">
        <f>SUMPRODUCT(--('Input|Historical Data'!$E$9:$E$3279=$E51),--('Input|Historical Data'!$M$9:$M$3279="ENDirect"),--('Input|Historical Data'!$O$9:$O$3279="SCS"),'Input|Historical Data'!$I$9:$I$3279)</f>
        <v>1510.759398061653</v>
      </c>
      <c r="H51" s="54">
        <f>'Calc|Weightings'!J51</f>
        <v>391.96057000000002</v>
      </c>
      <c r="I51" s="54">
        <f>'Calc|Weightings'!T51</f>
        <v>1785.229</v>
      </c>
      <c r="J51" s="54">
        <f>'Calc|Weightings'!AD51</f>
        <v>29.306890000000067</v>
      </c>
      <c r="K51" s="41">
        <v>0</v>
      </c>
      <c r="L51" s="41">
        <v>0</v>
      </c>
      <c r="M51" s="163">
        <f t="shared" si="4"/>
        <v>2254.2658287673535</v>
      </c>
      <c r="N51" s="163">
        <f t="shared" si="0"/>
        <v>2254.2658287673535</v>
      </c>
      <c r="O51" s="163">
        <f t="shared" si="1"/>
        <v>2254.2658287673535</v>
      </c>
      <c r="P51" s="163">
        <f t="shared" si="2"/>
        <v>2254.2658287673535</v>
      </c>
      <c r="Q51" s="163">
        <f t="shared" si="3"/>
        <v>2254.2658287673535</v>
      </c>
      <c r="R51" s="133" t="str">
        <f>VLOOKUP(E51,Mapping!$E$11:$G$96,3,0)</f>
        <v>Replacement</v>
      </c>
      <c r="T51" s="160">
        <v>0</v>
      </c>
      <c r="U51" s="160">
        <v>0</v>
      </c>
      <c r="V51" s="160">
        <v>0</v>
      </c>
      <c r="W51" s="160">
        <v>0</v>
      </c>
      <c r="X51" s="160">
        <v>0</v>
      </c>
      <c r="Z51" s="160">
        <v>0</v>
      </c>
      <c r="AA51" s="160">
        <v>0</v>
      </c>
      <c r="AB51" s="160">
        <v>0</v>
      </c>
      <c r="AC51" s="160">
        <v>0</v>
      </c>
      <c r="AD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R51" s="160">
        <v>0</v>
      </c>
      <c r="AS51" s="160">
        <v>0</v>
      </c>
      <c r="AT51" s="160">
        <v>0</v>
      </c>
      <c r="AU51" s="160">
        <v>0</v>
      </c>
      <c r="AV51" s="160">
        <v>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D51" s="160">
        <v>0</v>
      </c>
      <c r="BE51" s="160">
        <v>0</v>
      </c>
      <c r="BF51" s="160">
        <v>0</v>
      </c>
      <c r="BG51" s="160">
        <v>0</v>
      </c>
      <c r="BH51" s="160">
        <v>0</v>
      </c>
      <c r="BJ51" s="160">
        <v>2254.2658287673535</v>
      </c>
      <c r="BK51" s="160">
        <v>2254.2658287673535</v>
      </c>
      <c r="BL51" s="160">
        <v>2254.2658287673535</v>
      </c>
      <c r="BM51" s="160">
        <v>2254.2658287673535</v>
      </c>
      <c r="BN51" s="160">
        <v>2254.2658287673535</v>
      </c>
    </row>
    <row r="52" spans="1:66" x14ac:dyDescent="0.2">
      <c r="A52" s="7"/>
      <c r="B52" s="7"/>
      <c r="C52" s="7"/>
      <c r="D52" s="7"/>
      <c r="E52" s="39">
        <v>149</v>
      </c>
      <c r="F52" s="39" t="s">
        <v>2257</v>
      </c>
      <c r="G52" s="54">
        <f>SUMPRODUCT(--('Input|Historical Data'!$E$9:$E$3279=$E52),--('Input|Historical Data'!$M$9:$M$3279="ENDirect"),--('Input|Historical Data'!$O$9:$O$3279="SCS"),'Input|Historical Data'!$I$9:$I$3279)</f>
        <v>34.380310000000001</v>
      </c>
      <c r="H52" s="54">
        <f>'Calc|Weightings'!J52</f>
        <v>0</v>
      </c>
      <c r="I52" s="54">
        <f>'Calc|Weightings'!T52</f>
        <v>0</v>
      </c>
      <c r="J52" s="54">
        <f>'Calc|Weightings'!AD52</f>
        <v>0</v>
      </c>
      <c r="K52" s="41">
        <v>0</v>
      </c>
      <c r="L52" s="41">
        <v>0</v>
      </c>
      <c r="M52" s="163">
        <f t="shared" si="4"/>
        <v>0</v>
      </c>
      <c r="N52" s="163">
        <f t="shared" si="0"/>
        <v>0</v>
      </c>
      <c r="O52" s="163">
        <f t="shared" si="1"/>
        <v>0</v>
      </c>
      <c r="P52" s="163">
        <f t="shared" si="2"/>
        <v>0</v>
      </c>
      <c r="Q52" s="163">
        <f t="shared" si="3"/>
        <v>0</v>
      </c>
      <c r="R52" s="133" t="str">
        <f>VLOOKUP(E52,Mapping!$E$11:$G$96,3,0)</f>
        <v>Replacement</v>
      </c>
      <c r="T52" s="160">
        <v>0</v>
      </c>
      <c r="U52" s="160">
        <v>0</v>
      </c>
      <c r="V52" s="160">
        <v>0</v>
      </c>
      <c r="W52" s="160">
        <v>0</v>
      </c>
      <c r="X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F52" s="160">
        <v>0</v>
      </c>
      <c r="AG52" s="160">
        <v>0</v>
      </c>
      <c r="AH52" s="160">
        <v>0</v>
      </c>
      <c r="AI52" s="160">
        <v>0</v>
      </c>
      <c r="AJ52" s="160">
        <v>0</v>
      </c>
      <c r="AL52" s="160">
        <v>0</v>
      </c>
      <c r="AM52" s="160">
        <v>0</v>
      </c>
      <c r="AN52" s="160">
        <v>0</v>
      </c>
      <c r="AO52" s="160">
        <v>0</v>
      </c>
      <c r="AP52" s="160">
        <v>0</v>
      </c>
      <c r="AR52" s="160">
        <v>0</v>
      </c>
      <c r="AS52" s="160">
        <v>0</v>
      </c>
      <c r="AT52" s="160">
        <v>0</v>
      </c>
      <c r="AU52" s="160">
        <v>0</v>
      </c>
      <c r="AV52" s="160">
        <v>0</v>
      </c>
      <c r="AX52" s="160">
        <v>0</v>
      </c>
      <c r="AY52" s="160">
        <v>0</v>
      </c>
      <c r="AZ52" s="160">
        <v>0</v>
      </c>
      <c r="BA52" s="160">
        <v>0</v>
      </c>
      <c r="BB52" s="160">
        <v>0</v>
      </c>
      <c r="BD52" s="160">
        <v>0</v>
      </c>
      <c r="BE52" s="160">
        <v>0</v>
      </c>
      <c r="BF52" s="160">
        <v>0</v>
      </c>
      <c r="BG52" s="160">
        <v>0</v>
      </c>
      <c r="BH52" s="160">
        <v>0</v>
      </c>
      <c r="BJ52" s="160">
        <v>0</v>
      </c>
      <c r="BK52" s="160">
        <v>0</v>
      </c>
      <c r="BL52" s="160">
        <v>0</v>
      </c>
      <c r="BM52" s="160">
        <v>0</v>
      </c>
      <c r="BN52" s="160">
        <v>0</v>
      </c>
    </row>
    <row r="53" spans="1:66" x14ac:dyDescent="0.2">
      <c r="A53" s="7"/>
      <c r="B53" s="7"/>
      <c r="C53" s="7"/>
      <c r="D53" s="7"/>
      <c r="E53" s="39">
        <v>150</v>
      </c>
      <c r="F53" s="39" t="s">
        <v>2258</v>
      </c>
      <c r="G53" s="54">
        <f>SUMPRODUCT(--('Input|Historical Data'!$E$9:$E$3279=$E53),--('Input|Historical Data'!$M$9:$M$3279="ENDirect"),--('Input|Historical Data'!$O$9:$O$3279="SCS"),'Input|Historical Data'!$I$9:$I$3279)</f>
        <v>1651.8693400000011</v>
      </c>
      <c r="H53" s="54">
        <f>'Calc|Weightings'!J53</f>
        <v>929.90697999999998</v>
      </c>
      <c r="I53" s="54">
        <f>'Calc|Weightings'!T53</f>
        <v>1412.0497600000003</v>
      </c>
      <c r="J53" s="54">
        <f>'Calc|Weightings'!AD53</f>
        <v>1759.1395799999998</v>
      </c>
      <c r="K53" s="41">
        <v>2223.8102893148885</v>
      </c>
      <c r="L53" s="41">
        <v>3805.874517544582</v>
      </c>
      <c r="M53" s="163">
        <f t="shared" si="4"/>
        <v>1263.9986813479927</v>
      </c>
      <c r="N53" s="163">
        <f t="shared" si="0"/>
        <v>1263.9986813479927</v>
      </c>
      <c r="O53" s="163">
        <f t="shared" si="1"/>
        <v>1263.9986813479927</v>
      </c>
      <c r="P53" s="163">
        <f t="shared" si="2"/>
        <v>1263.9986813479927</v>
      </c>
      <c r="Q53" s="163">
        <f t="shared" si="3"/>
        <v>1263.9986813479927</v>
      </c>
      <c r="R53" s="133" t="str">
        <f>VLOOKUP(E53,Mapping!$E$11:$G$96,3,0)</f>
        <v>Replacement</v>
      </c>
      <c r="T53" s="160">
        <v>0</v>
      </c>
      <c r="U53" s="160">
        <v>0</v>
      </c>
      <c r="V53" s="160">
        <v>0</v>
      </c>
      <c r="W53" s="160">
        <v>0</v>
      </c>
      <c r="X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F53" s="160">
        <v>0</v>
      </c>
      <c r="AG53" s="160">
        <v>0</v>
      </c>
      <c r="AH53" s="160">
        <v>0</v>
      </c>
      <c r="AI53" s="160">
        <v>0</v>
      </c>
      <c r="AJ53" s="160">
        <v>0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R53" s="160">
        <v>0</v>
      </c>
      <c r="AS53" s="160">
        <v>0</v>
      </c>
      <c r="AT53" s="160">
        <v>0</v>
      </c>
      <c r="AU53" s="160">
        <v>0</v>
      </c>
      <c r="AV53" s="160">
        <v>0</v>
      </c>
      <c r="AX53" s="160">
        <v>1263.9986813479927</v>
      </c>
      <c r="AY53" s="160">
        <v>1263.9986813479927</v>
      </c>
      <c r="AZ53" s="160">
        <v>1263.9986813479927</v>
      </c>
      <c r="BA53" s="160">
        <v>1263.9986813479927</v>
      </c>
      <c r="BB53" s="160">
        <v>1263.9986813479927</v>
      </c>
      <c r="BD53" s="160">
        <v>0</v>
      </c>
      <c r="BE53" s="160">
        <v>0</v>
      </c>
      <c r="BF53" s="160">
        <v>0</v>
      </c>
      <c r="BG53" s="160">
        <v>0</v>
      </c>
      <c r="BH53" s="160">
        <v>0</v>
      </c>
      <c r="BJ53" s="160">
        <v>0</v>
      </c>
      <c r="BK53" s="160">
        <v>0</v>
      </c>
      <c r="BL53" s="160">
        <v>0</v>
      </c>
      <c r="BM53" s="160">
        <v>0</v>
      </c>
      <c r="BN53" s="160">
        <v>0</v>
      </c>
    </row>
    <row r="54" spans="1:66" x14ac:dyDescent="0.2">
      <c r="A54" s="7"/>
      <c r="B54" s="7"/>
      <c r="C54" s="7"/>
      <c r="D54" s="7"/>
      <c r="E54" s="39">
        <v>151</v>
      </c>
      <c r="F54" s="39" t="s">
        <v>2259</v>
      </c>
      <c r="G54" s="54">
        <f>SUMPRODUCT(--('Input|Historical Data'!$E$9:$E$3279=$E54),--('Input|Historical Data'!$M$9:$M$3279="ENDirect"),--('Input|Historical Data'!$O$9:$O$3279="SCS"),'Input|Historical Data'!$I$9:$I$3279)</f>
        <v>0</v>
      </c>
      <c r="H54" s="54">
        <f>'Calc|Weightings'!J54</f>
        <v>0</v>
      </c>
      <c r="I54" s="54">
        <f>'Calc|Weightings'!T54</f>
        <v>0</v>
      </c>
      <c r="J54" s="54">
        <f>'Calc|Weightings'!AD54</f>
        <v>0</v>
      </c>
      <c r="K54" s="41">
        <v>0</v>
      </c>
      <c r="L54" s="41">
        <v>0</v>
      </c>
      <c r="M54" s="163">
        <f t="shared" si="4"/>
        <v>0</v>
      </c>
      <c r="N54" s="163">
        <f t="shared" si="0"/>
        <v>0</v>
      </c>
      <c r="O54" s="163">
        <f t="shared" si="1"/>
        <v>0</v>
      </c>
      <c r="P54" s="163">
        <f t="shared" si="2"/>
        <v>0</v>
      </c>
      <c r="Q54" s="163">
        <f t="shared" si="3"/>
        <v>0</v>
      </c>
      <c r="R54" s="133" t="str">
        <f>VLOOKUP(E54,Mapping!$E$11:$G$96,3,0)</f>
        <v>Metering Capex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</row>
    <row r="55" spans="1:66" x14ac:dyDescent="0.2">
      <c r="A55" s="7"/>
      <c r="B55" s="7"/>
      <c r="C55" s="7"/>
      <c r="D55" s="7"/>
      <c r="E55" s="39">
        <v>152</v>
      </c>
      <c r="F55" s="39" t="s">
        <v>2260</v>
      </c>
      <c r="G55" s="54">
        <f>SUMPRODUCT(--('Input|Historical Data'!$E$9:$E$3279=$E55),--('Input|Historical Data'!$M$9:$M$3279="ENDirect"),--('Input|Historical Data'!$O$9:$O$3279="SCS"),'Input|Historical Data'!$I$9:$I$3279)</f>
        <v>73.563980000000001</v>
      </c>
      <c r="H55" s="54">
        <f>'Calc|Weightings'!J55</f>
        <v>1.2603899999999999</v>
      </c>
      <c r="I55" s="54">
        <f>'Calc|Weightings'!T55</f>
        <v>-1.9853700000000001</v>
      </c>
      <c r="J55" s="54">
        <f>'Calc|Weightings'!AD55</f>
        <v>0</v>
      </c>
      <c r="K55" s="41">
        <v>0</v>
      </c>
      <c r="L55" s="41">
        <v>0</v>
      </c>
      <c r="M55" s="163">
        <f t="shared" si="4"/>
        <v>776.55308822023767</v>
      </c>
      <c r="N55" s="163">
        <f t="shared" si="0"/>
        <v>776.55308822023767</v>
      </c>
      <c r="O55" s="163">
        <f t="shared" si="1"/>
        <v>776.55308822023767</v>
      </c>
      <c r="P55" s="163">
        <f t="shared" si="2"/>
        <v>776.55308822023767</v>
      </c>
      <c r="Q55" s="163">
        <f t="shared" si="3"/>
        <v>776.55308822023767</v>
      </c>
      <c r="R55" s="133" t="str">
        <f>VLOOKUP(E55,Mapping!$E$11:$G$96,3,0)</f>
        <v>Replacement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Z55" s="160">
        <v>0</v>
      </c>
      <c r="AA55" s="160">
        <v>0</v>
      </c>
      <c r="AB55" s="160">
        <v>0</v>
      </c>
      <c r="AC55" s="160">
        <v>0</v>
      </c>
      <c r="AD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R55" s="160">
        <v>0</v>
      </c>
      <c r="AS55" s="160">
        <v>0</v>
      </c>
      <c r="AT55" s="160">
        <v>0</v>
      </c>
      <c r="AU55" s="160">
        <v>0</v>
      </c>
      <c r="AV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D55" s="160">
        <v>0</v>
      </c>
      <c r="BE55" s="160">
        <v>0</v>
      </c>
      <c r="BF55" s="160">
        <v>0</v>
      </c>
      <c r="BG55" s="160">
        <v>0</v>
      </c>
      <c r="BH55" s="160">
        <v>0</v>
      </c>
      <c r="BJ55" s="160">
        <v>776.55308822023767</v>
      </c>
      <c r="BK55" s="160">
        <v>776.55308822023767</v>
      </c>
      <c r="BL55" s="160">
        <v>776.55308822023767</v>
      </c>
      <c r="BM55" s="160">
        <v>776.55308822023767</v>
      </c>
      <c r="BN55" s="160">
        <v>776.55308822023767</v>
      </c>
    </row>
    <row r="56" spans="1:66" x14ac:dyDescent="0.2">
      <c r="A56" s="7"/>
      <c r="B56" s="7"/>
      <c r="C56" s="7"/>
      <c r="D56" s="7"/>
      <c r="E56" s="39">
        <v>153</v>
      </c>
      <c r="F56" s="39" t="s">
        <v>2261</v>
      </c>
      <c r="G56" s="54">
        <f>SUMPRODUCT(--('Input|Historical Data'!$E$9:$E$3279=$E56),--('Input|Historical Data'!$M$9:$M$3279="ENDirect"),--('Input|Historical Data'!$O$9:$O$3279="SCS"),'Input|Historical Data'!$I$9:$I$3279)</f>
        <v>1137.3969900000002</v>
      </c>
      <c r="H56" s="54">
        <f>'Calc|Weightings'!J56</f>
        <v>0</v>
      </c>
      <c r="I56" s="54">
        <f>'Calc|Weightings'!T56</f>
        <v>0</v>
      </c>
      <c r="J56" s="54">
        <f>'Calc|Weightings'!AD56</f>
        <v>0</v>
      </c>
      <c r="K56" s="41">
        <v>0</v>
      </c>
      <c r="L56" s="41">
        <v>0</v>
      </c>
      <c r="M56" s="163">
        <f t="shared" si="4"/>
        <v>0</v>
      </c>
      <c r="N56" s="163">
        <f t="shared" si="0"/>
        <v>0</v>
      </c>
      <c r="O56" s="163">
        <f t="shared" si="1"/>
        <v>0</v>
      </c>
      <c r="P56" s="163">
        <f t="shared" si="2"/>
        <v>0</v>
      </c>
      <c r="Q56" s="163">
        <f t="shared" si="3"/>
        <v>0</v>
      </c>
      <c r="R56" s="133" t="str">
        <f>VLOOKUP(E56,Mapping!$E$11:$G$96,3,0)</f>
        <v>Fee Based Opex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R56" s="160">
        <v>0</v>
      </c>
      <c r="AS56" s="160">
        <v>0</v>
      </c>
      <c r="AT56" s="160">
        <v>0</v>
      </c>
      <c r="AU56" s="160">
        <v>0</v>
      </c>
      <c r="AV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J56" s="160">
        <v>0</v>
      </c>
      <c r="BK56" s="160">
        <v>0</v>
      </c>
      <c r="BL56" s="160">
        <v>0</v>
      </c>
      <c r="BM56" s="160">
        <v>0</v>
      </c>
      <c r="BN56" s="160">
        <v>0</v>
      </c>
    </row>
    <row r="57" spans="1:66" x14ac:dyDescent="0.2">
      <c r="A57" s="7"/>
      <c r="B57" s="7"/>
      <c r="C57" s="7"/>
      <c r="D57" s="7"/>
      <c r="E57" s="39">
        <v>154</v>
      </c>
      <c r="F57" s="39" t="s">
        <v>2262</v>
      </c>
      <c r="G57" s="54">
        <f>SUMPRODUCT(--('Input|Historical Data'!$E$9:$E$3279=$E57),--('Input|Historical Data'!$M$9:$M$3279="ENDirect"),--('Input|Historical Data'!$O$9:$O$3279="SCS"),'Input|Historical Data'!$I$9:$I$3279)</f>
        <v>718.14983999999993</v>
      </c>
      <c r="H57" s="54">
        <f>'Calc|Weightings'!J57</f>
        <v>0</v>
      </c>
      <c r="I57" s="54">
        <f>'Calc|Weightings'!T57</f>
        <v>0</v>
      </c>
      <c r="J57" s="54">
        <f>'Calc|Weightings'!AD57</f>
        <v>0</v>
      </c>
      <c r="K57" s="41">
        <v>223.47033392846814</v>
      </c>
      <c r="L57" s="41">
        <v>420.7834314137437</v>
      </c>
      <c r="M57" s="163">
        <f t="shared" si="4"/>
        <v>428.47183875616741</v>
      </c>
      <c r="N57" s="163">
        <f t="shared" si="0"/>
        <v>428.47183875616741</v>
      </c>
      <c r="O57" s="163">
        <f t="shared" si="1"/>
        <v>428.47183875616741</v>
      </c>
      <c r="P57" s="163">
        <f t="shared" si="2"/>
        <v>428.47183875616741</v>
      </c>
      <c r="Q57" s="163">
        <f t="shared" si="3"/>
        <v>428.47183875616741</v>
      </c>
      <c r="R57" s="133" t="str">
        <f>VLOOKUP(E57,Mapping!$E$11:$G$96,3,0)</f>
        <v>Replacement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R57" s="160">
        <v>0</v>
      </c>
      <c r="AS57" s="160">
        <v>0</v>
      </c>
      <c r="AT57" s="160">
        <v>0</v>
      </c>
      <c r="AU57" s="160">
        <v>0</v>
      </c>
      <c r="AV57" s="160">
        <v>0</v>
      </c>
      <c r="AX57" s="160">
        <v>428.47183875616741</v>
      </c>
      <c r="AY57" s="160">
        <v>428.47183875616741</v>
      </c>
      <c r="AZ57" s="160">
        <v>428.47183875616741</v>
      </c>
      <c r="BA57" s="160">
        <v>428.47183875616741</v>
      </c>
      <c r="BB57" s="160">
        <v>428.47183875616741</v>
      </c>
      <c r="BD57" s="160">
        <v>0</v>
      </c>
      <c r="BE57" s="160">
        <v>0</v>
      </c>
      <c r="BF57" s="160">
        <v>0</v>
      </c>
      <c r="BG57" s="160">
        <v>0</v>
      </c>
      <c r="BH57" s="160">
        <v>0</v>
      </c>
      <c r="BJ57" s="160">
        <v>0</v>
      </c>
      <c r="BK57" s="160">
        <v>0</v>
      </c>
      <c r="BL57" s="160">
        <v>0</v>
      </c>
      <c r="BM57" s="160">
        <v>0</v>
      </c>
      <c r="BN57" s="160">
        <v>0</v>
      </c>
    </row>
    <row r="58" spans="1:66" x14ac:dyDescent="0.2">
      <c r="A58" s="7"/>
      <c r="B58" s="7"/>
      <c r="C58" s="7"/>
      <c r="D58" s="7"/>
      <c r="E58" s="39">
        <v>155</v>
      </c>
      <c r="F58" s="39" t="s">
        <v>2263</v>
      </c>
      <c r="G58" s="54">
        <f>SUMPRODUCT(--('Input|Historical Data'!$E$9:$E$3279=$E58),--('Input|Historical Data'!$M$9:$M$3279="ENDirect"),--('Input|Historical Data'!$O$9:$O$3279="SCS"),'Input|Historical Data'!$I$9:$I$3279)</f>
        <v>1096.1051099999997</v>
      </c>
      <c r="H58" s="54">
        <f>'Calc|Weightings'!J58</f>
        <v>78.144900000000007</v>
      </c>
      <c r="I58" s="54">
        <f>'Calc|Weightings'!T58</f>
        <v>-123.09343999999999</v>
      </c>
      <c r="J58" s="54">
        <f>'Calc|Weightings'!AD58</f>
        <v>0</v>
      </c>
      <c r="K58" s="41">
        <v>0</v>
      </c>
      <c r="L58" s="41">
        <v>0</v>
      </c>
      <c r="M58" s="163">
        <f t="shared" si="4"/>
        <v>1625.2163853091497</v>
      </c>
      <c r="N58" s="163">
        <f t="shared" si="0"/>
        <v>1625.2163853091497</v>
      </c>
      <c r="O58" s="163">
        <f t="shared" si="1"/>
        <v>1625.2163853091497</v>
      </c>
      <c r="P58" s="163">
        <f t="shared" si="2"/>
        <v>1625.2163853091497</v>
      </c>
      <c r="Q58" s="163">
        <f t="shared" si="3"/>
        <v>1625.2163853091497</v>
      </c>
      <c r="R58" s="133" t="str">
        <f>VLOOKUP(E58,Mapping!$E$11:$G$96,3,0)</f>
        <v>Replacement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L58" s="160">
        <v>0</v>
      </c>
      <c r="AM58" s="160">
        <v>0</v>
      </c>
      <c r="AN58" s="160">
        <v>0</v>
      </c>
      <c r="AO58" s="160">
        <v>0</v>
      </c>
      <c r="AP58" s="160">
        <v>0</v>
      </c>
      <c r="AR58" s="160">
        <v>0</v>
      </c>
      <c r="AS58" s="160">
        <v>0</v>
      </c>
      <c r="AT58" s="160">
        <v>0</v>
      </c>
      <c r="AU58" s="160">
        <v>0</v>
      </c>
      <c r="AV58" s="160">
        <v>0</v>
      </c>
      <c r="AX58" s="160">
        <v>0</v>
      </c>
      <c r="AY58" s="160">
        <v>0</v>
      </c>
      <c r="AZ58" s="160">
        <v>0</v>
      </c>
      <c r="BA58" s="160">
        <v>0</v>
      </c>
      <c r="BB58" s="16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J58" s="160">
        <v>1625.2163853091497</v>
      </c>
      <c r="BK58" s="160">
        <v>1625.2163853091497</v>
      </c>
      <c r="BL58" s="160">
        <v>1625.2163853091497</v>
      </c>
      <c r="BM58" s="160">
        <v>1625.2163853091497</v>
      </c>
      <c r="BN58" s="160">
        <v>1625.2163853091497</v>
      </c>
    </row>
    <row r="59" spans="1:66" x14ac:dyDescent="0.2">
      <c r="A59" s="7"/>
      <c r="B59" s="7"/>
      <c r="C59" s="7"/>
      <c r="D59" s="7"/>
      <c r="E59" s="39">
        <v>156</v>
      </c>
      <c r="F59" s="39" t="s">
        <v>2264</v>
      </c>
      <c r="G59" s="54">
        <f>SUMPRODUCT(--('Input|Historical Data'!$E$9:$E$3279=$E59),--('Input|Historical Data'!$M$9:$M$3279="ENDirect"),--('Input|Historical Data'!$O$9:$O$3279="SCS"),'Input|Historical Data'!$I$9:$I$3279)</f>
        <v>1952.9005000000002</v>
      </c>
      <c r="H59" s="54">
        <f>'Calc|Weightings'!J59</f>
        <v>2688.1724399999998</v>
      </c>
      <c r="I59" s="54">
        <f>'Calc|Weightings'!T59</f>
        <v>2633.9419600000006</v>
      </c>
      <c r="J59" s="54">
        <f>'Calc|Weightings'!AD59</f>
        <v>2558.7123399999996</v>
      </c>
      <c r="K59" s="41">
        <v>3254.5451750231032</v>
      </c>
      <c r="L59" s="41">
        <v>1606.5540944918318</v>
      </c>
      <c r="M59" s="163">
        <f t="shared" si="4"/>
        <v>2911.1703213156652</v>
      </c>
      <c r="N59" s="163">
        <f t="shared" si="0"/>
        <v>2896.2412427448176</v>
      </c>
      <c r="O59" s="163">
        <f t="shared" si="1"/>
        <v>2926.0993998865156</v>
      </c>
      <c r="P59" s="163">
        <f t="shared" si="2"/>
        <v>2985.8157141699135</v>
      </c>
      <c r="Q59" s="163">
        <f t="shared" si="3"/>
        <v>2985.8157141699139</v>
      </c>
      <c r="R59" s="133" t="str">
        <f>VLOOKUP(E59,Mapping!$E$11:$G$96,3,0)</f>
        <v>Replacement</v>
      </c>
      <c r="T59" s="160">
        <v>0</v>
      </c>
      <c r="U59" s="160">
        <v>0</v>
      </c>
      <c r="V59" s="160">
        <v>0</v>
      </c>
      <c r="W59" s="160">
        <v>0</v>
      </c>
      <c r="X59" s="160">
        <v>0</v>
      </c>
      <c r="Z59" s="160">
        <v>0</v>
      </c>
      <c r="AA59" s="160">
        <v>0</v>
      </c>
      <c r="AB59" s="160">
        <v>0</v>
      </c>
      <c r="AC59" s="160">
        <v>0</v>
      </c>
      <c r="AD59" s="160">
        <v>0</v>
      </c>
      <c r="AF59" s="160">
        <v>0</v>
      </c>
      <c r="AG59" s="160">
        <v>0</v>
      </c>
      <c r="AH59" s="160">
        <v>0</v>
      </c>
      <c r="AI59" s="160">
        <v>0</v>
      </c>
      <c r="AJ59" s="160">
        <v>0</v>
      </c>
      <c r="AL59" s="160">
        <v>0</v>
      </c>
      <c r="AM59" s="160">
        <v>0</v>
      </c>
      <c r="AN59" s="160">
        <v>0</v>
      </c>
      <c r="AO59" s="160">
        <v>0</v>
      </c>
      <c r="AP59" s="160">
        <v>0</v>
      </c>
      <c r="AR59" s="160">
        <v>2911.1703213156652</v>
      </c>
      <c r="AS59" s="160">
        <v>2896.2412427448176</v>
      </c>
      <c r="AT59" s="160">
        <v>2926.0993998865156</v>
      </c>
      <c r="AU59" s="160">
        <v>2985.8157141699135</v>
      </c>
      <c r="AV59" s="160">
        <v>2985.8157141699139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D59" s="160">
        <v>0</v>
      </c>
      <c r="BE59" s="160">
        <v>0</v>
      </c>
      <c r="BF59" s="160">
        <v>0</v>
      </c>
      <c r="BG59" s="160">
        <v>0</v>
      </c>
      <c r="BH59" s="160">
        <v>0</v>
      </c>
      <c r="BJ59" s="160">
        <v>0</v>
      </c>
      <c r="BK59" s="160">
        <v>0</v>
      </c>
      <c r="BL59" s="160">
        <v>0</v>
      </c>
      <c r="BM59" s="160">
        <v>0</v>
      </c>
      <c r="BN59" s="160">
        <v>0</v>
      </c>
    </row>
    <row r="60" spans="1:66" x14ac:dyDescent="0.2">
      <c r="A60" s="7"/>
      <c r="B60" s="7"/>
      <c r="C60" s="7"/>
      <c r="D60" s="7"/>
      <c r="E60" s="39">
        <v>157</v>
      </c>
      <c r="F60" s="39" t="s">
        <v>2265</v>
      </c>
      <c r="G60" s="54">
        <f>SUMPRODUCT(--('Input|Historical Data'!$E$9:$E$3279=$E60),--('Input|Historical Data'!$M$9:$M$3279="ENDirect"),--('Input|Historical Data'!$O$9:$O$3279="SCS"),'Input|Historical Data'!$I$9:$I$3279)</f>
        <v>4509.6181200000001</v>
      </c>
      <c r="H60" s="54">
        <f>'Calc|Weightings'!J60</f>
        <v>2688.61924</v>
      </c>
      <c r="I60" s="54">
        <f>'Calc|Weightings'!T60</f>
        <v>5231.7799300000006</v>
      </c>
      <c r="J60" s="54">
        <f>'Calc|Weightings'!AD60</f>
        <v>3400.2596600000002</v>
      </c>
      <c r="K60" s="41">
        <v>3161.8306425834198</v>
      </c>
      <c r="L60" s="41">
        <v>3946.7078680221539</v>
      </c>
      <c r="M60" s="163">
        <f t="shared" si="4"/>
        <v>3730.1291202168782</v>
      </c>
      <c r="N60" s="163">
        <f t="shared" si="0"/>
        <v>7957.3372934893605</v>
      </c>
      <c r="O60" s="163">
        <f t="shared" si="1"/>
        <v>6620.8898289709759</v>
      </c>
      <c r="P60" s="163">
        <f t="shared" si="2"/>
        <v>5374.4618935778244</v>
      </c>
      <c r="Q60" s="163">
        <f t="shared" si="3"/>
        <v>8224.1858500965427</v>
      </c>
      <c r="R60" s="133" t="str">
        <f>VLOOKUP(E60,Mapping!$E$11:$G$96,3,0)</f>
        <v>Replacement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X60" s="160">
        <v>3730.1291202168782</v>
      </c>
      <c r="AY60" s="160">
        <v>7957.3372934893605</v>
      </c>
      <c r="AZ60" s="160">
        <v>6620.8898289709759</v>
      </c>
      <c r="BA60" s="160">
        <v>5374.4618935778244</v>
      </c>
      <c r="BB60" s="160">
        <v>8224.1858500965427</v>
      </c>
      <c r="BD60" s="160">
        <v>0</v>
      </c>
      <c r="BE60" s="160">
        <v>0</v>
      </c>
      <c r="BF60" s="160">
        <v>0</v>
      </c>
      <c r="BG60" s="160">
        <v>0</v>
      </c>
      <c r="BH60" s="160">
        <v>0</v>
      </c>
      <c r="BJ60" s="160">
        <v>0</v>
      </c>
      <c r="BK60" s="160">
        <v>0</v>
      </c>
      <c r="BL60" s="160">
        <v>0</v>
      </c>
      <c r="BM60" s="160">
        <v>0</v>
      </c>
      <c r="BN60" s="160">
        <v>0</v>
      </c>
    </row>
    <row r="61" spans="1:66" x14ac:dyDescent="0.2">
      <c r="A61" s="7"/>
      <c r="B61" s="7"/>
      <c r="C61" s="7"/>
      <c r="D61" s="7"/>
      <c r="E61" s="39">
        <v>158</v>
      </c>
      <c r="F61" s="39" t="s">
        <v>2266</v>
      </c>
      <c r="G61" s="54">
        <f>SUMPRODUCT(--('Input|Historical Data'!$E$9:$E$3279=$E61),--('Input|Historical Data'!$M$9:$M$3279="ENDirect"),--('Input|Historical Data'!$O$9:$O$3279="SCS"),'Input|Historical Data'!$I$9:$I$3279)</f>
        <v>23.393729999999998</v>
      </c>
      <c r="H61" s="54">
        <f>'Calc|Weightings'!J61</f>
        <v>34.039780000000007</v>
      </c>
      <c r="I61" s="54">
        <f>'Calc|Weightings'!T61</f>
        <v>58.575829999999996</v>
      </c>
      <c r="J61" s="54">
        <f>'Calc|Weightings'!AD61</f>
        <v>0</v>
      </c>
      <c r="K61" s="41">
        <v>0</v>
      </c>
      <c r="L61" s="41">
        <v>1038.34222029132</v>
      </c>
      <c r="M61" s="163">
        <f t="shared" si="4"/>
        <v>112.82600368281015</v>
      </c>
      <c r="N61" s="163">
        <f t="shared" si="0"/>
        <v>112.82600368281015</v>
      </c>
      <c r="O61" s="163">
        <f t="shared" si="1"/>
        <v>112.82600368281015</v>
      </c>
      <c r="P61" s="163">
        <f t="shared" si="2"/>
        <v>112.82600368281015</v>
      </c>
      <c r="Q61" s="163">
        <f t="shared" si="3"/>
        <v>112.82600368281015</v>
      </c>
      <c r="R61" s="133" t="str">
        <f>VLOOKUP(E61,Mapping!$E$11:$G$96,3,0)</f>
        <v>Replacement</v>
      </c>
      <c r="T61" s="160">
        <v>0</v>
      </c>
      <c r="U61" s="160">
        <v>0</v>
      </c>
      <c r="V61" s="160">
        <v>0</v>
      </c>
      <c r="W61" s="160">
        <v>0</v>
      </c>
      <c r="X61" s="160">
        <v>0</v>
      </c>
      <c r="Z61" s="160">
        <v>0</v>
      </c>
      <c r="AA61" s="160">
        <v>0</v>
      </c>
      <c r="AB61" s="160">
        <v>0</v>
      </c>
      <c r="AC61" s="160">
        <v>0</v>
      </c>
      <c r="AD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R61" s="160">
        <v>0</v>
      </c>
      <c r="AS61" s="160">
        <v>0</v>
      </c>
      <c r="AT61" s="160">
        <v>0</v>
      </c>
      <c r="AU61" s="160">
        <v>0</v>
      </c>
      <c r="AV61" s="160">
        <v>0</v>
      </c>
      <c r="AX61" s="160">
        <v>0</v>
      </c>
      <c r="AY61" s="160">
        <v>0</v>
      </c>
      <c r="AZ61" s="160">
        <v>0</v>
      </c>
      <c r="BA61" s="160">
        <v>0</v>
      </c>
      <c r="BB61" s="160">
        <v>0</v>
      </c>
      <c r="BD61" s="160">
        <v>0</v>
      </c>
      <c r="BE61" s="160">
        <v>0</v>
      </c>
      <c r="BF61" s="160">
        <v>0</v>
      </c>
      <c r="BG61" s="160">
        <v>0</v>
      </c>
      <c r="BH61" s="160">
        <v>0</v>
      </c>
      <c r="BJ61" s="160">
        <v>112.82600368281015</v>
      </c>
      <c r="BK61" s="160">
        <v>112.82600368281015</v>
      </c>
      <c r="BL61" s="160">
        <v>112.82600368281015</v>
      </c>
      <c r="BM61" s="160">
        <v>112.82600368281015</v>
      </c>
      <c r="BN61" s="160">
        <v>112.82600368281015</v>
      </c>
    </row>
    <row r="62" spans="1:66" x14ac:dyDescent="0.2">
      <c r="A62" s="7"/>
      <c r="B62" s="7"/>
      <c r="C62" s="7"/>
      <c r="D62" s="7"/>
      <c r="E62" s="39">
        <v>159</v>
      </c>
      <c r="F62" s="39" t="s">
        <v>2267</v>
      </c>
      <c r="G62" s="54">
        <f>SUMPRODUCT(--('Input|Historical Data'!$E$9:$E$3279=$E62),--('Input|Historical Data'!$M$9:$M$3279="ENDirect"),--('Input|Historical Data'!$O$9:$O$3279="SCS"),'Input|Historical Data'!$I$9:$I$3279)</f>
        <v>0</v>
      </c>
      <c r="H62" s="54">
        <f>'Calc|Weightings'!J62</f>
        <v>0</v>
      </c>
      <c r="I62" s="54">
        <f>'Calc|Weightings'!T62</f>
        <v>0</v>
      </c>
      <c r="J62" s="54">
        <f>'Calc|Weightings'!AD62</f>
        <v>0</v>
      </c>
      <c r="K62" s="41">
        <v>0</v>
      </c>
      <c r="L62" s="41">
        <v>0</v>
      </c>
      <c r="M62" s="163">
        <f t="shared" si="4"/>
        <v>0</v>
      </c>
      <c r="N62" s="163">
        <f t="shared" si="0"/>
        <v>0</v>
      </c>
      <c r="O62" s="163">
        <f t="shared" si="1"/>
        <v>0</v>
      </c>
      <c r="P62" s="163">
        <f t="shared" si="2"/>
        <v>0</v>
      </c>
      <c r="Q62" s="163">
        <f t="shared" si="3"/>
        <v>0</v>
      </c>
      <c r="R62" s="133" t="str">
        <f>VLOOKUP(E62,Mapping!$E$11:$G$96,3,0)</f>
        <v>Augmentation</v>
      </c>
      <c r="T62" s="160">
        <v>0</v>
      </c>
      <c r="U62" s="160">
        <v>0</v>
      </c>
      <c r="V62" s="160">
        <v>0</v>
      </c>
      <c r="W62" s="160">
        <v>0</v>
      </c>
      <c r="X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F62" s="160">
        <v>0</v>
      </c>
      <c r="AG62" s="160">
        <v>0</v>
      </c>
      <c r="AH62" s="160">
        <v>0</v>
      </c>
      <c r="AI62" s="160">
        <v>0</v>
      </c>
      <c r="AJ62" s="160">
        <v>0</v>
      </c>
      <c r="AL62" s="160">
        <v>0</v>
      </c>
      <c r="AM62" s="160">
        <v>0</v>
      </c>
      <c r="AN62" s="160">
        <v>0</v>
      </c>
      <c r="AO62" s="160">
        <v>0</v>
      </c>
      <c r="AP62" s="160">
        <v>0</v>
      </c>
      <c r="AR62" s="160">
        <v>0</v>
      </c>
      <c r="AS62" s="160">
        <v>0</v>
      </c>
      <c r="AT62" s="160">
        <v>0</v>
      </c>
      <c r="AU62" s="160">
        <v>0</v>
      </c>
      <c r="AV62" s="160">
        <v>0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D62" s="160">
        <v>0</v>
      </c>
      <c r="BE62" s="160">
        <v>0</v>
      </c>
      <c r="BF62" s="160">
        <v>0</v>
      </c>
      <c r="BG62" s="160">
        <v>0</v>
      </c>
      <c r="BH62" s="160">
        <v>0</v>
      </c>
      <c r="BJ62" s="160">
        <v>0</v>
      </c>
      <c r="BK62" s="160">
        <v>0</v>
      </c>
      <c r="BL62" s="160">
        <v>0</v>
      </c>
      <c r="BM62" s="160">
        <v>0</v>
      </c>
      <c r="BN62" s="160">
        <v>0</v>
      </c>
    </row>
    <row r="63" spans="1:66" x14ac:dyDescent="0.2">
      <c r="A63" s="7"/>
      <c r="B63" s="7"/>
      <c r="C63" s="7"/>
      <c r="D63" s="7"/>
      <c r="E63" s="39">
        <v>160</v>
      </c>
      <c r="F63" s="39" t="s">
        <v>2268</v>
      </c>
      <c r="G63" s="54">
        <f>SUMPRODUCT(--('Input|Historical Data'!$E$9:$E$3279=$E63),--('Input|Historical Data'!$M$9:$M$3279="ENDirect"),--('Input|Historical Data'!$O$9:$O$3279="SCS"),'Input|Historical Data'!$I$9:$I$3279)</f>
        <v>1226.6641900000002</v>
      </c>
      <c r="H63" s="54">
        <f>'Calc|Weightings'!J63</f>
        <v>624.27343000000008</v>
      </c>
      <c r="I63" s="54">
        <f>'Calc|Weightings'!T63</f>
        <v>1002.3984799999999</v>
      </c>
      <c r="J63" s="54">
        <f>'Calc|Weightings'!AD63</f>
        <v>2190.8899799999995</v>
      </c>
      <c r="K63" s="41">
        <v>1498.4402592630115</v>
      </c>
      <c r="L63" s="41">
        <v>1754.6195590789507</v>
      </c>
      <c r="M63" s="163">
        <f t="shared" si="4"/>
        <v>5120.8247612977475</v>
      </c>
      <c r="N63" s="163">
        <f t="shared" si="0"/>
        <v>4896.1250622936741</v>
      </c>
      <c r="O63" s="163">
        <f t="shared" si="1"/>
        <v>5165.6996817072159</v>
      </c>
      <c r="P63" s="163">
        <f t="shared" si="2"/>
        <v>5163.1885696313129</v>
      </c>
      <c r="Q63" s="163">
        <f t="shared" si="3"/>
        <v>5261.3590179904022</v>
      </c>
      <c r="R63" s="133" t="str">
        <f>VLOOKUP(E63,Mapping!$E$11:$G$96,3,0)</f>
        <v>Augmentation</v>
      </c>
      <c r="T63" s="160">
        <v>0</v>
      </c>
      <c r="U63" s="160">
        <v>0</v>
      </c>
      <c r="V63" s="160">
        <v>0</v>
      </c>
      <c r="W63" s="160">
        <v>0</v>
      </c>
      <c r="X63" s="160">
        <v>0</v>
      </c>
      <c r="Z63" s="160">
        <v>5120.8247612977475</v>
      </c>
      <c r="AA63" s="160">
        <v>4896.1250622936741</v>
      </c>
      <c r="AB63" s="160">
        <v>5165.6996817072159</v>
      </c>
      <c r="AC63" s="160">
        <v>5163.1885696313129</v>
      </c>
      <c r="AD63" s="160">
        <v>5261.3590179904022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</row>
    <row r="64" spans="1:66" x14ac:dyDescent="0.2">
      <c r="A64" s="7"/>
      <c r="B64" s="7"/>
      <c r="C64" s="7"/>
      <c r="D64" s="7"/>
      <c r="E64" s="39">
        <v>161</v>
      </c>
      <c r="F64" s="39" t="s">
        <v>2269</v>
      </c>
      <c r="G64" s="54">
        <f>SUMPRODUCT(--('Input|Historical Data'!$E$9:$E$3279=$E64),--('Input|Historical Data'!$M$9:$M$3279="ENDirect"),--('Input|Historical Data'!$O$9:$O$3279="SCS"),'Input|Historical Data'!$I$9:$I$3279)</f>
        <v>11531.302020000005</v>
      </c>
      <c r="H64" s="54">
        <f>'Calc|Weightings'!J64</f>
        <v>5645.9560899999988</v>
      </c>
      <c r="I64" s="54">
        <f>'Calc|Weightings'!T64</f>
        <v>6888.5576400000036</v>
      </c>
      <c r="J64" s="54">
        <f>'Calc|Weightings'!AD64</f>
        <v>3939.9786299999982</v>
      </c>
      <c r="K64" s="41">
        <v>4706.6537456428678</v>
      </c>
      <c r="L64" s="41">
        <v>6413.3914701171543</v>
      </c>
      <c r="M64" s="163">
        <f t="shared" si="4"/>
        <v>288.44336283185839</v>
      </c>
      <c r="N64" s="163">
        <f t="shared" si="0"/>
        <v>104.81651327433627</v>
      </c>
      <c r="O64" s="163">
        <f t="shared" si="1"/>
        <v>1991.5137522123894</v>
      </c>
      <c r="P64" s="163">
        <f t="shared" si="2"/>
        <v>2195.1928141592921</v>
      </c>
      <c r="Q64" s="163">
        <f t="shared" si="3"/>
        <v>2778.4448318584077</v>
      </c>
      <c r="R64" s="133" t="str">
        <f>VLOOKUP(E64,Mapping!$E$11:$G$96,3,0)</f>
        <v>Augmentation</v>
      </c>
      <c r="T64" s="160">
        <v>0</v>
      </c>
      <c r="U64" s="160">
        <v>0</v>
      </c>
      <c r="V64" s="160">
        <v>0</v>
      </c>
      <c r="W64" s="160">
        <v>0</v>
      </c>
      <c r="X64" s="160">
        <v>0</v>
      </c>
      <c r="Z64" s="160">
        <v>288.44336283185839</v>
      </c>
      <c r="AA64" s="160">
        <v>104.81651327433627</v>
      </c>
      <c r="AB64" s="160">
        <v>1991.5137522123894</v>
      </c>
      <c r="AC64" s="160">
        <v>2195.1928141592921</v>
      </c>
      <c r="AD64" s="160">
        <v>2778.4448318584077</v>
      </c>
      <c r="AF64" s="160">
        <v>0</v>
      </c>
      <c r="AG64" s="160">
        <v>0</v>
      </c>
      <c r="AH64" s="160">
        <v>0</v>
      </c>
      <c r="AI64" s="160">
        <v>0</v>
      </c>
      <c r="AJ64" s="160">
        <v>0</v>
      </c>
      <c r="AL64" s="160">
        <v>0</v>
      </c>
      <c r="AM64" s="160">
        <v>0</v>
      </c>
      <c r="AN64" s="160">
        <v>0</v>
      </c>
      <c r="AO64" s="160">
        <v>0</v>
      </c>
      <c r="AP64" s="160">
        <v>0</v>
      </c>
      <c r="AR64" s="160">
        <v>0</v>
      </c>
      <c r="AS64" s="160">
        <v>0</v>
      </c>
      <c r="AT64" s="160">
        <v>0</v>
      </c>
      <c r="AU64" s="160">
        <v>0</v>
      </c>
      <c r="AV64" s="160">
        <v>0</v>
      </c>
      <c r="AX64" s="160">
        <v>0</v>
      </c>
      <c r="AY64" s="160">
        <v>0</v>
      </c>
      <c r="AZ64" s="160">
        <v>0</v>
      </c>
      <c r="BA64" s="160">
        <v>0</v>
      </c>
      <c r="BB64" s="160">
        <v>0</v>
      </c>
      <c r="BD64" s="160">
        <v>0</v>
      </c>
      <c r="BE64" s="160">
        <v>0</v>
      </c>
      <c r="BF64" s="160">
        <v>0</v>
      </c>
      <c r="BG64" s="160">
        <v>0</v>
      </c>
      <c r="BH64" s="160">
        <v>0</v>
      </c>
      <c r="BJ64" s="160">
        <v>0</v>
      </c>
      <c r="BK64" s="160">
        <v>0</v>
      </c>
      <c r="BL64" s="160">
        <v>0</v>
      </c>
      <c r="BM64" s="160">
        <v>0</v>
      </c>
      <c r="BN64" s="160">
        <v>0</v>
      </c>
    </row>
    <row r="65" spans="1:66" x14ac:dyDescent="0.2">
      <c r="A65" s="7"/>
      <c r="B65" s="7"/>
      <c r="C65" s="7"/>
      <c r="D65" s="7"/>
      <c r="E65" s="75" t="s">
        <v>2405</v>
      </c>
      <c r="F65" s="39" t="s">
        <v>2269</v>
      </c>
      <c r="G65" s="54">
        <f>SUMPRODUCT(--('Input|Historical Data'!$E$9:$E$3279=$E65),--('Input|Historical Data'!$M$9:$M$3279="ENDirect"),--('Input|Historical Data'!$O$9:$O$3279="SCS"),'Input|Historical Data'!$I$9:$I$3279)</f>
        <v>0</v>
      </c>
      <c r="H65" s="54">
        <f>'Calc|Weightings'!J65</f>
        <v>24630.534</v>
      </c>
      <c r="I65" s="54">
        <f>'Calc|Weightings'!T65</f>
        <v>0</v>
      </c>
      <c r="J65" s="54">
        <f>'Calc|Weightings'!AD65</f>
        <v>0</v>
      </c>
      <c r="K65" s="122">
        <v>0</v>
      </c>
      <c r="L65" s="122">
        <v>0</v>
      </c>
      <c r="M65" s="54">
        <f t="shared" si="4"/>
        <v>0</v>
      </c>
      <c r="N65" s="54">
        <f t="shared" si="0"/>
        <v>0</v>
      </c>
      <c r="O65" s="54">
        <f t="shared" si="1"/>
        <v>0</v>
      </c>
      <c r="P65" s="54">
        <f t="shared" si="2"/>
        <v>0</v>
      </c>
      <c r="Q65" s="54">
        <f t="shared" si="3"/>
        <v>0</v>
      </c>
      <c r="R65" s="133" t="str">
        <f>VLOOKUP(E65,Mapping!$E$11:$G$96,3,0)</f>
        <v>Land</v>
      </c>
      <c r="T65" s="161"/>
      <c r="U65" s="161"/>
      <c r="V65" s="161"/>
      <c r="W65" s="161"/>
      <c r="X65" s="161"/>
      <c r="Z65" s="161"/>
      <c r="AA65" s="161"/>
      <c r="AB65" s="161"/>
      <c r="AC65" s="161"/>
      <c r="AD65" s="161"/>
      <c r="AF65" s="161"/>
      <c r="AG65" s="161"/>
      <c r="AH65" s="161"/>
      <c r="AI65" s="161"/>
      <c r="AJ65" s="161"/>
      <c r="AL65" s="161"/>
      <c r="AM65" s="161"/>
      <c r="AN65" s="161"/>
      <c r="AO65" s="161"/>
      <c r="AP65" s="161"/>
      <c r="AR65" s="161"/>
      <c r="AS65" s="161"/>
      <c r="AT65" s="161"/>
      <c r="AU65" s="161"/>
      <c r="AV65" s="161"/>
      <c r="AX65" s="161"/>
      <c r="AY65" s="161"/>
      <c r="AZ65" s="161"/>
      <c r="BA65" s="161"/>
      <c r="BB65" s="161"/>
      <c r="BD65" s="161"/>
      <c r="BE65" s="161"/>
      <c r="BF65" s="161"/>
      <c r="BG65" s="161"/>
      <c r="BH65" s="161"/>
      <c r="BJ65" s="161"/>
      <c r="BK65" s="161"/>
      <c r="BL65" s="161"/>
      <c r="BM65" s="161"/>
      <c r="BN65" s="161"/>
    </row>
    <row r="66" spans="1:66" x14ac:dyDescent="0.2">
      <c r="A66" s="7"/>
      <c r="B66" s="7"/>
      <c r="C66" s="7"/>
      <c r="D66" s="7"/>
      <c r="E66" s="39">
        <v>162</v>
      </c>
      <c r="F66" s="39" t="s">
        <v>2270</v>
      </c>
      <c r="G66" s="54">
        <f>SUMPRODUCT(--('Input|Historical Data'!$E$9:$E$3279=$E66),--('Input|Historical Data'!$M$9:$M$3279="ENDirect"),--('Input|Historical Data'!$O$9:$O$3279="SCS"),'Input|Historical Data'!$I$9:$I$3279)</f>
        <v>15657.477850000001</v>
      </c>
      <c r="H66" s="54">
        <f>'Calc|Weightings'!J66</f>
        <v>7604.7117099999987</v>
      </c>
      <c r="I66" s="54">
        <f>'Calc|Weightings'!T66</f>
        <v>4711.7751100000005</v>
      </c>
      <c r="J66" s="54">
        <f>'Calc|Weightings'!AD66</f>
        <v>8199.6085400000047</v>
      </c>
      <c r="K66" s="41">
        <v>19897.731283709814</v>
      </c>
      <c r="L66" s="41">
        <v>47010.314463898925</v>
      </c>
      <c r="M66" s="163">
        <f t="shared" ref="M66:M80" si="5">SUM(T66,Z66,AF66,AL66,AR66,AX66,BD66,BJ66)</f>
        <v>30385.335899911508</v>
      </c>
      <c r="N66" s="163">
        <f t="shared" ref="N66:N80" si="6">SUM(U66,AA66,AG66,AM66,AS66,AY66,BE66,BK66)</f>
        <v>11326.745905752214</v>
      </c>
      <c r="O66" s="163">
        <f t="shared" ref="O66:O80" si="7">SUM(V66,AB66,AH66,AN66,AT66,AZ66,BF66,BL66)</f>
        <v>5188.4174070796462</v>
      </c>
      <c r="P66" s="163">
        <f t="shared" ref="P66:P80" si="8">SUM(W66,AC66,AI66,AO66,AU66,BA66,BG66,BM66)</f>
        <v>8856.0030442477873</v>
      </c>
      <c r="Q66" s="163">
        <f t="shared" ref="Q66:Q80" si="9">SUM(X66,AD66,AJ66,AP66,AV66,BB66,BH66,BN66)</f>
        <v>6330.2212300884958</v>
      </c>
      <c r="R66" s="133" t="str">
        <f>VLOOKUP(E66,Mapping!$E$11:$G$96,3,0)</f>
        <v>Augmentation</v>
      </c>
      <c r="T66" s="160">
        <v>0</v>
      </c>
      <c r="U66" s="160">
        <v>0</v>
      </c>
      <c r="V66" s="160">
        <v>0</v>
      </c>
      <c r="W66" s="160">
        <v>0</v>
      </c>
      <c r="X66" s="160">
        <v>0</v>
      </c>
      <c r="Z66" s="160">
        <v>30385.335899911508</v>
      </c>
      <c r="AA66" s="160">
        <v>11326.745905752214</v>
      </c>
      <c r="AB66" s="160">
        <v>5188.4174070796462</v>
      </c>
      <c r="AC66" s="160">
        <v>8856.0030442477873</v>
      </c>
      <c r="AD66" s="160">
        <v>6330.2212300884958</v>
      </c>
      <c r="AF66" s="160">
        <v>0</v>
      </c>
      <c r="AG66" s="160">
        <v>0</v>
      </c>
      <c r="AH66" s="160">
        <v>0</v>
      </c>
      <c r="AI66" s="160">
        <v>0</v>
      </c>
      <c r="AJ66" s="160">
        <v>0</v>
      </c>
      <c r="AL66" s="160">
        <v>0</v>
      </c>
      <c r="AM66" s="160">
        <v>0</v>
      </c>
      <c r="AN66" s="160">
        <v>0</v>
      </c>
      <c r="AO66" s="160">
        <v>0</v>
      </c>
      <c r="AP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60">
        <v>0</v>
      </c>
      <c r="AX66" s="160">
        <v>0</v>
      </c>
      <c r="AY66" s="160">
        <v>0</v>
      </c>
      <c r="AZ66" s="160">
        <v>0</v>
      </c>
      <c r="BA66" s="160">
        <v>0</v>
      </c>
      <c r="BB66" s="160">
        <v>0</v>
      </c>
      <c r="BD66" s="160">
        <v>0</v>
      </c>
      <c r="BE66" s="160">
        <v>0</v>
      </c>
      <c r="BF66" s="160">
        <v>0</v>
      </c>
      <c r="BG66" s="160">
        <v>0</v>
      </c>
      <c r="BH66" s="160">
        <v>0</v>
      </c>
      <c r="BJ66" s="160">
        <v>0</v>
      </c>
      <c r="BK66" s="160">
        <v>0</v>
      </c>
      <c r="BL66" s="160">
        <v>0</v>
      </c>
      <c r="BM66" s="160">
        <v>0</v>
      </c>
      <c r="BN66" s="160">
        <v>0</v>
      </c>
    </row>
    <row r="67" spans="1:66" x14ac:dyDescent="0.2">
      <c r="A67" s="7"/>
      <c r="B67" s="7"/>
      <c r="C67" s="7"/>
      <c r="D67" s="7"/>
      <c r="E67" s="39">
        <v>163</v>
      </c>
      <c r="F67" s="39" t="s">
        <v>2271</v>
      </c>
      <c r="G67" s="54">
        <f>SUMPRODUCT(--('Input|Historical Data'!$E$9:$E$3279=$E67),--('Input|Historical Data'!$M$9:$M$3279="ENDirect"),--('Input|Historical Data'!$O$9:$O$3279="SCS"),'Input|Historical Data'!$I$9:$I$3279)</f>
        <v>803.6418900000001</v>
      </c>
      <c r="H67" s="54">
        <f>'Calc|Weightings'!J67</f>
        <v>-24.68084</v>
      </c>
      <c r="I67" s="54">
        <f>'Calc|Weightings'!T67</f>
        <v>145.22188</v>
      </c>
      <c r="J67" s="54">
        <f>'Calc|Weightings'!AD67</f>
        <v>1306.2616800000001</v>
      </c>
      <c r="K67" s="41">
        <v>2189.0498114815964</v>
      </c>
      <c r="L67" s="41">
        <v>2912.6944226952469</v>
      </c>
      <c r="M67" s="163">
        <f t="shared" si="5"/>
        <v>901.17941244325868</v>
      </c>
      <c r="N67" s="163">
        <f t="shared" si="6"/>
        <v>901.17941244325868</v>
      </c>
      <c r="O67" s="163">
        <f t="shared" si="7"/>
        <v>901.17941244325868</v>
      </c>
      <c r="P67" s="163">
        <f t="shared" si="8"/>
        <v>901.17941244325868</v>
      </c>
      <c r="Q67" s="163">
        <f t="shared" si="9"/>
        <v>901.17941244325868</v>
      </c>
      <c r="R67" s="133" t="str">
        <f>VLOOKUP(E67,Mapping!$E$11:$G$96,3,0)</f>
        <v>Replacement</v>
      </c>
      <c r="T67" s="160">
        <v>0</v>
      </c>
      <c r="U67" s="160">
        <v>0</v>
      </c>
      <c r="V67" s="160">
        <v>0</v>
      </c>
      <c r="W67" s="160">
        <v>0</v>
      </c>
      <c r="X67" s="160">
        <v>0</v>
      </c>
      <c r="Z67" s="160">
        <v>0</v>
      </c>
      <c r="AA67" s="160">
        <v>0</v>
      </c>
      <c r="AB67" s="160">
        <v>0</v>
      </c>
      <c r="AC67" s="160">
        <v>0</v>
      </c>
      <c r="AD67" s="160">
        <v>0</v>
      </c>
      <c r="AF67" s="160">
        <v>0</v>
      </c>
      <c r="AG67" s="160">
        <v>0</v>
      </c>
      <c r="AH67" s="160">
        <v>0</v>
      </c>
      <c r="AI67" s="160">
        <v>0</v>
      </c>
      <c r="AJ67" s="160">
        <v>0</v>
      </c>
      <c r="AL67" s="160">
        <v>0</v>
      </c>
      <c r="AM67" s="160">
        <v>0</v>
      </c>
      <c r="AN67" s="160">
        <v>0</v>
      </c>
      <c r="AO67" s="160">
        <v>0</v>
      </c>
      <c r="AP67" s="160">
        <v>0</v>
      </c>
      <c r="AR67" s="160">
        <v>0</v>
      </c>
      <c r="AS67" s="160">
        <v>0</v>
      </c>
      <c r="AT67" s="160">
        <v>0</v>
      </c>
      <c r="AU67" s="160">
        <v>0</v>
      </c>
      <c r="AV67" s="160">
        <v>0</v>
      </c>
      <c r="AX67" s="160">
        <v>0</v>
      </c>
      <c r="AY67" s="160">
        <v>0</v>
      </c>
      <c r="AZ67" s="160">
        <v>0</v>
      </c>
      <c r="BA67" s="160">
        <v>0</v>
      </c>
      <c r="BB67" s="160">
        <v>0</v>
      </c>
      <c r="BD67" s="160">
        <v>901.17941244325868</v>
      </c>
      <c r="BE67" s="160">
        <v>901.17941244325868</v>
      </c>
      <c r="BF67" s="160">
        <v>901.17941244325868</v>
      </c>
      <c r="BG67" s="160">
        <v>901.17941244325868</v>
      </c>
      <c r="BH67" s="160">
        <v>901.17941244325868</v>
      </c>
      <c r="BJ67" s="160">
        <v>0</v>
      </c>
      <c r="BK67" s="160">
        <v>0</v>
      </c>
      <c r="BL67" s="160">
        <v>0</v>
      </c>
      <c r="BM67" s="160">
        <v>0</v>
      </c>
      <c r="BN67" s="160">
        <v>0</v>
      </c>
    </row>
    <row r="68" spans="1:66" x14ac:dyDescent="0.2">
      <c r="A68" s="7"/>
      <c r="B68" s="7"/>
      <c r="C68" s="7"/>
      <c r="D68" s="7"/>
      <c r="E68" s="39">
        <v>164</v>
      </c>
      <c r="F68" s="39" t="s">
        <v>2272</v>
      </c>
      <c r="G68" s="54">
        <f>SUMPRODUCT(--('Input|Historical Data'!$E$9:$E$3279=$E68),--('Input|Historical Data'!$M$9:$M$3279="ENDirect"),--('Input|Historical Data'!$O$9:$O$3279="SCS"),'Input|Historical Data'!$I$9:$I$3279)</f>
        <v>0</v>
      </c>
      <c r="H68" s="54">
        <f>'Calc|Weightings'!J68</f>
        <v>0</v>
      </c>
      <c r="I68" s="54">
        <f>'Calc|Weightings'!T68</f>
        <v>0</v>
      </c>
      <c r="J68" s="54">
        <f>'Calc|Weightings'!AD68</f>
        <v>0</v>
      </c>
      <c r="K68" s="41">
        <v>0</v>
      </c>
      <c r="L68" s="41">
        <v>0</v>
      </c>
      <c r="M68" s="163">
        <f t="shared" si="5"/>
        <v>0</v>
      </c>
      <c r="N68" s="163">
        <f t="shared" si="6"/>
        <v>0</v>
      </c>
      <c r="O68" s="163">
        <f t="shared" si="7"/>
        <v>0</v>
      </c>
      <c r="P68" s="163">
        <f t="shared" si="8"/>
        <v>0</v>
      </c>
      <c r="Q68" s="163">
        <f t="shared" si="9"/>
        <v>0</v>
      </c>
      <c r="R68" s="133" t="str">
        <f>VLOOKUP(E68,Mapping!$E$11:$G$96,3,0)</f>
        <v>Replacement</v>
      </c>
      <c r="T68" s="160">
        <v>0</v>
      </c>
      <c r="U68" s="160">
        <v>0</v>
      </c>
      <c r="V68" s="160">
        <v>0</v>
      </c>
      <c r="W68" s="160">
        <v>0</v>
      </c>
      <c r="X68" s="160">
        <v>0</v>
      </c>
      <c r="Z68" s="160">
        <v>0</v>
      </c>
      <c r="AA68" s="160">
        <v>0</v>
      </c>
      <c r="AB68" s="160">
        <v>0</v>
      </c>
      <c r="AC68" s="160">
        <v>0</v>
      </c>
      <c r="AD68" s="160">
        <v>0</v>
      </c>
      <c r="AF68" s="160">
        <v>0</v>
      </c>
      <c r="AG68" s="160">
        <v>0</v>
      </c>
      <c r="AH68" s="160">
        <v>0</v>
      </c>
      <c r="AI68" s="160">
        <v>0</v>
      </c>
      <c r="AJ68" s="160">
        <v>0</v>
      </c>
      <c r="AL68" s="160">
        <v>0</v>
      </c>
      <c r="AM68" s="160">
        <v>0</v>
      </c>
      <c r="AN68" s="160">
        <v>0</v>
      </c>
      <c r="AO68" s="160">
        <v>0</v>
      </c>
      <c r="AP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60">
        <v>0</v>
      </c>
      <c r="AX68" s="160">
        <v>0</v>
      </c>
      <c r="AY68" s="160">
        <v>0</v>
      </c>
      <c r="AZ68" s="160">
        <v>0</v>
      </c>
      <c r="BA68" s="160">
        <v>0</v>
      </c>
      <c r="BB68" s="160">
        <v>0</v>
      </c>
      <c r="BD68" s="160">
        <v>0</v>
      </c>
      <c r="BE68" s="160">
        <v>0</v>
      </c>
      <c r="BF68" s="160">
        <v>0</v>
      </c>
      <c r="BG68" s="160">
        <v>0</v>
      </c>
      <c r="BH68" s="160">
        <v>0</v>
      </c>
      <c r="BJ68" s="160">
        <v>0</v>
      </c>
      <c r="BK68" s="160">
        <v>0</v>
      </c>
      <c r="BL68" s="160">
        <v>0</v>
      </c>
      <c r="BM68" s="160">
        <v>0</v>
      </c>
      <c r="BN68" s="160">
        <v>0</v>
      </c>
    </row>
    <row r="69" spans="1:66" x14ac:dyDescent="0.2">
      <c r="A69" s="7"/>
      <c r="B69" s="7"/>
      <c r="C69" s="7"/>
      <c r="D69" s="7"/>
      <c r="E69" s="39">
        <v>165</v>
      </c>
      <c r="F69" s="39" t="s">
        <v>2273</v>
      </c>
      <c r="G69" s="54">
        <f>SUMPRODUCT(--('Input|Historical Data'!$E$9:$E$3279=$E69),--('Input|Historical Data'!$M$9:$M$3279="ENDirect"),--('Input|Historical Data'!$O$9:$O$3279="SCS"),'Input|Historical Data'!$I$9:$I$3279)</f>
        <v>0</v>
      </c>
      <c r="H69" s="54">
        <f>'Calc|Weightings'!J69</f>
        <v>0</v>
      </c>
      <c r="I69" s="54">
        <f>'Calc|Weightings'!T69</f>
        <v>-10.725010000000003</v>
      </c>
      <c r="J69" s="54">
        <f>'Calc|Weightings'!AD69</f>
        <v>-179.13206</v>
      </c>
      <c r="K69" s="41">
        <v>-6.027981152661356</v>
      </c>
      <c r="L69" s="41">
        <v>0</v>
      </c>
      <c r="M69" s="163">
        <f t="shared" si="5"/>
        <v>0</v>
      </c>
      <c r="N69" s="163">
        <f t="shared" si="6"/>
        <v>0</v>
      </c>
      <c r="O69" s="163">
        <f t="shared" si="7"/>
        <v>0</v>
      </c>
      <c r="P69" s="163">
        <f t="shared" si="8"/>
        <v>0</v>
      </c>
      <c r="Q69" s="163">
        <f t="shared" si="9"/>
        <v>0</v>
      </c>
      <c r="R69" s="133" t="str">
        <f>VLOOKUP(E69,Mapping!$E$11:$G$96,3,0)</f>
        <v>Replacement</v>
      </c>
      <c r="T69" s="160">
        <v>0</v>
      </c>
      <c r="U69" s="160">
        <v>0</v>
      </c>
      <c r="V69" s="160">
        <v>0</v>
      </c>
      <c r="W69" s="160">
        <v>0</v>
      </c>
      <c r="X69" s="160">
        <v>0</v>
      </c>
      <c r="Z69" s="160">
        <v>0</v>
      </c>
      <c r="AA69" s="160">
        <v>0</v>
      </c>
      <c r="AB69" s="160">
        <v>0</v>
      </c>
      <c r="AC69" s="160">
        <v>0</v>
      </c>
      <c r="AD69" s="160">
        <v>0</v>
      </c>
      <c r="AF69" s="160">
        <v>0</v>
      </c>
      <c r="AG69" s="160">
        <v>0</v>
      </c>
      <c r="AH69" s="160">
        <v>0</v>
      </c>
      <c r="AI69" s="160">
        <v>0</v>
      </c>
      <c r="AJ69" s="160">
        <v>0</v>
      </c>
      <c r="AL69" s="160">
        <v>0</v>
      </c>
      <c r="AM69" s="160">
        <v>0</v>
      </c>
      <c r="AN69" s="160">
        <v>0</v>
      </c>
      <c r="AO69" s="160">
        <v>0</v>
      </c>
      <c r="AP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60">
        <v>0</v>
      </c>
      <c r="AX69" s="160">
        <v>0</v>
      </c>
      <c r="AY69" s="160">
        <v>0</v>
      </c>
      <c r="AZ69" s="160">
        <v>0</v>
      </c>
      <c r="BA69" s="160">
        <v>0</v>
      </c>
      <c r="BB69" s="160">
        <v>0</v>
      </c>
      <c r="BD69" s="160">
        <v>0</v>
      </c>
      <c r="BE69" s="160">
        <v>0</v>
      </c>
      <c r="BF69" s="160">
        <v>0</v>
      </c>
      <c r="BG69" s="160">
        <v>0</v>
      </c>
      <c r="BH69" s="160">
        <v>0</v>
      </c>
      <c r="BJ69" s="160">
        <v>0</v>
      </c>
      <c r="BK69" s="160">
        <v>0</v>
      </c>
      <c r="BL69" s="160">
        <v>0</v>
      </c>
      <c r="BM69" s="160">
        <v>0</v>
      </c>
      <c r="BN69" s="160">
        <v>0</v>
      </c>
    </row>
    <row r="70" spans="1:66" x14ac:dyDescent="0.2">
      <c r="A70" s="7"/>
      <c r="B70" s="7"/>
      <c r="C70" s="7"/>
      <c r="D70" s="7"/>
      <c r="E70" s="39">
        <v>166</v>
      </c>
      <c r="F70" s="39" t="s">
        <v>2274</v>
      </c>
      <c r="G70" s="54">
        <f>SUMPRODUCT(--('Input|Historical Data'!$E$9:$E$3279=$E70),--('Input|Historical Data'!$M$9:$M$3279="ENDirect"),--('Input|Historical Data'!$O$9:$O$3279="SCS"),'Input|Historical Data'!$I$9:$I$3279)</f>
        <v>14.808479999999999</v>
      </c>
      <c r="H70" s="54">
        <f>'Calc|Weightings'!J70</f>
        <v>1.1499999999999999</v>
      </c>
      <c r="I70" s="54">
        <f>'Calc|Weightings'!T70</f>
        <v>292.9899999999999</v>
      </c>
      <c r="J70" s="54">
        <f>'Calc|Weightings'!AD70</f>
        <v>236.9162199999999</v>
      </c>
      <c r="K70" s="41">
        <v>575.40373565283835</v>
      </c>
      <c r="L70" s="41">
        <v>988.1526951492026</v>
      </c>
      <c r="M70" s="163">
        <f t="shared" si="5"/>
        <v>0</v>
      </c>
      <c r="N70" s="163">
        <f t="shared" si="6"/>
        <v>0</v>
      </c>
      <c r="O70" s="163">
        <f t="shared" si="7"/>
        <v>0</v>
      </c>
      <c r="P70" s="163">
        <f t="shared" si="8"/>
        <v>0</v>
      </c>
      <c r="Q70" s="163">
        <f t="shared" si="9"/>
        <v>0</v>
      </c>
      <c r="R70" s="133" t="str">
        <f>VLOOKUP(E70,Mapping!$E$11:$G$96,3,0)</f>
        <v>Augmentation</v>
      </c>
      <c r="T70" s="160">
        <v>0</v>
      </c>
      <c r="U70" s="160">
        <v>0</v>
      </c>
      <c r="V70" s="160">
        <v>0</v>
      </c>
      <c r="W70" s="160">
        <v>0</v>
      </c>
      <c r="X70" s="160">
        <v>0</v>
      </c>
      <c r="Z70" s="160">
        <v>0</v>
      </c>
      <c r="AA70" s="160">
        <v>0</v>
      </c>
      <c r="AB70" s="160">
        <v>0</v>
      </c>
      <c r="AC70" s="160">
        <v>0</v>
      </c>
      <c r="AD70" s="160">
        <v>0</v>
      </c>
      <c r="AF70" s="160">
        <v>0</v>
      </c>
      <c r="AG70" s="160">
        <v>0</v>
      </c>
      <c r="AH70" s="160">
        <v>0</v>
      </c>
      <c r="AI70" s="160">
        <v>0</v>
      </c>
      <c r="AJ70" s="160">
        <v>0</v>
      </c>
      <c r="AL70" s="160">
        <v>0</v>
      </c>
      <c r="AM70" s="160">
        <v>0</v>
      </c>
      <c r="AN70" s="160">
        <v>0</v>
      </c>
      <c r="AO70" s="160">
        <v>0</v>
      </c>
      <c r="AP70" s="160">
        <v>0</v>
      </c>
      <c r="AR70" s="160">
        <v>0</v>
      </c>
      <c r="AS70" s="160">
        <v>0</v>
      </c>
      <c r="AT70" s="160">
        <v>0</v>
      </c>
      <c r="AU70" s="160">
        <v>0</v>
      </c>
      <c r="AV70" s="160">
        <v>0</v>
      </c>
      <c r="AX70" s="160">
        <v>0</v>
      </c>
      <c r="AY70" s="160">
        <v>0</v>
      </c>
      <c r="AZ70" s="160">
        <v>0</v>
      </c>
      <c r="BA70" s="160">
        <v>0</v>
      </c>
      <c r="BB70" s="160">
        <v>0</v>
      </c>
      <c r="BD70" s="160">
        <v>0</v>
      </c>
      <c r="BE70" s="160">
        <v>0</v>
      </c>
      <c r="BF70" s="160">
        <v>0</v>
      </c>
      <c r="BG70" s="160">
        <v>0</v>
      </c>
      <c r="BH70" s="160">
        <v>0</v>
      </c>
      <c r="BJ70" s="160">
        <v>0</v>
      </c>
      <c r="BK70" s="160">
        <v>0</v>
      </c>
      <c r="BL70" s="160">
        <v>0</v>
      </c>
      <c r="BM70" s="160">
        <v>0</v>
      </c>
      <c r="BN70" s="160">
        <v>0</v>
      </c>
    </row>
    <row r="71" spans="1:66" x14ac:dyDescent="0.2">
      <c r="A71" s="7"/>
      <c r="B71" s="7"/>
      <c r="C71" s="7"/>
      <c r="D71" s="7"/>
      <c r="E71" s="39">
        <v>167</v>
      </c>
      <c r="F71" s="39" t="s">
        <v>39</v>
      </c>
      <c r="G71" s="54">
        <f>SUMPRODUCT(--('Input|Historical Data'!$E$9:$E$3279=$E71),--('Input|Historical Data'!$M$9:$M$3279="ENDirect"),--('Input|Historical Data'!$O$9:$O$3279="SCS"),'Input|Historical Data'!$I$9:$I$3279)</f>
        <v>0</v>
      </c>
      <c r="H71" s="54">
        <f>'Calc|Weightings'!J71</f>
        <v>0</v>
      </c>
      <c r="I71" s="54">
        <f>'Calc|Weightings'!T71</f>
        <v>0</v>
      </c>
      <c r="J71" s="54">
        <f>'Calc|Weightings'!AD71</f>
        <v>33.343380000000003</v>
      </c>
      <c r="K71" s="41">
        <v>6.1819492458391547</v>
      </c>
      <c r="L71" s="41">
        <v>1067.3919088603623</v>
      </c>
      <c r="M71" s="163">
        <f t="shared" si="5"/>
        <v>0</v>
      </c>
      <c r="N71" s="163">
        <f t="shared" si="6"/>
        <v>0</v>
      </c>
      <c r="O71" s="163">
        <f t="shared" si="7"/>
        <v>0</v>
      </c>
      <c r="P71" s="163">
        <f t="shared" si="8"/>
        <v>0</v>
      </c>
      <c r="Q71" s="163">
        <f t="shared" si="9"/>
        <v>0</v>
      </c>
      <c r="R71" s="133" t="str">
        <f>VLOOKUP(E71,Mapping!$E$11:$G$96,3,0)</f>
        <v>VBRC Calc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F71" s="160">
        <v>0</v>
      </c>
      <c r="AG71" s="160">
        <v>0</v>
      </c>
      <c r="AH71" s="160">
        <v>0</v>
      </c>
      <c r="AI71" s="160">
        <v>0</v>
      </c>
      <c r="AJ71" s="160">
        <v>0</v>
      </c>
      <c r="AL71" s="160">
        <v>0</v>
      </c>
      <c r="AM71" s="160">
        <v>0</v>
      </c>
      <c r="AN71" s="160">
        <v>0</v>
      </c>
      <c r="AO71" s="160">
        <v>0</v>
      </c>
      <c r="AP71" s="160">
        <v>0</v>
      </c>
      <c r="AR71" s="160">
        <v>0</v>
      </c>
      <c r="AS71" s="160">
        <v>0</v>
      </c>
      <c r="AT71" s="160">
        <v>0</v>
      </c>
      <c r="AU71" s="160">
        <v>0</v>
      </c>
      <c r="AV71" s="160">
        <v>0</v>
      </c>
      <c r="AX71" s="160">
        <v>0</v>
      </c>
      <c r="AY71" s="160">
        <v>0</v>
      </c>
      <c r="AZ71" s="160">
        <v>0</v>
      </c>
      <c r="BA71" s="160">
        <v>0</v>
      </c>
      <c r="BB71" s="160">
        <v>0</v>
      </c>
      <c r="BD71" s="160">
        <v>0</v>
      </c>
      <c r="BE71" s="160">
        <v>0</v>
      </c>
      <c r="BF71" s="160">
        <v>0</v>
      </c>
      <c r="BG71" s="160">
        <v>0</v>
      </c>
      <c r="BH71" s="160">
        <v>0</v>
      </c>
      <c r="BJ71" s="160">
        <v>0</v>
      </c>
      <c r="BK71" s="160">
        <v>0</v>
      </c>
      <c r="BL71" s="160">
        <v>0</v>
      </c>
      <c r="BM71" s="160">
        <v>0</v>
      </c>
      <c r="BN71" s="160">
        <v>0</v>
      </c>
    </row>
    <row r="72" spans="1:66" x14ac:dyDescent="0.2">
      <c r="A72" s="7"/>
      <c r="B72" s="7"/>
      <c r="C72" s="7"/>
      <c r="D72" s="7"/>
      <c r="E72" s="39">
        <v>168</v>
      </c>
      <c r="F72" s="39" t="s">
        <v>2275</v>
      </c>
      <c r="G72" s="54">
        <f>SUMPRODUCT(--('Input|Historical Data'!$E$9:$E$3279=$E72),--('Input|Historical Data'!$M$9:$M$3279="ENDirect"),--('Input|Historical Data'!$O$9:$O$3279="SCS"),'Input|Historical Data'!$I$9:$I$3279)</f>
        <v>1760.8905199999997</v>
      </c>
      <c r="H72" s="54">
        <f>'Calc|Weightings'!J72</f>
        <v>2074.5871100000008</v>
      </c>
      <c r="I72" s="54">
        <f>'Calc|Weightings'!T72</f>
        <v>1478.95381</v>
      </c>
      <c r="J72" s="54">
        <f>'Calc|Weightings'!AD72</f>
        <v>1288.6180099999999</v>
      </c>
      <c r="K72" s="41">
        <v>2515.2863751899458</v>
      </c>
      <c r="L72" s="41">
        <v>1867.8861185280455</v>
      </c>
      <c r="M72" s="163">
        <f>SUM(T72,Z72,AF72,AL72,AR72,AX72,BD72,BJ72)</f>
        <v>3038.5707593964776</v>
      </c>
      <c r="N72" s="163">
        <f t="shared" si="6"/>
        <v>3334.5082594995138</v>
      </c>
      <c r="O72" s="163">
        <f t="shared" si="7"/>
        <v>2188.3700040163626</v>
      </c>
      <c r="P72" s="163">
        <f t="shared" si="8"/>
        <v>2787.0357482953259</v>
      </c>
      <c r="Q72" s="163">
        <f t="shared" si="9"/>
        <v>2854.0563330672849</v>
      </c>
      <c r="R72" s="133" t="str">
        <f>VLOOKUP(E72,Mapping!$E$11:$G$96,3,0)</f>
        <v>Augmentation</v>
      </c>
      <c r="T72" s="160">
        <v>3038.5707593964776</v>
      </c>
      <c r="U72" s="160">
        <v>3334.5082594995138</v>
      </c>
      <c r="V72" s="160">
        <v>2188.3700040163626</v>
      </c>
      <c r="W72" s="160">
        <v>2787.0357482953259</v>
      </c>
      <c r="X72" s="160">
        <v>2854.0563330672849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R72" s="160">
        <v>0</v>
      </c>
      <c r="AS72" s="160">
        <v>0</v>
      </c>
      <c r="AT72" s="160">
        <v>0</v>
      </c>
      <c r="AU72" s="160">
        <v>0</v>
      </c>
      <c r="AV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D72" s="160">
        <v>0</v>
      </c>
      <c r="BE72" s="160">
        <v>0</v>
      </c>
      <c r="BF72" s="160">
        <v>0</v>
      </c>
      <c r="BG72" s="160">
        <v>0</v>
      </c>
      <c r="BH72" s="160">
        <v>0</v>
      </c>
      <c r="BJ72" s="160">
        <v>0</v>
      </c>
      <c r="BK72" s="160">
        <v>0</v>
      </c>
      <c r="BL72" s="160">
        <v>0</v>
      </c>
      <c r="BM72" s="160">
        <v>0</v>
      </c>
      <c r="BN72" s="160">
        <v>0</v>
      </c>
    </row>
    <row r="73" spans="1:66" x14ac:dyDescent="0.2">
      <c r="A73" s="7"/>
      <c r="B73" s="7"/>
      <c r="C73" s="7"/>
      <c r="D73" s="7"/>
      <c r="E73" s="39">
        <v>169</v>
      </c>
      <c r="F73" s="39" t="s">
        <v>2276</v>
      </c>
      <c r="G73" s="54">
        <f>SUMPRODUCT(--('Input|Historical Data'!$E$9:$E$3279=$E73),--('Input|Historical Data'!$M$9:$M$3279="ENDirect"),--('Input|Historical Data'!$O$9:$O$3279="SCS"),'Input|Historical Data'!$I$9:$I$3279)</f>
        <v>0</v>
      </c>
      <c r="H73" s="54">
        <f>'Calc|Weightings'!J73</f>
        <v>0</v>
      </c>
      <c r="I73" s="54">
        <f>'Calc|Weightings'!T73</f>
        <v>0</v>
      </c>
      <c r="J73" s="54">
        <f>'Calc|Weightings'!AD73</f>
        <v>0</v>
      </c>
      <c r="K73" s="41">
        <v>0</v>
      </c>
      <c r="L73" s="41">
        <v>-2279.1077979958004</v>
      </c>
      <c r="M73" s="163">
        <f t="shared" si="5"/>
        <v>0</v>
      </c>
      <c r="N73" s="163">
        <f t="shared" si="6"/>
        <v>0</v>
      </c>
      <c r="O73" s="163">
        <f t="shared" si="7"/>
        <v>0</v>
      </c>
      <c r="P73" s="163">
        <f t="shared" si="8"/>
        <v>0</v>
      </c>
      <c r="Q73" s="163">
        <f t="shared" si="9"/>
        <v>0</v>
      </c>
      <c r="R73" s="133" t="str">
        <f>VLOOKUP(E73,Mapping!$E$11:$G$96,3,0)</f>
        <v>Augmentation</v>
      </c>
      <c r="T73" s="160">
        <v>0</v>
      </c>
      <c r="U73" s="160">
        <v>0</v>
      </c>
      <c r="V73" s="160">
        <v>0</v>
      </c>
      <c r="W73" s="160">
        <v>0</v>
      </c>
      <c r="X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F73" s="160">
        <v>0</v>
      </c>
      <c r="AG73" s="160">
        <v>0</v>
      </c>
      <c r="AH73" s="160">
        <v>0</v>
      </c>
      <c r="AI73" s="160">
        <v>0</v>
      </c>
      <c r="AJ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60">
        <v>0</v>
      </c>
      <c r="AX73" s="160">
        <v>0</v>
      </c>
      <c r="AY73" s="160">
        <v>0</v>
      </c>
      <c r="AZ73" s="160">
        <v>0</v>
      </c>
      <c r="BA73" s="160">
        <v>0</v>
      </c>
      <c r="BB73" s="160">
        <v>0</v>
      </c>
      <c r="BD73" s="160">
        <v>0</v>
      </c>
      <c r="BE73" s="160">
        <v>0</v>
      </c>
      <c r="BF73" s="160">
        <v>0</v>
      </c>
      <c r="BG73" s="160">
        <v>0</v>
      </c>
      <c r="BH73" s="160">
        <v>0</v>
      </c>
      <c r="BJ73" s="160">
        <v>0</v>
      </c>
      <c r="BK73" s="160">
        <v>0</v>
      </c>
      <c r="BL73" s="160">
        <v>0</v>
      </c>
      <c r="BM73" s="160">
        <v>0</v>
      </c>
      <c r="BN73" s="160">
        <v>0</v>
      </c>
    </row>
    <row r="74" spans="1:66" x14ac:dyDescent="0.2">
      <c r="A74" s="7"/>
      <c r="B74" s="7"/>
      <c r="C74" s="7"/>
      <c r="D74" s="7"/>
      <c r="E74" s="39">
        <v>170</v>
      </c>
      <c r="F74" s="39" t="s">
        <v>2250</v>
      </c>
      <c r="G74" s="54">
        <f>SUMPRODUCT(--('Input|Historical Data'!$E$9:$E$3279=$E74),--('Input|Historical Data'!$M$9:$M$3279="ENDirect"),--('Input|Historical Data'!$O$9:$O$3279="SCS"),'Input|Historical Data'!$I$9:$I$3279)</f>
        <v>0</v>
      </c>
      <c r="H74" s="54">
        <f>'Calc|Weightings'!J74</f>
        <v>0</v>
      </c>
      <c r="I74" s="54">
        <f>'Calc|Weightings'!T74</f>
        <v>0</v>
      </c>
      <c r="J74" s="54">
        <f>'Calc|Weightings'!AD74</f>
        <v>0</v>
      </c>
      <c r="K74" s="41">
        <v>0</v>
      </c>
      <c r="L74" s="41">
        <v>0</v>
      </c>
      <c r="M74" s="163">
        <f t="shared" si="5"/>
        <v>0</v>
      </c>
      <c r="N74" s="163">
        <f t="shared" si="6"/>
        <v>0</v>
      </c>
      <c r="O74" s="163">
        <f t="shared" si="7"/>
        <v>0</v>
      </c>
      <c r="P74" s="163">
        <f t="shared" si="8"/>
        <v>0</v>
      </c>
      <c r="Q74" s="163">
        <f t="shared" si="9"/>
        <v>0</v>
      </c>
      <c r="R74" s="133" t="str">
        <f>VLOOKUP(E74,Mapping!$E$11:$G$96,3,0)</f>
        <v>Replacement</v>
      </c>
      <c r="T74" s="160">
        <v>0</v>
      </c>
      <c r="U74" s="160">
        <v>0</v>
      </c>
      <c r="V74" s="160">
        <v>0</v>
      </c>
      <c r="W74" s="160">
        <v>0</v>
      </c>
      <c r="X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</row>
    <row r="75" spans="1:66" x14ac:dyDescent="0.2">
      <c r="A75" s="7"/>
      <c r="B75" s="7"/>
      <c r="C75" s="7"/>
      <c r="D75" s="7"/>
      <c r="E75" s="39">
        <v>171</v>
      </c>
      <c r="F75" s="39" t="s">
        <v>2277</v>
      </c>
      <c r="G75" s="54">
        <f>SUMPRODUCT(--('Input|Historical Data'!$E$9:$E$3279=$E75),--('Input|Historical Data'!$M$9:$M$3279="ENDirect"),--('Input|Historical Data'!$O$9:$O$3279="SCS"),'Input|Historical Data'!$I$9:$I$3279)</f>
        <v>0</v>
      </c>
      <c r="H75" s="54">
        <f>'Calc|Weightings'!J75</f>
        <v>0</v>
      </c>
      <c r="I75" s="54">
        <f>'Calc|Weightings'!T75</f>
        <v>0</v>
      </c>
      <c r="J75" s="54">
        <f>'Calc|Weightings'!AD75</f>
        <v>0</v>
      </c>
      <c r="K75" s="41">
        <v>0</v>
      </c>
      <c r="L75" s="41">
        <v>0</v>
      </c>
      <c r="M75" s="163">
        <f t="shared" si="5"/>
        <v>0</v>
      </c>
      <c r="N75" s="163">
        <f t="shared" si="6"/>
        <v>0</v>
      </c>
      <c r="O75" s="163">
        <f t="shared" si="7"/>
        <v>0</v>
      </c>
      <c r="P75" s="163">
        <f t="shared" si="8"/>
        <v>0</v>
      </c>
      <c r="Q75" s="163">
        <f t="shared" si="9"/>
        <v>0</v>
      </c>
      <c r="R75" s="133" t="str">
        <f>VLOOKUP(E75,Mapping!$E$11:$G$96,3,0)</f>
        <v>Connections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F75" s="160">
        <v>0</v>
      </c>
      <c r="AG75" s="160">
        <v>0</v>
      </c>
      <c r="AH75" s="160">
        <v>0</v>
      </c>
      <c r="AI75" s="160">
        <v>0</v>
      </c>
      <c r="AJ75" s="160">
        <v>0</v>
      </c>
      <c r="AL75" s="160">
        <v>0</v>
      </c>
      <c r="AM75" s="160">
        <v>0</v>
      </c>
      <c r="AN75" s="160">
        <v>0</v>
      </c>
      <c r="AO75" s="160">
        <v>0</v>
      </c>
      <c r="AP75" s="160">
        <v>0</v>
      </c>
      <c r="AR75" s="160">
        <v>0</v>
      </c>
      <c r="AS75" s="160">
        <v>0</v>
      </c>
      <c r="AT75" s="160">
        <v>0</v>
      </c>
      <c r="AU75" s="160">
        <v>0</v>
      </c>
      <c r="AV75" s="160">
        <v>0</v>
      </c>
      <c r="AX75" s="160">
        <v>0</v>
      </c>
      <c r="AY75" s="160">
        <v>0</v>
      </c>
      <c r="AZ75" s="160">
        <v>0</v>
      </c>
      <c r="BA75" s="160">
        <v>0</v>
      </c>
      <c r="BB75" s="160">
        <v>0</v>
      </c>
      <c r="BD75" s="160">
        <v>0</v>
      </c>
      <c r="BE75" s="160">
        <v>0</v>
      </c>
      <c r="BF75" s="160">
        <v>0</v>
      </c>
      <c r="BG75" s="160">
        <v>0</v>
      </c>
      <c r="BH75" s="160">
        <v>0</v>
      </c>
      <c r="BJ75" s="160">
        <v>0</v>
      </c>
      <c r="BK75" s="160">
        <v>0</v>
      </c>
      <c r="BL75" s="160">
        <v>0</v>
      </c>
      <c r="BM75" s="160">
        <v>0</v>
      </c>
      <c r="BN75" s="160">
        <v>0</v>
      </c>
    </row>
    <row r="76" spans="1:66" x14ac:dyDescent="0.2">
      <c r="A76" s="7"/>
      <c r="B76" s="7"/>
      <c r="C76" s="7"/>
      <c r="D76" s="7"/>
      <c r="E76" s="39">
        <v>172</v>
      </c>
      <c r="F76" s="39" t="s">
        <v>2278</v>
      </c>
      <c r="G76" s="54">
        <f>SUMPRODUCT(--('Input|Historical Data'!$E$9:$E$3279=$E76),--('Input|Historical Data'!$M$9:$M$3279="ENDirect"),--('Input|Historical Data'!$O$9:$O$3279="SCS"),'Input|Historical Data'!$I$9:$I$3279)</f>
        <v>197.34107999999998</v>
      </c>
      <c r="H76" s="54">
        <f>'Calc|Weightings'!J76</f>
        <v>7.0467200000000005</v>
      </c>
      <c r="I76" s="54">
        <f>'Calc|Weightings'!T76</f>
        <v>51.303190000000001</v>
      </c>
      <c r="J76" s="54">
        <f>'Calc|Weightings'!AD76</f>
        <v>111.10499999999999</v>
      </c>
      <c r="K76" s="41">
        <v>42.210509649603942</v>
      </c>
      <c r="L76" s="41">
        <v>63.646250149565873</v>
      </c>
      <c r="M76" s="163">
        <f t="shared" si="5"/>
        <v>0</v>
      </c>
      <c r="N76" s="163">
        <f t="shared" si="6"/>
        <v>0</v>
      </c>
      <c r="O76" s="163">
        <f t="shared" si="7"/>
        <v>0</v>
      </c>
      <c r="P76" s="163">
        <f t="shared" si="8"/>
        <v>0</v>
      </c>
      <c r="Q76" s="163">
        <f t="shared" si="9"/>
        <v>0</v>
      </c>
      <c r="R76" s="133" t="str">
        <f>VLOOKUP(E76,Mapping!$E$11:$G$96,3,0)</f>
        <v>Replacement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F76" s="160">
        <v>0</v>
      </c>
      <c r="AG76" s="160">
        <v>0</v>
      </c>
      <c r="AH76" s="160">
        <v>0</v>
      </c>
      <c r="AI76" s="160">
        <v>0</v>
      </c>
      <c r="AJ76" s="160">
        <v>0</v>
      </c>
      <c r="AL76" s="160">
        <v>0</v>
      </c>
      <c r="AM76" s="160">
        <v>0</v>
      </c>
      <c r="AN76" s="160">
        <v>0</v>
      </c>
      <c r="AO76" s="160">
        <v>0</v>
      </c>
      <c r="AP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60">
        <v>0</v>
      </c>
      <c r="AX76" s="160">
        <v>0</v>
      </c>
      <c r="AY76" s="160">
        <v>0</v>
      </c>
      <c r="AZ76" s="160">
        <v>0</v>
      </c>
      <c r="BA76" s="160">
        <v>0</v>
      </c>
      <c r="BB76" s="160">
        <v>0</v>
      </c>
      <c r="BD76" s="160">
        <v>0</v>
      </c>
      <c r="BE76" s="160">
        <v>0</v>
      </c>
      <c r="BF76" s="160">
        <v>0</v>
      </c>
      <c r="BG76" s="160">
        <v>0</v>
      </c>
      <c r="BH76" s="160">
        <v>0</v>
      </c>
      <c r="BJ76" s="160">
        <v>0</v>
      </c>
      <c r="BK76" s="160">
        <v>0</v>
      </c>
      <c r="BL76" s="160">
        <v>0</v>
      </c>
      <c r="BM76" s="160">
        <v>0</v>
      </c>
      <c r="BN76" s="160">
        <v>0</v>
      </c>
    </row>
    <row r="77" spans="1:66" x14ac:dyDescent="0.2">
      <c r="A77" s="7"/>
      <c r="B77" s="7"/>
      <c r="C77" s="7"/>
      <c r="D77" s="7"/>
      <c r="E77" s="39">
        <v>174</v>
      </c>
      <c r="F77" s="39" t="s">
        <v>2279</v>
      </c>
      <c r="G77" s="54">
        <f>SUMPRODUCT(--('Input|Historical Data'!$E$9:$E$3279=$E77),--('Input|Historical Data'!$M$9:$M$3279="ENDirect"),--('Input|Historical Data'!$O$9:$O$3279="SCS"),'Input|Historical Data'!$I$9:$I$3279)</f>
        <v>82.238409999999988</v>
      </c>
      <c r="H77" s="54">
        <f>'Calc|Weightings'!J77</f>
        <v>14.735850000000001</v>
      </c>
      <c r="I77" s="54">
        <f>'Calc|Weightings'!T77</f>
        <v>102.18046000000001</v>
      </c>
      <c r="J77" s="54">
        <f>'Calc|Weightings'!AD77</f>
        <v>92.142359999999996</v>
      </c>
      <c r="K77" s="41">
        <v>161.35022394199277</v>
      </c>
      <c r="L77" s="41">
        <v>0</v>
      </c>
      <c r="M77" s="163">
        <f t="shared" si="5"/>
        <v>0</v>
      </c>
      <c r="N77" s="163">
        <f t="shared" si="6"/>
        <v>0</v>
      </c>
      <c r="O77" s="163">
        <f t="shared" si="7"/>
        <v>0</v>
      </c>
      <c r="P77" s="163">
        <f t="shared" si="8"/>
        <v>0</v>
      </c>
      <c r="Q77" s="163">
        <f t="shared" si="9"/>
        <v>0</v>
      </c>
      <c r="R77" s="133" t="str">
        <f>VLOOKUP(E77,Mapping!$E$11:$G$96,3,0)</f>
        <v>Replacement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F77" s="160">
        <v>0</v>
      </c>
      <c r="AG77" s="160">
        <v>0</v>
      </c>
      <c r="AH77" s="160">
        <v>0</v>
      </c>
      <c r="AI77" s="160">
        <v>0</v>
      </c>
      <c r="AJ77" s="160">
        <v>0</v>
      </c>
      <c r="AL77" s="160">
        <v>0</v>
      </c>
      <c r="AM77" s="160">
        <v>0</v>
      </c>
      <c r="AN77" s="160">
        <v>0</v>
      </c>
      <c r="AO77" s="160">
        <v>0</v>
      </c>
      <c r="AP77" s="160">
        <v>0</v>
      </c>
      <c r="AR77" s="160">
        <v>0</v>
      </c>
      <c r="AS77" s="160">
        <v>0</v>
      </c>
      <c r="AT77" s="160">
        <v>0</v>
      </c>
      <c r="AU77" s="160">
        <v>0</v>
      </c>
      <c r="AV77" s="160">
        <v>0</v>
      </c>
      <c r="AX77" s="160">
        <v>0</v>
      </c>
      <c r="AY77" s="160">
        <v>0</v>
      </c>
      <c r="AZ77" s="160">
        <v>0</v>
      </c>
      <c r="BA77" s="160">
        <v>0</v>
      </c>
      <c r="BB77" s="160">
        <v>0</v>
      </c>
      <c r="BD77" s="160">
        <v>0</v>
      </c>
      <c r="BE77" s="160">
        <v>0</v>
      </c>
      <c r="BF77" s="160">
        <v>0</v>
      </c>
      <c r="BG77" s="160">
        <v>0</v>
      </c>
      <c r="BH77" s="160">
        <v>0</v>
      </c>
      <c r="BJ77" s="160">
        <v>0</v>
      </c>
      <c r="BK77" s="160">
        <v>0</v>
      </c>
      <c r="BL77" s="160">
        <v>0</v>
      </c>
      <c r="BM77" s="160">
        <v>0</v>
      </c>
      <c r="BN77" s="160">
        <v>0</v>
      </c>
    </row>
    <row r="78" spans="1:66" x14ac:dyDescent="0.2">
      <c r="A78" s="7"/>
      <c r="B78" s="7"/>
      <c r="C78" s="7"/>
      <c r="D78" s="7"/>
      <c r="E78" s="39">
        <v>175</v>
      </c>
      <c r="F78" s="39" t="s">
        <v>2280</v>
      </c>
      <c r="G78" s="54">
        <f>SUMPRODUCT(--('Input|Historical Data'!$E$9:$E$3279=$E78),--('Input|Historical Data'!$M$9:$M$3279="ENDirect"),--('Input|Historical Data'!$O$9:$O$3279="SCS"),'Input|Historical Data'!$I$9:$I$3279)</f>
        <v>0</v>
      </c>
      <c r="H78" s="54">
        <f>'Calc|Weightings'!J78</f>
        <v>0</v>
      </c>
      <c r="I78" s="54">
        <f>'Calc|Weightings'!T78</f>
        <v>0</v>
      </c>
      <c r="J78" s="54">
        <f>'Calc|Weightings'!AD78</f>
        <v>0</v>
      </c>
      <c r="K78" s="41">
        <v>0</v>
      </c>
      <c r="L78" s="41">
        <v>0</v>
      </c>
      <c r="M78" s="163">
        <f t="shared" si="5"/>
        <v>0</v>
      </c>
      <c r="N78" s="163">
        <f t="shared" si="6"/>
        <v>0</v>
      </c>
      <c r="O78" s="163">
        <f t="shared" si="7"/>
        <v>0</v>
      </c>
      <c r="P78" s="163">
        <f t="shared" si="8"/>
        <v>0</v>
      </c>
      <c r="Q78" s="163">
        <f t="shared" si="9"/>
        <v>0</v>
      </c>
      <c r="R78" s="133" t="str">
        <f>VLOOKUP(E78,Mapping!$E$11:$G$96,3,0)</f>
        <v>Metering Capex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F78" s="160">
        <v>0</v>
      </c>
      <c r="AG78" s="160">
        <v>0</v>
      </c>
      <c r="AH78" s="160">
        <v>0</v>
      </c>
      <c r="AI78" s="160">
        <v>0</v>
      </c>
      <c r="AJ78" s="160">
        <v>0</v>
      </c>
      <c r="AL78" s="160">
        <v>0</v>
      </c>
      <c r="AM78" s="160">
        <v>0</v>
      </c>
      <c r="AN78" s="160">
        <v>0</v>
      </c>
      <c r="AO78" s="160">
        <v>0</v>
      </c>
      <c r="AP78" s="160">
        <v>0</v>
      </c>
      <c r="AR78" s="160">
        <v>0</v>
      </c>
      <c r="AS78" s="160">
        <v>0</v>
      </c>
      <c r="AT78" s="160">
        <v>0</v>
      </c>
      <c r="AU78" s="160">
        <v>0</v>
      </c>
      <c r="AV78" s="160">
        <v>0</v>
      </c>
      <c r="AX78" s="160">
        <v>0</v>
      </c>
      <c r="AY78" s="160">
        <v>0</v>
      </c>
      <c r="AZ78" s="160">
        <v>0</v>
      </c>
      <c r="BA78" s="160">
        <v>0</v>
      </c>
      <c r="BB78" s="16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J78" s="160">
        <v>0</v>
      </c>
      <c r="BK78" s="160">
        <v>0</v>
      </c>
      <c r="BL78" s="160">
        <v>0</v>
      </c>
      <c r="BM78" s="160">
        <v>0</v>
      </c>
      <c r="BN78" s="160">
        <v>0</v>
      </c>
    </row>
    <row r="79" spans="1:66" x14ac:dyDescent="0.2">
      <c r="A79" s="7"/>
      <c r="B79" s="7"/>
      <c r="C79" s="7"/>
      <c r="D79" s="7"/>
      <c r="E79" s="39">
        <v>176</v>
      </c>
      <c r="F79" s="39" t="s">
        <v>2281</v>
      </c>
      <c r="G79" s="54">
        <f>SUMPRODUCT(--('Input|Historical Data'!$E$9:$E$3279=$E79),--('Input|Historical Data'!$M$9:$M$3279="ENDirect"),--('Input|Historical Data'!$O$9:$O$3279="SCS"),'Input|Historical Data'!$I$9:$I$3279)</f>
        <v>0</v>
      </c>
      <c r="H79" s="54">
        <f>'Calc|Weightings'!J79</f>
        <v>0</v>
      </c>
      <c r="I79" s="54">
        <f>'Calc|Weightings'!T79</f>
        <v>0</v>
      </c>
      <c r="J79" s="54">
        <f>'Calc|Weightings'!AD79</f>
        <v>0</v>
      </c>
      <c r="K79" s="41">
        <v>0</v>
      </c>
      <c r="L79" s="41">
        <v>0</v>
      </c>
      <c r="M79" s="163">
        <f t="shared" si="5"/>
        <v>0</v>
      </c>
      <c r="N79" s="163">
        <f t="shared" si="6"/>
        <v>0</v>
      </c>
      <c r="O79" s="163">
        <f t="shared" si="7"/>
        <v>0</v>
      </c>
      <c r="P79" s="163">
        <f t="shared" si="8"/>
        <v>0</v>
      </c>
      <c r="Q79" s="163">
        <f t="shared" si="9"/>
        <v>0</v>
      </c>
      <c r="R79" s="133" t="str">
        <f>VLOOKUP(E79,Mapping!$E$11:$G$96,3,0)</f>
        <v>Metering Capex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F79" s="160">
        <v>0</v>
      </c>
      <c r="AG79" s="160">
        <v>0</v>
      </c>
      <c r="AH79" s="160">
        <v>0</v>
      </c>
      <c r="AI79" s="160">
        <v>0</v>
      </c>
      <c r="AJ79" s="160">
        <v>0</v>
      </c>
      <c r="AL79" s="160">
        <v>0</v>
      </c>
      <c r="AM79" s="160">
        <v>0</v>
      </c>
      <c r="AN79" s="160">
        <v>0</v>
      </c>
      <c r="AO79" s="160">
        <v>0</v>
      </c>
      <c r="AP79" s="160">
        <v>0</v>
      </c>
      <c r="AR79" s="160">
        <v>0</v>
      </c>
      <c r="AS79" s="160">
        <v>0</v>
      </c>
      <c r="AT79" s="160">
        <v>0</v>
      </c>
      <c r="AU79" s="160">
        <v>0</v>
      </c>
      <c r="AV79" s="160">
        <v>0</v>
      </c>
      <c r="AX79" s="160">
        <v>0</v>
      </c>
      <c r="AY79" s="160">
        <v>0</v>
      </c>
      <c r="AZ79" s="160">
        <v>0</v>
      </c>
      <c r="BA79" s="160">
        <v>0</v>
      </c>
      <c r="BB79" s="160">
        <v>0</v>
      </c>
      <c r="BD79" s="160">
        <v>0</v>
      </c>
      <c r="BE79" s="160">
        <v>0</v>
      </c>
      <c r="BF79" s="160">
        <v>0</v>
      </c>
      <c r="BG79" s="160">
        <v>0</v>
      </c>
      <c r="BH79" s="160">
        <v>0</v>
      </c>
      <c r="BJ79" s="160">
        <v>0</v>
      </c>
      <c r="BK79" s="160">
        <v>0</v>
      </c>
      <c r="BL79" s="160">
        <v>0</v>
      </c>
      <c r="BM79" s="160">
        <v>0</v>
      </c>
      <c r="BN79" s="160">
        <v>0</v>
      </c>
    </row>
    <row r="80" spans="1:66" x14ac:dyDescent="0.2">
      <c r="A80" s="7"/>
      <c r="B80" s="7"/>
      <c r="C80" s="7"/>
      <c r="D80" s="7"/>
      <c r="E80" s="39">
        <v>177</v>
      </c>
      <c r="F80" s="39" t="s">
        <v>2282</v>
      </c>
      <c r="G80" s="54">
        <f>SUMPRODUCT(--('Input|Historical Data'!$E$9:$E$3279=$E80),--('Input|Historical Data'!$M$9:$M$3279="ENDirect"),--('Input|Historical Data'!$O$9:$O$3279="SCS"),'Input|Historical Data'!$I$9:$I$3279)</f>
        <v>1377.2447200000006</v>
      </c>
      <c r="H80" s="54">
        <f>'Calc|Weightings'!J80</f>
        <v>3154.14372</v>
      </c>
      <c r="I80" s="54">
        <f>'Calc|Weightings'!T80</f>
        <v>4233.9984100000001</v>
      </c>
      <c r="J80" s="54">
        <f>'Calc|Weightings'!AD80</f>
        <v>12125.713670000001</v>
      </c>
      <c r="K80" s="41">
        <v>4877.9616244038843</v>
      </c>
      <c r="L80" s="41">
        <v>505.19757749054685</v>
      </c>
      <c r="M80" s="163">
        <f t="shared" si="5"/>
        <v>2262.3008849557523</v>
      </c>
      <c r="N80" s="163">
        <f t="shared" si="6"/>
        <v>8452.7787610619471</v>
      </c>
      <c r="O80" s="163">
        <f t="shared" si="7"/>
        <v>9794.7345132743358</v>
      </c>
      <c r="P80" s="163">
        <f t="shared" si="8"/>
        <v>4606.8672566371679</v>
      </c>
      <c r="Q80" s="163">
        <f t="shared" si="9"/>
        <v>0</v>
      </c>
      <c r="R80" s="133" t="str">
        <f>VLOOKUP(E80,Mapping!$E$11:$G$96,3,0)</f>
        <v>Augmentation</v>
      </c>
      <c r="T80" s="160">
        <v>0</v>
      </c>
      <c r="U80" s="160">
        <v>0</v>
      </c>
      <c r="V80" s="160">
        <v>0</v>
      </c>
      <c r="W80" s="160">
        <v>0</v>
      </c>
      <c r="X80" s="160">
        <v>0</v>
      </c>
      <c r="Z80" s="160">
        <v>2262.3008849557523</v>
      </c>
      <c r="AA80" s="160">
        <v>8452.7787610619471</v>
      </c>
      <c r="AB80" s="160">
        <v>9794.7345132743358</v>
      </c>
      <c r="AC80" s="160">
        <v>4606.8672566371679</v>
      </c>
      <c r="AD80" s="160">
        <v>0</v>
      </c>
      <c r="AF80" s="160">
        <v>0</v>
      </c>
      <c r="AG80" s="160">
        <v>0</v>
      </c>
      <c r="AH80" s="160">
        <v>0</v>
      </c>
      <c r="AI80" s="160">
        <v>0</v>
      </c>
      <c r="AJ80" s="160">
        <v>0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R80" s="160">
        <v>0</v>
      </c>
      <c r="AS80" s="160">
        <v>0</v>
      </c>
      <c r="AT80" s="160">
        <v>0</v>
      </c>
      <c r="AU80" s="160">
        <v>0</v>
      </c>
      <c r="AV80" s="160">
        <v>0</v>
      </c>
      <c r="AX80" s="160">
        <v>0</v>
      </c>
      <c r="AY80" s="160">
        <v>0</v>
      </c>
      <c r="AZ80" s="160">
        <v>0</v>
      </c>
      <c r="BA80" s="160">
        <v>0</v>
      </c>
      <c r="BB80" s="16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J80" s="160">
        <v>0</v>
      </c>
      <c r="BK80" s="160">
        <v>0</v>
      </c>
      <c r="BL80" s="160">
        <v>0</v>
      </c>
      <c r="BM80" s="160">
        <v>0</v>
      </c>
      <c r="BN80" s="160">
        <v>0</v>
      </c>
    </row>
    <row r="81" spans="1:18" x14ac:dyDescent="0.2">
      <c r="A81" s="7"/>
      <c r="B81" s="7"/>
      <c r="C81" s="7"/>
      <c r="D81" s="7"/>
      <c r="E81" s="39">
        <v>200</v>
      </c>
      <c r="F81" s="39" t="s">
        <v>2283</v>
      </c>
      <c r="G81" s="54">
        <f>SUMPRODUCT(--('Input|Historical Data'!$E$9:$E$3279=$E81),--('Input|Historical Data'!$M$9:$M$3279="ENDirect"),--('Input|Historical Data'!$O$9:$O$3279="SCS"),'Input|Historical Data'!$I$9:$I$3279)</f>
        <v>20154.474179999997</v>
      </c>
      <c r="H81" s="54">
        <f>'Calc|Weightings'!J81</f>
        <v>12827.645500000001</v>
      </c>
      <c r="I81" s="54">
        <f>'Calc|Weightings'!T81</f>
        <v>8587.3536000000004</v>
      </c>
      <c r="J81" s="54">
        <f>'Calc|Weightings'!AD81</f>
        <v>8067.3696899999995</v>
      </c>
      <c r="K81" s="41">
        <v>13597.156943539447</v>
      </c>
      <c r="L81" s="41">
        <v>15082.025062420344</v>
      </c>
      <c r="M81" s="158">
        <v>21087.511715403558</v>
      </c>
      <c r="N81" s="158">
        <v>16640.889079535777</v>
      </c>
      <c r="O81" s="158">
        <v>19171.293675292494</v>
      </c>
      <c r="P81" s="158">
        <v>14004.789147707606</v>
      </c>
      <c r="Q81" s="158">
        <v>7905.1542768717572</v>
      </c>
      <c r="R81" s="133" t="str">
        <f>VLOOKUP(E81,Mapping!$E$11:$G$96,3,0)</f>
        <v>Non-network general assets - IT</v>
      </c>
    </row>
    <row r="82" spans="1:18" x14ac:dyDescent="0.2">
      <c r="A82" s="7"/>
      <c r="B82" s="7"/>
      <c r="C82" s="7"/>
      <c r="D82" s="7"/>
      <c r="E82" s="39">
        <v>205</v>
      </c>
      <c r="F82" s="39" t="s">
        <v>2284</v>
      </c>
      <c r="G82" s="54">
        <f>SUMPRODUCT(--('Input|Historical Data'!$E$9:$E$3279=$E82),--('Input|Historical Data'!$M$9:$M$3279="ENDirect"),--('Input|Historical Data'!$O$9:$O$3279="SCS"),'Input|Historical Data'!$I$9:$I$3279)</f>
        <v>0</v>
      </c>
      <c r="H82" s="54">
        <f>'Calc|Weightings'!J82</f>
        <v>0</v>
      </c>
      <c r="I82" s="54">
        <f>'Calc|Weightings'!T82</f>
        <v>0</v>
      </c>
      <c r="J82" s="54">
        <f>'Calc|Weightings'!AD82</f>
        <v>0</v>
      </c>
      <c r="K82" s="41">
        <v>0</v>
      </c>
      <c r="L82" s="41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33" t="str">
        <f>VLOOKUP(E82,Mapping!$E$11:$G$96,3,0)</f>
        <v>Metering Capex</v>
      </c>
    </row>
    <row r="83" spans="1:18" x14ac:dyDescent="0.2">
      <c r="A83" s="7"/>
      <c r="B83" s="7"/>
      <c r="C83" s="7"/>
      <c r="D83" s="7"/>
      <c r="E83" s="39">
        <v>210</v>
      </c>
      <c r="F83" s="39" t="s">
        <v>2285</v>
      </c>
      <c r="G83" s="54">
        <f>SUMPRODUCT(--('Input|Historical Data'!$E$9:$E$3279=$E83),--('Input|Historical Data'!$M$9:$M$3279="ENDirect"),--('Input|Historical Data'!$O$9:$O$3279="SCS"),'Input|Historical Data'!$I$9:$I$3279)</f>
        <v>228.85261000000003</v>
      </c>
      <c r="H83" s="54">
        <f>'Calc|Weightings'!J83</f>
        <v>65.245810000000006</v>
      </c>
      <c r="I83" s="54">
        <f>'Calc|Weightings'!T83</f>
        <v>150.07804999999999</v>
      </c>
      <c r="J83" s="54">
        <f>'Calc|Weightings'!AD83</f>
        <v>245.73042000000001</v>
      </c>
      <c r="K83" s="41">
        <v>449.4527120052187</v>
      </c>
      <c r="L83" s="41">
        <v>617.68351676317286</v>
      </c>
      <c r="M83" s="115">
        <v>240.48725769571891</v>
      </c>
      <c r="N83" s="115">
        <v>240.48725769571891</v>
      </c>
      <c r="O83" s="115">
        <v>240.48725769571891</v>
      </c>
      <c r="P83" s="115">
        <v>240.48725769571891</v>
      </c>
      <c r="Q83" s="115">
        <v>240.48725769571891</v>
      </c>
      <c r="R83" s="133" t="str">
        <f>VLOOKUP(E83,Mapping!$E$11:$G$96,3,0)</f>
        <v>Non-network general assets - Other</v>
      </c>
    </row>
    <row r="84" spans="1:18" x14ac:dyDescent="0.2">
      <c r="A84" s="7"/>
      <c r="B84" s="7"/>
      <c r="C84" s="7"/>
      <c r="D84" s="7"/>
      <c r="E84" s="39">
        <v>215</v>
      </c>
      <c r="F84" s="39" t="s">
        <v>2286</v>
      </c>
      <c r="G84" s="54">
        <f>SUMPRODUCT(--('Input|Historical Data'!$E$9:$E$3279=$E84),--('Input|Historical Data'!$M$9:$M$3279="ENDirect"),--('Input|Historical Data'!$O$9:$O$3279="SCS"),'Input|Historical Data'!$I$9:$I$3279)</f>
        <v>0</v>
      </c>
      <c r="H84" s="54">
        <f>'Calc|Weightings'!J84</f>
        <v>0</v>
      </c>
      <c r="I84" s="54">
        <f>'Calc|Weightings'!T84</f>
        <v>0</v>
      </c>
      <c r="J84" s="54">
        <f>'Calc|Weightings'!AD84</f>
        <v>0</v>
      </c>
      <c r="K84" s="41">
        <v>0</v>
      </c>
      <c r="L84" s="41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33" t="str">
        <f>VLOOKUP(E84,Mapping!$E$11:$G$96,3,0)</f>
        <v>Metering Capex</v>
      </c>
    </row>
    <row r="85" spans="1:18" x14ac:dyDescent="0.2">
      <c r="A85" s="7"/>
      <c r="B85" s="7"/>
      <c r="C85" s="7"/>
      <c r="D85" s="7"/>
      <c r="E85" s="39">
        <v>220</v>
      </c>
      <c r="F85" s="39" t="s">
        <v>2287</v>
      </c>
      <c r="G85" s="54">
        <f>SUMPRODUCT(--('Input|Historical Data'!$E$9:$E$3279=$E85),--('Input|Historical Data'!$M$9:$M$3279="ENDirect"),--('Input|Historical Data'!$O$9:$O$3279="SCS"),'Input|Historical Data'!$I$9:$I$3279)</f>
        <v>8.9209999999999994</v>
      </c>
      <c r="H85" s="54">
        <f>'Calc|Weightings'!J85</f>
        <v>0</v>
      </c>
      <c r="I85" s="54">
        <f>'Calc|Weightings'!T85</f>
        <v>0</v>
      </c>
      <c r="J85" s="54">
        <f>'Calc|Weightings'!AD85</f>
        <v>0</v>
      </c>
      <c r="K85" s="41">
        <v>0</v>
      </c>
      <c r="L85" s="41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33" t="str">
        <f>VLOOKUP(E85,Mapping!$E$11:$G$96,3,0)</f>
        <v>Non-network general assets - Other</v>
      </c>
    </row>
    <row r="86" spans="1:18" x14ac:dyDescent="0.2">
      <c r="A86" s="7"/>
      <c r="B86" s="7"/>
      <c r="C86" s="7"/>
      <c r="D86" s="7"/>
      <c r="E86" s="39">
        <v>225</v>
      </c>
      <c r="F86" s="39" t="s">
        <v>2288</v>
      </c>
      <c r="G86" s="54">
        <f>SUMPRODUCT(--('Input|Historical Data'!$E$9:$E$3279=$E86),--('Input|Historical Data'!$M$9:$M$3279="ENDirect"),--('Input|Historical Data'!$O$9:$O$3279="SCS"),'Input|Historical Data'!$I$9:$I$3279)</f>
        <v>0</v>
      </c>
      <c r="H86" s="54">
        <f>'Calc|Weightings'!J86</f>
        <v>0</v>
      </c>
      <c r="I86" s="54">
        <f>'Calc|Weightings'!T86</f>
        <v>0</v>
      </c>
      <c r="J86" s="54">
        <f>'Calc|Weightings'!AD86</f>
        <v>0</v>
      </c>
      <c r="K86" s="41">
        <v>0</v>
      </c>
      <c r="L86" s="41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33" t="str">
        <f>VLOOKUP(E86,Mapping!$E$11:$G$96,3,0)</f>
        <v>Metering Capex</v>
      </c>
    </row>
    <row r="87" spans="1:18" x14ac:dyDescent="0.2">
      <c r="A87" s="7"/>
      <c r="B87" s="7"/>
      <c r="C87" s="7"/>
      <c r="D87" s="7"/>
      <c r="E87" s="39">
        <v>230</v>
      </c>
      <c r="F87" s="39" t="s">
        <v>2289</v>
      </c>
      <c r="G87" s="54">
        <f>SUMPRODUCT(--('Input|Historical Data'!$E$9:$E$3279=$E87),--('Input|Historical Data'!$M$9:$M$3279="ENDirect"),--('Input|Historical Data'!$O$9:$O$3279="SCS"),'Input|Historical Data'!$I$9:$I$3279)</f>
        <v>19.823160000000001</v>
      </c>
      <c r="H87" s="54">
        <f>'Calc|Weightings'!J87</f>
        <v>2663.9867100000001</v>
      </c>
      <c r="I87" s="54">
        <f>'Calc|Weightings'!T87</f>
        <v>15835.51093</v>
      </c>
      <c r="J87" s="54">
        <f>'Calc|Weightings'!AD87</f>
        <v>1170.8917999999999</v>
      </c>
      <c r="K87" s="41">
        <v>3128.6446272584531</v>
      </c>
      <c r="L87" s="41">
        <v>1635.1968688815411</v>
      </c>
      <c r="M87" s="115">
        <v>4744.2746881943858</v>
      </c>
      <c r="N87" s="115">
        <v>3870.5640390748817</v>
      </c>
      <c r="O87" s="115">
        <v>2813.3568752237934</v>
      </c>
      <c r="P87" s="115">
        <v>1946.7774893624153</v>
      </c>
      <c r="Q87" s="115">
        <v>1946.7774893624153</v>
      </c>
      <c r="R87" s="133" t="str">
        <f>VLOOKUP(E87,Mapping!$E$11:$G$96,3,0)</f>
        <v>Non-network general assets - Other</v>
      </c>
    </row>
    <row r="88" spans="1:18" x14ac:dyDescent="0.2">
      <c r="A88" s="7"/>
      <c r="B88" s="7"/>
      <c r="C88" s="7"/>
      <c r="D88" s="7"/>
      <c r="E88" s="39">
        <v>235</v>
      </c>
      <c r="F88" s="39" t="s">
        <v>2290</v>
      </c>
      <c r="G88" s="54">
        <f>SUMPRODUCT(--('Input|Historical Data'!$E$9:$E$3279=$E88),--('Input|Historical Data'!$M$9:$M$3279="ENDirect"),--('Input|Historical Data'!$O$9:$O$3279="SCS"),'Input|Historical Data'!$I$9:$I$3279)</f>
        <v>0</v>
      </c>
      <c r="H88" s="54">
        <f>'Calc|Weightings'!J88</f>
        <v>0</v>
      </c>
      <c r="I88" s="54">
        <f>'Calc|Weightings'!T88</f>
        <v>0</v>
      </c>
      <c r="J88" s="54">
        <f>'Calc|Weightings'!AD88</f>
        <v>0</v>
      </c>
      <c r="K88" s="41">
        <v>0</v>
      </c>
      <c r="L88" s="41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33" t="str">
        <f>VLOOKUP(E88,Mapping!$E$11:$G$96,3,0)</f>
        <v>Metering Capex</v>
      </c>
    </row>
    <row r="89" spans="1:18" x14ac:dyDescent="0.2">
      <c r="A89" s="7"/>
      <c r="B89" s="7"/>
      <c r="C89" s="7"/>
      <c r="D89" s="7"/>
      <c r="E89" s="39">
        <v>240</v>
      </c>
      <c r="F89" s="39" t="s">
        <v>2291</v>
      </c>
      <c r="G89" s="54">
        <f>SUMPRODUCT(--('Input|Historical Data'!$E$9:$E$3279=$E89),--('Input|Historical Data'!$M$9:$M$3279="ENDirect"),--('Input|Historical Data'!$O$9:$O$3279="SCS"),'Input|Historical Data'!$I$9:$I$3279)</f>
        <v>229.14574999999999</v>
      </c>
      <c r="H89" s="54">
        <f>'Calc|Weightings'!J89</f>
        <v>434.37441999999999</v>
      </c>
      <c r="I89" s="54">
        <f>'Calc|Weightings'!T89</f>
        <v>42.799010000000003</v>
      </c>
      <c r="J89" s="54">
        <f>'Calc|Weightings'!AD89</f>
        <v>83.908749999999998</v>
      </c>
      <c r="K89" s="41">
        <v>2606.0950097799623</v>
      </c>
      <c r="L89" s="41">
        <v>4225.4001905017276</v>
      </c>
      <c r="M89" s="115">
        <v>1241.9830617729704</v>
      </c>
      <c r="N89" s="115">
        <v>1241.9830617729704</v>
      </c>
      <c r="O89" s="115">
        <v>827.98870784864721</v>
      </c>
      <c r="P89" s="115">
        <v>413.9943539243236</v>
      </c>
      <c r="Q89" s="115">
        <v>413.9943539243236</v>
      </c>
      <c r="R89" s="133" t="str">
        <f>VLOOKUP(E89,Mapping!$E$11:$G$96,3,0)</f>
        <v>Non-network general assets - Other</v>
      </c>
    </row>
    <row r="90" spans="1:18" x14ac:dyDescent="0.2">
      <c r="A90" s="7"/>
      <c r="B90" s="7"/>
      <c r="C90" s="7"/>
      <c r="D90" s="7"/>
      <c r="E90" s="39">
        <v>245</v>
      </c>
      <c r="F90" s="39" t="s">
        <v>2292</v>
      </c>
      <c r="G90" s="54">
        <f>SUMPRODUCT(--('Input|Historical Data'!$E$9:$E$3279=$E90),--('Input|Historical Data'!$M$9:$M$3279="ENDirect"),--('Input|Historical Data'!$O$9:$O$3279="SCS"),'Input|Historical Data'!$I$9:$I$3279)</f>
        <v>0</v>
      </c>
      <c r="H90" s="54">
        <f>'Calc|Weightings'!J90</f>
        <v>0</v>
      </c>
      <c r="I90" s="54">
        <f>'Calc|Weightings'!T90</f>
        <v>0</v>
      </c>
      <c r="J90" s="54">
        <f>'Calc|Weightings'!AD90</f>
        <v>0</v>
      </c>
      <c r="K90" s="41">
        <v>0</v>
      </c>
      <c r="L90" s="41">
        <v>0</v>
      </c>
      <c r="M90" s="115">
        <v>0</v>
      </c>
      <c r="N90" s="115">
        <v>0</v>
      </c>
      <c r="O90" s="115">
        <v>0</v>
      </c>
      <c r="P90" s="115">
        <v>0</v>
      </c>
      <c r="Q90" s="115">
        <v>0</v>
      </c>
      <c r="R90" s="133" t="str">
        <f>VLOOKUP(E90,Mapping!$E$11:$G$96,3,0)</f>
        <v>Metering Capex</v>
      </c>
    </row>
    <row r="91" spans="1:18" x14ac:dyDescent="0.2">
      <c r="A91" s="7"/>
      <c r="B91" s="7"/>
      <c r="C91" s="7"/>
      <c r="D91" s="7"/>
      <c r="E91" s="39">
        <v>260</v>
      </c>
      <c r="F91" s="39" t="s">
        <v>2293</v>
      </c>
      <c r="G91" s="54">
        <f>SUMPRODUCT(--('Input|Historical Data'!$E$9:$E$3279=$E91),--('Input|Historical Data'!$M$9:$M$3279="ENDirect"),--('Input|Historical Data'!$O$9:$O$3279="SCS"),'Input|Historical Data'!$I$9:$I$3279)</f>
        <v>0</v>
      </c>
      <c r="H91" s="54">
        <f>'Calc|Weightings'!J91</f>
        <v>0</v>
      </c>
      <c r="I91" s="54">
        <f>'Calc|Weightings'!T91</f>
        <v>0</v>
      </c>
      <c r="J91" s="54">
        <f>'Calc|Weightings'!AD91</f>
        <v>0</v>
      </c>
      <c r="K91" s="41">
        <v>0</v>
      </c>
      <c r="L91" s="41">
        <v>0</v>
      </c>
      <c r="M91" s="115">
        <v>0</v>
      </c>
      <c r="N91" s="115">
        <v>0</v>
      </c>
      <c r="O91" s="115">
        <v>0</v>
      </c>
      <c r="P91" s="115">
        <v>0</v>
      </c>
      <c r="Q91" s="115">
        <v>0</v>
      </c>
      <c r="R91" s="133" t="str">
        <f>VLOOKUP(E91,Mapping!$E$11:$G$96,3,0)</f>
        <v>Non-network general assets - Other</v>
      </c>
    </row>
    <row r="92" spans="1:18" x14ac:dyDescent="0.2">
      <c r="A92" s="7"/>
      <c r="B92" s="7"/>
      <c r="C92" s="7"/>
      <c r="D92" s="7"/>
      <c r="E92" s="39">
        <v>270</v>
      </c>
      <c r="F92" s="39" t="s">
        <v>2294</v>
      </c>
      <c r="G92" s="54">
        <f>SUMPRODUCT(--('Input|Historical Data'!$E$9:$E$3279=$E92),--('Input|Historical Data'!$M$9:$M$3279="ENDirect"),--('Input|Historical Data'!$O$9:$O$3279="SCS"),'Input|Historical Data'!$I$9:$I$3279)</f>
        <v>513.35351000000003</v>
      </c>
      <c r="H92" s="54">
        <f>'Calc|Weightings'!J92</f>
        <v>0</v>
      </c>
      <c r="I92" s="54">
        <f>'Calc|Weightings'!T92</f>
        <v>0</v>
      </c>
      <c r="J92" s="54">
        <f>'Calc|Weightings'!AD92</f>
        <v>0</v>
      </c>
      <c r="K92" s="41">
        <v>0</v>
      </c>
      <c r="L92" s="41">
        <v>0</v>
      </c>
      <c r="M92" s="115">
        <v>0</v>
      </c>
      <c r="N92" s="115">
        <v>0</v>
      </c>
      <c r="O92" s="115">
        <v>0</v>
      </c>
      <c r="P92" s="115">
        <v>0</v>
      </c>
      <c r="Q92" s="115">
        <v>0</v>
      </c>
      <c r="R92" s="133" t="str">
        <f>VLOOKUP(E92,Mapping!$E$11:$G$96,3,0)</f>
        <v>Non-network general assets - IT</v>
      </c>
    </row>
    <row r="93" spans="1:18" x14ac:dyDescent="0.2">
      <c r="A93" s="7"/>
      <c r="B93" s="7"/>
      <c r="C93" s="7"/>
      <c r="D93" s="7"/>
      <c r="E93" s="39">
        <v>273</v>
      </c>
      <c r="F93" s="39" t="s">
        <v>2295</v>
      </c>
      <c r="G93" s="54">
        <f>SUMPRODUCT(--('Input|Historical Data'!$E$9:$E$3279=$E93),--('Input|Historical Data'!$M$9:$M$3279="ENDirect"),--('Input|Historical Data'!$O$9:$O$3279="SCS"),'Input|Historical Data'!$I$9:$I$3279)</f>
        <v>0</v>
      </c>
      <c r="H93" s="54">
        <f>'Calc|Weightings'!J93</f>
        <v>23.982489999999999</v>
      </c>
      <c r="I93" s="54">
        <f>'Calc|Weightings'!T93</f>
        <v>0</v>
      </c>
      <c r="J93" s="54">
        <f>'Calc|Weightings'!AD93</f>
        <v>0</v>
      </c>
      <c r="K93" s="41">
        <v>0</v>
      </c>
      <c r="L93" s="41">
        <v>0</v>
      </c>
      <c r="M93" s="115">
        <v>0</v>
      </c>
      <c r="N93" s="115">
        <v>0</v>
      </c>
      <c r="O93" s="115">
        <v>0</v>
      </c>
      <c r="P93" s="115">
        <v>0</v>
      </c>
      <c r="Q93" s="115">
        <v>0</v>
      </c>
      <c r="R93" s="133" t="str">
        <f>VLOOKUP(E93,Mapping!$E$11:$G$96,3,0)</f>
        <v>Non-network general assets - Other</v>
      </c>
    </row>
    <row r="94" spans="1:18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</row>
    <row r="96" spans="1:18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1:18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1:18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1:18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1:18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1:18" s="21" customFormat="1" x14ac:dyDescent="0.2">
      <c r="A101" s="22" t="s">
        <v>9</v>
      </c>
      <c r="B101" s="22"/>
      <c r="C101" s="15"/>
      <c r="D101" s="24"/>
      <c r="E101" s="25"/>
      <c r="F101" s="25"/>
      <c r="G101" s="25"/>
      <c r="H101" s="25"/>
      <c r="I101" s="26"/>
      <c r="J101" s="20"/>
      <c r="K101" s="20"/>
      <c r="L101" s="25"/>
      <c r="M101" s="25"/>
      <c r="N101" s="25"/>
      <c r="O101" s="25"/>
      <c r="P101" s="25"/>
      <c r="Q101" s="25"/>
      <c r="R101" s="25"/>
    </row>
    <row r="102" spans="1:18" hidden="1" x14ac:dyDescent="0.2"/>
    <row r="103" spans="1:18" hidden="1" x14ac:dyDescent="0.2"/>
    <row r="104" spans="1:18" hidden="1" x14ac:dyDescent="0.2"/>
    <row r="105" spans="1:18" hidden="1" x14ac:dyDescent="0.2"/>
    <row r="106" spans="1:18" hidden="1" x14ac:dyDescent="0.2"/>
    <row r="107" spans="1:18" hidden="1" x14ac:dyDescent="0.2"/>
  </sheetData>
  <autoFilter ref="E7:R9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CC"/>
  </sheetPr>
  <dimension ref="A1:U102"/>
  <sheetViews>
    <sheetView zoomScale="70" zoomScaleNormal="70" workbookViewId="0">
      <pane ySplit="5" topLeftCell="A36" activePane="bottomLeft" state="frozen"/>
      <selection activeCell="E48" sqref="E48"/>
      <selection pane="bottomLeft" activeCell="Q71" sqref="Q71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7" width="27.375" customWidth="1"/>
    <col min="8" max="8" width="31.75" customWidth="1"/>
    <col min="9" max="9" width="10.25" customWidth="1"/>
    <col min="10" max="20" width="12.5" bestFit="1" customWidth="1"/>
    <col min="21" max="21" width="10.25" customWidth="1"/>
    <col min="22" max="16384" width="9" hidden="1"/>
  </cols>
  <sheetData>
    <row r="1" spans="1:21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80"/>
      <c r="J1" s="19"/>
      <c r="K1" s="19"/>
      <c r="L1" s="20"/>
      <c r="M1" s="20"/>
      <c r="N1" s="17"/>
      <c r="O1" s="17"/>
      <c r="P1" s="17"/>
      <c r="Q1" s="17"/>
      <c r="R1" s="17"/>
      <c r="S1" s="17"/>
      <c r="T1" s="17"/>
      <c r="U1" s="17"/>
    </row>
    <row r="2" spans="1:21" x14ac:dyDescent="0.2">
      <c r="A2" s="22" t="str">
        <f ca="1" xml:space="preserve"> "Sheet: " &amp; RIGHT(CELL("filename", $A$1), LEN(CELL("filename", $A$1)) - SEARCH("]", CELL("filename", $A$1)))</f>
        <v>Sheet: Input|Customer Contributions</v>
      </c>
      <c r="B2" s="22"/>
      <c r="C2" s="15"/>
      <c r="D2" s="16"/>
      <c r="E2" s="17"/>
      <c r="F2" s="17"/>
      <c r="G2" s="17"/>
      <c r="H2" s="17"/>
      <c r="I2" s="81"/>
      <c r="J2" s="23"/>
      <c r="K2" s="23"/>
      <c r="L2" s="20"/>
      <c r="M2" s="20"/>
      <c r="N2" s="17"/>
      <c r="O2" s="17"/>
      <c r="P2" s="17"/>
      <c r="Q2" s="17"/>
      <c r="R2" s="17"/>
      <c r="S2" s="17"/>
      <c r="T2" s="17"/>
      <c r="U2" s="17"/>
    </row>
    <row r="3" spans="1:21" x14ac:dyDescent="0.2">
      <c r="A3" s="22" t="s">
        <v>0</v>
      </c>
      <c r="B3" s="22"/>
      <c r="C3" s="15"/>
      <c r="D3" s="16"/>
      <c r="E3" s="16"/>
      <c r="F3" s="16"/>
      <c r="G3" s="16"/>
      <c r="H3" s="17"/>
      <c r="I3" s="82"/>
      <c r="J3" s="16"/>
      <c r="K3" s="16"/>
      <c r="L3" s="16"/>
      <c r="M3" s="20"/>
      <c r="N3" s="17"/>
      <c r="O3" s="17"/>
      <c r="P3" s="17"/>
      <c r="Q3" s="17"/>
      <c r="R3" s="17"/>
      <c r="S3" s="17"/>
      <c r="T3" s="17"/>
      <c r="U3" s="17"/>
    </row>
    <row r="4" spans="1:21" x14ac:dyDescent="0.2">
      <c r="A4" s="22"/>
      <c r="B4" s="22"/>
      <c r="C4" s="15"/>
      <c r="D4" s="16"/>
      <c r="E4" s="17"/>
      <c r="F4" s="17"/>
      <c r="G4" s="17"/>
      <c r="H4" s="17"/>
      <c r="I4" s="81"/>
      <c r="J4" s="23"/>
      <c r="K4" s="23"/>
      <c r="L4" s="20"/>
      <c r="M4" s="20"/>
      <c r="N4" s="17"/>
      <c r="O4" s="17"/>
      <c r="P4" s="17"/>
      <c r="Q4" s="17"/>
      <c r="R4" s="17"/>
      <c r="S4" s="17"/>
      <c r="T4" s="17"/>
      <c r="U4" s="17"/>
    </row>
    <row r="5" spans="1:21" x14ac:dyDescent="0.2">
      <c r="A5" s="22"/>
      <c r="B5" s="22"/>
      <c r="C5" s="22"/>
      <c r="D5" s="22"/>
      <c r="E5" s="261" t="s">
        <v>2068</v>
      </c>
      <c r="F5" s="262"/>
      <c r="G5" s="53" t="s">
        <v>2376</v>
      </c>
      <c r="H5" s="87" t="s">
        <v>2305</v>
      </c>
      <c r="I5" s="83"/>
      <c r="J5" s="64">
        <v>2015</v>
      </c>
      <c r="K5" s="31">
        <v>2016</v>
      </c>
      <c r="L5" s="31">
        <v>2017</v>
      </c>
      <c r="M5" s="31">
        <v>2018</v>
      </c>
      <c r="N5" s="31">
        <v>2019</v>
      </c>
      <c r="O5" s="31">
        <v>2020</v>
      </c>
      <c r="P5" s="31" t="s">
        <v>2432</v>
      </c>
      <c r="Q5" s="31" t="s">
        <v>2433</v>
      </c>
      <c r="R5" s="31" t="s">
        <v>2434</v>
      </c>
      <c r="S5" s="31" t="s">
        <v>2435</v>
      </c>
      <c r="T5" s="31" t="s">
        <v>2436</v>
      </c>
      <c r="U5" s="17"/>
    </row>
    <row r="6" spans="1:21" x14ac:dyDescent="0.2">
      <c r="A6" s="1"/>
      <c r="B6" s="1"/>
      <c r="C6" s="2"/>
      <c r="D6" s="3"/>
      <c r="E6" s="4"/>
      <c r="F6" s="4"/>
      <c r="G6" s="4"/>
      <c r="H6" s="4"/>
      <c r="I6" s="84"/>
      <c r="J6" s="5"/>
      <c r="K6" s="5"/>
      <c r="L6" s="6"/>
      <c r="M6" s="6"/>
      <c r="N6" s="4"/>
      <c r="O6" s="4"/>
      <c r="P6" s="4"/>
      <c r="Q6" s="4"/>
      <c r="R6" s="4"/>
      <c r="S6" s="4"/>
      <c r="T6" s="4"/>
      <c r="U6" s="4"/>
    </row>
    <row r="7" spans="1:21" x14ac:dyDescent="0.2">
      <c r="A7" s="22" t="s">
        <v>2361</v>
      </c>
      <c r="B7" s="22"/>
      <c r="C7" s="15"/>
      <c r="D7" s="24"/>
      <c r="E7" s="25"/>
      <c r="F7" s="25"/>
      <c r="G7" s="25"/>
      <c r="H7" s="25"/>
      <c r="I7" s="85"/>
      <c r="J7" s="57" t="s">
        <v>2324</v>
      </c>
      <c r="K7" s="57" t="s">
        <v>2324</v>
      </c>
      <c r="L7" s="57" t="s">
        <v>2324</v>
      </c>
      <c r="M7" s="57" t="s">
        <v>2324</v>
      </c>
      <c r="N7" s="35" t="s">
        <v>2428</v>
      </c>
      <c r="O7" s="35" t="s">
        <v>2428</v>
      </c>
      <c r="P7" s="35" t="s">
        <v>2428</v>
      </c>
      <c r="Q7" s="35" t="s">
        <v>2428</v>
      </c>
      <c r="R7" s="35" t="s">
        <v>2428</v>
      </c>
      <c r="S7" s="35" t="s">
        <v>2428</v>
      </c>
      <c r="T7" s="35" t="s">
        <v>2428</v>
      </c>
      <c r="U7" s="25"/>
    </row>
    <row r="8" spans="1:21" x14ac:dyDescent="0.2">
      <c r="A8" s="39"/>
      <c r="B8" s="39"/>
      <c r="C8" s="39"/>
      <c r="D8" s="39"/>
      <c r="E8" s="39"/>
      <c r="F8" s="39"/>
      <c r="G8" s="39"/>
      <c r="H8" s="7"/>
      <c r="I8" s="86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7"/>
    </row>
    <row r="9" spans="1:21" x14ac:dyDescent="0.2">
      <c r="A9" s="39"/>
      <c r="B9" s="39"/>
      <c r="C9" s="39"/>
      <c r="D9" s="39"/>
      <c r="E9" s="39">
        <v>102</v>
      </c>
      <c r="F9" s="39" t="s">
        <v>2214</v>
      </c>
      <c r="G9" s="39" t="s">
        <v>2299</v>
      </c>
      <c r="H9" s="39" t="s">
        <v>28</v>
      </c>
      <c r="I9" s="44"/>
      <c r="J9" s="41">
        <v>0</v>
      </c>
      <c r="K9" s="41">
        <v>0</v>
      </c>
      <c r="L9" s="41">
        <v>8.52</v>
      </c>
      <c r="M9" s="41">
        <v>0</v>
      </c>
      <c r="N9" s="41">
        <v>0</v>
      </c>
      <c r="O9" s="131">
        <v>0</v>
      </c>
      <c r="P9" s="41">
        <v>1.7919983010404406</v>
      </c>
      <c r="Q9" s="41">
        <v>3.0930323561060238</v>
      </c>
      <c r="R9" s="41">
        <v>3.0930323561060238</v>
      </c>
      <c r="S9" s="41">
        <v>3.0930323561060238</v>
      </c>
      <c r="T9" s="41">
        <v>3.0930323561060238</v>
      </c>
      <c r="U9" s="7"/>
    </row>
    <row r="10" spans="1:21" x14ac:dyDescent="0.2">
      <c r="A10" s="39"/>
      <c r="B10" s="39"/>
      <c r="C10" s="39"/>
      <c r="D10" s="39"/>
      <c r="E10" s="39">
        <v>104</v>
      </c>
      <c r="F10" s="39" t="s">
        <v>2216</v>
      </c>
      <c r="G10" s="39" t="s">
        <v>2299</v>
      </c>
      <c r="H10" s="39" t="s">
        <v>28</v>
      </c>
      <c r="I10" s="44"/>
      <c r="J10" s="41">
        <v>39.44</v>
      </c>
      <c r="K10" s="41">
        <v>0</v>
      </c>
      <c r="L10" s="41">
        <v>0</v>
      </c>
      <c r="M10" s="41">
        <v>15.824999999999999</v>
      </c>
      <c r="N10" s="41">
        <v>0</v>
      </c>
      <c r="O10" s="41">
        <v>0</v>
      </c>
      <c r="P10" s="41">
        <v>3.2867615983673968</v>
      </c>
      <c r="Q10" s="41">
        <v>5.6730299156280779</v>
      </c>
      <c r="R10" s="41">
        <v>5.6730299156280779</v>
      </c>
      <c r="S10" s="41">
        <v>5.6730299156280779</v>
      </c>
      <c r="T10" s="41">
        <v>5.6730299156280779</v>
      </c>
      <c r="U10" s="7"/>
    </row>
    <row r="11" spans="1:21" x14ac:dyDescent="0.2">
      <c r="A11" s="39"/>
      <c r="B11" s="39"/>
      <c r="C11" s="39"/>
      <c r="D11" s="39"/>
      <c r="E11" s="39">
        <v>105</v>
      </c>
      <c r="F11" s="39" t="s">
        <v>2217</v>
      </c>
      <c r="G11" s="39" t="s">
        <v>2299</v>
      </c>
      <c r="H11" s="39" t="s">
        <v>28</v>
      </c>
      <c r="I11" s="44"/>
      <c r="J11" s="41">
        <v>0</v>
      </c>
      <c r="K11" s="41">
        <v>0.60899999999999999</v>
      </c>
      <c r="L11" s="41">
        <v>34.012</v>
      </c>
      <c r="M11" s="41">
        <v>51.558</v>
      </c>
      <c r="N11" s="41">
        <v>0</v>
      </c>
      <c r="O11" s="41">
        <v>0</v>
      </c>
      <c r="P11" s="41">
        <v>17.926516509139891</v>
      </c>
      <c r="Q11" s="41">
        <v>30.941600537704527</v>
      </c>
      <c r="R11" s="41">
        <v>30.941600537704527</v>
      </c>
      <c r="S11" s="41">
        <v>30.941600537704527</v>
      </c>
      <c r="T11" s="41">
        <v>30.941600537704527</v>
      </c>
      <c r="U11" s="7"/>
    </row>
    <row r="12" spans="1:21" x14ac:dyDescent="0.2">
      <c r="A12" s="39"/>
      <c r="B12" s="39"/>
      <c r="C12" s="39"/>
      <c r="D12" s="39"/>
      <c r="E12" s="39">
        <v>106</v>
      </c>
      <c r="F12" s="39" t="s">
        <v>2218</v>
      </c>
      <c r="G12" s="39" t="s">
        <v>2299</v>
      </c>
      <c r="H12" s="39" t="s">
        <v>28</v>
      </c>
      <c r="I12" s="44"/>
      <c r="J12" s="41">
        <v>0</v>
      </c>
      <c r="K12" s="41">
        <v>281.55599999999998</v>
      </c>
      <c r="L12" s="41">
        <v>195.84100000000001</v>
      </c>
      <c r="M12" s="41">
        <v>0</v>
      </c>
      <c r="N12" s="41">
        <v>0</v>
      </c>
      <c r="O12" s="41">
        <v>0</v>
      </c>
      <c r="P12" s="41">
        <v>79.659264278337346</v>
      </c>
      <c r="Q12" s="41">
        <v>137.49381443801815</v>
      </c>
      <c r="R12" s="41">
        <v>137.49381443801815</v>
      </c>
      <c r="S12" s="41">
        <v>137.49381443801815</v>
      </c>
      <c r="T12" s="41">
        <v>137.49381443801815</v>
      </c>
      <c r="U12" s="7"/>
    </row>
    <row r="13" spans="1:21" x14ac:dyDescent="0.2">
      <c r="A13" s="39"/>
      <c r="B13" s="39"/>
      <c r="C13" s="39"/>
      <c r="D13" s="39"/>
      <c r="E13" s="39">
        <v>107</v>
      </c>
      <c r="F13" s="39" t="s">
        <v>2219</v>
      </c>
      <c r="G13" s="39" t="s">
        <v>2299</v>
      </c>
      <c r="H13" s="39" t="s">
        <v>28</v>
      </c>
      <c r="I13" s="44"/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7"/>
    </row>
    <row r="14" spans="1:21" x14ac:dyDescent="0.2">
      <c r="A14" s="39"/>
      <c r="B14" s="39"/>
      <c r="C14" s="39"/>
      <c r="D14" s="39"/>
      <c r="E14" s="39">
        <v>108</v>
      </c>
      <c r="F14" s="39" t="s">
        <v>2220</v>
      </c>
      <c r="G14" s="39" t="s">
        <v>2299</v>
      </c>
      <c r="H14" s="39" t="s">
        <v>28</v>
      </c>
      <c r="I14" s="44"/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7"/>
    </row>
    <row r="15" spans="1:21" x14ac:dyDescent="0.2">
      <c r="A15" s="39"/>
      <c r="B15" s="39"/>
      <c r="C15" s="39"/>
      <c r="D15" s="39"/>
      <c r="E15" s="39">
        <v>109</v>
      </c>
      <c r="F15" s="39" t="s">
        <v>2221</v>
      </c>
      <c r="G15" s="39" t="s">
        <v>2299</v>
      </c>
      <c r="H15" s="39" t="s">
        <v>28</v>
      </c>
      <c r="I15" s="44"/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7"/>
    </row>
    <row r="16" spans="1:21" x14ac:dyDescent="0.2">
      <c r="A16" s="39"/>
      <c r="B16" s="39"/>
      <c r="C16" s="39"/>
      <c r="D16" s="39"/>
      <c r="E16" s="39">
        <v>110</v>
      </c>
      <c r="F16" s="39" t="s">
        <v>2222</v>
      </c>
      <c r="G16" s="39" t="s">
        <v>2299</v>
      </c>
      <c r="H16" s="39" t="s">
        <v>28</v>
      </c>
      <c r="I16" s="44"/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7"/>
    </row>
    <row r="17" spans="1:21" x14ac:dyDescent="0.2">
      <c r="A17" s="39"/>
      <c r="B17" s="39"/>
      <c r="C17" s="39"/>
      <c r="D17" s="39"/>
      <c r="E17" s="39">
        <v>111</v>
      </c>
      <c r="F17" s="39" t="s">
        <v>2223</v>
      </c>
      <c r="G17" s="39" t="s">
        <v>2299</v>
      </c>
      <c r="H17" s="39" t="s">
        <v>28</v>
      </c>
      <c r="I17" s="44"/>
      <c r="J17" s="41">
        <v>352.26600000000002</v>
      </c>
      <c r="K17" s="41">
        <v>138.101</v>
      </c>
      <c r="L17" s="41">
        <v>130.17699999999999</v>
      </c>
      <c r="M17" s="41">
        <v>126.435</v>
      </c>
      <c r="N17" s="41">
        <v>0</v>
      </c>
      <c r="O17" s="41">
        <v>0</v>
      </c>
      <c r="P17" s="41">
        <v>68.271922934195217</v>
      </c>
      <c r="Q17" s="41">
        <v>117.83898819906148</v>
      </c>
      <c r="R17" s="41">
        <v>117.83898819906148</v>
      </c>
      <c r="S17" s="41">
        <v>117.83898819906148</v>
      </c>
      <c r="T17" s="41">
        <v>117.83898819906148</v>
      </c>
      <c r="U17" s="7"/>
    </row>
    <row r="18" spans="1:21" x14ac:dyDescent="0.2">
      <c r="A18" s="7"/>
      <c r="B18" s="7"/>
      <c r="C18" s="7"/>
      <c r="D18" s="7"/>
      <c r="E18" s="39">
        <v>114</v>
      </c>
      <c r="F18" s="39" t="s">
        <v>2226</v>
      </c>
      <c r="G18" s="39" t="s">
        <v>31</v>
      </c>
      <c r="H18" s="39" t="s">
        <v>32</v>
      </c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7"/>
    </row>
    <row r="19" spans="1:21" x14ac:dyDescent="0.2">
      <c r="A19" s="7"/>
      <c r="B19" s="7"/>
      <c r="C19" s="7"/>
      <c r="D19" s="7"/>
      <c r="E19" s="39">
        <v>115</v>
      </c>
      <c r="F19" s="39" t="s">
        <v>2227</v>
      </c>
      <c r="G19" s="39" t="s">
        <v>31</v>
      </c>
      <c r="H19" s="39" t="s">
        <v>32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7"/>
    </row>
    <row r="20" spans="1:21" x14ac:dyDescent="0.2">
      <c r="A20" s="7"/>
      <c r="B20" s="7"/>
      <c r="C20" s="7"/>
      <c r="D20" s="7"/>
      <c r="E20" s="39">
        <v>116</v>
      </c>
      <c r="F20" s="39" t="s">
        <v>2228</v>
      </c>
      <c r="G20" s="39" t="s">
        <v>2299</v>
      </c>
      <c r="H20" s="39" t="s">
        <v>28</v>
      </c>
      <c r="I20" s="7"/>
      <c r="J20" s="41">
        <v>687.07799999999997</v>
      </c>
      <c r="K20" s="41">
        <v>5650.0780000000004</v>
      </c>
      <c r="L20" s="41">
        <v>12.68</v>
      </c>
      <c r="M20" s="41">
        <v>8.1210000000000004</v>
      </c>
      <c r="N20" s="41">
        <v>0</v>
      </c>
      <c r="O20" s="41">
        <v>0</v>
      </c>
      <c r="P20" s="41">
        <v>602.99469603123214</v>
      </c>
      <c r="Q20" s="41">
        <v>1040.783411626029</v>
      </c>
      <c r="R20" s="41">
        <v>1040.783411626029</v>
      </c>
      <c r="S20" s="41">
        <v>1040.783411626029</v>
      </c>
      <c r="T20" s="41">
        <v>1040.783411626029</v>
      </c>
      <c r="U20" s="7"/>
    </row>
    <row r="21" spans="1:21" x14ac:dyDescent="0.2">
      <c r="A21" s="7"/>
      <c r="B21" s="7"/>
      <c r="C21" s="7"/>
      <c r="D21" s="7"/>
      <c r="E21" s="39">
        <v>118</v>
      </c>
      <c r="F21" s="39" t="s">
        <v>2229</v>
      </c>
      <c r="G21" s="39" t="s">
        <v>2299</v>
      </c>
      <c r="H21" s="39" t="s">
        <v>28</v>
      </c>
      <c r="I21" s="7"/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7"/>
    </row>
    <row r="22" spans="1:21" x14ac:dyDescent="0.2">
      <c r="A22" s="7"/>
      <c r="B22" s="7"/>
      <c r="C22" s="7"/>
      <c r="D22" s="7"/>
      <c r="E22" s="39">
        <v>121</v>
      </c>
      <c r="F22" s="39" t="s">
        <v>2232</v>
      </c>
      <c r="G22" s="39" t="s">
        <v>2299</v>
      </c>
      <c r="H22" s="39" t="s">
        <v>28</v>
      </c>
      <c r="I22" s="7"/>
      <c r="J22" s="88">
        <v>0</v>
      </c>
      <c r="K22" s="88">
        <v>0</v>
      </c>
      <c r="L22" s="88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7"/>
    </row>
    <row r="23" spans="1:21" x14ac:dyDescent="0.2">
      <c r="A23" s="7"/>
      <c r="B23" s="7"/>
      <c r="C23" s="7"/>
      <c r="D23" s="7"/>
      <c r="E23" s="60" t="s">
        <v>2365</v>
      </c>
      <c r="F23" s="89"/>
      <c r="G23" s="89"/>
      <c r="H23" s="89"/>
      <c r="I23" s="90"/>
      <c r="J23" s="91">
        <f t="shared" ref="J23:L23" si="0">SUM(J9:J22)</f>
        <v>1078.7840000000001</v>
      </c>
      <c r="K23" s="91">
        <f t="shared" si="0"/>
        <v>6070.3440000000001</v>
      </c>
      <c r="L23" s="91">
        <f t="shared" si="0"/>
        <v>381.22999999999996</v>
      </c>
      <c r="M23" s="132">
        <f>SUM(M9:M22)</f>
        <v>201.93899999999999</v>
      </c>
      <c r="N23" s="132">
        <f t="shared" ref="N23:T23" si="1">SUM(N9:N22)</f>
        <v>0</v>
      </c>
      <c r="O23" s="132">
        <f t="shared" si="1"/>
        <v>0</v>
      </c>
      <c r="P23" s="132">
        <f t="shared" si="1"/>
        <v>773.93115965231243</v>
      </c>
      <c r="Q23" s="132">
        <f t="shared" si="1"/>
        <v>1335.8238770725472</v>
      </c>
      <c r="R23" s="132">
        <f t="shared" si="1"/>
        <v>1335.8238770725472</v>
      </c>
      <c r="S23" s="132">
        <f t="shared" si="1"/>
        <v>1335.8238770725472</v>
      </c>
      <c r="T23" s="132">
        <f t="shared" si="1"/>
        <v>1335.8238770725472</v>
      </c>
      <c r="U23" s="7"/>
    </row>
    <row r="24" spans="1:21" x14ac:dyDescent="0.2">
      <c r="A24" s="7"/>
      <c r="B24" s="7"/>
      <c r="C24" s="7"/>
      <c r="D24" s="7"/>
      <c r="E24" s="39"/>
      <c r="F24" s="39"/>
      <c r="G24" s="39"/>
      <c r="H24" s="39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</row>
    <row r="25" spans="1:21" x14ac:dyDescent="0.2">
      <c r="A25" s="22" t="s">
        <v>2363</v>
      </c>
      <c r="B25" s="22"/>
      <c r="C25" s="15"/>
      <c r="D25" s="24"/>
      <c r="E25" s="25"/>
      <c r="F25" s="25"/>
      <c r="G25" s="25"/>
      <c r="H25" s="25"/>
      <c r="I25" s="85"/>
      <c r="J25" s="35" t="s">
        <v>2324</v>
      </c>
      <c r="K25" s="35" t="s">
        <v>2324</v>
      </c>
      <c r="L25" s="35" t="s">
        <v>2324</v>
      </c>
      <c r="M25" s="35" t="s">
        <v>2324</v>
      </c>
      <c r="N25" s="35" t="s">
        <v>2428</v>
      </c>
      <c r="O25" s="35" t="s">
        <v>2428</v>
      </c>
      <c r="P25" s="35" t="s">
        <v>2428</v>
      </c>
      <c r="Q25" s="35" t="s">
        <v>2428</v>
      </c>
      <c r="R25" s="35" t="s">
        <v>2428</v>
      </c>
      <c r="S25" s="35" t="s">
        <v>2428</v>
      </c>
      <c r="T25" s="35" t="s">
        <v>2428</v>
      </c>
      <c r="U25" s="25"/>
    </row>
    <row r="26" spans="1:21" x14ac:dyDescent="0.2">
      <c r="A26" s="39"/>
      <c r="B26" s="39"/>
      <c r="C26" s="39"/>
      <c r="D26" s="39"/>
      <c r="E26" s="39"/>
      <c r="F26" s="39"/>
      <c r="G26" s="39"/>
      <c r="H26" s="7"/>
      <c r="I26" s="86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7"/>
    </row>
    <row r="27" spans="1:21" x14ac:dyDescent="0.2">
      <c r="A27" s="39"/>
      <c r="B27" s="39"/>
      <c r="C27" s="39"/>
      <c r="D27" s="39"/>
      <c r="E27" s="39">
        <v>102</v>
      </c>
      <c r="F27" s="39" t="s">
        <v>2214</v>
      </c>
      <c r="G27" s="39" t="s">
        <v>2299</v>
      </c>
      <c r="H27" s="39" t="s">
        <v>28</v>
      </c>
      <c r="I27" s="44"/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7"/>
    </row>
    <row r="28" spans="1:21" x14ac:dyDescent="0.2">
      <c r="A28" s="39"/>
      <c r="B28" s="39"/>
      <c r="C28" s="39"/>
      <c r="D28" s="39"/>
      <c r="E28" s="39">
        <v>104</v>
      </c>
      <c r="F28" s="39" t="s">
        <v>2216</v>
      </c>
      <c r="G28" s="39" t="s">
        <v>2299</v>
      </c>
      <c r="H28" s="39" t="s">
        <v>28</v>
      </c>
      <c r="I28" s="44"/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7"/>
    </row>
    <row r="29" spans="1:21" x14ac:dyDescent="0.2">
      <c r="A29" s="39"/>
      <c r="B29" s="39"/>
      <c r="C29" s="39"/>
      <c r="D29" s="39"/>
      <c r="E29" s="39">
        <v>105</v>
      </c>
      <c r="F29" s="39" t="s">
        <v>2217</v>
      </c>
      <c r="G29" s="39" t="s">
        <v>2299</v>
      </c>
      <c r="H29" s="39" t="s">
        <v>28</v>
      </c>
      <c r="I29" s="44"/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7"/>
    </row>
    <row r="30" spans="1:21" x14ac:dyDescent="0.2">
      <c r="A30" s="39"/>
      <c r="B30" s="39"/>
      <c r="C30" s="39"/>
      <c r="D30" s="39"/>
      <c r="E30" s="39">
        <v>106</v>
      </c>
      <c r="F30" s="39" t="s">
        <v>2218</v>
      </c>
      <c r="G30" s="39" t="s">
        <v>2299</v>
      </c>
      <c r="H30" s="39" t="s">
        <v>28</v>
      </c>
      <c r="I30" s="44"/>
      <c r="J30" s="41">
        <v>0</v>
      </c>
      <c r="K30" s="41">
        <v>0</v>
      </c>
      <c r="L30" s="41">
        <v>170.86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7"/>
    </row>
    <row r="31" spans="1:21" x14ac:dyDescent="0.2">
      <c r="A31" s="39"/>
      <c r="B31" s="39"/>
      <c r="C31" s="39"/>
      <c r="D31" s="39"/>
      <c r="E31" s="39">
        <v>107</v>
      </c>
      <c r="F31" s="39" t="s">
        <v>2219</v>
      </c>
      <c r="G31" s="39" t="s">
        <v>2299</v>
      </c>
      <c r="H31" s="39" t="s">
        <v>28</v>
      </c>
      <c r="I31" s="44"/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7"/>
    </row>
    <row r="32" spans="1:21" x14ac:dyDescent="0.2">
      <c r="A32" s="39"/>
      <c r="B32" s="39"/>
      <c r="C32" s="39"/>
      <c r="D32" s="39"/>
      <c r="E32" s="39">
        <v>108</v>
      </c>
      <c r="F32" s="39" t="s">
        <v>2220</v>
      </c>
      <c r="G32" s="39" t="s">
        <v>2299</v>
      </c>
      <c r="H32" s="39" t="s">
        <v>28</v>
      </c>
      <c r="I32" s="44"/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7"/>
    </row>
    <row r="33" spans="1:21" x14ac:dyDescent="0.2">
      <c r="A33" s="39"/>
      <c r="B33" s="39"/>
      <c r="C33" s="39"/>
      <c r="D33" s="39"/>
      <c r="E33" s="39">
        <v>109</v>
      </c>
      <c r="F33" s="39" t="s">
        <v>2221</v>
      </c>
      <c r="G33" s="39" t="s">
        <v>2299</v>
      </c>
      <c r="H33" s="39" t="s">
        <v>28</v>
      </c>
      <c r="I33" s="44"/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7"/>
    </row>
    <row r="34" spans="1:21" x14ac:dyDescent="0.2">
      <c r="A34" s="39"/>
      <c r="B34" s="39"/>
      <c r="C34" s="39"/>
      <c r="D34" s="39"/>
      <c r="E34" s="39">
        <v>110</v>
      </c>
      <c r="F34" s="39" t="s">
        <v>2222</v>
      </c>
      <c r="G34" s="39" t="s">
        <v>2299</v>
      </c>
      <c r="H34" s="39" t="s">
        <v>28</v>
      </c>
      <c r="I34" s="44"/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7"/>
    </row>
    <row r="35" spans="1:21" x14ac:dyDescent="0.2">
      <c r="A35" s="39"/>
      <c r="B35" s="39"/>
      <c r="C35" s="39"/>
      <c r="D35" s="39"/>
      <c r="E35" s="39">
        <v>111</v>
      </c>
      <c r="F35" s="39" t="s">
        <v>2223</v>
      </c>
      <c r="G35" s="39" t="s">
        <v>2299</v>
      </c>
      <c r="H35" s="39" t="s">
        <v>28</v>
      </c>
      <c r="I35" s="44"/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7"/>
    </row>
    <row r="36" spans="1:21" x14ac:dyDescent="0.2">
      <c r="A36" s="7"/>
      <c r="B36" s="7"/>
      <c r="C36" s="7"/>
      <c r="D36" s="7"/>
      <c r="E36" s="39">
        <v>114</v>
      </c>
      <c r="F36" s="39" t="s">
        <v>2226</v>
      </c>
      <c r="G36" s="39" t="s">
        <v>31</v>
      </c>
      <c r="H36" s="39" t="s">
        <v>32</v>
      </c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7"/>
    </row>
    <row r="37" spans="1:21" x14ac:dyDescent="0.2">
      <c r="A37" s="7"/>
      <c r="B37" s="7"/>
      <c r="C37" s="7"/>
      <c r="D37" s="7"/>
      <c r="E37" s="39">
        <v>115</v>
      </c>
      <c r="F37" s="39" t="s">
        <v>2227</v>
      </c>
      <c r="G37" s="39" t="s">
        <v>31</v>
      </c>
      <c r="H37" s="39" t="s">
        <v>32</v>
      </c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7"/>
    </row>
    <row r="38" spans="1:21" x14ac:dyDescent="0.2">
      <c r="A38" s="7"/>
      <c r="B38" s="7"/>
      <c r="C38" s="7"/>
      <c r="D38" s="7"/>
      <c r="E38" s="39">
        <v>116</v>
      </c>
      <c r="F38" s="39" t="s">
        <v>2228</v>
      </c>
      <c r="G38" s="39" t="s">
        <v>2299</v>
      </c>
      <c r="H38" s="39" t="s">
        <v>28</v>
      </c>
      <c r="I38" s="7"/>
      <c r="J38" s="41">
        <v>52.173000000000002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7"/>
    </row>
    <row r="39" spans="1:21" x14ac:dyDescent="0.2">
      <c r="A39" s="7"/>
      <c r="B39" s="7"/>
      <c r="C39" s="7"/>
      <c r="D39" s="7"/>
      <c r="E39" s="39">
        <v>118</v>
      </c>
      <c r="F39" s="39" t="s">
        <v>2229</v>
      </c>
      <c r="G39" s="39" t="s">
        <v>2299</v>
      </c>
      <c r="H39" s="39" t="s">
        <v>28</v>
      </c>
      <c r="I39" s="7"/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7"/>
    </row>
    <row r="40" spans="1:21" x14ac:dyDescent="0.2">
      <c r="A40" s="7"/>
      <c r="B40" s="7"/>
      <c r="C40" s="7"/>
      <c r="D40" s="7"/>
      <c r="E40" s="39">
        <v>121</v>
      </c>
      <c r="F40" s="39" t="s">
        <v>2232</v>
      </c>
      <c r="G40" s="39" t="s">
        <v>2299</v>
      </c>
      <c r="H40" s="39" t="s">
        <v>28</v>
      </c>
      <c r="I40" s="7"/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7"/>
    </row>
    <row r="41" spans="1:21" x14ac:dyDescent="0.2">
      <c r="A41" s="7"/>
      <c r="B41" s="7"/>
      <c r="C41" s="7"/>
      <c r="D41" s="7"/>
      <c r="E41" s="60" t="s">
        <v>2365</v>
      </c>
      <c r="F41" s="89"/>
      <c r="G41" s="89"/>
      <c r="H41" s="89"/>
      <c r="I41" s="90"/>
      <c r="J41" s="91">
        <f t="shared" ref="J41:L41" si="2">SUM(J27:J40)</f>
        <v>52.173000000000002</v>
      </c>
      <c r="K41" s="91">
        <f t="shared" si="2"/>
        <v>0</v>
      </c>
      <c r="L41" s="91">
        <f t="shared" si="2"/>
        <v>170.86</v>
      </c>
      <c r="M41" s="132">
        <f>SUM(M27:M40)</f>
        <v>0</v>
      </c>
      <c r="N41" s="132">
        <f t="shared" ref="N41:T41" si="3">SUM(N27:N40)</f>
        <v>0</v>
      </c>
      <c r="O41" s="132">
        <f t="shared" si="3"/>
        <v>0</v>
      </c>
      <c r="P41" s="132">
        <f t="shared" si="3"/>
        <v>0</v>
      </c>
      <c r="Q41" s="132">
        <f t="shared" si="3"/>
        <v>0</v>
      </c>
      <c r="R41" s="132">
        <f t="shared" si="3"/>
        <v>0</v>
      </c>
      <c r="S41" s="132">
        <f t="shared" si="3"/>
        <v>0</v>
      </c>
      <c r="T41" s="132">
        <f t="shared" si="3"/>
        <v>0</v>
      </c>
      <c r="U41" s="7"/>
    </row>
    <row r="42" spans="1:21" x14ac:dyDescent="0.2">
      <c r="A42" s="7"/>
      <c r="B42" s="7"/>
      <c r="C42" s="7"/>
      <c r="D42" s="7"/>
      <c r="E42" s="39"/>
      <c r="F42" s="39"/>
      <c r="G42" s="39"/>
      <c r="H42" s="39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</row>
    <row r="43" spans="1:21" x14ac:dyDescent="0.2">
      <c r="A43" s="22" t="s">
        <v>2364</v>
      </c>
      <c r="B43" s="22"/>
      <c r="C43" s="15"/>
      <c r="D43" s="24"/>
      <c r="E43" s="25"/>
      <c r="F43" s="25"/>
      <c r="G43" s="25"/>
      <c r="H43" s="25"/>
      <c r="I43" s="85"/>
      <c r="J43" s="35" t="s">
        <v>2324</v>
      </c>
      <c r="K43" s="35" t="s">
        <v>2324</v>
      </c>
      <c r="L43" s="35" t="s">
        <v>2324</v>
      </c>
      <c r="M43" s="35" t="s">
        <v>2324</v>
      </c>
      <c r="N43" s="35" t="s">
        <v>2428</v>
      </c>
      <c r="O43" s="35" t="s">
        <v>2428</v>
      </c>
      <c r="P43" s="35" t="s">
        <v>2428</v>
      </c>
      <c r="Q43" s="35" t="s">
        <v>2428</v>
      </c>
      <c r="R43" s="35" t="s">
        <v>2428</v>
      </c>
      <c r="S43" s="35" t="s">
        <v>2428</v>
      </c>
      <c r="T43" s="35" t="s">
        <v>2428</v>
      </c>
      <c r="U43" s="25"/>
    </row>
    <row r="44" spans="1:21" x14ac:dyDescent="0.2">
      <c r="A44" s="39"/>
      <c r="B44" s="39"/>
      <c r="C44" s="39"/>
      <c r="D44" s="39"/>
      <c r="E44" s="39"/>
      <c r="F44" s="39"/>
      <c r="G44" s="39"/>
      <c r="H44" s="7"/>
      <c r="I44" s="86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7"/>
    </row>
    <row r="45" spans="1:21" x14ac:dyDescent="0.2">
      <c r="A45" s="39"/>
      <c r="B45" s="39"/>
      <c r="C45" s="39"/>
      <c r="D45" s="39"/>
      <c r="E45" s="39">
        <v>102</v>
      </c>
      <c r="F45" s="39" t="s">
        <v>2214</v>
      </c>
      <c r="G45" s="39" t="s">
        <v>2299</v>
      </c>
      <c r="H45" s="39" t="s">
        <v>28</v>
      </c>
      <c r="I45" s="44"/>
      <c r="J45" s="41">
        <v>211.8641007036091</v>
      </c>
      <c r="K45" s="41">
        <v>767.24100777782633</v>
      </c>
      <c r="L45" s="41">
        <v>1091.1044788610475</v>
      </c>
      <c r="M45" s="41">
        <v>2148.2746599999978</v>
      </c>
      <c r="N45" s="41">
        <v>1936.2581370917521</v>
      </c>
      <c r="O45" s="41">
        <v>1903.9800784076519</v>
      </c>
      <c r="P45" s="41">
        <v>804.20963931310746</v>
      </c>
      <c r="Q45" s="41">
        <v>1426.9566674587759</v>
      </c>
      <c r="R45" s="41">
        <v>1450.9602066804021</v>
      </c>
      <c r="S45" s="41">
        <v>1458.8419658278019</v>
      </c>
      <c r="T45" s="41">
        <v>1467.6193794237699</v>
      </c>
      <c r="U45" s="7"/>
    </row>
    <row r="46" spans="1:21" x14ac:dyDescent="0.2">
      <c r="A46" s="39"/>
      <c r="B46" s="39"/>
      <c r="C46" s="39"/>
      <c r="D46" s="39"/>
      <c r="E46" s="39">
        <v>104</v>
      </c>
      <c r="F46" s="39" t="s">
        <v>2216</v>
      </c>
      <c r="G46" s="39" t="s">
        <v>2299</v>
      </c>
      <c r="H46" s="39" t="s">
        <v>28</v>
      </c>
      <c r="I46" s="44"/>
      <c r="J46" s="41">
        <v>5.6200136435338895E-13</v>
      </c>
      <c r="K46" s="41">
        <v>57.475495347246095</v>
      </c>
      <c r="L46" s="41">
        <v>0</v>
      </c>
      <c r="M46" s="41">
        <v>0</v>
      </c>
      <c r="N46" s="41">
        <v>0</v>
      </c>
      <c r="O46" s="41">
        <v>0</v>
      </c>
      <c r="P46" s="41">
        <v>3.2058224446673926</v>
      </c>
      <c r="Q46" s="41">
        <v>5.5333269811305401</v>
      </c>
      <c r="R46" s="41">
        <v>5.5333269811305401</v>
      </c>
      <c r="S46" s="41">
        <v>5.5333269811305401</v>
      </c>
      <c r="T46" s="41">
        <v>5.5333269811305401</v>
      </c>
      <c r="U46" s="7"/>
    </row>
    <row r="47" spans="1:21" x14ac:dyDescent="0.2">
      <c r="A47" s="39"/>
      <c r="B47" s="39"/>
      <c r="C47" s="39"/>
      <c r="D47" s="39"/>
      <c r="E47" s="39">
        <v>105</v>
      </c>
      <c r="F47" s="39" t="s">
        <v>2217</v>
      </c>
      <c r="G47" s="39" t="s">
        <v>2299</v>
      </c>
      <c r="H47" s="39" t="s">
        <v>28</v>
      </c>
      <c r="I47" s="44"/>
      <c r="J47" s="41">
        <v>1662.8150595433594</v>
      </c>
      <c r="K47" s="41">
        <v>2348.8675323255234</v>
      </c>
      <c r="L47" s="41">
        <v>4042.3294729393451</v>
      </c>
      <c r="M47" s="41">
        <v>3333.5458599999993</v>
      </c>
      <c r="N47" s="41">
        <v>5318.3438250447725</v>
      </c>
      <c r="O47" s="41">
        <v>3715.8547844441605</v>
      </c>
      <c r="P47" s="41">
        <v>2099.3950769013218</v>
      </c>
      <c r="Q47" s="41">
        <v>2881.5811421240492</v>
      </c>
      <c r="R47" s="41">
        <v>2897.7121307059147</v>
      </c>
      <c r="S47" s="41">
        <v>3220.3319023432132</v>
      </c>
      <c r="T47" s="41">
        <v>3289.2552171929992</v>
      </c>
      <c r="U47" s="7"/>
    </row>
    <row r="48" spans="1:21" x14ac:dyDescent="0.2">
      <c r="A48" s="39"/>
      <c r="B48" s="39"/>
      <c r="C48" s="39"/>
      <c r="D48" s="39"/>
      <c r="E48" s="39">
        <v>106</v>
      </c>
      <c r="F48" s="39" t="s">
        <v>2218</v>
      </c>
      <c r="G48" s="39" t="s">
        <v>2299</v>
      </c>
      <c r="H48" s="39" t="s">
        <v>28</v>
      </c>
      <c r="I48" s="44"/>
      <c r="J48" s="41">
        <v>4195.1674956710976</v>
      </c>
      <c r="K48" s="41">
        <v>3939.8590113604946</v>
      </c>
      <c r="L48" s="41">
        <v>4304.6975401580157</v>
      </c>
      <c r="M48" s="41">
        <v>5332.4844400000011</v>
      </c>
      <c r="N48" s="41">
        <v>5208.3557245162074</v>
      </c>
      <c r="O48" s="41">
        <v>4341.099025687884</v>
      </c>
      <c r="P48" s="41">
        <v>3116.0110689398007</v>
      </c>
      <c r="Q48" s="41">
        <v>5057.1308468383968</v>
      </c>
      <c r="R48" s="41">
        <v>4960.1982859062928</v>
      </c>
      <c r="S48" s="41">
        <v>5124.4049376345592</v>
      </c>
      <c r="T48" s="41">
        <v>5209.0400841200544</v>
      </c>
      <c r="U48" s="7"/>
    </row>
    <row r="49" spans="1:21" x14ac:dyDescent="0.2">
      <c r="A49" s="39"/>
      <c r="B49" s="39"/>
      <c r="C49" s="39"/>
      <c r="D49" s="39"/>
      <c r="E49" s="39">
        <v>107</v>
      </c>
      <c r="F49" s="39" t="s">
        <v>2219</v>
      </c>
      <c r="G49" s="39" t="s">
        <v>2299</v>
      </c>
      <c r="H49" s="39" t="s">
        <v>28</v>
      </c>
      <c r="I49" s="44"/>
      <c r="J49" s="41">
        <v>674.27144486242855</v>
      </c>
      <c r="K49" s="41">
        <v>3470.788284319684</v>
      </c>
      <c r="L49" s="41">
        <v>1128.9084044749957</v>
      </c>
      <c r="M49" s="41">
        <v>651.73024999999996</v>
      </c>
      <c r="N49" s="41">
        <v>2261.6770324962436</v>
      </c>
      <c r="O49" s="41">
        <v>2044.9297464728713</v>
      </c>
      <c r="P49" s="41">
        <v>2278.6799210622185</v>
      </c>
      <c r="Q49" s="41">
        <v>2934.2671143816374</v>
      </c>
      <c r="R49" s="41">
        <v>4208.5006059941643</v>
      </c>
      <c r="S49" s="41">
        <v>1660.03362276911</v>
      </c>
      <c r="T49" s="41">
        <v>1660.03362276911</v>
      </c>
      <c r="U49" s="7"/>
    </row>
    <row r="50" spans="1:21" x14ac:dyDescent="0.2">
      <c r="A50" s="39"/>
      <c r="B50" s="39"/>
      <c r="C50" s="39"/>
      <c r="D50" s="39"/>
      <c r="E50" s="39">
        <v>108</v>
      </c>
      <c r="F50" s="39" t="s">
        <v>2220</v>
      </c>
      <c r="G50" s="39" t="s">
        <v>2299</v>
      </c>
      <c r="H50" s="39" t="s">
        <v>28</v>
      </c>
      <c r="I50" s="44"/>
      <c r="J50" s="41">
        <v>-22.919519181363409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7"/>
    </row>
    <row r="51" spans="1:21" x14ac:dyDescent="0.2">
      <c r="A51" s="39"/>
      <c r="B51" s="39"/>
      <c r="C51" s="39"/>
      <c r="D51" s="39"/>
      <c r="E51" s="39">
        <v>109</v>
      </c>
      <c r="F51" s="39" t="s">
        <v>2221</v>
      </c>
      <c r="G51" s="39" t="s">
        <v>2299</v>
      </c>
      <c r="H51" s="39" t="s">
        <v>28</v>
      </c>
      <c r="I51" s="44"/>
      <c r="J51" s="41">
        <v>130.27361234058515</v>
      </c>
      <c r="K51" s="41">
        <v>3855.4417384457929</v>
      </c>
      <c r="L51" s="41">
        <v>4862.1476666074905</v>
      </c>
      <c r="M51" s="41">
        <v>4558.4018799999985</v>
      </c>
      <c r="N51" s="41">
        <v>6373.4407996042364</v>
      </c>
      <c r="O51" s="41">
        <v>5816.912050052124</v>
      </c>
      <c r="P51" s="41">
        <v>2985.7669595131119</v>
      </c>
      <c r="Q51" s="41">
        <v>5297.8226846352973</v>
      </c>
      <c r="R51" s="41">
        <v>5386.9399630361422</v>
      </c>
      <c r="S51" s="41">
        <v>5416.2023529588078</v>
      </c>
      <c r="T51" s="41">
        <v>5448.7900144635942</v>
      </c>
      <c r="U51" s="7"/>
    </row>
    <row r="52" spans="1:21" x14ac:dyDescent="0.2">
      <c r="A52" s="39"/>
      <c r="B52" s="39"/>
      <c r="C52" s="39"/>
      <c r="D52" s="39"/>
      <c r="E52" s="39">
        <v>110</v>
      </c>
      <c r="F52" s="39" t="s">
        <v>2222</v>
      </c>
      <c r="G52" s="39" t="s">
        <v>2299</v>
      </c>
      <c r="H52" s="39" t="s">
        <v>28</v>
      </c>
      <c r="I52" s="44"/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7"/>
    </row>
    <row r="53" spans="1:21" x14ac:dyDescent="0.2">
      <c r="A53" s="39"/>
      <c r="B53" s="39"/>
      <c r="C53" s="39"/>
      <c r="D53" s="39"/>
      <c r="E53" s="39">
        <v>111</v>
      </c>
      <c r="F53" s="39" t="s">
        <v>2223</v>
      </c>
      <c r="G53" s="39" t="s">
        <v>2299</v>
      </c>
      <c r="H53" s="39" t="s">
        <v>28</v>
      </c>
      <c r="I53" s="44"/>
      <c r="J53" s="41">
        <v>5467.3093821564717</v>
      </c>
      <c r="K53" s="41">
        <v>4756.9350103566076</v>
      </c>
      <c r="L53" s="41">
        <v>8209.2091609543677</v>
      </c>
      <c r="M53" s="41">
        <v>10126.840529999999</v>
      </c>
      <c r="N53" s="41">
        <v>11995.62286410595</v>
      </c>
      <c r="O53" s="41">
        <v>10817.522734500377</v>
      </c>
      <c r="P53" s="41">
        <v>4774.1007223426686</v>
      </c>
      <c r="Q53" s="41">
        <v>7937.2022694221687</v>
      </c>
      <c r="R53" s="41">
        <v>8639.6366358860232</v>
      </c>
      <c r="S53" s="41">
        <v>9065.841365864635</v>
      </c>
      <c r="T53" s="41">
        <v>9151.5414192894168</v>
      </c>
      <c r="U53" s="7"/>
    </row>
    <row r="54" spans="1:21" x14ac:dyDescent="0.2">
      <c r="A54" s="7"/>
      <c r="B54" s="7"/>
      <c r="C54" s="7"/>
      <c r="D54" s="7"/>
      <c r="E54" s="39">
        <v>114</v>
      </c>
      <c r="F54" s="39" t="s">
        <v>2226</v>
      </c>
      <c r="G54" s="39" t="s">
        <v>31</v>
      </c>
      <c r="H54" s="39" t="s">
        <v>32</v>
      </c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7"/>
    </row>
    <row r="55" spans="1:21" x14ac:dyDescent="0.2">
      <c r="A55" s="7"/>
      <c r="B55" s="7"/>
      <c r="C55" s="7"/>
      <c r="D55" s="7"/>
      <c r="E55" s="39">
        <v>115</v>
      </c>
      <c r="F55" s="39" t="s">
        <v>2227</v>
      </c>
      <c r="G55" s="39" t="s">
        <v>31</v>
      </c>
      <c r="H55" s="39" t="s">
        <v>32</v>
      </c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7"/>
    </row>
    <row r="56" spans="1:21" x14ac:dyDescent="0.2">
      <c r="A56" s="7"/>
      <c r="B56" s="7"/>
      <c r="C56" s="7"/>
      <c r="D56" s="7"/>
      <c r="E56" s="39">
        <v>116</v>
      </c>
      <c r="F56" s="39" t="s">
        <v>2228</v>
      </c>
      <c r="G56" s="39" t="s">
        <v>2299</v>
      </c>
      <c r="H56" s="39" t="s">
        <v>28</v>
      </c>
      <c r="I56" s="7"/>
      <c r="J56" s="41">
        <v>12330.371711264035</v>
      </c>
      <c r="K56" s="41">
        <v>19002.28471009971</v>
      </c>
      <c r="L56" s="41">
        <v>22023.44266353815</v>
      </c>
      <c r="M56" s="41">
        <v>25306.954160000008</v>
      </c>
      <c r="N56" s="41">
        <v>20860.801043536332</v>
      </c>
      <c r="O56" s="41">
        <v>31831.143820977122</v>
      </c>
      <c r="P56" s="41">
        <v>21178.454524017838</v>
      </c>
      <c r="Q56" s="41">
        <v>34138.533852774097</v>
      </c>
      <c r="R56" s="41">
        <v>24388.433707752796</v>
      </c>
      <c r="S56" s="41">
        <v>24557.135655204926</v>
      </c>
      <c r="T56" s="41">
        <v>24630.4843280102</v>
      </c>
      <c r="U56" s="7"/>
    </row>
    <row r="57" spans="1:21" x14ac:dyDescent="0.2">
      <c r="A57" s="7"/>
      <c r="B57" s="7"/>
      <c r="C57" s="7"/>
      <c r="D57" s="7"/>
      <c r="E57" s="39">
        <v>118</v>
      </c>
      <c r="F57" s="39" t="s">
        <v>2229</v>
      </c>
      <c r="G57" s="39" t="s">
        <v>2299</v>
      </c>
      <c r="H57" s="39" t="s">
        <v>28</v>
      </c>
      <c r="I57" s="7"/>
      <c r="J57" s="41">
        <v>159.64052258426608</v>
      </c>
      <c r="K57" s="41">
        <v>24.339004933980867</v>
      </c>
      <c r="L57" s="41">
        <v>101.8085502620596</v>
      </c>
      <c r="M57" s="41">
        <v>13.268459999999999</v>
      </c>
      <c r="N57" s="41">
        <v>21.73581077445181</v>
      </c>
      <c r="O57" s="41">
        <v>7.6956505706648928</v>
      </c>
      <c r="P57" s="41">
        <v>17.07404786840943</v>
      </c>
      <c r="Q57" s="41">
        <v>29.470219071095901</v>
      </c>
      <c r="R57" s="41">
        <v>29.470219071095901</v>
      </c>
      <c r="S57" s="41">
        <v>29.470219071095901</v>
      </c>
      <c r="T57" s="41">
        <v>29.470219071095901</v>
      </c>
      <c r="U57" s="7"/>
    </row>
    <row r="58" spans="1:21" x14ac:dyDescent="0.2">
      <c r="A58" s="7"/>
      <c r="B58" s="7"/>
      <c r="C58" s="7"/>
      <c r="D58" s="7"/>
      <c r="E58" s="39">
        <v>121</v>
      </c>
      <c r="F58" s="39" t="s">
        <v>2232</v>
      </c>
      <c r="G58" s="39" t="s">
        <v>2299</v>
      </c>
      <c r="H58" s="39" t="s">
        <v>28</v>
      </c>
      <c r="I58" s="7"/>
      <c r="J58" s="41">
        <v>0</v>
      </c>
      <c r="K58" s="41">
        <v>0</v>
      </c>
      <c r="L58" s="41">
        <v>101.71771885978418</v>
      </c>
      <c r="M58" s="41">
        <v>36.464829999999999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7"/>
    </row>
    <row r="59" spans="1:21" x14ac:dyDescent="0.2">
      <c r="A59" s="7"/>
      <c r="B59" s="7"/>
      <c r="C59" s="7"/>
      <c r="D59" s="7"/>
      <c r="E59" s="60" t="s">
        <v>2365</v>
      </c>
      <c r="F59" s="89"/>
      <c r="G59" s="89"/>
      <c r="H59" s="89"/>
      <c r="I59" s="90"/>
      <c r="J59" s="91">
        <f t="shared" ref="J59:L59" si="4">SUM(J45:J57)</f>
        <v>24808.793809944491</v>
      </c>
      <c r="K59" s="91">
        <f t="shared" si="4"/>
        <v>38223.231794966865</v>
      </c>
      <c r="L59" s="91">
        <f t="shared" si="4"/>
        <v>45763.647937795475</v>
      </c>
      <c r="M59" s="132">
        <f>SUM(M45:M57)</f>
        <v>51471.500240000001</v>
      </c>
      <c r="N59" s="132">
        <f t="shared" ref="N59:T59" si="5">SUM(N45:N57)</f>
        <v>53976.235237169945</v>
      </c>
      <c r="O59" s="132">
        <f t="shared" si="5"/>
        <v>60479.137891112856</v>
      </c>
      <c r="P59" s="132">
        <f t="shared" si="5"/>
        <v>37256.897782403139</v>
      </c>
      <c r="Q59" s="132">
        <f t="shared" si="5"/>
        <v>59708.498123686644</v>
      </c>
      <c r="R59" s="132">
        <f t="shared" si="5"/>
        <v>51967.385082013963</v>
      </c>
      <c r="S59" s="132">
        <f t="shared" si="5"/>
        <v>50537.795348655272</v>
      </c>
      <c r="T59" s="132">
        <f t="shared" si="5"/>
        <v>50891.767611321367</v>
      </c>
      <c r="U59" s="7"/>
    </row>
    <row r="60" spans="1:21" x14ac:dyDescent="0.2">
      <c r="A60" s="7"/>
      <c r="B60" s="7"/>
      <c r="C60" s="7"/>
      <c r="D60" s="7"/>
      <c r="E60" s="39"/>
      <c r="F60" s="39"/>
      <c r="G60" s="39"/>
      <c r="H60" s="39"/>
      <c r="I60" s="7"/>
      <c r="J60" s="102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</row>
    <row r="61" spans="1:21" x14ac:dyDescent="0.2">
      <c r="A61" s="22" t="s">
        <v>2368</v>
      </c>
      <c r="B61" s="22"/>
      <c r="C61" s="15"/>
      <c r="D61" s="24"/>
      <c r="E61" s="25"/>
      <c r="F61" s="25"/>
      <c r="G61" s="25"/>
      <c r="H61" s="25"/>
      <c r="I61" s="85"/>
      <c r="J61" s="35" t="s">
        <v>2324</v>
      </c>
      <c r="K61" s="35" t="s">
        <v>2324</v>
      </c>
      <c r="L61" s="35" t="s">
        <v>2324</v>
      </c>
      <c r="M61" s="35" t="s">
        <v>2324</v>
      </c>
      <c r="N61" s="35" t="s">
        <v>2428</v>
      </c>
      <c r="O61" s="35" t="s">
        <v>2428</v>
      </c>
      <c r="P61" s="35" t="s">
        <v>2428</v>
      </c>
      <c r="Q61" s="35" t="s">
        <v>2428</v>
      </c>
      <c r="R61" s="35" t="s">
        <v>2428</v>
      </c>
      <c r="S61" s="35" t="s">
        <v>2428</v>
      </c>
      <c r="T61" s="35" t="s">
        <v>2428</v>
      </c>
      <c r="U61" s="7"/>
    </row>
    <row r="62" spans="1:21" x14ac:dyDescent="0.2">
      <c r="A62" s="39"/>
      <c r="B62" s="39"/>
      <c r="C62" s="39"/>
      <c r="D62" s="39"/>
      <c r="E62" s="39"/>
      <c r="F62" s="39"/>
      <c r="G62" s="39"/>
      <c r="H62" s="7"/>
      <c r="I62" s="86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7"/>
    </row>
    <row r="63" spans="1:21" x14ac:dyDescent="0.2">
      <c r="A63" s="39"/>
      <c r="B63" s="39"/>
      <c r="C63" s="39"/>
      <c r="D63" s="39"/>
      <c r="E63" s="39">
        <v>102</v>
      </c>
      <c r="F63" s="39" t="s">
        <v>2214</v>
      </c>
      <c r="G63" s="39" t="s">
        <v>2299</v>
      </c>
      <c r="H63" s="39" t="s">
        <v>28</v>
      </c>
      <c r="I63" s="44"/>
      <c r="J63" s="44">
        <f>J9-J27+J45</f>
        <v>211.8641007036091</v>
      </c>
      <c r="K63" s="44">
        <f t="shared" ref="K63:T76" si="6">K9-K27+K45</f>
        <v>767.24100777782633</v>
      </c>
      <c r="L63" s="44">
        <f t="shared" si="6"/>
        <v>1099.6244788610475</v>
      </c>
      <c r="M63" s="44">
        <f t="shared" si="6"/>
        <v>2148.2746599999978</v>
      </c>
      <c r="N63" s="44">
        <f t="shared" si="6"/>
        <v>1936.2581370917521</v>
      </c>
      <c r="O63" s="44">
        <f t="shared" si="6"/>
        <v>1903.9800784076519</v>
      </c>
      <c r="P63" s="44">
        <f t="shared" si="6"/>
        <v>806.00163761414785</v>
      </c>
      <c r="Q63" s="44">
        <f t="shared" si="6"/>
        <v>1430.0496998148819</v>
      </c>
      <c r="R63" s="44">
        <f t="shared" si="6"/>
        <v>1454.0532390365081</v>
      </c>
      <c r="S63" s="44">
        <f t="shared" si="6"/>
        <v>1461.934998183908</v>
      </c>
      <c r="T63" s="44">
        <f t="shared" si="6"/>
        <v>1470.712411779876</v>
      </c>
      <c r="U63" s="7"/>
    </row>
    <row r="64" spans="1:21" x14ac:dyDescent="0.2">
      <c r="A64" s="39"/>
      <c r="B64" s="39"/>
      <c r="C64" s="39"/>
      <c r="D64" s="39"/>
      <c r="E64" s="39">
        <v>104</v>
      </c>
      <c r="F64" s="39" t="s">
        <v>2216</v>
      </c>
      <c r="G64" s="39" t="s">
        <v>2299</v>
      </c>
      <c r="H64" s="39" t="s">
        <v>28</v>
      </c>
      <c r="I64" s="44"/>
      <c r="J64" s="44">
        <f t="shared" ref="J64:O76" si="7">J10-J28+J46</f>
        <v>39.440000000000559</v>
      </c>
      <c r="K64" s="44">
        <f t="shared" si="7"/>
        <v>57.475495347246095</v>
      </c>
      <c r="L64" s="44">
        <f t="shared" si="7"/>
        <v>0</v>
      </c>
      <c r="M64" s="44">
        <f t="shared" si="7"/>
        <v>15.824999999999999</v>
      </c>
      <c r="N64" s="44">
        <f t="shared" si="7"/>
        <v>0</v>
      </c>
      <c r="O64" s="44">
        <f t="shared" si="7"/>
        <v>0</v>
      </c>
      <c r="P64" s="44">
        <f t="shared" si="6"/>
        <v>6.492584043034789</v>
      </c>
      <c r="Q64" s="44">
        <f t="shared" si="6"/>
        <v>11.206356896758617</v>
      </c>
      <c r="R64" s="44">
        <f t="shared" si="6"/>
        <v>11.206356896758617</v>
      </c>
      <c r="S64" s="44">
        <f t="shared" si="6"/>
        <v>11.206356896758617</v>
      </c>
      <c r="T64" s="44">
        <f t="shared" si="6"/>
        <v>11.206356896758617</v>
      </c>
      <c r="U64" s="7"/>
    </row>
    <row r="65" spans="1:21" x14ac:dyDescent="0.2">
      <c r="A65" s="39"/>
      <c r="B65" s="39"/>
      <c r="C65" s="39"/>
      <c r="D65" s="39"/>
      <c r="E65" s="39">
        <v>105</v>
      </c>
      <c r="F65" s="39" t="s">
        <v>2217</v>
      </c>
      <c r="G65" s="39" t="s">
        <v>2299</v>
      </c>
      <c r="H65" s="39" t="s">
        <v>28</v>
      </c>
      <c r="I65" s="44"/>
      <c r="J65" s="44">
        <f t="shared" si="7"/>
        <v>1662.8150595433594</v>
      </c>
      <c r="K65" s="44">
        <f t="shared" si="7"/>
        <v>2349.4765323255233</v>
      </c>
      <c r="L65" s="44">
        <f t="shared" si="7"/>
        <v>4076.3414729393453</v>
      </c>
      <c r="M65" s="44">
        <f t="shared" si="7"/>
        <v>3385.1038599999993</v>
      </c>
      <c r="N65" s="44">
        <f t="shared" si="7"/>
        <v>5318.3438250447725</v>
      </c>
      <c r="O65" s="44">
        <f t="shared" si="7"/>
        <v>3715.8547844441605</v>
      </c>
      <c r="P65" s="44">
        <f t="shared" si="6"/>
        <v>2117.3215934104614</v>
      </c>
      <c r="Q65" s="44">
        <f t="shared" si="6"/>
        <v>2912.5227426617539</v>
      </c>
      <c r="R65" s="44">
        <f t="shared" si="6"/>
        <v>2928.6537312436194</v>
      </c>
      <c r="S65" s="44">
        <f t="shared" si="6"/>
        <v>3251.2735028809179</v>
      </c>
      <c r="T65" s="44">
        <f t="shared" si="6"/>
        <v>3320.196817730704</v>
      </c>
      <c r="U65" s="7"/>
    </row>
    <row r="66" spans="1:21" x14ac:dyDescent="0.2">
      <c r="A66" s="39"/>
      <c r="B66" s="39"/>
      <c r="C66" s="39"/>
      <c r="D66" s="39"/>
      <c r="E66" s="39">
        <v>106</v>
      </c>
      <c r="F66" s="39" t="s">
        <v>2218</v>
      </c>
      <c r="G66" s="39" t="s">
        <v>2299</v>
      </c>
      <c r="H66" s="39" t="s">
        <v>28</v>
      </c>
      <c r="I66" s="44"/>
      <c r="J66" s="44">
        <f t="shared" si="7"/>
        <v>4195.1674956710976</v>
      </c>
      <c r="K66" s="44">
        <f t="shared" si="7"/>
        <v>4221.4150113604946</v>
      </c>
      <c r="L66" s="44">
        <f t="shared" si="7"/>
        <v>4329.6785401580155</v>
      </c>
      <c r="M66" s="44">
        <f t="shared" si="7"/>
        <v>5332.4844400000011</v>
      </c>
      <c r="N66" s="44">
        <f t="shared" si="7"/>
        <v>5208.3557245162074</v>
      </c>
      <c r="O66" s="44">
        <f t="shared" si="7"/>
        <v>4341.099025687884</v>
      </c>
      <c r="P66" s="44">
        <f t="shared" si="6"/>
        <v>3195.6703332181382</v>
      </c>
      <c r="Q66" s="44">
        <f t="shared" si="6"/>
        <v>5194.6246612764153</v>
      </c>
      <c r="R66" s="44">
        <f t="shared" si="6"/>
        <v>5097.6921003443113</v>
      </c>
      <c r="S66" s="44">
        <f t="shared" si="6"/>
        <v>5261.8987520725777</v>
      </c>
      <c r="T66" s="44">
        <f t="shared" si="6"/>
        <v>5346.5338985580729</v>
      </c>
      <c r="U66" s="7"/>
    </row>
    <row r="67" spans="1:21" x14ac:dyDescent="0.2">
      <c r="A67" s="39"/>
      <c r="B67" s="39"/>
      <c r="C67" s="39"/>
      <c r="D67" s="39"/>
      <c r="E67" s="39">
        <v>107</v>
      </c>
      <c r="F67" s="39" t="s">
        <v>2219</v>
      </c>
      <c r="G67" s="39" t="s">
        <v>2299</v>
      </c>
      <c r="H67" s="39" t="s">
        <v>28</v>
      </c>
      <c r="I67" s="44"/>
      <c r="J67" s="44">
        <f t="shared" si="7"/>
        <v>674.27144486242855</v>
      </c>
      <c r="K67" s="44">
        <f t="shared" si="7"/>
        <v>3470.788284319684</v>
      </c>
      <c r="L67" s="44">
        <f t="shared" si="7"/>
        <v>1128.9084044749957</v>
      </c>
      <c r="M67" s="44">
        <f t="shared" si="7"/>
        <v>651.73024999999996</v>
      </c>
      <c r="N67" s="44">
        <f t="shared" si="7"/>
        <v>2261.6770324962436</v>
      </c>
      <c r="O67" s="44">
        <f t="shared" si="7"/>
        <v>2044.9297464728713</v>
      </c>
      <c r="P67" s="44">
        <f t="shared" si="6"/>
        <v>2278.6799210622185</v>
      </c>
      <c r="Q67" s="44">
        <f t="shared" si="6"/>
        <v>2934.2671143816374</v>
      </c>
      <c r="R67" s="44">
        <f t="shared" si="6"/>
        <v>4208.5006059941643</v>
      </c>
      <c r="S67" s="44">
        <f t="shared" si="6"/>
        <v>1660.03362276911</v>
      </c>
      <c r="T67" s="44">
        <f t="shared" si="6"/>
        <v>1660.03362276911</v>
      </c>
      <c r="U67" s="7"/>
    </row>
    <row r="68" spans="1:21" x14ac:dyDescent="0.2">
      <c r="A68" s="39"/>
      <c r="B68" s="39"/>
      <c r="C68" s="39"/>
      <c r="D68" s="39"/>
      <c r="E68" s="39">
        <v>108</v>
      </c>
      <c r="F68" s="39" t="s">
        <v>2220</v>
      </c>
      <c r="G68" s="39" t="s">
        <v>2299</v>
      </c>
      <c r="H68" s="39" t="s">
        <v>28</v>
      </c>
      <c r="I68" s="44"/>
      <c r="J68" s="44">
        <f t="shared" si="7"/>
        <v>-22.919519181363409</v>
      </c>
      <c r="K68" s="44">
        <f t="shared" si="7"/>
        <v>0</v>
      </c>
      <c r="L68" s="44">
        <f t="shared" si="7"/>
        <v>0</v>
      </c>
      <c r="M68" s="44">
        <f t="shared" si="7"/>
        <v>0</v>
      </c>
      <c r="N68" s="44">
        <f t="shared" si="7"/>
        <v>0</v>
      </c>
      <c r="O68" s="44">
        <f t="shared" si="7"/>
        <v>0</v>
      </c>
      <c r="P68" s="44">
        <f t="shared" si="6"/>
        <v>0</v>
      </c>
      <c r="Q68" s="44">
        <f t="shared" si="6"/>
        <v>0</v>
      </c>
      <c r="R68" s="44">
        <f t="shared" si="6"/>
        <v>0</v>
      </c>
      <c r="S68" s="44">
        <f t="shared" si="6"/>
        <v>0</v>
      </c>
      <c r="T68" s="44">
        <f t="shared" si="6"/>
        <v>0</v>
      </c>
      <c r="U68" s="7"/>
    </row>
    <row r="69" spans="1:21" x14ac:dyDescent="0.2">
      <c r="A69" s="39"/>
      <c r="B69" s="39"/>
      <c r="C69" s="39"/>
      <c r="D69" s="39"/>
      <c r="E69" s="39">
        <v>109</v>
      </c>
      <c r="F69" s="39" t="s">
        <v>2221</v>
      </c>
      <c r="G69" s="39" t="s">
        <v>2299</v>
      </c>
      <c r="H69" s="39" t="s">
        <v>28</v>
      </c>
      <c r="I69" s="44"/>
      <c r="J69" s="44">
        <f t="shared" si="7"/>
        <v>130.27361234058515</v>
      </c>
      <c r="K69" s="44">
        <f t="shared" si="7"/>
        <v>3855.4417384457929</v>
      </c>
      <c r="L69" s="44">
        <f t="shared" si="7"/>
        <v>4862.1476666074905</v>
      </c>
      <c r="M69" s="44">
        <f t="shared" si="7"/>
        <v>4558.4018799999985</v>
      </c>
      <c r="N69" s="44">
        <f t="shared" si="7"/>
        <v>6373.4407996042364</v>
      </c>
      <c r="O69" s="44">
        <f t="shared" si="7"/>
        <v>5816.912050052124</v>
      </c>
      <c r="P69" s="44">
        <f t="shared" si="6"/>
        <v>2985.7669595131119</v>
      </c>
      <c r="Q69" s="44">
        <f t="shared" si="6"/>
        <v>5297.8226846352973</v>
      </c>
      <c r="R69" s="44">
        <f t="shared" si="6"/>
        <v>5386.9399630361422</v>
      </c>
      <c r="S69" s="44">
        <f t="shared" si="6"/>
        <v>5416.2023529588078</v>
      </c>
      <c r="T69" s="44">
        <f t="shared" si="6"/>
        <v>5448.7900144635942</v>
      </c>
      <c r="U69" s="7"/>
    </row>
    <row r="70" spans="1:21" x14ac:dyDescent="0.2">
      <c r="A70" s="39"/>
      <c r="B70" s="39"/>
      <c r="C70" s="39"/>
      <c r="D70" s="39"/>
      <c r="E70" s="39">
        <v>110</v>
      </c>
      <c r="F70" s="39" t="s">
        <v>2222</v>
      </c>
      <c r="G70" s="39" t="s">
        <v>2299</v>
      </c>
      <c r="H70" s="39" t="s">
        <v>28</v>
      </c>
      <c r="I70" s="44"/>
      <c r="J70" s="44">
        <f t="shared" si="7"/>
        <v>0</v>
      </c>
      <c r="K70" s="44">
        <f t="shared" si="7"/>
        <v>0</v>
      </c>
      <c r="L70" s="44">
        <f t="shared" si="7"/>
        <v>0</v>
      </c>
      <c r="M70" s="44">
        <f t="shared" si="7"/>
        <v>0</v>
      </c>
      <c r="N70" s="44">
        <f t="shared" si="7"/>
        <v>0</v>
      </c>
      <c r="O70" s="44">
        <f t="shared" si="7"/>
        <v>0</v>
      </c>
      <c r="P70" s="44">
        <f t="shared" si="6"/>
        <v>0</v>
      </c>
      <c r="Q70" s="44">
        <f t="shared" si="6"/>
        <v>0</v>
      </c>
      <c r="R70" s="44">
        <f t="shared" si="6"/>
        <v>0</v>
      </c>
      <c r="S70" s="44">
        <f t="shared" si="6"/>
        <v>0</v>
      </c>
      <c r="T70" s="44">
        <f t="shared" si="6"/>
        <v>0</v>
      </c>
      <c r="U70" s="7"/>
    </row>
    <row r="71" spans="1:21" x14ac:dyDescent="0.2">
      <c r="A71" s="39"/>
      <c r="B71" s="39"/>
      <c r="C71" s="39"/>
      <c r="D71" s="39"/>
      <c r="E71" s="39">
        <v>111</v>
      </c>
      <c r="F71" s="39" t="s">
        <v>2223</v>
      </c>
      <c r="G71" s="39" t="s">
        <v>2299</v>
      </c>
      <c r="H71" s="39" t="s">
        <v>28</v>
      </c>
      <c r="I71" s="44"/>
      <c r="J71" s="44">
        <f t="shared" si="7"/>
        <v>5819.5753821564713</v>
      </c>
      <c r="K71" s="44">
        <f t="shared" si="7"/>
        <v>4895.0360103566072</v>
      </c>
      <c r="L71" s="44">
        <f t="shared" si="7"/>
        <v>8339.3861609543674</v>
      </c>
      <c r="M71" s="44">
        <f t="shared" si="7"/>
        <v>10253.275529999999</v>
      </c>
      <c r="N71" s="44">
        <f t="shared" si="7"/>
        <v>11995.62286410595</v>
      </c>
      <c r="O71" s="44">
        <f t="shared" si="7"/>
        <v>10817.522734500377</v>
      </c>
      <c r="P71" s="44">
        <f t="shared" si="6"/>
        <v>4842.3726452768642</v>
      </c>
      <c r="Q71" s="44">
        <f t="shared" si="6"/>
        <v>8055.0412576212302</v>
      </c>
      <c r="R71" s="44">
        <f t="shared" si="6"/>
        <v>8757.4756240850838</v>
      </c>
      <c r="S71" s="44">
        <f t="shared" si="6"/>
        <v>9183.6803540636956</v>
      </c>
      <c r="T71" s="44">
        <f t="shared" si="6"/>
        <v>9269.3804074884774</v>
      </c>
      <c r="U71" s="7"/>
    </row>
    <row r="72" spans="1:21" x14ac:dyDescent="0.2">
      <c r="A72" s="7"/>
      <c r="B72" s="7"/>
      <c r="C72" s="7"/>
      <c r="D72" s="7"/>
      <c r="E72" s="39">
        <v>114</v>
      </c>
      <c r="F72" s="39" t="s">
        <v>2226</v>
      </c>
      <c r="G72" s="39" t="s">
        <v>31</v>
      </c>
      <c r="H72" s="39" t="s">
        <v>32</v>
      </c>
      <c r="I72" s="44"/>
      <c r="J72" s="44">
        <f t="shared" si="7"/>
        <v>0</v>
      </c>
      <c r="K72" s="44">
        <f t="shared" si="7"/>
        <v>0</v>
      </c>
      <c r="L72" s="44">
        <f t="shared" si="7"/>
        <v>0</v>
      </c>
      <c r="M72" s="44">
        <f t="shared" si="7"/>
        <v>0</v>
      </c>
      <c r="N72" s="44">
        <f t="shared" si="7"/>
        <v>0</v>
      </c>
      <c r="O72" s="44">
        <f t="shared" si="7"/>
        <v>0</v>
      </c>
      <c r="P72" s="44">
        <f t="shared" si="6"/>
        <v>0</v>
      </c>
      <c r="Q72" s="44">
        <f t="shared" si="6"/>
        <v>0</v>
      </c>
      <c r="R72" s="44">
        <f t="shared" si="6"/>
        <v>0</v>
      </c>
      <c r="S72" s="44">
        <f t="shared" si="6"/>
        <v>0</v>
      </c>
      <c r="T72" s="44">
        <f t="shared" si="6"/>
        <v>0</v>
      </c>
      <c r="U72" s="7"/>
    </row>
    <row r="73" spans="1:21" x14ac:dyDescent="0.2">
      <c r="A73" s="7"/>
      <c r="B73" s="7"/>
      <c r="C73" s="7"/>
      <c r="D73" s="7"/>
      <c r="E73" s="39">
        <v>115</v>
      </c>
      <c r="F73" s="39" t="s">
        <v>2227</v>
      </c>
      <c r="G73" s="39" t="s">
        <v>31</v>
      </c>
      <c r="H73" s="39" t="s">
        <v>32</v>
      </c>
      <c r="I73" s="44"/>
      <c r="J73" s="44">
        <f t="shared" si="7"/>
        <v>0</v>
      </c>
      <c r="K73" s="44">
        <f t="shared" si="7"/>
        <v>0</v>
      </c>
      <c r="L73" s="44">
        <f t="shared" si="7"/>
        <v>0</v>
      </c>
      <c r="M73" s="44">
        <f t="shared" si="7"/>
        <v>0</v>
      </c>
      <c r="N73" s="44">
        <f t="shared" si="7"/>
        <v>0</v>
      </c>
      <c r="O73" s="44">
        <f t="shared" si="7"/>
        <v>0</v>
      </c>
      <c r="P73" s="44">
        <f t="shared" si="6"/>
        <v>0</v>
      </c>
      <c r="Q73" s="44">
        <f t="shared" si="6"/>
        <v>0</v>
      </c>
      <c r="R73" s="44">
        <f t="shared" si="6"/>
        <v>0</v>
      </c>
      <c r="S73" s="44">
        <f t="shared" si="6"/>
        <v>0</v>
      </c>
      <c r="T73" s="44">
        <f t="shared" si="6"/>
        <v>0</v>
      </c>
      <c r="U73" s="7"/>
    </row>
    <row r="74" spans="1:21" x14ac:dyDescent="0.2">
      <c r="A74" s="7"/>
      <c r="B74" s="7"/>
      <c r="C74" s="7"/>
      <c r="D74" s="7"/>
      <c r="E74" s="39">
        <v>116</v>
      </c>
      <c r="F74" s="39" t="s">
        <v>2228</v>
      </c>
      <c r="G74" s="39" t="s">
        <v>2299</v>
      </c>
      <c r="H74" s="39" t="s">
        <v>28</v>
      </c>
      <c r="I74" s="7"/>
      <c r="J74" s="44">
        <f t="shared" si="7"/>
        <v>12965.276711264036</v>
      </c>
      <c r="K74" s="44">
        <f t="shared" si="7"/>
        <v>24652.362710099711</v>
      </c>
      <c r="L74" s="44">
        <f t="shared" si="7"/>
        <v>22036.12266353815</v>
      </c>
      <c r="M74" s="44">
        <f t="shared" si="7"/>
        <v>25315.075160000008</v>
      </c>
      <c r="N74" s="44">
        <f t="shared" si="7"/>
        <v>20860.801043536332</v>
      </c>
      <c r="O74" s="44">
        <f t="shared" si="7"/>
        <v>31831.143820977122</v>
      </c>
      <c r="P74" s="44">
        <f t="shared" si="6"/>
        <v>21781.449220049071</v>
      </c>
      <c r="Q74" s="44">
        <f t="shared" si="6"/>
        <v>35179.317264400124</v>
      </c>
      <c r="R74" s="44">
        <f t="shared" si="6"/>
        <v>25429.217119378824</v>
      </c>
      <c r="S74" s="44">
        <f t="shared" si="6"/>
        <v>25597.919066830953</v>
      </c>
      <c r="T74" s="44">
        <f t="shared" si="6"/>
        <v>25671.267739636227</v>
      </c>
      <c r="U74" s="7"/>
    </row>
    <row r="75" spans="1:21" x14ac:dyDescent="0.2">
      <c r="A75" s="7"/>
      <c r="B75" s="7"/>
      <c r="C75" s="7"/>
      <c r="D75" s="7"/>
      <c r="E75" s="39">
        <v>118</v>
      </c>
      <c r="F75" s="39" t="s">
        <v>2229</v>
      </c>
      <c r="G75" s="39" t="s">
        <v>2299</v>
      </c>
      <c r="H75" s="39" t="s">
        <v>28</v>
      </c>
      <c r="I75" s="7"/>
      <c r="J75" s="44">
        <f t="shared" si="7"/>
        <v>159.64052258426608</v>
      </c>
      <c r="K75" s="44">
        <f t="shared" si="7"/>
        <v>24.339004933980867</v>
      </c>
      <c r="L75" s="44">
        <f t="shared" si="7"/>
        <v>101.8085502620596</v>
      </c>
      <c r="M75" s="44">
        <f t="shared" si="7"/>
        <v>13.268459999999999</v>
      </c>
      <c r="N75" s="44">
        <f t="shared" si="7"/>
        <v>21.73581077445181</v>
      </c>
      <c r="O75" s="44">
        <f t="shared" si="7"/>
        <v>7.6956505706648928</v>
      </c>
      <c r="P75" s="44">
        <f t="shared" si="6"/>
        <v>17.07404786840943</v>
      </c>
      <c r="Q75" s="44">
        <f t="shared" si="6"/>
        <v>29.470219071095901</v>
      </c>
      <c r="R75" s="44">
        <f t="shared" si="6"/>
        <v>29.470219071095901</v>
      </c>
      <c r="S75" s="44">
        <f t="shared" si="6"/>
        <v>29.470219071095901</v>
      </c>
      <c r="T75" s="44">
        <f t="shared" si="6"/>
        <v>29.470219071095901</v>
      </c>
      <c r="U75" s="7"/>
    </row>
    <row r="76" spans="1:21" x14ac:dyDescent="0.2">
      <c r="A76" s="7"/>
      <c r="B76" s="7"/>
      <c r="C76" s="7"/>
      <c r="D76" s="7"/>
      <c r="E76" s="39">
        <v>121</v>
      </c>
      <c r="F76" s="39" t="s">
        <v>2232</v>
      </c>
      <c r="G76" s="39" t="s">
        <v>2299</v>
      </c>
      <c r="H76" s="39" t="s">
        <v>28</v>
      </c>
      <c r="I76" s="7"/>
      <c r="J76" s="93">
        <f t="shared" si="7"/>
        <v>0</v>
      </c>
      <c r="K76" s="93">
        <f t="shared" si="7"/>
        <v>0</v>
      </c>
      <c r="L76" s="93">
        <f t="shared" si="7"/>
        <v>101.71771885978418</v>
      </c>
      <c r="M76" s="93">
        <f t="shared" si="7"/>
        <v>36.464829999999999</v>
      </c>
      <c r="N76" s="93">
        <f t="shared" si="7"/>
        <v>0</v>
      </c>
      <c r="O76" s="93">
        <f t="shared" si="7"/>
        <v>0</v>
      </c>
      <c r="P76" s="93">
        <f t="shared" si="6"/>
        <v>0</v>
      </c>
      <c r="Q76" s="93">
        <f t="shared" si="6"/>
        <v>0</v>
      </c>
      <c r="R76" s="93">
        <f t="shared" si="6"/>
        <v>0</v>
      </c>
      <c r="S76" s="93">
        <f t="shared" si="6"/>
        <v>0</v>
      </c>
      <c r="T76" s="93">
        <f t="shared" si="6"/>
        <v>0</v>
      </c>
      <c r="U76" s="7"/>
    </row>
    <row r="77" spans="1:21" x14ac:dyDescent="0.2">
      <c r="A77" s="7"/>
      <c r="B77" s="7"/>
      <c r="C77" s="7"/>
      <c r="D77" s="7"/>
      <c r="E77" s="60" t="s">
        <v>2365</v>
      </c>
      <c r="F77" s="89"/>
      <c r="G77" s="89"/>
      <c r="H77" s="89"/>
      <c r="I77" s="90"/>
      <c r="J77" s="91">
        <f>SUM(J63:J76)</f>
        <v>25835.404809944488</v>
      </c>
      <c r="K77" s="91">
        <f t="shared" ref="K77:T77" si="8">SUM(K63:K76)</f>
        <v>44293.575794966862</v>
      </c>
      <c r="L77" s="91">
        <f t="shared" si="8"/>
        <v>46075.735656655255</v>
      </c>
      <c r="M77" s="91">
        <f t="shared" si="8"/>
        <v>51709.904069999997</v>
      </c>
      <c r="N77" s="91">
        <f t="shared" si="8"/>
        <v>53976.235237169945</v>
      </c>
      <c r="O77" s="91">
        <f t="shared" si="8"/>
        <v>60479.137891112856</v>
      </c>
      <c r="P77" s="132">
        <f t="shared" si="8"/>
        <v>38030.828942055457</v>
      </c>
      <c r="Q77" s="132">
        <f t="shared" si="8"/>
        <v>61044.322000759188</v>
      </c>
      <c r="R77" s="132">
        <f t="shared" si="8"/>
        <v>53303.208959086507</v>
      </c>
      <c r="S77" s="132">
        <f t="shared" si="8"/>
        <v>51873.619225727824</v>
      </c>
      <c r="T77" s="132">
        <f t="shared" si="8"/>
        <v>52227.591488393919</v>
      </c>
      <c r="U77" s="7"/>
    </row>
    <row r="78" spans="1:21" x14ac:dyDescent="0.2">
      <c r="A78" s="7"/>
      <c r="B78" s="7"/>
      <c r="C78" s="7"/>
      <c r="D78" s="7"/>
      <c r="E78" s="39"/>
      <c r="F78" s="39"/>
      <c r="G78" s="39"/>
      <c r="H78" s="39"/>
      <c r="I78" s="7"/>
      <c r="J78" s="7"/>
      <c r="K78" s="7"/>
      <c r="L78" s="7"/>
      <c r="M78" s="65"/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146">
        <v>0</v>
      </c>
      <c r="U78" s="7"/>
    </row>
    <row r="79" spans="1:21" x14ac:dyDescent="0.2">
      <c r="A79" s="7"/>
      <c r="B79" s="7"/>
      <c r="C79" s="7"/>
      <c r="D79" s="7"/>
      <c r="E79" s="39"/>
      <c r="F79" s="39"/>
      <c r="G79" s="39"/>
      <c r="H79" s="39"/>
      <c r="I79" s="7"/>
      <c r="J79" s="130"/>
      <c r="K79" s="130"/>
      <c r="L79" s="130"/>
      <c r="M79" s="130"/>
      <c r="N79" s="130"/>
      <c r="O79" s="130"/>
      <c r="P79" s="7"/>
      <c r="Q79" s="7"/>
      <c r="R79" s="7"/>
      <c r="S79" s="7"/>
      <c r="T79" s="7"/>
      <c r="U79" s="7"/>
    </row>
    <row r="80" spans="1:21" x14ac:dyDescent="0.2">
      <c r="A80" s="7"/>
      <c r="B80" s="7"/>
      <c r="C80" s="7"/>
      <c r="D80" s="7"/>
      <c r="E80" s="39"/>
      <c r="F80" s="39"/>
      <c r="G80" s="39"/>
      <c r="H80" s="39"/>
      <c r="I80" s="7"/>
      <c r="J80" s="7"/>
      <c r="K80" s="7"/>
      <c r="L80" s="7"/>
      <c r="M80" s="7"/>
      <c r="N80" s="7"/>
      <c r="O80" s="7"/>
      <c r="P80" s="65"/>
      <c r="Q80" s="65"/>
      <c r="R80" s="65"/>
      <c r="S80" s="65"/>
      <c r="T80" s="65"/>
      <c r="U80" s="7"/>
    </row>
    <row r="81" spans="1:21" x14ac:dyDescent="0.2">
      <c r="A81" s="7"/>
      <c r="B81" s="7"/>
      <c r="C81" s="7"/>
      <c r="D81" s="7"/>
      <c r="E81" s="39"/>
      <c r="F81" s="39"/>
      <c r="G81" s="39"/>
      <c r="H81" s="39"/>
      <c r="I81" s="7"/>
      <c r="J81" s="102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</row>
    <row r="82" spans="1:21" hidden="1" x14ac:dyDescent="0.2">
      <c r="A82" s="7"/>
      <c r="B82" s="7"/>
      <c r="C82" s="7"/>
      <c r="D82" s="7"/>
      <c r="E82" s="39"/>
      <c r="F82" s="39"/>
      <c r="G82" s="39"/>
      <c r="H82" s="39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</row>
    <row r="83" spans="1:21" hidden="1" x14ac:dyDescent="0.2">
      <c r="A83" s="7"/>
      <c r="B83" s="7"/>
      <c r="C83" s="7"/>
      <c r="D83" s="7"/>
      <c r="E83" s="9"/>
      <c r="F83" s="39"/>
      <c r="G83" s="39"/>
      <c r="H83" s="39"/>
      <c r="I83" s="7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7"/>
    </row>
    <row r="84" spans="1:21" hidden="1" x14ac:dyDescent="0.2">
      <c r="A84" s="7"/>
      <c r="B84" s="7"/>
      <c r="C84" s="7"/>
      <c r="D84" s="7"/>
      <c r="E84" s="39"/>
      <c r="F84" s="39"/>
      <c r="G84" s="39"/>
      <c r="H84" s="39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</row>
    <row r="85" spans="1:21" hidden="1" x14ac:dyDescent="0.2">
      <c r="A85" s="7"/>
      <c r="B85" s="7"/>
      <c r="C85" s="7"/>
      <c r="D85" s="7"/>
      <c r="E85" s="39"/>
      <c r="F85" s="39"/>
      <c r="G85" s="39"/>
      <c r="H85" s="39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</row>
    <row r="86" spans="1:21" hidden="1" x14ac:dyDescent="0.2">
      <c r="A86" s="7"/>
      <c r="B86" s="7"/>
      <c r="C86" s="7"/>
      <c r="D86" s="7"/>
      <c r="E86" s="39"/>
      <c r="F86" s="39"/>
      <c r="G86" s="39"/>
      <c r="H86" s="39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</row>
    <row r="87" spans="1:21" hidden="1" x14ac:dyDescent="0.2">
      <c r="A87" s="7"/>
      <c r="B87" s="7"/>
      <c r="C87" s="7"/>
      <c r="D87" s="7"/>
      <c r="E87" s="39"/>
      <c r="F87" s="39"/>
      <c r="G87" s="39"/>
      <c r="H87" s="39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</row>
    <row r="88" spans="1:21" hidden="1" x14ac:dyDescent="0.2">
      <c r="A88" s="7"/>
      <c r="B88" s="7"/>
      <c r="C88" s="7"/>
      <c r="D88" s="7"/>
      <c r="E88" s="39"/>
      <c r="F88" s="39"/>
      <c r="G88" s="39"/>
      <c r="H88" s="39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</row>
    <row r="89" spans="1:21" hidden="1" x14ac:dyDescent="0.2">
      <c r="A89" s="7"/>
      <c r="B89" s="7"/>
      <c r="C89" s="7"/>
      <c r="D89" s="7"/>
      <c r="E89" s="39"/>
      <c r="F89" s="39"/>
      <c r="G89" s="39"/>
      <c r="H89" s="39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</row>
    <row r="90" spans="1:21" hidden="1" x14ac:dyDescent="0.2">
      <c r="A90" s="7"/>
      <c r="B90" s="7"/>
      <c r="C90" s="7"/>
      <c r="D90" s="7"/>
      <c r="E90" s="39"/>
      <c r="F90" s="39"/>
      <c r="G90" s="39"/>
      <c r="H90" s="39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</row>
    <row r="91" spans="1:21" hidden="1" x14ac:dyDescent="0.2">
      <c r="A91" s="7"/>
      <c r="B91" s="7"/>
      <c r="C91" s="7"/>
      <c r="D91" s="7"/>
      <c r="E91" s="39"/>
      <c r="F91" s="39"/>
      <c r="G91" s="39"/>
      <c r="H91" s="39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</row>
    <row r="92" spans="1:21" hidden="1" x14ac:dyDescent="0.2">
      <c r="A92" s="7"/>
      <c r="B92" s="7"/>
      <c r="C92" s="7"/>
      <c r="D92" s="7"/>
      <c r="E92" s="39"/>
      <c r="F92" s="39"/>
      <c r="G92" s="39"/>
      <c r="H92" s="39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</row>
    <row r="93" spans="1:21" hidden="1" x14ac:dyDescent="0.2">
      <c r="A93" s="7"/>
      <c r="B93" s="7"/>
      <c r="C93" s="7"/>
      <c r="D93" s="7"/>
      <c r="E93" s="39"/>
      <c r="F93" s="39"/>
      <c r="G93" s="39"/>
      <c r="H93" s="39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</row>
    <row r="94" spans="1:21" hidden="1" x14ac:dyDescent="0.2">
      <c r="A94" s="7"/>
      <c r="B94" s="7"/>
      <c r="C94" s="7"/>
      <c r="D94" s="7"/>
      <c r="E94" s="39"/>
      <c r="F94" s="39"/>
      <c r="G94" s="39"/>
      <c r="H94" s="39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</row>
    <row r="95" spans="1:21" hidden="1" x14ac:dyDescent="0.2">
      <c r="A95" s="7"/>
      <c r="B95" s="7"/>
      <c r="C95" s="7"/>
      <c r="D95" s="7"/>
      <c r="E95" s="39"/>
      <c r="F95" s="39"/>
      <c r="G95" s="39"/>
      <c r="H95" s="39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</row>
    <row r="96" spans="1:21" hidden="1" x14ac:dyDescent="0.2">
      <c r="A96" s="7"/>
      <c r="B96" s="7"/>
      <c r="C96" s="7"/>
      <c r="D96" s="7"/>
      <c r="E96" s="39"/>
      <c r="F96" s="39"/>
      <c r="G96" s="39"/>
      <c r="H96" s="39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</row>
    <row r="97" spans="1:21" hidden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</row>
    <row r="98" spans="1:21" hidden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</row>
    <row r="99" spans="1:21" hidden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</row>
    <row r="100" spans="1:21" hidden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</row>
    <row r="101" spans="1:21" hidden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</row>
    <row r="102" spans="1:21" hidden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</row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CC"/>
  </sheetPr>
  <dimension ref="A1:V64"/>
  <sheetViews>
    <sheetView zoomScale="85" zoomScaleNormal="85" workbookViewId="0">
      <pane ySplit="5" topLeftCell="A6" activePane="bottomLeft" state="frozen"/>
      <selection activeCell="E48" sqref="E48"/>
      <selection pane="bottomLeft" activeCell="K9" sqref="K9"/>
    </sheetView>
  </sheetViews>
  <sheetFormatPr defaultColWidth="0" defaultRowHeight="12.75" zeroHeight="1" x14ac:dyDescent="0.2"/>
  <cols>
    <col min="1" max="1" width="2.5" style="7" customWidth="1"/>
    <col min="2" max="4" width="2.375" style="7" customWidth="1"/>
    <col min="5" max="5" width="25.375" style="7" bestFit="1" customWidth="1"/>
    <col min="6" max="7" width="20.5" style="7" bestFit="1" customWidth="1"/>
    <col min="8" max="13" width="10.25" style="7" customWidth="1"/>
    <col min="14" max="16384" width="9" style="7" hidden="1"/>
  </cols>
  <sheetData>
    <row r="1" spans="1:22" customFormat="1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19"/>
      <c r="J1" s="19"/>
      <c r="K1" s="20"/>
      <c r="L1" s="20"/>
      <c r="M1" s="17"/>
    </row>
    <row r="2" spans="1:22" customFormat="1" x14ac:dyDescent="0.2">
      <c r="A2" s="22" t="str">
        <f ca="1" xml:space="preserve"> "Sheet: " &amp; RIGHT(CELL("filename", $A$1), LEN(CELL("filename", $A$1)) - SEARCH("]", CELL("filename", $A$1)))</f>
        <v>Sheet: Input|Provisions</v>
      </c>
      <c r="B2" s="22"/>
      <c r="C2" s="15"/>
      <c r="D2" s="16"/>
      <c r="E2" s="17"/>
      <c r="F2" s="17"/>
      <c r="G2" s="17"/>
      <c r="H2" s="17"/>
      <c r="I2" s="23"/>
      <c r="J2" s="23"/>
      <c r="K2" s="20"/>
      <c r="L2" s="20"/>
      <c r="M2" s="17"/>
    </row>
    <row r="3" spans="1:22" customFormat="1" x14ac:dyDescent="0.2">
      <c r="A3" s="22" t="s">
        <v>0</v>
      </c>
      <c r="B3" s="22"/>
      <c r="C3" s="15"/>
      <c r="D3" s="16"/>
      <c r="E3" s="16"/>
      <c r="F3" s="16"/>
      <c r="G3" s="16"/>
      <c r="H3" s="17"/>
      <c r="I3" s="16"/>
      <c r="J3" s="16"/>
      <c r="K3" s="16"/>
      <c r="L3" s="16"/>
      <c r="M3" s="17"/>
    </row>
    <row r="4" spans="1:22" customFormat="1" x14ac:dyDescent="0.2">
      <c r="A4" s="22"/>
      <c r="B4" s="22"/>
      <c r="C4" s="15"/>
      <c r="D4" s="16"/>
      <c r="E4" s="17"/>
      <c r="F4" s="17"/>
      <c r="G4" s="17"/>
      <c r="H4" s="17"/>
      <c r="I4" s="23"/>
      <c r="J4" s="23"/>
      <c r="K4" s="20"/>
      <c r="L4" s="20"/>
      <c r="M4" s="17"/>
    </row>
    <row r="5" spans="1:22" customFormat="1" x14ac:dyDescent="0.2">
      <c r="A5" s="22"/>
      <c r="B5" s="22"/>
      <c r="C5" s="22"/>
      <c r="D5" s="22"/>
      <c r="E5" s="22"/>
      <c r="F5" s="16"/>
      <c r="G5" s="16"/>
      <c r="H5" s="17"/>
      <c r="I5" s="31">
        <v>2015</v>
      </c>
      <c r="J5" s="31">
        <v>2016</v>
      </c>
      <c r="K5" s="31">
        <v>2017</v>
      </c>
      <c r="L5" s="31">
        <v>2018</v>
      </c>
      <c r="M5" s="17"/>
    </row>
    <row r="6" spans="1:22" customFormat="1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</row>
    <row r="7" spans="1:22" customFormat="1" x14ac:dyDescent="0.2">
      <c r="A7" s="22" t="s">
        <v>2373</v>
      </c>
      <c r="B7" s="22"/>
      <c r="C7" s="15"/>
      <c r="D7" s="24"/>
      <c r="E7" s="25"/>
      <c r="F7" s="25"/>
      <c r="G7" s="25"/>
      <c r="H7" s="25"/>
      <c r="I7" s="57" t="s">
        <v>2437</v>
      </c>
      <c r="J7" s="57" t="s">
        <v>2437</v>
      </c>
      <c r="K7" s="57" t="s">
        <v>2437</v>
      </c>
      <c r="L7" s="57" t="s">
        <v>2437</v>
      </c>
      <c r="M7" s="25"/>
    </row>
    <row r="8" spans="1:22" x14ac:dyDescent="0.2">
      <c r="G8" s="44"/>
      <c r="H8" s="44"/>
    </row>
    <row r="9" spans="1:22" x14ac:dyDescent="0.2">
      <c r="D9" s="9"/>
      <c r="E9" s="86" t="s">
        <v>2374</v>
      </c>
      <c r="F9" s="86"/>
      <c r="G9" s="86"/>
      <c r="H9" s="44"/>
      <c r="I9" s="41">
        <v>0.41897412980932847</v>
      </c>
      <c r="J9" s="128">
        <v>0.10296206498733032</v>
      </c>
      <c r="K9" s="41">
        <v>-13.661440533990302</v>
      </c>
      <c r="L9" s="41">
        <v>1.2083652521507315</v>
      </c>
    </row>
    <row r="10" spans="1:22" x14ac:dyDescent="0.2">
      <c r="D10" s="86"/>
      <c r="E10" s="39"/>
      <c r="F10" s="86"/>
      <c r="G10" s="86"/>
      <c r="H10" s="44"/>
      <c r="I10" s="44"/>
      <c r="J10" s="44"/>
      <c r="K10" s="44"/>
      <c r="L10" s="44"/>
    </row>
    <row r="11" spans="1:22" s="13" customFormat="1" x14ac:dyDescent="0.2">
      <c r="A11" s="59" t="s">
        <v>2330</v>
      </c>
      <c r="I11" s="63" t="s">
        <v>2437</v>
      </c>
      <c r="J11" s="63" t="s">
        <v>2437</v>
      </c>
      <c r="K11" s="63" t="s">
        <v>2437</v>
      </c>
      <c r="L11" s="63" t="s">
        <v>2437</v>
      </c>
      <c r="M11" s="63"/>
      <c r="N11" s="63" t="s">
        <v>2334</v>
      </c>
      <c r="O11" s="63" t="s">
        <v>2334</v>
      </c>
      <c r="P11" s="63" t="s">
        <v>2334</v>
      </c>
      <c r="Q11" s="63" t="s">
        <v>2334</v>
      </c>
      <c r="R11" s="63" t="s">
        <v>2334</v>
      </c>
      <c r="S11" s="63" t="s">
        <v>2334</v>
      </c>
      <c r="T11" s="63" t="s">
        <v>2334</v>
      </c>
      <c r="U11" s="63" t="s">
        <v>2334</v>
      </c>
      <c r="V11" s="63" t="s">
        <v>2334</v>
      </c>
    </row>
    <row r="12" spans="1:22" x14ac:dyDescent="0.2">
      <c r="D12" s="86"/>
      <c r="E12" s="86"/>
      <c r="F12" s="86"/>
      <c r="G12" s="86"/>
      <c r="H12" s="44"/>
      <c r="I12" s="44"/>
      <c r="J12" s="44"/>
      <c r="K12" s="44"/>
      <c r="L12" s="44"/>
    </row>
    <row r="13" spans="1:22" x14ac:dyDescent="0.2">
      <c r="D13" s="86"/>
      <c r="E13" s="86" t="s">
        <v>2307</v>
      </c>
      <c r="F13" s="86"/>
      <c r="G13" s="86"/>
      <c r="H13" s="44"/>
      <c r="I13" s="44">
        <f>(SUMPRODUCT(--('Calc|Consolidated Capex'!$H$98:$H$182="SCS"),'Calc|Consolidated Capex'!I$98:I$182)/1000*'Calc|Weightings'!$AQ127+SUMPRODUCT(--('Input|VBRC Calc'!$G$28:$G$34=$E13),'Input|VBRC Calc'!I$28:I$34)/1000)*HLOOKUP(I$5,Inflation!$L$11:$V$23,13,0)</f>
        <v>43.120864312539389</v>
      </c>
      <c r="J13" s="44">
        <f>(SUMPRODUCT(--('Calc|Consolidated Capex'!$H$98:$H$182="SCS"),'Calc|Consolidated Capex'!J$98:J$182)/1000*'Calc|Weightings'!$AQ127+SUMPRODUCT(--('Input|VBRC Calc'!$G$28:$G$34=$E13),'Input|VBRC Calc'!J$28:J$34)/1000)*HLOOKUP(J$5,Inflation!$L$11:$V$23,13,0)</f>
        <v>35.244131775872155</v>
      </c>
      <c r="K13" s="44">
        <f>(SUMPRODUCT(--('Calc|Consolidated Capex'!$H$98:$H$182="SCS"),'Calc|Consolidated Capex'!K$98:K$182)/1000*'Calc|Weightings'!$AQ127+SUMPRODUCT(--('Input|VBRC Calc'!$G$28:$G$34=$E13),'Input|VBRC Calc'!K$28:K$34)/1000)*HLOOKUP(K$5,Inflation!$L$11:$V$23,13,0)</f>
        <v>35.268352332022133</v>
      </c>
      <c r="L13" s="44">
        <f>(SUMPRODUCT(--('Calc|Consolidated Capex'!$H$98:$H$182="SCS"),'Calc|Consolidated Capex'!L$98:L$182)/1000*'Calc|Weightings'!$AQ127+SUMPRODUCT(--('Input|VBRC Calc'!$G$28:$G$34=$E13),'Input|VBRC Calc'!L$28:L$34)/1000)*HLOOKUP(L$5,Inflation!$L$11:$V$23,13,0)</f>
        <v>40.429787806457938</v>
      </c>
    </row>
    <row r="14" spans="1:22" x14ac:dyDescent="0.2">
      <c r="D14" s="9"/>
      <c r="E14" s="86" t="s">
        <v>2310</v>
      </c>
      <c r="F14" s="86"/>
      <c r="G14" s="86"/>
      <c r="H14" s="44"/>
      <c r="I14" s="44">
        <f>(SUMPRODUCT(--('Calc|Consolidated Capex'!$H$98:$H$182="SCS"),'Calc|Consolidated Capex'!I$98:I$182)/1000*'Calc|Weightings'!$AQ128+SUMPRODUCT(--('Input|VBRC Calc'!$G$28:$G$34=$E14),'Input|VBRC Calc'!I$28:I$34)/1000)*HLOOKUP(I$5,Inflation!$L$11:$V$23,13,0)</f>
        <v>109.94983449886439</v>
      </c>
      <c r="J14" s="44">
        <f>(SUMPRODUCT(--('Calc|Consolidated Capex'!$H$98:$H$182="SCS"),'Calc|Consolidated Capex'!J$98:J$182)/1000*'Calc|Weightings'!$AQ128+SUMPRODUCT(--('Input|VBRC Calc'!$G$28:$G$34=$E14),'Input|VBRC Calc'!J$28:J$34)/1000)*HLOOKUP(J$5,Inflation!$L$11:$V$23,13,0)</f>
        <v>89.865695356353257</v>
      </c>
      <c r="K14" s="44">
        <f>(SUMPRODUCT(--('Calc|Consolidated Capex'!$H$98:$H$182="SCS"),'Calc|Consolidated Capex'!K$98:K$182)/1000*'Calc|Weightings'!$AQ128+SUMPRODUCT(--('Input|VBRC Calc'!$G$28:$G$34=$E14),'Input|VBRC Calc'!K$28:K$34)/1000)*HLOOKUP(K$5,Inflation!$L$11:$V$23,13,0)</f>
        <v>89.927453073472734</v>
      </c>
      <c r="L14" s="44">
        <f>(SUMPRODUCT(--('Calc|Consolidated Capex'!$H$98:$H$182="SCS"),'Calc|Consolidated Capex'!L$98:L$182)/1000*'Calc|Weightings'!$AQ128+SUMPRODUCT(--('Input|VBRC Calc'!$G$28:$G$34=$E14),'Input|VBRC Calc'!L$28:L$34)/1000)*HLOOKUP(L$5,Inflation!$L$11:$V$23,13,0)</f>
        <v>103.12818416766022</v>
      </c>
    </row>
    <row r="15" spans="1:22" x14ac:dyDescent="0.2">
      <c r="D15" s="86"/>
      <c r="E15" s="39" t="s">
        <v>2311</v>
      </c>
      <c r="F15" s="86"/>
      <c r="G15" s="86"/>
      <c r="H15" s="44"/>
      <c r="I15" s="44">
        <f>(SUMPRODUCT(--('Calc|Consolidated Capex'!$H$98:$H$182=$E15),'Calc|Consolidated Capex'!I$98:I$182)/1000+SUMPRODUCT(--('Input|VBRC Calc'!$G$28:$G$34=$E15),'Input|VBRC Calc'!I$28:I$34)/1000)*HLOOKUP(I$5,Inflation!$L$11:$V$23,13,0)</f>
        <v>0</v>
      </c>
      <c r="J15" s="44">
        <f>(SUMPRODUCT(--('Calc|Consolidated Capex'!$H$98:$H$182=$E15),'Calc|Consolidated Capex'!J$98:J$182)/1000+SUMPRODUCT(--('Input|VBRC Calc'!$G$28:$G$34=$E15),'Input|VBRC Calc'!J$28:J$34)/1000)*HLOOKUP(J$5,Inflation!$L$11:$V$23,13,0)</f>
        <v>0</v>
      </c>
      <c r="K15" s="44">
        <f>(SUMPRODUCT(--('Calc|Consolidated Capex'!$H$98:$H$182=$E15),'Calc|Consolidated Capex'!K$98:K$182)/1000+SUMPRODUCT(--('Input|VBRC Calc'!$G$28:$G$34=$E15),'Input|VBRC Calc'!K$28:K$34)/1000)*HLOOKUP(K$5,Inflation!$L$11:$V$23,13,0)</f>
        <v>0</v>
      </c>
      <c r="L15" s="44">
        <f>(SUMPRODUCT(--('Calc|Consolidated Capex'!$H$98:$H$182=$E15),'Calc|Consolidated Capex'!L$98:L$182)/1000+SUMPRODUCT(--('Input|VBRC Calc'!$G$28:$G$34=$E15),'Input|VBRC Calc'!L$28:L$34)/1000)*HLOOKUP(L$5,Inflation!$L$11:$V$23,13,0)</f>
        <v>0</v>
      </c>
    </row>
    <row r="16" spans="1:22" x14ac:dyDescent="0.2">
      <c r="D16" s="86"/>
      <c r="E16" s="86" t="s">
        <v>2312</v>
      </c>
      <c r="F16" s="86"/>
      <c r="G16" s="86"/>
      <c r="H16" s="44"/>
      <c r="I16" s="44">
        <f>(SUMPRODUCT(--('Calc|Consolidated Capex'!$H$98:$H$182=$E16),'Calc|Consolidated Capex'!I$98:I$182)/1000+SUMPRODUCT(--('Input|VBRC Calc'!$G$28:$G$34=$E16),'Input|VBRC Calc'!I$28:I$34)/1000)*HLOOKUP(I$5,Inflation!$L$11:$V$23,13,0)</f>
        <v>0</v>
      </c>
      <c r="J16" s="44">
        <f>(SUMPRODUCT(--('Calc|Consolidated Capex'!$H$98:$H$182=$E16),'Calc|Consolidated Capex'!J$98:J$182)/1000+SUMPRODUCT(--('Input|VBRC Calc'!$G$28:$G$34=$E16),'Input|VBRC Calc'!J$28:J$34)/1000)*HLOOKUP(J$5,Inflation!$L$11:$V$23,13,0)</f>
        <v>0</v>
      </c>
      <c r="K16" s="44">
        <f>(SUMPRODUCT(--('Calc|Consolidated Capex'!$H$98:$H$182=$E16),'Calc|Consolidated Capex'!K$98:K$182)/1000+SUMPRODUCT(--('Input|VBRC Calc'!$G$28:$G$34=$E16),'Input|VBRC Calc'!K$28:K$34)/1000)*HLOOKUP(K$5,Inflation!$L$11:$V$23,13,0)</f>
        <v>0</v>
      </c>
      <c r="L16" s="44">
        <f>(SUMPRODUCT(--('Calc|Consolidated Capex'!$H$98:$H$182=$E16),'Calc|Consolidated Capex'!L$98:L$182)/1000+SUMPRODUCT(--('Input|VBRC Calc'!$G$28:$G$34=$E16),'Input|VBRC Calc'!L$28:L$34)/1000)*HLOOKUP(L$5,Inflation!$L$11:$V$23,13,0)</f>
        <v>0</v>
      </c>
    </row>
    <row r="17" spans="4:12" x14ac:dyDescent="0.2">
      <c r="D17" s="86"/>
      <c r="E17" s="86" t="s">
        <v>2309</v>
      </c>
      <c r="F17" s="86"/>
      <c r="G17" s="86"/>
      <c r="H17" s="44"/>
      <c r="I17" s="44">
        <f>(SUMPRODUCT(--('Calc|Consolidated Capex'!$H$98:$H$182=$E17),'Calc|Consolidated Capex'!I$98:I$182)/1000+SUMPRODUCT(--('Input|VBRC Calc'!$G$28:$G$34=$E17),'Input|VBRC Calc'!I$28:I$34)/1000)*HLOOKUP(I$5,Inflation!$L$11:$V$23,13,0)</f>
        <v>5.0714449050329309</v>
      </c>
      <c r="J17" s="44">
        <f>(SUMPRODUCT(--('Calc|Consolidated Capex'!$H$98:$H$182=$E17),'Calc|Consolidated Capex'!J$98:J$182)/1000+SUMPRODUCT(--('Input|VBRC Calc'!$G$28:$G$34=$E17),'Input|VBRC Calc'!J$28:J$34)/1000)*HLOOKUP(J$5,Inflation!$L$11:$V$23,13,0)</f>
        <v>5.9736146264022105</v>
      </c>
      <c r="K17" s="44">
        <f>(SUMPRODUCT(--('Calc|Consolidated Capex'!$H$98:$H$182=$E17),'Calc|Consolidated Capex'!K$98:K$182)/1000+SUMPRODUCT(--('Input|VBRC Calc'!$G$28:$G$34=$E17),'Input|VBRC Calc'!K$28:K$34)/1000)*HLOOKUP(K$5,Inflation!$L$11:$V$23,13,0)</f>
        <v>5.0780292347555571</v>
      </c>
      <c r="L17" s="44">
        <f>(SUMPRODUCT(--('Calc|Consolidated Capex'!$H$98:$H$182=$E17),'Calc|Consolidated Capex'!L$98:L$182)/1000+SUMPRODUCT(--('Input|VBRC Calc'!$G$28:$G$34=$E17),'Input|VBRC Calc'!L$28:L$34)/1000)*HLOOKUP(L$5,Inflation!$L$11:$V$23,13,0)</f>
        <v>4.5348256096332742</v>
      </c>
    </row>
    <row r="18" spans="4:12" x14ac:dyDescent="0.2">
      <c r="D18" s="86"/>
      <c r="E18" s="86" t="s">
        <v>2301</v>
      </c>
      <c r="F18" s="86"/>
      <c r="G18" s="86"/>
      <c r="H18" s="96"/>
      <c r="I18" s="44">
        <f>(SUMPRODUCT(--('Calc|Consolidated Capex'!$H$98:$H$182=$E18),'Calc|Consolidated Capex'!I$98:I$182)/1000+SUMPRODUCT(--('Input|VBRC Calc'!$G$28:$G$34=$E18),'Input|VBRC Calc'!I$28:I$34)/1000)*HLOOKUP(I$5,Inflation!$L$11:$V$23,13,0)</f>
        <v>22.512743731983633</v>
      </c>
      <c r="J18" s="44">
        <f>(SUMPRODUCT(--('Calc|Consolidated Capex'!$H$98:$H$182=$E18),'Calc|Consolidated Capex'!J$98:J$182)/1000+SUMPRODUCT(--('Input|VBRC Calc'!$G$28:$G$34=$E18),'Input|VBRC Calc'!J$28:J$34)/1000)*HLOOKUP(J$5,Inflation!$L$11:$V$23,13,0)</f>
        <v>13.831178429723762</v>
      </c>
      <c r="K18" s="44">
        <f>(SUMPRODUCT(--('Calc|Consolidated Capex'!$H$98:$H$182=$E18),'Calc|Consolidated Capex'!K$98:K$182)/1000+SUMPRODUCT(--('Input|VBRC Calc'!$G$28:$G$34=$E18),'Input|VBRC Calc'!K$28:K$34)/1000)*HLOOKUP(K$5,Inflation!$L$11:$V$23,13,0)</f>
        <v>9.0835118080000026</v>
      </c>
      <c r="L18" s="44">
        <f>(SUMPRODUCT(--('Calc|Consolidated Capex'!$H$98:$H$182=$E18),'Calc|Consolidated Capex'!L$98:L$182)/1000+SUMPRODUCT(--('Input|VBRC Calc'!$G$28:$G$34=$E18),'Input|VBRC Calc'!L$28:L$34)/1000)*HLOOKUP(L$5,Inflation!$L$11:$V$23,13,0)</f>
        <v>8.3597939930994709</v>
      </c>
    </row>
    <row r="19" spans="4:12" x14ac:dyDescent="0.2">
      <c r="D19" s="9"/>
      <c r="E19" s="86" t="s">
        <v>2302</v>
      </c>
      <c r="F19" s="86"/>
      <c r="G19" s="86"/>
      <c r="H19" s="44"/>
      <c r="I19" s="44">
        <f>(SUMPRODUCT(--('Calc|Consolidated Capex'!$H$98:$H$182=$E19),'Calc|Consolidated Capex'!I$98:I$182)/1000+SUMPRODUCT(--('Input|VBRC Calc'!$G$28:$G$34=$E19),'Input|VBRC Calc'!I$28:I$34)/1000)*HLOOKUP(I$5,Inflation!$L$11:$V$23,13,0)</f>
        <v>0.53019164764576765</v>
      </c>
      <c r="J19" s="44">
        <f>(SUMPRODUCT(--('Calc|Consolidated Capex'!$H$98:$H$182=$E19),'Calc|Consolidated Capex'!J$98:J$182)/1000+SUMPRODUCT(--('Input|VBRC Calc'!$G$28:$G$34=$E19),'Input|VBRC Calc'!J$28:J$34)/1000)*HLOOKUP(J$5,Inflation!$L$11:$V$23,13,0)</f>
        <v>3.4369610671756914</v>
      </c>
      <c r="K19" s="44">
        <f>(SUMPRODUCT(--('Calc|Consolidated Capex'!$H$98:$H$182=$E19),'Calc|Consolidated Capex'!K$98:K$182)/1000+SUMPRODUCT(--('Input|VBRC Calc'!$G$28:$G$34=$E19),'Input|VBRC Calc'!K$28:K$34)/1000)*HLOOKUP(K$5,Inflation!$L$11:$V$23,13,0)</f>
        <v>16.954472629422231</v>
      </c>
      <c r="L19" s="44">
        <f>(SUMPRODUCT(--('Calc|Consolidated Capex'!$H$98:$H$182=$E19),'Calc|Consolidated Capex'!L$98:L$182)/1000+SUMPRODUCT(--('Input|VBRC Calc'!$G$28:$G$34=$E19),'Input|VBRC Calc'!L$28:L$34)/1000)*HLOOKUP(L$5,Inflation!$L$11:$V$23,13,0)</f>
        <v>1.5549218979037172</v>
      </c>
    </row>
    <row r="20" spans="4:12" x14ac:dyDescent="0.2">
      <c r="D20" s="86"/>
      <c r="E20" s="39" t="s">
        <v>39</v>
      </c>
      <c r="F20" s="86"/>
      <c r="G20" s="86"/>
      <c r="H20" s="65"/>
      <c r="I20" s="44">
        <f>(SUMPRODUCT(--('Calc|Consolidated Capex'!$H$98:$H$182=$E20),'Calc|Consolidated Capex'!I$98:I$182)/1000+SUMPRODUCT(--('Input|VBRC Calc'!$G$28:$G$34=$E20),'Input|VBRC Calc'!I$28:I$34)/1000)*HLOOKUP(I$5,Inflation!$L$11:$V$23,13,0)</f>
        <v>0</v>
      </c>
      <c r="J20" s="44">
        <f>(SUMPRODUCT(--('Calc|Consolidated Capex'!$H$98:$H$182=$E20),'Calc|Consolidated Capex'!J$98:J$182)/1000+SUMPRODUCT(--('Input|VBRC Calc'!$G$28:$G$34=$E20),'Input|VBRC Calc'!J$28:J$34)/1000)*HLOOKUP(J$5,Inflation!$L$11:$V$23,13,0)</f>
        <v>0</v>
      </c>
      <c r="K20" s="44">
        <f>(SUMPRODUCT(--('Calc|Consolidated Capex'!$H$98:$H$182=$E20),'Calc|Consolidated Capex'!K$98:K$182)/1000+SUMPRODUCT(--('Input|VBRC Calc'!$G$28:$G$34=$E20),'Input|VBRC Calc'!K$28:K$34)/1000)*HLOOKUP(K$5,Inflation!$L$11:$V$23,13,0)</f>
        <v>0</v>
      </c>
      <c r="L20" s="44">
        <f>(SUMPRODUCT(--('Calc|Consolidated Capex'!$H$98:$H$182=$E20),'Calc|Consolidated Capex'!L$98:L$182)/1000+SUMPRODUCT(--('Input|VBRC Calc'!$G$28:$G$34=$E20),'Input|VBRC Calc'!L$28:L$34)/1000)*HLOOKUP(L$5,Inflation!$L$11:$V$23,13,0)</f>
        <v>0</v>
      </c>
    </row>
    <row r="21" spans="4:12" x14ac:dyDescent="0.2">
      <c r="D21" s="86"/>
      <c r="E21" s="86" t="s">
        <v>2313</v>
      </c>
      <c r="F21" s="86"/>
      <c r="G21" s="86"/>
      <c r="H21" s="65"/>
      <c r="I21" s="44">
        <f>(SUMPRODUCT(--('Calc|Consolidated Capex'!$H$98:$H$182=$E21),'Calc|Consolidated Capex'!I$98:I$182)/1000+SUMPRODUCT(--('Input|VBRC Calc'!$G$28:$G$34=$E21),'Input|VBRC Calc'!I$28:I$34)/1000)*HLOOKUP(I$5,Inflation!$L$11:$V$23,13,0)</f>
        <v>0</v>
      </c>
      <c r="J21" s="44">
        <f>(SUMPRODUCT(--('Calc|Consolidated Capex'!$H$98:$H$182=$E21),'Calc|Consolidated Capex'!J$98:J$182)/1000+SUMPRODUCT(--('Input|VBRC Calc'!$G$28:$G$34=$E21),'Input|VBRC Calc'!J$28:J$34)/1000)*HLOOKUP(J$5,Inflation!$L$11:$V$23,13,0)</f>
        <v>0</v>
      </c>
      <c r="K21" s="44">
        <f>(SUMPRODUCT(--('Calc|Consolidated Capex'!$H$98:$H$182=$E21),'Calc|Consolidated Capex'!K$98:K$182)/1000+SUMPRODUCT(--('Input|VBRC Calc'!$G$28:$G$34=$E21),'Input|VBRC Calc'!K$28:K$34)/1000)*HLOOKUP(K$5,Inflation!$L$11:$V$23,13,0)</f>
        <v>0</v>
      </c>
      <c r="L21" s="44">
        <f>(SUMPRODUCT(--('Calc|Consolidated Capex'!$H$98:$H$182=$E21),'Calc|Consolidated Capex'!L$98:L$182)/1000+SUMPRODUCT(--('Input|VBRC Calc'!$G$28:$G$34=$E21),'Input|VBRC Calc'!L$28:L$34)/1000)*HLOOKUP(L$5,Inflation!$L$11:$V$23,13,0)</f>
        <v>0</v>
      </c>
    </row>
    <row r="22" spans="4:12" x14ac:dyDescent="0.2">
      <c r="D22" s="86"/>
      <c r="E22" s="86" t="s">
        <v>2314</v>
      </c>
      <c r="F22" s="86"/>
      <c r="G22" s="86"/>
      <c r="H22" s="65"/>
      <c r="I22" s="44">
        <f>(SUMPRODUCT(--('Calc|Consolidated Capex'!$H$98:$H$182=$E22),'Calc|Consolidated Capex'!I$98:I$182)/1000+SUMPRODUCT(--('Input|VBRC Calc'!$G$28:$G$34=$E22),'Input|VBRC Calc'!I$28:I$34)/1000)*HLOOKUP(I$5,Inflation!$L$11:$V$23,13,0)</f>
        <v>0</v>
      </c>
      <c r="J22" s="44">
        <f>(SUMPRODUCT(--('Calc|Consolidated Capex'!$H$98:$H$182=$E22),'Calc|Consolidated Capex'!J$98:J$182)/1000+SUMPRODUCT(--('Input|VBRC Calc'!$G$28:$G$34=$E22),'Input|VBRC Calc'!J$28:J$34)/1000)*HLOOKUP(J$5,Inflation!$L$11:$V$23,13,0)</f>
        <v>0</v>
      </c>
      <c r="K22" s="44">
        <f>(SUMPRODUCT(--('Calc|Consolidated Capex'!$H$98:$H$182=$E22),'Calc|Consolidated Capex'!K$98:K$182)/1000+SUMPRODUCT(--('Input|VBRC Calc'!$G$28:$G$34=$E22),'Input|VBRC Calc'!K$28:K$34)/1000)*HLOOKUP(K$5,Inflation!$L$11:$V$23,13,0)</f>
        <v>0</v>
      </c>
      <c r="L22" s="44">
        <f>(SUMPRODUCT(--('Calc|Consolidated Capex'!$H$98:$H$182=$E22),'Calc|Consolidated Capex'!L$98:L$182)/1000+SUMPRODUCT(--('Input|VBRC Calc'!$G$28:$G$34=$E22),'Input|VBRC Calc'!L$28:L$34)/1000)*HLOOKUP(L$5,Inflation!$L$11:$V$23,13,0)</f>
        <v>0</v>
      </c>
    </row>
    <row r="23" spans="4:12" x14ac:dyDescent="0.2">
      <c r="D23" s="86"/>
      <c r="E23" s="86" t="s">
        <v>2315</v>
      </c>
      <c r="F23" s="86"/>
      <c r="G23" s="86"/>
      <c r="H23" s="44"/>
      <c r="I23" s="44">
        <f>(SUMPRODUCT(--('Calc|Consolidated Capex'!$H$98:$H$182=$E23),'Calc|Consolidated Capex'!I$98:I$182)/1000+SUMPRODUCT(--('Input|VBRC Calc'!$G$28:$G$34=$E23),'Input|VBRC Calc'!I$28:I$34)/1000)*HLOOKUP(I$5,Inflation!$L$11:$V$23,13,0)</f>
        <v>0</v>
      </c>
      <c r="J23" s="44">
        <f>(SUMPRODUCT(--('Calc|Consolidated Capex'!$H$98:$H$182=$E23),'Calc|Consolidated Capex'!J$98:J$182)/1000+SUMPRODUCT(--('Input|VBRC Calc'!$G$28:$G$34=$E23),'Input|VBRC Calc'!J$28:J$34)/1000)*HLOOKUP(J$5,Inflation!$L$11:$V$23,13,0)</f>
        <v>26.557431024530395</v>
      </c>
      <c r="K23" s="44">
        <f>(SUMPRODUCT(--('Calc|Consolidated Capex'!$H$98:$H$182=$E23),'Calc|Consolidated Capex'!K$98:K$182)/1000+SUMPRODUCT(--('Input|VBRC Calc'!$G$28:$G$34=$E23),'Input|VBRC Calc'!K$28:K$34)/1000)*HLOOKUP(K$5,Inflation!$L$11:$V$23,13,0)</f>
        <v>0</v>
      </c>
      <c r="L23" s="44">
        <f>(SUMPRODUCT(--('Calc|Consolidated Capex'!$H$98:$H$182=$E23),'Calc|Consolidated Capex'!L$98:L$182)/1000+SUMPRODUCT(--('Input|VBRC Calc'!$G$28:$G$34=$E23),'Input|VBRC Calc'!L$28:L$34)/1000)*HLOOKUP(L$5,Inflation!$L$11:$V$23,13,0)</f>
        <v>0</v>
      </c>
    </row>
    <row r="24" spans="4:12" x14ac:dyDescent="0.2">
      <c r="D24" s="9"/>
      <c r="E24" s="60" t="s">
        <v>2209</v>
      </c>
      <c r="F24" s="60"/>
      <c r="G24" s="60"/>
      <c r="H24" s="61"/>
      <c r="I24" s="61">
        <f>SUM(I13:I23)</f>
        <v>181.18507909606615</v>
      </c>
      <c r="J24" s="61">
        <f t="shared" ref="J24:K24" si="0">SUM(J13:J23)</f>
        <v>174.90901228005748</v>
      </c>
      <c r="K24" s="61">
        <f t="shared" si="0"/>
        <v>156.31181907767265</v>
      </c>
      <c r="L24" s="61">
        <f t="shared" ref="L24" si="1">SUM(L13:L23)</f>
        <v>158.00751347475463</v>
      </c>
    </row>
    <row r="25" spans="4:12" x14ac:dyDescent="0.2">
      <c r="D25" s="86"/>
      <c r="E25" s="101"/>
      <c r="F25" s="86"/>
      <c r="G25" s="86"/>
      <c r="H25" s="104"/>
      <c r="I25" s="104"/>
    </row>
    <row r="26" spans="4:12" x14ac:dyDescent="0.2">
      <c r="D26" s="86"/>
      <c r="E26" s="101" t="s">
        <v>2333</v>
      </c>
      <c r="F26" s="86"/>
      <c r="G26" s="104"/>
      <c r="H26" s="104"/>
      <c r="I26" s="44">
        <f>(SUMPRODUCT(--('Calc|Consolidated Capex'!$G$98:$G$182=$E26),'Calc|Consolidated Capex'!I$98:I$182)/1000+SUMPRODUCT(--('Input|VBRC Calc'!$F$28:$F$34=$E26),'Input|VBRC Calc'!I$28:I$34)/1000)*HLOOKUP(I$5,Inflation!$L$11:$V$23,13,0)</f>
        <v>42.7179836231576</v>
      </c>
      <c r="J26" s="44">
        <f>(SUMPRODUCT(--('Calc|Consolidated Capex'!$G$98:$G$182=$E26),'Calc|Consolidated Capex'!J$98:J$182)/1000+SUMPRODUCT(--('Input|VBRC Calc'!$F$28:$F$34=$E26),'Input|VBRC Calc'!J$28:J$34)/1000)*HLOOKUP(J$5,Inflation!$L$11:$V$23,13,0)</f>
        <v>24.023577170282877</v>
      </c>
      <c r="K26" s="44">
        <f>(SUMPRODUCT(--('Calc|Consolidated Capex'!$G$98:$G$182=$E26),'Calc|Consolidated Capex'!K$98:K$182)/1000+SUMPRODUCT(--('Input|VBRC Calc'!$F$28:$F$34=$E26),'Input|VBRC Calc'!K$28:K$34)/1000)*HLOOKUP(K$5,Inflation!$L$11:$V$23,13,0)</f>
        <v>22.360963273600014</v>
      </c>
      <c r="L26" s="44">
        <f>(SUMPRODUCT(--('Calc|Consolidated Capex'!$G$98:$G$182=$E26),'Calc|Consolidated Capex'!L$98:L$182)/1000+SUMPRODUCT(--('Input|VBRC Calc'!$F$28:$F$34=$E26),'Input|VBRC Calc'!L$28:L$34)/1000)*HLOOKUP(L$5,Inflation!$L$11:$V$23,13,0)</f>
        <v>33.210457547199297</v>
      </c>
    </row>
    <row r="27" spans="4:12" x14ac:dyDescent="0.2">
      <c r="D27" s="86"/>
      <c r="E27" s="101" t="s">
        <v>2299</v>
      </c>
      <c r="F27" s="86"/>
      <c r="G27" s="104"/>
      <c r="H27" s="104"/>
      <c r="I27" s="44">
        <f>(SUMPRODUCT(--('Calc|Consolidated Capex'!$G$98:$G$182=$E27),'Calc|Consolidated Capex'!I$98:I$182)/1000+SUMPRODUCT(--('Input|VBRC Calc'!$F$28:$F$34=$E27),'Input|VBRC Calc'!I$28:I$34)/1000)*HLOOKUP(I$5,Inflation!$L$11:$V$23,13,0)</f>
        <v>85.393594049021061</v>
      </c>
      <c r="J27" s="44">
        <f>(SUMPRODUCT(--('Calc|Consolidated Capex'!$G$98:$G$182=$E27),'Calc|Consolidated Capex'!J$98:J$182)/1000+SUMPRODUCT(--('Input|VBRC Calc'!$F$28:$F$34=$E27),'Input|VBRC Calc'!J$28:J$34)/1000)*HLOOKUP(J$5,Inflation!$L$11:$V$23,13,0)</f>
        <v>85.134664536917128</v>
      </c>
      <c r="K27" s="44">
        <f>(SUMPRODUCT(--('Calc|Consolidated Capex'!$G$98:$G$182=$E27),'Calc|Consolidated Capex'!K$98:K$182)/1000+SUMPRODUCT(--('Input|VBRC Calc'!$F$28:$F$34=$E27),'Input|VBRC Calc'!K$28:K$34)/1000)*HLOOKUP(K$5,Inflation!$L$11:$V$23,13,0)</f>
        <v>82.906178734400029</v>
      </c>
      <c r="L27" s="44">
        <f>(SUMPRODUCT(--('Calc|Consolidated Capex'!$G$98:$G$182=$E27),'Calc|Consolidated Capex'!L$98:L$182)/1000+SUMPRODUCT(--('Input|VBRC Calc'!$F$28:$F$34=$E27),'Input|VBRC Calc'!L$28:L$34)/1000)*HLOOKUP(L$5,Inflation!$L$11:$V$23,13,0)</f>
        <v>91.611359759290636</v>
      </c>
    </row>
    <row r="28" spans="4:12" x14ac:dyDescent="0.2">
      <c r="D28" s="86"/>
      <c r="E28" s="86" t="s">
        <v>2300</v>
      </c>
      <c r="F28" s="86"/>
      <c r="G28" s="104"/>
      <c r="H28" s="104"/>
      <c r="I28" s="44">
        <f>(SUMPRODUCT(--('Calc|Consolidated Capex'!$G$98:$G$182=$E28),'Calc|Consolidated Capex'!I$98:I$182)/1000+SUMPRODUCT(--('Input|VBRC Calc'!$F$28:$F$34=$E28),'Input|VBRC Calc'!I$28:I$34)/1000)*HLOOKUP(I$5,Inflation!$L$11:$V$23,13,0)</f>
        <v>30.030566044258126</v>
      </c>
      <c r="J28" s="44">
        <f>(SUMPRODUCT(--('Calc|Consolidated Capex'!$G$98:$G$182=$E28),'Calc|Consolidated Capex'!J$98:J$182)/1000+SUMPRODUCT(--('Input|VBRC Calc'!$F$28:$F$34=$E28),'Input|VBRC Calc'!J$28:J$34)/1000)*HLOOKUP(J$5,Inflation!$L$11:$V$23,13,0)</f>
        <v>21.92520005142763</v>
      </c>
      <c r="K28" s="44">
        <f>(SUMPRODUCT(--('Calc|Consolidated Capex'!$G$98:$G$182=$E28),'Calc|Consolidated Capex'!K$98:K$182)/1000+SUMPRODUCT(--('Input|VBRC Calc'!$F$28:$F$34=$E28),'Input|VBRC Calc'!K$28:K$34)/1000)*HLOOKUP(K$5,Inflation!$L$11:$V$23,13,0)</f>
        <v>25.006692632250378</v>
      </c>
      <c r="L28" s="44">
        <f>(SUMPRODUCT(--('Calc|Consolidated Capex'!$G$98:$G$182=$E28),'Calc|Consolidated Capex'!L$98:L$182)/1000+SUMPRODUCT(--('Input|VBRC Calc'!$F$28:$F$34=$E28),'Input|VBRC Calc'!L$28:L$34)/1000)*HLOOKUP(L$5,Inflation!$L$11:$V$23,13,0)</f>
        <v>23.270980277261465</v>
      </c>
    </row>
    <row r="29" spans="4:12" x14ac:dyDescent="0.2">
      <c r="D29" s="86"/>
      <c r="E29" s="103" t="s">
        <v>2309</v>
      </c>
      <c r="F29" s="86"/>
      <c r="G29" s="104"/>
      <c r="H29" s="104"/>
      <c r="I29" s="44">
        <f>(SUMPRODUCT(--('Calc|Consolidated Capex'!$G$98:$G$182=$E29),'Calc|Consolidated Capex'!I$98:I$182)/1000+SUMPRODUCT(--('Input|VBRC Calc'!$F$28:$F$34=$E29),'Input|VBRC Calc'!I$28:I$34)/1000)*HLOOKUP(I$5,Inflation!$L$11:$V$23,13,0)</f>
        <v>0</v>
      </c>
      <c r="J29" s="44">
        <f>(SUMPRODUCT(--('Calc|Consolidated Capex'!$G$98:$G$182=$E29),'Calc|Consolidated Capex'!J$98:J$182)/1000+SUMPRODUCT(--('Input|VBRC Calc'!$F$28:$F$34=$E29),'Input|VBRC Calc'!J$28:J$34)/1000)*HLOOKUP(J$5,Inflation!$L$11:$V$23,13,0)</f>
        <v>0</v>
      </c>
      <c r="K29" s="44">
        <f>(SUMPRODUCT(--('Calc|Consolidated Capex'!$G$98:$G$182=$E29),'Calc|Consolidated Capex'!K$98:K$182)/1000+SUMPRODUCT(--('Input|VBRC Calc'!$F$28:$F$34=$E29),'Input|VBRC Calc'!K$28:K$34)/1000)*HLOOKUP(K$5,Inflation!$L$11:$V$23,13,0)</f>
        <v>0</v>
      </c>
      <c r="L29" s="44">
        <f>(SUMPRODUCT(--('Calc|Consolidated Capex'!$G$98:$G$182=$E29),'Calc|Consolidated Capex'!L$98:L$182)/1000+SUMPRODUCT(--('Input|VBRC Calc'!$F$28:$F$34=$E29),'Input|VBRC Calc'!L$28:L$34)/1000)*HLOOKUP(L$5,Inflation!$L$11:$V$23,13,0)</f>
        <v>0</v>
      </c>
    </row>
    <row r="30" spans="4:12" x14ac:dyDescent="0.2">
      <c r="D30" s="68"/>
      <c r="E30" s="103" t="s">
        <v>2301</v>
      </c>
      <c r="F30" s="68"/>
      <c r="G30" s="105"/>
      <c r="H30" s="104"/>
      <c r="I30" s="44">
        <f>(SUMPRODUCT(--('Calc|Consolidated Capex'!$G$98:$G$182=$E30),'Calc|Consolidated Capex'!I$98:I$182)/1000+SUMPRODUCT(--('Input|VBRC Calc'!$F$28:$F$34=$E30),'Input|VBRC Calc'!I$28:I$34)/1000)*HLOOKUP(I$5,Inflation!$L$11:$V$23,13,0)</f>
        <v>22.512743731983633</v>
      </c>
      <c r="J30" s="44">
        <f>(SUMPRODUCT(--('Calc|Consolidated Capex'!$G$98:$G$182=$E30),'Calc|Consolidated Capex'!J$98:J$182)/1000+SUMPRODUCT(--('Input|VBRC Calc'!$F$28:$F$34=$E30),'Input|VBRC Calc'!J$28:J$34)/1000)*HLOOKUP(J$5,Inflation!$L$11:$V$23,13,0)</f>
        <v>13.831178429723762</v>
      </c>
      <c r="K30" s="44">
        <f>(SUMPRODUCT(--('Calc|Consolidated Capex'!$G$98:$G$182=$E30),'Calc|Consolidated Capex'!K$98:K$182)/1000+SUMPRODUCT(--('Input|VBRC Calc'!$F$28:$F$34=$E30),'Input|VBRC Calc'!K$28:K$34)/1000)*HLOOKUP(K$5,Inflation!$L$11:$V$23,13,0)</f>
        <v>9.0835118080000026</v>
      </c>
      <c r="L30" s="44">
        <f>(SUMPRODUCT(--('Calc|Consolidated Capex'!$G$98:$G$182=$E30),'Calc|Consolidated Capex'!L$98:L$182)/1000+SUMPRODUCT(--('Input|VBRC Calc'!$F$28:$F$34=$E30),'Input|VBRC Calc'!L$28:L$34)/1000)*HLOOKUP(L$5,Inflation!$L$11:$V$23,13,0)</f>
        <v>8.3597939930994709</v>
      </c>
    </row>
    <row r="31" spans="4:12" x14ac:dyDescent="0.2">
      <c r="D31" s="39"/>
      <c r="E31" s="101" t="s">
        <v>2302</v>
      </c>
      <c r="F31" s="39"/>
      <c r="G31" s="106"/>
      <c r="H31" s="104"/>
      <c r="I31" s="44">
        <f>(SUMPRODUCT(--('Calc|Consolidated Capex'!$G$98:$G$182=$E31),'Calc|Consolidated Capex'!I$98:I$182)/1000+SUMPRODUCT(--('Input|VBRC Calc'!$F$28:$F$34=$E31),'Input|VBRC Calc'!I$28:I$34)/1000)*HLOOKUP(I$5,Inflation!$L$11:$V$23,13,0)</f>
        <v>0.53019164764576765</v>
      </c>
      <c r="J31" s="44">
        <f>(SUMPRODUCT(--('Calc|Consolidated Capex'!$G$98:$G$182=$E31),'Calc|Consolidated Capex'!J$98:J$182)/1000+SUMPRODUCT(--('Input|VBRC Calc'!$F$28:$F$34=$E31),'Input|VBRC Calc'!J$28:J$34)/1000)*HLOOKUP(J$5,Inflation!$L$11:$V$23,13,0)</f>
        <v>3.4369610671756914</v>
      </c>
      <c r="K31" s="44">
        <f>(SUMPRODUCT(--('Calc|Consolidated Capex'!$G$98:$G$182=$E31),'Calc|Consolidated Capex'!K$98:K$182)/1000+SUMPRODUCT(--('Input|VBRC Calc'!$F$28:$F$34=$E31),'Input|VBRC Calc'!K$28:K$34)/1000)*HLOOKUP(K$5,Inflation!$L$11:$V$23,13,0)</f>
        <v>16.954472629422231</v>
      </c>
      <c r="L31" s="44">
        <f>(SUMPRODUCT(--('Calc|Consolidated Capex'!$G$98:$G$182=$E31),'Calc|Consolidated Capex'!L$98:L$182)/1000+SUMPRODUCT(--('Input|VBRC Calc'!$F$28:$F$34=$E31),'Input|VBRC Calc'!L$28:L$34)/1000)*HLOOKUP(L$5,Inflation!$L$11:$V$23,13,0)</f>
        <v>1.5549218979037172</v>
      </c>
    </row>
    <row r="32" spans="4:12" x14ac:dyDescent="0.2">
      <c r="D32" s="39"/>
      <c r="E32" s="103" t="s">
        <v>39</v>
      </c>
      <c r="F32" s="39"/>
      <c r="G32" s="106"/>
      <c r="H32" s="106"/>
      <c r="I32" s="44">
        <f>(SUMPRODUCT(--('Calc|Consolidated Capex'!$G$98:$G$182=$E32),'Calc|Consolidated Capex'!I$98:I$182)/1000+SUMPRODUCT(--('Input|VBRC Calc'!$F$28:$F$34=$E32),'Input|VBRC Calc'!I$28:I$34)/1000)*HLOOKUP(I$5,Inflation!$L$11:$V$23,13,0)</f>
        <v>0</v>
      </c>
      <c r="J32" s="44">
        <f>(SUMPRODUCT(--('Calc|Consolidated Capex'!$G$98:$G$182=$E32),'Calc|Consolidated Capex'!J$98:J$182)/1000+SUMPRODUCT(--('Input|VBRC Calc'!$F$28:$F$34=$E32),'Input|VBRC Calc'!J$28:J$34)/1000)*HLOOKUP(J$5,Inflation!$L$11:$V$23,13,0)</f>
        <v>0</v>
      </c>
      <c r="K32" s="44">
        <f>(SUMPRODUCT(--('Calc|Consolidated Capex'!$G$98:$G$182=$E32),'Calc|Consolidated Capex'!K$98:K$182)/1000+SUMPRODUCT(--('Input|VBRC Calc'!$F$28:$F$34=$E32),'Input|VBRC Calc'!K$28:K$34)/1000)*HLOOKUP(K$5,Inflation!$L$11:$V$23,13,0)</f>
        <v>0</v>
      </c>
      <c r="L32" s="44">
        <f>(SUMPRODUCT(--('Calc|Consolidated Capex'!$G$98:$G$182=$E32),'Calc|Consolidated Capex'!L$98:L$182)/1000+SUMPRODUCT(--('Input|VBRC Calc'!$F$28:$F$34=$E32),'Input|VBRC Calc'!L$28:L$34)/1000)*HLOOKUP(L$5,Inflation!$L$11:$V$23,13,0)</f>
        <v>0</v>
      </c>
    </row>
    <row r="33" spans="1:22" x14ac:dyDescent="0.2">
      <c r="D33" s="39"/>
      <c r="E33" s="103" t="s">
        <v>2315</v>
      </c>
      <c r="F33" s="39"/>
      <c r="G33" s="106"/>
      <c r="H33" s="106"/>
      <c r="I33" s="44">
        <f>(SUMPRODUCT(--('Calc|Consolidated Capex'!$G$98:$G$182=$E33),'Calc|Consolidated Capex'!I$98:I$182)/1000+SUMPRODUCT(--('Input|VBRC Calc'!$F$28:$F$34=$E33),'Input|VBRC Calc'!I$28:I$34)/1000)*HLOOKUP(I$5,Inflation!$L$11:$V$23,13,0)</f>
        <v>0</v>
      </c>
      <c r="J33" s="44">
        <f>(SUMPRODUCT(--('Calc|Consolidated Capex'!$G$98:$G$182=$E33),'Calc|Consolidated Capex'!J$98:J$182)/1000+SUMPRODUCT(--('Input|VBRC Calc'!$F$28:$F$34=$E33),'Input|VBRC Calc'!J$28:J$34)/1000)*HLOOKUP(J$5,Inflation!$L$11:$V$23,13,0)</f>
        <v>26.557431024530395</v>
      </c>
      <c r="K33" s="44">
        <f>(SUMPRODUCT(--('Calc|Consolidated Capex'!$G$98:$G$182=$E33),'Calc|Consolidated Capex'!K$98:K$182)/1000+SUMPRODUCT(--('Input|VBRC Calc'!$F$28:$F$34=$E33),'Input|VBRC Calc'!K$28:K$34)/1000)*HLOOKUP(K$5,Inflation!$L$11:$V$23,13,0)</f>
        <v>0</v>
      </c>
      <c r="L33" s="44">
        <f>(SUMPRODUCT(--('Calc|Consolidated Capex'!$G$98:$G$182=$E33),'Calc|Consolidated Capex'!L$98:L$182)/1000+SUMPRODUCT(--('Input|VBRC Calc'!$F$28:$F$34=$E33),'Input|VBRC Calc'!L$28:L$34)/1000)*HLOOKUP(L$5,Inflation!$L$11:$V$23,13,0)</f>
        <v>0</v>
      </c>
    </row>
    <row r="34" spans="1:22" x14ac:dyDescent="0.2">
      <c r="D34" s="39"/>
      <c r="E34" s="60" t="s">
        <v>2209</v>
      </c>
      <c r="F34" s="60"/>
      <c r="G34" s="60"/>
      <c r="H34" s="61"/>
      <c r="I34" s="61">
        <f>SUM(I26:I33)</f>
        <v>181.1850790960662</v>
      </c>
      <c r="J34" s="61">
        <f t="shared" ref="J34:K34" si="2">SUM(J26:J33)</f>
        <v>174.90901228005748</v>
      </c>
      <c r="K34" s="61">
        <f t="shared" si="2"/>
        <v>156.31181907767265</v>
      </c>
      <c r="L34" s="61">
        <f t="shared" ref="L34" si="3">SUM(L26:L33)</f>
        <v>158.00751347475457</v>
      </c>
    </row>
    <row r="35" spans="1:22" x14ac:dyDescent="0.2">
      <c r="D35" s="39"/>
      <c r="E35" s="101"/>
      <c r="F35" s="39"/>
      <c r="G35" s="44"/>
      <c r="H35" s="44"/>
      <c r="I35" s="44"/>
    </row>
    <row r="36" spans="1:22" s="13" customFormat="1" x14ac:dyDescent="0.2">
      <c r="A36" s="59" t="s">
        <v>2375</v>
      </c>
      <c r="I36" s="63" t="s">
        <v>2437</v>
      </c>
      <c r="J36" s="63" t="s">
        <v>2437</v>
      </c>
      <c r="K36" s="63" t="s">
        <v>2437</v>
      </c>
      <c r="L36" s="63" t="s">
        <v>2437</v>
      </c>
      <c r="M36" s="63"/>
      <c r="N36" s="63" t="s">
        <v>2334</v>
      </c>
      <c r="O36" s="63" t="s">
        <v>2334</v>
      </c>
      <c r="P36" s="63" t="s">
        <v>2334</v>
      </c>
      <c r="Q36" s="63" t="s">
        <v>2334</v>
      </c>
      <c r="R36" s="63" t="s">
        <v>2334</v>
      </c>
      <c r="S36" s="63" t="s">
        <v>2334</v>
      </c>
      <c r="T36" s="63" t="s">
        <v>2334</v>
      </c>
      <c r="U36" s="63" t="s">
        <v>2334</v>
      </c>
      <c r="V36" s="63" t="s">
        <v>2334</v>
      </c>
    </row>
    <row r="37" spans="1:22" x14ac:dyDescent="0.2">
      <c r="D37" s="39"/>
      <c r="E37" s="39"/>
      <c r="F37" s="39"/>
    </row>
    <row r="38" spans="1:22" x14ac:dyDescent="0.2">
      <c r="D38" s="39"/>
      <c r="E38" s="86" t="s">
        <v>2307</v>
      </c>
      <c r="F38" s="86"/>
      <c r="G38" s="86"/>
      <c r="H38" s="44"/>
      <c r="I38" s="44">
        <f>I13/I$24*I$9</f>
        <v>9.9713103816861562E-2</v>
      </c>
      <c r="J38" s="44">
        <f t="shared" ref="J38" si="4">J13/J$24*J$9</f>
        <v>2.0746835963598467E-2</v>
      </c>
      <c r="K38" s="44">
        <f>K13/K$24*(K$9-K$44)</f>
        <v>0.25490653691992593</v>
      </c>
      <c r="L38" s="44">
        <f t="shared" ref="L38" si="5">L13/L$24*L$9</f>
        <v>0.30918751686423235</v>
      </c>
    </row>
    <row r="39" spans="1:22" x14ac:dyDescent="0.2">
      <c r="D39" s="39"/>
      <c r="E39" s="86" t="s">
        <v>2310</v>
      </c>
      <c r="F39" s="86"/>
      <c r="G39" s="86"/>
      <c r="H39" s="44"/>
      <c r="I39" s="44">
        <f t="shared" ref="I39:J39" si="6">I14/I$24*I$9</f>
        <v>0.25424906102459277</v>
      </c>
      <c r="J39" s="44">
        <f t="shared" si="6"/>
        <v>5.2900404872204751E-2</v>
      </c>
      <c r="K39" s="44">
        <f t="shared" ref="K39:K43" si="7">K14/K$24*(K$9-K$44)</f>
        <v>0.64996219333373584</v>
      </c>
      <c r="L39" s="44">
        <f t="shared" ref="L39" si="8">L14/L$24*L$9</f>
        <v>0.78867461125835769</v>
      </c>
    </row>
    <row r="40" spans="1:22" x14ac:dyDescent="0.2">
      <c r="E40" s="39" t="s">
        <v>2311</v>
      </c>
      <c r="F40" s="86"/>
      <c r="G40" s="86"/>
      <c r="H40" s="44"/>
      <c r="I40" s="44">
        <f t="shared" ref="I40:J40" si="9">I15/I$24*I$9</f>
        <v>0</v>
      </c>
      <c r="J40" s="44">
        <f t="shared" si="9"/>
        <v>0</v>
      </c>
      <c r="K40" s="44">
        <f t="shared" si="7"/>
        <v>0</v>
      </c>
      <c r="L40" s="44">
        <f t="shared" ref="L40" si="10">L15/L$24*L$9</f>
        <v>0</v>
      </c>
    </row>
    <row r="41" spans="1:22" x14ac:dyDescent="0.2">
      <c r="E41" s="86" t="s">
        <v>2312</v>
      </c>
      <c r="F41" s="86"/>
      <c r="G41" s="86"/>
      <c r="H41" s="44"/>
      <c r="I41" s="44">
        <f t="shared" ref="I41:J41" si="11">I16/I$24*I$9</f>
        <v>0</v>
      </c>
      <c r="J41" s="44">
        <f t="shared" si="11"/>
        <v>0</v>
      </c>
      <c r="K41" s="44">
        <f t="shared" si="7"/>
        <v>0</v>
      </c>
      <c r="L41" s="44">
        <f t="shared" ref="L41" si="12">L16/L$24*L$9</f>
        <v>0</v>
      </c>
    </row>
    <row r="42" spans="1:22" x14ac:dyDescent="0.2">
      <c r="E42" s="86" t="s">
        <v>2309</v>
      </c>
      <c r="F42" s="86"/>
      <c r="G42" s="86"/>
      <c r="H42" s="44"/>
      <c r="I42" s="44">
        <f t="shared" ref="I42:J42" si="13">I17/I$24*I$9</f>
        <v>1.1727258263002619E-2</v>
      </c>
      <c r="J42" s="44">
        <f t="shared" si="13"/>
        <v>3.5164322830208896E-3</v>
      </c>
      <c r="K42" s="44">
        <f t="shared" si="7"/>
        <v>3.6702107158955673E-2</v>
      </c>
      <c r="L42" s="44">
        <f t="shared" ref="L42" si="14">L17/L$24*L$9</f>
        <v>3.4680159004714793E-2</v>
      </c>
    </row>
    <row r="43" spans="1:22" x14ac:dyDescent="0.2">
      <c r="E43" s="86" t="s">
        <v>2301</v>
      </c>
      <c r="F43" s="86"/>
      <c r="G43" s="86"/>
      <c r="H43" s="96"/>
      <c r="I43" s="44">
        <f t="shared" ref="I43:J43" si="15">I18/I$24*I$9</f>
        <v>5.2058686409421046E-2</v>
      </c>
      <c r="J43" s="44">
        <f t="shared" si="15"/>
        <v>8.1418714437217626E-3</v>
      </c>
      <c r="K43" s="44">
        <f t="shared" si="7"/>
        <v>6.5652245850629398E-2</v>
      </c>
      <c r="L43" s="44">
        <f t="shared" ref="L43" si="16">L18/L$24*L$9</f>
        <v>6.3931672325277064E-2</v>
      </c>
    </row>
    <row r="44" spans="1:22" x14ac:dyDescent="0.2">
      <c r="E44" s="86" t="s">
        <v>2302</v>
      </c>
      <c r="F44" s="86"/>
      <c r="G44" s="86"/>
      <c r="H44" s="44"/>
      <c r="I44" s="44">
        <f t="shared" ref="I44:L44" si="17">I19/I$24*I$9</f>
        <v>1.2260202954503805E-3</v>
      </c>
      <c r="J44" s="44">
        <f t="shared" si="17"/>
        <v>2.0232039741374464E-3</v>
      </c>
      <c r="K44" s="41">
        <v>-14.791204241283372</v>
      </c>
      <c r="L44" s="44">
        <f t="shared" si="17"/>
        <v>1.1891292698149567E-2</v>
      </c>
    </row>
    <row r="45" spans="1:22" x14ac:dyDescent="0.2">
      <c r="E45" s="39" t="s">
        <v>39</v>
      </c>
      <c r="F45" s="86"/>
      <c r="G45" s="86"/>
      <c r="H45" s="65"/>
      <c r="I45" s="44">
        <f t="shared" ref="I45:J45" si="18">I20/I$24*I$9</f>
        <v>0</v>
      </c>
      <c r="J45" s="44">
        <f t="shared" si="18"/>
        <v>0</v>
      </c>
      <c r="K45" s="44">
        <f t="shared" ref="K45:K48" si="19">K20/K$24*(K$9-K$44)</f>
        <v>0</v>
      </c>
      <c r="L45" s="44">
        <f t="shared" ref="L45" si="20">L20/L$24*L$9</f>
        <v>0</v>
      </c>
    </row>
    <row r="46" spans="1:22" x14ac:dyDescent="0.2">
      <c r="E46" s="86" t="s">
        <v>2313</v>
      </c>
      <c r="F46" s="86"/>
      <c r="G46" s="86"/>
      <c r="H46" s="65"/>
      <c r="I46" s="44">
        <f t="shared" ref="I46:J46" si="21">I21/I$24*I$9</f>
        <v>0</v>
      </c>
      <c r="J46" s="44">
        <f t="shared" si="21"/>
        <v>0</v>
      </c>
      <c r="K46" s="44">
        <f t="shared" si="19"/>
        <v>0</v>
      </c>
      <c r="L46" s="44">
        <f t="shared" ref="L46" si="22">L21/L$24*L$9</f>
        <v>0</v>
      </c>
    </row>
    <row r="47" spans="1:22" x14ac:dyDescent="0.2">
      <c r="E47" s="86" t="s">
        <v>2314</v>
      </c>
      <c r="F47" s="86"/>
      <c r="G47" s="86"/>
      <c r="H47" s="65"/>
      <c r="I47" s="44">
        <f t="shared" ref="I47:J47" si="23">I22/I$24*I$9</f>
        <v>0</v>
      </c>
      <c r="J47" s="44">
        <f t="shared" si="23"/>
        <v>0</v>
      </c>
      <c r="K47" s="44">
        <f t="shared" si="19"/>
        <v>0</v>
      </c>
      <c r="L47" s="44">
        <f t="shared" ref="L47" si="24">L22/L$24*L$9</f>
        <v>0</v>
      </c>
    </row>
    <row r="48" spans="1:22" x14ac:dyDescent="0.2">
      <c r="E48" s="86" t="s">
        <v>2315</v>
      </c>
      <c r="F48" s="86"/>
      <c r="G48" s="86"/>
      <c r="H48" s="44"/>
      <c r="I48" s="44">
        <f t="shared" ref="I48:J48" si="25">I23/I$24*I$9</f>
        <v>0</v>
      </c>
      <c r="J48" s="44">
        <f t="shared" si="25"/>
        <v>1.5633316450647E-2</v>
      </c>
      <c r="K48" s="44">
        <f t="shared" si="19"/>
        <v>0</v>
      </c>
      <c r="L48" s="44">
        <f t="shared" ref="L48" si="26">L23/L$24*L$9</f>
        <v>0</v>
      </c>
    </row>
    <row r="49" spans="1:17" x14ac:dyDescent="0.2">
      <c r="E49" s="60" t="s">
        <v>2209</v>
      </c>
      <c r="F49" s="60"/>
      <c r="G49" s="60"/>
      <c r="H49" s="61"/>
      <c r="I49" s="61">
        <f>SUM(I38:I48)</f>
        <v>0.41897412980932836</v>
      </c>
      <c r="J49" s="61">
        <f t="shared" ref="J49" si="27">SUM(J38:J48)</f>
        <v>0.10296206498733032</v>
      </c>
      <c r="K49" s="61">
        <f t="shared" ref="K49:L49" si="28">SUM(K38:K48)</f>
        <v>-13.783981158020126</v>
      </c>
      <c r="L49" s="61">
        <f t="shared" si="28"/>
        <v>1.2083652521507313</v>
      </c>
    </row>
    <row r="50" spans="1:17" x14ac:dyDescent="0.2">
      <c r="E50" s="101"/>
      <c r="F50" s="86"/>
      <c r="G50" s="86"/>
      <c r="H50" s="104"/>
      <c r="I50" s="104"/>
    </row>
    <row r="51" spans="1:17" x14ac:dyDescent="0.2">
      <c r="E51" s="101" t="s">
        <v>2333</v>
      </c>
      <c r="F51" s="86"/>
      <c r="G51" s="104"/>
      <c r="H51" s="104"/>
      <c r="I51" s="44">
        <f>I26/I$34*I$9</f>
        <v>9.8781478612993509E-2</v>
      </c>
      <c r="J51" s="44">
        <f t="shared" ref="J51" si="29">J26/J$34*J$9</f>
        <v>1.4141736218110429E-2</v>
      </c>
      <c r="K51" s="44">
        <f>K26/K$34*(K$9-K$56)</f>
        <v>0.16161672812516725</v>
      </c>
      <c r="L51" s="44">
        <f t="shared" ref="L51" si="30">L26/L$34*L$9</f>
        <v>0.253977561101703</v>
      </c>
    </row>
    <row r="52" spans="1:17" x14ac:dyDescent="0.2">
      <c r="E52" s="101" t="s">
        <v>2299</v>
      </c>
      <c r="F52" s="86"/>
      <c r="G52" s="104"/>
      <c r="H52" s="104"/>
      <c r="I52" s="44">
        <f t="shared" ref="I52:J52" si="31">I27/I$34*I$9</f>
        <v>0.19746497303461694</v>
      </c>
      <c r="J52" s="44">
        <f t="shared" si="31"/>
        <v>5.0115432866829214E-2</v>
      </c>
      <c r="K52" s="44">
        <f t="shared" ref="K52:K55" si="32">K27/K$34*(K$9-K$56)</f>
        <v>0.59921503311234003</v>
      </c>
      <c r="L52" s="44">
        <f t="shared" ref="L52" si="33">L27/L$34*L$9</f>
        <v>0.70059949303039648</v>
      </c>
    </row>
    <row r="53" spans="1:17" x14ac:dyDescent="0.2">
      <c r="E53" s="86" t="s">
        <v>2300</v>
      </c>
      <c r="F53" s="86"/>
      <c r="G53" s="104"/>
      <c r="H53" s="104"/>
      <c r="I53" s="44">
        <f t="shared" ref="I53:J53" si="34">I28/I$34*I$9</f>
        <v>6.9442971456846594E-2</v>
      </c>
      <c r="J53" s="44">
        <f t="shared" si="34"/>
        <v>1.2906504033884467E-2</v>
      </c>
      <c r="K53" s="44">
        <f t="shared" si="32"/>
        <v>0.18073907617511012</v>
      </c>
      <c r="L53" s="44">
        <f t="shared" ref="L53" si="35">L28/L$34*L$9</f>
        <v>0.17796523299520539</v>
      </c>
    </row>
    <row r="54" spans="1:17" x14ac:dyDescent="0.2">
      <c r="E54" s="103" t="s">
        <v>2309</v>
      </c>
      <c r="F54" s="86"/>
      <c r="G54" s="104"/>
      <c r="H54" s="104"/>
      <c r="I54" s="44">
        <f t="shared" ref="I54:J54" si="36">I29/I$34*I$9</f>
        <v>0</v>
      </c>
      <c r="J54" s="44">
        <f t="shared" si="36"/>
        <v>0</v>
      </c>
      <c r="K54" s="44">
        <f t="shared" si="32"/>
        <v>0</v>
      </c>
      <c r="L54" s="44">
        <f t="shared" ref="L54" si="37">L29/L$34*L$9</f>
        <v>0</v>
      </c>
    </row>
    <row r="55" spans="1:17" x14ac:dyDescent="0.2">
      <c r="E55" s="103" t="s">
        <v>2301</v>
      </c>
      <c r="F55" s="68"/>
      <c r="G55" s="105"/>
      <c r="H55" s="104"/>
      <c r="I55" s="44">
        <f t="shared" ref="I55:J55" si="38">I30/I$34*I$9</f>
        <v>5.2058686409421032E-2</v>
      </c>
      <c r="J55" s="44">
        <f t="shared" si="38"/>
        <v>8.1418714437217626E-3</v>
      </c>
      <c r="K55" s="44">
        <f t="shared" si="32"/>
        <v>6.5652245850629398E-2</v>
      </c>
      <c r="L55" s="44">
        <f t="shared" ref="L55" si="39">L30/L$34*L$9</f>
        <v>6.3931672325277078E-2</v>
      </c>
    </row>
    <row r="56" spans="1:17" x14ac:dyDescent="0.2">
      <c r="E56" s="101" t="s">
        <v>2302</v>
      </c>
      <c r="F56" s="39"/>
      <c r="G56" s="106"/>
      <c r="H56" s="104"/>
      <c r="I56" s="44">
        <f t="shared" ref="I56:L56" si="40">I31/I$34*I$9</f>
        <v>1.2260202954503803E-3</v>
      </c>
      <c r="J56" s="44">
        <f t="shared" si="40"/>
        <v>2.0232039741374464E-3</v>
      </c>
      <c r="K56" s="41">
        <v>-14.791204241283372</v>
      </c>
      <c r="L56" s="44">
        <f t="shared" si="40"/>
        <v>1.1891292698149572E-2</v>
      </c>
    </row>
    <row r="57" spans="1:17" x14ac:dyDescent="0.2">
      <c r="E57" s="103" t="s">
        <v>39</v>
      </c>
      <c r="F57" s="39"/>
      <c r="G57" s="106"/>
      <c r="H57" s="106"/>
      <c r="I57" s="44">
        <f t="shared" ref="I57:J57" si="41">I32/I$34*I$9</f>
        <v>0</v>
      </c>
      <c r="J57" s="44">
        <f t="shared" si="41"/>
        <v>0</v>
      </c>
      <c r="K57" s="44">
        <f t="shared" ref="K57:K58" si="42">K32/K$34*(K$9-K$56)</f>
        <v>0</v>
      </c>
      <c r="L57" s="44">
        <f t="shared" ref="L57" si="43">L32/L$34*L$9</f>
        <v>0</v>
      </c>
    </row>
    <row r="58" spans="1:17" x14ac:dyDescent="0.2">
      <c r="E58" s="103" t="s">
        <v>2315</v>
      </c>
      <c r="F58" s="39"/>
      <c r="G58" s="106"/>
      <c r="H58" s="106"/>
      <c r="I58" s="44">
        <f t="shared" ref="I58:J58" si="44">I33/I$34*I$9</f>
        <v>0</v>
      </c>
      <c r="J58" s="44">
        <f t="shared" si="44"/>
        <v>1.5633316450647E-2</v>
      </c>
      <c r="K58" s="44">
        <f t="shared" si="42"/>
        <v>0</v>
      </c>
      <c r="L58" s="44">
        <f t="shared" ref="L58" si="45">L33/L$34*L$9</f>
        <v>0</v>
      </c>
    </row>
    <row r="59" spans="1:17" x14ac:dyDescent="0.2">
      <c r="E59" s="60" t="s">
        <v>2209</v>
      </c>
      <c r="F59" s="60"/>
      <c r="G59" s="60"/>
      <c r="H59" s="61"/>
      <c r="I59" s="61">
        <f>SUM(I51:I58)</f>
        <v>0.41897412980932841</v>
      </c>
      <c r="J59" s="61">
        <f t="shared" ref="J59" si="46">SUM(J51:J58)</f>
        <v>0.10296206498733032</v>
      </c>
      <c r="K59" s="144">
        <f t="shared" ref="K59:L59" si="47">SUM(K51:K58)</f>
        <v>-13.783981158020126</v>
      </c>
      <c r="L59" s="61">
        <f t="shared" si="47"/>
        <v>1.2083652521507315</v>
      </c>
    </row>
    <row r="60" spans="1:17" x14ac:dyDescent="0.2">
      <c r="K60" s="143"/>
    </row>
    <row r="61" spans="1:17" x14ac:dyDescent="0.2">
      <c r="K61" s="143"/>
    </row>
    <row r="62" spans="1:17" s="21" customFormat="1" x14ac:dyDescent="0.2">
      <c r="A62" s="22" t="s">
        <v>9</v>
      </c>
      <c r="B62" s="22"/>
      <c r="C62" s="15"/>
      <c r="D62" s="24"/>
      <c r="E62" s="25"/>
      <c r="F62" s="25"/>
      <c r="G62" s="25"/>
      <c r="H62" s="25"/>
      <c r="I62" s="25"/>
      <c r="J62" s="25"/>
      <c r="K62" s="20"/>
      <c r="L62" s="20"/>
      <c r="M62" s="20"/>
      <c r="N62" s="20"/>
      <c r="O62" s="20"/>
      <c r="P62" s="25"/>
      <c r="Q62" s="25"/>
    </row>
    <row r="63" spans="1:17" x14ac:dyDescent="0.2"/>
    <row r="64" spans="1:17" x14ac:dyDescent="0.2"/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CC"/>
  </sheetPr>
  <dimension ref="A1:XFD91"/>
  <sheetViews>
    <sheetView zoomScale="85" zoomScaleNormal="85" workbookViewId="0">
      <pane ySplit="5" topLeftCell="A6" activePane="bottomLeft" state="frozen"/>
      <selection pane="bottomLeft" activeCell="S9" sqref="S9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5.375" bestFit="1" customWidth="1"/>
    <col min="6" max="7" width="20.5" bestFit="1" customWidth="1"/>
    <col min="8" max="8" width="10.25" customWidth="1"/>
    <col min="9" max="19" width="11.625" bestFit="1" customWidth="1"/>
    <col min="20" max="20" width="10.25" customWidth="1"/>
  </cols>
  <sheetData>
    <row r="1" spans="1:20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19"/>
      <c r="J1" s="19"/>
      <c r="K1" s="20"/>
      <c r="L1" s="20"/>
      <c r="M1" s="17"/>
      <c r="N1" s="17"/>
      <c r="O1" s="17"/>
      <c r="P1" s="17"/>
      <c r="Q1" s="17"/>
      <c r="R1" s="17"/>
      <c r="S1" s="17"/>
      <c r="T1" s="17"/>
    </row>
    <row r="2" spans="1:20" x14ac:dyDescent="0.2">
      <c r="A2" s="22" t="str">
        <f ca="1" xml:space="preserve"> "Sheet: " &amp; RIGHT(CELL("filename", $A$1), LEN(CELL("filename", $A$1)) - SEARCH("]", CELL("filename", $A$1)))</f>
        <v>Sheet: Input|VBRC Calc</v>
      </c>
      <c r="B2" s="22"/>
      <c r="C2" s="15"/>
      <c r="D2" s="16"/>
      <c r="E2" s="17"/>
      <c r="F2" s="17"/>
      <c r="G2" s="17"/>
      <c r="H2" s="17"/>
      <c r="I2" s="23"/>
      <c r="J2" s="23"/>
      <c r="K2" s="20"/>
      <c r="L2" s="20"/>
      <c r="M2" s="17"/>
      <c r="N2" s="17"/>
      <c r="O2" s="17"/>
      <c r="P2" s="17"/>
      <c r="Q2" s="17"/>
      <c r="R2" s="17"/>
      <c r="S2" s="17"/>
      <c r="T2" s="17"/>
    </row>
    <row r="3" spans="1:20" x14ac:dyDescent="0.2">
      <c r="A3" s="22" t="s">
        <v>0</v>
      </c>
      <c r="B3" s="22"/>
      <c r="C3" s="15"/>
      <c r="D3" s="16"/>
      <c r="E3" s="16"/>
      <c r="F3" s="16"/>
      <c r="G3" s="16"/>
      <c r="H3" s="17"/>
      <c r="I3" s="16"/>
      <c r="J3" s="16"/>
      <c r="K3" s="16"/>
      <c r="L3" s="20"/>
      <c r="M3" s="17"/>
      <c r="N3" s="17"/>
      <c r="O3" s="17"/>
      <c r="P3" s="17"/>
      <c r="Q3" s="17"/>
      <c r="R3" s="17"/>
      <c r="S3" s="17"/>
      <c r="T3" s="17"/>
    </row>
    <row r="4" spans="1:20" x14ac:dyDescent="0.2">
      <c r="A4" s="22"/>
      <c r="B4" s="22"/>
      <c r="C4" s="15"/>
      <c r="D4" s="16"/>
      <c r="E4" s="17"/>
      <c r="F4" s="17"/>
      <c r="G4" s="17"/>
      <c r="H4" s="17"/>
      <c r="I4" s="23"/>
      <c r="J4" s="23"/>
      <c r="K4" s="20"/>
      <c r="L4" s="20"/>
      <c r="M4" s="17"/>
      <c r="N4" s="17"/>
      <c r="O4" s="17"/>
      <c r="P4" s="17"/>
      <c r="Q4" s="17"/>
      <c r="R4" s="17"/>
      <c r="S4" s="17"/>
      <c r="T4" s="17"/>
    </row>
    <row r="5" spans="1:20" x14ac:dyDescent="0.2">
      <c r="A5" s="22"/>
      <c r="B5" s="22"/>
      <c r="C5" s="22"/>
      <c r="D5" s="22"/>
      <c r="E5" s="22"/>
      <c r="F5" s="64" t="s">
        <v>2376</v>
      </c>
      <c r="G5" s="29" t="s">
        <v>2305</v>
      </c>
      <c r="H5" s="17"/>
      <c r="I5" s="31">
        <v>2015</v>
      </c>
      <c r="J5" s="31">
        <v>2016</v>
      </c>
      <c r="K5" s="31">
        <v>2017</v>
      </c>
      <c r="L5" s="31">
        <v>2018</v>
      </c>
      <c r="M5" s="31">
        <v>2019</v>
      </c>
      <c r="N5" s="31">
        <v>2020</v>
      </c>
      <c r="O5" s="31" t="s">
        <v>2432</v>
      </c>
      <c r="P5" s="31" t="s">
        <v>2433</v>
      </c>
      <c r="Q5" s="31" t="s">
        <v>2434</v>
      </c>
      <c r="R5" s="31" t="s">
        <v>2435</v>
      </c>
      <c r="S5" s="31" t="s">
        <v>2436</v>
      </c>
      <c r="T5" s="17"/>
    </row>
    <row r="6" spans="1:20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  <c r="N6" s="4"/>
      <c r="O6" s="4"/>
      <c r="P6" s="4"/>
      <c r="Q6" s="4"/>
      <c r="R6" s="4"/>
      <c r="S6" s="4"/>
      <c r="T6" s="4"/>
    </row>
    <row r="7" spans="1:20" x14ac:dyDescent="0.2">
      <c r="A7" s="22" t="s">
        <v>2316</v>
      </c>
      <c r="B7" s="22"/>
      <c r="C7" s="15"/>
      <c r="D7" s="24"/>
      <c r="E7" s="25"/>
      <c r="F7" s="25"/>
      <c r="G7" s="25"/>
      <c r="H7" s="25"/>
      <c r="I7" s="57" t="s">
        <v>2324</v>
      </c>
      <c r="J7" s="57" t="s">
        <v>2324</v>
      </c>
      <c r="K7" s="57" t="s">
        <v>2324</v>
      </c>
      <c r="L7" s="57" t="s">
        <v>2324</v>
      </c>
      <c r="M7" s="35" t="s">
        <v>2428</v>
      </c>
      <c r="N7" s="35" t="s">
        <v>2428</v>
      </c>
      <c r="O7" s="35" t="s">
        <v>2428</v>
      </c>
      <c r="P7" s="35" t="s">
        <v>2428</v>
      </c>
      <c r="Q7" s="35" t="s">
        <v>2428</v>
      </c>
      <c r="R7" s="35" t="s">
        <v>2428</v>
      </c>
      <c r="S7" s="35" t="s">
        <v>2428</v>
      </c>
      <c r="T7" s="25"/>
    </row>
    <row r="8" spans="1:20" x14ac:dyDescent="0.2">
      <c r="A8" s="39"/>
      <c r="B8" s="39"/>
      <c r="C8" s="39"/>
      <c r="D8" s="39"/>
      <c r="E8" s="39"/>
      <c r="F8" s="39"/>
      <c r="G8" s="39"/>
      <c r="H8" s="7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7"/>
    </row>
    <row r="9" spans="1:20" x14ac:dyDescent="0.2">
      <c r="A9" s="39"/>
      <c r="B9" s="39"/>
      <c r="C9" s="39"/>
      <c r="D9" s="39"/>
      <c r="E9" s="9" t="s">
        <v>2209</v>
      </c>
      <c r="F9" s="39"/>
      <c r="G9" s="39"/>
      <c r="H9" s="7"/>
      <c r="I9" s="55">
        <f>'Calc|Consolidated Capex'!I71</f>
        <v>0</v>
      </c>
      <c r="J9" s="55">
        <f>'Calc|Consolidated Capex'!J71</f>
        <v>0</v>
      </c>
      <c r="K9" s="55">
        <f>'Calc|Consolidated Capex'!K71</f>
        <v>0</v>
      </c>
      <c r="L9" s="55">
        <f>'Calc|Consolidated Capex'!L71</f>
        <v>33.343380000000003</v>
      </c>
      <c r="M9" s="44">
        <f>'Calc|Consolidated Capex'!M71</f>
        <v>6.1819492458391547</v>
      </c>
      <c r="N9" s="44">
        <f>'Calc|Consolidated Capex'!N71</f>
        <v>1067.3919088603623</v>
      </c>
      <c r="O9" s="44">
        <f>'Calc|Consolidated Capex'!O71</f>
        <v>0</v>
      </c>
      <c r="P9" s="44">
        <f>'Calc|Consolidated Capex'!P71</f>
        <v>0</v>
      </c>
      <c r="Q9" s="44">
        <f>'Calc|Consolidated Capex'!Q71</f>
        <v>0</v>
      </c>
      <c r="R9" s="44">
        <f>'Calc|Consolidated Capex'!R71</f>
        <v>0</v>
      </c>
      <c r="S9" s="44">
        <f>'Calc|Consolidated Capex'!S71</f>
        <v>0</v>
      </c>
      <c r="T9" s="7"/>
    </row>
    <row r="10" spans="1:20" x14ac:dyDescent="0.2">
      <c r="A10" s="39"/>
      <c r="B10" s="39"/>
      <c r="C10" s="39"/>
      <c r="D10" s="39"/>
      <c r="E10" s="39"/>
      <c r="F10" s="39"/>
      <c r="G10" s="39"/>
      <c r="H10" s="7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7"/>
    </row>
    <row r="11" spans="1:20" x14ac:dyDescent="0.2">
      <c r="A11" s="39"/>
      <c r="B11" s="39"/>
      <c r="C11" s="39"/>
      <c r="D11" s="39"/>
      <c r="E11" s="56" t="s">
        <v>2317</v>
      </c>
      <c r="F11" s="39"/>
      <c r="G11" s="39"/>
      <c r="H11" s="7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7"/>
    </row>
    <row r="12" spans="1:20" x14ac:dyDescent="0.2">
      <c r="A12" s="39"/>
      <c r="B12" s="39"/>
      <c r="C12" s="39"/>
      <c r="D12" s="39"/>
      <c r="E12" s="39" t="s">
        <v>2318</v>
      </c>
      <c r="F12" s="39" t="s">
        <v>2333</v>
      </c>
      <c r="G12" s="39" t="s">
        <v>39</v>
      </c>
      <c r="H12" s="7" t="s">
        <v>39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100"/>
      <c r="O12" s="100"/>
      <c r="P12" s="100"/>
      <c r="Q12" s="100"/>
      <c r="R12" s="100"/>
      <c r="S12" s="100"/>
      <c r="T12" s="7"/>
    </row>
    <row r="13" spans="1:20" x14ac:dyDescent="0.2">
      <c r="A13" s="39"/>
      <c r="B13" s="39"/>
      <c r="C13" s="39"/>
      <c r="D13" s="39"/>
      <c r="E13" s="39" t="s">
        <v>2319</v>
      </c>
      <c r="F13" s="39" t="s">
        <v>2333</v>
      </c>
      <c r="G13" s="39" t="s">
        <v>2310</v>
      </c>
      <c r="H13" s="7" t="s">
        <v>2404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00"/>
      <c r="O13" s="100"/>
      <c r="P13" s="100"/>
      <c r="Q13" s="100"/>
      <c r="R13" s="100"/>
      <c r="S13" s="100"/>
      <c r="T13" s="7"/>
    </row>
    <row r="14" spans="1:20" x14ac:dyDescent="0.2">
      <c r="A14" s="39"/>
      <c r="B14" s="39"/>
      <c r="C14" s="39"/>
      <c r="D14" s="39"/>
      <c r="E14" s="39"/>
      <c r="F14" s="39" t="s">
        <v>2333</v>
      </c>
      <c r="G14" s="39" t="s">
        <v>2309</v>
      </c>
      <c r="H14" s="7" t="s">
        <v>2404</v>
      </c>
      <c r="I14" s="44"/>
      <c r="J14" s="44"/>
      <c r="K14" s="44"/>
      <c r="L14" s="44"/>
      <c r="M14" s="44"/>
      <c r="N14" s="100"/>
      <c r="O14" s="100"/>
      <c r="P14" s="100"/>
      <c r="Q14" s="100"/>
      <c r="R14" s="100"/>
      <c r="S14" s="100"/>
      <c r="T14" s="7"/>
    </row>
    <row r="15" spans="1:20" x14ac:dyDescent="0.2">
      <c r="A15" s="39"/>
      <c r="B15" s="39"/>
      <c r="C15" s="39"/>
      <c r="D15" s="39"/>
      <c r="E15" s="39"/>
      <c r="F15" s="39" t="s">
        <v>2333</v>
      </c>
      <c r="G15" s="39" t="s">
        <v>2310</v>
      </c>
      <c r="H15" s="7" t="s">
        <v>39</v>
      </c>
      <c r="I15" s="44">
        <f>I9-SUM(I12:I14,I17:I19)</f>
        <v>0</v>
      </c>
      <c r="J15" s="44">
        <f t="shared" ref="J15:S15" si="0">J9-SUM(J12:J14,J17:J19)</f>
        <v>0</v>
      </c>
      <c r="K15" s="44">
        <f t="shared" si="0"/>
        <v>0</v>
      </c>
      <c r="L15" s="44">
        <f t="shared" si="0"/>
        <v>33.343380000000003</v>
      </c>
      <c r="M15" s="44">
        <f t="shared" si="0"/>
        <v>6.1819492458391547</v>
      </c>
      <c r="N15" s="44">
        <f t="shared" si="0"/>
        <v>1067.3919088603623</v>
      </c>
      <c r="O15" s="44">
        <f t="shared" si="0"/>
        <v>0</v>
      </c>
      <c r="P15" s="44">
        <f t="shared" si="0"/>
        <v>0</v>
      </c>
      <c r="Q15" s="44">
        <f t="shared" si="0"/>
        <v>0</v>
      </c>
      <c r="R15" s="44">
        <f t="shared" si="0"/>
        <v>0</v>
      </c>
      <c r="S15" s="44">
        <f t="shared" si="0"/>
        <v>0</v>
      </c>
      <c r="T15" s="7"/>
    </row>
    <row r="16" spans="1:20" x14ac:dyDescent="0.2">
      <c r="A16" s="39"/>
      <c r="B16" s="39"/>
      <c r="C16" s="39"/>
      <c r="D16" s="39"/>
      <c r="E16" s="56" t="s">
        <v>2320</v>
      </c>
      <c r="F16" s="39"/>
      <c r="G16" s="39"/>
      <c r="H16" s="7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7"/>
    </row>
    <row r="17" spans="1:20" x14ac:dyDescent="0.2">
      <c r="A17" s="39"/>
      <c r="B17" s="39"/>
      <c r="C17" s="39"/>
      <c r="D17" s="39"/>
      <c r="E17" s="39" t="s">
        <v>2322</v>
      </c>
      <c r="F17" s="39" t="s">
        <v>2300</v>
      </c>
      <c r="G17" s="39" t="s">
        <v>2310</v>
      </c>
      <c r="H17" s="7" t="s">
        <v>39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00"/>
      <c r="O17" s="100"/>
      <c r="P17" s="100"/>
      <c r="Q17" s="100"/>
      <c r="R17" s="100"/>
      <c r="S17" s="100"/>
      <c r="T17" s="7"/>
    </row>
    <row r="18" spans="1:20" x14ac:dyDescent="0.2">
      <c r="A18" s="39"/>
      <c r="B18" s="39"/>
      <c r="C18" s="39"/>
      <c r="D18" s="39"/>
      <c r="E18" s="39" t="s">
        <v>2323</v>
      </c>
      <c r="F18" s="39" t="s">
        <v>2300</v>
      </c>
      <c r="G18" s="39" t="s">
        <v>2310</v>
      </c>
      <c r="H18" s="7" t="s">
        <v>39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100"/>
      <c r="O18" s="100"/>
      <c r="P18" s="100"/>
      <c r="Q18" s="100"/>
      <c r="R18" s="100"/>
      <c r="S18" s="100"/>
      <c r="T18" s="7"/>
    </row>
    <row r="19" spans="1:20" x14ac:dyDescent="0.2">
      <c r="A19" s="39"/>
      <c r="B19" s="39"/>
      <c r="C19" s="39"/>
      <c r="D19" s="39"/>
      <c r="E19" s="39"/>
      <c r="F19" s="39"/>
      <c r="G19" s="39"/>
      <c r="H19" s="7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7"/>
    </row>
    <row r="20" spans="1:20" x14ac:dyDescent="0.2">
      <c r="A20" s="39"/>
      <c r="B20" s="39"/>
      <c r="C20" s="39"/>
      <c r="D20" s="39"/>
      <c r="E20" s="39"/>
      <c r="F20" s="39"/>
      <c r="G20" s="39"/>
      <c r="H20" s="7"/>
      <c r="I20" s="58">
        <f>I9-SUM(I12:I18)</f>
        <v>0</v>
      </c>
      <c r="J20" s="58">
        <f>J9-SUM(J12:J18)</f>
        <v>0</v>
      </c>
      <c r="K20" s="58">
        <f t="shared" ref="K20:S20" si="1">K9-SUM(K12:K18)</f>
        <v>0</v>
      </c>
      <c r="L20" s="58">
        <f t="shared" si="1"/>
        <v>0</v>
      </c>
      <c r="M20" s="58">
        <f t="shared" si="1"/>
        <v>0</v>
      </c>
      <c r="N20" s="58">
        <f t="shared" si="1"/>
        <v>0</v>
      </c>
      <c r="O20" s="58">
        <f t="shared" si="1"/>
        <v>0</v>
      </c>
      <c r="P20" s="58">
        <f t="shared" si="1"/>
        <v>0</v>
      </c>
      <c r="Q20" s="58">
        <f t="shared" si="1"/>
        <v>0</v>
      </c>
      <c r="R20" s="58">
        <f t="shared" si="1"/>
        <v>0</v>
      </c>
      <c r="S20" s="58">
        <f t="shared" si="1"/>
        <v>0</v>
      </c>
      <c r="T20" s="7"/>
    </row>
    <row r="21" spans="1:20" x14ac:dyDescent="0.2">
      <c r="A21" s="39"/>
      <c r="B21" s="39"/>
      <c r="C21" s="39"/>
      <c r="D21" s="39"/>
      <c r="E21" s="39"/>
      <c r="F21" s="39"/>
      <c r="G21" s="39"/>
      <c r="H21" s="7"/>
      <c r="I21" s="58">
        <f>I9-'Calc|Consolidated Capex'!I71</f>
        <v>0</v>
      </c>
      <c r="J21" s="58">
        <f>J9-'Calc|Consolidated Capex'!J71</f>
        <v>0</v>
      </c>
      <c r="K21" s="58">
        <f>K9-'Calc|Consolidated Capex'!K71</f>
        <v>0</v>
      </c>
      <c r="L21" s="58">
        <f>L9-'Calc|Consolidated Capex'!L71</f>
        <v>0</v>
      </c>
      <c r="M21" s="58">
        <f>M9-'Calc|Consolidated Capex'!M71</f>
        <v>0</v>
      </c>
      <c r="N21" s="58">
        <f>N9-'Calc|Consolidated Capex'!N71</f>
        <v>0</v>
      </c>
      <c r="O21" s="58">
        <f>O9-'Calc|Consolidated Capex'!O71</f>
        <v>0</v>
      </c>
      <c r="P21" s="58">
        <f>P9-'Calc|Consolidated Capex'!P71</f>
        <v>0</v>
      </c>
      <c r="Q21" s="58">
        <f>Q9-'Calc|Consolidated Capex'!Q71</f>
        <v>0</v>
      </c>
      <c r="R21" s="58">
        <f>R9-'Calc|Consolidated Capex'!R71</f>
        <v>0</v>
      </c>
      <c r="S21" s="58">
        <f>S9-'Calc|Consolidated Capex'!S71</f>
        <v>0</v>
      </c>
      <c r="T21" s="7"/>
    </row>
    <row r="22" spans="1:20" x14ac:dyDescent="0.2">
      <c r="A22" s="39"/>
      <c r="B22" s="39"/>
      <c r="C22" s="39"/>
      <c r="D22" s="39"/>
      <c r="E22" s="39"/>
      <c r="F22" s="39"/>
      <c r="G22" s="39"/>
      <c r="H22" s="7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7"/>
    </row>
    <row r="23" spans="1:20" x14ac:dyDescent="0.2">
      <c r="A23" s="22" t="s">
        <v>2316</v>
      </c>
      <c r="B23" s="22"/>
      <c r="C23" s="15"/>
      <c r="D23" s="24"/>
      <c r="E23" s="25"/>
      <c r="F23" s="25"/>
      <c r="G23" s="25"/>
      <c r="H23" s="25"/>
      <c r="I23" s="57" t="s">
        <v>2324</v>
      </c>
      <c r="J23" s="57" t="s">
        <v>2324</v>
      </c>
      <c r="K23" s="57" t="s">
        <v>2324</v>
      </c>
      <c r="L23" s="57" t="s">
        <v>2324</v>
      </c>
      <c r="M23" s="35" t="s">
        <v>2428</v>
      </c>
      <c r="N23" s="35" t="s">
        <v>2428</v>
      </c>
      <c r="O23" s="35" t="s">
        <v>2428</v>
      </c>
      <c r="P23" s="35" t="s">
        <v>2428</v>
      </c>
      <c r="Q23" s="35" t="s">
        <v>2428</v>
      </c>
      <c r="R23" s="35" t="s">
        <v>2428</v>
      </c>
      <c r="S23" s="35" t="s">
        <v>2428</v>
      </c>
      <c r="T23" s="25"/>
    </row>
    <row r="24" spans="1:20" x14ac:dyDescent="0.2">
      <c r="A24" s="39"/>
      <c r="B24" s="39"/>
      <c r="C24" s="39"/>
      <c r="D24" s="39"/>
      <c r="E24" s="39"/>
      <c r="F24" s="39"/>
      <c r="G24" s="39"/>
      <c r="H24" s="7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7"/>
    </row>
    <row r="25" spans="1:20" x14ac:dyDescent="0.2">
      <c r="A25" s="39"/>
      <c r="B25" s="39"/>
      <c r="C25" s="39"/>
      <c r="D25" s="39"/>
      <c r="E25" s="9" t="s">
        <v>2209</v>
      </c>
      <c r="F25" s="39"/>
      <c r="G25" s="39"/>
      <c r="H25" s="7"/>
      <c r="I25" s="55">
        <f>'Calc|Consolidated Capex'!I160</f>
        <v>0</v>
      </c>
      <c r="J25" s="55">
        <f>'Calc|Consolidated Capex'!J160</f>
        <v>0</v>
      </c>
      <c r="K25" s="55">
        <f>'Calc|Consolidated Capex'!K160</f>
        <v>0</v>
      </c>
      <c r="L25" s="55">
        <f>'Calc|Consolidated Capex'!L160</f>
        <v>38.67071</v>
      </c>
      <c r="M25" s="44">
        <f>M9*(1+'Calc|Overheads'!M$27)</f>
        <v>7.0194982539123609</v>
      </c>
      <c r="N25" s="142">
        <f>'Calc|Consolidated Capex'!N160</f>
        <v>1186.1091387618942</v>
      </c>
      <c r="O25" s="44">
        <f>O9*(1+'Calc|Weightings'!$AQ$71)</f>
        <v>0</v>
      </c>
      <c r="P25" s="44">
        <f>P9*(1+'Calc|Weightings'!$AQ$71)</f>
        <v>0</v>
      </c>
      <c r="Q25" s="44">
        <f>Q9*(1+'Calc|Weightings'!$AQ$71)</f>
        <v>0</v>
      </c>
      <c r="R25" s="44">
        <f>R9*(1+'Calc|Weightings'!$AQ$71)</f>
        <v>0</v>
      </c>
      <c r="S25" s="44">
        <f>S9*(1+'Calc|Weightings'!$AQ$71)</f>
        <v>0</v>
      </c>
      <c r="T25" s="7"/>
    </row>
    <row r="26" spans="1:20" x14ac:dyDescent="0.2">
      <c r="A26" s="39"/>
      <c r="B26" s="39"/>
      <c r="C26" s="39"/>
      <c r="D26" s="39"/>
      <c r="E26" s="39"/>
      <c r="F26" s="39"/>
      <c r="G26" s="39"/>
      <c r="H26" s="7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7"/>
    </row>
    <row r="27" spans="1:20" x14ac:dyDescent="0.2">
      <c r="A27" s="39"/>
      <c r="B27" s="39"/>
      <c r="C27" s="39"/>
      <c r="D27" s="39"/>
      <c r="E27" s="56" t="s">
        <v>2317</v>
      </c>
      <c r="F27" s="39"/>
      <c r="G27" s="39"/>
      <c r="H27" s="7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7"/>
    </row>
    <row r="28" spans="1:20" x14ac:dyDescent="0.2">
      <c r="A28" s="39"/>
      <c r="B28" s="39"/>
      <c r="C28" s="39"/>
      <c r="D28" s="39"/>
      <c r="E28" s="39" t="s">
        <v>2318</v>
      </c>
      <c r="F28" s="39" t="s">
        <v>2333</v>
      </c>
      <c r="G28" s="39" t="s">
        <v>39</v>
      </c>
      <c r="H28" s="7" t="s">
        <v>39</v>
      </c>
      <c r="I28" s="44">
        <f>I12*(1+'Calc|Weightings'!$AQ$71)</f>
        <v>0</v>
      </c>
      <c r="J28" s="44">
        <f>J12*(1+'Calc|Weightings'!$AQ$71)</f>
        <v>0</v>
      </c>
      <c r="K28" s="44">
        <f>K12*(1+'Calc|Weightings'!$AQ$71)</f>
        <v>0</v>
      </c>
      <c r="L28" s="44">
        <f>L12*(1+'Calc|Weightings'!$AQ$71)</f>
        <v>0</v>
      </c>
      <c r="M28" s="44">
        <f>M12*(1+'Calc|Weightings'!$AQ$71)</f>
        <v>0</v>
      </c>
      <c r="N28" s="44">
        <f>N12*(1+'Calc|Weightings'!$AQ$71)</f>
        <v>0</v>
      </c>
      <c r="O28" s="44">
        <f>O12*(1+'Calc|Weightings'!$AQ$71)</f>
        <v>0</v>
      </c>
      <c r="P28" s="44">
        <f>P12*(1+'Calc|Weightings'!$AQ$71)</f>
        <v>0</v>
      </c>
      <c r="Q28" s="142">
        <f>Q12*(1+'Calc|Weightings'!$AQ$71)</f>
        <v>0</v>
      </c>
      <c r="R28" s="44">
        <f>R12*(1+'Calc|Weightings'!$AQ$71)</f>
        <v>0</v>
      </c>
      <c r="S28" s="44">
        <f>S12*(1+'Calc|Weightings'!$AQ$71)</f>
        <v>0</v>
      </c>
      <c r="T28" s="7"/>
    </row>
    <row r="29" spans="1:20" x14ac:dyDescent="0.2">
      <c r="A29" s="39"/>
      <c r="B29" s="39"/>
      <c r="C29" s="39"/>
      <c r="D29" s="39"/>
      <c r="E29" s="39" t="s">
        <v>2319</v>
      </c>
      <c r="F29" s="39" t="s">
        <v>2333</v>
      </c>
      <c r="G29" s="39" t="s">
        <v>2310</v>
      </c>
      <c r="H29" s="7" t="s">
        <v>2404</v>
      </c>
      <c r="I29" s="44">
        <f>I13*(1+'Calc|Weightings'!$AQ$71)</f>
        <v>0</v>
      </c>
      <c r="J29" s="44">
        <f>J13*(1+'Calc|Weightings'!$AQ$71)</f>
        <v>0</v>
      </c>
      <c r="K29" s="44">
        <f>K13*(1+'Calc|Weightings'!$AQ$71)</f>
        <v>0</v>
      </c>
      <c r="L29" s="44">
        <f>L13*(1+'Calc|Weightings'!$AQ$71)</f>
        <v>0</v>
      </c>
      <c r="M29" s="44">
        <f>M13*(1+'Calc|Weightings'!$AQ$71)</f>
        <v>0</v>
      </c>
      <c r="N29" s="44">
        <f>N13*(1+'Calc|Weightings'!$AQ$71)</f>
        <v>0</v>
      </c>
      <c r="O29" s="44">
        <f>O13*(1+'Calc|Weightings'!$AQ$71)</f>
        <v>0</v>
      </c>
      <c r="P29" s="44">
        <f>P13*(1+'Calc|Weightings'!$AQ$71)</f>
        <v>0</v>
      </c>
      <c r="Q29" s="142">
        <f>Q13*(1+'Calc|Weightings'!$AQ$71)</f>
        <v>0</v>
      </c>
      <c r="R29" s="44">
        <f>R13*(1+'Calc|Weightings'!$AQ$71)</f>
        <v>0</v>
      </c>
      <c r="S29" s="44">
        <f>S13*(1+'Calc|Weightings'!$AQ$71)</f>
        <v>0</v>
      </c>
      <c r="T29" s="7"/>
    </row>
    <row r="30" spans="1:20" x14ac:dyDescent="0.2">
      <c r="A30" s="39"/>
      <c r="B30" s="39"/>
      <c r="C30" s="39"/>
      <c r="D30" s="39"/>
      <c r="E30" s="39"/>
      <c r="F30" s="39" t="s">
        <v>2333</v>
      </c>
      <c r="G30" s="39" t="s">
        <v>2309</v>
      </c>
      <c r="H30" s="7" t="s">
        <v>2404</v>
      </c>
      <c r="I30" s="44"/>
      <c r="J30" s="44"/>
      <c r="K30" s="44"/>
      <c r="L30" s="44"/>
      <c r="M30" s="44"/>
      <c r="N30" s="44"/>
      <c r="O30" s="44"/>
      <c r="P30" s="44"/>
      <c r="Q30" s="142"/>
      <c r="R30" s="44"/>
      <c r="S30" s="44"/>
      <c r="T30" s="7"/>
    </row>
    <row r="31" spans="1:20" x14ac:dyDescent="0.2">
      <c r="A31" s="39"/>
      <c r="B31" s="39"/>
      <c r="C31" s="39"/>
      <c r="D31" s="39"/>
      <c r="E31" s="39"/>
      <c r="F31" s="39" t="s">
        <v>2333</v>
      </c>
      <c r="G31" s="39" t="s">
        <v>2310</v>
      </c>
      <c r="H31" s="7" t="s">
        <v>39</v>
      </c>
      <c r="I31" s="44">
        <f>I25-SUM(I28:I30,I33:I35)</f>
        <v>0</v>
      </c>
      <c r="J31" s="44">
        <f t="shared" ref="J31:S31" si="2">J25-SUM(J28:J30,J33:J35)</f>
        <v>0</v>
      </c>
      <c r="K31" s="44">
        <f t="shared" si="2"/>
        <v>0</v>
      </c>
      <c r="L31" s="44">
        <f t="shared" si="2"/>
        <v>38.67071</v>
      </c>
      <c r="M31" s="44">
        <f t="shared" si="2"/>
        <v>7.0194982539123609</v>
      </c>
      <c r="N31" s="44">
        <f t="shared" si="2"/>
        <v>1186.1091387618942</v>
      </c>
      <c r="O31" s="44">
        <f t="shared" si="2"/>
        <v>0</v>
      </c>
      <c r="P31" s="44">
        <f t="shared" si="2"/>
        <v>0</v>
      </c>
      <c r="Q31" s="142">
        <f t="shared" si="2"/>
        <v>0</v>
      </c>
      <c r="R31" s="44">
        <f t="shared" si="2"/>
        <v>0</v>
      </c>
      <c r="S31" s="44">
        <f t="shared" si="2"/>
        <v>0</v>
      </c>
      <c r="T31" s="7"/>
    </row>
    <row r="32" spans="1:20" x14ac:dyDescent="0.2">
      <c r="A32" s="39"/>
      <c r="B32" s="39"/>
      <c r="C32" s="39"/>
      <c r="D32" s="39"/>
      <c r="E32" s="56" t="s">
        <v>2320</v>
      </c>
      <c r="F32" s="39"/>
      <c r="G32" s="39"/>
      <c r="H32" s="7"/>
      <c r="I32" s="44"/>
      <c r="J32" s="44"/>
      <c r="K32" s="44"/>
      <c r="L32" s="44"/>
      <c r="M32" s="44"/>
      <c r="N32" s="44"/>
      <c r="O32" s="44"/>
      <c r="P32" s="44"/>
      <c r="Q32" s="142"/>
      <c r="R32" s="44"/>
      <c r="S32" s="44"/>
      <c r="T32" s="7"/>
    </row>
    <row r="33" spans="1:20" x14ac:dyDescent="0.2">
      <c r="A33" s="39"/>
      <c r="B33" s="39"/>
      <c r="C33" s="39"/>
      <c r="D33" s="39"/>
      <c r="E33" s="39" t="s">
        <v>2322</v>
      </c>
      <c r="F33" s="39" t="s">
        <v>2300</v>
      </c>
      <c r="G33" s="39" t="s">
        <v>2310</v>
      </c>
      <c r="H33" s="7" t="s">
        <v>39</v>
      </c>
      <c r="I33" s="44">
        <f>I17*(1+'Calc|Weightings'!$AQ$71)</f>
        <v>0</v>
      </c>
      <c r="J33" s="44">
        <f>J17*(1+'Calc|Weightings'!$AQ$71)</f>
        <v>0</v>
      </c>
      <c r="K33" s="44">
        <f>K17*(1+'Calc|Weightings'!$AQ$71)</f>
        <v>0</v>
      </c>
      <c r="L33" s="44">
        <f>L17*(1+'Calc|Weightings'!$AQ$71)</f>
        <v>0</v>
      </c>
      <c r="M33" s="44">
        <f>M17*(1+'Calc|Weightings'!$AQ$71)</f>
        <v>0</v>
      </c>
      <c r="N33" s="44">
        <f>N17*(1+'Calc|Weightings'!$AQ$71)</f>
        <v>0</v>
      </c>
      <c r="O33" s="44">
        <f>O17*(1+'Calc|Weightings'!$AQ$71)</f>
        <v>0</v>
      </c>
      <c r="P33" s="44">
        <f>P17*(1+'Calc|Weightings'!$AQ$71)</f>
        <v>0</v>
      </c>
      <c r="Q33" s="142">
        <f>Q17*(1+'Calc|Weightings'!$AQ$71)</f>
        <v>0</v>
      </c>
      <c r="R33" s="44">
        <f>R17*(1+'Calc|Weightings'!$AQ$71)</f>
        <v>0</v>
      </c>
      <c r="S33" s="44">
        <f>S17*(1+'Calc|Weightings'!$AQ$71)</f>
        <v>0</v>
      </c>
      <c r="T33" s="7"/>
    </row>
    <row r="34" spans="1:20" x14ac:dyDescent="0.2">
      <c r="A34" s="39"/>
      <c r="B34" s="39"/>
      <c r="C34" s="39"/>
      <c r="D34" s="39"/>
      <c r="E34" s="39" t="s">
        <v>2323</v>
      </c>
      <c r="F34" s="39" t="s">
        <v>2300</v>
      </c>
      <c r="G34" s="39" t="s">
        <v>2310</v>
      </c>
      <c r="H34" s="7" t="s">
        <v>39</v>
      </c>
      <c r="I34" s="44">
        <f>I18*(1+'Calc|Weightings'!$AQ$71)</f>
        <v>0</v>
      </c>
      <c r="J34" s="44">
        <f>J18*(1+'Calc|Weightings'!$AQ$71)</f>
        <v>0</v>
      </c>
      <c r="K34" s="44">
        <f>K18*(1+'Calc|Weightings'!$AQ$71)</f>
        <v>0</v>
      </c>
      <c r="L34" s="44">
        <f>L18*(1+'Calc|Weightings'!$AQ$71)</f>
        <v>0</v>
      </c>
      <c r="M34" s="44">
        <f>M18*(1+'Calc|Weightings'!$AQ$71)</f>
        <v>0</v>
      </c>
      <c r="N34" s="44">
        <f>N18*(1+'Calc|Weightings'!$AQ$71)</f>
        <v>0</v>
      </c>
      <c r="O34" s="44">
        <f>O18*(1+'Calc|Weightings'!$AQ$71)</f>
        <v>0</v>
      </c>
      <c r="P34" s="44">
        <f>P18*(1+'Calc|Weightings'!$AQ$71)</f>
        <v>0</v>
      </c>
      <c r="Q34" s="142">
        <f>Q18*(1+'Calc|Weightings'!$AQ$71)</f>
        <v>0</v>
      </c>
      <c r="R34" s="44">
        <f>R18*(1+'Calc|Weightings'!$AQ$71)</f>
        <v>0</v>
      </c>
      <c r="S34" s="44">
        <f>S18*(1+'Calc|Weightings'!$AQ$71)</f>
        <v>0</v>
      </c>
      <c r="T34" s="7"/>
    </row>
    <row r="35" spans="1:20" x14ac:dyDescent="0.2">
      <c r="A35" s="39"/>
      <c r="B35" s="39"/>
      <c r="C35" s="39"/>
      <c r="D35" s="39"/>
      <c r="E35" s="39"/>
      <c r="F35" s="39"/>
      <c r="G35" s="39"/>
      <c r="H35" s="7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7"/>
    </row>
    <row r="36" spans="1:20" x14ac:dyDescent="0.2">
      <c r="A36" s="39"/>
      <c r="B36" s="39"/>
      <c r="C36" s="39"/>
      <c r="D36" s="39"/>
      <c r="E36" s="39"/>
      <c r="F36" s="39"/>
      <c r="G36" s="39"/>
      <c r="H36" s="7"/>
      <c r="I36" s="58">
        <f t="shared" ref="I36:S36" si="3">I25-SUM(I28:I34)</f>
        <v>0</v>
      </c>
      <c r="J36" s="58">
        <f t="shared" si="3"/>
        <v>0</v>
      </c>
      <c r="K36" s="58">
        <f t="shared" si="3"/>
        <v>0</v>
      </c>
      <c r="L36" s="58">
        <f t="shared" si="3"/>
        <v>0</v>
      </c>
      <c r="M36" s="58">
        <f t="shared" si="3"/>
        <v>0</v>
      </c>
      <c r="N36" s="58">
        <f t="shared" si="3"/>
        <v>0</v>
      </c>
      <c r="O36" s="58">
        <f t="shared" si="3"/>
        <v>0</v>
      </c>
      <c r="P36" s="58">
        <f t="shared" si="3"/>
        <v>0</v>
      </c>
      <c r="Q36" s="58">
        <f t="shared" si="3"/>
        <v>0</v>
      </c>
      <c r="R36" s="58">
        <f t="shared" si="3"/>
        <v>0</v>
      </c>
      <c r="S36" s="58">
        <f t="shared" si="3"/>
        <v>0</v>
      </c>
      <c r="T36" s="7"/>
    </row>
    <row r="37" spans="1:20" x14ac:dyDescent="0.2">
      <c r="A37" s="39"/>
      <c r="B37" s="39"/>
      <c r="C37" s="39"/>
      <c r="D37" s="39"/>
      <c r="E37" s="39"/>
      <c r="F37" s="39"/>
      <c r="G37" s="39"/>
      <c r="H37" s="7"/>
      <c r="I37" s="58">
        <f>I25-'Calc|Consolidated Capex'!I160</f>
        <v>0</v>
      </c>
      <c r="J37" s="58">
        <f>J25-'Calc|Consolidated Capex'!J160</f>
        <v>0</v>
      </c>
      <c r="K37" s="58">
        <f>K25-'Calc|Consolidated Capex'!K160</f>
        <v>0</v>
      </c>
      <c r="L37" s="58">
        <f>L25-'Calc|Consolidated Capex'!L160</f>
        <v>0</v>
      </c>
      <c r="M37" s="58">
        <f>M25-'Calc|Consolidated Capex'!M160</f>
        <v>0</v>
      </c>
      <c r="N37" s="58">
        <f>N25-'Calc|Consolidated Capex'!N160</f>
        <v>0</v>
      </c>
      <c r="O37" s="58">
        <f>O25-'Calc|Consolidated Capex'!O160</f>
        <v>0</v>
      </c>
      <c r="P37" s="58">
        <f>P25-'Calc|Consolidated Capex'!P160</f>
        <v>0</v>
      </c>
      <c r="Q37" s="58">
        <f>Q25-'Calc|Consolidated Capex'!Q160</f>
        <v>0</v>
      </c>
      <c r="R37" s="58">
        <f>R25-'Calc|Consolidated Capex'!R160</f>
        <v>0</v>
      </c>
      <c r="S37" s="58">
        <f>S25-'Calc|Consolidated Capex'!S160</f>
        <v>0</v>
      </c>
      <c r="T37" s="7"/>
    </row>
    <row r="38" spans="1:20" x14ac:dyDescent="0.2">
      <c r="A38" s="39"/>
      <c r="B38" s="39"/>
      <c r="C38" s="39"/>
      <c r="D38" s="39"/>
      <c r="E38" s="39"/>
      <c r="F38" s="39"/>
      <c r="G38" s="39"/>
      <c r="H38" s="7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7"/>
    </row>
    <row r="39" spans="1:20" x14ac:dyDescent="0.2">
      <c r="A39" s="39"/>
      <c r="B39" s="39"/>
      <c r="C39" s="39"/>
      <c r="D39" s="39"/>
      <c r="E39" s="39"/>
      <c r="F39" s="39"/>
      <c r="G39" s="39"/>
      <c r="H39" s="7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7"/>
    </row>
    <row r="40" spans="1:20" x14ac:dyDescent="0.2">
      <c r="A40" s="39"/>
      <c r="B40" s="39"/>
      <c r="C40" s="39"/>
      <c r="D40" s="39"/>
      <c r="E40" s="39"/>
      <c r="F40" s="39"/>
      <c r="G40" s="39"/>
      <c r="H40" s="7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7"/>
    </row>
    <row r="41" spans="1:20" x14ac:dyDescent="0.2">
      <c r="A41" s="39"/>
      <c r="B41" s="39"/>
      <c r="C41" s="39"/>
      <c r="D41" s="39"/>
      <c r="E41" s="39"/>
      <c r="F41" s="39"/>
      <c r="G41" s="39"/>
      <c r="H41" s="7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7"/>
    </row>
    <row r="42" spans="1:20" x14ac:dyDescent="0.2">
      <c r="A42" s="39"/>
      <c r="B42" s="39"/>
      <c r="C42" s="39"/>
      <c r="D42" s="39"/>
      <c r="E42" s="39"/>
      <c r="F42" s="39"/>
      <c r="G42" s="39"/>
      <c r="H42" s="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7"/>
    </row>
    <row r="43" spans="1:20" x14ac:dyDescent="0.2">
      <c r="A43" s="39"/>
      <c r="B43" s="39"/>
      <c r="C43" s="39"/>
      <c r="D43" s="39"/>
      <c r="E43" s="39"/>
      <c r="F43" s="39"/>
      <c r="G43" s="39"/>
      <c r="H43" s="7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7"/>
    </row>
    <row r="44" spans="1:20" x14ac:dyDescent="0.2">
      <c r="A44" s="39"/>
      <c r="B44" s="39"/>
      <c r="C44" s="39"/>
      <c r="D44" s="39"/>
      <c r="E44" s="39"/>
      <c r="F44" s="39"/>
      <c r="G44" s="39"/>
      <c r="H44" s="7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7"/>
    </row>
    <row r="45" spans="1:20" x14ac:dyDescent="0.2">
      <c r="A45" s="39"/>
      <c r="B45" s="39"/>
      <c r="C45" s="39"/>
      <c r="D45" s="39"/>
      <c r="E45" s="39"/>
      <c r="F45" s="39"/>
      <c r="G45" s="39"/>
      <c r="H45" s="7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7"/>
    </row>
    <row r="46" spans="1:20" x14ac:dyDescent="0.2">
      <c r="A46" s="39"/>
      <c r="B46" s="39"/>
      <c r="C46" s="39"/>
      <c r="D46" s="39"/>
      <c r="E46" s="39"/>
      <c r="F46" s="39"/>
      <c r="G46" s="39"/>
      <c r="H46" s="7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7"/>
    </row>
    <row r="47" spans="1:20" x14ac:dyDescent="0.2">
      <c r="A47" s="39"/>
      <c r="B47" s="39"/>
      <c r="C47" s="39"/>
      <c r="D47" s="39"/>
      <c r="E47" s="39"/>
      <c r="F47" s="39"/>
      <c r="G47" s="39"/>
      <c r="H47" s="7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7"/>
    </row>
    <row r="48" spans="1:20" x14ac:dyDescent="0.2">
      <c r="A48" s="39"/>
      <c r="B48" s="39"/>
      <c r="C48" s="39"/>
      <c r="D48" s="39"/>
      <c r="E48" s="39"/>
      <c r="F48" s="39"/>
      <c r="G48" s="39"/>
      <c r="H48" s="7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7"/>
    </row>
    <row r="49" spans="1:16384" x14ac:dyDescent="0.2">
      <c r="A49" s="39"/>
      <c r="B49" s="39"/>
      <c r="C49" s="39"/>
      <c r="D49" s="39"/>
      <c r="E49" s="39"/>
      <c r="F49" s="39"/>
      <c r="G49" s="39"/>
      <c r="H49" s="7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7"/>
    </row>
    <row r="50" spans="1:16384" x14ac:dyDescent="0.2">
      <c r="A50" s="39"/>
      <c r="B50" s="39"/>
      <c r="C50" s="39"/>
      <c r="D50" s="39"/>
      <c r="E50" s="39"/>
      <c r="F50" s="39"/>
      <c r="G50" s="39"/>
      <c r="H50" s="7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7"/>
    </row>
    <row r="51" spans="1:1638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16384" s="21" customFormat="1" ht="14.25" customHeight="1" x14ac:dyDescent="0.2">
      <c r="A52" s="22" t="s">
        <v>9</v>
      </c>
      <c r="B52" s="22"/>
      <c r="C52" s="15"/>
      <c r="D52" s="24"/>
      <c r="E52" s="25"/>
      <c r="F52" s="25"/>
      <c r="G52" s="25"/>
      <c r="H52" s="25"/>
      <c r="I52" s="26"/>
      <c r="J52" s="26"/>
      <c r="K52" s="20"/>
      <c r="L52" s="20"/>
      <c r="M52" s="25"/>
      <c r="N52" s="25"/>
      <c r="O52" s="25"/>
      <c r="P52" s="25"/>
      <c r="Q52" s="25"/>
      <c r="R52" s="25"/>
      <c r="S52" s="25"/>
      <c r="T52" s="25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16384" hidden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16384" hidden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16384" hidden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16384" hidden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16384" hidden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16384" hidden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16384" hidden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16384" hidden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16384" hidden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16384" hidden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16384" hidden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idden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idden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idden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idden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idden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idden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idden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idden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idden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idden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hidden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hidden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hidden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hidden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hidden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hidden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hidden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hidden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hidden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hidden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hidden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hidden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hidden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hidden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hidden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</row>
    <row r="90" spans="1:20" hidden="1" x14ac:dyDescent="0.2"/>
    <row r="91" spans="1:20" x14ac:dyDescent="0.2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Control</vt:lpstr>
      <vt:lpstr>Inflation</vt:lpstr>
      <vt:lpstr>Mapping</vt:lpstr>
      <vt:lpstr>Input|Allowance</vt:lpstr>
      <vt:lpstr>Input|Historical Data</vt:lpstr>
      <vt:lpstr>Input|Forecast Data</vt:lpstr>
      <vt:lpstr>Input|Customer Contributions</vt:lpstr>
      <vt:lpstr>Input|Provisions</vt:lpstr>
      <vt:lpstr>Input|VBRC Calc</vt:lpstr>
      <vt:lpstr>Calc|Weightings</vt:lpstr>
      <vt:lpstr>Calc|Overheads</vt:lpstr>
      <vt:lpstr>Calc|Consolidated Capex</vt:lpstr>
      <vt:lpstr>Immediate deductions</vt:lpstr>
      <vt:lpstr>Output|Functional</vt:lpstr>
      <vt:lpstr>Comp</vt:lpstr>
      <vt:lpstr>Comp2</vt:lpstr>
      <vt:lpstr>AER output</vt:lpstr>
      <vt:lpstr>Output|PTRM</vt:lpstr>
      <vt:lpstr>Output|Functional - proposed</vt:lpstr>
      <vt:lpstr>Output|PTRM - proposed</vt:lpstr>
      <vt:lpstr>'AER output'!_ftn1</vt:lpstr>
      <vt:lpstr>'AER output'!_ftnref1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2020-09-14T02:30:41Z</dcterms:created>
  <dcterms:modified xsi:type="dcterms:W3CDTF">2020-09-28T04:14:15Z</dcterms:modified>
</cp:coreProperties>
</file>